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<sst xmlns="http://schemas.openxmlformats.org/spreadsheetml/2006/main" count="68810" uniqueCount="5653">
  <si>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</si>
  <si>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</si>
  <si>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</si>
  <si>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</si>
  <si>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</si>
  <si>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</si>
  <si>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</si>
  <si>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</si>
  <si>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06/10/2026 00:31:30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</si>
  <si>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</si>
  <si>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</si>
  <si>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</si>
  <si>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</si>
  <si>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</si>
  <si>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</si>
  <si>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</si>
  <si>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</si>
  <si>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</si>
  <si>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</si>
  <si>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</si>
  <si>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</si>
  <si>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</si>
  <si>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</si>
  <si>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</si>
  <si>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</si>
  <si>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</si>
  <si>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</si>
  <si>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</si>
  <si>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</si>
  <si>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</si>
  <si>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</si>
  <si>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</si>
  <si>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</si>
  <si>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</si>
  <si>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</si>
  <si>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</si>
  <si>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</si>
  <si>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</si>
  <si>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</si>
  <si>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</si>
  <si>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</si>
  <si>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</si>
  <si>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</si>
  <si>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</si>
  <si>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</si>
  <si>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</si>
  <si>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</si>
  <si>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</si>
  <si>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</si>
  <si>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</si>
  <si>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</si>
  <si>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</si>
  <si>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</si>
  <si>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</si>
  <si>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</si>
  <si>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</si>
  <si>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</si>
  <si>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</si>
  <si>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</si>
  <si>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</si>
  <si>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</si>
  <si>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</si>
  <si>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</si>
  <si>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</si>
  <si>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</si>
  <si>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</si>
  <si>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</si>
  <si>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</si>
  <si>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</si>
  <si>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</si>
  <si>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</si>
  <si>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</si>
  <si>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</si>
  <si>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</si>
  <si>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</si>
  <si>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</si>
  <si>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</si>
  <si>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</si>
  <si>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</si>
  <si>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</si>
  <si>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</si>
  <si>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</si>
  <si>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</si>
  <si>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</si>
  <si>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</si>
  <si>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</si>
  <si>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</si>
  <si>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</si>
  <si>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</si>
  <si>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</si>
  <si>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</si>
  <si>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</si>
  <si>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</si>
  <si>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</si>
  <si>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</si>
  <si>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</si>
  <si>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</si>
  <si>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</si>
  <si>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</si>
  <si>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</si>
  <si>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</si>
  <si>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</si>
  <si>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</si>
  <si>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</si>
  <si>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</si>
  <si>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</si>
  <si>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</si>
  <si>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</si>
  <si>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</si>
  <si>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</si>
  <si>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</si>
  <si>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</si>
  <si>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</si>
  <si>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</si>
  <si>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</si>
  <si>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</si>
  <si>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</si>
  <si>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</si>
  <si>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</si>
  <si>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</si>
  <si>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</si>
  <si>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</si>
  <si>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</si>
  <si>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</si>
  <si>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</si>
  <si>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</si>
  <si>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</si>
  <si>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</si>
  <si>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</si>
  <si>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</si>
  <si>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</si>
  <si>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</si>
  <si>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</si>
  <si>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</si>
  <si>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</si>
  <si>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</si>
  <si>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</si>
  <si>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</si>
  <si>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</si>
  <si>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</si>
  <si>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</si>
  <si>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</si>
  <si>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</si>
  <si>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</si>
  <si>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</si>
  <si>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</si>
  <si>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</si>
  <si>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</si>
  <si>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</si>
  <si>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</si>
  <si>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</si>
  <si>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</si>
  <si>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</si>
  <si>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</si>
  <si>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</si>
  <si>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</si>
  <si>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</si>
  <si>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</si>
  <si>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</si>
  <si>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</si>
  <si>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</si>
  <si>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</si>
  <si>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</si>
  <si>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</si>
  <si>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</si>
  <si>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</si>
  <si>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</si>
  <si>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</si>
  <si>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</si>
  <si>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</si>
  <si>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</si>
  <si>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</si>
  <si>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</si>
  <si>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</si>
  <si>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</si>
  <si>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</si>
  <si>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</si>
  <si>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</si>
  <si>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</si>
  <si>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</si>
  <si>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</si>
  <si>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</si>
  <si>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</si>
  <si>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</si>
  <si>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</si>
  <si>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</si>
  <si>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</si>
  <si>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</si>
  <si>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</si>
  <si>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</si>
  <si>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</si>
  <si>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</si>
  <si>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</si>
  <si>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</si>
  <si>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</si>
  <si>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</si>
  <si>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</si>
  <si>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</si>
  <si>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</si>
  <si>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</si>
  <si>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</si>
  <si>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</si>
  <si>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</si>
  <si>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</si>
  <si>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</si>
  <si>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</si>
  <si>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</si>
  <si>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</si>
  <si>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</si>
  <si>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</si>
  <si>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</si>
  <si>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</si>
  <si>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</si>
  <si>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</si>
  <si>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</si>
  <si>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</si>
  <si>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</si>
  <si>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</si>
  <si>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</si>
  <si>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</si>
  <si>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</si>
  <si>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</si>
  <si>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</si>
  <si>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</si>
  <si>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</si>
  <si>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</si>
  <si>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</si>
  <si>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</si>
  <si>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</si>
  <si>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</si>
  <si>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</si>
  <si>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</si>
  <si>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</si>
  <si>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</si>
  <si>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</si>
  <si>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</si>
  <si>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</si>
  <si>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</si>
  <si>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</si>
  <si>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</si>
  <si>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</si>
  <si>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</si>
  <si>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</si>
  <si>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</si>
  <si>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</si>
  <si>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</si>
  <si>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</si>
  <si>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</si>
  <si>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</si>
  <si>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</si>
  <si>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</si>
  <si>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</si>
  <si>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</si>
  <si>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</si>
  <si>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</si>
  <si>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</si>
  <si>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</si>
  <si>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</si>
  <si>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</si>
  <si>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</si>
  <si>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</si>
  <si>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</si>
  <si>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</si>
  <si>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</si>
  <si>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</si>
  <si>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</si>
  <si>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</si>
  <si>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</si>
  <si>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</si>
  <si>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</si>
  <si>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</si>
  <si>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</si>
  <si>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</si>
  <si>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</si>
  <si>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</si>
  <si>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</si>
  <si>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</si>
  <si>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</si>
  <si>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</si>
  <si>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</si>
  <si>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</si>
  <si>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</si>
  <si>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</si>
  <si>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</si>
  <si>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</si>
  <si>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</si>
  <si>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</si>
  <si>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</si>
  <si>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</si>
  <si>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</si>
  <si>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</si>
  <si>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</si>
  <si>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</si>
  <si>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</si>
  <si>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</si>
  <si>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</si>
  <si>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</si>
  <si>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</si>
  <si>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</si>
  <si>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</si>
  <si>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</si>
  <si>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</si>
  <si>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493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</si>
  <si>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</si>
  <si>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</si>
  <si>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</si>
  <si>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</si>
  <si>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</si>
  <si>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</si>
  <si>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</si>
  <si>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</si>
  <si>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</si>
  <si>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</si>
  <si>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</si>
  <si>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</si>
  <si>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</si>
  <si>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</si>
  <si>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</si>
  <si>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</si>
  <si>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</si>
  <si>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</si>
  <si>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</si>
  <si>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</si>
  <si>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</si>
  <si>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</si>
  <si>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</si>
  <si>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</si>
  <si>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</si>
  <si>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</si>
  <si>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</si>
  <si>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</si>
  <si>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</si>
  <si>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</si>
  <si>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</si>
  <si>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NF 670477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</si>
  <si>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</si>
  <si>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</si>
  <si>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</si>
  <si>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</si>
  <si>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</si>
  <si>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</si>
  <si>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</si>
  <si>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</si>
  <si>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</si>
  <si>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</si>
  <si>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</si>
  <si>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</si>
  <si>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</si>
  <si>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</si>
  <si>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</si>
  <si>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</si>
  <si>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</si>
  <si>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</si>
  <si>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</si>
  <si>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</si>
  <si>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</si>
  <si>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</si>
  <si>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</si>
  <si>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</si>
  <si>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</si>
  <si>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</si>
  <si>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</si>
  <si>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</si>
  <si>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</si>
  <si>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</si>
  <si>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</si>
  <si>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</si>
  <si>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</si>
  <si>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</si>
  <si>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</si>
  <si>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</si>
  <si>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COMERCIO DE FRIOS MANAUS LTDA</t>
  </si>
  <si>
    <t xml:space="preserve">NF 170938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</si>
  <si>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</si>
  <si>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</si>
  <si>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</si>
  <si>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</si>
  <si>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</si>
  <si>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</si>
  <si>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</si>
  <si>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</si>
  <si>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</si>
  <si>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</si>
  <si>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</si>
  <si>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</si>
  <si>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</si>
  <si>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</si>
  <si>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</si>
  <si>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</si>
  <si>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</si>
  <si>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</si>
  <si>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</si>
  <si>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</si>
  <si>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</si>
  <si>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</si>
  <si>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</si>
  <si>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</si>
  <si>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</si>
  <si>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</si>
  <si>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</si>
  <si>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</si>
  <si>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</si>
  <si>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</si>
  <si>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</si>
  <si>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</si>
  <si>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</si>
  <si>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</si>
  <si>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</si>
  <si>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</si>
  <si>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</si>
  <si>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</si>
  <si>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</si>
  <si>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</si>
  <si>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</si>
  <si>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</si>
  <si>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</si>
  <si>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</si>
  <si>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</si>
  <si>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</si>
  <si>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</si>
  <si>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</si>
  <si>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</si>
  <si>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</si>
  <si>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</si>
  <si>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</si>
  <si>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</si>
  <si>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</si>
  <si>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</si>
  <si>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</si>
  <si>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</si>
  <si>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</si>
  <si>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</si>
  <si>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</si>
  <si>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</si>
  <si>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</si>
  <si>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569926 ACRESCIMO BOLETO </t>
  </si>
  <si>
    <t xml:space="preserve">NF 569926 TARIFA BOLETO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</si>
  <si>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</si>
  <si>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</si>
  <si>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</si>
  <si>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</si>
  <si>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</si>
  <si>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</si>
  <si>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</si>
  <si>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</si>
  <si>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</si>
  <si>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</si>
  <si>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</si>
  <si>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</si>
  <si>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</si>
  <si>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</si>
  <si>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</si>
  <si>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</si>
  <si>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</si>
  <si>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</si>
  <si>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</si>
  <si>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</si>
  <si>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</si>
  <si>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</si>
  <si>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</si>
  <si>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</si>
  <si>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</si>
  <si>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</si>
  <si>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</si>
  <si>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</si>
  <si>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</si>
  <si>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</si>
  <si>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</si>
  <si>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</si>
  <si>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</si>
  <si>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</si>
  <si>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</si>
  <si>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</si>
  <si>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</si>
  <si>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</si>
  <si>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</si>
  <si>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</si>
  <si>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</si>
  <si>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</si>
  <si>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</si>
  <si>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</si>
  <si>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</si>
  <si>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</si>
  <si>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</si>
  <si>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</si>
  <si>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</si>
  <si>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</si>
  <si>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</si>
  <si>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</si>
  <si>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</si>
  <si>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</si>
  <si>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</si>
  <si>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</si>
  <si>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</si>
  <si>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</si>
  <si>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</si>
  <si>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</si>
  <si>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</si>
  <si>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</si>
  <si>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</si>
  <si>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</si>
  <si>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</si>
  <si>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</si>
  <si>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</si>
  <si>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</si>
  <si>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</si>
  <si>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</si>
  <si>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</si>
  <si>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</si>
  <si>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</si>
  <si>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</si>
  <si>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</si>
  <si>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</si>
  <si>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</si>
  <si>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</si>
  <si>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</si>
  <si>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</si>
  <si>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</si>
  <si>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</si>
  <si>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</si>
  <si>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</si>
  <si>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</si>
  <si>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</si>
  <si>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</si>
  <si>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</si>
  <si>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</si>
  <si>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</si>
  <si>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</si>
  <si>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</si>
  <si>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</si>
  <si>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</si>
  <si>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</si>
  <si>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</si>
  <si>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</si>
  <si>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</si>
  <si>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</si>
  <si>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</si>
  <si>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</si>
  <si>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</si>
  <si>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</si>
  <si>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</si>
  <si>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</si>
  <si>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</si>
  <si>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</si>
  <si>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</si>
  <si>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</si>
  <si>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</si>
  <si>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</si>
  <si>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</si>
  <si>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</si>
  <si>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</si>
  <si>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</si>
  <si>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</si>
  <si>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</si>
  <si>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</si>
  <si>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</si>
  <si>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</si>
  <si>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</si>
  <si>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</si>
  <si>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</si>
  <si>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</si>
  <si>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</si>
  <si>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</si>
  <si>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</si>
  <si>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</si>
  <si>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</si>
  <si>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</si>
  <si>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</si>
  <si>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</si>
  <si>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</si>
  <si>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</si>
  <si>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</si>
  <si>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</si>
  <si>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</si>
  <si>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</si>
  <si>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</si>
  <si>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</si>
  <si>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</si>
  <si>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</si>
  <si>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</si>
  <si>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</si>
  <si>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</si>
  <si>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</si>
  <si>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</si>
  <si>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</si>
  <si>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</si>
  <si>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</si>
  <si>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</si>
  <si>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</si>
  <si>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</si>
  <si>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</si>
  <si>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</si>
  <si>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</si>
  <si>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</si>
  <si>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</si>
  <si>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</si>
  <si>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</si>
  <si>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</si>
  <si>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</si>
  <si>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</si>
  <si>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</si>
  <si>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</si>
  <si>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</si>
  <si>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</si>
  <si>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</si>
  <si>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</si>
  <si>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</si>
  <si>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</si>
  <si>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</si>
  <si>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</si>
  <si>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</si>
  <si>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</si>
  <si>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</si>
  <si>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</si>
  <si>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</si>
  <si>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</si>
  <si>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</si>
  <si>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</si>
  <si>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</si>
  <si>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</si>
  <si>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</si>
  <si>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</si>
  <si>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</si>
  <si>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</si>
  <si>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</si>
  <si>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</si>
  <si>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</si>
  <si>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</si>
  <si>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</si>
  <si>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</si>
  <si>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</si>
  <si>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</si>
  <si>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</si>
  <si>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</si>
  <si>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</si>
  <si>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</si>
  <si>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</si>
  <si>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</si>
  <si>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</si>
  <si>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</si>
  <si>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</si>
  <si>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</si>
  <si>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</si>
  <si>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</si>
  <si>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</si>
  <si>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</si>
  <si>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</si>
  <si>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</si>
  <si>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</si>
  <si>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</si>
  <si>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</si>
  <si>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</si>
  <si>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</si>
  <si>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</si>
  <si>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</si>
  <si>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</si>
  <si>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</si>
  <si>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</si>
  <si>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</si>
  <si>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</si>
  <si>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</si>
  <si>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</si>
  <si>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</si>
  <si>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</si>
  <si>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</si>
  <si>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</si>
  <si>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</si>
  <si>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</si>
  <si>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</si>
  <si>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</si>
  <si>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</si>
  <si>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</si>
  <si>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</si>
  <si>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</si>
  <si>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</si>
  <si>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</si>
  <si>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</si>
  <si>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</si>
  <si>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</si>
  <si>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</si>
  <si>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</si>
  <si>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</si>
  <si>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</si>
  <si>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</si>
  <si>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</si>
  <si>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</si>
  <si>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</si>
  <si>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</si>
  <si>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</si>
  <si>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</si>
  <si>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</si>
  <si>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</si>
  <si>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</si>
  <si>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</si>
  <si>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</si>
  <si>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</si>
  <si>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</si>
  <si>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</si>
  <si>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</si>
  <si>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</si>
  <si>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</si>
  <si>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</si>
  <si>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</si>
  <si>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</si>
  <si>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</si>
  <si>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</si>
  <si>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</si>
  <si>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</si>
  <si>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</si>
  <si>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</si>
  <si>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</si>
  <si>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</si>
  <si>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</si>
  <si>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</si>
  <si>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</si>
  <si>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</si>
  <si>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</si>
  <si>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</si>
  <si>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</si>
  <si>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</si>
  <si>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</si>
  <si>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</si>
  <si>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</si>
  <si>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</si>
  <si>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</si>
  <si>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</si>
  <si>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</si>
  <si>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</si>
  <si>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</si>
  <si>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</si>
  <si>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</si>
  <si>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</si>
  <si>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</si>
  <si>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</si>
  <si>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</si>
  <si>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</si>
  <si>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</si>
  <si>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</si>
  <si>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</si>
  <si>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</si>
  <si>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</si>
  <si>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</si>
  <si>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</si>
  <si>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</si>
  <si>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</si>
  <si>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</si>
  <si>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</si>
  <si>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</si>
  <si>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</si>
  <si>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</si>
  <si>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</si>
  <si>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</si>
  <si>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</si>
  <si>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</si>
  <si>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</si>
  <si>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</si>
  <si>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</si>
  <si>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</si>
  <si>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</si>
  <si>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</si>
  <si>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</si>
  <si>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</si>
  <si>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</si>
  <si>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</si>
  <si>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</si>
  <si>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</si>
  <si>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</si>
  <si>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</si>
  <si>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</si>
  <si>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</si>
  <si>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</si>
  <si>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</si>
  <si>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</si>
  <si>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</si>
  <si>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</si>
  <si>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</si>
  <si>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</si>
  <si>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</si>
  <si>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</si>
  <si>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</si>
  <si>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</si>
  <si>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</si>
  <si>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</si>
  <si>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</si>
  <si>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</si>
  <si>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</si>
  <si>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</si>
  <si>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</si>
  <si>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</si>
  <si>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</si>
  <si>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</si>
  <si>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</si>
  <si>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</si>
  <si>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</si>
  <si>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</si>
  <si>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</si>
  <si>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</si>
  <si>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</si>
  <si>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</si>
  <si>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</si>
  <si>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</si>
  <si>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</si>
  <si>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</si>
  <si>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</si>
  <si>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</si>
  <si>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</si>
  <si>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</si>
  <si>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</si>
  <si>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</si>
  <si>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</si>
  <si>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</si>
  <si>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</si>
  <si>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</si>
  <si>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</si>
  <si>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</si>
  <si>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</si>
  <si>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</si>
  <si>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</si>
  <si>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</si>
  <si>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</si>
  <si>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</si>
  <si>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</si>
  <si>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</si>
  <si>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</si>
  <si>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</si>
  <si>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</si>
  <si>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</si>
  <si>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</si>
  <si>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</si>
  <si>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</si>
  <si>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</si>
  <si>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</si>
  <si>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</si>
  <si>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</si>
  <si>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</si>
  <si>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</si>
  <si>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</si>
  <si>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</si>
  <si>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</si>
  <si>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</si>
  <si>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</si>
  <si>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</si>
  <si>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</si>
  <si>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</si>
  <si>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</si>
  <si>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</si>
  <si>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</si>
  <si>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</si>
  <si>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</si>
  <si>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</si>
  <si>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</si>
  <si>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</si>
  <si>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</si>
  <si>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</si>
  <si>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</si>
  <si>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</si>
  <si>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</si>
  <si>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</si>
  <si>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</si>
  <si>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</si>
  <si>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</si>
  <si>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</si>
  <si>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</si>
  <si>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</si>
  <si>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</si>
  <si>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</si>
  <si>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</si>
  <si>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</si>
  <si>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</si>
  <si>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</si>
  <si>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</si>
  <si>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</si>
  <si>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</si>
  <si>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</si>
  <si>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</si>
  <si>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</si>
  <si>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</si>
  <si>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</si>
  <si>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</si>
  <si>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</si>
  <si>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</si>
  <si>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</si>
  <si>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</si>
  <si>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</si>
  <si>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</si>
  <si>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</si>
  <si>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</si>
  <si>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</si>
  <si>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</si>
  <si>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</si>
  <si>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</si>
  <si>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</si>
  <si>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</si>
  <si>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</si>
  <si>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</si>
  <si>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</si>
  <si>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</si>
  <si>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</si>
  <si>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</si>
  <si>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</si>
  <si>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</si>
  <si>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</si>
  <si>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</si>
  <si>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</si>
  <si>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</si>
  <si>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</si>
  <si>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</si>
  <si>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</si>
  <si>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</si>
  <si>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</si>
  <si>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</si>
  <si>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</si>
  <si>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</si>
  <si>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</si>
  <si>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</si>
  <si>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</si>
  <si>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</si>
  <si>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</si>
  <si>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</si>
  <si>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</si>
  <si>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</si>
  <si>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</si>
  <si>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</si>
  <si>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</si>
  <si>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</si>
  <si>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</si>
  <si>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</si>
  <si>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</si>
  <si>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</si>
  <si>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</si>
  <si>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</si>
  <si>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</si>
  <si>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</si>
  <si>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</si>
  <si>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</si>
  <si>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</si>
  <si>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</si>
  <si>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</si>
  <si>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</si>
  <si>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</si>
  <si>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</si>
  <si>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</si>
  <si>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</si>
  <si>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</si>
  <si>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</si>
  <si>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</si>
  <si>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</si>
  <si>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</si>
  <si>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</si>
  <si>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</si>
  <si>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</si>
  <si>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</si>
  <si>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</si>
  <si>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</si>
  <si>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</si>
  <si>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</si>
  <si>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</si>
  <si>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</si>
  <si>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</si>
  <si>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</si>
  <si>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</si>
  <si>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</si>
  <si>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</si>
  <si>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</si>
  <si>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</si>
  <si>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</si>
  <si>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</si>
  <si>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</si>
  <si>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</si>
  <si>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</si>
  <si>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</si>
  <si>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</si>
  <si>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</si>
  <si>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</si>
  <si>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</si>
  <si>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</si>
  <si>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</si>
  <si>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</si>
  <si>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</si>
  <si>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</si>
  <si>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</si>
  <si>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</si>
  <si>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</si>
  <si>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</si>
  <si>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</si>
  <si>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</si>
  <si>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</si>
  <si>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</si>
  <si>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</si>
  <si>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</si>
  <si>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</si>
  <si>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</si>
  <si>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</si>
  <si>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</si>
  <si>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</si>
  <si>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</si>
  <si>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</si>
  <si>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</si>
  <si>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</si>
  <si>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</si>
  <si>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</si>
  <si>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</si>
  <si>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</si>
  <si>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</si>
  <si>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</si>
  <si>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</si>
  <si>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</si>
  <si>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</si>
  <si>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</si>
  <si>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</si>
  <si>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</si>
  <si>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</si>
  <si>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</si>
  <si>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</si>
  <si>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</si>
  <si>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</si>
  <si>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</si>
  <si>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</si>
  <si>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</si>
  <si>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</si>
  <si>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</si>
  <si>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</si>
  <si>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</si>
  <si>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</si>
  <si>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</si>
  <si>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</si>
  <si>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</si>
  <si>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</si>
  <si>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</si>
  <si>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</si>
  <si>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</si>
  <si>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</si>
  <si>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</si>
  <si>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</si>
  <si>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</si>
  <si>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</si>
  <si>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</si>
  <si>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</si>
  <si>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</si>
  <si>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</si>
  <si>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</si>
  <si>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</si>
  <si>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</si>
  <si>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</si>
  <si>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</si>
  <si>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</si>
  <si>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</si>
  <si>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</si>
  <si>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</si>
  <si>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</si>
  <si>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</si>
  <si>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</si>
  <si>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</si>
  <si>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</si>
  <si>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</si>
  <si>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</si>
  <si>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</si>
  <si>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</si>
  <si>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</si>
  <si>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</si>
  <si>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</si>
  <si>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</si>
  <si>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</si>
  <si>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</si>
  <si>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</si>
  <si>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</si>
  <si>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</si>
  <si>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</si>
  <si>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</si>
  <si>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</si>
  <si>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</si>
  <si>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</si>
  <si>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</si>
  <si>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</si>
  <si>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</si>
  <si>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</si>
  <si>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</si>
  <si>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</si>
  <si>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</si>
  <si>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</si>
  <si>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</si>
  <si>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</si>
  <si>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</si>
  <si>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</si>
  <si>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</si>
  <si>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</si>
  <si>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</si>
  <si>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</si>
  <si>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</si>
  <si>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</si>
  <si>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</si>
  <si>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</si>
  <si>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</si>
  <si>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</si>
  <si>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</si>
  <si>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</si>
  <si>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</si>
  <si>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</si>
  <si>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</si>
  <si>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</si>
  <si>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</si>
  <si>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</si>
  <si>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</si>
  <si>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</si>
  <si>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</si>
  <si>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</si>
  <si>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</si>
  <si>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</si>
  <si>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</si>
  <si>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</si>
  <si>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</si>
  <si>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</si>
  <si>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</si>
  <si>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</si>
  <si>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</si>
  <si>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</si>
  <si>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</si>
  <si>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</si>
  <si>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</si>
  <si>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</si>
  <si>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</si>
  <si>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</si>
  <si>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</si>
  <si>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</si>
  <si>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</si>
  <si>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</si>
  <si>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</si>
  <si>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</si>
  <si>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</si>
  <si>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</si>
  <si>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</si>
  <si>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</si>
  <si>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</si>
  <si>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</si>
  <si>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</si>
  <si>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</si>
  <si>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</si>
  <si>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</si>
  <si>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</si>
  <si>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</si>
  <si>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</si>
  <si>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</si>
  <si>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</si>
  <si>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</si>
  <si>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</si>
  <si>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</si>
  <si>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</si>
  <si>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</si>
  <si>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</si>
  <si>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</si>
  <si>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</si>
  <si>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</si>
  <si>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</si>
  <si>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</si>
  <si>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</si>
  <si>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</si>
  <si>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</si>
  <si>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</si>
  <si>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</si>
  <si>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</si>
  <si>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</si>
  <si>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</si>
  <si>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</si>
  <si>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</si>
  <si>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</si>
  <si>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</si>
  <si>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</si>
  <si>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</si>
  <si>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</si>
  <si>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</si>
  <si>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</si>
  <si>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</si>
  <si>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</si>
  <si>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</si>
  <si>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</si>
  <si>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</si>
  <si>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</si>
  <si>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</si>
  <si>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</si>
  <si>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</si>
  <si>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</si>
  <si>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</si>
  <si>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</si>
  <si>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</si>
  <si>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</si>
  <si>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</si>
  <si>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</si>
  <si>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</si>
  <si>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</si>
  <si>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</si>
  <si>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</si>
  <si>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</si>
  <si>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</si>
  <si>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</si>
  <si>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</si>
  <si>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</si>
  <si>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</si>
  <si>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</si>
  <si>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</si>
  <si>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</si>
  <si>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</si>
  <si>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</si>
  <si>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</si>
  <si>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</si>
  <si>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</si>
  <si>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</si>
  <si>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</si>
  <si>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</si>
  <si>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</si>
  <si>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</si>
  <si>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</si>
  <si>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</si>
  <si>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</si>
  <si>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</si>
  <si>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</si>
  <si>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</si>
  <si>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</si>
  <si>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</si>
  <si>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</si>
  <si>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</si>
  <si>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</si>
  <si>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</si>
  <si>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</si>
  <si>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</si>
  <si>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</si>
  <si>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</si>
  <si>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</si>
  <si>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</si>
  <si>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</si>
  <si>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</si>
  <si>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</si>
  <si>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</si>
  <si>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</si>
  <si>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</si>
  <si>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</si>
  <si>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</si>
  <si>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</si>
  <si>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</si>
  <si>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</si>
  <si>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</si>
  <si>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</si>
  <si>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</si>
  <si>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</si>
  <si>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</si>
  <si>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</si>
  <si>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</si>
  <si>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</si>
  <si>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</si>
  <si>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</si>
  <si>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</si>
  <si>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</si>
  <si>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</si>
  <si>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</si>
  <si>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</si>
  <si>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</si>
  <si>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</si>
  <si>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</si>
  <si>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</si>
  <si>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</si>
  <si>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</si>
  <si>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</si>
  <si>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</si>
  <si>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</si>
  <si>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</si>
  <si>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</si>
  <si>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</si>
  <si>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</si>
  <si>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</si>
  <si>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</si>
  <si>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</si>
  <si>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</si>
  <si>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</si>
  <si>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</si>
  <si>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</si>
  <si>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</si>
  <si>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</si>
  <si>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</si>
  <si>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</si>
  <si>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</si>
  <si>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</si>
  <si>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</si>
  <si>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</si>
  <si>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</si>
  <si>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</si>
  <si>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</si>
  <si>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</si>
  <si>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</si>
  <si>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</si>
  <si>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</si>
  <si>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</si>
  <si>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</si>
  <si>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</si>
  <si>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</si>
  <si>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</si>
  <si>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</si>
  <si>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</si>
  <si>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</si>
  <si>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</si>
  <si>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</si>
  <si>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</si>
  <si>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</si>
  <si>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</si>
  <si>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</si>
  <si>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</si>
  <si>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</si>
  <si>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</si>
  <si>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</si>
  <si>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</si>
  <si>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</si>
  <si>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</si>
  <si>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</si>
  <si>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</si>
  <si>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</si>
  <si>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</si>
  <si>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</si>
  <si>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</si>
  <si>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</si>
  <si>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</si>
  <si>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</si>
  <si>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</si>
  <si>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</si>
  <si>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</si>
  <si>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</si>
  <si>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</si>
  <si>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</si>
  <si>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</si>
  <si>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</si>
  <si>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</si>
  <si>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</si>
  <si>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</si>
  <si>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</si>
  <si>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</si>
  <si>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</si>
  <si>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</si>
  <si>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</si>
  <si>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</si>
  <si>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</si>
  <si>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</si>
  <si>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</si>
  <si>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</si>
  <si>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</si>
  <si>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</si>
  <si>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</si>
  <si>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</si>
  <si>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</si>
  <si>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</si>
  <si>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</si>
  <si>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</si>
  <si>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</si>
  <si>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</si>
  <si>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</si>
  <si>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</si>
  <si>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</si>
  <si>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</si>
  <si>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</si>
  <si>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</si>
  <si>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</si>
  <si>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</si>
  <si>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</si>
  <si>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</si>
  <si>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</si>
  <si>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</si>
  <si>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</si>
  <si>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</si>
  <si>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</si>
  <si>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</si>
  <si>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</si>
  <si>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</si>
  <si>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</si>
  <si>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</si>
  <si>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</si>
  <si>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</si>
  <si>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</si>
  <si>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</si>
  <si>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</si>
  <si>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</si>
  <si>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</si>
  <si>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</si>
  <si>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</si>
  <si>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</si>
  <si>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</si>
  <si>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</si>
  <si>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</si>
  <si>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</si>
  <si>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</si>
  <si>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</si>
  <si>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</si>
  <si>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</si>
  <si>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</si>
  <si>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</si>
  <si>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</si>
  <si>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</si>
  <si>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</si>
  <si>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</si>
  <si>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</si>
  <si>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</si>
  <si>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</si>
  <si>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</si>
  <si>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</si>
  <si>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</si>
  <si>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</si>
  <si>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</si>
  <si>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</si>
  <si>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</si>
  <si>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</si>
  <si>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</si>
  <si>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</si>
  <si>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</si>
  <si>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</si>
  <si>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</si>
  <si>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</si>
  <si>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</si>
  <si>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</si>
  <si>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</si>
  <si>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</si>
  <si>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</si>
  <si>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</si>
  <si>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</si>
  <si>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</si>
  <si>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</si>
  <si>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</si>
  <si>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</si>
  <si>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</si>
  <si>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</si>
  <si>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</si>
  <si>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</si>
  <si>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</si>
  <si>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</si>
  <si>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</si>
  <si>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</si>
  <si>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</si>
  <si>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</si>
  <si>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</si>
  <si>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</si>
  <si>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</si>
  <si>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</si>
  <si>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</si>
  <si>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</si>
  <si>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</si>
  <si>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</si>
  <si>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</si>
  <si>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</si>
  <si>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</si>
  <si>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</si>
  <si>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</si>
  <si>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</si>
  <si>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</si>
  <si>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</si>
  <si>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</si>
  <si>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</si>
  <si>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</si>
  <si>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</si>
  <si>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</si>
  <si>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</si>
  <si>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</si>
  <si>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</si>
  <si>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</si>
  <si>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</si>
  <si>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</si>
  <si>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</si>
  <si>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</si>
  <si>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</si>
  <si>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</si>
  <si>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</si>
  <si>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</si>
  <si>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</si>
  <si>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</si>
  <si>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</si>
  <si>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</si>
  <si>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</si>
  <si>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</si>
  <si>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</si>
  <si>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</si>
  <si>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</si>
  <si>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</si>
  <si>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</si>
  <si>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</si>
  <si>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</si>
  <si>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</si>
  <si>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</si>
  <si>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</si>
  <si>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</si>
  <si>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</si>
  <si>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</si>
  <si>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</si>
  <si>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</si>
  <si>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</si>
  <si>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</si>
  <si>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</si>
  <si>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</si>
  <si>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</si>
  <si>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</si>
  <si>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</si>
  <si>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</si>
  <si>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</si>
  <si>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</si>
  <si>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</si>
  <si>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</si>
  <si>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</si>
  <si>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</si>
  <si>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</si>
  <si>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</si>
  <si>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</si>
  <si>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</si>
  <si>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</si>
  <si>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</si>
  <si>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</si>
  <si>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</si>
  <si>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</si>
  <si>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</si>
  <si>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</si>
  <si>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</si>
  <si>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</si>
  <si>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</si>
  <si>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</si>
  <si>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</si>
  <si>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</si>
  <si>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</si>
  <si>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</si>
  <si>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</si>
  <si>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</si>
  <si>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</si>
  <si>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</si>
  <si>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</si>
  <si>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</si>
  <si>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</si>
  <si>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</si>
  <si>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</si>
  <si>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</si>
  <si>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</si>
  <si>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</si>
  <si>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</si>
  <si>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</si>
  <si>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</si>
  <si>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</si>
  <si>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</si>
  <si>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</si>
  <si>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</si>
  <si>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</si>
  <si>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</si>
  <si>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</si>
  <si>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</si>
  <si>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</si>
  <si>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</si>
  <si>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</si>
  <si>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</si>
  <si>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</si>
  <si>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</si>
  <si>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</si>
  <si>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</si>
  <si>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</si>
  <si>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</si>
  <si>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</si>
  <si>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</si>
  <si>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</si>
  <si>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</si>
  <si>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</si>
  <si>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</si>
  <si>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</si>
  <si>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</si>
  <si>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</si>
  <si>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</si>
  <si>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</si>
  <si>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</si>
  <si>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</si>
  <si>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</si>
  <si>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</si>
  <si>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</si>
  <si>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</si>
  <si>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</si>
  <si>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</si>
  <si>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</si>
  <si>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</si>
  <si>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</si>
  <si>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</si>
  <si>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</si>
  <si>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</si>
  <si>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</si>
  <si>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</si>
  <si>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</si>
  <si>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</si>
  <si>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</si>
  <si>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</si>
  <si>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</si>
  <si>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</si>
  <si>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</si>
  <si>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</si>
  <si>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</si>
  <si>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</si>
  <si>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</si>
  <si>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</si>
  <si>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</si>
  <si>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</si>
  <si>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</si>
  <si>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</si>
  <si>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</si>
  <si>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</si>
  <si>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</si>
  <si>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</si>
  <si>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</si>
  <si>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</si>
  <si>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</si>
  <si>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</si>
  <si>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</si>
  <si>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</si>
  <si>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</si>
  <si>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</si>
  <si>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</si>
  <si>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</si>
  <si>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</si>
  <si>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</si>
  <si>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</si>
  <si>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</si>
  <si>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</si>
  <si>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</si>
  <si>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</si>
  <si>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</si>
  <si>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</si>
  <si>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</si>
  <si>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</si>
  <si>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</si>
  <si>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</si>
  <si>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</si>
  <si>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</si>
  <si>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</si>
  <si>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</si>
  <si>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</si>
  <si>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</si>
  <si>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</si>
  <si>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</si>
  <si>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</si>
  <si>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</si>
  <si>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</si>
  <si>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</si>
  <si>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</si>
  <si>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</si>
  <si>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</si>
  <si>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</si>
  <si>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</si>
  <si>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</si>
  <si>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</si>
  <si>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</si>
  <si>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</si>
  <si>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</si>
  <si>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</si>
  <si>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</si>
  <si>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</si>
  <si>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</si>
  <si>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</si>
  <si>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</si>
  <si>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</si>
  <si>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</si>
  <si>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</si>
  <si>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</si>
  <si>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</si>
  <si>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</si>
  <si>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</si>
  <si>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</si>
  <si>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</si>
  <si>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</si>
  <si>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</si>
  <si>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</si>
  <si>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</si>
  <si>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</si>
  <si>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</si>
  <si>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</si>
  <si>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</si>
  <si>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</si>
  <si>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</si>
  <si>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</si>
  <si>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</si>
  <si>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</si>
  <si>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</si>
  <si>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</si>
  <si>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</si>
  <si>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</si>
  <si>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</si>
  <si>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</si>
  <si>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</si>
  <si>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</si>
  <si>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</si>
  <si>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</si>
  <si>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</si>
  <si>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</si>
  <si>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</si>
  <si>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</si>
  <si>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</si>
  <si>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</si>
  <si>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</si>
  <si>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</si>
  <si>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</si>
  <si>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</si>
  <si>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</si>
  <si>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</si>
  <si>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</si>
  <si>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</si>
  <si>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</si>
  <si>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</si>
  <si>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</si>
  <si>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</si>
  <si>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</si>
  <si>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</si>
  <si>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</si>
  <si>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</si>
  <si>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</si>
  <si>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</si>
  <si>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</si>
  <si>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</si>
  <si>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</si>
  <si>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</si>
  <si>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</si>
  <si>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</si>
  <si>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</si>
  <si>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</si>
  <si>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</si>
  <si>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</si>
  <si>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</si>
  <si>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</si>
  <si>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</si>
  <si>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</si>
  <si>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</si>
  <si>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</si>
  <si>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</si>
  <si>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</si>
  <si>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</si>
  <si>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</si>
  <si>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</si>
  <si>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</si>
  <si>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</si>
  <si>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</si>
  <si>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</si>
  <si>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</si>
  <si>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</si>
  <si>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</si>
  <si>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</si>
  <si>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</si>
  <si>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</si>
  <si>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</si>
  <si>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</si>
  <si>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</si>
  <si>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</si>
  <si>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</si>
  <si>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</si>
  <si>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</si>
  <si>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</si>
  <si>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</si>
  <si>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</si>
  <si>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</si>
  <si>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</si>
  <si>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</si>
  <si>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</si>
  <si>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</si>
  <si>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</si>
  <si>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</si>
  <si>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</si>
  <si>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</si>
  <si>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</si>
  <si>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</si>
  <si>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</si>
  <si>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</si>
  <si>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</si>
  <si>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</si>
  <si>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</si>
  <si>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</si>
  <si>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</si>
  <si>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</si>
  <si>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</si>
  <si>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</si>
  <si>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</si>
  <si>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</si>
  <si>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</si>
  <si>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</si>
  <si>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</si>
  <si>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</si>
  <si>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</si>
  <si>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</si>
  <si>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</si>
  <si>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</si>
  <si>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</si>
  <si>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</si>
  <si>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</si>
  <si>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</si>
  <si>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</si>
  <si>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</si>
  <si>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</si>
  <si>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</si>
  <si>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</si>
  <si>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</si>
  <si>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</si>
  <si>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</si>
  <si>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</si>
  <si>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</si>
  <si>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</si>
  <si>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</si>
  <si>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</si>
  <si>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</si>
  <si>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</si>
  <si>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</si>
  <si>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</si>
  <si>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</si>
  <si>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</si>
  <si>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</si>
  <si>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</si>
  <si>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DESPESA JUROS 6083.46843-6 ITAU MO2-ANDREZA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</si>
  <si>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</si>
  <si>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</si>
  <si>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</si>
  <si>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diaria thiago</t>
  </si>
  <si>
    <t xml:space="preserve">serviço/metalurgico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</si>
  <si>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</si>
  <si>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</si>
  <si>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</si>
  <si>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</si>
  <si>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</si>
  <si>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</si>
  <si>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</si>
  <si>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</si>
  <si>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</si>
  <si>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</si>
  <si>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294 COMPRAS-BOLO PG NO P 23/9/26-ELLEN</t>
  </si>
  <si>
    <t xml:space="preserve">TARIIFA CONTR /RENOV CTA GARANTIDA - andreza</t>
  </si>
  <si>
    <t xml:space="preserve">NF 3941 ELLEN</t>
  </si>
  <si>
    <t xml:space="preserve">COMPRAS - 13L DE AÇAI - PG NO P 22/9/26 - ELLEN</t>
  </si>
  <si>
    <t xml:space="preserve">NF 644000 ELLEN</t>
  </si>
  <si>
    <t xml:space="preserve">MENS SEG TRABALHO MO2 PARTE - andreza</t>
  </si>
  <si>
    <t xml:space="preserve">Pag de título:  Forn: 10096-H L M PADARIA E CONFEITARIA LTDA. Tit: 240873-01</t>
  </si>
  <si>
    <t xml:space="preserve">NF 33639 ELLEN</t>
  </si>
  <si>
    <t xml:space="preserve">NF 330 COMPRAS-BOLO PG NO P 24/9/26-ELLEN</t>
  </si>
  <si>
    <t xml:space="preserve">JUROS 6083.43968-4 GARANTIDAITAU 2-ANDREZA</t>
  </si>
  <si>
    <t xml:space="preserve">NF 32429 ELLEN</t>
  </si>
  <si>
    <t xml:space="preserve">NF 15388 ELLEN</t>
  </si>
  <si>
    <t xml:space="preserve">NF 1448339 ELLEN</t>
  </si>
  <si>
    <t xml:space="preserve">COMPRAS - 15L DE AÇAI- PG NO P 24/9/26-ELLEN</t>
  </si>
  <si>
    <t xml:space="preserve">NF 4694 ELLEN</t>
  </si>
  <si>
    <t xml:space="preserve">NF 1268629 ELLEN</t>
  </si>
  <si>
    <t xml:space="preserve">NF 1968927 ELLEN</t>
  </si>
  <si>
    <t xml:space="preserve">Pag de título:  Forn: 48-NEYLIANE S DE OLIVEIRA &amp; CIA LTDA. Tit: 2699-01</t>
  </si>
  <si>
    <t xml:space="preserve">Pag de título:  Forn: 10096-H L M PADARIA E CONFEITARIA LTDA. Tit: 241203-01</t>
  </si>
  <si>
    <t xml:space="preserve">NF 391 ELLEN</t>
  </si>
  <si>
    <t xml:space="preserve">BEMOL S/A - CD MANAUS</t>
  </si>
  <si>
    <t xml:space="preserve">DESPESA INFORM COMPRA IMPRESSORA PARC 01/10 </t>
  </si>
  <si>
    <t xml:space="preserve">OUTROS -  COMPRAS NA BEMOL RATEIO DROG E MO2 IMPR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</si>
  <si>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</si>
  <si>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</si>
  <si>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</si>
  <si>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</si>
  <si>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CARTAO DE CREDITO - ANUIDADE</t>
  </si>
  <si>
    <t xml:space="preserve">PL NEILA CARAO ITAU 2 3614 ANUIDADE CARTAO </t>
  </si>
  <si>
    <t xml:space="preserve">FEIRA - PG P C6BANK-RENATO - ELLEN</t>
  </si>
  <si>
    <t xml:space="preserve">PL NEILA PG OUTROD SEGURO CARRO 06/06</t>
  </si>
  <si>
    <t xml:space="preserve">PL NEILA CARAO ITAU 2 3614</t>
  </si>
  <si>
    <t xml:space="preserve">PL NEILA CARAO ITAU 2 3614 - CALUDE </t>
  </si>
  <si>
    <t xml:space="preserve">PL NEILA CARAO ITAU 2 3614 - CLAUDE IOF TRANS INTERNI</t>
  </si>
  <si>
    <t xml:space="preserve">PAG CONVENIO DROGARIA PARTE DO MO2 08/26 </t>
  </si>
  <si>
    <t xml:space="preserve">CURSO DROGARIA - CARTAO MO2 - DROGARIA MANDAR TODO MES ESSE VALOR </t>
  </si>
  <si>
    <t xml:space="preserve">NF 4086 ELLEN</t>
  </si>
  <si>
    <t xml:space="preserve">recibo-biscoit amant./delicias da suh</t>
  </si>
  <si>
    <t xml:space="preserve">ref 5 diarias semana murilo</t>
  </si>
  <si>
    <t xml:space="preserve">adiantamento 2 dias murilo</t>
  </si>
  <si>
    <t xml:space="preserve">NF 5600 ELLEN</t>
  </si>
  <si>
    <t xml:space="preserve">NF 339 COMPRAS-BOLO PG NO P 26/9/26 - ELLEN</t>
  </si>
  <si>
    <t xml:space="preserve">NF 15408 ELLEN</t>
  </si>
  <si>
    <t xml:space="preserve">NF 15417 ELLEN</t>
  </si>
  <si>
    <t xml:space="preserve">Pag de título:  Forn: 10096-H L M PADARIA E CONFEITARIA LTDA. Tit: 243487-01</t>
  </si>
  <si>
    <t xml:space="preserve">almoço/regina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</si>
  <si>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</si>
  <si>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</si>
  <si>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</si>
  <si>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</si>
  <si>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</si>
  <si>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452 ELLEN</t>
  </si>
  <si>
    <t xml:space="preserve">NF 15422 ELLEN</t>
  </si>
  <si>
    <t xml:space="preserve">NF 1449042 ELLEN</t>
  </si>
  <si>
    <t xml:space="preserve">COMPRAS - 14L DE AÇAI - PG NO P 26/9/26 -ELLEN</t>
  </si>
  <si>
    <t xml:space="preserve">NF 1272675 ELLEN</t>
  </si>
  <si>
    <t xml:space="preserve">NF 816 ELLEN</t>
  </si>
  <si>
    <t xml:space="preserve">compra de parafuso/erismar</t>
  </si>
  <si>
    <t xml:space="preserve">despesa-compra buchas/erismar</t>
  </si>
  <si>
    <t xml:space="preserve">despesa-parafuso phs/erismar</t>
  </si>
  <si>
    <t xml:space="preserve">NF 11011 ELLEN</t>
  </si>
  <si>
    <t xml:space="preserve">FGTS RESCISORIO THIAGO </t>
  </si>
  <si>
    <t xml:space="preserve">NF 681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</si>
  <si>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</si>
  <si>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</si>
  <si>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</si>
  <si>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</si>
  <si>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</si>
  <si>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</si>
  <si>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</si>
  <si>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776 ELLEN</t>
  </si>
  <si>
    <t xml:space="preserve">NF 1733742 ELLEN</t>
  </si>
  <si>
    <t xml:space="preserve">FEIRA - PG P C6BANK/RENATO (PERA/UVA) SOMAR C NF2708-ELLEN</t>
  </si>
  <si>
    <t xml:space="preserve">NF 232190 ELLEN</t>
  </si>
  <si>
    <t xml:space="preserve">NF 349 COMPRAS-BOLO PG NO P 29/9/26 - ELLEN</t>
  </si>
  <si>
    <t xml:space="preserve">NF 3973 ELLEN</t>
  </si>
  <si>
    <t xml:space="preserve">COMPRAS - 15L DE AÇAI - PG NO P 29/9/26-ELLEN</t>
  </si>
  <si>
    <t xml:space="preserve">FEIRA - PG P C6BANK/RENATO- ELLEN</t>
  </si>
  <si>
    <t xml:space="preserve">NF 48651 ELLEN</t>
  </si>
  <si>
    <t xml:space="preserve">IMPOSTO IRPJ MO2 08/26 - KEILA</t>
  </si>
  <si>
    <t xml:space="preserve">IMPOSTO CSLL MO2 08/26 - KEILA</t>
  </si>
  <si>
    <t xml:space="preserve">Pag de título:  Forn: 48-NEYLIANE S DE OLIVEIRA &amp; CIA LTDA. Tit: 2705-01</t>
  </si>
  <si>
    <t xml:space="preserve">Pag de título:  Forn: 10096-H L M PADARIA E CONFEITARIA LTDA. Tit: 245025-01</t>
  </si>
  <si>
    <t xml:space="preserve">VT MURILO</t>
  </si>
  <si>
    <t xml:space="preserve">EXTRA E FOLGA SANDRO</t>
  </si>
  <si>
    <t xml:space="preserve">EXTRA ELILTON</t>
  </si>
  <si>
    <t xml:space="preserve">EXTRA HELIO</t>
  </si>
  <si>
    <t xml:space="preserve">SMV COMERCIO DE PRODUTOS ALIMENTICIOS LT</t>
  </si>
  <si>
    <t xml:space="preserve">NF 7287 ELLEN</t>
  </si>
  <si>
    <t xml:space="preserve">NF 1632482 ELLEN</t>
  </si>
  <si>
    <t xml:space="preserve">NF 33788 ELLEN</t>
  </si>
  <si>
    <t xml:space="preserve">ADIANTAMENTO </t>
  </si>
  <si>
    <t xml:space="preserve">NF 794 ELLEN</t>
  </si>
  <si>
    <t xml:space="preserve">NF 823 ELLEN</t>
  </si>
  <si>
    <t xml:space="preserve">recibo-compras-4 cxs brigadeiros-jose</t>
  </si>
  <si>
    <t xml:space="preserve">despesa-mat. prateleiras</t>
  </si>
  <si>
    <t xml:space="preserve">NF 1898 CT DIA 1 - PARC 2/2 - ELLEN</t>
  </si>
  <si>
    <t xml:space="preserve">NF 692 ELLEN</t>
  </si>
  <si>
    <t xml:space="preserve">NF 895938 ELLEN</t>
  </si>
  <si>
    <t xml:space="preserve">COMBUSTIVEL S10 RENATO MO2</t>
  </si>
  <si>
    <t xml:space="preserve">NF 20716 ELLEN</t>
  </si>
  <si>
    <t xml:space="preserve">COMPRAS-RECIBO-BRAGA DIST. - ELLEN</t>
  </si>
  <si>
    <t xml:space="preserve">CENTRO DO ALUMINIO INDUSTRIA E COMERCIO</t>
  </si>
  <si>
    <t xml:space="preserve">RECIBO-DESPESAS-PRATELEIRAS-CT DIA 1 - PARC1/6 ELLEN</t>
  </si>
  <si>
    <t xml:space="preserve">VT OUTUBRO</t>
  </si>
  <si>
    <t xml:space="preserve">FARAO DA ELETRICA</t>
  </si>
  <si>
    <t xml:space="preserve">RECIBO COMPRAS MATERIAL OBRA LOJA </t>
  </si>
  <si>
    <t xml:space="preserve">NF 360 COMPRAS-BOLO PG NO P 1/10/26-ELLEN</t>
  </si>
  <si>
    <t xml:space="preserve">JOEL GOMES (SERVIÇO DE REFRIGERAÇÃO DE AR)</t>
  </si>
  <si>
    <t xml:space="preserve">MANUTENCAO DE EQUIPAMENTOS</t>
  </si>
  <si>
    <t xml:space="preserve">NFSe 06 MANUTENCAO PREVENTIVA E CORRETIVA AR SALA RENATO MO2</t>
  </si>
  <si>
    <t xml:space="preserve">NF 258 DESPESAS - CT DIA 1 - PARC 8/12 - ELLEN</t>
  </si>
  <si>
    <t xml:space="preserve">NF 32550 ELLEN</t>
  </si>
  <si>
    <t xml:space="preserve">NF 545 COMPRAS-MARSHMALLOW - PG NO P 1/10/26-ELLEN</t>
  </si>
  <si>
    <t xml:space="preserve">COMPRAS - 20L DE AÇAI - PG NO P 1/10/26 - ELLEN</t>
  </si>
  <si>
    <t xml:space="preserve">NF 4761 ELLEN</t>
  </si>
  <si>
    <t xml:space="preserve">NF 649357 ELLEN</t>
  </si>
  <si>
    <t xml:space="preserve">ANUIDADE CARTAO CREDITO SANT 7596</t>
  </si>
  <si>
    <t xml:space="preserve">NF 4140 ELLEN</t>
  </si>
  <si>
    <t xml:space="preserve">Pag de título:  Forn: 10096-H L M PADARIA E CONFEITARIA LTDA. Tit: 246099-01</t>
  </si>
  <si>
    <t xml:space="preserve">Pag de título:  Forn: 1783-LOURIVAL ALMEIDA DA SILVA 17128784845. Tit: 246012-01</t>
  </si>
  <si>
    <t xml:space="preserve">Pag de título:  Forn: 48-NEYLIANE S DE OLIVEIRA &amp; CIA LTDA. Tit: 2716-01</t>
  </si>
  <si>
    <t xml:space="preserve">recibo-despesa-compra joelho/erismar</t>
  </si>
  <si>
    <t xml:space="preserve">recibo-despesa-compra cano/erismar</t>
  </si>
  <si>
    <t xml:space="preserve">NF 1295018 ELLEN</t>
  </si>
  <si>
    <t xml:space="preserve">NF 1294293 ELLEN</t>
  </si>
  <si>
    <t xml:space="preserve">NF 2047847 ELLEN</t>
  </si>
  <si>
    <t xml:space="preserve">NF 1736722 ELLEN</t>
  </si>
  <si>
    <t xml:space="preserve">NF 1736096 ELLEN</t>
  </si>
  <si>
    <t xml:space="preserve">FEIRA - PG P C6BANK/RENATO (ALHO/MACA)SOMAR C NF2717- ELLEN</t>
  </si>
  <si>
    <t xml:space="preserve">NF 321762 ELLEN</t>
  </si>
  <si>
    <t xml:space="preserve">NF 6165 ELLEN</t>
  </si>
  <si>
    <t xml:space="preserve">IOF 6083.46843-6/ C/C</t>
  </si>
  <si>
    <t xml:space="preserve">IOF 6083.43968-4/ C/C </t>
  </si>
  <si>
    <t xml:space="preserve">IOF ITAU </t>
  </si>
  <si>
    <t xml:space="preserve">NF 404714 ELLEN</t>
  </si>
  <si>
    <t xml:space="preserve">FEIRA - PG P C6BANK/RENATO - ELLEN</t>
  </si>
  <si>
    <t xml:space="preserve">NF 4426 ELLEN</t>
  </si>
  <si>
    <t xml:space="preserve">RECARGA CELULAR E CHIP</t>
  </si>
  <si>
    <t xml:space="preserve">adiantamento de extra helio</t>
  </si>
  <si>
    <t xml:space="preserve">gasolina-elismar</t>
  </si>
  <si>
    <t xml:space="preserve">NF 176831 ELLEN</t>
  </si>
  <si>
    <t xml:space="preserve">NF 372 COMPRAS-BOLO PG NO P 3/10/26-ELLEN</t>
  </si>
  <si>
    <t xml:space="preserve">NF 1452168 ELLEN</t>
  </si>
  <si>
    <t xml:space="preserve">NF 15464 ELLEN</t>
  </si>
  <si>
    <t xml:space="preserve">Pag de título:  Forn: 10096-H L M PADARIA E CONFEITARIA LTDA. Tit: 249183-01</t>
  </si>
  <si>
    <t xml:space="preserve">refeições funcionarios/rejane</t>
  </si>
  <si>
    <t xml:space="preserve">NF 165649 ELLEN</t>
  </si>
  <si>
    <t xml:space="preserve">NF 1930761 ELLEN</t>
  </si>
  <si>
    <t xml:space="preserve">NF 1936305 ELLEN</t>
  </si>
  <si>
    <t xml:space="preserve">DESPESA MO2 COM ELETRICISTAS (COMPRAS DO CHARLES) 09/26</t>
  </si>
  <si>
    <t xml:space="preserve">NF 458 ELLEN</t>
  </si>
  <si>
    <t xml:space="preserve">COMPRAS-FARINHA 3 IRMAOS-ELLEN</t>
  </si>
  <si>
    <t xml:space="preserve">COMPRAS - 20L DE AÇAI - PG NO P 3/10/26-ELLEN</t>
  </si>
  <si>
    <t xml:space="preserve">COMPRAS-PACOVA-PG P CNPJ:67144863/0001-03-ELLEN</t>
  </si>
  <si>
    <t xml:space="preserve">OUTROS COMPRAS CONVENIO MO2 09/26 NEYLIANE SILVA</t>
  </si>
  <si>
    <t xml:space="preserve">NF 11681 ELLEN</t>
  </si>
  <si>
    <t xml:space="preserve">SALARIO 09/26</t>
  </si>
  <si>
    <t xml:space="preserve">OUTROS COMPRAS CONVENIO MO2 09/26  RENATO OLIVEI</t>
  </si>
  <si>
    <t xml:space="preserve">NF 4169 ELLEN</t>
  </si>
  <si>
    <t xml:space="preserve">NF 575307 ELLEN</t>
  </si>
  <si>
    <t xml:space="preserve">NF 696 ELLEN</t>
  </si>
  <si>
    <t xml:space="preserve">NF 20936 COMPRAS-ENERG. RED BULL-PG P SR RENATO - ELLEN</t>
  </si>
  <si>
    <t xml:space="preserve">NF 1044095 ELLEN</t>
  </si>
  <si>
    <t xml:space="preserve">NF 38346 ELLEN</t>
  </si>
  <si>
    <t xml:space="preserve">NF 2320993 ELLEN</t>
  </si>
  <si>
    <t xml:space="preserve">NF 60655 ELLEN</t>
  </si>
  <si>
    <t xml:space="preserve">NF 15487 ELLEN</t>
  </si>
  <si>
    <t xml:space="preserve">NF 762379 ELLEN</t>
  </si>
  <si>
    <t xml:space="preserve">NF 35693 ELLEN</t>
  </si>
  <si>
    <t xml:space="preserve">NF 830 ELLEN</t>
  </si>
  <si>
    <t xml:space="preserve">NF 1634890 ELLEN</t>
  </si>
  <si>
    <t xml:space="preserve">NF 874491 ELLEN</t>
  </si>
  <si>
    <t xml:space="preserve">NF 198764 ELLEN</t>
  </si>
  <si>
    <t xml:space="preserve">NF 402 ELLEN</t>
  </si>
  <si>
    <t xml:space="preserve">CONTA AGUA MO2 - ELLEN</t>
  </si>
  <si>
    <t xml:space="preserve">NF 1301295 ELLEN</t>
  </si>
  <si>
    <t xml:space="preserve">NF 2056092 ELLEN</t>
  </si>
  <si>
    <t xml:space="preserve">NF 1274240 ELLEN</t>
  </si>
  <si>
    <t xml:space="preserve">NF 400 ELLEN</t>
  </si>
  <si>
    <t xml:space="preserve">NF 1044713 ELLEN</t>
  </si>
  <si>
    <t xml:space="preserve">NF 4046 ELLEN</t>
  </si>
  <si>
    <t xml:space="preserve">NF 2368 ELLEN</t>
  </si>
  <si>
    <t xml:space="preserve">NF 515341 ELLEN</t>
  </si>
  <si>
    <t xml:space="preserve">NF 15523 ELLEN</t>
  </si>
  <si>
    <t xml:space="preserve">NF 838 ELLEN</t>
  </si>
  <si>
    <t xml:space="preserve">NF 213686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</si>
  <si>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</si>
  <si>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</si>
  <si>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</si>
  <si>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</si>
  <si>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LOJA DO REI COMERCIO DE MATERIAL DE CONS</t>
  </si>
  <si>
    <t xml:space="preserve">NF 110228 DESPESAS-TINTAS - CT DIA 10 - PARC1/2- ELLEN</t>
  </si>
  <si>
    <t xml:space="preserve">NF 15538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</si>
  <si>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</si>
  <si>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</si>
  <si>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</si>
  <si>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</si>
  <si>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32674 ELLEN</t>
  </si>
  <si>
    <t xml:space="preserve">NF 4230 ELLEN</t>
  </si>
  <si>
    <t xml:space="preserve">NF 15466 ELLEN</t>
  </si>
  <si>
    <t xml:space="preserve">NF 1936306 ELLEN</t>
  </si>
  <si>
    <t xml:space="preserve">NF 1934563 ELLEN</t>
  </si>
  <si>
    <t xml:space="preserve">NF 1934564 ELLEN</t>
  </si>
  <si>
    <t xml:space="preserve">NF 1741887 ELLEN</t>
  </si>
  <si>
    <t xml:space="preserve">NF 762380 DESPESAS-BANDEJAS - ELLEN</t>
  </si>
  <si>
    <t xml:space="preserve">CURSO NEILA PARTE MO2 PAGAR P MO1 - KEILA</t>
  </si>
  <si>
    <t xml:space="preserve">SECRETARIA DE ESTADO DA FAZENDA DO AMAZONAS</t>
  </si>
  <si>
    <t xml:space="preserve">IMPOSTOS A PAGAR</t>
  </si>
  <si>
    <t xml:space="preserve">ICMS A PAGAR</t>
  </si>
  <si>
    <t xml:space="preserve">CTB</t>
  </si>
  <si>
    <t xml:space="preserve">ICMS S/ VENDAS</t>
  </si>
  <si>
    <t xml:space="preserve">Título originado pela GIA</t>
  </si>
  <si>
    <t xml:space="preserve">NF 2066814 ELLEN</t>
  </si>
  <si>
    <t xml:space="preserve">NF 1309311 ELLEN</t>
  </si>
  <si>
    <t xml:space="preserve">NF 1309310 ELLEN</t>
  </si>
  <si>
    <t xml:space="preserve">NF 2067069 ELLEN</t>
  </si>
  <si>
    <t xml:space="preserve">NF 1637369 ELLEN</t>
  </si>
  <si>
    <t xml:space="preserve">NF 698007 ELLEN</t>
  </si>
  <si>
    <t xml:space="preserve">NF 2828 DESPESAS-LUVAS - ELLEN</t>
  </si>
  <si>
    <t xml:space="preserve">PARC 08/10 MATR 101674 IPTU MO2 - KEILA</t>
  </si>
  <si>
    <t xml:space="preserve">NF 899623 ELLEN</t>
  </si>
  <si>
    <t xml:space="preserve">NF 2072597 ELLEN</t>
  </si>
  <si>
    <t xml:space="preserve">NF 1741445 ELLEN</t>
  </si>
  <si>
    <t xml:space="preserve">PREVIA MENSALIDADE ADVOGADO MO2 MES -  KEILA</t>
  </si>
  <si>
    <t xml:space="preserve">NF 1936307 ELLEN</t>
  </si>
  <si>
    <t xml:space="preserve">NF 324423 ELLEN</t>
  </si>
  <si>
    <t xml:space="preserve">NF 39433 ELLEN</t>
  </si>
  <si>
    <t xml:space="preserve">NF 1464424 ELLEN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</si>
  <si>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</si>
  <si>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</si>
  <si>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</si>
  <si>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3260278 - DESPESAS SAB LI/PAP HIG E PAP TOALHA-ELLEN</t>
  </si>
  <si>
    <t xml:space="preserve">NF 1975 - CT DIA 1 PAC 1/2 - ELLEN</t>
  </si>
  <si>
    <t xml:space="preserve">CUPOM FISCAL 87334-COMPRAS-CERV. AMSTEL-30 CXS-PARC1/2-ELLEN</t>
  </si>
  <si>
    <t xml:space="preserve">RECIBO-DESPESAS-PRATELEIRAS-CT DIA 1 - PARC2/6 ELLEN</t>
  </si>
  <si>
    <t xml:space="preserve">NF 292150-DESPESAS-CANALETA-CT DIA 1/AV-ELLEN</t>
  </si>
  <si>
    <t xml:space="preserve">CENTRO DO ALUMINIO INDUSTRIA E COMERCIO DE FERRAGENS, FERRAMENTAS E MADEIRAS LTD</t>
  </si>
  <si>
    <t xml:space="preserve">NF 178788-DESPESAS-PAINEL CANALETADO-CT DIA 1-PARC1/3-ELLEN</t>
  </si>
  <si>
    <t xml:space="preserve">NF 258 DESPESAS - CT DIA 1 - PARC 9/12 - ELLEN</t>
  </si>
  <si>
    <t xml:space="preserve">SALARIO 10/26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</si>
  <si>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</si>
  <si>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</si>
  <si>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</si>
  <si>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PREVIA MENSALIDADE INSTAGRAM PARTE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</si>
  <si>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</si>
  <si>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</si>
  <si>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</si>
  <si>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1975 - CT DIA 1 PAC 2/2 - ELLEN</t>
  </si>
  <si>
    <t xml:space="preserve">CUPOM FISCAL 87334-COMPRAS-CERV. AMSTEL-30 CXS-PARC2/2-ELLEN</t>
  </si>
  <si>
    <t xml:space="preserve">RECIBO-DESPESAS-PRATELEIRAS-CT DIA 1 - PARC3/6 ELLEN</t>
  </si>
  <si>
    <t xml:space="preserve">NF 178788-DESPESAS-PAINEL CANALETADO-CT DIA 1-PARC2/3-ELLEN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</si>
  <si>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</si>
  <si>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</si>
  <si>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</si>
  <si>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</si>
  <si>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</si>
  <si>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</si>
  <si>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</si>
  <si>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</si>
  <si>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</si>
  <si>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</si>
  <si>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</si>
  <si>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</si>
  <si>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</si>
  <si>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</si>
  <si>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</si>
  <si>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</si>
  <si>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</si>
  <si>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</si>
  <si>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</si>
  <si>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</si>
  <si>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</si>
  <si>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</si>
  <si>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</si>
  <si>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</si>
  <si>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</si>
  <si>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</si>
  <si>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</si>
  <si>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</si>
  <si>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</si>
  <si>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</si>
  <si>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</si>
  <si>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</si>
  <si>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</si>
  <si>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</si>
  <si>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</si>
  <si>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</si>
  <si>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</si>
  <si>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</si>
  <si>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</si>
  <si>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</si>
  <si>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</si>
  <si>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</si>
  <si>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</si>
  <si>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</si>
  <si>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</si>
  <si>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</si>
  <si>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</si>
  <si>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</si>
  <si>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</si>
  <si>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</si>
  <si>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</si>
  <si>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</si>
  <si>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</si>
  <si>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</si>
  <si>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</si>
  <si>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</si>
  <si>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</si>
  <si>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</si>
  <si>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</si>
  <si>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</si>
  <si>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</si>
  <si>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</si>
  <si>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</si>
  <si>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</si>
  <si>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</si>
  <si>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</si>
  <si>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</si>
  <si>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</si>
  <si>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</si>
  <si>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</si>
  <si>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</si>
  <si>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</si>
  <si>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</si>
  <si>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</si>
  <si>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</si>
  <si>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</si>
  <si>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</si>
  <si>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</si>
  <si>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</si>
  <si>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</si>
  <si>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</si>
  <si>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</si>
  <si>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</si>
  <si>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</si>
  <si>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</si>
  <si>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</si>
  <si>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</si>
  <si>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</si>
  <si>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</si>
  <si>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</si>
  <si>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</si>
  <si>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</si>
  <si>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</si>
  <si>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</si>
  <si>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</si>
  <si>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</si>
  <si>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</si>
  <si>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</si>
  <si>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</si>
  <si>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</si>
  <si>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</si>
  <si>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</si>
  <si>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</si>
  <si>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</si>
  <si>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</si>
  <si>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</si>
  <si>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</si>
  <si>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</si>
  <si>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</si>
  <si>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</si>
  <si>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</si>
  <si>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</si>
  <si>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</si>
  <si>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</si>
  <si>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</si>
  <si>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</si>
  <si>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</si>
  <si>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</si>
  <si>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</si>
  <si>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</si>
  <si>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</si>
  <si>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</si>
  <si>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</si>
  <si>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</si>
  <si>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</si>
  <si>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</si>
  <si>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</si>
  <si>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</si>
  <si>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</si>
  <si>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</si>
  <si>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</si>
  <si>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</si>
  <si>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</si>
  <si>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</si>
  <si>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</si>
  <si>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</si>
  <si>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</si>
  <si>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</si>
  <si>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</si>
  <si>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</si>
  <si>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</si>
  <si>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</si>
  <si>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</si>
  <si>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</si>
  <si>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</si>
  <si>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</si>
  <si>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</si>
  <si>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</si>
  <si>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</si>
  <si>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</si>
  <si>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</si>
  <si>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</si>
  <si>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</si>
  <si>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</si>
  <si>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</si>
  <si>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</si>
  <si>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</si>
  <si>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</si>
  <si>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</si>
  <si>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</si>
  <si>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</si>
  <si>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</si>
  <si>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</si>
  <si>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</si>
  <si>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</si>
  <si>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</si>
  <si>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</si>
  <si>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</si>
  <si>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</si>
  <si>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</si>
  <si>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</si>
  <si>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</si>
  <si>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</si>
  <si>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</si>
  <si>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</si>
  <si>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</si>
  <si>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</si>
  <si>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</si>
  <si>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</si>
  <si>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</si>
  <si>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</si>
  <si>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</si>
  <si>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</si>
  <si>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</si>
  <si>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</si>
  <si>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</si>
  <si>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</si>
  <si>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</si>
  <si>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</si>
  <si>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</si>
  <si>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</si>
  <si>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</si>
  <si>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</si>
  <si>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</si>
  <si>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</si>
  <si>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</si>
  <si>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</si>
  <si>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</si>
  <si>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</si>
  <si>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</si>
  <si>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</si>
  <si>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</si>
  <si>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</si>
  <si>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</si>
  <si>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</si>
  <si>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</si>
  <si>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</si>
  <si>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</si>
  <si>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</si>
  <si>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</si>
  <si>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</si>
  <si>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</si>
  <si>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</si>
  <si>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</si>
  <si>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</si>
  <si>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</si>
  <si>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</si>
  <si>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</si>
  <si>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</si>
  <si>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</si>
  <si>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</si>
  <si>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</si>
  <si>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</si>
  <si>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</si>
  <si>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</si>
  <si>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</si>
  <si>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</si>
  <si>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</si>
  <si>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</si>
  <si>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</si>
  <si>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</si>
  <si>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</si>
  <si>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</si>
  <si>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</si>
  <si>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</si>
  <si>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</si>
  <si>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</si>
  <si>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</si>
  <si>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</si>
  <si>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</si>
  <si>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</si>
  <si>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</si>
  <si>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</si>
  <si>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</si>
  <si>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</si>
  <si>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</si>
  <si>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</si>
  <si>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</si>
  <si>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</si>
  <si>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</si>
  <si>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</si>
  <si>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</si>
  <si>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</si>
  <si>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</si>
  <si>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</si>
  <si>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</si>
  <si>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</si>
  <si>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</si>
  <si>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</si>
  <si>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</si>
  <si>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</si>
  <si>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</si>
  <si>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</si>
  <si>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</si>
  <si>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</si>
  <si>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</si>
  <si>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</si>
  <si>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</si>
  <si>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</si>
  <si>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</si>
  <si>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</si>
  <si>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</si>
  <si>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</si>
  <si>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</si>
  <si>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</si>
  <si>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</si>
  <si>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</si>
  <si>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</si>
  <si>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</si>
  <si>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</si>
  <si>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</si>
  <si>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</si>
  <si>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</si>
  <si>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</si>
  <si>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</si>
  <si>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</si>
  <si>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</si>
  <si>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</si>
  <si>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</si>
  <si>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</si>
  <si>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</si>
  <si>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</si>
  <si>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</si>
  <si>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</si>
  <si>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</si>
  <si>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</si>
  <si>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</si>
  <si>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</si>
  <si>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</si>
  <si>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</si>
  <si>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</si>
  <si>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</si>
  <si>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</si>
  <si>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</si>
  <si>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</si>
  <si>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</si>
  <si>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</si>
  <si>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</si>
  <si>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</si>
  <si>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</si>
  <si>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</si>
  <si>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</si>
  <si>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</si>
  <si>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</si>
  <si>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</si>
  <si>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</si>
  <si>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</si>
  <si>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</si>
  <si>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</si>
  <si>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</si>
  <si>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</si>
  <si>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</si>
  <si>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</si>
  <si>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</si>
  <si>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</si>
  <si>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</si>
  <si>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</si>
  <si>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</si>
  <si>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</si>
  <si>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</si>
  <si>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</si>
  <si>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</si>
  <si>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</si>
  <si>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</si>
  <si>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</si>
  <si>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</si>
  <si>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</si>
  <si>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</si>
  <si>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</si>
  <si>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</si>
  <si>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</si>
  <si>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</si>
  <si>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</si>
  <si>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</si>
  <si>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</si>
  <si>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</si>
  <si>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</si>
  <si>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</si>
  <si>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05022353005337</t>
  </si>
  <si>
    <t xml:space="preserve">RV TECNOLOGIA E SISTEMAS S.A. - MA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</si>
  <si>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</si>
  <si>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</si>
  <si>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</si>
  <si>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</si>
  <si>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</si>
  <si>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</si>
  <si>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</si>
  <si>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</si>
  <si>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</si>
  <si>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33906812000400</t>
  </si>
  <si>
    <t xml:space="preserve">32267136000159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</si>
  <si>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</si>
  <si>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</si>
  <si>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</si>
  <si>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</si>
  <si>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</si>
  <si>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</si>
  <si>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</si>
  <si>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</si>
  <si>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</si>
  <si>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</si>
  <si>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</si>
  <si>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</si>
  <si>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</si>
  <si>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</si>
  <si>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</si>
  <si>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</si>
  <si>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</si>
  <si>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</si>
  <si>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</si>
  <si>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</si>
  <si>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</si>
  <si>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</si>
  <si>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</si>
  <si>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</si>
  <si>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</si>
  <si>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</si>
  <si>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</si>
  <si>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</si>
  <si>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</si>
  <si>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</si>
  <si>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</si>
  <si>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</si>
  <si>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</si>
  <si>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</si>
  <si>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</si>
  <si>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</si>
  <si>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</si>
  <si>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</si>
  <si>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</si>
  <si>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</si>
  <si>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</si>
  <si>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</si>
  <si>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</si>
  <si>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</si>
  <si>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</si>
  <si>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</si>
  <si>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</si>
  <si>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</si>
  <si>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</si>
  <si>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</si>
  <si>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</si>
  <si>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</si>
  <si>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</si>
  <si>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</si>
  <si>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</si>
  <si>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</si>
  <si>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</si>
  <si>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</si>
  <si>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</si>
  <si>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</si>
  <si>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</si>
  <si>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</si>
  <si>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</si>
  <si>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</si>
  <si>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</si>
  <si>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</si>
  <si>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</si>
  <si>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</si>
  <si>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</si>
  <si>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</si>
  <si>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</si>
  <si>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</si>
  <si>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</si>
  <si>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</si>
  <si>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</si>
  <si>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</si>
  <si>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</si>
  <si>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</si>
  <si>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</si>
  <si>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</si>
  <si>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</si>
  <si>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</si>
  <si>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</si>
  <si>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</si>
  <si>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</si>
  <si>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</si>
  <si>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</si>
  <si>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</si>
  <si>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</si>
  <si>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</si>
  <si>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</si>
  <si>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</si>
  <si>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</si>
  <si>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</si>
  <si>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</si>
  <si>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</si>
  <si>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</si>
  <si>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</si>
  <si>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</si>
  <si>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</si>
  <si>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</si>
  <si>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</si>
  <si>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</si>
  <si>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</si>
  <si>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</si>
  <si>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</si>
  <si>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</si>
  <si>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</si>
  <si>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</si>
  <si>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</si>
  <si>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</si>
  <si>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</si>
  <si>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</si>
  <si>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</si>
  <si>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</si>
  <si>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</si>
  <si>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</si>
  <si>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PACOVAN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</si>
  <si>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</si>
  <si>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</si>
  <si>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</si>
  <si>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</si>
  <si>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</si>
  <si>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</si>
  <si>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</si>
  <si>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</si>
  <si>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 200ML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</si>
  <si>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</si>
  <si>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</si>
  <si>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</si>
  <si>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</si>
  <si>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</si>
  <si>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</si>
  <si>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</si>
  <si>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</si>
  <si>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</si>
  <si>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LARANJA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</si>
  <si>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</si>
  <si>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</si>
  <si>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</si>
  <si>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</si>
  <si>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</si>
  <si>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</si>
  <si>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</si>
  <si>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</si>
  <si>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</si>
  <si>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</si>
  <si>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</si>
  <si>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</si>
  <si>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</si>
  <si>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</si>
  <si>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</si>
  <si>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</si>
  <si>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</si>
  <si>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</si>
  <si>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</si>
  <si>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</si>
  <si>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</si>
  <si>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</si>
  <si>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</si>
  <si>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</si>
  <si>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</si>
  <si>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</si>
  <si>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</si>
  <si>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</si>
  <si>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</si>
  <si>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</si>
  <si>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</si>
  <si>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</si>
  <si>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</si>
  <si>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</si>
  <si>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</si>
  <si>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</si>
  <si>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</si>
  <si>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</si>
  <si>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</si>
  <si>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</si>
  <si>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</si>
  <si>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</si>
  <si>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</si>
  <si>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</si>
  <si>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</si>
  <si>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</si>
  <si>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</si>
  <si>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</si>
  <si>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</si>
  <si>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</si>
  <si>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</si>
  <si>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</si>
  <si>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</si>
  <si>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</si>
  <si>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</si>
  <si>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</si>
  <si>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</si>
  <si>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</si>
  <si>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</si>
  <si>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</si>
  <si>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</si>
  <si>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</si>
  <si>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</si>
  <si>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</si>
  <si>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</si>
  <si>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</si>
  <si>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</si>
  <si>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</si>
  <si>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</si>
  <si>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</si>
  <si>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</si>
  <si>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</si>
  <si>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</si>
  <si>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</si>
  <si>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</si>
  <si>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</si>
  <si>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</si>
  <si>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</si>
  <si>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</si>
  <si>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</si>
  <si>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</si>
  <si>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</si>
  <si>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</si>
  <si>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</si>
  <si>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</si>
  <si>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</si>
  <si>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</si>
  <si>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</si>
  <si>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</si>
  <si>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</si>
  <si>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</si>
  <si>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</si>
  <si>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</si>
  <si>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</si>
  <si>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</si>
  <si>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</si>
  <si>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</si>
  <si>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</si>
  <si>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</si>
  <si>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</si>
  <si>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</si>
  <si>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</si>
  <si>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</si>
  <si>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</si>
  <si>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</si>
  <si>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</si>
  <si>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</si>
  <si>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</si>
  <si>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</si>
  <si>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</si>
  <si>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</si>
  <si>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</si>
  <si>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</si>
  <si>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</si>
  <si>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</si>
  <si>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</si>
  <si>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</si>
  <si>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</si>
  <si>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</si>
  <si>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</si>
  <si>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</si>
  <si>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</si>
  <si>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</si>
  <si>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</si>
  <si>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</si>
  <si>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</si>
  <si>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</si>
  <si>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</si>
  <si>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</si>
  <si>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</si>
  <si>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</si>
  <si>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</si>
  <si>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</si>
  <si>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</si>
  <si>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</si>
  <si>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</si>
  <si>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</si>
  <si>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</si>
  <si>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</si>
  <si>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</si>
  <si>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</si>
  <si>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</si>
  <si>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</si>
  <si>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</si>
  <si>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</si>
  <si>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</si>
  <si>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</si>
  <si>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</si>
  <si>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</si>
  <si>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</si>
  <si>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</si>
  <si>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</si>
  <si>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</si>
  <si>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</si>
  <si>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</si>
  <si>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</si>
  <si>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</si>
  <si>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</si>
  <si>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</si>
  <si>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</si>
  <si>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</si>
  <si>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</si>
  <si>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</si>
  <si>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</si>
  <si>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</si>
  <si>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</si>
  <si>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</si>
  <si>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</si>
  <si>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</si>
  <si>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</si>
  <si>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</si>
  <si>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</si>
  <si>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</si>
  <si>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</si>
  <si>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</si>
  <si>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</si>
  <si>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</si>
  <si>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</si>
  <si>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</si>
  <si>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</si>
  <si>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</si>
  <si>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</si>
  <si>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</si>
  <si>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</si>
  <si>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</si>
  <si>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</si>
  <si>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</si>
  <si>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</si>
  <si>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</si>
  <si>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</si>
  <si>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</si>
  <si>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</si>
  <si>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</si>
  <si>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</si>
  <si>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</si>
  <si>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</si>
  <si>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</si>
  <si>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</si>
  <si>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</si>
  <si>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</si>
  <si>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</si>
  <si>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</si>
  <si>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</si>
  <si>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</si>
  <si>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</si>
  <si>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</si>
  <si>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</si>
  <si>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</si>
  <si>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</si>
  <si>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</si>
  <si>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</si>
  <si>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</si>
  <si>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</si>
  <si>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</si>
  <si>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</si>
  <si>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</si>
  <si>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</si>
  <si>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</si>
  <si>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</si>
  <si>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</si>
  <si>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</si>
  <si>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</si>
  <si>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</si>
  <si>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</si>
  <si>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</si>
  <si>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</si>
  <si>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</si>
  <si>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</si>
  <si>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</si>
  <si>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</si>
  <si>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</si>
  <si>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</si>
  <si>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</si>
  <si>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</si>
  <si>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</si>
  <si>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</si>
  <si>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</si>
  <si>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</si>
  <si>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</si>
  <si>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</si>
  <si>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</si>
  <si>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</si>
  <si>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</si>
  <si>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</si>
  <si>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</si>
  <si>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</si>
  <si>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</si>
  <si>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</si>
  <si>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</si>
  <si>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</si>
  <si>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</si>
  <si>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</si>
  <si>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</si>
  <si>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</si>
  <si>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</si>
  <si>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</si>
  <si>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</si>
  <si>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</si>
  <si>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</si>
  <si>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</si>
  <si>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</si>
  <si>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</si>
  <si>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</si>
  <si>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</si>
  <si>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</si>
  <si>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</si>
  <si>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</si>
  <si>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</si>
  <si>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</si>
  <si>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</si>
  <si>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</si>
  <si>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</si>
  <si>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</si>
  <si>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</si>
  <si>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</si>
  <si>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</si>
  <si>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</si>
  <si>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</si>
  <si>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</si>
  <si>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</si>
  <si>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</si>
  <si>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</si>
  <si>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</si>
  <si>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</si>
  <si>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</si>
  <si>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</si>
  <si>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</si>
  <si>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</si>
  <si>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</si>
  <si>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</si>
  <si>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</si>
  <si>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</si>
  <si>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</si>
  <si>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</si>
  <si>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</si>
  <si>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</si>
  <si>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</si>
  <si>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</si>
  <si>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</si>
  <si>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</si>
  <si>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</si>
  <si>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</si>
  <si>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</si>
  <si>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</si>
  <si>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</si>
  <si>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</si>
  <si>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</si>
  <si>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</si>
  <si>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</si>
  <si>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</si>
  <si>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</si>
  <si>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</si>
  <si>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</si>
  <si>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</si>
  <si>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DE SOM MD-13345 INOVA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</si>
  <si>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</si>
  <si>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</si>
  <si>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</si>
  <si>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</si>
  <si>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</si>
  <si>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</si>
  <si>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</si>
  <si>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</si>
  <si>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</si>
  <si>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</si>
  <si>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</si>
  <si>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</si>
  <si>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</si>
  <si>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</si>
  <si>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</si>
  <si>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</si>
  <si>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</si>
  <si>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</si>
  <si>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</si>
  <si>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</si>
  <si>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</si>
  <si>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</si>
  <si>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</si>
  <si>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</si>
  <si>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</si>
  <si>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</si>
  <si>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</si>
  <si>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</si>
  <si>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</si>
  <si>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</si>
  <si>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</si>
  <si>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</si>
  <si>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</si>
  <si>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</si>
  <si>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</si>
  <si>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</si>
  <si>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</si>
  <si>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</si>
  <si>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</si>
  <si>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</si>
  <si>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</si>
  <si>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</si>
  <si>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</si>
  <si>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</si>
  <si>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</si>
  <si>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</si>
  <si>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</si>
  <si>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</si>
  <si>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</si>
  <si>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</si>
  <si>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</si>
  <si>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</si>
  <si>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</si>
  <si>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</si>
  <si>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</si>
  <si>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</si>
  <si>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</si>
  <si>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</si>
  <si>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</si>
  <si>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</si>
  <si>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</si>
  <si>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</si>
  <si>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</si>
  <si>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</si>
  <si>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</si>
  <si>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</si>
  <si>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</si>
  <si>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</si>
  <si>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</si>
  <si>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</si>
  <si>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</si>
  <si>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</si>
  <si>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</si>
  <si>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</si>
  <si>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</si>
  <si>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</si>
  <si>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</si>
  <si>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</si>
  <si>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</si>
  <si>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</si>
  <si>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</si>
  <si>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</si>
  <si>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</si>
  <si>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</si>
  <si>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</si>
  <si>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</si>
  <si>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</si>
  <si>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</si>
  <si>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</si>
  <si>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</si>
  <si>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</si>
  <si>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</si>
  <si>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</si>
  <si>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</si>
  <si>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</si>
  <si>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</si>
  <si>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</si>
  <si>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</si>
  <si>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</si>
  <si>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</si>
  <si>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</si>
  <si>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</si>
  <si>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</si>
  <si>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</si>
  <si>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</si>
  <si>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</si>
  <si>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</si>
  <si>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</si>
  <si>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</si>
  <si>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</si>
  <si>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</si>
  <si>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</si>
  <si>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</si>
  <si>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</si>
  <si>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</si>
  <si>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</si>
  <si>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</si>
  <si>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</si>
  <si>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</si>
  <si>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</si>
  <si>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</si>
  <si>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</si>
  <si>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</si>
  <si>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</si>
  <si>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</si>
  <si>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</si>
  <si>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</si>
  <si>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</si>
  <si>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</si>
  <si>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</si>
  <si>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</si>
  <si>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</si>
  <si>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</si>
  <si>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</si>
  <si>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</si>
  <si>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</si>
  <si>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</si>
  <si>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</si>
  <si>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</si>
  <si>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</si>
  <si>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</si>
  <si>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</si>
  <si>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</si>
  <si>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</si>
  <si>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</si>
  <si>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</si>
  <si>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</si>
  <si>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</si>
  <si>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</si>
  <si>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</si>
  <si>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</si>
  <si>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</si>
  <si>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</si>
  <si>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</si>
  <si>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</si>
  <si>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</si>
  <si>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</si>
  <si>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</si>
  <si>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</si>
  <si>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</si>
  <si>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</si>
  <si>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</si>
  <si>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</si>
  <si>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</si>
  <si>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</si>
  <si>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</si>
  <si>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</si>
  <si>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</si>
  <si>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</si>
  <si>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</si>
  <si>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</si>
  <si>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</si>
  <si>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</si>
  <si>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</si>
  <si>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</si>
  <si>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</si>
  <si>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</si>
  <si>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</si>
  <si>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</si>
  <si>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</si>
  <si>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</si>
  <si>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</si>
  <si>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</si>
  <si>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</si>
  <si>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</si>
  <si>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</si>
  <si>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</si>
  <si>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</si>
  <si>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</si>
  <si>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</si>
  <si>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</si>
  <si>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</si>
  <si>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</si>
  <si>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</si>
  <si>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</si>
  <si>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</si>
  <si>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</si>
  <si>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</si>
  <si>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</si>
  <si>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</si>
  <si>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</si>
  <si>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</si>
  <si>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</si>
  <si>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</si>
  <si>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</si>
  <si>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</si>
  <si>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</si>
  <si>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</si>
  <si>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</si>
  <si>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</si>
  <si>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</si>
  <si>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</si>
  <si>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</si>
  <si>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</si>
  <si>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</si>
  <si>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</si>
  <si>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</si>
  <si>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</si>
  <si>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</si>
  <si>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</si>
  <si>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</si>
  <si>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</si>
  <si>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</si>
  <si>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</si>
  <si>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</si>
  <si>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</si>
  <si>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</si>
  <si>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</si>
  <si>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</si>
  <si>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</si>
  <si>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</si>
  <si>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</si>
  <si>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</si>
  <si>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</si>
  <si>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</si>
  <si>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</si>
  <si>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</si>
  <si>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</si>
  <si>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</si>
  <si>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</si>
  <si>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</si>
  <si>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</si>
  <si>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</si>
  <si>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</si>
  <si>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</si>
  <si>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</si>
  <si>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</si>
  <si>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</si>
  <si>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</si>
  <si>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</si>
  <si>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</si>
  <si>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</si>
  <si>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</si>
  <si>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</si>
  <si>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</si>
  <si>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</si>
  <si>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</si>
  <si>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</si>
  <si>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</si>
  <si>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</si>
  <si>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</si>
  <si>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</si>
  <si>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</si>
  <si>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</si>
  <si>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</si>
  <si>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</si>
  <si>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</si>
  <si>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</si>
  <si>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</si>
  <si>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NESCAU WAF CHOC 110G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</si>
  <si>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</si>
  <si>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</si>
  <si>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</si>
  <si>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</si>
  <si>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</si>
  <si>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</si>
  <si>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</si>
  <si>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</si>
  <si>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</si>
  <si>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</si>
  <si>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</si>
  <si>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</si>
  <si>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</si>
  <si>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</si>
  <si>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</si>
  <si>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</si>
  <si>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</si>
  <si>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</si>
  <si>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</si>
  <si>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</si>
  <si>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</si>
  <si>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</si>
  <si>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</si>
  <si>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</si>
  <si>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</si>
  <si>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</si>
  <si>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</si>
  <si>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</si>
  <si>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</si>
  <si>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</si>
  <si>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</si>
  <si>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</si>
  <si>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</si>
  <si>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</si>
  <si>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</si>
  <si>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</si>
  <si>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</si>
  <si>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</si>
  <si>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</si>
  <si>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</si>
  <si>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</si>
  <si>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</si>
  <si>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</si>
  <si>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</si>
  <si>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</si>
  <si>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</si>
  <si>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</si>
  <si>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</si>
  <si>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</si>
  <si>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</si>
  <si>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</si>
  <si>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</si>
  <si>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</si>
  <si>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</si>
  <si>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</si>
  <si>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</si>
  <si>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</si>
  <si>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</si>
  <si>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</si>
  <si>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</si>
  <si>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</si>
  <si>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</si>
  <si>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</si>
  <si>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</si>
  <si>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</si>
  <si>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</si>
  <si>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</si>
  <si>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</si>
  <si>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</si>
  <si>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</si>
  <si>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</si>
  <si>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</si>
  <si>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</si>
  <si>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</si>
  <si>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</si>
  <si>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</si>
  <si>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</si>
  <si>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</si>
  <si>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</si>
  <si>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</si>
  <si>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</si>
  <si>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</si>
  <si>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</si>
  <si>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</si>
  <si>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</si>
  <si>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</si>
  <si>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</si>
  <si>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</si>
  <si>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</si>
  <si>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</si>
  <si>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</si>
  <si>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</si>
  <si>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</si>
  <si>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</si>
  <si>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</si>
  <si>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</si>
  <si>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</si>
  <si>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</si>
  <si>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</si>
  <si>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</si>
  <si>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</si>
  <si>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</si>
  <si>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</si>
  <si>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</si>
  <si>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</si>
  <si>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</si>
  <si>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</si>
  <si>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</si>
  <si>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</si>
  <si>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</si>
  <si>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</si>
  <si>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</si>
  <si>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</si>
  <si>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</si>
  <si>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</si>
  <si>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</si>
  <si>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</si>
  <si>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</si>
  <si>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</si>
  <si>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</si>
  <si>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</si>
  <si>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</si>
  <si>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</si>
  <si>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</si>
  <si>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</si>
  <si>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</si>
  <si>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</si>
  <si>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</si>
  <si>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</si>
  <si>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</si>
  <si>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</si>
  <si>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</si>
  <si>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</si>
  <si>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</si>
  <si>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</si>
  <si>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</si>
  <si>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</si>
  <si>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</si>
  <si>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</si>
  <si>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</si>
  <si>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</si>
  <si>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</si>
  <si>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</si>
  <si>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</si>
  <si>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</si>
  <si>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</si>
  <si>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</si>
  <si>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</si>
  <si>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</si>
  <si>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</si>
  <si>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</si>
  <si>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</si>
  <si>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</si>
  <si>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</si>
  <si>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</si>
  <si>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</si>
  <si>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</si>
  <si>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</si>
  <si>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</si>
  <si>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</si>
  <si>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</si>
  <si>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</si>
  <si>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</si>
  <si>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</si>
  <si>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</si>
  <si>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</si>
  <si>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</si>
  <si>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</si>
  <si>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</si>
  <si>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</si>
  <si>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</si>
  <si>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</si>
  <si>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</si>
  <si>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</si>
  <si>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</si>
  <si>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</si>
  <si>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</si>
  <si>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</si>
  <si>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</si>
  <si>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</si>
  <si>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</si>
  <si>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</si>
  <si>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</si>
  <si>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</si>
  <si>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</si>
  <si>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</si>
  <si>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</si>
  <si>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</si>
  <si>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</si>
  <si>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</si>
  <si>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</si>
  <si>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</si>
  <si>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</si>
  <si>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</si>
  <si>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</si>
  <si>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</si>
  <si>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</si>
  <si>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</si>
  <si>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</si>
  <si>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</si>
  <si>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</si>
  <si>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</si>
  <si>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</si>
  <si>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</si>
  <si>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</si>
  <si>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</si>
  <si>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</si>
  <si>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</si>
  <si>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</si>
  <si>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</si>
  <si>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</si>
  <si>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</si>
  <si>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</si>
  <si>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</si>
  <si>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</si>
  <si>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</si>
  <si>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</si>
  <si>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</si>
  <si>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</si>
  <si>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</si>
  <si>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</si>
  <si>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</si>
  <si>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</si>
  <si>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</si>
  <si>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</si>
  <si>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</si>
  <si>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</si>
  <si>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</si>
  <si>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</si>
  <si>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</si>
  <si>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</si>
  <si>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</si>
  <si>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</si>
  <si>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</si>
  <si>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</si>
  <si>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</si>
  <si>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</si>
  <si>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</si>
  <si>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</si>
  <si>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</si>
  <si>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</si>
  <si>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</si>
  <si>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</si>
  <si>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</si>
  <si>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</si>
  <si>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</si>
  <si>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</si>
  <si>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</si>
  <si>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</si>
  <si>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</si>
  <si>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</si>
  <si>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</si>
  <si>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</si>
  <si>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</si>
  <si>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</si>
  <si>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</si>
  <si>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</si>
  <si>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</si>
  <si>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</si>
  <si>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</si>
  <si>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</si>
  <si>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</si>
  <si>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</si>
  <si>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</si>
  <si>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</si>
  <si>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</si>
  <si>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</si>
  <si>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</si>
  <si>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</si>
  <si>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</si>
  <si>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</si>
  <si>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</si>
  <si>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</si>
  <si>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</si>
  <si>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</si>
  <si>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</si>
  <si>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</si>
  <si>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</si>
  <si>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</si>
  <si>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</si>
  <si>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</si>
  <si>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</si>
  <si>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</si>
  <si>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</si>
  <si>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</si>
  <si>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</si>
  <si>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</si>
  <si>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</si>
  <si>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</si>
  <si>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</si>
  <si>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</si>
  <si>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</si>
  <si>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</si>
  <si>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</si>
  <si>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</si>
  <si>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</si>
  <si>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</si>
  <si>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</si>
  <si>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</si>
  <si>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</si>
  <si>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</si>
  <si>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</si>
  <si>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</si>
  <si>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</si>
  <si>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</si>
  <si>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</si>
  <si>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</si>
  <si>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</si>
  <si>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</si>
  <si>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</si>
  <si>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</si>
  <si>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</si>
  <si>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350G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</si>
  <si>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</si>
  <si>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</si>
  <si>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</si>
  <si>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</si>
  <si>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</si>
  <si>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</si>
  <si>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</si>
  <si>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</si>
  <si>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</si>
  <si>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</si>
  <si>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</si>
  <si>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</si>
  <si>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</si>
  <si>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</si>
  <si>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</si>
  <si>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</si>
  <si>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</si>
  <si>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</si>
  <si>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</si>
  <si>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</si>
  <si>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</si>
  <si>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</si>
  <si>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</si>
  <si>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</si>
  <si>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</si>
  <si>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</si>
  <si>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</si>
  <si>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</si>
  <si>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</si>
  <si>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</si>
  <si>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</si>
  <si>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</si>
  <si>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</si>
  <si>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</si>
  <si>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</si>
  <si>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</si>
  <si>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</si>
  <si>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</si>
  <si>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</si>
  <si>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</si>
  <si>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</si>
  <si>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</si>
  <si>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</si>
  <si>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</si>
  <si>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</si>
  <si>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</si>
  <si>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</si>
  <si>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</si>
  <si>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</si>
  <si>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</si>
  <si>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</si>
  <si>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</si>
  <si>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</si>
  <si>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</si>
  <si>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</si>
  <si>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</si>
  <si>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</si>
  <si>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</si>
  <si>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</si>
  <si>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</si>
  <si>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</si>
  <si>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</si>
  <si>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</si>
  <si>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</si>
  <si>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</si>
  <si>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</si>
  <si>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</si>
  <si>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</si>
  <si>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</si>
  <si>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</si>
  <si>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</si>
  <si>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</si>
  <si>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</si>
  <si>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</si>
  <si>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</si>
  <si>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</si>
  <si>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</si>
  <si>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</si>
  <si>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</si>
  <si>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</si>
  <si>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</si>
  <si>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</si>
  <si>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</si>
  <si>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</si>
  <si>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</si>
  <si>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</si>
  <si>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</si>
  <si>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</si>
  <si>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</si>
  <si>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</si>
  <si>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</si>
  <si>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</si>
  <si>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</si>
  <si>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</si>
  <si>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</si>
  <si>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</si>
  <si>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</si>
  <si>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</si>
  <si>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</si>
  <si>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</si>
  <si>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</si>
  <si>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</si>
  <si>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</si>
  <si>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</si>
  <si>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</si>
  <si>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</si>
  <si>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</si>
  <si>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</si>
  <si>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</si>
  <si>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</si>
  <si>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</si>
  <si>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</si>
  <si>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</si>
  <si>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</si>
  <si>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</si>
  <si>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</si>
  <si>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</si>
  <si>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</si>
  <si>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</si>
  <si>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</si>
  <si>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</si>
  <si>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</si>
  <si>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</si>
  <si>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</si>
  <si>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</si>
  <si>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</si>
  <si>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</si>
  <si>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</si>
  <si>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</si>
  <si>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</si>
  <si>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</si>
  <si>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</si>
  <si>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</si>
  <si>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</si>
  <si>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</si>
  <si>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</si>
  <si>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</si>
  <si>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</si>
  <si>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</si>
  <si>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</si>
  <si>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</si>
  <si>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</si>
  <si>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</si>
  <si>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</si>
  <si>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</si>
  <si>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</si>
  <si>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</si>
  <si>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</si>
  <si>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</si>
  <si>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</si>
  <si>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</si>
  <si>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</si>
  <si>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</si>
  <si>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</si>
  <si>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</si>
  <si>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</si>
  <si>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</si>
  <si>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</si>
  <si>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</si>
  <si>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</si>
  <si>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</si>
  <si>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</si>
  <si>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</si>
  <si>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</si>
  <si>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</si>
  <si>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</si>
  <si>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</si>
  <si>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</si>
  <si>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</si>
  <si>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</si>
  <si>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</si>
  <si>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</si>
  <si>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</si>
  <si>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</si>
  <si>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</si>
  <si>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</si>
  <si>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</si>
  <si>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</si>
  <si>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</si>
  <si>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</si>
  <si>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</si>
  <si>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</si>
  <si>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</si>
  <si>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</si>
  <si>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</si>
  <si>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</si>
  <si>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</si>
  <si>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</si>
  <si>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</si>
  <si>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</si>
  <si>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</si>
  <si>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</si>
  <si>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</si>
  <si>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</si>
  <si>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</si>
  <si>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</si>
  <si>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</si>
  <si>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</si>
  <si>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</si>
  <si>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</si>
  <si>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</si>
  <si>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</si>
  <si>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</si>
  <si>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</si>
  <si>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</si>
  <si>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</si>
  <si>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</si>
  <si>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</si>
  <si>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</si>
  <si>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</si>
  <si>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</si>
  <si>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</si>
  <si>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</si>
  <si>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</si>
  <si>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</si>
  <si>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</si>
  <si>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</si>
  <si>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</si>
  <si>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</si>
  <si>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</si>
  <si>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</si>
  <si>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</si>
  <si>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</si>
  <si>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</si>
  <si>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</si>
  <si>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</si>
  <si>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</si>
  <si>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</si>
  <si>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</si>
  <si>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</si>
  <si>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</si>
  <si>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</si>
  <si>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</si>
  <si>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</si>
  <si>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</si>
  <si>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</si>
  <si>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</si>
  <si>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</si>
  <si>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</si>
  <si>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</si>
  <si>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</si>
  <si>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</si>
  <si>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</si>
  <si>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</si>
  <si>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</si>
  <si>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</si>
  <si>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</si>
  <si>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</si>
  <si>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</si>
  <si>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</si>
  <si>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</si>
  <si>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</si>
  <si>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</si>
  <si>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</si>
  <si>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</si>
  <si>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</si>
  <si>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</si>
  <si>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</si>
  <si>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</si>
  <si>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</si>
  <si>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</si>
  <si>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</si>
  <si>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</si>
  <si>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</si>
  <si>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</si>
  <si>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</si>
  <si>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</si>
  <si>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</si>
  <si>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</si>
  <si>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</si>
  <si>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</si>
  <si>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</si>
  <si>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</si>
  <si>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</si>
  <si>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</si>
  <si>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</si>
  <si>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</si>
  <si>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</si>
  <si>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</si>
  <si>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</si>
  <si>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</si>
  <si>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</si>
  <si>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</si>
  <si>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</si>
  <si>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</si>
  <si>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</si>
  <si>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</si>
  <si>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</si>
  <si>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</si>
  <si>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</si>
  <si>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</si>
  <si>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</si>
  <si>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</si>
  <si>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</si>
  <si>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</si>
  <si>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</si>
  <si>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</si>
  <si>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</si>
  <si>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</si>
  <si>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</si>
  <si>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</si>
  <si>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</si>
  <si>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</si>
  <si>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</si>
  <si>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</si>
  <si>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</si>
  <si>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</si>
  <si>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</si>
  <si>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</si>
  <si>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</si>
  <si>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</si>
  <si>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</si>
  <si>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</si>
  <si>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</si>
  <si>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</si>
  <si>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</si>
  <si>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</si>
  <si>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</si>
  <si>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</si>
  <si>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</si>
  <si>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</si>
  <si>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</si>
  <si>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</si>
  <si>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</si>
  <si>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</si>
  <si>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</si>
  <si>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</si>
  <si>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</si>
  <si>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</si>
  <si>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</si>
  <si>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</si>
  <si>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</si>
  <si>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</si>
  <si>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</si>
  <si>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</si>
  <si>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</si>
  <si>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</si>
  <si>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</si>
  <si>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</si>
  <si>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</si>
  <si>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</si>
  <si>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</si>
  <si>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</si>
  <si>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</si>
  <si>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</si>
  <si>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</si>
  <si>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</si>
  <si>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</si>
  <si>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</si>
  <si>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</si>
  <si>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</si>
  <si>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</si>
  <si>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</si>
  <si>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</si>
  <si>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</si>
  <si>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</si>
  <si>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</si>
  <si>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</si>
  <si>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</si>
  <si>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</si>
  <si>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</si>
  <si>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</si>
  <si>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</si>
  <si>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</si>
  <si>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</si>
  <si>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</si>
  <si>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</si>
  <si>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</si>
  <si>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</si>
  <si>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</si>
  <si>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</si>
  <si>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</si>
  <si>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</si>
  <si>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</si>
  <si>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</si>
  <si>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</si>
  <si>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</si>
  <si>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</si>
  <si>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</si>
  <si>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</si>
  <si>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</si>
  <si>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</si>
  <si>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</si>
  <si>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</si>
  <si>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</si>
  <si>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</si>
  <si>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</si>
  <si>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</si>
  <si>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</si>
  <si>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</si>
  <si>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</si>
  <si>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</si>
  <si>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</si>
  <si>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</si>
  <si>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</si>
  <si>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</si>
  <si>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</si>
  <si>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</si>
  <si>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</si>
  <si>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</si>
  <si>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</si>
  <si>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</si>
  <si>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</si>
  <si>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</si>
  <si>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</si>
  <si>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</si>
  <si>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</si>
  <si>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</si>
  <si>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</si>
  <si>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</si>
  <si>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</si>
  <si>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</si>
  <si>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</si>
  <si>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</si>
  <si>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</si>
  <si>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</si>
  <si>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</si>
  <si>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</si>
  <si>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</si>
  <si>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</si>
  <si>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</si>
  <si>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</si>
  <si>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</si>
  <si>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</si>
  <si>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</si>
  <si>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</si>
  <si>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</si>
  <si>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</si>
  <si>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</si>
  <si>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</si>
  <si>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</si>
  <si>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</si>
  <si>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</si>
  <si>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</si>
  <si>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</si>
  <si>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</si>
  <si>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</si>
  <si>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</si>
  <si>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</si>
  <si>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</si>
  <si>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</si>
  <si>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</si>
  <si>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</si>
  <si>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</si>
  <si>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</si>
  <si>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</si>
  <si>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</si>
  <si>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</si>
  <si>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</si>
  <si>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</si>
  <si>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</si>
  <si>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</si>
  <si>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</si>
  <si>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</si>
  <si>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</si>
  <si>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</si>
  <si>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</si>
  <si>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</si>
  <si>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</si>
  <si>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</si>
  <si>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</si>
  <si>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</si>
  <si>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</si>
  <si>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</si>
  <si>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</si>
  <si>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</si>
  <si>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</si>
  <si>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</si>
  <si>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</si>
  <si>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</si>
  <si>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</si>
  <si>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</si>
  <si>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</si>
  <si>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</si>
  <si>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</si>
  <si>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</si>
  <si>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</si>
  <si>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</si>
  <si>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</si>
  <si>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</si>
  <si>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</si>
  <si>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</si>
  <si>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</si>
  <si>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</si>
  <si>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</si>
  <si>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</si>
  <si>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</si>
  <si>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</si>
  <si>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</si>
  <si>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</si>
  <si>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</si>
  <si>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</si>
  <si>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</si>
  <si>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</si>
  <si>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</si>
  <si>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</si>
  <si>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</si>
  <si>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</si>
  <si>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</si>
  <si>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</si>
  <si>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</si>
  <si>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</si>
  <si>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</si>
  <si>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</si>
  <si>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</si>
  <si>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</si>
  <si>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</si>
  <si>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</si>
  <si>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</si>
  <si>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</si>
  <si>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</si>
  <si>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</si>
  <si>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</si>
  <si>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</si>
  <si>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</si>
  <si>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</si>
  <si>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</si>
  <si>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</si>
  <si>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</si>
  <si>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</si>
  <si>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</si>
  <si>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</si>
  <si>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</si>
  <si>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</si>
  <si>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</si>
  <si>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</si>
  <si>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</si>
  <si>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</si>
  <si>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</si>
  <si>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</si>
  <si>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</si>
  <si>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</si>
  <si>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</si>
  <si>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</si>
  <si>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</si>
  <si>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</si>
  <si>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</si>
  <si>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</si>
  <si>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</si>
  <si>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</si>
  <si>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</si>
  <si>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</si>
  <si>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</si>
  <si>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</si>
  <si>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</si>
  <si>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</si>
  <si>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</si>
  <si>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</si>
  <si>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</si>
  <si>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</si>
  <si>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</si>
  <si>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</si>
  <si>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</si>
  <si>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</si>
  <si>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</si>
  <si>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</si>
  <si>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</si>
  <si>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</si>
  <si>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</si>
  <si>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</si>
  <si>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</si>
  <si>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</si>
  <si>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</si>
  <si>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</si>
  <si>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</si>
  <si>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</si>
  <si>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</si>
  <si>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</si>
  <si>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</si>
  <si>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</si>
  <si>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</si>
  <si>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</si>
  <si>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</si>
  <si>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</si>
  <si>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</si>
  <si>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</si>
  <si>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</si>
  <si>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</si>
  <si>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</si>
  <si>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</si>
  <si>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</si>
  <si>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</si>
  <si>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</si>
  <si>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</si>
  <si>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</si>
  <si>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</si>
  <si>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</si>
  <si>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</si>
  <si>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</si>
  <si>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</si>
  <si>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</si>
  <si>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</si>
  <si>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</si>
  <si>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</si>
  <si>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</si>
  <si>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</si>
  <si>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</si>
  <si>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</si>
  <si>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</si>
  <si>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</si>
  <si>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</si>
  <si>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</si>
  <si>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</si>
  <si>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</si>
  <si>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</si>
  <si>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</si>
  <si>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</si>
  <si>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</si>
  <si>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</si>
  <si>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</si>
  <si>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</si>
  <si>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</si>
  <si>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</si>
  <si>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</si>
  <si>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</si>
  <si>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</si>
  <si>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</si>
  <si>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</si>
  <si>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</si>
  <si>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</si>
  <si>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</si>
  <si>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</si>
  <si>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</si>
  <si>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</si>
  <si>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</si>
  <si>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</si>
  <si>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</si>
  <si>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</si>
  <si>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</si>
  <si>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</si>
  <si>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</si>
  <si>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</si>
  <si>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</si>
  <si>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</si>
  <si>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</si>
  <si>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</si>
  <si>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</si>
  <si>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</si>
  <si>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BODY SPLASH PINK ROCK HK 240ML</t>
  </si>
  <si>
    <t xml:space="preserve">BODY SPLASH SWEET POP 240ML</t>
  </si>
  <si>
    <t xml:space="preserve">BODY SPLASH CHERRY KISSES 240 ML</t>
  </si>
  <si>
    <t xml:space="preserve">BODY SPLASH SWEET VANILLA 240ML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</si>
  <si>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</si>
  <si>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</si>
  <si>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</si>
  <si>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</si>
  <si>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</si>
  <si>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</si>
  <si>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</si>
  <si>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</si>
  <si>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</si>
  <si>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</si>
  <si>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</si>
  <si>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</si>
  <si>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</si>
  <si>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</si>
  <si>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</si>
  <si>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</si>
  <si>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</si>
  <si>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</si>
  <si>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</si>
  <si>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</si>
  <si>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</si>
  <si>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</si>
  <si>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</si>
  <si>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</si>
  <si>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</si>
  <si>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</si>
  <si>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</si>
  <si>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</si>
  <si>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</si>
  <si>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</si>
  <si>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</si>
  <si>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</si>
  <si>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</si>
  <si>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</si>
  <si>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</si>
  <si>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</si>
  <si>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</si>
  <si>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</si>
  <si>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</si>
  <si>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ACETONA FARMAX 500ML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</si>
  <si>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</si>
  <si>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</si>
  <si>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</si>
  <si>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</si>
  <si>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</si>
  <si>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</si>
  <si>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</si>
  <si>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</si>
  <si>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</si>
  <si>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</si>
  <si>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</si>
  <si>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</si>
  <si>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</si>
  <si>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</si>
  <si>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</si>
  <si>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</si>
  <si>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</si>
  <si>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</si>
  <si>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</si>
  <si>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</si>
  <si>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</si>
  <si>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</si>
  <si>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</si>
  <si>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</si>
  <si>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</si>
  <si>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</si>
  <si>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</si>
  <si>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</si>
  <si>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</si>
  <si>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</si>
  <si>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</si>
  <si>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</si>
  <si>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</si>
  <si>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</si>
  <si>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</si>
  <si>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</si>
  <si>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</si>
  <si>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</si>
  <si>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</si>
  <si>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</si>
  <si>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</si>
  <si>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</si>
  <si>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</si>
  <si>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</si>
  <si>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</si>
  <si>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</si>
  <si>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</si>
  <si>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</si>
  <si>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</si>
  <si>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</si>
  <si>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</si>
  <si>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</si>
  <si>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</si>
  <si>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</si>
  <si>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</si>
  <si>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</si>
  <si>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</si>
  <si>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</si>
  <si>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</si>
  <si>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</si>
  <si>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</si>
  <si>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</si>
  <si>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</si>
  <si>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</si>
  <si>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</si>
  <si>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</si>
  <si>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</si>
  <si>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</si>
  <si>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</si>
  <si>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</si>
  <si>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</si>
  <si>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</si>
  <si>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</si>
  <si>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</si>
  <si>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</si>
  <si>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</si>
  <si>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</si>
  <si>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</si>
  <si>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</si>
  <si>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</si>
  <si>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</si>
  <si>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</si>
  <si>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</si>
  <si>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</si>
  <si>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</si>
  <si>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</si>
  <si>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</si>
  <si>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</si>
  <si>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</si>
  <si>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</si>
  <si>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</si>
  <si>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</si>
  <si>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</si>
  <si>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</si>
  <si>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</si>
  <si>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</si>
  <si>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</si>
  <si>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</si>
  <si>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</si>
  <si>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</si>
  <si>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</si>
  <si>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</si>
  <si>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</si>
  <si>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</si>
  <si>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</si>
  <si>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</si>
  <si>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</si>
  <si>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</si>
  <si>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</si>
  <si>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</si>
  <si>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</si>
  <si>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</si>
  <si>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</si>
  <si>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</si>
  <si>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</si>
  <si>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</si>
  <si>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</si>
  <si>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</si>
  <si>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</si>
  <si>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</si>
  <si>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</si>
  <si>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</si>
  <si>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</si>
  <si>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</si>
  <si>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</si>
  <si>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</si>
  <si>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</si>
  <si>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</si>
  <si>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</si>
  <si>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</si>
  <si>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</si>
  <si>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</si>
  <si>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</si>
  <si>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</si>
  <si>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</si>
  <si>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</si>
  <si>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</si>
  <si>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</si>
  <si>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</si>
  <si>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</si>
  <si>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</si>
  <si>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</si>
  <si>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</si>
  <si>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</si>
  <si>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</si>
  <si>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</si>
  <si>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</si>
  <si>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</si>
  <si>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</si>
  <si>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</si>
  <si>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</si>
  <si>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</si>
  <si>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</si>
  <si>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</si>
  <si>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</si>
  <si>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</si>
  <si>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</si>
  <si>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</si>
  <si>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</si>
  <si>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</si>
  <si>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</si>
  <si>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</si>
  <si>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</si>
  <si>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</si>
  <si>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</si>
  <si>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</si>
  <si>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</si>
  <si>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</si>
  <si>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</si>
  <si>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</si>
  <si>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</si>
  <si>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</si>
  <si>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</si>
  <si>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</si>
  <si>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</si>
  <si>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</si>
  <si>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</si>
  <si>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</si>
  <si>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</si>
  <si>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</si>
  <si>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</si>
  <si>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</si>
  <si>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</si>
  <si>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</si>
  <si>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</si>
  <si>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</si>
  <si>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</si>
  <si>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</si>
  <si>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</si>
  <si>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</si>
  <si>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</si>
  <si>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</si>
  <si>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</si>
  <si>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</si>
  <si>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</si>
  <si>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</si>
  <si>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</si>
  <si>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</si>
  <si>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</si>
  <si>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</si>
  <si>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</si>
  <si>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</si>
  <si>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</si>
  <si>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</si>
  <si>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</si>
  <si>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</si>
  <si>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</si>
  <si>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</si>
  <si>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</si>
  <si>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</si>
  <si>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</si>
  <si>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</si>
  <si>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</si>
  <si>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</si>
  <si>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</si>
  <si>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</si>
  <si>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</si>
  <si>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</si>
  <si>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</si>
  <si>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</si>
  <si>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</si>
  <si>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</si>
  <si>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</si>
  <si>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</si>
  <si>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</si>
  <si>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</si>
  <si>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</si>
  <si>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</si>
  <si>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</si>
  <si>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</si>
  <si>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</si>
  <si>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</si>
  <si>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</si>
  <si>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</si>
  <si>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</si>
  <si>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</si>
  <si>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</si>
  <si>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</si>
  <si>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</si>
  <si>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</si>
  <si>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</si>
  <si>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</si>
  <si>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</si>
  <si>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</si>
  <si>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</si>
  <si>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</si>
  <si>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</si>
  <si>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</si>
  <si>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</si>
  <si>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</si>
  <si>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</si>
  <si>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</si>
  <si>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</si>
  <si>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</si>
  <si>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</si>
  <si>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</si>
  <si>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</si>
  <si>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</si>
  <si>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</si>
  <si>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</si>
  <si>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</si>
  <si>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</si>
  <si>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</si>
  <si>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</si>
  <si>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</si>
  <si>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</si>
  <si>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</si>
  <si>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</si>
  <si>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</si>
  <si>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</si>
  <si>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</si>
  <si>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</si>
  <si>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</si>
  <si>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</si>
  <si>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</si>
  <si>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</si>
  <si>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</si>
  <si>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</si>
  <si>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</si>
  <si>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</si>
  <si>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</si>
  <si>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</si>
  <si>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</si>
  <si>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</si>
  <si>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</si>
  <si>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</si>
  <si>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</si>
  <si>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</si>
  <si>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</si>
  <si>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</si>
  <si>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</si>
  <si>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</si>
  <si>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</si>
  <si>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</si>
  <si>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</si>
  <si>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</si>
  <si>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</si>
  <si>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</si>
  <si>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</si>
  <si>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</si>
  <si>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</si>
  <si>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</si>
  <si>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</si>
  <si>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</si>
  <si>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</si>
  <si>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</si>
  <si>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</si>
  <si>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</si>
  <si>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</si>
  <si>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</si>
  <si>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</si>
  <si>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</si>
  <si>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</si>
  <si>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</si>
  <si>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</si>
  <si>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</si>
  <si>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</si>
  <si>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</si>
  <si>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</si>
  <si>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</si>
  <si>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</si>
  <si>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</si>
  <si>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</si>
  <si>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</si>
  <si>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</si>
  <si>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</si>
  <si>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</si>
  <si>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</si>
  <si>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</si>
  <si>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</si>
  <si>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</si>
  <si>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</si>
  <si>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</si>
  <si>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</si>
  <si>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</si>
  <si>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</si>
  <si>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</si>
  <si>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</si>
  <si>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</si>
  <si>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</si>
  <si>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</si>
  <si>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</si>
  <si>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</si>
  <si>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</si>
  <si>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</si>
  <si>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</si>
  <si>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</si>
  <si>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</si>
  <si>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</si>
  <si>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</si>
  <si>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</si>
  <si>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</si>
  <si>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</si>
  <si>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</si>
  <si>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</si>
  <si>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</si>
  <si>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</si>
  <si>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</si>
  <si>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ESC.COLGATE CARVAO Z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</si>
  <si>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</si>
  <si>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</si>
  <si>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</si>
  <si>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</si>
  <si>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</si>
  <si>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</si>
  <si>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</si>
  <si>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</si>
  <si>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</si>
  <si>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</si>
  <si>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</si>
  <si>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</si>
  <si>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</si>
  <si>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</si>
  <si>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</si>
  <si>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</si>
  <si>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</si>
  <si>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</si>
  <si>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</si>
  <si>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</si>
  <si>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</si>
  <si>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</si>
  <si>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</si>
  <si>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</si>
  <si>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</si>
  <si>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</si>
  <si>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</si>
  <si>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</si>
  <si>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</si>
  <si>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</si>
  <si>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</si>
  <si>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</si>
  <si>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</si>
  <si>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</si>
  <si>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</si>
  <si>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</si>
  <si>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</si>
  <si>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</si>
  <si>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</si>
  <si>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</si>
  <si>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</si>
  <si>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</si>
  <si>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TRAD.P 09UND</t>
  </si>
  <si>
    <t xml:space="preserve">FRALDA DESC.PANDA TRAD.M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</si>
  <si>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</si>
  <si>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</si>
  <si>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</si>
  <si>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</si>
  <si>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</si>
  <si>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</si>
  <si>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</si>
  <si>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</si>
  <si>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</si>
  <si>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</si>
  <si>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</si>
  <si>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</si>
  <si>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</si>
  <si>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</si>
  <si>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</si>
  <si>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</si>
  <si>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</si>
  <si>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</si>
  <si>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</si>
  <si>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</si>
  <si>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</si>
  <si>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</si>
  <si>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</si>
  <si>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</si>
  <si>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</si>
  <si>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</si>
  <si>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</si>
  <si>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</si>
  <si>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</si>
  <si>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</si>
  <si>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</si>
  <si>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</si>
  <si>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</si>
  <si>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</si>
  <si>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</si>
  <si>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</si>
  <si>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</si>
  <si>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</si>
  <si>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</si>
  <si>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</si>
  <si>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</si>
  <si>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</si>
  <si>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</si>
  <si>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</si>
  <si>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</si>
  <si>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</si>
  <si>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</si>
  <si>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</si>
  <si>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</si>
  <si>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</si>
  <si>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</si>
  <si>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</si>
  <si>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</si>
  <si>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</si>
  <si>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</si>
  <si>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</si>
  <si>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</si>
  <si>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</si>
  <si>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</si>
  <si>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</si>
  <si>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</si>
  <si>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</si>
  <si>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</si>
  <si>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</si>
  <si>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</si>
  <si>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</si>
  <si>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</si>
  <si>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</si>
  <si>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</si>
  <si>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</si>
  <si>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</si>
  <si>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</si>
  <si>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</si>
  <si>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</si>
  <si>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</si>
  <si>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</si>
  <si>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</si>
  <si>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</si>
  <si>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</si>
  <si>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</si>
  <si>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</si>
  <si>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</si>
  <si>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</si>
  <si>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</si>
  <si>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</si>
  <si>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</si>
  <si>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</si>
  <si>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</si>
  <si>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</si>
  <si>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</si>
  <si>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</si>
  <si>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</si>
  <si>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</si>
  <si>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</si>
  <si>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</si>
  <si>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</si>
  <si>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</si>
  <si>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</si>
  <si>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</si>
  <si>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</si>
  <si>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</si>
  <si>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</si>
  <si>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</si>
  <si>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</si>
  <si>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</si>
  <si>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</si>
  <si>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</si>
  <si>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</si>
  <si>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</si>
  <si>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</si>
  <si>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</si>
  <si>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</si>
  <si>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</si>
  <si>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</si>
  <si>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</si>
  <si>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</si>
  <si>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</si>
  <si>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</si>
  <si>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</si>
  <si>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</si>
  <si>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</si>
  <si>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</si>
  <si>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</si>
  <si>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</si>
  <si>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</si>
  <si>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</si>
  <si>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</si>
  <si>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</si>
  <si>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</si>
  <si>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</si>
  <si>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</si>
  <si>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</si>
  <si>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</si>
  <si>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</si>
  <si>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</si>
  <si>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</si>
  <si>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</si>
  <si>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</si>
  <si>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</si>
  <si>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</si>
  <si>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</si>
  <si>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</si>
  <si>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</si>
  <si>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</si>
  <si>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</si>
  <si>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</si>
  <si>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</si>
  <si>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</si>
  <si>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</si>
  <si>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</si>
  <si>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</si>
  <si>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</si>
  <si>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</si>
  <si>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</si>
  <si>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</si>
  <si>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</si>
  <si>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</si>
  <si>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</si>
  <si>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</si>
  <si>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</si>
  <si>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</si>
  <si>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</si>
  <si>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</si>
  <si>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</si>
  <si>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</si>
  <si>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</si>
  <si>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</si>
  <si>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</si>
  <si>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</si>
  <si>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</si>
  <si>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</si>
  <si>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</si>
  <si>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</si>
  <si>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</si>
  <si>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</si>
  <si>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</si>
  <si>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</si>
  <si>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</si>
  <si>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</si>
  <si>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</si>
  <si>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</si>
  <si>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</si>
  <si>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</si>
  <si>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</si>
  <si>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</si>
  <si>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</si>
  <si>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</si>
  <si>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</si>
  <si>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</si>
  <si>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</si>
  <si>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</si>
  <si>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</si>
  <si>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</si>
  <si>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</si>
  <si>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</si>
  <si>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</si>
  <si>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</si>
  <si>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</si>
  <si>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</si>
  <si>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</si>
  <si>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</si>
  <si>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</si>
  <si>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</si>
  <si>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</si>
  <si>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</si>
  <si>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</si>
  <si>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</si>
  <si>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</si>
  <si>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</si>
  <si>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</si>
  <si>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</si>
  <si>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</si>
  <si>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</si>
  <si>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</si>
  <si>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</si>
  <si>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</si>
  <si>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</si>
  <si>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</si>
  <si>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</si>
  <si>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</si>
  <si>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</si>
  <si>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</si>
  <si>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</si>
  <si>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</si>
  <si>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</si>
  <si>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</si>
  <si>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</si>
  <si>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</si>
  <si>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</si>
  <si>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</si>
  <si>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</si>
  <si>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</si>
  <si>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</si>
  <si>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</si>
  <si>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</si>
  <si>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</si>
  <si>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</si>
  <si>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</si>
  <si>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</si>
  <si>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</si>
  <si>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</si>
  <si>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</si>
  <si>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</si>
  <si>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</si>
  <si>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</si>
  <si>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</si>
  <si>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</si>
  <si>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</si>
  <si>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</si>
  <si>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</si>
  <si>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</si>
  <si>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</si>
  <si>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</si>
  <si>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</si>
  <si>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</si>
  <si>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</si>
  <si>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</si>
  <si>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</si>
  <si>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</si>
  <si>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</si>
  <si>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</si>
  <si>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</si>
  <si>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</si>
  <si>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</si>
  <si>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</si>
  <si>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</si>
  <si>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</si>
  <si>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</si>
  <si>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</si>
  <si>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</si>
  <si>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</si>
  <si>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</si>
  <si>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</si>
  <si>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</si>
  <si>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</si>
  <si>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</si>
  <si>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</si>
  <si>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</si>
  <si>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</si>
  <si>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</si>
  <si>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</si>
  <si>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</si>
  <si>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</si>
  <si>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</si>
  <si>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</si>
  <si>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</si>
  <si>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</si>
  <si>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</si>
  <si>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</si>
  <si>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</si>
  <si>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</si>
  <si>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</si>
  <si>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</si>
  <si>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</si>
  <si>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</si>
  <si>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</si>
  <si>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</si>
  <si>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</si>
  <si>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</si>
  <si>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</si>
  <si>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</si>
  <si>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</si>
  <si>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</si>
  <si>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</si>
  <si>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</si>
  <si>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</si>
  <si>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</si>
  <si>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</si>
  <si>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</si>
  <si>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</si>
  <si>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</si>
  <si>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</si>
  <si>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</si>
  <si>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</si>
  <si>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</si>
  <si>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</si>
  <si>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</si>
  <si>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</si>
  <si>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</si>
  <si>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</si>
  <si>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</si>
  <si>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</si>
  <si>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</si>
  <si>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</si>
  <si>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</si>
  <si>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</si>
  <si>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</si>
  <si>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</si>
  <si>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</si>
  <si>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</si>
  <si>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</si>
  <si>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</si>
  <si>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</si>
  <si>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</si>
  <si>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</si>
  <si>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</si>
  <si>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</si>
  <si>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</si>
  <si>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</si>
  <si>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</si>
  <si>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</si>
  <si>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</si>
  <si>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</si>
  <si>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</si>
  <si>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</si>
  <si>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</si>
  <si>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</si>
  <si>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</si>
  <si>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</si>
  <si>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</si>
  <si>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</si>
  <si>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</si>
  <si>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</si>
  <si>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</si>
  <si>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</si>
  <si>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</si>
  <si>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</si>
  <si>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</si>
  <si>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</si>
  <si>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</si>
  <si>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</si>
  <si>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</si>
  <si>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</si>
  <si>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</si>
  <si>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</si>
  <si>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</si>
  <si>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</si>
  <si>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</si>
  <si>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</si>
  <si>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</si>
  <si>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</si>
  <si>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</si>
  <si>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</si>
  <si>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</si>
  <si>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</si>
  <si>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</si>
  <si>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</si>
  <si>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</si>
  <si>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</si>
  <si>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</si>
  <si>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</si>
  <si>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</si>
  <si>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</si>
  <si>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</si>
  <si>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</si>
  <si>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</si>
  <si>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</si>
  <si>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</si>
  <si>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</si>
  <si>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</si>
  <si>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</si>
  <si>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</si>
  <si>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</si>
  <si>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</si>
  <si>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</si>
  <si>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</si>
  <si>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</si>
  <si>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</si>
  <si>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</si>
  <si>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</si>
  <si>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</si>
  <si>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</si>
  <si>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</si>
  <si>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</si>
  <si>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</si>
  <si>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</si>
  <si>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</si>
  <si>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</si>
  <si>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</si>
  <si>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</si>
  <si>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</si>
  <si>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</si>
  <si>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</si>
  <si>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</si>
  <si>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</si>
  <si>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</si>
  <si>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</si>
  <si>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</si>
  <si>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</si>
  <si>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</si>
  <si>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</si>
  <si>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</si>
  <si>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</si>
  <si>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</si>
  <si>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</si>
  <si>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</si>
  <si>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</si>
  <si>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</si>
  <si>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</si>
  <si>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</si>
  <si>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</si>
  <si>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</si>
  <si>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</si>
  <si>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</si>
  <si>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</si>
  <si>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</si>
  <si>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</si>
  <si>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</si>
  <si>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</si>
  <si>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</si>
  <si>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</si>
  <si>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</si>
  <si>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</si>
  <si>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</si>
  <si>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</si>
  <si>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</si>
  <si>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</si>
  <si>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</si>
  <si>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</si>
  <si>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</si>
  <si>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</si>
  <si>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</si>
  <si>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</si>
  <si>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</si>
  <si>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</si>
  <si>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</si>
  <si>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</si>
  <si>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</si>
  <si>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</si>
  <si>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</si>
  <si>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</si>
  <si>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</si>
  <si>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</si>
  <si>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</si>
  <si>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</si>
  <si>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</si>
  <si>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</si>
  <si>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</si>
  <si>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</si>
  <si>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</si>
  <si>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</si>
  <si>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</si>
  <si>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</si>
  <si>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</si>
  <si>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</si>
  <si>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</si>
  <si>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</si>
  <si>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</si>
  <si>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</si>
  <si>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</si>
  <si>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</si>
  <si>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</si>
  <si>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</si>
  <si>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</si>
  <si>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</si>
  <si>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</si>
  <si>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</si>
  <si>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</si>
  <si>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</si>
  <si>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</si>
  <si>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</si>
  <si>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</si>
  <si>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</si>
  <si>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</si>
  <si>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</si>
  <si>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</si>
  <si>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</si>
  <si>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</si>
  <si>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</si>
  <si>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</si>
  <si>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</si>
  <si>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</si>
  <si>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</si>
  <si>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</si>
  <si>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</si>
  <si>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</si>
  <si>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</si>
  <si>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</si>
  <si>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</si>
  <si>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</si>
  <si>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</si>
  <si>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</si>
  <si>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</si>
  <si>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</si>
  <si>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</si>
  <si>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</si>
  <si>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</si>
  <si>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</si>
  <si>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</si>
  <si>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</si>
  <si>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</si>
  <si>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</si>
  <si>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</si>
  <si>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</si>
  <si>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</si>
  <si>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</si>
  <si>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</si>
  <si>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</si>
  <si>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</si>
  <si>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</si>
  <si>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</si>
  <si>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</si>
  <si>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</si>
  <si>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</si>
  <si>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</si>
  <si>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</si>
  <si>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</si>
  <si>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</si>
  <si>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</si>
  <si>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</si>
  <si>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</si>
  <si>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</si>
  <si>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</si>
  <si>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</si>
  <si>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</si>
  <si>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</si>
  <si>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</si>
  <si>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</si>
  <si>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</si>
  <si>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</si>
  <si>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</si>
  <si>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</si>
  <si>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</si>
  <si>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</si>
  <si>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</si>
  <si>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</si>
  <si>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</si>
  <si>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</si>
  <si>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</si>
  <si>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</si>
  <si>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</si>
  <si>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</si>
  <si>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</si>
  <si>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</si>
  <si>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</si>
  <si>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</si>
  <si>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</si>
  <si>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</si>
  <si>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</si>
  <si>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</si>
  <si>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</si>
  <si>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</si>
  <si>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</si>
  <si>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</si>
  <si>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</si>
  <si>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</si>
  <si>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</si>
  <si>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</si>
  <si>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</si>
  <si>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</si>
  <si>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</si>
  <si>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</si>
  <si>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</si>
  <si>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</si>
  <si>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</si>
  <si>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</si>
  <si>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</si>
  <si>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</si>
  <si>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</si>
  <si>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</si>
  <si>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</si>
  <si>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</si>
  <si>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</si>
  <si>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</si>
  <si>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</si>
  <si>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</si>
  <si>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</si>
  <si>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</si>
  <si>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</si>
  <si>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</si>
  <si>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</si>
  <si>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</si>
  <si>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</si>
  <si>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</si>
  <si>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</si>
  <si>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</si>
  <si>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</si>
  <si>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</si>
  <si>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</si>
  <si>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</si>
  <si>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</si>
  <si>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</si>
  <si>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</si>
  <si>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</si>
  <si>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</si>
  <si>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</si>
  <si>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</si>
  <si>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</si>
  <si>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</si>
  <si>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</si>
  <si>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</si>
  <si>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</si>
  <si>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</si>
  <si>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</si>
  <si>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</si>
  <si>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</si>
  <si>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</si>
  <si>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</si>
  <si>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</si>
  <si>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</si>
  <si>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</si>
  <si>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</si>
  <si>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</si>
  <si>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</si>
  <si>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</si>
  <si>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</si>
  <si>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</si>
  <si>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</si>
  <si>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</si>
  <si>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</si>
  <si>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</si>
  <si>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</si>
  <si>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</si>
  <si>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</si>
  <si>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</si>
  <si>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</si>
  <si>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</si>
  <si>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</si>
  <si>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</si>
  <si>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</si>
  <si>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</si>
  <si>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</si>
  <si>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</si>
  <si>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</si>
  <si>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</si>
  <si>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</si>
  <si>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</si>
  <si>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</si>
  <si>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</si>
  <si>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</si>
  <si>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</si>
  <si>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</si>
  <si>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</si>
  <si>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</si>
  <si>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</si>
  <si>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</si>
  <si>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</si>
  <si>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</si>
  <si>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</si>
  <si>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</si>
  <si>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</si>
  <si>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</si>
  <si>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CHIP TIM 4G MUITAS O</t>
  </si>
  <si>
    <t xml:space="preserve">CHIP VIVO PRE 10 REC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</si>
  <si>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</si>
  <si>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</si>
  <si>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</si>
  <si>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</si>
  <si>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CHIP VIVO PRE RECARG</t>
  </si>
  <si>
    <t xml:space="preserve">CHIP VIV 4G MUITAS O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</si>
  <si>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</si>
  <si>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</si>
  <si>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</si>
  <si>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</si>
  <si>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</si>
  <si>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</si>
  <si>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</si>
  <si>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</si>
  <si>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</si>
  <si>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</si>
  <si>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</si>
  <si>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</si>
  <si>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</si>
  <si>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</si>
  <si>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</si>
  <si>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</si>
  <si>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</si>
  <si>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</si>
  <si>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</si>
  <si>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</si>
  <si>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</si>
  <si>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</si>
  <si>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</si>
  <si>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</si>
  <si>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</si>
  <si>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</si>
  <si>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</si>
  <si>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</si>
  <si>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</si>
  <si>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</si>
  <si>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</si>
  <si>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</si>
  <si>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</si>
  <si>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</si>
  <si>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</si>
  <si>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</si>
  <si>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</si>
  <si>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</si>
  <si>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</si>
  <si>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M DA CRUZ GARCIA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</si>
  <si>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</si>
  <si>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</si>
  <si>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</si>
  <si>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</si>
  <si>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</si>
  <si>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</si>
  <si>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</si>
  <si>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</si>
  <si>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</si>
  <si>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</si>
  <si>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</si>
  <si>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</si>
  <si>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</si>
  <si>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</si>
  <si>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</si>
  <si>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</si>
  <si>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</si>
  <si>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</si>
  <si>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</si>
  <si>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</si>
  <si>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</si>
  <si>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</si>
  <si>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</si>
  <si>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</si>
  <si>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</si>
  <si>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</si>
  <si>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</si>
  <si>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</si>
  <si>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</si>
  <si>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</si>
  <si>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</si>
  <si>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</si>
  <si>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</si>
  <si>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</si>
  <si>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</si>
  <si>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</si>
  <si>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</si>
  <si>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</si>
  <si>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</si>
  <si>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</si>
  <si>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</si>
  <si>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</si>
  <si>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</si>
  <si>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</si>
  <si>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</si>
  <si>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</si>
  <si>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</si>
  <si>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</si>
  <si>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</si>
  <si>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</si>
  <si>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</si>
  <si>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</si>
  <si>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</si>
  <si>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</si>
  <si>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</si>
  <si>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</si>
  <si>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</si>
  <si>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</si>
  <si>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</si>
  <si>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</si>
  <si>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</si>
  <si>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</si>
  <si>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</si>
  <si>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</si>
  <si>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</si>
  <si>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</si>
  <si>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</si>
  <si>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</si>
  <si>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</si>
  <si>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</si>
  <si>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</si>
  <si>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</si>
  <si>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</si>
  <si>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</si>
  <si>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</si>
  <si>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</si>
  <si>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</si>
  <si>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</si>
  <si>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</si>
  <si>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</si>
  <si>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</si>
  <si>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</si>
  <si>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</si>
  <si>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</si>
  <si>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</si>
  <si>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</si>
  <si>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</si>
  <si>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</si>
  <si>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</si>
  <si>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</si>
  <si>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</si>
  <si>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</si>
  <si>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</si>
  <si>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</si>
  <si>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</si>
  <si>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</si>
  <si>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</si>
  <si>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</si>
  <si>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</si>
  <si>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</si>
  <si>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</si>
  <si>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</si>
  <si>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</si>
  <si>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</si>
  <si>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</si>
  <si>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</si>
  <si>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</si>
  <si>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</si>
  <si>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</si>
  <si>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</si>
  <si>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</si>
  <si>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</si>
  <si>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</si>
  <si>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</si>
  <si>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</si>
  <si>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</si>
  <si>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</si>
  <si>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</si>
  <si>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</si>
  <si>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</si>
  <si>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</si>
  <si>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</si>
  <si>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</si>
  <si>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</si>
  <si>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</si>
  <si>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</si>
  <si>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</si>
  <si>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</si>
  <si>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</si>
  <si>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</si>
  <si>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</si>
  <si>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</si>
  <si>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</si>
  <si>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</si>
  <si>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</si>
  <si>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</si>
  <si>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</si>
  <si>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</si>
  <si>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</si>
  <si>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</si>
  <si>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</si>
  <si>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</si>
  <si>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</si>
  <si>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</si>
  <si>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</si>
  <si>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</si>
  <si>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</si>
  <si>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</si>
  <si>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</si>
  <si>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</si>
  <si>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</si>
  <si>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</si>
  <si>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</si>
  <si>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</si>
  <si>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</si>
  <si>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</si>
  <si>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</si>
  <si>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</si>
  <si>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</si>
  <si>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</si>
  <si>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</si>
  <si>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</si>
  <si>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</si>
  <si>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</si>
  <si>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</si>
  <si>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</si>
  <si>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</si>
  <si>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</si>
  <si>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</si>
  <si>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</si>
  <si>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</si>
  <si>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</si>
  <si>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</si>
  <si>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</si>
  <si>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</si>
  <si>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</si>
  <si>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</si>
  <si>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</si>
  <si>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</si>
  <si>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</si>
  <si>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</si>
  <si>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</si>
  <si>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</si>
  <si>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</si>
  <si>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</si>
  <si>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</si>
  <si>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</si>
  <si>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</si>
  <si>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</si>
  <si>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</si>
  <si>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</si>
  <si>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</si>
  <si>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</si>
  <si>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</si>
  <si>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</si>
  <si>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</si>
  <si>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</si>
  <si>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</si>
  <si>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</si>
  <si>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</si>
  <si>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</si>
  <si>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</si>
  <si>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</si>
  <si>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</si>
  <si>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</si>
  <si>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</si>
  <si>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</si>
  <si>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</si>
  <si>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</si>
  <si>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</si>
  <si>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</si>
  <si>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</si>
  <si>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</si>
  <si>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</si>
  <si>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</si>
  <si>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</si>
  <si>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</si>
  <si>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</si>
  <si>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CHAVE CANHAO 13MM 853 STARTOOLS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</si>
  <si>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</si>
  <si>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</si>
  <si>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</si>
  <si>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</si>
  <si>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</si>
  <si>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</si>
  <si>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</si>
  <si>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</si>
  <si>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</si>
  <si>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</si>
  <si>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</si>
  <si>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</si>
  <si>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</si>
  <si>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</si>
  <si>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</si>
  <si>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</si>
  <si>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</si>
  <si>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</si>
  <si>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</si>
  <si>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</si>
  <si>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</si>
  <si>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</si>
  <si>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</si>
  <si>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</si>
  <si>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</si>
  <si>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</si>
  <si>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</si>
  <si>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</si>
  <si>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</si>
  <si>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</si>
  <si>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</si>
  <si>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</si>
  <si>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</si>
  <si>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</si>
  <si>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</si>
  <si>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</si>
  <si>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</si>
  <si>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</si>
  <si>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</si>
  <si>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</si>
  <si>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</si>
  <si>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</si>
  <si>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</si>
  <si>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</si>
  <si>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</si>
  <si>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</si>
  <si>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</si>
  <si>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</si>
  <si>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</si>
  <si>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</si>
  <si>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</si>
  <si>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</si>
  <si>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</si>
  <si>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</si>
  <si>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</si>
  <si>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</si>
  <si>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</si>
  <si>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</si>
  <si>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</si>
  <si>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</si>
  <si>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</si>
  <si>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</si>
  <si>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</si>
  <si>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</si>
  <si>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</si>
  <si>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</si>
  <si>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</si>
  <si>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</si>
  <si>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</si>
  <si>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</si>
  <si>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</si>
  <si>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</si>
  <si>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</si>
  <si>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</si>
  <si>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</si>
  <si>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</si>
  <si>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</si>
  <si>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</si>
  <si>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</si>
  <si>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</si>
  <si>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</si>
  <si>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</si>
  <si>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</si>
  <si>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</si>
  <si>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</si>
  <si>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TINTA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</si>
  <si>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</si>
  <si>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</si>
  <si>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</si>
  <si>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</si>
  <si>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</si>
  <si>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</si>
  <si>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</si>
  <si>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</si>
  <si>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</si>
  <si>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</si>
  <si>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</si>
  <si>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</si>
  <si>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</si>
  <si>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</si>
  <si>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</si>
  <si>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</si>
  <si>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</si>
  <si>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</si>
  <si>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</si>
  <si>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</si>
  <si>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</si>
  <si>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</si>
  <si>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</si>
  <si>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</si>
  <si>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</si>
  <si>
    <t xml:space="preserve">POTE COM TPA 250ML G</t>
  </si>
  <si>
    <t xml:space="preserve">PORTA G-640 SF UM DO</t>
  </si>
  <si>
    <t xml:space="preserve">POTE/TPA RET 250ML CRISTALCOPO PC25</t>
  </si>
  <si>
    <t xml:space="preserve">PORTA G-830 COPO/TPA BOLHA 300ML PC10</t>
  </si>
  <si>
    <t xml:space="preserve">REFR GUAR BUMBA 250M</t>
  </si>
  <si>
    <t xml:space="preserve">KIWI KG</t>
  </si>
  <si>
    <t xml:space="preserve">NATU ANE UV MAC300ML</t>
  </si>
  <si>
    <t xml:space="preserve">BANDEJA B2 FORMAPACK</t>
  </si>
  <si>
    <t xml:space="preserve">FARINHA ALVORADA DAG</t>
  </si>
  <si>
    <t xml:space="preserve">ALVORADA MANAUS OVINHA 1KG</t>
  </si>
  <si>
    <t xml:space="preserve">PAINEL CANALETADO BR</t>
  </si>
  <si>
    <t xml:space="preserve">CANALETA PARA MDF CA</t>
  </si>
  <si>
    <t xml:space="preserve">CHAPA GALV. 29 (0,40MM) 400X0.150</t>
  </si>
  <si>
    <t xml:space="preserve">MASSA P LASANHA LELE</t>
  </si>
  <si>
    <t xml:space="preserve">SAB LIQ UEBA DOCE PE</t>
  </si>
  <si>
    <t xml:space="preserve">FONE INOVA TWS FON-11109</t>
  </si>
  <si>
    <t xml:space="preserve">FONE MOD 30097 INOVA</t>
  </si>
  <si>
    <t xml:space="preserve">FONE DE OUVIDO 256 I</t>
  </si>
  <si>
    <t xml:space="preserve">CAIXA DE SOM INOVA</t>
  </si>
  <si>
    <t xml:space="preserve">CAIXA DE SOM INOVA RAD-12536</t>
  </si>
  <si>
    <t xml:space="preserve">CARREGADOR CELULAR I</t>
  </si>
  <si>
    <t xml:space="preserve">FONE DE OUVIDO ONIST</t>
  </si>
  <si>
    <t xml:space="preserve">CABO CBO-11015</t>
  </si>
  <si>
    <t xml:space="preserve">FONE FON-12969C INOVA</t>
  </si>
  <si>
    <t xml:space="preserve">FONE FON-13013A INOVA</t>
  </si>
  <si>
    <t xml:space="preserve">LANTERNA KV-742 INOVA</t>
  </si>
  <si>
    <t xml:space="preserve">FONE DE OUVIDO FON-30040</t>
  </si>
  <si>
    <t xml:space="preserve">CAIXA DE SOM MINI M3 HMASTON</t>
  </si>
  <si>
    <t xml:space="preserve">FONE BA-FON173 BASIKE</t>
  </si>
  <si>
    <t xml:space="preserve">CABO MD-13171</t>
  </si>
  <si>
    <t xml:space="preserve">AGUA TONICA PURAGUA</t>
  </si>
  <si>
    <t xml:space="preserve">BONE 28 DAD HAT PROM</t>
  </si>
  <si>
    <t xml:space="preserve">BONE 31 PRIM LINHA</t>
  </si>
  <si>
    <t xml:space="preserve">OCULOS 288 SORTIDOS</t>
  </si>
  <si>
    <t xml:space="preserve">OCULOS 283 DE SOL</t>
  </si>
  <si>
    <t xml:space="preserve">OCULOS 286 JULIETE METAL</t>
  </si>
  <si>
    <t xml:space="preserve">CHAPEU NATANZINHO</t>
  </si>
  <si>
    <t xml:space="preserve">CAMISA DRY FIT BRASIL</t>
  </si>
  <si>
    <t xml:space="preserve">BONE 23 POLO AMACIADO</t>
  </si>
  <si>
    <t xml:space="preserve">BONE PROMOCAO 29</t>
  </si>
  <si>
    <t xml:space="preserve">BONE 22</t>
  </si>
  <si>
    <t xml:space="preserve">OCULOS 45 INFANTIL</t>
  </si>
  <si>
    <t xml:space="preserve">OCULOS 0107</t>
  </si>
  <si>
    <t xml:space="preserve">OCULOS CICLISTA</t>
  </si>
  <si>
    <t xml:space="preserve">OCULOS G2</t>
  </si>
  <si>
    <t xml:space="preserve">OCULOS 284 DE SOL</t>
  </si>
  <si>
    <t xml:space="preserve">FEIJOADA ANGLO 430G</t>
  </si>
  <si>
    <t xml:space="preserve">ABACAXI PEQUENO UND</t>
  </si>
  <si>
    <t xml:space="preserve">AG DE COCO MAIS CO1L</t>
  </si>
  <si>
    <t xml:space="preserve">DORIANA CREMOSA 250G</t>
  </si>
  <si>
    <t xml:space="preserve">APRESUNTADO FAT. SANTA NITTA 180G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</si>
</sst>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mmm/yyyy"/>
    <numFmt numFmtId="170" formatCode="dd/mm/yyyy\ hh:mm:ss"/>
    <numFmt numFmtId="171" formatCode="0.0%"/>
    <numFmt numFmtId="172" formatCode="0.00"/>
    <numFmt numFmtId="173" formatCode="0"/>
    <numFmt numFmtId="174" formatCode="dd/mm/yy"/>
    <numFmt numFmtId="175" formatCode="dd/mm/yy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theme="4" tint="0.5999"/>
        <bgColor rgb="FFBDD7EE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89FD78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58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0" width="3.67"/>
    <col collapsed="false" customWidth="true" hidden="false" outlineLevel="0" max="3" min="2" style="0" width="5.56"/>
    <col collapsed="false" customWidth="true" hidden="false" outlineLevel="0" max="4" min="4" style="0" width="3.67"/>
    <col collapsed="false" customWidth="true" hidden="false" outlineLevel="0" max="5" min="5" style="0" width="9.21"/>
    <col collapsed="false" customWidth="true" hidden="false" outlineLevel="0" max="6" min="6" style="0" width="3.67"/>
    <col collapsed="false" customWidth="true" hidden="false" outlineLevel="0" max="7" min="7" style="0" width="9.21"/>
    <col collapsed="false" customWidth="true" hidden="false" outlineLevel="0" max="8" min="8" style="0" width="5.56"/>
    <col collapsed="false" customWidth="true" hidden="false" outlineLevel="0" max="9" min="9" style="0" width="9.21"/>
    <col collapsed="false" customWidth="true" hidden="false" outlineLevel="0" max="10" min="10" style="0" width="1.67"/>
    <col collapsed="false" customWidth="true" hidden="false" outlineLevel="0" max="11" min="11" style="0" width="2"/>
    <col collapsed="false" customWidth="true" hidden="false" outlineLevel="0" max="13" min="12" style="0" width="3.67"/>
    <col collapsed="false" customWidth="true" hidden="false" outlineLevel="0" max="14" min="14" style="0" width="2.56"/>
    <col collapsed="false" customWidth="true" hidden="false" outlineLevel="0" max="15" min="15" style="0" width="3"/>
    <col collapsed="false" customWidth="true" hidden="false" outlineLevel="0" max="16" min="16" style="0" width="3.67"/>
    <col collapsed="false" customWidth="true" hidden="false" outlineLevel="0" max="18" min="17" style="0" width="9.44"/>
    <col collapsed="false" customWidth="true" hidden="false" outlineLevel="0" max="19" min="19" style="0" width="5.56"/>
    <col collapsed="false" customWidth="true" hidden="false" outlineLevel="0" max="20" min="20" style="0" width="9.44"/>
    <col collapsed="false" customWidth="true" hidden="false" outlineLevel="0" max="21" min="21" style="0" width="4.88"/>
    <col collapsed="false" customWidth="true" hidden="false" outlineLevel="0" max="22" min="22" style="0" width="0.78"/>
    <col collapsed="false" customWidth="true" hidden="false" outlineLevel="0" max="23" min="23" style="0" width="5.66"/>
    <col collapsed="false" customWidth="true" hidden="false" outlineLevel="0" max="25" min="25" style="0" width="8"/>
  </cols>
  <sheetData>
    <row r="1" customFormat="false" ht="1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0" t="s">
        <v>1</v>
      </c>
      <c r="AA1" s="0" t="s">
        <v>2</v>
      </c>
    </row>
    <row r="2" customFormat="false" ht="4.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9" hidden="false" customHeight="true" outlineLevel="0" collapsed="false">
      <c r="A3" s="3" t="s">
        <v>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customFormat="false" ht="9" hidden="false" customHeight="true" outlineLevel="0" collapsed="false">
      <c r="A4" s="3" t="s">
        <v>4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customFormat="false" ht="9" hidden="false" customHeight="true" outlineLevel="0" collapsed="false">
      <c r="A5" s="3" t="s">
        <v>5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customFormat="false" ht="9" hidden="false" customHeight="true" outlineLevel="0" collapsed="false">
      <c r="A6" s="4" t="s">
        <v>6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customFormat="false" ht="9" hidden="false" customHeight="true" outlineLevel="0" collapsed="false">
      <c r="A7" s="5" t="s">
        <v>7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4" t="s">
        <v>8</v>
      </c>
      <c r="P7" s="4"/>
      <c r="Q7" s="4"/>
      <c r="R7" s="4"/>
      <c r="S7" s="4"/>
      <c r="T7" s="4"/>
      <c r="U7" s="4"/>
      <c r="V7" s="4"/>
      <c r="W7" s="4"/>
      <c r="X7" s="4"/>
      <c r="Y7" s="4"/>
    </row>
    <row r="8" customFormat="false" ht="48" hidden="false" customHeight="true" outlineLevel="0" collapsed="false">
      <c r="A8" s="6" t="s">
        <v>9</v>
      </c>
      <c r="B8" s="7" t="s">
        <v>10</v>
      </c>
      <c r="C8" s="7" t="s">
        <v>11</v>
      </c>
      <c r="D8" s="6" t="s">
        <v>12</v>
      </c>
      <c r="E8" s="7" t="s">
        <v>13</v>
      </c>
      <c r="F8" s="6" t="s">
        <v>14</v>
      </c>
      <c r="G8" s="7" t="s">
        <v>15</v>
      </c>
      <c r="H8" s="6" t="s">
        <v>16</v>
      </c>
      <c r="I8" s="7" t="s">
        <v>17</v>
      </c>
      <c r="J8" s="6" t="s">
        <v>18</v>
      </c>
      <c r="K8" s="6"/>
      <c r="L8" s="6" t="s">
        <v>19</v>
      </c>
      <c r="M8" s="7" t="s">
        <v>20</v>
      </c>
      <c r="N8" s="7" t="s">
        <v>21</v>
      </c>
      <c r="O8" s="7"/>
      <c r="P8" s="6" t="s">
        <v>22</v>
      </c>
      <c r="Q8" s="7" t="s">
        <v>23</v>
      </c>
      <c r="R8" s="7" t="s">
        <v>24</v>
      </c>
      <c r="S8" s="6" t="s">
        <v>25</v>
      </c>
      <c r="T8" s="7" t="s">
        <v>26</v>
      </c>
      <c r="U8" s="6" t="s">
        <v>27</v>
      </c>
      <c r="V8" s="6"/>
      <c r="W8" s="6" t="s">
        <v>28</v>
      </c>
      <c r="X8" s="7" t="s">
        <v>29</v>
      </c>
      <c r="Y8" s="7"/>
      <c r="Z8" s="0" t="s">
        <v>1</v>
      </c>
      <c r="AA8" s="0" t="s">
        <v>30</v>
      </c>
      <c r="AB8" s="0" t="s">
        <v>31</v>
      </c>
      <c r="AC8" s="0" t="s">
        <v>32</v>
      </c>
    </row>
    <row r="9" customFormat="false" ht="1.5" hidden="false" customHeight="tru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36.75" hidden="false" customHeight="true" outlineLevel="0" collapsed="false">
      <c r="A10" s="9" t="n">
        <v>2</v>
      </c>
      <c r="B10" s="10" t="n">
        <v>46048</v>
      </c>
      <c r="C10" s="10" t="n">
        <v>46174</v>
      </c>
      <c r="D10" s="9" t="n">
        <v>438</v>
      </c>
      <c r="E10" s="11" t="s">
        <v>33</v>
      </c>
      <c r="F10" s="9" t="n">
        <v>47</v>
      </c>
      <c r="G10" s="11" t="s">
        <v>34</v>
      </c>
      <c r="H10" s="9" t="n">
        <v>2110102</v>
      </c>
      <c r="I10" s="11" t="s">
        <v>35</v>
      </c>
      <c r="J10" s="9" t="n">
        <v>584704</v>
      </c>
      <c r="L10" s="9" t="n">
        <v>6278</v>
      </c>
      <c r="M10" s="11" t="s">
        <v>36</v>
      </c>
      <c r="N10" s="11" t="s">
        <v>37</v>
      </c>
      <c r="P10" s="9" t="n">
        <v>104</v>
      </c>
      <c r="Q10" s="11" t="s">
        <v>38</v>
      </c>
      <c r="R10" s="11" t="s">
        <v>39</v>
      </c>
      <c r="S10" s="9" t="n">
        <v>4210204</v>
      </c>
      <c r="T10" s="11" t="s">
        <v>40</v>
      </c>
      <c r="U10" s="12" t="n">
        <v>666.67</v>
      </c>
      <c r="W10" s="12" t="n">
        <v>0</v>
      </c>
      <c r="X10" s="11" t="s">
        <v>41</v>
      </c>
      <c r="Z10" s="0" t="str">
        <f aca="false">IF($T10="","",IFERROR(INDEX('Resumo Grupos'!$AC$3:$AC$200,MATCH($T10,'Resumo Grupos'!$AB$3:$AB$200,0)),"n/d"))</f>
        <v>Despesa</v>
      </c>
      <c r="AA10" s="0" t="str">
        <f aca="false">IF($T10="","",IF(COUNTIF('Resumo Grupos'!$AE$3:$AE$40,$T10)&gt;0,"NAO","SIM"))</f>
        <v>SIM</v>
      </c>
      <c r="AB10" s="0" t="str">
        <f aca="false">IFERROR(INDEX('Mov Entradas (Rel 10497)'!$L:$L,MATCH(AC10,'Mov Entradas (Rel 10497)'!$I:$I,0)),"nao encontrado")</f>
        <v>nao encontrado</v>
      </c>
      <c r="AC10" s="0" t="n">
        <v>6278</v>
      </c>
    </row>
    <row r="11" customFormat="false" ht="36.75" hidden="false" customHeight="true" outlineLevel="0" collapsed="false">
      <c r="A11" s="9" t="n">
        <v>2</v>
      </c>
      <c r="B11" s="10" t="n">
        <v>46130</v>
      </c>
      <c r="C11" s="10" t="n">
        <v>46174</v>
      </c>
      <c r="D11" s="9" t="n">
        <v>875</v>
      </c>
      <c r="E11" s="11" t="s">
        <v>42</v>
      </c>
      <c r="F11" s="9" t="n">
        <v>47</v>
      </c>
      <c r="G11" s="11" t="s">
        <v>34</v>
      </c>
      <c r="H11" s="9" t="n">
        <v>2110101</v>
      </c>
      <c r="I11" s="11" t="s">
        <v>43</v>
      </c>
      <c r="J11" s="9" t="n">
        <v>969379</v>
      </c>
      <c r="L11" s="9" t="n">
        <v>128358</v>
      </c>
      <c r="M11" s="11" t="s">
        <v>44</v>
      </c>
      <c r="N11" s="11" t="s">
        <v>45</v>
      </c>
      <c r="P11" s="9" t="n">
        <v>113</v>
      </c>
      <c r="Q11" s="11" t="s">
        <v>46</v>
      </c>
      <c r="R11" s="11" t="s">
        <v>47</v>
      </c>
      <c r="S11" s="9" t="n">
        <v>1130101</v>
      </c>
      <c r="T11" s="11" t="s">
        <v>48</v>
      </c>
      <c r="U11" s="12" t="n">
        <v>906.75</v>
      </c>
      <c r="W11" s="12" t="n">
        <v>0</v>
      </c>
      <c r="X11" s="11" t="s">
        <v>49</v>
      </c>
      <c r="Z11" s="0" t="str">
        <f aca="false">IF($T11="","",IFERROR(INDEX('Resumo Grupos'!$AC$3:$AC$200,MATCH($T11,'Resumo Grupos'!$AB$3:$AB$200,0)),"n/d"))</f>
        <v>Mercadoria</v>
      </c>
      <c r="AA11" s="0" t="str">
        <f aca="false">IF($T11="","",IF(COUNTIF('Resumo Grupos'!$AE$3:$AE$40,$T11)&gt;0,"NAO","SIM"))</f>
        <v>SIM</v>
      </c>
      <c r="AB11" s="0" t="str">
        <f aca="false">IFERROR(INDEX('Mov Entradas (Rel 10497)'!$L:$L,MATCH(AC11,'Mov Entradas (Rel 10497)'!$I:$I,0)),"nao encontrado")</f>
        <v>nao encontrado</v>
      </c>
      <c r="AC11" s="0" t="n">
        <v>1768</v>
      </c>
    </row>
    <row r="12" customFormat="false" ht="36.75" hidden="false" customHeight="true" outlineLevel="0" collapsed="false">
      <c r="A12" s="9" t="n">
        <v>2</v>
      </c>
      <c r="B12" s="10" t="n">
        <v>46153</v>
      </c>
      <c r="C12" s="10" t="n">
        <v>46174</v>
      </c>
      <c r="D12" s="9" t="n">
        <v>1613</v>
      </c>
      <c r="E12" s="11" t="s">
        <v>50</v>
      </c>
      <c r="F12" s="9" t="n">
        <v>24</v>
      </c>
      <c r="G12" s="11" t="s">
        <v>51</v>
      </c>
      <c r="H12" s="9" t="n">
        <v>2110101</v>
      </c>
      <c r="I12" s="11" t="s">
        <v>43</v>
      </c>
      <c r="J12" s="9" t="n">
        <v>1166437</v>
      </c>
      <c r="L12" s="9" t="n">
        <v>155223</v>
      </c>
      <c r="M12" s="11" t="s">
        <v>52</v>
      </c>
      <c r="N12" s="11" t="s">
        <v>45</v>
      </c>
      <c r="P12" s="9" t="n">
        <v>113</v>
      </c>
      <c r="Q12" s="11" t="s">
        <v>46</v>
      </c>
      <c r="R12" s="11" t="s">
        <v>47</v>
      </c>
      <c r="S12" s="9" t="n">
        <v>1130101</v>
      </c>
      <c r="T12" s="11" t="s">
        <v>48</v>
      </c>
      <c r="U12" s="12" t="n">
        <v>788.13</v>
      </c>
      <c r="W12" s="12" t="n">
        <v>0</v>
      </c>
      <c r="X12" s="11" t="s">
        <v>53</v>
      </c>
      <c r="Z12" s="0" t="str">
        <f aca="false">IF($T12="","",IFERROR(INDEX('Resumo Grupos'!$AC$3:$AC$200,MATCH($T12,'Resumo Grupos'!$AB$3:$AB$200,0)),"n/d"))</f>
        <v>Mercadoria</v>
      </c>
      <c r="AA12" s="0" t="str">
        <f aca="false">IF($T12="","",IF(COUNTIF('Resumo Grupos'!$AE$3:$AE$40,$T12)&gt;0,"NAO","SIM"))</f>
        <v>SIM</v>
      </c>
      <c r="AB12" s="0" t="str">
        <f aca="false">IFERROR(INDEX('Mov Entradas (Rel 10497)'!$L:$L,MATCH(AC12,'Mov Entradas (Rel 10497)'!$I:$I,0)),"nao encontrado")</f>
        <v>nao encontrado</v>
      </c>
      <c r="AC12" s="0" t="n">
        <v>1583975</v>
      </c>
    </row>
    <row r="13" customFormat="false" ht="36.75" hidden="false" customHeight="true" outlineLevel="0" collapsed="false">
      <c r="A13" s="9" t="n">
        <v>2</v>
      </c>
      <c r="B13" s="10" t="n">
        <v>46174</v>
      </c>
      <c r="C13" s="10" t="n">
        <v>46174</v>
      </c>
      <c r="D13" s="9" t="n">
        <v>1792</v>
      </c>
      <c r="E13" s="11" t="s">
        <v>54</v>
      </c>
      <c r="F13" s="9" t="n">
        <v>34</v>
      </c>
      <c r="G13" s="11" t="s">
        <v>55</v>
      </c>
      <c r="H13" s="9" t="n">
        <v>2110405</v>
      </c>
      <c r="I13" s="11" t="s">
        <v>56</v>
      </c>
      <c r="J13" s="9" t="n">
        <v>1435822</v>
      </c>
      <c r="L13" s="9" t="n">
        <v>193976</v>
      </c>
      <c r="M13" s="11" t="s">
        <v>52</v>
      </c>
      <c r="N13" s="11" t="s">
        <v>45</v>
      </c>
      <c r="P13" s="9" t="n">
        <v>101</v>
      </c>
      <c r="Q13" s="11" t="s">
        <v>57</v>
      </c>
      <c r="R13" s="11" t="s">
        <v>58</v>
      </c>
      <c r="S13" s="9" t="n">
        <v>1240203</v>
      </c>
      <c r="T13" s="11" t="s">
        <v>59</v>
      </c>
      <c r="U13" s="12" t="n">
        <v>404.78</v>
      </c>
      <c r="W13" s="12" t="n">
        <v>0</v>
      </c>
      <c r="X13" s="11" t="s">
        <v>60</v>
      </c>
      <c r="Z13" s="0" t="str">
        <f aca="false">IF($T13="","",IFERROR(INDEX('Resumo Grupos'!$AC$3:$AC$200,MATCH($T13,'Resumo Grupos'!$AB$3:$AB$200,0)),"n/d"))</f>
        <v>Despesa</v>
      </c>
      <c r="AA13" s="0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9" t="n">
        <v>2</v>
      </c>
      <c r="B14" s="10" t="n">
        <v>46163</v>
      </c>
      <c r="C14" s="10" t="n">
        <v>46174</v>
      </c>
      <c r="D14" s="9" t="n">
        <v>1636</v>
      </c>
      <c r="E14" s="11" t="s">
        <v>61</v>
      </c>
      <c r="F14" s="9" t="n">
        <v>24</v>
      </c>
      <c r="G14" s="11" t="s">
        <v>51</v>
      </c>
      <c r="H14" s="9" t="n">
        <v>2110101</v>
      </c>
      <c r="I14" s="11" t="s">
        <v>43</v>
      </c>
      <c r="J14" s="9" t="n">
        <v>1131611</v>
      </c>
      <c r="L14" s="9" t="n">
        <v>150117</v>
      </c>
      <c r="M14" s="11" t="s">
        <v>52</v>
      </c>
      <c r="N14" s="11" t="s">
        <v>45</v>
      </c>
      <c r="P14" s="9" t="n">
        <v>113</v>
      </c>
      <c r="Q14" s="11" t="s">
        <v>46</v>
      </c>
      <c r="R14" s="11" t="s">
        <v>47</v>
      </c>
      <c r="S14" s="9" t="n">
        <v>1130101</v>
      </c>
      <c r="T14" s="11" t="s">
        <v>48</v>
      </c>
      <c r="U14" s="12" t="n">
        <v>389.51</v>
      </c>
      <c r="W14" s="12" t="n">
        <v>0</v>
      </c>
      <c r="X14" s="11" t="s">
        <v>62</v>
      </c>
      <c r="Z14" s="0" t="str">
        <f aca="false">IF($T14="","",IFERROR(INDEX('Resumo Grupos'!$AC$3:$AC$200,MATCH($T14,'Resumo Grupos'!$AB$3:$AB$200,0)),"n/d"))</f>
        <v>Mercadoria</v>
      </c>
      <c r="AA14" s="0" t="str">
        <f aca="false">IF($T14="","",IF(COUNTIF('Resumo Grupos'!$AE$3:$AE$40,$T14)&gt;0,"NAO","SIM"))</f>
        <v>SIM</v>
      </c>
      <c r="AB14" s="0" t="str">
        <f aca="false">IFERROR(INDEX('Mov Entradas (Rel 10497)'!$L:$L,MATCH(AC14,'Mov Entradas (Rel 10497)'!$I:$I,0)),"nao encontrado")</f>
        <v>nao encontrado</v>
      </c>
      <c r="AC14" s="0" t="n">
        <v>3188783</v>
      </c>
    </row>
    <row r="15" customFormat="false" ht="45.75" hidden="false" customHeight="true" outlineLevel="0" collapsed="false">
      <c r="A15" s="9" t="n">
        <v>2</v>
      </c>
      <c r="B15" s="10" t="n">
        <v>46163</v>
      </c>
      <c r="C15" s="10" t="n">
        <v>46174</v>
      </c>
      <c r="D15" s="9" t="n">
        <v>1636</v>
      </c>
      <c r="E15" s="11" t="s">
        <v>61</v>
      </c>
      <c r="F15" s="9" t="n">
        <v>24</v>
      </c>
      <c r="G15" s="11" t="s">
        <v>51</v>
      </c>
      <c r="H15" s="9" t="n">
        <v>2110101</v>
      </c>
      <c r="I15" s="11" t="s">
        <v>43</v>
      </c>
      <c r="J15" s="9" t="n">
        <v>1131755</v>
      </c>
      <c r="L15" s="9" t="n">
        <v>150154</v>
      </c>
      <c r="M15" s="11" t="s">
        <v>52</v>
      </c>
      <c r="N15" s="11" t="s">
        <v>45</v>
      </c>
      <c r="P15" s="9" t="n">
        <v>113</v>
      </c>
      <c r="Q15" s="11" t="s">
        <v>46</v>
      </c>
      <c r="R15" s="11" t="s">
        <v>47</v>
      </c>
      <c r="S15" s="9" t="n">
        <v>1130101</v>
      </c>
      <c r="T15" s="11" t="s">
        <v>48</v>
      </c>
      <c r="U15" s="12" t="n">
        <v>1560.38</v>
      </c>
      <c r="W15" s="12" t="n">
        <v>0</v>
      </c>
      <c r="X15" s="11" t="s">
        <v>63</v>
      </c>
      <c r="Z15" s="0" t="str">
        <f aca="false">IF($T15="","",IFERROR(INDEX('Resumo Grupos'!$AC$3:$AC$200,MATCH($T15,'Resumo Grupos'!$AB$3:$AB$200,0)),"n/d"))</f>
        <v>Mercadoria</v>
      </c>
      <c r="AA15" s="0" t="str">
        <f aca="false">IF($T15="","",IF(COUNTIF('Resumo Grupos'!$AE$3:$AE$40,$T15)&gt;0,"NAO","SIM"))</f>
        <v>SIM</v>
      </c>
      <c r="AB15" s="0" t="str">
        <f aca="false">IFERROR(INDEX('Mov Entradas (Rel 10497)'!$L:$L,MATCH(AC15,'Mov Entradas (Rel 10497)'!$I:$I,0)),"nao encontrado")</f>
        <v>nao encontrado</v>
      </c>
      <c r="AC15" s="0" t="n">
        <v>3188782</v>
      </c>
    </row>
    <row r="16" customFormat="false" ht="45.75" hidden="false" customHeight="true" outlineLevel="0" collapsed="false">
      <c r="A16" s="9" t="n">
        <v>2</v>
      </c>
      <c r="B16" s="10" t="n">
        <v>46154</v>
      </c>
      <c r="C16" s="10" t="n">
        <v>46174</v>
      </c>
      <c r="D16" s="9" t="n">
        <v>1616</v>
      </c>
      <c r="E16" s="11" t="s">
        <v>64</v>
      </c>
      <c r="F16" s="9" t="n">
        <v>24</v>
      </c>
      <c r="G16" s="11" t="s">
        <v>51</v>
      </c>
      <c r="H16" s="9" t="n">
        <v>2110101</v>
      </c>
      <c r="I16" s="11" t="s">
        <v>43</v>
      </c>
      <c r="J16" s="9" t="n">
        <v>1088464</v>
      </c>
      <c r="L16" s="9" t="n">
        <v>641255</v>
      </c>
      <c r="M16" s="11" t="s">
        <v>44</v>
      </c>
      <c r="N16" s="11" t="s">
        <v>37</v>
      </c>
      <c r="P16" s="9" t="n">
        <v>113</v>
      </c>
      <c r="Q16" s="11" t="s">
        <v>46</v>
      </c>
      <c r="R16" s="11" t="s">
        <v>47</v>
      </c>
      <c r="S16" s="9" t="n">
        <v>1130101</v>
      </c>
      <c r="T16" s="11" t="s">
        <v>48</v>
      </c>
      <c r="U16" s="12" t="n">
        <v>346.6</v>
      </c>
      <c r="W16" s="12" t="n">
        <v>0</v>
      </c>
      <c r="X16" s="11" t="s">
        <v>65</v>
      </c>
      <c r="Z16" s="0" t="str">
        <f aca="false">IF($T16="","",IFERROR(INDEX('Resumo Grupos'!$AC$3:$AC$200,MATCH($T16,'Resumo Grupos'!$AB$3:$AB$200,0)),"n/d"))</f>
        <v>Mercadoria</v>
      </c>
      <c r="AA16" s="0" t="str">
        <f aca="false">IF($T16="","",IF(COUNTIF('Resumo Grupos'!$AE$3:$AE$40,$T16)&gt;0,"NAO","SIM"))</f>
        <v>SIM</v>
      </c>
      <c r="AB16" s="0" t="str">
        <f aca="false">IFERROR(INDEX('Mov Entradas (Rel 10497)'!$L:$L,MATCH(AC16,'Mov Entradas (Rel 10497)'!$I:$I,0)),"nao encontrado")</f>
        <v>nao encontrado</v>
      </c>
      <c r="AC16" s="0" t="n">
        <v>641255</v>
      </c>
    </row>
    <row r="17" customFormat="false" ht="27.75" hidden="false" customHeight="true" outlineLevel="0" collapsed="false">
      <c r="A17" s="9" t="n">
        <v>2</v>
      </c>
      <c r="B17" s="10" t="n">
        <v>46105</v>
      </c>
      <c r="C17" s="10" t="n">
        <v>46174</v>
      </c>
      <c r="D17" s="9" t="n">
        <v>1958</v>
      </c>
      <c r="E17" s="11" t="s">
        <v>66</v>
      </c>
      <c r="F17" s="9" t="n">
        <v>47</v>
      </c>
      <c r="G17" s="11" t="s">
        <v>34</v>
      </c>
      <c r="H17" s="9" t="n">
        <v>2110405</v>
      </c>
      <c r="I17" s="11" t="s">
        <v>56</v>
      </c>
      <c r="J17" s="9" t="n">
        <v>846735</v>
      </c>
      <c r="L17" s="9" t="n">
        <v>111490</v>
      </c>
      <c r="M17" s="11" t="s">
        <v>67</v>
      </c>
      <c r="N17" s="11" t="s">
        <v>45</v>
      </c>
      <c r="P17" s="9" t="n">
        <v>113</v>
      </c>
      <c r="Q17" s="11" t="s">
        <v>46</v>
      </c>
      <c r="R17" s="11" t="s">
        <v>39</v>
      </c>
      <c r="S17" s="9" t="n">
        <v>4210227</v>
      </c>
      <c r="T17" s="11" t="s">
        <v>68</v>
      </c>
      <c r="U17" s="12" t="n">
        <v>154.66</v>
      </c>
      <c r="W17" s="12" t="n">
        <v>0</v>
      </c>
      <c r="X17" s="11" t="s">
        <v>69</v>
      </c>
      <c r="Z17" s="0" t="str">
        <f aca="false">IF($T17="","",IFERROR(INDEX('Resumo Grupos'!$AC$3:$AC$200,MATCH($T17,'Resumo Grupos'!$AB$3:$AB$200,0)),"n/d"))</f>
        <v>Despesa</v>
      </c>
      <c r="AA17" s="0" t="str">
        <f aca="false">IF($T17="","",IF(COUNTIF('Resumo Grupos'!$AE$3:$AE$40,$T17)&gt;0,"NAO","SIM"))</f>
        <v>SIM</v>
      </c>
      <c r="AB17" s="0" t="str">
        <f aca="false">IFERROR(INDEX('Mov Entradas (Rel 10497)'!$L:$L,MATCH(AC17,'Mov Entradas (Rel 10497)'!$I:$I,0)),"nao encontrado")</f>
        <v>nao encontrado</v>
      </c>
      <c r="AC17" s="0" t="n">
        <v>167571</v>
      </c>
    </row>
    <row r="18" customFormat="false" ht="27.75" hidden="false" customHeight="true" outlineLevel="0" collapsed="false">
      <c r="A18" s="9" t="n">
        <v>2</v>
      </c>
      <c r="B18" s="10" t="n">
        <v>46174</v>
      </c>
      <c r="C18" s="10" t="n">
        <v>46174</v>
      </c>
      <c r="D18" s="9" t="n">
        <v>73</v>
      </c>
      <c r="E18" s="11" t="s">
        <v>70</v>
      </c>
      <c r="F18" s="9" t="n">
        <v>34</v>
      </c>
      <c r="G18" s="11" t="s">
        <v>55</v>
      </c>
      <c r="H18" s="9" t="n">
        <v>2110405</v>
      </c>
      <c r="I18" s="11" t="s">
        <v>56</v>
      </c>
      <c r="J18" s="9" t="n">
        <v>1188537</v>
      </c>
      <c r="L18" s="9" t="n">
        <v>158303</v>
      </c>
      <c r="M18" s="11" t="s">
        <v>52</v>
      </c>
      <c r="N18" s="11" t="s">
        <v>45</v>
      </c>
      <c r="P18" s="9" t="n">
        <v>113</v>
      </c>
      <c r="Q18" s="11" t="s">
        <v>46</v>
      </c>
      <c r="R18" s="11" t="s">
        <v>71</v>
      </c>
      <c r="S18" s="9" t="n">
        <v>4210309</v>
      </c>
      <c r="T18" s="11" t="s">
        <v>72</v>
      </c>
      <c r="U18" s="12" t="n">
        <v>250</v>
      </c>
      <c r="W18" s="12" t="n">
        <v>0</v>
      </c>
      <c r="X18" s="11" t="s">
        <v>73</v>
      </c>
      <c r="Z18" s="0" t="str">
        <f aca="false">IF($T18="","",IFERROR(INDEX('Resumo Grupos'!$AC$3:$AC$200,MATCH($T18,'Resumo Grupos'!$AB$3:$AB$200,0)),"n/d"))</f>
        <v>Salários</v>
      </c>
      <c r="AA18" s="0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9" t="n">
        <v>2</v>
      </c>
      <c r="B19" s="10" t="n">
        <v>46153</v>
      </c>
      <c r="C19" s="10" t="n">
        <v>46174</v>
      </c>
      <c r="D19" s="9" t="n">
        <v>1612</v>
      </c>
      <c r="E19" s="11" t="s">
        <v>74</v>
      </c>
      <c r="F19" s="9" t="n">
        <v>24</v>
      </c>
      <c r="G19" s="11" t="s">
        <v>51</v>
      </c>
      <c r="H19" s="9" t="n">
        <v>2110101</v>
      </c>
      <c r="I19" s="11" t="s">
        <v>43</v>
      </c>
      <c r="J19" s="9" t="n">
        <v>1084481</v>
      </c>
      <c r="L19" s="9" t="n">
        <v>2282942</v>
      </c>
      <c r="M19" s="11" t="s">
        <v>44</v>
      </c>
      <c r="N19" s="11" t="s">
        <v>37</v>
      </c>
      <c r="P19" s="9" t="n">
        <v>113</v>
      </c>
      <c r="Q19" s="11" t="s">
        <v>46</v>
      </c>
      <c r="R19" s="11" t="s">
        <v>47</v>
      </c>
      <c r="S19" s="9" t="n">
        <v>1130101</v>
      </c>
      <c r="T19" s="11" t="s">
        <v>48</v>
      </c>
      <c r="U19" s="12" t="n">
        <v>100.36</v>
      </c>
      <c r="W19" s="12" t="n">
        <v>0</v>
      </c>
      <c r="X19" s="11" t="s">
        <v>75</v>
      </c>
      <c r="Z19" s="0" t="str">
        <f aca="false">IF($T19="","",IFERROR(INDEX('Resumo Grupos'!$AC$3:$AC$200,MATCH($T19,'Resumo Grupos'!$AB$3:$AB$200,0)),"n/d"))</f>
        <v>Mercadoria</v>
      </c>
      <c r="AA19" s="0" t="str">
        <f aca="false">IF($T19="","",IF(COUNTIF('Resumo Grupos'!$AE$3:$AE$40,$T19)&gt;0,"NAO","SIM"))</f>
        <v>SIM</v>
      </c>
      <c r="AB19" s="0" t="str">
        <f aca="false">IFERROR(INDEX('Mov Entradas (Rel 10497)'!$L:$L,MATCH(AC19,'Mov Entradas (Rel 10497)'!$I:$I,0)),"nao encontrado")</f>
        <v>nao encontrado</v>
      </c>
      <c r="AC19" s="0" t="n">
        <v>2282942</v>
      </c>
    </row>
    <row r="20" customFormat="false" ht="45.75" hidden="false" customHeight="true" outlineLevel="0" collapsed="false">
      <c r="A20" s="9" t="n">
        <v>2</v>
      </c>
      <c r="B20" s="10" t="n">
        <v>46153</v>
      </c>
      <c r="C20" s="10" t="n">
        <v>46174</v>
      </c>
      <c r="D20" s="9" t="n">
        <v>1612</v>
      </c>
      <c r="E20" s="11" t="s">
        <v>74</v>
      </c>
      <c r="F20" s="9" t="n">
        <v>24</v>
      </c>
      <c r="G20" s="11" t="s">
        <v>51</v>
      </c>
      <c r="H20" s="9" t="n">
        <v>2110101</v>
      </c>
      <c r="I20" s="11" t="s">
        <v>43</v>
      </c>
      <c r="J20" s="9" t="n">
        <v>1084736</v>
      </c>
      <c r="L20" s="9" t="n">
        <v>2282943</v>
      </c>
      <c r="M20" s="11" t="s">
        <v>44</v>
      </c>
      <c r="N20" s="11" t="s">
        <v>37</v>
      </c>
      <c r="P20" s="9" t="n">
        <v>113</v>
      </c>
      <c r="Q20" s="11" t="s">
        <v>46</v>
      </c>
      <c r="R20" s="11" t="s">
        <v>47</v>
      </c>
      <c r="S20" s="9" t="n">
        <v>1130101</v>
      </c>
      <c r="T20" s="11" t="s">
        <v>48</v>
      </c>
      <c r="U20" s="12" t="n">
        <v>628.88</v>
      </c>
      <c r="W20" s="12" t="n">
        <v>0</v>
      </c>
      <c r="X20" s="11" t="s">
        <v>76</v>
      </c>
      <c r="Z20" s="0" t="str">
        <f aca="false">IF($T20="","",IFERROR(INDEX('Resumo Grupos'!$AC$3:$AC$200,MATCH($T20,'Resumo Grupos'!$AB$3:$AB$200,0)),"n/d"))</f>
        <v>Mercadoria</v>
      </c>
      <c r="AA20" s="0" t="str">
        <f aca="false">IF($T20="","",IF(COUNTIF('Resumo Grupos'!$AE$3:$AE$40,$T20)&gt;0,"NAO","SIM"))</f>
        <v>SIM</v>
      </c>
      <c r="AB20" s="0" t="str">
        <f aca="false">IFERROR(INDEX('Mov Entradas (Rel 10497)'!$L:$L,MATCH(AC20,'Mov Entradas (Rel 10497)'!$I:$I,0)),"nao encontrado")</f>
        <v>nao encontrado</v>
      </c>
      <c r="AC20" s="0" t="n">
        <v>2282943</v>
      </c>
    </row>
    <row r="21" customFormat="false" ht="45.75" hidden="false" customHeight="true" outlineLevel="0" collapsed="false">
      <c r="A21" s="9" t="n">
        <v>2</v>
      </c>
      <c r="B21" s="10" t="n">
        <v>46160</v>
      </c>
      <c r="C21" s="10" t="n">
        <v>46174</v>
      </c>
      <c r="D21" s="9" t="n">
        <v>1626</v>
      </c>
      <c r="E21" s="11" t="s">
        <v>77</v>
      </c>
      <c r="F21" s="9" t="n">
        <v>24</v>
      </c>
      <c r="G21" s="11" t="s">
        <v>51</v>
      </c>
      <c r="H21" s="9" t="n">
        <v>2110101</v>
      </c>
      <c r="I21" s="11" t="s">
        <v>43</v>
      </c>
      <c r="J21" s="9" t="n">
        <v>1117731</v>
      </c>
      <c r="L21" s="9" t="n">
        <v>148043</v>
      </c>
      <c r="M21" s="11" t="s">
        <v>52</v>
      </c>
      <c r="N21" s="11" t="s">
        <v>45</v>
      </c>
      <c r="P21" s="9" t="n">
        <v>113</v>
      </c>
      <c r="Q21" s="11" t="s">
        <v>46</v>
      </c>
      <c r="R21" s="11" t="s">
        <v>47</v>
      </c>
      <c r="S21" s="9" t="n">
        <v>1130101</v>
      </c>
      <c r="T21" s="11" t="s">
        <v>48</v>
      </c>
      <c r="U21" s="12" t="n">
        <v>750.79</v>
      </c>
      <c r="W21" s="12" t="n">
        <v>0</v>
      </c>
      <c r="X21" s="11" t="s">
        <v>78</v>
      </c>
      <c r="Z21" s="0" t="str">
        <f aca="false">IF($T21="","",IFERROR(INDEX('Resumo Grupos'!$AC$3:$AC$200,MATCH($T21,'Resumo Grupos'!$AB$3:$AB$200,0)),"n/d"))</f>
        <v>Mercadoria</v>
      </c>
      <c r="AA21" s="0" t="str">
        <f aca="false">IF($T21="","",IF(COUNTIF('Resumo Grupos'!$AE$3:$AE$40,$T21)&gt;0,"NAO","SIM"))</f>
        <v>SIM</v>
      </c>
      <c r="AB21" s="0" t="str">
        <f aca="false">IFERROR(INDEX('Mov Entradas (Rel 10497)'!$L:$L,MATCH(AC21,'Mov Entradas (Rel 10497)'!$I:$I,0)),"nao encontrado")</f>
        <v>nao encontrado</v>
      </c>
      <c r="AC21" s="0" t="n">
        <v>305709</v>
      </c>
    </row>
    <row r="22" customFormat="false" ht="45.75" hidden="false" customHeight="true" outlineLevel="0" collapsed="false">
      <c r="A22" s="9" t="n">
        <v>2</v>
      </c>
      <c r="B22" s="10" t="n">
        <v>45953</v>
      </c>
      <c r="C22" s="10" t="n">
        <v>46174</v>
      </c>
      <c r="D22" s="9" t="n">
        <v>12</v>
      </c>
      <c r="E22" s="11" t="s">
        <v>79</v>
      </c>
      <c r="F22" s="9" t="n">
        <v>47</v>
      </c>
      <c r="G22" s="11" t="s">
        <v>34</v>
      </c>
      <c r="H22" s="9" t="n">
        <v>2110405</v>
      </c>
      <c r="I22" s="11" t="s">
        <v>56</v>
      </c>
      <c r="J22" s="9" t="n">
        <v>194393</v>
      </c>
      <c r="L22" s="9" t="n">
        <v>1</v>
      </c>
      <c r="M22" s="11" t="s">
        <v>80</v>
      </c>
      <c r="N22" s="11" t="s">
        <v>45</v>
      </c>
      <c r="P22" s="9" t="n">
        <v>101</v>
      </c>
      <c r="Q22" s="11" t="s">
        <v>57</v>
      </c>
      <c r="R22" s="11" t="s">
        <v>81</v>
      </c>
      <c r="S22" s="9" t="n">
        <v>4220199</v>
      </c>
      <c r="T22" s="11" t="s">
        <v>82</v>
      </c>
      <c r="U22" s="12" t="n">
        <v>100</v>
      </c>
      <c r="W22" s="12" t="n">
        <v>0</v>
      </c>
      <c r="X22" s="11" t="s">
        <v>83</v>
      </c>
      <c r="Z22" s="0" t="str">
        <f aca="false">IF($T22="","",IFERROR(INDEX('Resumo Grupos'!$AC$3:$AC$200,MATCH($T22,'Resumo Grupos'!$AB$3:$AB$200,0)),"n/d"))</f>
        <v>Pagamentos outros não operacionais</v>
      </c>
      <c r="AA22" s="0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9" t="n">
        <v>2</v>
      </c>
      <c r="B23" s="10" t="n">
        <v>46167</v>
      </c>
      <c r="C23" s="10" t="n">
        <v>46174</v>
      </c>
      <c r="D23" s="9" t="n">
        <v>1609</v>
      </c>
      <c r="E23" s="11" t="s">
        <v>84</v>
      </c>
      <c r="F23" s="9" t="n">
        <v>24</v>
      </c>
      <c r="G23" s="11" t="s">
        <v>51</v>
      </c>
      <c r="H23" s="9" t="n">
        <v>2110101</v>
      </c>
      <c r="I23" s="11" t="s">
        <v>43</v>
      </c>
      <c r="J23" s="9" t="n">
        <v>1150714</v>
      </c>
      <c r="L23" s="9" t="n">
        <v>5582</v>
      </c>
      <c r="M23" s="11" t="s">
        <v>52</v>
      </c>
      <c r="N23" s="11" t="s">
        <v>37</v>
      </c>
      <c r="P23" s="9" t="n">
        <v>113</v>
      </c>
      <c r="Q23" s="11" t="s">
        <v>46</v>
      </c>
      <c r="R23" s="11" t="s">
        <v>47</v>
      </c>
      <c r="S23" s="9" t="n">
        <v>1130101</v>
      </c>
      <c r="T23" s="11" t="s">
        <v>48</v>
      </c>
      <c r="U23" s="12" t="n">
        <v>536.65</v>
      </c>
      <c r="W23" s="12" t="n">
        <v>0</v>
      </c>
      <c r="X23" s="11" t="s">
        <v>85</v>
      </c>
      <c r="Z23" s="0" t="str">
        <f aca="false">IF($T23="","",IFERROR(INDEX('Resumo Grupos'!$AC$3:$AC$200,MATCH($T23,'Resumo Grupos'!$AB$3:$AB$200,0)),"n/d"))</f>
        <v>Mercadoria</v>
      </c>
      <c r="AA23" s="0" t="str">
        <f aca="false">IF($T23="","",IF(COUNTIF('Resumo Grupos'!$AE$3:$AE$40,$T23)&gt;0,"NAO","SIM"))</f>
        <v>SIM</v>
      </c>
      <c r="AB23" s="0" t="str">
        <f aca="false">IFERROR(INDEX('Mov Entradas (Rel 10497)'!$L:$L,MATCH(AC23,'Mov Entradas (Rel 10497)'!$I:$I,0)),"nao encontrado")</f>
        <v>nao encontrado</v>
      </c>
      <c r="AC23" s="0" t="n">
        <v>5582</v>
      </c>
    </row>
    <row r="24" customFormat="false" ht="36.75" hidden="false" customHeight="true" outlineLevel="0" collapsed="false">
      <c r="A24" s="9" t="n">
        <v>2</v>
      </c>
      <c r="B24" s="10" t="n">
        <v>46171</v>
      </c>
      <c r="C24" s="10" t="n">
        <v>46174</v>
      </c>
      <c r="D24" s="9" t="n">
        <v>10035</v>
      </c>
      <c r="E24" s="11" t="s">
        <v>86</v>
      </c>
      <c r="F24" s="9" t="n">
        <v>34</v>
      </c>
      <c r="G24" s="11" t="s">
        <v>55</v>
      </c>
      <c r="H24" s="9" t="n">
        <v>2110101</v>
      </c>
      <c r="I24" s="11" t="s">
        <v>43</v>
      </c>
      <c r="J24" s="9" t="n">
        <v>1170703</v>
      </c>
      <c r="L24" s="9" t="n">
        <v>287</v>
      </c>
      <c r="M24" s="11" t="s">
        <v>52</v>
      </c>
      <c r="N24" s="11" t="s">
        <v>37</v>
      </c>
      <c r="P24" s="9" t="n">
        <v>113</v>
      </c>
      <c r="Q24" s="11" t="s">
        <v>46</v>
      </c>
      <c r="R24" s="11" t="s">
        <v>47</v>
      </c>
      <c r="S24" s="9" t="n">
        <v>1130101</v>
      </c>
      <c r="T24" s="11" t="s">
        <v>48</v>
      </c>
      <c r="U24" s="12" t="n">
        <v>212</v>
      </c>
      <c r="W24" s="12" t="n">
        <v>0</v>
      </c>
      <c r="X24" s="11" t="s">
        <v>87</v>
      </c>
      <c r="Z24" s="0" t="str">
        <f aca="false">IF($T24="","",IFERROR(INDEX('Resumo Grupos'!$AC$3:$AC$200,MATCH($T24,'Resumo Grupos'!$AB$3:$AB$200,0)),"n/d"))</f>
        <v>Mercadoria</v>
      </c>
      <c r="AA24" s="0" t="str">
        <f aca="false">IF($T24="","",IF(COUNTIF('Resumo Grupos'!$AE$3:$AE$40,$T24)&gt;0,"NAO","SIM"))</f>
        <v>SIM</v>
      </c>
      <c r="AB24" s="0" t="str">
        <f aca="false">IFERROR(INDEX('Mov Entradas (Rel 10497)'!$L:$L,MATCH(AC24,'Mov Entradas (Rel 10497)'!$I:$I,0)),"nao encontrado")</f>
        <v>OVOS BRANCO UNID</v>
      </c>
      <c r="AC24" s="0" t="n">
        <v>287</v>
      </c>
    </row>
    <row r="25" customFormat="false" ht="45.75" hidden="false" customHeight="true" outlineLevel="0" collapsed="false">
      <c r="A25" s="9" t="n">
        <v>2</v>
      </c>
      <c r="B25" s="10" t="n">
        <v>46055</v>
      </c>
      <c r="C25" s="10" t="n">
        <v>46174</v>
      </c>
      <c r="D25" s="9" t="n">
        <v>10039</v>
      </c>
      <c r="E25" s="11" t="s">
        <v>88</v>
      </c>
      <c r="F25" s="9" t="n">
        <v>47</v>
      </c>
      <c r="G25" s="11" t="s">
        <v>34</v>
      </c>
      <c r="H25" s="9" t="n">
        <v>2110405</v>
      </c>
      <c r="I25" s="11" t="s">
        <v>56</v>
      </c>
      <c r="J25" s="9" t="n">
        <v>846832</v>
      </c>
      <c r="L25" s="9" t="n">
        <v>111506</v>
      </c>
      <c r="M25" s="11" t="s">
        <v>89</v>
      </c>
      <c r="N25" s="11" t="s">
        <v>45</v>
      </c>
      <c r="P25" s="9" t="n">
        <v>113</v>
      </c>
      <c r="Q25" s="11" t="s">
        <v>46</v>
      </c>
      <c r="R25" s="11" t="s">
        <v>39</v>
      </c>
      <c r="S25" s="9" t="n">
        <v>4210227</v>
      </c>
      <c r="T25" s="11" t="s">
        <v>68</v>
      </c>
      <c r="U25" s="12" t="n">
        <v>378.82</v>
      </c>
      <c r="W25" s="12" t="n">
        <v>0</v>
      </c>
      <c r="X25" s="11" t="s">
        <v>90</v>
      </c>
      <c r="Z25" s="0" t="str">
        <f aca="false">IF($T25="","",IFERROR(INDEX('Resumo Grupos'!$AC$3:$AC$200,MATCH($T25,'Resumo Grupos'!$AB$3:$AB$200,0)),"n/d"))</f>
        <v>Despesa</v>
      </c>
      <c r="AA25" s="0" t="str">
        <f aca="false">IF($T25="","",IF(COUNTIF('Resumo Grupos'!$AE$3:$AE$40,$T25)&gt;0,"NAO","SIM"))</f>
        <v>SIM</v>
      </c>
      <c r="AB25" s="0" t="str">
        <f aca="false">IFERROR(INDEX('Mov Entradas (Rel 10497)'!$L:$L,MATCH(AC25,'Mov Entradas (Rel 10497)'!$I:$I,0)),"nao encontrado")</f>
        <v>nao encontrado</v>
      </c>
      <c r="AC25" s="0" t="n">
        <v>258</v>
      </c>
    </row>
    <row r="26" customFormat="false" ht="45.75" hidden="false" customHeight="true" outlineLevel="0" collapsed="false">
      <c r="A26" s="9" t="n">
        <v>2</v>
      </c>
      <c r="B26" s="10" t="n">
        <v>46048</v>
      </c>
      <c r="C26" s="10" t="n">
        <v>46174</v>
      </c>
      <c r="D26" s="9" t="n">
        <v>925</v>
      </c>
      <c r="E26" s="11" t="s">
        <v>91</v>
      </c>
      <c r="F26" s="9" t="n">
        <v>47</v>
      </c>
      <c r="G26" s="11" t="s">
        <v>34</v>
      </c>
      <c r="H26" s="9" t="n">
        <v>2110102</v>
      </c>
      <c r="I26" s="11" t="s">
        <v>35</v>
      </c>
      <c r="J26" s="9" t="n">
        <v>584985</v>
      </c>
      <c r="L26" s="9" t="n">
        <v>7267</v>
      </c>
      <c r="M26" s="11" t="s">
        <v>36</v>
      </c>
      <c r="N26" s="11" t="s">
        <v>37</v>
      </c>
      <c r="P26" s="9" t="n">
        <v>104</v>
      </c>
      <c r="Q26" s="11" t="s">
        <v>38</v>
      </c>
      <c r="R26" s="11" t="s">
        <v>39</v>
      </c>
      <c r="S26" s="9" t="n">
        <v>4210204</v>
      </c>
      <c r="T26" s="11" t="s">
        <v>40</v>
      </c>
      <c r="U26" s="12" t="n">
        <v>165</v>
      </c>
      <c r="W26" s="12" t="n">
        <v>0</v>
      </c>
      <c r="X26" s="11" t="s">
        <v>92</v>
      </c>
      <c r="Z26" s="0" t="str">
        <f aca="false">IF($T26="","",IFERROR(INDEX('Resumo Grupos'!$AC$3:$AC$200,MATCH($T26,'Resumo Grupos'!$AB$3:$AB$200,0)),"n/d"))</f>
        <v>Despesa</v>
      </c>
      <c r="AA26" s="0" t="str">
        <f aca="false">IF($T26="","",IF(COUNTIF('Resumo Grupos'!$AE$3:$AE$40,$T26)&gt;0,"NAO","SIM"))</f>
        <v>SIM</v>
      </c>
      <c r="AB26" s="0" t="str">
        <f aca="false">IFERROR(INDEX('Mov Entradas (Rel 10497)'!$L:$L,MATCH(AC26,'Mov Entradas (Rel 10497)'!$I:$I,0)),"nao encontrado")</f>
        <v>nao encontrado</v>
      </c>
      <c r="AC26" s="0" t="n">
        <v>7267</v>
      </c>
    </row>
    <row r="27" customFormat="false" ht="45.75" hidden="false" customHeight="true" outlineLevel="0" collapsed="false">
      <c r="A27" s="9" t="n">
        <v>2</v>
      </c>
      <c r="B27" s="10" t="n">
        <v>46105</v>
      </c>
      <c r="C27" s="10" t="n">
        <v>46174</v>
      </c>
      <c r="D27" s="9" t="n">
        <v>1960</v>
      </c>
      <c r="E27" s="11" t="s">
        <v>93</v>
      </c>
      <c r="F27" s="9" t="n">
        <v>47</v>
      </c>
      <c r="G27" s="11" t="s">
        <v>34</v>
      </c>
      <c r="H27" s="9" t="n">
        <v>2110405</v>
      </c>
      <c r="I27" s="11" t="s">
        <v>56</v>
      </c>
      <c r="J27" s="9" t="n">
        <v>846762</v>
      </c>
      <c r="L27" s="9" t="n">
        <v>111500</v>
      </c>
      <c r="M27" s="11" t="s">
        <v>67</v>
      </c>
      <c r="N27" s="11" t="s">
        <v>45</v>
      </c>
      <c r="P27" s="9" t="n">
        <v>113</v>
      </c>
      <c r="Q27" s="11" t="s">
        <v>46</v>
      </c>
      <c r="R27" s="11" t="s">
        <v>39</v>
      </c>
      <c r="S27" s="9" t="n">
        <v>4210227</v>
      </c>
      <c r="T27" s="11" t="s">
        <v>68</v>
      </c>
      <c r="U27" s="12" t="n">
        <v>1630</v>
      </c>
      <c r="W27" s="12" t="n">
        <v>0</v>
      </c>
      <c r="X27" s="11" t="s">
        <v>94</v>
      </c>
      <c r="Z27" s="0" t="str">
        <f aca="false">IF($T27="","",IFERROR(INDEX('Resumo Grupos'!$AC$3:$AC$200,MATCH($T27,'Resumo Grupos'!$AB$3:$AB$200,0)),"n/d"))</f>
        <v>Despesa</v>
      </c>
      <c r="AA27" s="0" t="str">
        <f aca="false">IF($T27="","",IF(COUNTIF('Resumo Grupos'!$AE$3:$AE$40,$T27)&gt;0,"NAO","SIM"))</f>
        <v>SIM</v>
      </c>
      <c r="AB27" s="0" t="str">
        <f aca="false">IFERROR(INDEX('Mov Entradas (Rel 10497)'!$L:$L,MATCH(AC27,'Mov Entradas (Rel 10497)'!$I:$I,0)),"nao encontrado")</f>
        <v>nao encontrado</v>
      </c>
      <c r="AC27" s="0" t="n">
        <v>439164</v>
      </c>
    </row>
    <row r="28" customFormat="false" ht="45.75" hidden="false" customHeight="true" outlineLevel="0" collapsed="false">
      <c r="A28" s="9" t="n">
        <v>2</v>
      </c>
      <c r="B28" s="10" t="n">
        <v>46168</v>
      </c>
      <c r="C28" s="10" t="n">
        <v>46174</v>
      </c>
      <c r="D28" s="9" t="n">
        <v>1328</v>
      </c>
      <c r="E28" s="11" t="s">
        <v>95</v>
      </c>
      <c r="F28" s="9" t="n">
        <v>24</v>
      </c>
      <c r="G28" s="11" t="s">
        <v>51</v>
      </c>
      <c r="H28" s="9" t="n">
        <v>2110101</v>
      </c>
      <c r="I28" s="11" t="s">
        <v>43</v>
      </c>
      <c r="J28" s="9" t="n">
        <v>1157986</v>
      </c>
      <c r="L28" s="9" t="n">
        <v>3552</v>
      </c>
      <c r="M28" s="11" t="s">
        <v>52</v>
      </c>
      <c r="N28" s="11" t="s">
        <v>37</v>
      </c>
      <c r="P28" s="9" t="n">
        <v>113</v>
      </c>
      <c r="Q28" s="11" t="s">
        <v>46</v>
      </c>
      <c r="R28" s="11" t="s">
        <v>47</v>
      </c>
      <c r="S28" s="9" t="n">
        <v>1130101</v>
      </c>
      <c r="T28" s="11" t="s">
        <v>48</v>
      </c>
      <c r="U28" s="12" t="n">
        <v>240.98</v>
      </c>
      <c r="W28" s="12" t="n">
        <v>0</v>
      </c>
      <c r="X28" s="11" t="s">
        <v>96</v>
      </c>
      <c r="Z28" s="0" t="str">
        <f aca="false">IF($T28="","",IFERROR(INDEX('Resumo Grupos'!$AC$3:$AC$200,MATCH($T28,'Resumo Grupos'!$AB$3:$AB$200,0)),"n/d"))</f>
        <v>Mercadoria</v>
      </c>
      <c r="AA28" s="0" t="str">
        <f aca="false">IF($T28="","",IF(COUNTIF('Resumo Grupos'!$AE$3:$AE$40,$T28)&gt;0,"NAO","SIM"))</f>
        <v>SIM</v>
      </c>
      <c r="AB28" s="0" t="str">
        <f aca="false">IFERROR(INDEX('Mov Entradas (Rel 10497)'!$L:$L,MATCH(AC28,'Mov Entradas (Rel 10497)'!$I:$I,0)),"nao encontrado")</f>
        <v>nao encontrado</v>
      </c>
      <c r="AC28" s="0" t="n">
        <v>3552</v>
      </c>
    </row>
    <row r="29" customFormat="false" ht="63.75" hidden="false" customHeight="true" outlineLevel="0" collapsed="false">
      <c r="A29" s="9" t="n">
        <v>2</v>
      </c>
      <c r="B29" s="10" t="n">
        <v>45992</v>
      </c>
      <c r="C29" s="10" t="n">
        <v>46174</v>
      </c>
      <c r="D29" s="9" t="n">
        <v>983</v>
      </c>
      <c r="E29" s="11" t="s">
        <v>97</v>
      </c>
      <c r="F29" s="9" t="n">
        <v>47</v>
      </c>
      <c r="G29" s="11" t="s">
        <v>34</v>
      </c>
      <c r="H29" s="9" t="n">
        <v>2110101</v>
      </c>
      <c r="I29" s="11" t="s">
        <v>43</v>
      </c>
      <c r="J29" s="9" t="n">
        <v>361903</v>
      </c>
      <c r="L29" s="9" t="n">
        <v>47174</v>
      </c>
      <c r="M29" s="11" t="s">
        <v>80</v>
      </c>
      <c r="N29" s="11" t="s">
        <v>45</v>
      </c>
      <c r="P29" s="9" t="n">
        <v>113</v>
      </c>
      <c r="Q29" s="11" t="s">
        <v>46</v>
      </c>
      <c r="R29" s="11" t="s">
        <v>98</v>
      </c>
      <c r="S29" s="9" t="n">
        <v>1240103</v>
      </c>
      <c r="T29" s="11" t="s">
        <v>99</v>
      </c>
      <c r="U29" s="12" t="n">
        <v>1898</v>
      </c>
      <c r="W29" s="12" t="n">
        <v>0</v>
      </c>
      <c r="X29" s="11" t="s">
        <v>100</v>
      </c>
      <c r="Z29" s="0" t="str">
        <f aca="false">IF($T29="","",IFERROR(INDEX('Resumo Grupos'!$AC$3:$AC$200,MATCH($T29,'Resumo Grupos'!$AB$3:$AB$200,0)),"n/d"))</f>
        <v>Despesa</v>
      </c>
      <c r="AA29" s="0" t="str">
        <f aca="false">IF($T29="","",IF(COUNTIF('Resumo Grupos'!$AE$3:$AE$40,$T29)&gt;0,"NAO","SIM"))</f>
        <v>SIM</v>
      </c>
      <c r="AB29" s="0" t="str">
        <f aca="false">IFERROR(INDEX('Mov Entradas (Rel 10497)'!$L:$L,MATCH(AC29,'Mov Entradas (Rel 10497)'!$I:$I,0)),"nao encontrado")</f>
        <v>nao encontrado</v>
      </c>
      <c r="AC29" s="0" t="n">
        <v>17382</v>
      </c>
    </row>
    <row r="30" customFormat="false" ht="36.75" hidden="false" customHeight="true" outlineLevel="0" collapsed="false">
      <c r="A30" s="9" t="n">
        <v>2</v>
      </c>
      <c r="B30" s="10" t="n">
        <v>45997</v>
      </c>
      <c r="C30" s="10" t="n">
        <v>46174</v>
      </c>
      <c r="D30" s="9" t="n">
        <v>500</v>
      </c>
      <c r="E30" s="11" t="s">
        <v>101</v>
      </c>
      <c r="F30" s="9" t="n">
        <v>47</v>
      </c>
      <c r="G30" s="11" t="s">
        <v>34</v>
      </c>
      <c r="H30" s="9" t="n">
        <v>2110101</v>
      </c>
      <c r="I30" s="11" t="s">
        <v>43</v>
      </c>
      <c r="J30" s="9" t="n">
        <v>291910</v>
      </c>
      <c r="L30" s="9" t="n">
        <v>34288</v>
      </c>
      <c r="M30" s="11" t="s">
        <v>102</v>
      </c>
      <c r="N30" s="11" t="s">
        <v>45</v>
      </c>
      <c r="P30" s="9" t="n">
        <v>113</v>
      </c>
      <c r="Q30" s="11" t="s">
        <v>46</v>
      </c>
      <c r="R30" s="11" t="s">
        <v>47</v>
      </c>
      <c r="S30" s="9" t="n">
        <v>1130101</v>
      </c>
      <c r="T30" s="11" t="s">
        <v>48</v>
      </c>
      <c r="U30" s="12" t="n">
        <v>104.15</v>
      </c>
      <c r="W30" s="12" t="n">
        <v>0</v>
      </c>
      <c r="X30" s="11" t="s">
        <v>103</v>
      </c>
      <c r="Z30" s="0" t="str">
        <f aca="false">IF($T30="","",IFERROR(INDEX('Resumo Grupos'!$AC$3:$AC$200,MATCH($T30,'Resumo Grupos'!$AB$3:$AB$200,0)),"n/d"))</f>
        <v>Mercadoria</v>
      </c>
      <c r="AA30" s="0" t="str">
        <f aca="false">IF($T30="","",IF(COUNTIF('Resumo Grupos'!$AE$3:$AE$40,$T30)&gt;0,"NAO","SIM"))</f>
        <v>SIM</v>
      </c>
      <c r="AB30" s="0" t="str">
        <f aca="false">IFERROR(INDEX('Mov Entradas (Rel 10497)'!$L:$L,MATCH(AC30,'Mov Entradas (Rel 10497)'!$I:$I,0)),"nao encontrado")</f>
        <v>nao encontrado</v>
      </c>
      <c r="AC30" s="0" t="n">
        <v>151724</v>
      </c>
    </row>
    <row r="31" customFormat="false" ht="36.75" hidden="false" customHeight="true" outlineLevel="0" collapsed="false">
      <c r="A31" s="9" t="n">
        <v>2</v>
      </c>
      <c r="B31" s="10" t="n">
        <v>46078</v>
      </c>
      <c r="C31" s="10" t="n">
        <v>46174</v>
      </c>
      <c r="D31" s="9" t="n">
        <v>1713</v>
      </c>
      <c r="E31" s="11" t="s">
        <v>104</v>
      </c>
      <c r="F31" s="9" t="n">
        <v>47</v>
      </c>
      <c r="G31" s="11" t="s">
        <v>34</v>
      </c>
      <c r="H31" s="9" t="n">
        <v>2110101</v>
      </c>
      <c r="I31" s="11" t="s">
        <v>43</v>
      </c>
      <c r="J31" s="9" t="n">
        <v>717593</v>
      </c>
      <c r="L31" s="9" t="n">
        <v>93840</v>
      </c>
      <c r="M31" s="11" t="s">
        <v>67</v>
      </c>
      <c r="N31" s="11" t="s">
        <v>45</v>
      </c>
      <c r="P31" s="9" t="n">
        <v>113</v>
      </c>
      <c r="Q31" s="11" t="s">
        <v>46</v>
      </c>
      <c r="R31" s="11" t="s">
        <v>39</v>
      </c>
      <c r="S31" s="9" t="n">
        <v>4210227</v>
      </c>
      <c r="T31" s="11" t="s">
        <v>68</v>
      </c>
      <c r="U31" s="12" t="n">
        <v>308.06</v>
      </c>
      <c r="W31" s="12" t="n">
        <v>0</v>
      </c>
      <c r="X31" s="11" t="s">
        <v>105</v>
      </c>
      <c r="Z31" s="0" t="str">
        <f aca="false">IF($T31="","",IFERROR(INDEX('Resumo Grupos'!$AC$3:$AC$200,MATCH($T31,'Resumo Grupos'!$AB$3:$AB$200,0)),"n/d"))</f>
        <v>Despesa</v>
      </c>
      <c r="AA31" s="0" t="str">
        <f aca="false">IF($T31="","",IF(COUNTIF('Resumo Grupos'!$AE$3:$AE$40,$T31)&gt;0,"NAO","SIM"))</f>
        <v>SIM</v>
      </c>
      <c r="AB31" s="0" t="str">
        <f aca="false">IFERROR(INDEX('Mov Entradas (Rel 10497)'!$L:$L,MATCH(AC31,'Mov Entradas (Rel 10497)'!$I:$I,0)),"nao encontrado")</f>
        <v>nao encontrado</v>
      </c>
      <c r="AC31" s="0" t="n">
        <v>12154</v>
      </c>
    </row>
    <row r="32" customFormat="false" ht="36.75" hidden="false" customHeight="true" outlineLevel="0" collapsed="false">
      <c r="A32" s="9" t="n">
        <v>2</v>
      </c>
      <c r="B32" s="10" t="n">
        <v>46078</v>
      </c>
      <c r="C32" s="10" t="n">
        <v>46174</v>
      </c>
      <c r="D32" s="9" t="n">
        <v>1713</v>
      </c>
      <c r="E32" s="11" t="s">
        <v>104</v>
      </c>
      <c r="F32" s="9" t="n">
        <v>47</v>
      </c>
      <c r="G32" s="11" t="s">
        <v>34</v>
      </c>
      <c r="H32" s="9" t="n">
        <v>2110101</v>
      </c>
      <c r="I32" s="11" t="s">
        <v>43</v>
      </c>
      <c r="J32" s="9" t="n">
        <v>717648</v>
      </c>
      <c r="L32" s="9" t="n">
        <v>93849</v>
      </c>
      <c r="M32" s="11" t="s">
        <v>67</v>
      </c>
      <c r="N32" s="11" t="s">
        <v>45</v>
      </c>
      <c r="P32" s="9" t="n">
        <v>113</v>
      </c>
      <c r="Q32" s="11" t="s">
        <v>46</v>
      </c>
      <c r="R32" s="11" t="s">
        <v>39</v>
      </c>
      <c r="S32" s="9" t="n">
        <v>4210227</v>
      </c>
      <c r="T32" s="11" t="s">
        <v>68</v>
      </c>
      <c r="U32" s="12" t="n">
        <v>513.26</v>
      </c>
      <c r="W32" s="12" t="n">
        <v>0</v>
      </c>
      <c r="X32" s="11" t="s">
        <v>106</v>
      </c>
      <c r="Z32" s="0" t="str">
        <f aca="false">IF($T32="","",IFERROR(INDEX('Resumo Grupos'!$AC$3:$AC$200,MATCH($T32,'Resumo Grupos'!$AB$3:$AB$200,0)),"n/d"))</f>
        <v>Despesa</v>
      </c>
      <c r="AA32" s="0" t="str">
        <f aca="false">IF($T32="","",IF(COUNTIF('Resumo Grupos'!$AE$3:$AE$40,$T32)&gt;0,"NAO","SIM"))</f>
        <v>SIM</v>
      </c>
      <c r="AB32" s="0" t="str">
        <f aca="false">IFERROR(INDEX('Mov Entradas (Rel 10497)'!$L:$L,MATCH(AC32,'Mov Entradas (Rel 10497)'!$I:$I,0)),"nao encontrado")</f>
        <v>nao encontrado</v>
      </c>
      <c r="AC32" s="0" t="n">
        <v>12153</v>
      </c>
    </row>
    <row r="33" customFormat="false" ht="27.75" hidden="false" customHeight="true" outlineLevel="0" collapsed="false">
      <c r="A33" s="9" t="n">
        <v>2</v>
      </c>
      <c r="B33" s="10" t="n">
        <v>46174</v>
      </c>
      <c r="C33" s="10" t="n">
        <v>46174</v>
      </c>
      <c r="D33" s="9" t="n">
        <v>21</v>
      </c>
      <c r="E33" s="11" t="s">
        <v>107</v>
      </c>
      <c r="F33" s="9" t="n">
        <v>34</v>
      </c>
      <c r="G33" s="11" t="s">
        <v>55</v>
      </c>
      <c r="H33" s="9" t="n">
        <v>2110405</v>
      </c>
      <c r="I33" s="11" t="s">
        <v>56</v>
      </c>
      <c r="J33" s="9" t="n">
        <v>1188543</v>
      </c>
      <c r="L33" s="9" t="n">
        <v>158305</v>
      </c>
      <c r="M33" s="11" t="s">
        <v>52</v>
      </c>
      <c r="N33" s="11" t="s">
        <v>45</v>
      </c>
      <c r="P33" s="9" t="n">
        <v>113</v>
      </c>
      <c r="Q33" s="11" t="s">
        <v>46</v>
      </c>
      <c r="R33" s="11" t="s">
        <v>71</v>
      </c>
      <c r="S33" s="9" t="n">
        <v>4210309</v>
      </c>
      <c r="T33" s="11" t="s">
        <v>72</v>
      </c>
      <c r="U33" s="12" t="n">
        <v>260</v>
      </c>
      <c r="W33" s="12" t="n">
        <v>0</v>
      </c>
      <c r="X33" s="11" t="s">
        <v>108</v>
      </c>
      <c r="Z33" s="0" t="str">
        <f aca="false">IF($T33="","",IFERROR(INDEX('Resumo Grupos'!$AC$3:$AC$200,MATCH($T33,'Resumo Grupos'!$AB$3:$AB$200,0)),"n/d"))</f>
        <v>Salários</v>
      </c>
      <c r="AA33" s="0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9" t="n">
        <v>2</v>
      </c>
      <c r="B34" s="10" t="n">
        <v>46174</v>
      </c>
      <c r="C34" s="10" t="n">
        <v>46174</v>
      </c>
      <c r="D34" s="9" t="n">
        <v>0</v>
      </c>
      <c r="E34" s="11" t="s">
        <v>109</v>
      </c>
      <c r="F34" s="9" t="n">
        <v>17</v>
      </c>
      <c r="G34" s="11" t="s">
        <v>110</v>
      </c>
      <c r="H34" s="9" t="n">
        <v>1110101</v>
      </c>
      <c r="I34" s="11" t="s">
        <v>111</v>
      </c>
      <c r="J34" s="9" t="n">
        <v>1256280</v>
      </c>
      <c r="L34" s="9" t="n">
        <v>1256280</v>
      </c>
      <c r="M34" s="11" t="s">
        <v>52</v>
      </c>
      <c r="N34" s="11" t="s">
        <v>112</v>
      </c>
      <c r="P34" s="9" t="n">
        <v>113</v>
      </c>
      <c r="Q34" s="11" t="s">
        <v>46</v>
      </c>
      <c r="R34" s="11" t="s">
        <v>71</v>
      </c>
      <c r="S34" s="9" t="n">
        <v>4210314</v>
      </c>
      <c r="T34" s="11" t="s">
        <v>113</v>
      </c>
      <c r="U34" s="12" t="n">
        <v>70</v>
      </c>
      <c r="W34" s="12" t="n">
        <v>70</v>
      </c>
      <c r="X34" s="11" t="s">
        <v>114</v>
      </c>
      <c r="Z34" s="0" t="str">
        <f aca="false">IF($T34="","",IFERROR(INDEX('Resumo Grupos'!$AC$3:$AC$200,MATCH($T34,'Resumo Grupos'!$AB$3:$AB$200,0)),"n/d"))</f>
        <v>Despesa</v>
      </c>
      <c r="AA34" s="0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9" t="n">
        <v>2</v>
      </c>
      <c r="B35" s="10" t="n">
        <v>46174</v>
      </c>
      <c r="C35" s="10" t="n">
        <v>46174</v>
      </c>
      <c r="D35" s="9" t="n">
        <v>0</v>
      </c>
      <c r="E35" s="11" t="s">
        <v>109</v>
      </c>
      <c r="F35" s="9" t="n">
        <v>17</v>
      </c>
      <c r="G35" s="11" t="s">
        <v>110</v>
      </c>
      <c r="H35" s="9" t="n">
        <v>1110101</v>
      </c>
      <c r="I35" s="11" t="s">
        <v>111</v>
      </c>
      <c r="J35" s="9" t="n">
        <v>1256290</v>
      </c>
      <c r="L35" s="9" t="n">
        <v>1256290</v>
      </c>
      <c r="M35" s="11" t="s">
        <v>52</v>
      </c>
      <c r="N35" s="11" t="s">
        <v>112</v>
      </c>
      <c r="P35" s="9" t="n">
        <v>113</v>
      </c>
      <c r="Q35" s="11" t="s">
        <v>46</v>
      </c>
      <c r="R35" s="11" t="s">
        <v>71</v>
      </c>
      <c r="S35" s="9" t="n">
        <v>4210314</v>
      </c>
      <c r="T35" s="11" t="s">
        <v>113</v>
      </c>
      <c r="U35" s="12" t="n">
        <v>70</v>
      </c>
      <c r="W35" s="12" t="n">
        <v>70</v>
      </c>
      <c r="X35" s="11" t="s">
        <v>115</v>
      </c>
      <c r="Z35" s="0" t="str">
        <f aca="false">IF($T35="","",IFERROR(INDEX('Resumo Grupos'!$AC$3:$AC$200,MATCH($T35,'Resumo Grupos'!$AB$3:$AB$200,0)),"n/d"))</f>
        <v>Despesa</v>
      </c>
      <c r="AA35" s="0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9" t="n">
        <v>2</v>
      </c>
      <c r="B36" s="10" t="n">
        <v>46174</v>
      </c>
      <c r="C36" s="10" t="n">
        <v>46174</v>
      </c>
      <c r="D36" s="9" t="n">
        <v>0</v>
      </c>
      <c r="E36" s="11" t="s">
        <v>109</v>
      </c>
      <c r="F36" s="9" t="n">
        <v>17</v>
      </c>
      <c r="G36" s="11" t="s">
        <v>110</v>
      </c>
      <c r="H36" s="9" t="n">
        <v>1110101</v>
      </c>
      <c r="I36" s="11" t="s">
        <v>111</v>
      </c>
      <c r="J36" s="9" t="n">
        <v>1361161</v>
      </c>
      <c r="L36" s="9" t="n">
        <v>1361161</v>
      </c>
      <c r="M36" s="11" t="s">
        <v>52</v>
      </c>
      <c r="N36" s="11" t="s">
        <v>112</v>
      </c>
      <c r="P36" s="9" t="n">
        <v>113</v>
      </c>
      <c r="Q36" s="11" t="s">
        <v>46</v>
      </c>
      <c r="R36" s="11" t="s">
        <v>116</v>
      </c>
      <c r="S36" s="9" t="n">
        <v>1110203</v>
      </c>
      <c r="T36" s="11" t="s">
        <v>117</v>
      </c>
      <c r="U36" s="12" t="n">
        <v>2750</v>
      </c>
      <c r="W36" s="12" t="n">
        <v>2750</v>
      </c>
      <c r="X36" s="11" t="s">
        <v>118</v>
      </c>
      <c r="Z36" s="0" t="str">
        <f aca="false">IF($T36="","",IFERROR(INDEX('Resumo Grupos'!$AC$3:$AC$200,MATCH($T36,'Resumo Grupos'!$AB$3:$AB$200,0)),"n/d"))</f>
        <v>Despesa</v>
      </c>
      <c r="AA36" s="0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9" t="n">
        <v>2</v>
      </c>
      <c r="B37" s="10" t="n">
        <v>46164</v>
      </c>
      <c r="C37" s="10" t="n">
        <v>46174</v>
      </c>
      <c r="D37" s="9" t="n">
        <v>1671</v>
      </c>
      <c r="E37" s="11" t="s">
        <v>119</v>
      </c>
      <c r="F37" s="9" t="n">
        <v>24</v>
      </c>
      <c r="G37" s="11" t="s">
        <v>51</v>
      </c>
      <c r="H37" s="9" t="n">
        <v>2110101</v>
      </c>
      <c r="I37" s="11" t="s">
        <v>43</v>
      </c>
      <c r="J37" s="9" t="n">
        <v>1138281</v>
      </c>
      <c r="L37" s="9" t="n">
        <v>151108</v>
      </c>
      <c r="M37" s="11" t="s">
        <v>52</v>
      </c>
      <c r="N37" s="11" t="s">
        <v>45</v>
      </c>
      <c r="P37" s="9" t="n">
        <v>113</v>
      </c>
      <c r="Q37" s="11" t="s">
        <v>46</v>
      </c>
      <c r="R37" s="11" t="s">
        <v>47</v>
      </c>
      <c r="S37" s="9" t="n">
        <v>1130101</v>
      </c>
      <c r="T37" s="11" t="s">
        <v>48</v>
      </c>
      <c r="U37" s="12" t="n">
        <v>1093.35</v>
      </c>
      <c r="W37" s="12" t="n">
        <v>0</v>
      </c>
      <c r="X37" s="11" t="s">
        <v>120</v>
      </c>
      <c r="Z37" s="0" t="str">
        <f aca="false">IF($T37="","",IFERROR(INDEX('Resumo Grupos'!$AC$3:$AC$200,MATCH($T37,'Resumo Grupos'!$AB$3:$AB$200,0)),"n/d"))</f>
        <v>Mercadoria</v>
      </c>
      <c r="AA37" s="0" t="str">
        <f aca="false">IF($T37="","",IF(COUNTIF('Resumo Grupos'!$AE$3:$AE$40,$T37)&gt;0,"NAO","SIM"))</f>
        <v>SIM</v>
      </c>
      <c r="AB37" s="0" t="str">
        <f aca="false">IFERROR(INDEX('Mov Entradas (Rel 10497)'!$L:$L,MATCH(AC37,'Mov Entradas (Rel 10497)'!$I:$I,0)),"nao encontrado")</f>
        <v>nao encontrado</v>
      </c>
      <c r="AC37" s="0" t="n">
        <v>569925</v>
      </c>
    </row>
    <row r="38" customFormat="false" ht="36.75" hidden="false" customHeight="true" outlineLevel="0" collapsed="false">
      <c r="A38" s="9" t="n">
        <v>2</v>
      </c>
      <c r="B38" s="10" t="n">
        <v>46174</v>
      </c>
      <c r="C38" s="10" t="n">
        <v>46174</v>
      </c>
      <c r="D38" s="9" t="n">
        <v>18</v>
      </c>
      <c r="E38" s="11" t="s">
        <v>121</v>
      </c>
      <c r="F38" s="9" t="n">
        <v>34</v>
      </c>
      <c r="G38" s="11" t="s">
        <v>55</v>
      </c>
      <c r="H38" s="9" t="n">
        <v>2110405</v>
      </c>
      <c r="I38" s="11" t="s">
        <v>56</v>
      </c>
      <c r="J38" s="9" t="n">
        <v>1188550</v>
      </c>
      <c r="L38" s="9" t="n">
        <v>158307</v>
      </c>
      <c r="M38" s="11" t="s">
        <v>52</v>
      </c>
      <c r="N38" s="11" t="s">
        <v>45</v>
      </c>
      <c r="P38" s="9" t="n">
        <v>113</v>
      </c>
      <c r="Q38" s="11" t="s">
        <v>46</v>
      </c>
      <c r="R38" s="11" t="s">
        <v>71</v>
      </c>
      <c r="S38" s="9" t="n">
        <v>4210309</v>
      </c>
      <c r="T38" s="11" t="s">
        <v>72</v>
      </c>
      <c r="U38" s="12" t="n">
        <v>260</v>
      </c>
      <c r="W38" s="12" t="n">
        <v>0</v>
      </c>
      <c r="X38" s="11" t="s">
        <v>122</v>
      </c>
      <c r="Z38" s="0" t="str">
        <f aca="false">IF($T38="","",IFERROR(INDEX('Resumo Grupos'!$AC$3:$AC$200,MATCH($T38,'Resumo Grupos'!$AB$3:$AB$200,0)),"n/d"))</f>
        <v>Salários</v>
      </c>
      <c r="AA38" s="0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9" t="n">
        <v>2</v>
      </c>
      <c r="B39" s="10" t="n">
        <v>46172</v>
      </c>
      <c r="C39" s="10" t="n">
        <v>46175</v>
      </c>
      <c r="D39" s="9" t="n">
        <v>642</v>
      </c>
      <c r="E39" s="11" t="s">
        <v>123</v>
      </c>
      <c r="F39" s="9" t="n">
        <v>24</v>
      </c>
      <c r="G39" s="11" t="s">
        <v>51</v>
      </c>
      <c r="H39" s="9" t="n">
        <v>2110101</v>
      </c>
      <c r="I39" s="11" t="s">
        <v>43</v>
      </c>
      <c r="J39" s="9" t="n">
        <v>1175751</v>
      </c>
      <c r="L39" s="9" t="n">
        <v>481</v>
      </c>
      <c r="M39" s="11" t="s">
        <v>52</v>
      </c>
      <c r="N39" s="11" t="s">
        <v>37</v>
      </c>
      <c r="P39" s="9" t="n">
        <v>113</v>
      </c>
      <c r="Q39" s="11" t="s">
        <v>46</v>
      </c>
      <c r="R39" s="11" t="s">
        <v>47</v>
      </c>
      <c r="S39" s="9" t="n">
        <v>1130101</v>
      </c>
      <c r="T39" s="11" t="s">
        <v>48</v>
      </c>
      <c r="U39" s="12" t="n">
        <v>180</v>
      </c>
      <c r="W39" s="12" t="n">
        <v>0</v>
      </c>
      <c r="X39" s="11" t="s">
        <v>124</v>
      </c>
      <c r="Z39" s="0" t="str">
        <f aca="false">IF($T39="","",IFERROR(INDEX('Resumo Grupos'!$AC$3:$AC$200,MATCH($T39,'Resumo Grupos'!$AB$3:$AB$200,0)),"n/d"))</f>
        <v>Mercadoria</v>
      </c>
      <c r="AA39" s="0" t="str">
        <f aca="false">IF($T39="","",IF(COUNTIF('Resumo Grupos'!$AE$3:$AE$40,$T39)&gt;0,"NAO","SIM"))</f>
        <v>SIM</v>
      </c>
      <c r="AB39" s="0" t="str">
        <f aca="false">IFERROR(INDEX('Mov Entradas (Rel 10497)'!$L:$L,MATCH(AC39,'Mov Entradas (Rel 10497)'!$I:$I,0)),"nao encontrado")</f>
        <v>nao encontrado</v>
      </c>
      <c r="AC39" s="0" t="n">
        <v>481</v>
      </c>
    </row>
    <row r="40" customFormat="false" ht="36.75" hidden="false" customHeight="true" outlineLevel="0" collapsed="false">
      <c r="A40" s="9" t="n">
        <v>2</v>
      </c>
      <c r="B40" s="10" t="n">
        <v>46175</v>
      </c>
      <c r="C40" s="10" t="n">
        <v>46175</v>
      </c>
      <c r="D40" s="9" t="n">
        <v>1961</v>
      </c>
      <c r="E40" s="11" t="s">
        <v>125</v>
      </c>
      <c r="F40" s="9" t="n">
        <v>34</v>
      </c>
      <c r="G40" s="11" t="s">
        <v>55</v>
      </c>
      <c r="H40" s="9" t="n">
        <v>2110405</v>
      </c>
      <c r="I40" s="11" t="s">
        <v>56</v>
      </c>
      <c r="J40" s="9" t="n">
        <v>1193042</v>
      </c>
      <c r="L40" s="9" t="n">
        <v>158999</v>
      </c>
      <c r="M40" s="11" t="s">
        <v>52</v>
      </c>
      <c r="N40" s="11" t="s">
        <v>45</v>
      </c>
      <c r="P40" s="9" t="n">
        <v>101</v>
      </c>
      <c r="Q40" s="11" t="s">
        <v>57</v>
      </c>
      <c r="R40" s="11" t="s">
        <v>71</v>
      </c>
      <c r="S40" s="9" t="n">
        <v>4210310</v>
      </c>
      <c r="T40" s="11" t="s">
        <v>126</v>
      </c>
      <c r="U40" s="12" t="n">
        <v>643</v>
      </c>
      <c r="W40" s="12" t="n">
        <v>0</v>
      </c>
      <c r="X40" s="11" t="s">
        <v>127</v>
      </c>
      <c r="Z40" s="0" t="str">
        <f aca="false">IF($T40="","",IFERROR(INDEX('Resumo Grupos'!$AC$3:$AC$200,MATCH($T40,'Resumo Grupos'!$AB$3:$AB$200,0)),"n/d"))</f>
        <v>Despesa</v>
      </c>
      <c r="AA40" s="0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9" t="n">
        <v>2</v>
      </c>
      <c r="B41" s="10" t="n">
        <v>46155</v>
      </c>
      <c r="C41" s="10" t="n">
        <v>46175</v>
      </c>
      <c r="D41" s="9" t="n">
        <v>1635</v>
      </c>
      <c r="E41" s="11" t="s">
        <v>128</v>
      </c>
      <c r="F41" s="9" t="n">
        <v>24</v>
      </c>
      <c r="G41" s="11" t="s">
        <v>51</v>
      </c>
      <c r="H41" s="9" t="n">
        <v>2110101</v>
      </c>
      <c r="I41" s="11" t="s">
        <v>43</v>
      </c>
      <c r="J41" s="9" t="n">
        <v>1093412</v>
      </c>
      <c r="L41" s="9" t="n">
        <v>515967</v>
      </c>
      <c r="M41" s="11" t="s">
        <v>52</v>
      </c>
      <c r="N41" s="11" t="s">
        <v>37</v>
      </c>
      <c r="P41" s="9" t="n">
        <v>113</v>
      </c>
      <c r="Q41" s="11" t="s">
        <v>46</v>
      </c>
      <c r="R41" s="11" t="s">
        <v>47</v>
      </c>
      <c r="S41" s="9" t="n">
        <v>1130101</v>
      </c>
      <c r="T41" s="11" t="s">
        <v>48</v>
      </c>
      <c r="U41" s="12" t="n">
        <v>1398</v>
      </c>
      <c r="W41" s="12" t="n">
        <v>0</v>
      </c>
      <c r="X41" s="11" t="s">
        <v>129</v>
      </c>
      <c r="Z41" s="0" t="str">
        <f aca="false">IF($T41="","",IFERROR(INDEX('Resumo Grupos'!$AC$3:$AC$200,MATCH($T41,'Resumo Grupos'!$AB$3:$AB$200,0)),"n/d"))</f>
        <v>Mercadoria</v>
      </c>
      <c r="AA41" s="0" t="str">
        <f aca="false">IF($T41="","",IF(COUNTIF('Resumo Grupos'!$AE$3:$AE$40,$T41)&gt;0,"NAO","SIM"))</f>
        <v>SIM</v>
      </c>
      <c r="AB41" s="0" t="str">
        <f aca="false">IFERROR(INDEX('Mov Entradas (Rel 10497)'!$L:$L,MATCH(AC41,'Mov Entradas (Rel 10497)'!$I:$I,0)),"nao encontrado")</f>
        <v>nao encontrado</v>
      </c>
      <c r="AC41" s="0" t="n">
        <v>515967</v>
      </c>
    </row>
    <row r="42" customFormat="false" ht="36.75" hidden="false" customHeight="true" outlineLevel="0" collapsed="false">
      <c r="A42" s="9" t="n">
        <v>2</v>
      </c>
      <c r="B42" s="10" t="n">
        <v>46160</v>
      </c>
      <c r="C42" s="10" t="n">
        <v>46175</v>
      </c>
      <c r="D42" s="9" t="n">
        <v>1705</v>
      </c>
      <c r="E42" s="11" t="s">
        <v>130</v>
      </c>
      <c r="F42" s="9" t="n">
        <v>24</v>
      </c>
      <c r="G42" s="11" t="s">
        <v>51</v>
      </c>
      <c r="H42" s="9" t="n">
        <v>2110101</v>
      </c>
      <c r="I42" s="11" t="s">
        <v>43</v>
      </c>
      <c r="J42" s="9" t="n">
        <v>1117397</v>
      </c>
      <c r="L42" s="9" t="n">
        <v>1834010</v>
      </c>
      <c r="M42" s="11" t="s">
        <v>52</v>
      </c>
      <c r="N42" s="11" t="s">
        <v>37</v>
      </c>
      <c r="P42" s="9" t="n">
        <v>113</v>
      </c>
      <c r="Q42" s="11" t="s">
        <v>46</v>
      </c>
      <c r="R42" s="11" t="s">
        <v>47</v>
      </c>
      <c r="S42" s="9" t="n">
        <v>1130101</v>
      </c>
      <c r="T42" s="11" t="s">
        <v>48</v>
      </c>
      <c r="U42" s="12" t="n">
        <v>256.41</v>
      </c>
      <c r="W42" s="12" t="n">
        <v>0</v>
      </c>
      <c r="X42" s="11" t="s">
        <v>131</v>
      </c>
      <c r="Z42" s="0" t="str">
        <f aca="false">IF($T42="","",IFERROR(INDEX('Resumo Grupos'!$AC$3:$AC$200,MATCH($T42,'Resumo Grupos'!$AB$3:$AB$200,0)),"n/d"))</f>
        <v>Mercadoria</v>
      </c>
      <c r="AA42" s="0" t="str">
        <f aca="false">IF($T42="","",IF(COUNTIF('Resumo Grupos'!$AE$3:$AE$40,$T42)&gt;0,"NAO","SIM"))</f>
        <v>SIM</v>
      </c>
      <c r="AB42" s="0" t="str">
        <f aca="false">IFERROR(INDEX('Mov Entradas (Rel 10497)'!$L:$L,MATCH(AC42,'Mov Entradas (Rel 10497)'!$I:$I,0)),"nao encontrado")</f>
        <v>nao encontrado</v>
      </c>
      <c r="AC42" s="0" t="n">
        <v>1834010</v>
      </c>
    </row>
    <row r="43" customFormat="false" ht="36.75" hidden="false" customHeight="true" outlineLevel="0" collapsed="false">
      <c r="A43" s="9" t="n">
        <v>2</v>
      </c>
      <c r="B43" s="10" t="n">
        <v>46160</v>
      </c>
      <c r="C43" s="10" t="n">
        <v>46175</v>
      </c>
      <c r="D43" s="9" t="n">
        <v>1705</v>
      </c>
      <c r="E43" s="11" t="s">
        <v>130</v>
      </c>
      <c r="F43" s="9" t="n">
        <v>24</v>
      </c>
      <c r="G43" s="11" t="s">
        <v>51</v>
      </c>
      <c r="H43" s="9" t="n">
        <v>2110101</v>
      </c>
      <c r="I43" s="11" t="s">
        <v>43</v>
      </c>
      <c r="J43" s="9" t="n">
        <v>1117409</v>
      </c>
      <c r="L43" s="9" t="n">
        <v>1833935</v>
      </c>
      <c r="M43" s="11" t="s">
        <v>52</v>
      </c>
      <c r="N43" s="11" t="s">
        <v>37</v>
      </c>
      <c r="P43" s="9" t="n">
        <v>113</v>
      </c>
      <c r="Q43" s="11" t="s">
        <v>46</v>
      </c>
      <c r="R43" s="11" t="s">
        <v>47</v>
      </c>
      <c r="S43" s="9" t="n">
        <v>1130101</v>
      </c>
      <c r="T43" s="11" t="s">
        <v>48</v>
      </c>
      <c r="U43" s="12" t="n">
        <v>1193.82</v>
      </c>
      <c r="W43" s="12" t="n">
        <v>0</v>
      </c>
      <c r="X43" s="11" t="s">
        <v>132</v>
      </c>
      <c r="Z43" s="0" t="str">
        <f aca="false">IF($T43="","",IFERROR(INDEX('Resumo Grupos'!$AC$3:$AC$200,MATCH($T43,'Resumo Grupos'!$AB$3:$AB$200,0)),"n/d"))</f>
        <v>Mercadoria</v>
      </c>
      <c r="AA43" s="0" t="str">
        <f aca="false">IF($T43="","",IF(COUNTIF('Resumo Grupos'!$AE$3:$AE$40,$T43)&gt;0,"NAO","SIM"))</f>
        <v>SIM</v>
      </c>
      <c r="AB43" s="0" t="str">
        <f aca="false">IFERROR(INDEX('Mov Entradas (Rel 10497)'!$L:$L,MATCH(AC43,'Mov Entradas (Rel 10497)'!$I:$I,0)),"nao encontrado")</f>
        <v>nao encontrado</v>
      </c>
      <c r="AC43" s="0" t="n">
        <v>1833935</v>
      </c>
    </row>
    <row r="44" customFormat="false" ht="54.75" hidden="false" customHeight="true" outlineLevel="0" collapsed="false">
      <c r="A44" s="9" t="n">
        <v>2</v>
      </c>
      <c r="B44" s="10" t="n">
        <v>46160</v>
      </c>
      <c r="C44" s="10" t="n">
        <v>46175</v>
      </c>
      <c r="D44" s="9" t="n">
        <v>1705</v>
      </c>
      <c r="E44" s="11" t="s">
        <v>130</v>
      </c>
      <c r="F44" s="9" t="n">
        <v>24</v>
      </c>
      <c r="G44" s="11" t="s">
        <v>51</v>
      </c>
      <c r="H44" s="9" t="n">
        <v>2110101</v>
      </c>
      <c r="I44" s="11" t="s">
        <v>43</v>
      </c>
      <c r="J44" s="9" t="n">
        <v>1117426</v>
      </c>
      <c r="L44" s="9" t="n">
        <v>147974</v>
      </c>
      <c r="M44" s="11" t="s">
        <v>52</v>
      </c>
      <c r="N44" s="11" t="s">
        <v>45</v>
      </c>
      <c r="P44" s="9" t="n">
        <v>113</v>
      </c>
      <c r="Q44" s="11" t="s">
        <v>46</v>
      </c>
      <c r="R44" s="11" t="s">
        <v>47</v>
      </c>
      <c r="S44" s="9" t="n">
        <v>1130101</v>
      </c>
      <c r="T44" s="11" t="s">
        <v>48</v>
      </c>
      <c r="U44" s="12" t="n">
        <v>186.51</v>
      </c>
      <c r="W44" s="12" t="n">
        <v>0</v>
      </c>
      <c r="X44" s="11" t="s">
        <v>133</v>
      </c>
      <c r="Z44" s="0" t="str">
        <f aca="false">IF($T44="","",IFERROR(INDEX('Resumo Grupos'!$AC$3:$AC$200,MATCH($T44,'Resumo Grupos'!$AB$3:$AB$200,0)),"n/d"))</f>
        <v>Mercadoria</v>
      </c>
      <c r="AA44" s="0" t="str">
        <f aca="false">IF($T44="","",IF(COUNTIF('Resumo Grupos'!$AE$3:$AE$40,$T44)&gt;0,"NAO","SIM"))</f>
        <v>SIM</v>
      </c>
      <c r="AB44" s="0" t="str">
        <f aca="false">IFERROR(INDEX('Mov Entradas (Rel 10497)'!$L:$L,MATCH(AC44,'Mov Entradas (Rel 10497)'!$I:$I,0)),"nao encontrado")</f>
        <v>nao encontrado</v>
      </c>
      <c r="AC44" s="0" t="n">
        <v>1124397</v>
      </c>
    </row>
    <row r="45" customFormat="false" ht="63.75" hidden="false" customHeight="true" outlineLevel="0" collapsed="false">
      <c r="A45" s="9" t="n">
        <v>2</v>
      </c>
      <c r="B45" s="10" t="n">
        <v>46175</v>
      </c>
      <c r="C45" s="10" t="n">
        <v>46175</v>
      </c>
      <c r="D45" s="9" t="n">
        <v>1037</v>
      </c>
      <c r="E45" s="11" t="s">
        <v>134</v>
      </c>
      <c r="F45" s="9" t="n">
        <v>13</v>
      </c>
      <c r="G45" s="11" t="s">
        <v>135</v>
      </c>
      <c r="H45" s="9" t="n">
        <v>2110101</v>
      </c>
      <c r="I45" s="11" t="s">
        <v>43</v>
      </c>
      <c r="J45" s="9" t="n">
        <v>1193324</v>
      </c>
      <c r="L45" s="9" t="n">
        <v>159037</v>
      </c>
      <c r="M45" s="11" t="s">
        <v>52</v>
      </c>
      <c r="N45" s="11" t="s">
        <v>45</v>
      </c>
      <c r="P45" s="9" t="n">
        <v>113</v>
      </c>
      <c r="Q45" s="11" t="s">
        <v>46</v>
      </c>
      <c r="R45" s="11" t="s">
        <v>47</v>
      </c>
      <c r="S45" s="9" t="n">
        <v>1130101</v>
      </c>
      <c r="T45" s="11" t="s">
        <v>48</v>
      </c>
      <c r="U45" s="12" t="n">
        <v>370</v>
      </c>
      <c r="W45" s="12" t="n">
        <v>0</v>
      </c>
      <c r="X45" s="11" t="s">
        <v>136</v>
      </c>
      <c r="Z45" s="0" t="str">
        <f aca="false">IF($T45="","",IFERROR(INDEX('Resumo Grupos'!$AC$3:$AC$200,MATCH($T45,'Resumo Grupos'!$AB$3:$AB$200,0)),"n/d"))</f>
        <v>Mercadoria</v>
      </c>
      <c r="AA45" s="0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9" t="n">
        <v>2</v>
      </c>
      <c r="B46" s="10" t="n">
        <v>46175</v>
      </c>
      <c r="C46" s="10" t="n">
        <v>46175</v>
      </c>
      <c r="D46" s="9" t="n">
        <v>515</v>
      </c>
      <c r="E46" s="11" t="s">
        <v>137</v>
      </c>
      <c r="F46" s="9" t="n">
        <v>34</v>
      </c>
      <c r="G46" s="11" t="s">
        <v>55</v>
      </c>
      <c r="H46" s="9" t="n">
        <v>2110405</v>
      </c>
      <c r="I46" s="11" t="s">
        <v>56</v>
      </c>
      <c r="J46" s="9" t="n">
        <v>1443986</v>
      </c>
      <c r="L46" s="9" t="n">
        <v>195286</v>
      </c>
      <c r="M46" s="11" t="s">
        <v>52</v>
      </c>
      <c r="N46" s="11" t="s">
        <v>45</v>
      </c>
      <c r="P46" s="9" t="n">
        <v>104</v>
      </c>
      <c r="Q46" s="11" t="s">
        <v>38</v>
      </c>
      <c r="R46" s="11" t="s">
        <v>138</v>
      </c>
      <c r="S46" s="9" t="n">
        <v>4210505</v>
      </c>
      <c r="T46" s="11" t="s">
        <v>139</v>
      </c>
      <c r="U46" s="12" t="n">
        <v>329.94</v>
      </c>
      <c r="W46" s="12" t="n">
        <v>0</v>
      </c>
      <c r="X46" s="11" t="s">
        <v>140</v>
      </c>
      <c r="Z46" s="0" t="str">
        <f aca="false">IF($T46="","",IFERROR(INDEX('Resumo Grupos'!$AC$3:$AC$200,MATCH($T46,'Resumo Grupos'!$AB$3:$AB$200,0)),"n/d"))</f>
        <v>Despesa</v>
      </c>
      <c r="AA46" s="0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9" t="n">
        <v>2</v>
      </c>
      <c r="B47" s="10" t="n">
        <v>46175</v>
      </c>
      <c r="C47" s="10" t="n">
        <v>46175</v>
      </c>
      <c r="D47" s="9" t="n">
        <v>515</v>
      </c>
      <c r="E47" s="11" t="s">
        <v>137</v>
      </c>
      <c r="F47" s="9" t="n">
        <v>34</v>
      </c>
      <c r="G47" s="11" t="s">
        <v>55</v>
      </c>
      <c r="H47" s="9" t="n">
        <v>2110405</v>
      </c>
      <c r="I47" s="11" t="s">
        <v>56</v>
      </c>
      <c r="J47" s="9" t="n">
        <v>1444012</v>
      </c>
      <c r="L47" s="9" t="n">
        <v>195292</v>
      </c>
      <c r="M47" s="11" t="s">
        <v>52</v>
      </c>
      <c r="N47" s="11" t="s">
        <v>45</v>
      </c>
      <c r="P47" s="9" t="n">
        <v>104</v>
      </c>
      <c r="Q47" s="11" t="s">
        <v>38</v>
      </c>
      <c r="R47" s="11" t="s">
        <v>138</v>
      </c>
      <c r="S47" s="9" t="n">
        <v>4210505</v>
      </c>
      <c r="T47" s="11" t="s">
        <v>139</v>
      </c>
      <c r="U47" s="12" t="n">
        <v>114.21</v>
      </c>
      <c r="W47" s="12" t="n">
        <v>0</v>
      </c>
      <c r="X47" s="11" t="s">
        <v>141</v>
      </c>
      <c r="Z47" s="0" t="str">
        <f aca="false">IF($T47="","",IFERROR(INDEX('Resumo Grupos'!$AC$3:$AC$200,MATCH($T47,'Resumo Grupos'!$AB$3:$AB$200,0)),"n/d"))</f>
        <v>Despesa</v>
      </c>
      <c r="AA47" s="0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9" t="n">
        <v>2</v>
      </c>
      <c r="B48" s="10" t="n">
        <v>46175</v>
      </c>
      <c r="C48" s="10" t="n">
        <v>46175</v>
      </c>
      <c r="D48" s="9" t="n">
        <v>515</v>
      </c>
      <c r="E48" s="11" t="s">
        <v>137</v>
      </c>
      <c r="F48" s="9" t="n">
        <v>34</v>
      </c>
      <c r="G48" s="11" t="s">
        <v>55</v>
      </c>
      <c r="H48" s="9" t="n">
        <v>2110405</v>
      </c>
      <c r="I48" s="11" t="s">
        <v>56</v>
      </c>
      <c r="J48" s="9" t="n">
        <v>1444050</v>
      </c>
      <c r="L48" s="9" t="n">
        <v>195295</v>
      </c>
      <c r="M48" s="11" t="s">
        <v>52</v>
      </c>
      <c r="N48" s="11" t="s">
        <v>45</v>
      </c>
      <c r="P48" s="9" t="n">
        <v>104</v>
      </c>
      <c r="Q48" s="11" t="s">
        <v>38</v>
      </c>
      <c r="R48" s="11" t="s">
        <v>138</v>
      </c>
      <c r="S48" s="9" t="n">
        <v>4210505</v>
      </c>
      <c r="T48" s="11" t="s">
        <v>139</v>
      </c>
      <c r="U48" s="12" t="n">
        <v>212.66</v>
      </c>
      <c r="W48" s="12" t="n">
        <v>0</v>
      </c>
      <c r="X48" s="11" t="s">
        <v>142</v>
      </c>
      <c r="Z48" s="0" t="str">
        <f aca="false">IF($T48="","",IFERROR(INDEX('Resumo Grupos'!$AC$3:$AC$200,MATCH($T48,'Resumo Grupos'!$AB$3:$AB$200,0)),"n/d"))</f>
        <v>Despesa</v>
      </c>
      <c r="AA48" s="0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9" t="n">
        <v>2</v>
      </c>
      <c r="B49" s="10" t="n">
        <v>46175</v>
      </c>
      <c r="C49" s="10" t="n">
        <v>46175</v>
      </c>
      <c r="D49" s="9" t="n">
        <v>515</v>
      </c>
      <c r="E49" s="11" t="s">
        <v>137</v>
      </c>
      <c r="F49" s="9" t="n">
        <v>34</v>
      </c>
      <c r="G49" s="11" t="s">
        <v>55</v>
      </c>
      <c r="H49" s="9" t="n">
        <v>2110405</v>
      </c>
      <c r="I49" s="11" t="s">
        <v>56</v>
      </c>
      <c r="J49" s="9" t="n">
        <v>1444092</v>
      </c>
      <c r="L49" s="9" t="n">
        <v>195306</v>
      </c>
      <c r="M49" s="11" t="s">
        <v>52</v>
      </c>
      <c r="N49" s="11" t="s">
        <v>45</v>
      </c>
      <c r="P49" s="9" t="n">
        <v>104</v>
      </c>
      <c r="Q49" s="11" t="s">
        <v>38</v>
      </c>
      <c r="R49" s="11" t="s">
        <v>138</v>
      </c>
      <c r="S49" s="9" t="n">
        <v>4210504</v>
      </c>
      <c r="T49" s="11" t="s">
        <v>143</v>
      </c>
      <c r="U49" s="12" t="n">
        <v>36.11</v>
      </c>
      <c r="W49" s="12" t="n">
        <v>0</v>
      </c>
      <c r="X49" s="11" t="s">
        <v>144</v>
      </c>
      <c r="Z49" s="0" t="str">
        <f aca="false">IF($T49="","",IFERROR(INDEX('Resumo Grupos'!$AC$3:$AC$200,MATCH($T49,'Resumo Grupos'!$AB$3:$AB$200,0)),"n/d"))</f>
        <v>Despesa</v>
      </c>
      <c r="AA49" s="0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9" t="n">
        <v>2</v>
      </c>
      <c r="B50" s="10" t="n">
        <v>46175</v>
      </c>
      <c r="C50" s="10" t="n">
        <v>46175</v>
      </c>
      <c r="D50" s="9" t="n">
        <v>515</v>
      </c>
      <c r="E50" s="11" t="s">
        <v>137</v>
      </c>
      <c r="F50" s="9" t="n">
        <v>34</v>
      </c>
      <c r="G50" s="11" t="s">
        <v>55</v>
      </c>
      <c r="H50" s="9" t="n">
        <v>2110405</v>
      </c>
      <c r="I50" s="11" t="s">
        <v>56</v>
      </c>
      <c r="J50" s="9" t="n">
        <v>1444103</v>
      </c>
      <c r="L50" s="9" t="n">
        <v>195320</v>
      </c>
      <c r="M50" s="11" t="s">
        <v>52</v>
      </c>
      <c r="N50" s="11" t="s">
        <v>45</v>
      </c>
      <c r="P50" s="9" t="n">
        <v>104</v>
      </c>
      <c r="Q50" s="11" t="s">
        <v>38</v>
      </c>
      <c r="R50" s="11" t="s">
        <v>138</v>
      </c>
      <c r="S50" s="9" t="n">
        <v>4210504</v>
      </c>
      <c r="T50" s="11" t="s">
        <v>143</v>
      </c>
      <c r="U50" s="12" t="n">
        <v>0.22</v>
      </c>
      <c r="W50" s="12" t="n">
        <v>0</v>
      </c>
      <c r="X50" s="11" t="s">
        <v>145</v>
      </c>
      <c r="Z50" s="0" t="str">
        <f aca="false">IF($T50="","",IFERROR(INDEX('Resumo Grupos'!$AC$3:$AC$200,MATCH($T50,'Resumo Grupos'!$AB$3:$AB$200,0)),"n/d"))</f>
        <v>Despesa</v>
      </c>
      <c r="AA50" s="0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9" t="n">
        <v>2</v>
      </c>
      <c r="B51" s="10" t="n">
        <v>46175</v>
      </c>
      <c r="C51" s="10" t="n">
        <v>46175</v>
      </c>
      <c r="D51" s="9" t="n">
        <v>515</v>
      </c>
      <c r="E51" s="11" t="s">
        <v>137</v>
      </c>
      <c r="F51" s="9" t="n">
        <v>34</v>
      </c>
      <c r="G51" s="11" t="s">
        <v>55</v>
      </c>
      <c r="H51" s="9" t="n">
        <v>2110405</v>
      </c>
      <c r="I51" s="11" t="s">
        <v>56</v>
      </c>
      <c r="J51" s="9" t="n">
        <v>1444107</v>
      </c>
      <c r="L51" s="9" t="n">
        <v>195323</v>
      </c>
      <c r="M51" s="11" t="s">
        <v>52</v>
      </c>
      <c r="N51" s="11" t="s">
        <v>45</v>
      </c>
      <c r="P51" s="9" t="n">
        <v>104</v>
      </c>
      <c r="Q51" s="11" t="s">
        <v>38</v>
      </c>
      <c r="R51" s="11" t="s">
        <v>138</v>
      </c>
      <c r="S51" s="9" t="n">
        <v>4210504</v>
      </c>
      <c r="T51" s="11" t="s">
        <v>143</v>
      </c>
      <c r="U51" s="12" t="n">
        <v>485.04</v>
      </c>
      <c r="W51" s="12" t="n">
        <v>0</v>
      </c>
      <c r="X51" s="11" t="s">
        <v>146</v>
      </c>
      <c r="Z51" s="0" t="str">
        <f aca="false">IF($T51="","",IFERROR(INDEX('Resumo Grupos'!$AC$3:$AC$200,MATCH($T51,'Resumo Grupos'!$AB$3:$AB$200,0)),"n/d"))</f>
        <v>Despesa</v>
      </c>
      <c r="AA51" s="0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9" t="n">
        <v>2</v>
      </c>
      <c r="B52" s="10" t="n">
        <v>46168</v>
      </c>
      <c r="C52" s="10" t="n">
        <v>46175</v>
      </c>
      <c r="D52" s="9" t="n">
        <v>581</v>
      </c>
      <c r="E52" s="11" t="s">
        <v>147</v>
      </c>
      <c r="F52" s="9" t="n">
        <v>24</v>
      </c>
      <c r="G52" s="11" t="s">
        <v>51</v>
      </c>
      <c r="H52" s="9" t="n">
        <v>2110101</v>
      </c>
      <c r="I52" s="11" t="s">
        <v>43</v>
      </c>
      <c r="J52" s="9" t="n">
        <v>1157527</v>
      </c>
      <c r="L52" s="9" t="n">
        <v>30655</v>
      </c>
      <c r="M52" s="11" t="s">
        <v>52</v>
      </c>
      <c r="N52" s="11" t="s">
        <v>37</v>
      </c>
      <c r="P52" s="9" t="n">
        <v>113</v>
      </c>
      <c r="Q52" s="11" t="s">
        <v>46</v>
      </c>
      <c r="R52" s="11" t="s">
        <v>47</v>
      </c>
      <c r="S52" s="9" t="n">
        <v>1130101</v>
      </c>
      <c r="T52" s="11" t="s">
        <v>48</v>
      </c>
      <c r="U52" s="12" t="n">
        <v>199</v>
      </c>
      <c r="W52" s="12" t="n">
        <v>0</v>
      </c>
      <c r="X52" s="11" t="s">
        <v>148</v>
      </c>
      <c r="Z52" s="0" t="str">
        <f aca="false">IF($T52="","",IFERROR(INDEX('Resumo Grupos'!$AC$3:$AC$200,MATCH($T52,'Resumo Grupos'!$AB$3:$AB$200,0)),"n/d"))</f>
        <v>Mercadoria</v>
      </c>
      <c r="AA52" s="0" t="str">
        <f aca="false">IF($T52="","",IF(COUNTIF('Resumo Grupos'!$AE$3:$AE$40,$T52)&gt;0,"NAO","SIM"))</f>
        <v>SIM</v>
      </c>
      <c r="AB52" s="0" t="str">
        <f aca="false">IFERROR(INDEX('Mov Entradas (Rel 10497)'!$L:$L,MATCH(AC52,'Mov Entradas (Rel 10497)'!$I:$I,0)),"nao encontrado")</f>
        <v>nao encontrado</v>
      </c>
      <c r="AC52" s="0" t="n">
        <v>30655</v>
      </c>
    </row>
    <row r="53" customFormat="false" ht="54.75" hidden="false" customHeight="true" outlineLevel="0" collapsed="false">
      <c r="A53" s="9" t="n">
        <v>2</v>
      </c>
      <c r="B53" s="10" t="n">
        <v>46175</v>
      </c>
      <c r="C53" s="10" t="n">
        <v>46175</v>
      </c>
      <c r="D53" s="9" t="n">
        <v>1038</v>
      </c>
      <c r="E53" s="11" t="s">
        <v>149</v>
      </c>
      <c r="F53" s="9" t="n">
        <v>13</v>
      </c>
      <c r="G53" s="11" t="s">
        <v>135</v>
      </c>
      <c r="H53" s="9" t="n">
        <v>2110101</v>
      </c>
      <c r="I53" s="11" t="s">
        <v>43</v>
      </c>
      <c r="J53" s="9" t="n">
        <v>1193349</v>
      </c>
      <c r="L53" s="9" t="n">
        <v>5932</v>
      </c>
      <c r="M53" s="11" t="s">
        <v>52</v>
      </c>
      <c r="N53" s="11" t="s">
        <v>37</v>
      </c>
      <c r="P53" s="9" t="n">
        <v>113</v>
      </c>
      <c r="Q53" s="11" t="s">
        <v>46</v>
      </c>
      <c r="R53" s="11" t="s">
        <v>47</v>
      </c>
      <c r="S53" s="9" t="n">
        <v>1130101</v>
      </c>
      <c r="T53" s="11" t="s">
        <v>48</v>
      </c>
      <c r="U53" s="12" t="n">
        <v>140</v>
      </c>
      <c r="W53" s="12" t="n">
        <v>140</v>
      </c>
      <c r="X53" s="11" t="s">
        <v>150</v>
      </c>
      <c r="Z53" s="0" t="str">
        <f aca="false">IF($T53="","",IFERROR(INDEX('Resumo Grupos'!$AC$3:$AC$200,MATCH($T53,'Resumo Grupos'!$AB$3:$AB$200,0)),"n/d"))</f>
        <v>Mercadoria</v>
      </c>
      <c r="AA53" s="0" t="str">
        <f aca="false">IF($T53="","",IF(COUNTIF('Resumo Grupos'!$AE$3:$AE$40,$T53)&gt;0,"NAO","SIM"))</f>
        <v>SIM</v>
      </c>
      <c r="AB53" s="0" t="str">
        <f aca="false">IFERROR(INDEX('Mov Entradas (Rel 10497)'!$L:$L,MATCH(AC53,'Mov Entradas (Rel 10497)'!$I:$I,0)),"nao encontrado")</f>
        <v>BOLO MIYAZAKI GRANDE</v>
      </c>
      <c r="AC53" s="0" t="n">
        <v>5932</v>
      </c>
    </row>
    <row r="54" customFormat="false" ht="54.75" hidden="false" customHeight="true" outlineLevel="0" collapsed="false">
      <c r="A54" s="9" t="n">
        <v>2</v>
      </c>
      <c r="B54" s="10" t="n">
        <v>46163</v>
      </c>
      <c r="C54" s="10" t="n">
        <v>46175</v>
      </c>
      <c r="D54" s="9" t="n">
        <v>1668</v>
      </c>
      <c r="E54" s="11" t="s">
        <v>151</v>
      </c>
      <c r="F54" s="9" t="n">
        <v>24</v>
      </c>
      <c r="G54" s="11" t="s">
        <v>51</v>
      </c>
      <c r="H54" s="9" t="n">
        <v>2110101</v>
      </c>
      <c r="I54" s="11" t="s">
        <v>43</v>
      </c>
      <c r="J54" s="9" t="n">
        <v>1131396</v>
      </c>
      <c r="L54" s="9" t="n">
        <v>720157</v>
      </c>
      <c r="M54" s="11" t="s">
        <v>52</v>
      </c>
      <c r="N54" s="11" t="s">
        <v>37</v>
      </c>
      <c r="P54" s="9" t="n">
        <v>113</v>
      </c>
      <c r="Q54" s="11" t="s">
        <v>46</v>
      </c>
      <c r="R54" s="11" t="s">
        <v>47</v>
      </c>
      <c r="S54" s="9" t="n">
        <v>1130101</v>
      </c>
      <c r="T54" s="11" t="s">
        <v>48</v>
      </c>
      <c r="U54" s="12" t="n">
        <v>460.62</v>
      </c>
      <c r="W54" s="12" t="n">
        <v>0</v>
      </c>
      <c r="X54" s="11" t="s">
        <v>152</v>
      </c>
      <c r="Z54" s="0" t="str">
        <f aca="false">IF($T54="","",IFERROR(INDEX('Resumo Grupos'!$AC$3:$AC$200,MATCH($T54,'Resumo Grupos'!$AB$3:$AB$200,0)),"n/d"))</f>
        <v>Mercadoria</v>
      </c>
      <c r="AA54" s="0" t="str">
        <f aca="false">IF($T54="","",IF(COUNTIF('Resumo Grupos'!$AE$3:$AE$40,$T54)&gt;0,"NAO","SIM"))</f>
        <v>SIM</v>
      </c>
      <c r="AB54" s="0" t="str">
        <f aca="false">IFERROR(INDEX('Mov Entradas (Rel 10497)'!$L:$L,MATCH(AC54,'Mov Entradas (Rel 10497)'!$I:$I,0)),"nao encontrado")</f>
        <v>nao encontrado</v>
      </c>
      <c r="AC54" s="0" t="n">
        <v>720157</v>
      </c>
    </row>
    <row r="55" customFormat="false" ht="54.75" hidden="false" customHeight="true" outlineLevel="0" collapsed="false">
      <c r="A55" s="9" t="n">
        <v>2</v>
      </c>
      <c r="B55" s="10" t="n">
        <v>46175</v>
      </c>
      <c r="C55" s="10" t="n">
        <v>46175</v>
      </c>
      <c r="D55" s="9" t="n">
        <v>48</v>
      </c>
      <c r="E55" s="11" t="s">
        <v>153</v>
      </c>
      <c r="F55" s="9" t="n">
        <v>13</v>
      </c>
      <c r="G55" s="11" t="s">
        <v>135</v>
      </c>
      <c r="H55" s="9" t="n">
        <v>2110101</v>
      </c>
      <c r="I55" s="11" t="s">
        <v>43</v>
      </c>
      <c r="J55" s="9" t="n">
        <v>1192377</v>
      </c>
      <c r="L55" s="9" t="n">
        <v>2473</v>
      </c>
      <c r="M55" s="11" t="s">
        <v>52</v>
      </c>
      <c r="N55" s="11" t="s">
        <v>37</v>
      </c>
      <c r="P55" s="9" t="n">
        <v>113</v>
      </c>
      <c r="Q55" s="11" t="s">
        <v>46</v>
      </c>
      <c r="R55" s="11" t="s">
        <v>47</v>
      </c>
      <c r="S55" s="9" t="n">
        <v>1130101</v>
      </c>
      <c r="T55" s="11" t="s">
        <v>48</v>
      </c>
      <c r="U55" s="12" t="n">
        <v>195</v>
      </c>
      <c r="W55" s="12" t="n">
        <v>195</v>
      </c>
      <c r="X55" s="11" t="s">
        <v>154</v>
      </c>
      <c r="Z55" s="0" t="str">
        <f aca="false">IF($T55="","",IFERROR(INDEX('Resumo Grupos'!$AC$3:$AC$200,MATCH($T55,'Resumo Grupos'!$AB$3:$AB$200,0)),"n/d"))</f>
        <v>Mercadoria</v>
      </c>
      <c r="AA55" s="0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9" t="n">
        <v>2</v>
      </c>
      <c r="B56" s="10" t="n">
        <v>46175</v>
      </c>
      <c r="C56" s="10" t="n">
        <v>46175</v>
      </c>
      <c r="D56" s="9" t="n">
        <v>48</v>
      </c>
      <c r="E56" s="11" t="s">
        <v>153</v>
      </c>
      <c r="F56" s="9" t="n">
        <v>13</v>
      </c>
      <c r="G56" s="11" t="s">
        <v>135</v>
      </c>
      <c r="H56" s="9" t="n">
        <v>2110101</v>
      </c>
      <c r="I56" s="11" t="s">
        <v>43</v>
      </c>
      <c r="J56" s="9" t="n">
        <v>1193292</v>
      </c>
      <c r="L56" s="9" t="n">
        <v>2474</v>
      </c>
      <c r="M56" s="11" t="s">
        <v>52</v>
      </c>
      <c r="N56" s="11" t="s">
        <v>37</v>
      </c>
      <c r="P56" s="9" t="n">
        <v>113</v>
      </c>
      <c r="Q56" s="11" t="s">
        <v>46</v>
      </c>
      <c r="R56" s="11" t="s">
        <v>47</v>
      </c>
      <c r="S56" s="9" t="n">
        <v>1130101</v>
      </c>
      <c r="T56" s="11" t="s">
        <v>48</v>
      </c>
      <c r="U56" s="12" t="n">
        <v>1465.86</v>
      </c>
      <c r="W56" s="12" t="n">
        <v>0</v>
      </c>
      <c r="X56" s="11" t="s">
        <v>155</v>
      </c>
      <c r="Z56" s="0" t="str">
        <f aca="false">IF($T56="","",IFERROR(INDEX('Resumo Grupos'!$AC$3:$AC$200,MATCH($T56,'Resumo Grupos'!$AB$3:$AB$200,0)),"n/d"))</f>
        <v>Mercadoria</v>
      </c>
      <c r="AA56" s="0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9" t="n">
        <v>2</v>
      </c>
      <c r="B57" s="10" t="n">
        <v>46164</v>
      </c>
      <c r="C57" s="10" t="n">
        <v>46175</v>
      </c>
      <c r="D57" s="9" t="n">
        <v>1810</v>
      </c>
      <c r="E57" s="11" t="s">
        <v>156</v>
      </c>
      <c r="F57" s="9" t="n">
        <v>24</v>
      </c>
      <c r="G57" s="11" t="s">
        <v>51</v>
      </c>
      <c r="H57" s="9" t="n">
        <v>2110101</v>
      </c>
      <c r="I57" s="11" t="s">
        <v>43</v>
      </c>
      <c r="J57" s="9" t="n">
        <v>1137302</v>
      </c>
      <c r="L57" s="9" t="n">
        <v>81956</v>
      </c>
      <c r="M57" s="11" t="s">
        <v>44</v>
      </c>
      <c r="N57" s="11" t="s">
        <v>37</v>
      </c>
      <c r="P57" s="9" t="n">
        <v>113</v>
      </c>
      <c r="Q57" s="11" t="s">
        <v>46</v>
      </c>
      <c r="R57" s="11" t="s">
        <v>47</v>
      </c>
      <c r="S57" s="9" t="n">
        <v>1130101</v>
      </c>
      <c r="T57" s="11" t="s">
        <v>48</v>
      </c>
      <c r="U57" s="12" t="n">
        <v>280</v>
      </c>
      <c r="W57" s="12" t="n">
        <v>0</v>
      </c>
      <c r="X57" s="11" t="s">
        <v>157</v>
      </c>
      <c r="Z57" s="0" t="str">
        <f aca="false">IF($T57="","",IFERROR(INDEX('Resumo Grupos'!$AC$3:$AC$200,MATCH($T57,'Resumo Grupos'!$AB$3:$AB$200,0)),"n/d"))</f>
        <v>Mercadoria</v>
      </c>
      <c r="AA57" s="0" t="str">
        <f aca="false">IF($T57="","",IF(COUNTIF('Resumo Grupos'!$AE$3:$AE$40,$T57)&gt;0,"NAO","SIM"))</f>
        <v>SIM</v>
      </c>
      <c r="AB57" s="0" t="str">
        <f aca="false">IFERROR(INDEX('Mov Entradas (Rel 10497)'!$L:$L,MATCH(AC57,'Mov Entradas (Rel 10497)'!$I:$I,0)),"nao encontrado")</f>
        <v>nao encontrado</v>
      </c>
      <c r="AC57" s="0" t="n">
        <v>81956</v>
      </c>
    </row>
    <row r="58" customFormat="false" ht="45.75" hidden="false" customHeight="true" outlineLevel="0" collapsed="false">
      <c r="A58" s="9" t="n">
        <v>2</v>
      </c>
      <c r="B58" s="10" t="n">
        <v>46164</v>
      </c>
      <c r="C58" s="10" t="n">
        <v>46175</v>
      </c>
      <c r="D58" s="9" t="n">
        <v>1810</v>
      </c>
      <c r="E58" s="11" t="s">
        <v>156</v>
      </c>
      <c r="F58" s="9" t="n">
        <v>24</v>
      </c>
      <c r="G58" s="11" t="s">
        <v>51</v>
      </c>
      <c r="H58" s="9" t="n">
        <v>2110101</v>
      </c>
      <c r="I58" s="11" t="s">
        <v>43</v>
      </c>
      <c r="J58" s="9" t="n">
        <v>1137318</v>
      </c>
      <c r="L58" s="9" t="n">
        <v>81957</v>
      </c>
      <c r="M58" s="11" t="s">
        <v>44</v>
      </c>
      <c r="N58" s="11" t="s">
        <v>37</v>
      </c>
      <c r="P58" s="9" t="n">
        <v>113</v>
      </c>
      <c r="Q58" s="11" t="s">
        <v>46</v>
      </c>
      <c r="R58" s="11" t="s">
        <v>47</v>
      </c>
      <c r="S58" s="9" t="n">
        <v>1130101</v>
      </c>
      <c r="T58" s="11" t="s">
        <v>48</v>
      </c>
      <c r="U58" s="12" t="n">
        <v>1006.5</v>
      </c>
      <c r="W58" s="12" t="n">
        <v>0</v>
      </c>
      <c r="X58" s="11" t="s">
        <v>158</v>
      </c>
      <c r="Z58" s="0" t="str">
        <f aca="false">IF($T58="","",IFERROR(INDEX('Resumo Grupos'!$AC$3:$AC$200,MATCH($T58,'Resumo Grupos'!$AB$3:$AB$200,0)),"n/d"))</f>
        <v>Mercadoria</v>
      </c>
      <c r="AA58" s="0" t="str">
        <f aca="false">IF($T58="","",IF(COUNTIF('Resumo Grupos'!$AE$3:$AE$40,$T58)&gt;0,"NAO","SIM"))</f>
        <v>SIM</v>
      </c>
      <c r="AB58" s="0" t="str">
        <f aca="false">IFERROR(INDEX('Mov Entradas (Rel 10497)'!$L:$L,MATCH(AC58,'Mov Entradas (Rel 10497)'!$I:$I,0)),"nao encontrado")</f>
        <v>nao encontrado</v>
      </c>
      <c r="AC58" s="0" t="n">
        <v>81957</v>
      </c>
    </row>
    <row r="59" customFormat="false" ht="72.75" hidden="false" customHeight="true" outlineLevel="0" collapsed="false">
      <c r="A59" s="9" t="n">
        <v>2</v>
      </c>
      <c r="B59" s="10" t="n">
        <v>46175</v>
      </c>
      <c r="C59" s="10" t="n">
        <v>46175</v>
      </c>
      <c r="D59" s="9" t="n">
        <v>0</v>
      </c>
      <c r="E59" s="11" t="s">
        <v>109</v>
      </c>
      <c r="F59" s="9" t="n">
        <v>17</v>
      </c>
      <c r="G59" s="11" t="s">
        <v>110</v>
      </c>
      <c r="H59" s="9" t="n">
        <v>1110101</v>
      </c>
      <c r="I59" s="11" t="s">
        <v>111</v>
      </c>
      <c r="J59" s="9" t="n">
        <v>1256262</v>
      </c>
      <c r="L59" s="9" t="n">
        <v>1256262</v>
      </c>
      <c r="M59" s="11" t="s">
        <v>52</v>
      </c>
      <c r="N59" s="11" t="s">
        <v>112</v>
      </c>
      <c r="P59" s="9" t="n">
        <v>113</v>
      </c>
      <c r="Q59" s="11" t="s">
        <v>46</v>
      </c>
      <c r="R59" s="11" t="s">
        <v>71</v>
      </c>
      <c r="S59" s="9" t="n">
        <v>4210314</v>
      </c>
      <c r="T59" s="11" t="s">
        <v>113</v>
      </c>
      <c r="U59" s="12" t="n">
        <v>70</v>
      </c>
      <c r="W59" s="12" t="n">
        <v>70</v>
      </c>
      <c r="X59" s="11" t="s">
        <v>114</v>
      </c>
      <c r="Z59" s="0" t="str">
        <f aca="false">IF($T59="","",IFERROR(INDEX('Resumo Grupos'!$AC$3:$AC$200,MATCH($T59,'Resumo Grupos'!$AB$3:$AB$200,0)),"n/d"))</f>
        <v>Despesa</v>
      </c>
      <c r="AA59" s="0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9" t="n">
        <v>2</v>
      </c>
      <c r="B60" s="10" t="n">
        <v>46175</v>
      </c>
      <c r="C60" s="10" t="n">
        <v>46175</v>
      </c>
      <c r="D60" s="9" t="n">
        <v>0</v>
      </c>
      <c r="E60" s="11" t="s">
        <v>109</v>
      </c>
      <c r="F60" s="9" t="n">
        <v>17</v>
      </c>
      <c r="G60" s="11" t="s">
        <v>110</v>
      </c>
      <c r="H60" s="9" t="n">
        <v>1110101</v>
      </c>
      <c r="I60" s="11" t="s">
        <v>111</v>
      </c>
      <c r="J60" s="9" t="n">
        <v>1256264</v>
      </c>
      <c r="L60" s="9" t="n">
        <v>1256264</v>
      </c>
      <c r="M60" s="11" t="s">
        <v>52</v>
      </c>
      <c r="N60" s="11" t="s">
        <v>112</v>
      </c>
      <c r="P60" s="9" t="n">
        <v>113</v>
      </c>
      <c r="Q60" s="11" t="s">
        <v>46</v>
      </c>
      <c r="R60" s="11" t="s">
        <v>71</v>
      </c>
      <c r="S60" s="9" t="n">
        <v>4210314</v>
      </c>
      <c r="T60" s="11" t="s">
        <v>113</v>
      </c>
      <c r="U60" s="12" t="n">
        <v>70</v>
      </c>
      <c r="W60" s="12" t="n">
        <v>70</v>
      </c>
      <c r="X60" s="11" t="s">
        <v>115</v>
      </c>
      <c r="Z60" s="0" t="str">
        <f aca="false">IF($T60="","",IFERROR(INDEX('Resumo Grupos'!$AC$3:$AC$200,MATCH($T60,'Resumo Grupos'!$AB$3:$AB$200,0)),"n/d"))</f>
        <v>Despesa</v>
      </c>
      <c r="AA60" s="0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9" t="n">
        <v>2</v>
      </c>
      <c r="B61" s="10" t="n">
        <v>46175</v>
      </c>
      <c r="C61" s="10" t="n">
        <v>46175</v>
      </c>
      <c r="D61" s="9" t="n">
        <v>0</v>
      </c>
      <c r="E61" s="11" t="s">
        <v>109</v>
      </c>
      <c r="F61" s="9" t="n">
        <v>17</v>
      </c>
      <c r="G61" s="11" t="s">
        <v>110</v>
      </c>
      <c r="H61" s="9" t="n">
        <v>1110101</v>
      </c>
      <c r="I61" s="11" t="s">
        <v>111</v>
      </c>
      <c r="J61" s="9" t="n">
        <v>1256270</v>
      </c>
      <c r="L61" s="9" t="n">
        <v>1256270</v>
      </c>
      <c r="M61" s="11" t="s">
        <v>52</v>
      </c>
      <c r="N61" s="11" t="s">
        <v>112</v>
      </c>
      <c r="P61" s="9" t="n">
        <v>113</v>
      </c>
      <c r="Q61" s="11" t="s">
        <v>46</v>
      </c>
      <c r="R61" s="11" t="s">
        <v>71</v>
      </c>
      <c r="S61" s="9" t="n">
        <v>4210316</v>
      </c>
      <c r="T61" s="11" t="s">
        <v>159</v>
      </c>
      <c r="U61" s="12" t="n">
        <v>50</v>
      </c>
      <c r="W61" s="12" t="n">
        <v>50</v>
      </c>
      <c r="X61" s="11" t="s">
        <v>160</v>
      </c>
      <c r="Z61" s="0" t="str">
        <f aca="false">IF($T61="","",IFERROR(INDEX('Resumo Grupos'!$AC$3:$AC$200,MATCH($T61,'Resumo Grupos'!$AB$3:$AB$200,0)),"n/d"))</f>
        <v>Salários</v>
      </c>
      <c r="AA61" s="0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9" t="n">
        <v>2</v>
      </c>
      <c r="B62" s="10" t="n">
        <v>46175</v>
      </c>
      <c r="C62" s="10" t="n">
        <v>46175</v>
      </c>
      <c r="D62" s="9" t="n">
        <v>0</v>
      </c>
      <c r="E62" s="11" t="s">
        <v>109</v>
      </c>
      <c r="F62" s="9" t="n">
        <v>17</v>
      </c>
      <c r="G62" s="11" t="s">
        <v>110</v>
      </c>
      <c r="H62" s="9" t="n">
        <v>1110101</v>
      </c>
      <c r="I62" s="11" t="s">
        <v>111</v>
      </c>
      <c r="J62" s="9" t="n">
        <v>1361170</v>
      </c>
      <c r="L62" s="9" t="n">
        <v>1361170</v>
      </c>
      <c r="M62" s="11" t="s">
        <v>52</v>
      </c>
      <c r="N62" s="11" t="s">
        <v>112</v>
      </c>
      <c r="P62" s="9" t="n">
        <v>113</v>
      </c>
      <c r="Q62" s="11" t="s">
        <v>46</v>
      </c>
      <c r="R62" s="11" t="s">
        <v>116</v>
      </c>
      <c r="S62" s="9" t="n">
        <v>1110203</v>
      </c>
      <c r="T62" s="11" t="s">
        <v>117</v>
      </c>
      <c r="U62" s="12" t="n">
        <v>2200</v>
      </c>
      <c r="W62" s="12" t="n">
        <v>2200</v>
      </c>
      <c r="X62" s="11" t="s">
        <v>161</v>
      </c>
      <c r="Z62" s="0" t="str">
        <f aca="false">IF($T62="","",IFERROR(INDEX('Resumo Grupos'!$AC$3:$AC$200,MATCH($T62,'Resumo Grupos'!$AB$3:$AB$200,0)),"n/d"))</f>
        <v>Despesa</v>
      </c>
      <c r="AA62" s="0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9" t="n">
        <v>2</v>
      </c>
      <c r="B63" s="10" t="n">
        <v>46169</v>
      </c>
      <c r="C63" s="10" t="n">
        <v>46175</v>
      </c>
      <c r="D63" s="9" t="n">
        <v>754</v>
      </c>
      <c r="E63" s="11" t="s">
        <v>162</v>
      </c>
      <c r="F63" s="9" t="n">
        <v>24</v>
      </c>
      <c r="G63" s="11" t="s">
        <v>51</v>
      </c>
      <c r="H63" s="9" t="n">
        <v>2110101</v>
      </c>
      <c r="I63" s="11" t="s">
        <v>43</v>
      </c>
      <c r="J63" s="9" t="n">
        <v>1162485</v>
      </c>
      <c r="L63" s="9" t="n">
        <v>30636</v>
      </c>
      <c r="M63" s="11" t="s">
        <v>52</v>
      </c>
      <c r="N63" s="11" t="s">
        <v>37</v>
      </c>
      <c r="P63" s="9" t="n">
        <v>113</v>
      </c>
      <c r="Q63" s="11" t="s">
        <v>46</v>
      </c>
      <c r="R63" s="11" t="s">
        <v>47</v>
      </c>
      <c r="S63" s="9" t="n">
        <v>1130101</v>
      </c>
      <c r="T63" s="11" t="s">
        <v>48</v>
      </c>
      <c r="U63" s="12" t="n">
        <v>3849.6</v>
      </c>
      <c r="W63" s="12" t="n">
        <v>0</v>
      </c>
      <c r="X63" s="11" t="s">
        <v>163</v>
      </c>
      <c r="Z63" s="0" t="str">
        <f aca="false">IF($T63="","",IFERROR(INDEX('Resumo Grupos'!$AC$3:$AC$200,MATCH($T63,'Resumo Grupos'!$AB$3:$AB$200,0)),"n/d"))</f>
        <v>Mercadoria</v>
      </c>
      <c r="AA63" s="0" t="str">
        <f aca="false">IF($T63="","",IF(COUNTIF('Resumo Grupos'!$AE$3:$AE$40,$T63)&gt;0,"NAO","SIM"))</f>
        <v>SIM</v>
      </c>
      <c r="AB63" s="0" t="str">
        <f aca="false">IFERROR(INDEX('Mov Entradas (Rel 10497)'!$L:$L,MATCH(AC63,'Mov Entradas (Rel 10497)'!$I:$I,0)),"nao encontrado")</f>
        <v>nao encontrado</v>
      </c>
      <c r="AC63" s="0" t="n">
        <v>30636</v>
      </c>
    </row>
    <row r="64" customFormat="false" ht="63.75" hidden="false" customHeight="true" outlineLevel="0" collapsed="false">
      <c r="A64" s="9" t="n">
        <v>2</v>
      </c>
      <c r="B64" s="10" t="n">
        <v>46155</v>
      </c>
      <c r="C64" s="10" t="n">
        <v>46175</v>
      </c>
      <c r="D64" s="9" t="n">
        <v>1461</v>
      </c>
      <c r="E64" s="11" t="s">
        <v>164</v>
      </c>
      <c r="F64" s="9" t="n">
        <v>24</v>
      </c>
      <c r="G64" s="11" t="s">
        <v>51</v>
      </c>
      <c r="H64" s="9" t="n">
        <v>2110405</v>
      </c>
      <c r="I64" s="11" t="s">
        <v>56</v>
      </c>
      <c r="J64" s="9" t="n">
        <v>1092201</v>
      </c>
      <c r="L64" s="9" t="n">
        <v>144677</v>
      </c>
      <c r="M64" s="11" t="s">
        <v>52</v>
      </c>
      <c r="N64" s="11" t="s">
        <v>45</v>
      </c>
      <c r="P64" s="9" t="n">
        <v>113</v>
      </c>
      <c r="Q64" s="11" t="s">
        <v>46</v>
      </c>
      <c r="R64" s="11" t="s">
        <v>39</v>
      </c>
      <c r="S64" s="9" t="n">
        <v>4210299</v>
      </c>
      <c r="T64" s="11" t="s">
        <v>165</v>
      </c>
      <c r="U64" s="12" t="n">
        <v>1373.2</v>
      </c>
      <c r="W64" s="12" t="n">
        <v>0</v>
      </c>
      <c r="X64" s="11" t="s">
        <v>166</v>
      </c>
      <c r="Z64" s="0" t="str">
        <f aca="false">IF($T64="","",IFERROR(INDEX('Resumo Grupos'!$AC$3:$AC$200,MATCH($T64,'Resumo Grupos'!$AB$3:$AB$200,0)),"n/d"))</f>
        <v>Despesa</v>
      </c>
      <c r="AA64" s="0" t="str">
        <f aca="false">IF($T64="","",IF(COUNTIF('Resumo Grupos'!$AE$3:$AE$40,$T64)&gt;0,"NAO","SIM"))</f>
        <v>SIM</v>
      </c>
      <c r="AB64" s="0" t="str">
        <f aca="false">IFERROR(INDEX('Mov Entradas (Rel 10497)'!$L:$L,MATCH(AC64,'Mov Entradas (Rel 10497)'!$I:$I,0)),"nao encontrado")</f>
        <v>nao encontrado</v>
      </c>
      <c r="AC64" s="0" t="n">
        <v>3083</v>
      </c>
    </row>
    <row r="65" customFormat="false" ht="36.75" hidden="false" customHeight="true" outlineLevel="0" collapsed="false">
      <c r="A65" s="9" t="n">
        <v>2</v>
      </c>
      <c r="B65" s="10" t="n">
        <v>46163</v>
      </c>
      <c r="C65" s="10" t="n">
        <v>46176</v>
      </c>
      <c r="D65" s="9" t="n">
        <v>1921</v>
      </c>
      <c r="E65" s="11" t="s">
        <v>167</v>
      </c>
      <c r="F65" s="9" t="n">
        <v>24</v>
      </c>
      <c r="G65" s="11" t="s">
        <v>51</v>
      </c>
      <c r="H65" s="9" t="n">
        <v>2110101</v>
      </c>
      <c r="I65" s="11" t="s">
        <v>43</v>
      </c>
      <c r="J65" s="9" t="n">
        <v>1131644</v>
      </c>
      <c r="L65" s="9" t="n">
        <v>20752</v>
      </c>
      <c r="M65" s="11" t="s">
        <v>52</v>
      </c>
      <c r="N65" s="11" t="s">
        <v>37</v>
      </c>
      <c r="P65" s="9" t="n">
        <v>113</v>
      </c>
      <c r="Q65" s="11" t="s">
        <v>46</v>
      </c>
      <c r="R65" s="11" t="s">
        <v>47</v>
      </c>
      <c r="S65" s="9" t="n">
        <v>1130101</v>
      </c>
      <c r="T65" s="11" t="s">
        <v>48</v>
      </c>
      <c r="U65" s="12" t="n">
        <v>340.77</v>
      </c>
      <c r="W65" s="12" t="n">
        <v>0</v>
      </c>
      <c r="X65" s="11" t="s">
        <v>168</v>
      </c>
      <c r="Z65" s="0" t="str">
        <f aca="false">IF($T65="","",IFERROR(INDEX('Resumo Grupos'!$AC$3:$AC$200,MATCH($T65,'Resumo Grupos'!$AB$3:$AB$200,0)),"n/d"))</f>
        <v>Mercadoria</v>
      </c>
      <c r="AA65" s="0" t="str">
        <f aca="false">IF($T65="","",IF(COUNTIF('Resumo Grupos'!$AE$3:$AE$40,$T65)&gt;0,"NAO","SIM"))</f>
        <v>SIM</v>
      </c>
      <c r="AB65" s="0" t="str">
        <f aca="false">IFERROR(INDEX('Mov Entradas (Rel 10497)'!$L:$L,MATCH(AC65,'Mov Entradas (Rel 10497)'!$I:$I,0)),"nao encontrado")</f>
        <v>nao encontrado</v>
      </c>
      <c r="AC65" s="0" t="n">
        <v>20752</v>
      </c>
    </row>
    <row r="66" customFormat="false" ht="45.75" hidden="false" customHeight="true" outlineLevel="0" collapsed="false">
      <c r="A66" s="9" t="n">
        <v>2</v>
      </c>
      <c r="B66" s="10" t="n">
        <v>46157</v>
      </c>
      <c r="C66" s="10" t="n">
        <v>46176</v>
      </c>
      <c r="D66" s="9" t="n">
        <v>1613</v>
      </c>
      <c r="E66" s="11" t="s">
        <v>50</v>
      </c>
      <c r="F66" s="9" t="n">
        <v>24</v>
      </c>
      <c r="G66" s="11" t="s">
        <v>51</v>
      </c>
      <c r="H66" s="9" t="n">
        <v>2110101</v>
      </c>
      <c r="I66" s="11" t="s">
        <v>43</v>
      </c>
      <c r="J66" s="9" t="n">
        <v>1102672</v>
      </c>
      <c r="L66" s="9" t="n">
        <v>1585747</v>
      </c>
      <c r="M66" s="11" t="s">
        <v>44</v>
      </c>
      <c r="N66" s="11" t="s">
        <v>37</v>
      </c>
      <c r="P66" s="9" t="n">
        <v>113</v>
      </c>
      <c r="Q66" s="11" t="s">
        <v>46</v>
      </c>
      <c r="R66" s="11" t="s">
        <v>47</v>
      </c>
      <c r="S66" s="9" t="n">
        <v>1130101</v>
      </c>
      <c r="T66" s="11" t="s">
        <v>48</v>
      </c>
      <c r="U66" s="12" t="n">
        <v>349.37</v>
      </c>
      <c r="W66" s="12" t="n">
        <v>0</v>
      </c>
      <c r="X66" s="11" t="s">
        <v>169</v>
      </c>
      <c r="Z66" s="0" t="str">
        <f aca="false">IF($T66="","",IFERROR(INDEX('Resumo Grupos'!$AC$3:$AC$200,MATCH($T66,'Resumo Grupos'!$AB$3:$AB$200,0)),"n/d"))</f>
        <v>Mercadoria</v>
      </c>
      <c r="AA66" s="0" t="str">
        <f aca="false">IF($T66="","",IF(COUNTIF('Resumo Grupos'!$AE$3:$AE$40,$T66)&gt;0,"NAO","SIM"))</f>
        <v>SIM</v>
      </c>
      <c r="AB66" s="0" t="str">
        <f aca="false">IFERROR(INDEX('Mov Entradas (Rel 10497)'!$L:$L,MATCH(AC66,'Mov Entradas (Rel 10497)'!$I:$I,0)),"nao encontrado")</f>
        <v>nao encontrado</v>
      </c>
      <c r="AC66" s="0" t="n">
        <v>1585747</v>
      </c>
    </row>
    <row r="67" customFormat="false" ht="54.75" hidden="false" customHeight="true" outlineLevel="0" collapsed="false">
      <c r="A67" s="9" t="n">
        <v>2</v>
      </c>
      <c r="B67" s="10" t="n">
        <v>46164</v>
      </c>
      <c r="C67" s="10" t="n">
        <v>46176</v>
      </c>
      <c r="D67" s="9" t="n">
        <v>1613</v>
      </c>
      <c r="E67" s="11" t="s">
        <v>50</v>
      </c>
      <c r="F67" s="9" t="n">
        <v>24</v>
      </c>
      <c r="G67" s="11" t="s">
        <v>51</v>
      </c>
      <c r="H67" s="9" t="n">
        <v>2110101</v>
      </c>
      <c r="I67" s="11" t="s">
        <v>43</v>
      </c>
      <c r="J67" s="9" t="n">
        <v>1137478</v>
      </c>
      <c r="L67" s="9" t="n">
        <v>1588694</v>
      </c>
      <c r="M67" s="11" t="s">
        <v>52</v>
      </c>
      <c r="N67" s="11" t="s">
        <v>37</v>
      </c>
      <c r="P67" s="9" t="n">
        <v>113</v>
      </c>
      <c r="Q67" s="11" t="s">
        <v>46</v>
      </c>
      <c r="R67" s="11" t="s">
        <v>47</v>
      </c>
      <c r="S67" s="9" t="n">
        <v>1130101</v>
      </c>
      <c r="T67" s="11" t="s">
        <v>48</v>
      </c>
      <c r="U67" s="12" t="n">
        <v>1208.63</v>
      </c>
      <c r="W67" s="12" t="n">
        <v>0</v>
      </c>
      <c r="X67" s="11" t="s">
        <v>170</v>
      </c>
      <c r="Z67" s="0" t="str">
        <f aca="false">IF($T67="","",IFERROR(INDEX('Resumo Grupos'!$AC$3:$AC$200,MATCH($T67,'Resumo Grupos'!$AB$3:$AB$200,0)),"n/d"))</f>
        <v>Mercadoria</v>
      </c>
      <c r="AA67" s="0" t="str">
        <f aca="false">IF($T67="","",IF(COUNTIF('Resumo Grupos'!$AE$3:$AE$40,$T67)&gt;0,"NAO","SIM"))</f>
        <v>SIM</v>
      </c>
      <c r="AB67" s="0" t="str">
        <f aca="false">IFERROR(INDEX('Mov Entradas (Rel 10497)'!$L:$L,MATCH(AC67,'Mov Entradas (Rel 10497)'!$I:$I,0)),"nao encontrado")</f>
        <v>nao encontrado</v>
      </c>
      <c r="AC67" s="0" t="n">
        <v>1588694</v>
      </c>
    </row>
    <row r="68" customFormat="false" ht="36.75" hidden="false" customHeight="true" outlineLevel="0" collapsed="false">
      <c r="A68" s="9" t="n">
        <v>2</v>
      </c>
      <c r="B68" s="10" t="n">
        <v>46156</v>
      </c>
      <c r="C68" s="10" t="n">
        <v>46176</v>
      </c>
      <c r="D68" s="9" t="n">
        <v>1636</v>
      </c>
      <c r="E68" s="11" t="s">
        <v>61</v>
      </c>
      <c r="F68" s="9" t="n">
        <v>24</v>
      </c>
      <c r="G68" s="11" t="s">
        <v>51</v>
      </c>
      <c r="H68" s="9" t="n">
        <v>2110101</v>
      </c>
      <c r="I68" s="11" t="s">
        <v>43</v>
      </c>
      <c r="J68" s="9" t="n">
        <v>1097352</v>
      </c>
      <c r="L68" s="9" t="n">
        <v>145428</v>
      </c>
      <c r="M68" s="11" t="s">
        <v>52</v>
      </c>
      <c r="N68" s="11" t="s">
        <v>45</v>
      </c>
      <c r="P68" s="9" t="n">
        <v>113</v>
      </c>
      <c r="Q68" s="11" t="s">
        <v>46</v>
      </c>
      <c r="R68" s="11" t="s">
        <v>47</v>
      </c>
      <c r="S68" s="9" t="n">
        <v>1130101</v>
      </c>
      <c r="T68" s="11" t="s">
        <v>48</v>
      </c>
      <c r="U68" s="12" t="n">
        <v>1036.09</v>
      </c>
      <c r="W68" s="12" t="n">
        <v>0</v>
      </c>
      <c r="X68" s="11" t="s">
        <v>171</v>
      </c>
      <c r="Z68" s="0" t="str">
        <f aca="false">IF($T68="","",IFERROR(INDEX('Resumo Grupos'!$AC$3:$AC$200,MATCH($T68,'Resumo Grupos'!$AB$3:$AB$200,0)),"n/d"))</f>
        <v>Mercadoria</v>
      </c>
      <c r="AA68" s="0" t="str">
        <f aca="false">IF($T68="","",IF(COUNTIF('Resumo Grupos'!$AE$3:$AE$40,$T68)&gt;0,"NAO","SIM"))</f>
        <v>SIM</v>
      </c>
      <c r="AB68" s="0" t="str">
        <f aca="false">IFERROR(INDEX('Mov Entradas (Rel 10497)'!$L:$L,MATCH(AC68,'Mov Entradas (Rel 10497)'!$I:$I,0)),"nao encontrado")</f>
        <v>nao encontrado</v>
      </c>
      <c r="AC68" s="0" t="n">
        <v>3186737</v>
      </c>
    </row>
    <row r="69" customFormat="false" ht="36.75" hidden="false" customHeight="true" outlineLevel="0" collapsed="false">
      <c r="A69" s="9" t="n">
        <v>2</v>
      </c>
      <c r="B69" s="10" t="n">
        <v>46163</v>
      </c>
      <c r="C69" s="10" t="n">
        <v>46176</v>
      </c>
      <c r="D69" s="9" t="n">
        <v>1815</v>
      </c>
      <c r="E69" s="11" t="s">
        <v>172</v>
      </c>
      <c r="F69" s="9" t="n">
        <v>24</v>
      </c>
      <c r="G69" s="11" t="s">
        <v>51</v>
      </c>
      <c r="H69" s="9" t="n">
        <v>2110101</v>
      </c>
      <c r="I69" s="11" t="s">
        <v>43</v>
      </c>
      <c r="J69" s="9" t="n">
        <v>1131280</v>
      </c>
      <c r="L69" s="9" t="n">
        <v>382547</v>
      </c>
      <c r="M69" s="11" t="s">
        <v>44</v>
      </c>
      <c r="N69" s="11" t="s">
        <v>37</v>
      </c>
      <c r="P69" s="9" t="n">
        <v>113</v>
      </c>
      <c r="Q69" s="11" t="s">
        <v>46</v>
      </c>
      <c r="R69" s="11" t="s">
        <v>47</v>
      </c>
      <c r="S69" s="9" t="n">
        <v>1130101</v>
      </c>
      <c r="T69" s="11" t="s">
        <v>48</v>
      </c>
      <c r="U69" s="12" t="n">
        <v>774.34</v>
      </c>
      <c r="W69" s="12" t="n">
        <v>0</v>
      </c>
      <c r="X69" s="11" t="s">
        <v>173</v>
      </c>
      <c r="Z69" s="0" t="str">
        <f aca="false">IF($T69="","",IFERROR(INDEX('Resumo Grupos'!$AC$3:$AC$200,MATCH($T69,'Resumo Grupos'!$AB$3:$AB$200,0)),"n/d"))</f>
        <v>Mercadoria</v>
      </c>
      <c r="AA69" s="0" t="str">
        <f aca="false">IF($T69="","",IF(COUNTIF('Resumo Grupos'!$AE$3:$AE$40,$T69)&gt;0,"NAO","SIM"))</f>
        <v>SIM</v>
      </c>
      <c r="AB69" s="0" t="str">
        <f aca="false">IFERROR(INDEX('Mov Entradas (Rel 10497)'!$L:$L,MATCH(AC69,'Mov Entradas (Rel 10497)'!$I:$I,0)),"nao encontrado")</f>
        <v>nao encontrado</v>
      </c>
      <c r="AC69" s="0" t="n">
        <v>382547</v>
      </c>
    </row>
    <row r="70" customFormat="false" ht="36.75" hidden="false" customHeight="true" outlineLevel="0" collapsed="false">
      <c r="A70" s="9" t="n">
        <v>2</v>
      </c>
      <c r="B70" s="10" t="n">
        <v>46169</v>
      </c>
      <c r="C70" s="10" t="n">
        <v>46176</v>
      </c>
      <c r="D70" s="9" t="n">
        <v>1363</v>
      </c>
      <c r="E70" s="11" t="s">
        <v>174</v>
      </c>
      <c r="F70" s="9" t="n">
        <v>24</v>
      </c>
      <c r="G70" s="11" t="s">
        <v>51</v>
      </c>
      <c r="H70" s="9" t="n">
        <v>2110101</v>
      </c>
      <c r="I70" s="11" t="s">
        <v>43</v>
      </c>
      <c r="J70" s="9" t="n">
        <v>1162575</v>
      </c>
      <c r="L70" s="9" t="n">
        <v>3262</v>
      </c>
      <c r="M70" s="11" t="s">
        <v>52</v>
      </c>
      <c r="N70" s="11" t="s">
        <v>37</v>
      </c>
      <c r="P70" s="9" t="n">
        <v>113</v>
      </c>
      <c r="Q70" s="11" t="s">
        <v>46</v>
      </c>
      <c r="R70" s="11" t="s">
        <v>47</v>
      </c>
      <c r="S70" s="9" t="n">
        <v>1130101</v>
      </c>
      <c r="T70" s="11" t="s">
        <v>48</v>
      </c>
      <c r="U70" s="12" t="n">
        <v>156</v>
      </c>
      <c r="W70" s="12" t="n">
        <v>0</v>
      </c>
      <c r="X70" s="11" t="s">
        <v>175</v>
      </c>
      <c r="Z70" s="0" t="str">
        <f aca="false">IF($T70="","",IFERROR(INDEX('Resumo Grupos'!$AC$3:$AC$200,MATCH($T70,'Resumo Grupos'!$AB$3:$AB$200,0)),"n/d"))</f>
        <v>Mercadoria</v>
      </c>
      <c r="AA70" s="0" t="str">
        <f aca="false">IF($T70="","",IF(COUNTIF('Resumo Grupos'!$AE$3:$AE$40,$T70)&gt;0,"NAO","SIM"))</f>
        <v>SIM</v>
      </c>
      <c r="AB70" s="0" t="str">
        <f aca="false">IFERROR(INDEX('Mov Entradas (Rel 10497)'!$L:$L,MATCH(AC70,'Mov Entradas (Rel 10497)'!$I:$I,0)),"nao encontrado")</f>
        <v>nao encontrado</v>
      </c>
      <c r="AC70" s="0" t="n">
        <v>3262</v>
      </c>
    </row>
    <row r="71" customFormat="false" ht="36.75" hidden="false" customHeight="true" outlineLevel="0" collapsed="false">
      <c r="A71" s="9" t="n">
        <v>2</v>
      </c>
      <c r="B71" s="10" t="n">
        <v>46161</v>
      </c>
      <c r="C71" s="10" t="n">
        <v>46176</v>
      </c>
      <c r="D71" s="9" t="n">
        <v>10014</v>
      </c>
      <c r="E71" s="11" t="s">
        <v>176</v>
      </c>
      <c r="F71" s="9" t="n">
        <v>24</v>
      </c>
      <c r="G71" s="11" t="s">
        <v>51</v>
      </c>
      <c r="H71" s="9" t="n">
        <v>2110101</v>
      </c>
      <c r="I71" s="11" t="s">
        <v>43</v>
      </c>
      <c r="J71" s="9" t="n">
        <v>1121614</v>
      </c>
      <c r="L71" s="9" t="n">
        <v>148605</v>
      </c>
      <c r="M71" s="11" t="s">
        <v>52</v>
      </c>
      <c r="N71" s="11" t="s">
        <v>45</v>
      </c>
      <c r="P71" s="9" t="n">
        <v>113</v>
      </c>
      <c r="Q71" s="11" t="s">
        <v>46</v>
      </c>
      <c r="R71" s="11" t="s">
        <v>47</v>
      </c>
      <c r="S71" s="9" t="n">
        <v>1130101</v>
      </c>
      <c r="T71" s="11" t="s">
        <v>48</v>
      </c>
      <c r="U71" s="12" t="n">
        <v>504.96</v>
      </c>
      <c r="W71" s="12" t="n">
        <v>0</v>
      </c>
      <c r="X71" s="11" t="s">
        <v>177</v>
      </c>
      <c r="Z71" s="0" t="str">
        <f aca="false">IF($T71="","",IFERROR(INDEX('Resumo Grupos'!$AC$3:$AC$200,MATCH($T71,'Resumo Grupos'!$AB$3:$AB$200,0)),"n/d"))</f>
        <v>Mercadoria</v>
      </c>
      <c r="AA71" s="0" t="str">
        <f aca="false">IF($T71="","",IF(COUNTIF('Resumo Grupos'!$AE$3:$AE$40,$T71)&gt;0,"NAO","SIM"))</f>
        <v>SIM</v>
      </c>
      <c r="AB71" s="0" t="str">
        <f aca="false">IFERROR(INDEX('Mov Entradas (Rel 10497)'!$L:$L,MATCH(AC71,'Mov Entradas (Rel 10497)'!$I:$I,0)),"nao encontrado")</f>
        <v>nao encontrado</v>
      </c>
      <c r="AC71" s="0" t="n">
        <v>3481</v>
      </c>
    </row>
    <row r="72" customFormat="false" ht="45.75" hidden="false" customHeight="true" outlineLevel="0" collapsed="false">
      <c r="A72" s="9" t="n">
        <v>2</v>
      </c>
      <c r="B72" s="10" t="n">
        <v>46157</v>
      </c>
      <c r="C72" s="10" t="n">
        <v>46176</v>
      </c>
      <c r="D72" s="9" t="n">
        <v>1611</v>
      </c>
      <c r="E72" s="11" t="s">
        <v>178</v>
      </c>
      <c r="F72" s="9" t="n">
        <v>24</v>
      </c>
      <c r="G72" s="11" t="s">
        <v>51</v>
      </c>
      <c r="H72" s="9" t="n">
        <v>2110101</v>
      </c>
      <c r="I72" s="11" t="s">
        <v>43</v>
      </c>
      <c r="J72" s="9" t="n">
        <v>1101879</v>
      </c>
      <c r="L72" s="9" t="n">
        <v>146196</v>
      </c>
      <c r="M72" s="11" t="s">
        <v>52</v>
      </c>
      <c r="N72" s="11" t="s">
        <v>45</v>
      </c>
      <c r="P72" s="9" t="n">
        <v>113</v>
      </c>
      <c r="Q72" s="11" t="s">
        <v>46</v>
      </c>
      <c r="R72" s="11" t="s">
        <v>47</v>
      </c>
      <c r="S72" s="9" t="n">
        <v>1130101</v>
      </c>
      <c r="T72" s="11" t="s">
        <v>48</v>
      </c>
      <c r="U72" s="12" t="n">
        <v>392.13</v>
      </c>
      <c r="W72" s="12" t="n">
        <v>0</v>
      </c>
      <c r="X72" s="11" t="s">
        <v>179</v>
      </c>
      <c r="Z72" s="0" t="str">
        <f aca="false">IF($T72="","",IFERROR(INDEX('Resumo Grupos'!$AC$3:$AC$200,MATCH($T72,'Resumo Grupos'!$AB$3:$AB$200,0)),"n/d"))</f>
        <v>Mercadoria</v>
      </c>
      <c r="AA72" s="0" t="str">
        <f aca="false">IF($T72="","",IF(COUNTIF('Resumo Grupos'!$AE$3:$AE$40,$T72)&gt;0,"NAO","SIM"))</f>
        <v>SIM</v>
      </c>
      <c r="AB72" s="0" t="str">
        <f aca="false">IFERROR(INDEX('Mov Entradas (Rel 10497)'!$L:$L,MATCH(AC72,'Mov Entradas (Rel 10497)'!$I:$I,0)),"nao encontrado")</f>
        <v>nao encontrado</v>
      </c>
      <c r="AC72" s="0" t="n">
        <v>1762194</v>
      </c>
    </row>
    <row r="73" customFormat="false" ht="45.75" hidden="false" customHeight="true" outlineLevel="0" collapsed="false">
      <c r="A73" s="9" t="n">
        <v>2</v>
      </c>
      <c r="B73" s="10" t="n">
        <v>46157</v>
      </c>
      <c r="C73" s="10" t="n">
        <v>46176</v>
      </c>
      <c r="D73" s="9" t="n">
        <v>1611</v>
      </c>
      <c r="E73" s="11" t="s">
        <v>178</v>
      </c>
      <c r="F73" s="9" t="n">
        <v>24</v>
      </c>
      <c r="G73" s="11" t="s">
        <v>51</v>
      </c>
      <c r="H73" s="9" t="n">
        <v>2110101</v>
      </c>
      <c r="I73" s="11" t="s">
        <v>43</v>
      </c>
      <c r="J73" s="9" t="n">
        <v>1102198</v>
      </c>
      <c r="L73" s="9" t="n">
        <v>1762195</v>
      </c>
      <c r="M73" s="11" t="s">
        <v>44</v>
      </c>
      <c r="N73" s="11" t="s">
        <v>37</v>
      </c>
      <c r="P73" s="9" t="n">
        <v>113</v>
      </c>
      <c r="Q73" s="11" t="s">
        <v>46</v>
      </c>
      <c r="R73" s="11" t="s">
        <v>47</v>
      </c>
      <c r="S73" s="9" t="n">
        <v>1130101</v>
      </c>
      <c r="T73" s="11" t="s">
        <v>48</v>
      </c>
      <c r="U73" s="12" t="n">
        <v>691.5</v>
      </c>
      <c r="W73" s="12" t="n">
        <v>0</v>
      </c>
      <c r="X73" s="11" t="s">
        <v>180</v>
      </c>
      <c r="Z73" s="0" t="str">
        <f aca="false">IF($T73="","",IFERROR(INDEX('Resumo Grupos'!$AC$3:$AC$200,MATCH($T73,'Resumo Grupos'!$AB$3:$AB$200,0)),"n/d"))</f>
        <v>Mercadoria</v>
      </c>
      <c r="AA73" s="0" t="str">
        <f aca="false">IF($T73="","",IF(COUNTIF('Resumo Grupos'!$AE$3:$AE$40,$T73)&gt;0,"NAO","SIM"))</f>
        <v>SIM</v>
      </c>
      <c r="AB73" s="0" t="str">
        <f aca="false">IFERROR(INDEX('Mov Entradas (Rel 10497)'!$L:$L,MATCH(AC73,'Mov Entradas (Rel 10497)'!$I:$I,0)),"nao encontrado")</f>
        <v>nao encontrado</v>
      </c>
      <c r="AC73" s="0" t="n">
        <v>1762195</v>
      </c>
    </row>
    <row r="74" customFormat="false" ht="36.75" hidden="false" customHeight="true" outlineLevel="0" collapsed="false">
      <c r="A74" s="9" t="n">
        <v>2</v>
      </c>
      <c r="B74" s="10" t="n">
        <v>46170</v>
      </c>
      <c r="C74" s="10" t="n">
        <v>46176</v>
      </c>
      <c r="D74" s="9" t="n">
        <v>1078</v>
      </c>
      <c r="E74" s="11" t="s">
        <v>151</v>
      </c>
      <c r="F74" s="9" t="n">
        <v>24</v>
      </c>
      <c r="G74" s="11" t="s">
        <v>51</v>
      </c>
      <c r="H74" s="9" t="n">
        <v>2110101</v>
      </c>
      <c r="I74" s="11" t="s">
        <v>43</v>
      </c>
      <c r="J74" s="9" t="n">
        <v>1167108</v>
      </c>
      <c r="L74" s="9" t="n">
        <v>27273</v>
      </c>
      <c r="M74" s="11" t="s">
        <v>52</v>
      </c>
      <c r="N74" s="11" t="s">
        <v>37</v>
      </c>
      <c r="P74" s="9" t="n">
        <v>113</v>
      </c>
      <c r="Q74" s="11" t="s">
        <v>46</v>
      </c>
      <c r="R74" s="11" t="s">
        <v>47</v>
      </c>
      <c r="S74" s="9" t="n">
        <v>1130101</v>
      </c>
      <c r="T74" s="11" t="s">
        <v>48</v>
      </c>
      <c r="U74" s="12" t="n">
        <v>84.11</v>
      </c>
      <c r="W74" s="12" t="n">
        <v>0</v>
      </c>
      <c r="X74" s="11" t="s">
        <v>181</v>
      </c>
      <c r="Z74" s="0" t="str">
        <f aca="false">IF($T74="","",IFERROR(INDEX('Resumo Grupos'!$AC$3:$AC$200,MATCH($T74,'Resumo Grupos'!$AB$3:$AB$200,0)),"n/d"))</f>
        <v>Mercadoria</v>
      </c>
      <c r="AA74" s="0" t="str">
        <f aca="false">IF($T74="","",IF(COUNTIF('Resumo Grupos'!$AE$3:$AE$40,$T74)&gt;0,"NAO","SIM"))</f>
        <v>SIM</v>
      </c>
      <c r="AB74" s="0" t="str">
        <f aca="false">IFERROR(INDEX('Mov Entradas (Rel 10497)'!$L:$L,MATCH(AC74,'Mov Entradas (Rel 10497)'!$I:$I,0)),"nao encontrado")</f>
        <v>nao encontrado</v>
      </c>
      <c r="AC74" s="0" t="n">
        <v>27273</v>
      </c>
    </row>
    <row r="75" customFormat="false" ht="63.75" hidden="false" customHeight="true" outlineLevel="0" collapsed="false">
      <c r="A75" s="9" t="n">
        <v>2</v>
      </c>
      <c r="B75" s="10" t="n">
        <v>46170</v>
      </c>
      <c r="C75" s="10" t="n">
        <v>46176</v>
      </c>
      <c r="D75" s="9" t="n">
        <v>48</v>
      </c>
      <c r="E75" s="11" t="s">
        <v>153</v>
      </c>
      <c r="F75" s="9" t="n">
        <v>34</v>
      </c>
      <c r="G75" s="11" t="s">
        <v>55</v>
      </c>
      <c r="H75" s="9" t="n">
        <v>2110101</v>
      </c>
      <c r="I75" s="11" t="s">
        <v>43</v>
      </c>
      <c r="J75" s="9" t="n">
        <v>1166147</v>
      </c>
      <c r="L75" s="9" t="n">
        <v>2460</v>
      </c>
      <c r="M75" s="11" t="s">
        <v>52</v>
      </c>
      <c r="N75" s="11" t="s">
        <v>37</v>
      </c>
      <c r="P75" s="9" t="n">
        <v>113</v>
      </c>
      <c r="Q75" s="11" t="s">
        <v>46</v>
      </c>
      <c r="R75" s="11" t="s">
        <v>47</v>
      </c>
      <c r="S75" s="9" t="n">
        <v>1130101</v>
      </c>
      <c r="T75" s="11" t="s">
        <v>48</v>
      </c>
      <c r="U75" s="12" t="n">
        <v>950</v>
      </c>
      <c r="W75" s="12" t="n">
        <v>0</v>
      </c>
      <c r="X75" s="11" t="s">
        <v>182</v>
      </c>
      <c r="Z75" s="0" t="str">
        <f aca="false">IF($T75="","",IFERROR(INDEX('Resumo Grupos'!$AC$3:$AC$200,MATCH($T75,'Resumo Grupos'!$AB$3:$AB$200,0)),"n/d"))</f>
        <v>Mercadoria</v>
      </c>
      <c r="AA75" s="0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9" t="n">
        <v>2</v>
      </c>
      <c r="B76" s="10" t="n">
        <v>46163</v>
      </c>
      <c r="C76" s="10" t="n">
        <v>46176</v>
      </c>
      <c r="D76" s="9" t="n">
        <v>10017</v>
      </c>
      <c r="E76" s="11" t="s">
        <v>183</v>
      </c>
      <c r="F76" s="9" t="n">
        <v>24</v>
      </c>
      <c r="G76" s="11" t="s">
        <v>51</v>
      </c>
      <c r="H76" s="9" t="n">
        <v>2110101</v>
      </c>
      <c r="I76" s="11" t="s">
        <v>43</v>
      </c>
      <c r="J76" s="9" t="n">
        <v>1133244</v>
      </c>
      <c r="L76" s="9" t="n">
        <v>192719</v>
      </c>
      <c r="M76" s="11" t="s">
        <v>52</v>
      </c>
      <c r="N76" s="11" t="s">
        <v>37</v>
      </c>
      <c r="P76" s="9" t="n">
        <v>113</v>
      </c>
      <c r="Q76" s="11" t="s">
        <v>46</v>
      </c>
      <c r="R76" s="11" t="s">
        <v>47</v>
      </c>
      <c r="S76" s="9" t="n">
        <v>1130101</v>
      </c>
      <c r="T76" s="11" t="s">
        <v>48</v>
      </c>
      <c r="U76" s="12" t="n">
        <v>534.12</v>
      </c>
      <c r="W76" s="12" t="n">
        <v>0</v>
      </c>
      <c r="X76" s="11" t="s">
        <v>184</v>
      </c>
      <c r="Z76" s="0" t="str">
        <f aca="false">IF($T76="","",IFERROR(INDEX('Resumo Grupos'!$AC$3:$AC$200,MATCH($T76,'Resumo Grupos'!$AB$3:$AB$200,0)),"n/d"))</f>
        <v>Mercadoria</v>
      </c>
      <c r="AA76" s="0" t="str">
        <f aca="false">IF($T76="","",IF(COUNTIF('Resumo Grupos'!$AE$3:$AE$40,$T76)&gt;0,"NAO","SIM"))</f>
        <v>SIM</v>
      </c>
      <c r="AB76" s="0" t="str">
        <f aca="false">IFERROR(INDEX('Mov Entradas (Rel 10497)'!$L:$L,MATCH(AC76,'Mov Entradas (Rel 10497)'!$I:$I,0)),"nao encontrado")</f>
        <v>nao encontrado</v>
      </c>
      <c r="AC76" s="0" t="n">
        <v>192719</v>
      </c>
    </row>
    <row r="77" customFormat="false" ht="45.75" hidden="false" customHeight="true" outlineLevel="0" collapsed="false">
      <c r="A77" s="9" t="n">
        <v>2</v>
      </c>
      <c r="B77" s="10" t="n">
        <v>46158</v>
      </c>
      <c r="C77" s="10" t="n">
        <v>46176</v>
      </c>
      <c r="D77" s="9" t="n">
        <v>10012</v>
      </c>
      <c r="E77" s="11" t="s">
        <v>185</v>
      </c>
      <c r="F77" s="9" t="n">
        <v>24</v>
      </c>
      <c r="G77" s="11" t="s">
        <v>51</v>
      </c>
      <c r="H77" s="9" t="n">
        <v>2110101</v>
      </c>
      <c r="I77" s="11" t="s">
        <v>43</v>
      </c>
      <c r="J77" s="9" t="n">
        <v>1106692</v>
      </c>
      <c r="L77" s="9" t="n">
        <v>1952417</v>
      </c>
      <c r="M77" s="11" t="s">
        <v>52</v>
      </c>
      <c r="N77" s="11" t="s">
        <v>37</v>
      </c>
      <c r="P77" s="9" t="n">
        <v>113</v>
      </c>
      <c r="Q77" s="11" t="s">
        <v>46</v>
      </c>
      <c r="R77" s="11" t="s">
        <v>47</v>
      </c>
      <c r="S77" s="9" t="n">
        <v>1130101</v>
      </c>
      <c r="T77" s="11" t="s">
        <v>48</v>
      </c>
      <c r="U77" s="12" t="n">
        <v>1262.32</v>
      </c>
      <c r="W77" s="12" t="n">
        <v>0</v>
      </c>
      <c r="X77" s="11" t="s">
        <v>186</v>
      </c>
      <c r="Z77" s="0" t="str">
        <f aca="false">IF($T77="","",IFERROR(INDEX('Resumo Grupos'!$AC$3:$AC$200,MATCH($T77,'Resumo Grupos'!$AB$3:$AB$200,0)),"n/d"))</f>
        <v>Mercadoria</v>
      </c>
      <c r="AA77" s="0" t="str">
        <f aca="false">IF($T77="","",IF(COUNTIF('Resumo Grupos'!$AE$3:$AE$40,$T77)&gt;0,"NAO","SIM"))</f>
        <v>SIM</v>
      </c>
      <c r="AB77" s="0" t="str">
        <f aca="false">IFERROR(INDEX('Mov Entradas (Rel 10497)'!$L:$L,MATCH(AC77,'Mov Entradas (Rel 10497)'!$I:$I,0)),"nao encontrado")</f>
        <v>nao encontrado</v>
      </c>
      <c r="AC77" s="0" t="n">
        <v>1952417</v>
      </c>
    </row>
    <row r="78" customFormat="false" ht="45.75" hidden="false" customHeight="true" outlineLevel="0" collapsed="false">
      <c r="A78" s="9" t="n">
        <v>2</v>
      </c>
      <c r="B78" s="10" t="n">
        <v>46176</v>
      </c>
      <c r="C78" s="10" t="n">
        <v>46176</v>
      </c>
      <c r="D78" s="9" t="n">
        <v>0</v>
      </c>
      <c r="E78" s="11" t="s">
        <v>109</v>
      </c>
      <c r="F78" s="9" t="n">
        <v>17</v>
      </c>
      <c r="G78" s="11" t="s">
        <v>110</v>
      </c>
      <c r="H78" s="9" t="n">
        <v>1110101</v>
      </c>
      <c r="I78" s="11" t="s">
        <v>111</v>
      </c>
      <c r="J78" s="9" t="n">
        <v>1256348</v>
      </c>
      <c r="L78" s="9" t="n">
        <v>1256348</v>
      </c>
      <c r="M78" s="11" t="s">
        <v>52</v>
      </c>
      <c r="N78" s="11" t="s">
        <v>112</v>
      </c>
      <c r="P78" s="9" t="n">
        <v>113</v>
      </c>
      <c r="Q78" s="11" t="s">
        <v>46</v>
      </c>
      <c r="R78" s="11" t="s">
        <v>71</v>
      </c>
      <c r="S78" s="9" t="n">
        <v>4210314</v>
      </c>
      <c r="T78" s="11" t="s">
        <v>113</v>
      </c>
      <c r="U78" s="12" t="n">
        <v>120</v>
      </c>
      <c r="W78" s="12" t="n">
        <v>120</v>
      </c>
      <c r="X78" s="11" t="s">
        <v>187</v>
      </c>
      <c r="Z78" s="0" t="str">
        <f aca="false">IF($T78="","",IFERROR(INDEX('Resumo Grupos'!$AC$3:$AC$200,MATCH($T78,'Resumo Grupos'!$AB$3:$AB$200,0)),"n/d"))</f>
        <v>Despesa</v>
      </c>
      <c r="AA78" s="0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9" t="n">
        <v>2</v>
      </c>
      <c r="B79" s="10" t="n">
        <v>46176</v>
      </c>
      <c r="C79" s="10" t="n">
        <v>46176</v>
      </c>
      <c r="D79" s="9" t="n">
        <v>0</v>
      </c>
      <c r="E79" s="11" t="s">
        <v>109</v>
      </c>
      <c r="F79" s="9" t="n">
        <v>17</v>
      </c>
      <c r="G79" s="11" t="s">
        <v>110</v>
      </c>
      <c r="H79" s="9" t="n">
        <v>1110101</v>
      </c>
      <c r="I79" s="11" t="s">
        <v>111</v>
      </c>
      <c r="J79" s="9" t="n">
        <v>1256349</v>
      </c>
      <c r="L79" s="9" t="n">
        <v>1256349</v>
      </c>
      <c r="M79" s="11" t="s">
        <v>52</v>
      </c>
      <c r="N79" s="11" t="s">
        <v>112</v>
      </c>
      <c r="P79" s="9" t="n">
        <v>113</v>
      </c>
      <c r="Q79" s="11" t="s">
        <v>46</v>
      </c>
      <c r="R79" s="11" t="s">
        <v>71</v>
      </c>
      <c r="S79" s="9" t="n">
        <v>4210314</v>
      </c>
      <c r="T79" s="11" t="s">
        <v>113</v>
      </c>
      <c r="U79" s="12" t="n">
        <v>70</v>
      </c>
      <c r="W79" s="12" t="n">
        <v>70</v>
      </c>
      <c r="X79" s="11" t="s">
        <v>115</v>
      </c>
      <c r="Z79" s="0" t="str">
        <f aca="false">IF($T79="","",IFERROR(INDEX('Resumo Grupos'!$AC$3:$AC$200,MATCH($T79,'Resumo Grupos'!$AB$3:$AB$200,0)),"n/d"))</f>
        <v>Despesa</v>
      </c>
      <c r="AA79" s="0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9" t="n">
        <v>2</v>
      </c>
      <c r="B80" s="10" t="n">
        <v>46176</v>
      </c>
      <c r="C80" s="10" t="n">
        <v>46176</v>
      </c>
      <c r="D80" s="9" t="n">
        <v>0</v>
      </c>
      <c r="E80" s="11" t="s">
        <v>109</v>
      </c>
      <c r="F80" s="9" t="n">
        <v>17</v>
      </c>
      <c r="G80" s="11" t="s">
        <v>110</v>
      </c>
      <c r="H80" s="9" t="n">
        <v>1110101</v>
      </c>
      <c r="I80" s="11" t="s">
        <v>111</v>
      </c>
      <c r="J80" s="9" t="n">
        <v>1361173</v>
      </c>
      <c r="L80" s="9" t="n">
        <v>1361173</v>
      </c>
      <c r="M80" s="11" t="s">
        <v>52</v>
      </c>
      <c r="N80" s="11" t="s">
        <v>112</v>
      </c>
      <c r="P80" s="9" t="n">
        <v>113</v>
      </c>
      <c r="Q80" s="11" t="s">
        <v>46</v>
      </c>
      <c r="R80" s="11" t="s">
        <v>116</v>
      </c>
      <c r="S80" s="9" t="n">
        <v>1110203</v>
      </c>
      <c r="T80" s="11" t="s">
        <v>117</v>
      </c>
      <c r="U80" s="12" t="n">
        <v>2600</v>
      </c>
      <c r="W80" s="12" t="n">
        <v>2600</v>
      </c>
      <c r="X80" s="11" t="s">
        <v>188</v>
      </c>
      <c r="Z80" s="0" t="str">
        <f aca="false">IF($T80="","",IFERROR(INDEX('Resumo Grupos'!$AC$3:$AC$200,MATCH($T80,'Resumo Grupos'!$AB$3:$AB$200,0)),"n/d"))</f>
        <v>Despesa</v>
      </c>
      <c r="AA80" s="0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9" t="n">
        <v>2</v>
      </c>
      <c r="B81" s="10" t="n">
        <v>46156</v>
      </c>
      <c r="C81" s="10" t="n">
        <v>46176</v>
      </c>
      <c r="D81" s="9" t="n">
        <v>1745</v>
      </c>
      <c r="E81" s="11" t="s">
        <v>189</v>
      </c>
      <c r="F81" s="9" t="n">
        <v>24</v>
      </c>
      <c r="G81" s="11" t="s">
        <v>51</v>
      </c>
      <c r="H81" s="9" t="n">
        <v>2110101</v>
      </c>
      <c r="I81" s="11" t="s">
        <v>43</v>
      </c>
      <c r="J81" s="9" t="n">
        <v>1098104</v>
      </c>
      <c r="L81" s="9" t="n">
        <v>341419</v>
      </c>
      <c r="M81" s="11" t="s">
        <v>44</v>
      </c>
      <c r="N81" s="11" t="s">
        <v>37</v>
      </c>
      <c r="P81" s="9" t="n">
        <v>113</v>
      </c>
      <c r="Q81" s="11" t="s">
        <v>46</v>
      </c>
      <c r="R81" s="11" t="s">
        <v>47</v>
      </c>
      <c r="S81" s="9" t="n">
        <v>1130101</v>
      </c>
      <c r="T81" s="11" t="s">
        <v>48</v>
      </c>
      <c r="U81" s="12" t="n">
        <v>843.12</v>
      </c>
      <c r="W81" s="12" t="n">
        <v>0</v>
      </c>
      <c r="X81" s="11" t="s">
        <v>190</v>
      </c>
      <c r="Z81" s="0" t="str">
        <f aca="false">IF($T81="","",IFERROR(INDEX('Resumo Grupos'!$AC$3:$AC$200,MATCH($T81,'Resumo Grupos'!$AB$3:$AB$200,0)),"n/d"))</f>
        <v>Mercadoria</v>
      </c>
      <c r="AA81" s="0" t="str">
        <f aca="false">IF($T81="","",IF(COUNTIF('Resumo Grupos'!$AE$3:$AE$40,$T81)&gt;0,"NAO","SIM"))</f>
        <v>SIM</v>
      </c>
      <c r="AB81" s="0" t="str">
        <f aca="false">IFERROR(INDEX('Mov Entradas (Rel 10497)'!$L:$L,MATCH(AC81,'Mov Entradas (Rel 10497)'!$I:$I,0)),"nao encontrado")</f>
        <v>nao encontrado</v>
      </c>
      <c r="AC81" s="0" t="n">
        <v>341419</v>
      </c>
    </row>
    <row r="82" customFormat="false" ht="36.75" hidden="false" customHeight="true" outlineLevel="0" collapsed="false">
      <c r="A82" s="9" t="n">
        <v>2</v>
      </c>
      <c r="B82" s="10" t="n">
        <v>46175</v>
      </c>
      <c r="C82" s="10" t="n">
        <v>46177</v>
      </c>
      <c r="D82" s="9" t="n">
        <v>642</v>
      </c>
      <c r="E82" s="11" t="s">
        <v>123</v>
      </c>
      <c r="F82" s="9" t="n">
        <v>24</v>
      </c>
      <c r="G82" s="11" t="s">
        <v>51</v>
      </c>
      <c r="H82" s="9" t="n">
        <v>2110101</v>
      </c>
      <c r="I82" s="11" t="s">
        <v>43</v>
      </c>
      <c r="J82" s="9" t="n">
        <v>1192348</v>
      </c>
      <c r="L82" s="9" t="n">
        <v>483</v>
      </c>
      <c r="M82" s="11" t="s">
        <v>52</v>
      </c>
      <c r="N82" s="11" t="s">
        <v>37</v>
      </c>
      <c r="P82" s="9" t="n">
        <v>113</v>
      </c>
      <c r="Q82" s="11" t="s">
        <v>46</v>
      </c>
      <c r="R82" s="11" t="s">
        <v>47</v>
      </c>
      <c r="S82" s="9" t="n">
        <v>1130101</v>
      </c>
      <c r="T82" s="11" t="s">
        <v>48</v>
      </c>
      <c r="U82" s="12" t="n">
        <v>180</v>
      </c>
      <c r="W82" s="12" t="n">
        <v>0</v>
      </c>
      <c r="X82" s="11" t="s">
        <v>191</v>
      </c>
      <c r="Z82" s="0" t="str">
        <f aca="false">IF($T82="","",IFERROR(INDEX('Resumo Grupos'!$AC$3:$AC$200,MATCH($T82,'Resumo Grupos'!$AB$3:$AB$200,0)),"n/d"))</f>
        <v>Mercadoria</v>
      </c>
      <c r="AA82" s="0" t="str">
        <f aca="false">IF($T82="","",IF(COUNTIF('Resumo Grupos'!$AE$3:$AE$40,$T82)&gt;0,"NAO","SIM"))</f>
        <v>SIM</v>
      </c>
      <c r="AB82" s="0" t="str">
        <f aca="false">IFERROR(INDEX('Mov Entradas (Rel 10497)'!$L:$L,MATCH(AC82,'Mov Entradas (Rel 10497)'!$I:$I,0)),"nao encontrado")</f>
        <v>BOLO BLOOM 600G</v>
      </c>
      <c r="AC82" s="0" t="n">
        <v>483</v>
      </c>
    </row>
    <row r="83" customFormat="false" ht="45.75" hidden="false" customHeight="true" outlineLevel="0" collapsed="false">
      <c r="A83" s="9" t="n">
        <v>2</v>
      </c>
      <c r="B83" s="10" t="n">
        <v>46149</v>
      </c>
      <c r="C83" s="10" t="n">
        <v>46177</v>
      </c>
      <c r="D83" s="9" t="n">
        <v>1705</v>
      </c>
      <c r="E83" s="11" t="s">
        <v>130</v>
      </c>
      <c r="F83" s="9" t="n">
        <v>24</v>
      </c>
      <c r="G83" s="11" t="s">
        <v>51</v>
      </c>
      <c r="H83" s="9" t="n">
        <v>2110101</v>
      </c>
      <c r="I83" s="11" t="s">
        <v>43</v>
      </c>
      <c r="J83" s="9" t="n">
        <v>1062696</v>
      </c>
      <c r="L83" s="9" t="n">
        <v>1109453</v>
      </c>
      <c r="M83" s="11" t="s">
        <v>52</v>
      </c>
      <c r="N83" s="11" t="s">
        <v>37</v>
      </c>
      <c r="P83" s="9" t="n">
        <v>113</v>
      </c>
      <c r="Q83" s="11" t="s">
        <v>46</v>
      </c>
      <c r="R83" s="11" t="s">
        <v>47</v>
      </c>
      <c r="S83" s="9" t="n">
        <v>1130101</v>
      </c>
      <c r="T83" s="11" t="s">
        <v>48</v>
      </c>
      <c r="U83" s="12" t="n">
        <v>157.75</v>
      </c>
      <c r="W83" s="12" t="n">
        <v>0</v>
      </c>
      <c r="X83" s="11" t="s">
        <v>192</v>
      </c>
      <c r="Z83" s="0" t="str">
        <f aca="false">IF($T83="","",IFERROR(INDEX('Resumo Grupos'!$AC$3:$AC$200,MATCH($T83,'Resumo Grupos'!$AB$3:$AB$200,0)),"n/d"))</f>
        <v>Mercadoria</v>
      </c>
      <c r="AA83" s="0" t="str">
        <f aca="false">IF($T83="","",IF(COUNTIF('Resumo Grupos'!$AE$3:$AE$40,$T83)&gt;0,"NAO","SIM"))</f>
        <v>SIM</v>
      </c>
      <c r="AB83" s="0" t="str">
        <f aca="false">IFERROR(INDEX('Mov Entradas (Rel 10497)'!$L:$L,MATCH(AC83,'Mov Entradas (Rel 10497)'!$I:$I,0)),"nao encontrado")</f>
        <v>nao encontrado</v>
      </c>
      <c r="AC83" s="0" t="n">
        <v>1109453</v>
      </c>
    </row>
    <row r="84" customFormat="false" ht="45.75" hidden="false" customHeight="true" outlineLevel="0" collapsed="false">
      <c r="A84" s="9" t="n">
        <v>2</v>
      </c>
      <c r="B84" s="10" t="n">
        <v>46149</v>
      </c>
      <c r="C84" s="10" t="n">
        <v>46177</v>
      </c>
      <c r="D84" s="9" t="n">
        <v>1601</v>
      </c>
      <c r="E84" s="11" t="s">
        <v>193</v>
      </c>
      <c r="F84" s="9" t="n">
        <v>24</v>
      </c>
      <c r="G84" s="11" t="s">
        <v>51</v>
      </c>
      <c r="H84" s="9" t="n">
        <v>2110101</v>
      </c>
      <c r="I84" s="11" t="s">
        <v>43</v>
      </c>
      <c r="J84" s="9" t="n">
        <v>1061272</v>
      </c>
      <c r="L84" s="9" t="n">
        <v>831791</v>
      </c>
      <c r="M84" s="11" t="s">
        <v>67</v>
      </c>
      <c r="N84" s="11" t="s">
        <v>37</v>
      </c>
      <c r="P84" s="9" t="n">
        <v>113</v>
      </c>
      <c r="Q84" s="11" t="s">
        <v>46</v>
      </c>
      <c r="R84" s="11" t="s">
        <v>47</v>
      </c>
      <c r="S84" s="9" t="n">
        <v>1130101</v>
      </c>
      <c r="T84" s="11" t="s">
        <v>48</v>
      </c>
      <c r="U84" s="12" t="n">
        <v>897.51</v>
      </c>
      <c r="W84" s="12" t="n">
        <v>0</v>
      </c>
      <c r="X84" s="11" t="s">
        <v>194</v>
      </c>
      <c r="Z84" s="0" t="str">
        <f aca="false">IF($T84="","",IFERROR(INDEX('Resumo Grupos'!$AC$3:$AC$200,MATCH($T84,'Resumo Grupos'!$AB$3:$AB$200,0)),"n/d"))</f>
        <v>Mercadoria</v>
      </c>
      <c r="AA84" s="0" t="str">
        <f aca="false">IF($T84="","",IF(COUNTIF('Resumo Grupos'!$AE$3:$AE$40,$T84)&gt;0,"NAO","SIM"))</f>
        <v>SIM</v>
      </c>
      <c r="AB84" s="0" t="str">
        <f aca="false">IFERROR(INDEX('Mov Entradas (Rel 10497)'!$L:$L,MATCH(AC84,'Mov Entradas (Rel 10497)'!$I:$I,0)),"nao encontrado")</f>
        <v>nao encontrado</v>
      </c>
      <c r="AC84" s="0" t="n">
        <v>831791</v>
      </c>
    </row>
    <row r="85" customFormat="false" ht="45.75" hidden="false" customHeight="true" outlineLevel="0" collapsed="false">
      <c r="A85" s="9" t="n">
        <v>2</v>
      </c>
      <c r="B85" s="10" t="n">
        <v>46164</v>
      </c>
      <c r="C85" s="10" t="n">
        <v>46177</v>
      </c>
      <c r="D85" s="9" t="n">
        <v>1601</v>
      </c>
      <c r="E85" s="11" t="s">
        <v>193</v>
      </c>
      <c r="F85" s="9" t="n">
        <v>24</v>
      </c>
      <c r="G85" s="11" t="s">
        <v>51</v>
      </c>
      <c r="H85" s="9" t="n">
        <v>2110101</v>
      </c>
      <c r="I85" s="11" t="s">
        <v>43</v>
      </c>
      <c r="J85" s="9" t="n">
        <v>1136474</v>
      </c>
      <c r="L85" s="9" t="n">
        <v>836836</v>
      </c>
      <c r="M85" s="11" t="s">
        <v>52</v>
      </c>
      <c r="N85" s="11" t="s">
        <v>37</v>
      </c>
      <c r="P85" s="9" t="n">
        <v>113</v>
      </c>
      <c r="Q85" s="11" t="s">
        <v>46</v>
      </c>
      <c r="R85" s="11" t="s">
        <v>47</v>
      </c>
      <c r="S85" s="9" t="n">
        <v>1130101</v>
      </c>
      <c r="T85" s="11" t="s">
        <v>48</v>
      </c>
      <c r="U85" s="12" t="n">
        <v>346.96</v>
      </c>
      <c r="W85" s="12" t="n">
        <v>0</v>
      </c>
      <c r="X85" s="11" t="s">
        <v>195</v>
      </c>
      <c r="Z85" s="0" t="str">
        <f aca="false">IF($T85="","",IFERROR(INDEX('Resumo Grupos'!$AC$3:$AC$200,MATCH($T85,'Resumo Grupos'!$AB$3:$AB$200,0)),"n/d"))</f>
        <v>Mercadoria</v>
      </c>
      <c r="AA85" s="0" t="str">
        <f aca="false">IF($T85="","",IF(COUNTIF('Resumo Grupos'!$AE$3:$AE$40,$T85)&gt;0,"NAO","SIM"))</f>
        <v>SIM</v>
      </c>
      <c r="AB85" s="0" t="str">
        <f aca="false">IFERROR(INDEX('Mov Entradas (Rel 10497)'!$L:$L,MATCH(AC85,'Mov Entradas (Rel 10497)'!$I:$I,0)),"nao encontrado")</f>
        <v>nao encontrado</v>
      </c>
      <c r="AC85" s="0" t="n">
        <v>863836</v>
      </c>
    </row>
    <row r="86" customFormat="false" ht="63.75" hidden="false" customHeight="true" outlineLevel="0" collapsed="false">
      <c r="A86" s="9" t="n">
        <v>2</v>
      </c>
      <c r="B86" s="10" t="n">
        <v>46164</v>
      </c>
      <c r="C86" s="10" t="n">
        <v>46177</v>
      </c>
      <c r="D86" s="9" t="n">
        <v>1601</v>
      </c>
      <c r="E86" s="11" t="s">
        <v>193</v>
      </c>
      <c r="F86" s="9" t="n">
        <v>24</v>
      </c>
      <c r="G86" s="11" t="s">
        <v>51</v>
      </c>
      <c r="H86" s="9" t="n">
        <v>2110101</v>
      </c>
      <c r="I86" s="11" t="s">
        <v>43</v>
      </c>
      <c r="J86" s="9" t="n">
        <v>1136600</v>
      </c>
      <c r="L86" s="9" t="n">
        <v>836835</v>
      </c>
      <c r="M86" s="11" t="s">
        <v>52</v>
      </c>
      <c r="N86" s="11" t="s">
        <v>37</v>
      </c>
      <c r="P86" s="9" t="n">
        <v>113</v>
      </c>
      <c r="Q86" s="11" t="s">
        <v>46</v>
      </c>
      <c r="R86" s="11" t="s">
        <v>47</v>
      </c>
      <c r="S86" s="9" t="n">
        <v>1130101</v>
      </c>
      <c r="T86" s="11" t="s">
        <v>48</v>
      </c>
      <c r="U86" s="12" t="n">
        <v>560.42</v>
      </c>
      <c r="W86" s="12" t="n">
        <v>0</v>
      </c>
      <c r="X86" s="11" t="s">
        <v>196</v>
      </c>
      <c r="Z86" s="0" t="str">
        <f aca="false">IF($T86="","",IFERROR(INDEX('Resumo Grupos'!$AC$3:$AC$200,MATCH($T86,'Resumo Grupos'!$AB$3:$AB$200,0)),"n/d"))</f>
        <v>Mercadoria</v>
      </c>
      <c r="AA86" s="0" t="str">
        <f aca="false">IF($T86="","",IF(COUNTIF('Resumo Grupos'!$AE$3:$AE$40,$T86)&gt;0,"NAO","SIM"))</f>
        <v>SIM</v>
      </c>
      <c r="AB86" s="0" t="str">
        <f aca="false">IFERROR(INDEX('Mov Entradas (Rel 10497)'!$L:$L,MATCH(AC86,'Mov Entradas (Rel 10497)'!$I:$I,0)),"nao encontrado")</f>
        <v>nao encontrado</v>
      </c>
      <c r="AC86" s="0" t="n">
        <v>836835</v>
      </c>
    </row>
    <row r="87" customFormat="false" ht="63.75" hidden="false" customHeight="true" outlineLevel="0" collapsed="false">
      <c r="A87" s="9" t="n">
        <v>2</v>
      </c>
      <c r="B87" s="10" t="n">
        <v>46163</v>
      </c>
      <c r="C87" s="10" t="n">
        <v>46177</v>
      </c>
      <c r="D87" s="9" t="n">
        <v>10002</v>
      </c>
      <c r="E87" s="11" t="s">
        <v>197</v>
      </c>
      <c r="F87" s="9" t="n">
        <v>24</v>
      </c>
      <c r="G87" s="11" t="s">
        <v>51</v>
      </c>
      <c r="H87" s="9" t="n">
        <v>2110101</v>
      </c>
      <c r="I87" s="11" t="s">
        <v>43</v>
      </c>
      <c r="J87" s="9" t="n">
        <v>1131437</v>
      </c>
      <c r="L87" s="9" t="n">
        <v>195290</v>
      </c>
      <c r="M87" s="11" t="s">
        <v>52</v>
      </c>
      <c r="N87" s="11" t="s">
        <v>37</v>
      </c>
      <c r="P87" s="9" t="n">
        <v>113</v>
      </c>
      <c r="Q87" s="11" t="s">
        <v>46</v>
      </c>
      <c r="R87" s="11" t="s">
        <v>47</v>
      </c>
      <c r="S87" s="9" t="n">
        <v>1130101</v>
      </c>
      <c r="T87" s="11" t="s">
        <v>48</v>
      </c>
      <c r="U87" s="12" t="n">
        <v>538.53</v>
      </c>
      <c r="W87" s="12" t="n">
        <v>0</v>
      </c>
      <c r="X87" s="11" t="s">
        <v>198</v>
      </c>
      <c r="Z87" s="0" t="str">
        <f aca="false">IF($T87="","",IFERROR(INDEX('Resumo Grupos'!$AC$3:$AC$200,MATCH($T87,'Resumo Grupos'!$AB$3:$AB$200,0)),"n/d"))</f>
        <v>Mercadoria</v>
      </c>
      <c r="AA87" s="0" t="str">
        <f aca="false">IF($T87="","",IF(COUNTIF('Resumo Grupos'!$AE$3:$AE$40,$T87)&gt;0,"NAO","SIM"))</f>
        <v>SIM</v>
      </c>
      <c r="AB87" s="0" t="str">
        <f aca="false">IFERROR(INDEX('Mov Entradas (Rel 10497)'!$L:$L,MATCH(AC87,'Mov Entradas (Rel 10497)'!$I:$I,0)),"nao encontrado")</f>
        <v>nao encontrado</v>
      </c>
      <c r="AC87" s="0" t="n">
        <v>195290</v>
      </c>
    </row>
    <row r="88" customFormat="false" ht="63.75" hidden="false" customHeight="true" outlineLevel="0" collapsed="false">
      <c r="A88" s="9" t="n">
        <v>2</v>
      </c>
      <c r="B88" s="10" t="n">
        <v>46171</v>
      </c>
      <c r="C88" s="10" t="n">
        <v>46177</v>
      </c>
      <c r="D88" s="9" t="n">
        <v>1612</v>
      </c>
      <c r="E88" s="11" t="s">
        <v>74</v>
      </c>
      <c r="F88" s="9" t="n">
        <v>24</v>
      </c>
      <c r="G88" s="11" t="s">
        <v>51</v>
      </c>
      <c r="H88" s="9" t="n">
        <v>2110101</v>
      </c>
      <c r="I88" s="11" t="s">
        <v>43</v>
      </c>
      <c r="J88" s="9" t="n">
        <v>1172063</v>
      </c>
      <c r="L88" s="9" t="n">
        <v>2285997</v>
      </c>
      <c r="M88" s="11" t="s">
        <v>52</v>
      </c>
      <c r="N88" s="11" t="s">
        <v>37</v>
      </c>
      <c r="P88" s="9" t="n">
        <v>113</v>
      </c>
      <c r="Q88" s="11" t="s">
        <v>46</v>
      </c>
      <c r="R88" s="11" t="s">
        <v>47</v>
      </c>
      <c r="S88" s="9" t="n">
        <v>1130101</v>
      </c>
      <c r="T88" s="11" t="s">
        <v>48</v>
      </c>
      <c r="U88" s="12" t="n">
        <v>506.55</v>
      </c>
      <c r="W88" s="12" t="n">
        <v>0</v>
      </c>
      <c r="X88" s="11" t="s">
        <v>199</v>
      </c>
      <c r="Z88" s="0" t="str">
        <f aca="false">IF($T88="","",IFERROR(INDEX('Resumo Grupos'!$AC$3:$AC$200,MATCH($T88,'Resumo Grupos'!$AB$3:$AB$200,0)),"n/d"))</f>
        <v>Mercadoria</v>
      </c>
      <c r="AA88" s="0" t="str">
        <f aca="false">IF($T88="","",IF(COUNTIF('Resumo Grupos'!$AE$3:$AE$40,$T88)&gt;0,"NAO","SIM"))</f>
        <v>SIM</v>
      </c>
      <c r="AB88" s="0" t="str">
        <f aca="false">IFERROR(INDEX('Mov Entradas (Rel 10497)'!$L:$L,MATCH(AC88,'Mov Entradas (Rel 10497)'!$I:$I,0)),"nao encontrado")</f>
        <v>nao encontrado</v>
      </c>
      <c r="AC88" s="0" t="n">
        <v>2285997</v>
      </c>
    </row>
    <row r="89" customFormat="false" ht="63.75" hidden="false" customHeight="true" outlineLevel="0" collapsed="false">
      <c r="A89" s="9" t="n">
        <v>2</v>
      </c>
      <c r="B89" s="10" t="n">
        <v>46171</v>
      </c>
      <c r="C89" s="10" t="n">
        <v>46177</v>
      </c>
      <c r="D89" s="9" t="n">
        <v>1778</v>
      </c>
      <c r="E89" s="11" t="s">
        <v>200</v>
      </c>
      <c r="F89" s="9" t="n">
        <v>24</v>
      </c>
      <c r="G89" s="11" t="s">
        <v>51</v>
      </c>
      <c r="H89" s="9" t="n">
        <v>2110405</v>
      </c>
      <c r="I89" s="11" t="s">
        <v>56</v>
      </c>
      <c r="J89" s="9" t="n">
        <v>1172101</v>
      </c>
      <c r="L89" s="9" t="n">
        <v>156217</v>
      </c>
      <c r="M89" s="11" t="s">
        <v>52</v>
      </c>
      <c r="N89" s="11" t="s">
        <v>45</v>
      </c>
      <c r="P89" s="9" t="n">
        <v>113</v>
      </c>
      <c r="Q89" s="11" t="s">
        <v>46</v>
      </c>
      <c r="R89" s="11" t="s">
        <v>39</v>
      </c>
      <c r="S89" s="9" t="n">
        <v>4210207</v>
      </c>
      <c r="T89" s="11" t="s">
        <v>201</v>
      </c>
      <c r="U89" s="12" t="n">
        <v>620.88</v>
      </c>
      <c r="W89" s="12" t="n">
        <v>0</v>
      </c>
      <c r="X89" s="11" t="s">
        <v>202</v>
      </c>
      <c r="Z89" s="0" t="str">
        <f aca="false">IF($T89="","",IFERROR(INDEX('Resumo Grupos'!$AC$3:$AC$200,MATCH($T89,'Resumo Grupos'!$AB$3:$AB$200,0)),"n/d"))</f>
        <v>Despesa</v>
      </c>
      <c r="AA89" s="0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9" t="n">
        <v>2</v>
      </c>
      <c r="B90" s="10" t="n">
        <v>46161</v>
      </c>
      <c r="C90" s="10" t="n">
        <v>46177</v>
      </c>
      <c r="D90" s="9" t="n">
        <v>1611</v>
      </c>
      <c r="E90" s="11" t="s">
        <v>178</v>
      </c>
      <c r="F90" s="9" t="n">
        <v>24</v>
      </c>
      <c r="G90" s="11" t="s">
        <v>51</v>
      </c>
      <c r="H90" s="9" t="n">
        <v>2110101</v>
      </c>
      <c r="I90" s="11" t="s">
        <v>43</v>
      </c>
      <c r="J90" s="9" t="n">
        <v>1121534</v>
      </c>
      <c r="L90" s="9" t="n">
        <v>148580</v>
      </c>
      <c r="M90" s="11" t="s">
        <v>52</v>
      </c>
      <c r="N90" s="11" t="s">
        <v>45</v>
      </c>
      <c r="P90" s="9" t="n">
        <v>113</v>
      </c>
      <c r="Q90" s="11" t="s">
        <v>46</v>
      </c>
      <c r="R90" s="11" t="s">
        <v>47</v>
      </c>
      <c r="S90" s="9" t="n">
        <v>1130101</v>
      </c>
      <c r="T90" s="11" t="s">
        <v>48</v>
      </c>
      <c r="U90" s="12" t="n">
        <v>3345.97</v>
      </c>
      <c r="W90" s="12" t="n">
        <v>0</v>
      </c>
      <c r="X90" s="11" t="s">
        <v>203</v>
      </c>
      <c r="Z90" s="0" t="str">
        <f aca="false">IF($T90="","",IFERROR(INDEX('Resumo Grupos'!$AC$3:$AC$200,MATCH($T90,'Resumo Grupos'!$AB$3:$AB$200,0)),"n/d"))</f>
        <v>Mercadoria</v>
      </c>
      <c r="AA90" s="0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9" t="n">
        <v>2</v>
      </c>
      <c r="B91" s="10" t="n">
        <v>46172</v>
      </c>
      <c r="C91" s="10" t="n">
        <v>46177</v>
      </c>
      <c r="D91" s="9" t="n">
        <v>1899</v>
      </c>
      <c r="E91" s="11" t="s">
        <v>204</v>
      </c>
      <c r="F91" s="9" t="n">
        <v>24</v>
      </c>
      <c r="G91" s="11" t="s">
        <v>51</v>
      </c>
      <c r="H91" s="9" t="n">
        <v>2110101</v>
      </c>
      <c r="I91" s="11" t="s">
        <v>43</v>
      </c>
      <c r="J91" s="9" t="n">
        <v>1176638</v>
      </c>
      <c r="L91" s="9" t="n">
        <v>641</v>
      </c>
      <c r="M91" s="11" t="s">
        <v>52</v>
      </c>
      <c r="N91" s="11" t="s">
        <v>37</v>
      </c>
      <c r="P91" s="9" t="n">
        <v>113</v>
      </c>
      <c r="Q91" s="11" t="s">
        <v>46</v>
      </c>
      <c r="R91" s="11" t="s">
        <v>47</v>
      </c>
      <c r="S91" s="9" t="n">
        <v>1130101</v>
      </c>
      <c r="T91" s="11" t="s">
        <v>48</v>
      </c>
      <c r="U91" s="12" t="n">
        <v>189.8</v>
      </c>
      <c r="W91" s="12" t="n">
        <v>0</v>
      </c>
      <c r="X91" s="11" t="s">
        <v>205</v>
      </c>
      <c r="Z91" s="0" t="str">
        <f aca="false">IF($T91="","",IFERROR(INDEX('Resumo Grupos'!$AC$3:$AC$200,MATCH($T91,'Resumo Grupos'!$AB$3:$AB$200,0)),"n/d"))</f>
        <v>Mercadoria</v>
      </c>
      <c r="AA91" s="0" t="str">
        <f aca="false">IF($T91="","",IF(COUNTIF('Resumo Grupos'!$AE$3:$AE$40,$T91)&gt;0,"NAO","SIM"))</f>
        <v>SIM</v>
      </c>
      <c r="AB91" s="0" t="str">
        <f aca="false">IFERROR(INDEX('Mov Entradas (Rel 10497)'!$L:$L,MATCH(AC91,'Mov Entradas (Rel 10497)'!$I:$I,0)),"nao encontrado")</f>
        <v>nao encontrado</v>
      </c>
      <c r="AC91" s="0" t="n">
        <v>641</v>
      </c>
    </row>
    <row r="92" customFormat="false" ht="36.75" hidden="false" customHeight="true" outlineLevel="0" collapsed="false">
      <c r="A92" s="9" t="n">
        <v>2</v>
      </c>
      <c r="B92" s="10" t="n">
        <v>46170</v>
      </c>
      <c r="C92" s="10" t="n">
        <v>46177</v>
      </c>
      <c r="D92" s="9" t="n">
        <v>10006</v>
      </c>
      <c r="E92" s="11" t="s">
        <v>206</v>
      </c>
      <c r="F92" s="9" t="n">
        <v>24</v>
      </c>
      <c r="G92" s="11" t="s">
        <v>51</v>
      </c>
      <c r="H92" s="9" t="n">
        <v>2110405</v>
      </c>
      <c r="I92" s="11" t="s">
        <v>56</v>
      </c>
      <c r="J92" s="9" t="n">
        <v>1166357</v>
      </c>
      <c r="L92" s="9" t="n">
        <v>155208</v>
      </c>
      <c r="M92" s="11" t="s">
        <v>52</v>
      </c>
      <c r="N92" s="11" t="s">
        <v>45</v>
      </c>
      <c r="P92" s="9" t="n">
        <v>101</v>
      </c>
      <c r="Q92" s="11" t="s">
        <v>57</v>
      </c>
      <c r="R92" s="11" t="s">
        <v>39</v>
      </c>
      <c r="S92" s="9" t="n">
        <v>4210233</v>
      </c>
      <c r="T92" s="11" t="s">
        <v>207</v>
      </c>
      <c r="U92" s="12" t="n">
        <v>258</v>
      </c>
      <c r="W92" s="12" t="n">
        <v>0</v>
      </c>
      <c r="X92" s="11" t="s">
        <v>208</v>
      </c>
      <c r="Z92" s="0" t="str">
        <f aca="false">IF($T92="","",IFERROR(INDEX('Resumo Grupos'!$AC$3:$AC$200,MATCH($T92,'Resumo Grupos'!$AB$3:$AB$200,0)),"n/d"))</f>
        <v>Despesa</v>
      </c>
      <c r="AA92" s="0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9" t="n">
        <v>2</v>
      </c>
      <c r="B93" s="10" t="n">
        <v>46170</v>
      </c>
      <c r="C93" s="10" t="n">
        <v>46177</v>
      </c>
      <c r="D93" s="9" t="n">
        <v>1292</v>
      </c>
      <c r="E93" s="11" t="s">
        <v>209</v>
      </c>
      <c r="F93" s="9" t="n">
        <v>24</v>
      </c>
      <c r="G93" s="11" t="s">
        <v>51</v>
      </c>
      <c r="H93" s="9" t="n">
        <v>2110101</v>
      </c>
      <c r="I93" s="11" t="s">
        <v>43</v>
      </c>
      <c r="J93" s="9" t="n">
        <v>1166991</v>
      </c>
      <c r="L93" s="9" t="n">
        <v>3278</v>
      </c>
      <c r="M93" s="11" t="s">
        <v>52</v>
      </c>
      <c r="N93" s="11" t="s">
        <v>37</v>
      </c>
      <c r="P93" s="9" t="n">
        <v>113</v>
      </c>
      <c r="Q93" s="11" t="s">
        <v>46</v>
      </c>
      <c r="R93" s="11" t="s">
        <v>47</v>
      </c>
      <c r="S93" s="9" t="n">
        <v>1130101</v>
      </c>
      <c r="T93" s="11" t="s">
        <v>48</v>
      </c>
      <c r="U93" s="12" t="n">
        <v>398.65</v>
      </c>
      <c r="W93" s="12" t="n">
        <v>0</v>
      </c>
      <c r="X93" s="11" t="s">
        <v>210</v>
      </c>
      <c r="Z93" s="0" t="str">
        <f aca="false">IF($T93="","",IFERROR(INDEX('Resumo Grupos'!$AC$3:$AC$200,MATCH($T93,'Resumo Grupos'!$AB$3:$AB$200,0)),"n/d"))</f>
        <v>Mercadoria</v>
      </c>
      <c r="AA93" s="0" t="str">
        <f aca="false">IF($T93="","",IF(COUNTIF('Resumo Grupos'!$AE$3:$AE$40,$T93)&gt;0,"NAO","SIM"))</f>
        <v>SIM</v>
      </c>
      <c r="AB93" s="0" t="str">
        <f aca="false">IFERROR(INDEX('Mov Entradas (Rel 10497)'!$L:$L,MATCH(AC93,'Mov Entradas (Rel 10497)'!$I:$I,0)),"nao encontrado")</f>
        <v>nao encontrado</v>
      </c>
      <c r="AC93" s="0" t="n">
        <v>3278</v>
      </c>
    </row>
    <row r="94" customFormat="false" ht="36.75" hidden="false" customHeight="true" outlineLevel="0" collapsed="false">
      <c r="A94" s="9" t="n">
        <v>2</v>
      </c>
      <c r="B94" s="10" t="n">
        <v>46177</v>
      </c>
      <c r="C94" s="10" t="n">
        <v>46177</v>
      </c>
      <c r="D94" s="9" t="n">
        <v>0</v>
      </c>
      <c r="E94" s="11" t="s">
        <v>109</v>
      </c>
      <c r="F94" s="9" t="n">
        <v>17</v>
      </c>
      <c r="G94" s="11" t="s">
        <v>110</v>
      </c>
      <c r="H94" s="9" t="n">
        <v>1110101</v>
      </c>
      <c r="I94" s="11" t="s">
        <v>111</v>
      </c>
      <c r="J94" s="9" t="n">
        <v>1361174</v>
      </c>
      <c r="L94" s="9" t="n">
        <v>1361174</v>
      </c>
      <c r="M94" s="11" t="s">
        <v>52</v>
      </c>
      <c r="N94" s="11" t="s">
        <v>112</v>
      </c>
      <c r="P94" s="9" t="n">
        <v>113</v>
      </c>
      <c r="Q94" s="11" t="s">
        <v>46</v>
      </c>
      <c r="R94" s="11" t="s">
        <v>116</v>
      </c>
      <c r="S94" s="9" t="n">
        <v>1110203</v>
      </c>
      <c r="T94" s="11" t="s">
        <v>117</v>
      </c>
      <c r="U94" s="12" t="n">
        <v>2000</v>
      </c>
      <c r="W94" s="12" t="n">
        <v>2000</v>
      </c>
      <c r="X94" s="11" t="s">
        <v>211</v>
      </c>
      <c r="Z94" s="0" t="str">
        <f aca="false">IF($T94="","",IFERROR(INDEX('Resumo Grupos'!$AC$3:$AC$200,MATCH($T94,'Resumo Grupos'!$AB$3:$AB$200,0)),"n/d"))</f>
        <v>Despesa</v>
      </c>
      <c r="AA94" s="0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9" t="n">
        <v>2</v>
      </c>
      <c r="B95" s="10" t="n">
        <v>46163</v>
      </c>
      <c r="C95" s="10" t="n">
        <v>46177</v>
      </c>
      <c r="D95" s="9" t="n">
        <v>1643</v>
      </c>
      <c r="E95" s="11" t="s">
        <v>212</v>
      </c>
      <c r="F95" s="9" t="n">
        <v>24</v>
      </c>
      <c r="G95" s="11" t="s">
        <v>51</v>
      </c>
      <c r="H95" s="9" t="n">
        <v>2110101</v>
      </c>
      <c r="I95" s="11" t="s">
        <v>43</v>
      </c>
      <c r="J95" s="9" t="n">
        <v>1133085</v>
      </c>
      <c r="L95" s="9" t="n">
        <v>10468</v>
      </c>
      <c r="M95" s="11" t="s">
        <v>52</v>
      </c>
      <c r="N95" s="11" t="s">
        <v>37</v>
      </c>
      <c r="P95" s="9" t="n">
        <v>113</v>
      </c>
      <c r="Q95" s="11" t="s">
        <v>46</v>
      </c>
      <c r="R95" s="11" t="s">
        <v>47</v>
      </c>
      <c r="S95" s="9" t="n">
        <v>1130101</v>
      </c>
      <c r="T95" s="11" t="s">
        <v>48</v>
      </c>
      <c r="U95" s="12" t="n">
        <v>228</v>
      </c>
      <c r="W95" s="12" t="n">
        <v>0</v>
      </c>
      <c r="X95" s="11" t="s">
        <v>213</v>
      </c>
      <c r="Z95" s="0" t="str">
        <f aca="false">IF($T95="","",IFERROR(INDEX('Resumo Grupos'!$AC$3:$AC$200,MATCH($T95,'Resumo Grupos'!$AB$3:$AB$200,0)),"n/d"))</f>
        <v>Mercadoria</v>
      </c>
      <c r="AA95" s="0" t="str">
        <f aca="false">IF($T95="","",IF(COUNTIF('Resumo Grupos'!$AE$3:$AE$40,$T95)&gt;0,"NAO","SIM"))</f>
        <v>SIM</v>
      </c>
      <c r="AB95" s="0" t="str">
        <f aca="false">IFERROR(INDEX('Mov Entradas (Rel 10497)'!$L:$L,MATCH(AC95,'Mov Entradas (Rel 10497)'!$I:$I,0)),"nao encontrado")</f>
        <v>nao encontrado</v>
      </c>
      <c r="AC95" s="0" t="n">
        <v>10468</v>
      </c>
    </row>
    <row r="96" customFormat="false" ht="45.75" hidden="false" customHeight="true" outlineLevel="0" collapsed="false">
      <c r="A96" s="9" t="n">
        <v>2</v>
      </c>
      <c r="B96" s="10" t="n">
        <v>46148</v>
      </c>
      <c r="C96" s="10" t="n">
        <v>46178</v>
      </c>
      <c r="D96" s="9" t="n">
        <v>1659</v>
      </c>
      <c r="E96" s="11" t="s">
        <v>214</v>
      </c>
      <c r="F96" s="9" t="n">
        <v>24</v>
      </c>
      <c r="G96" s="11" t="s">
        <v>51</v>
      </c>
      <c r="H96" s="9" t="n">
        <v>2110101</v>
      </c>
      <c r="I96" s="11" t="s">
        <v>43</v>
      </c>
      <c r="J96" s="9" t="n">
        <v>1057739</v>
      </c>
      <c r="L96" s="9" t="n">
        <v>869870</v>
      </c>
      <c r="M96" s="11" t="s">
        <v>67</v>
      </c>
      <c r="N96" s="11" t="s">
        <v>37</v>
      </c>
      <c r="P96" s="9" t="n">
        <v>113</v>
      </c>
      <c r="Q96" s="11" t="s">
        <v>46</v>
      </c>
      <c r="R96" s="11" t="s">
        <v>47</v>
      </c>
      <c r="S96" s="9" t="n">
        <v>1130101</v>
      </c>
      <c r="T96" s="11" t="s">
        <v>48</v>
      </c>
      <c r="U96" s="12" t="n">
        <v>820.73</v>
      </c>
      <c r="W96" s="12" t="n">
        <v>0</v>
      </c>
      <c r="X96" s="11" t="s">
        <v>215</v>
      </c>
      <c r="Z96" s="0" t="str">
        <f aca="false">IF($T96="","",IFERROR(INDEX('Resumo Grupos'!$AC$3:$AC$200,MATCH($T96,'Resumo Grupos'!$AB$3:$AB$200,0)),"n/d"))</f>
        <v>Mercadoria</v>
      </c>
      <c r="AA96" s="0" t="str">
        <f aca="false">IF($T96="","",IF(COUNTIF('Resumo Grupos'!$AE$3:$AE$40,$T96)&gt;0,"NAO","SIM"))</f>
        <v>SIM</v>
      </c>
      <c r="AB96" s="0" t="str">
        <f aca="false">IFERROR(INDEX('Mov Entradas (Rel 10497)'!$L:$L,MATCH(AC96,'Mov Entradas (Rel 10497)'!$I:$I,0)),"nao encontrado")</f>
        <v>nao encontrado</v>
      </c>
      <c r="AC96" s="0" t="n">
        <v>869870</v>
      </c>
    </row>
    <row r="97" customFormat="false" ht="45.75" hidden="false" customHeight="true" outlineLevel="0" collapsed="false">
      <c r="A97" s="9" t="n">
        <v>2</v>
      </c>
      <c r="B97" s="10" t="n">
        <v>46175</v>
      </c>
      <c r="C97" s="10" t="n">
        <v>46178</v>
      </c>
      <c r="D97" s="9" t="n">
        <v>10018</v>
      </c>
      <c r="E97" s="11" t="s">
        <v>216</v>
      </c>
      <c r="F97" s="9" t="n">
        <v>34</v>
      </c>
      <c r="G97" s="11" t="s">
        <v>55</v>
      </c>
      <c r="H97" s="9" t="n">
        <v>2110101</v>
      </c>
      <c r="I97" s="11" t="s">
        <v>43</v>
      </c>
      <c r="J97" s="9" t="n">
        <v>1193359</v>
      </c>
      <c r="L97" s="9" t="n">
        <v>287</v>
      </c>
      <c r="M97" s="11" t="s">
        <v>52</v>
      </c>
      <c r="N97" s="11" t="s">
        <v>37</v>
      </c>
      <c r="P97" s="9" t="n">
        <v>113</v>
      </c>
      <c r="Q97" s="11" t="s">
        <v>46</v>
      </c>
      <c r="R97" s="11" t="s">
        <v>47</v>
      </c>
      <c r="S97" s="9" t="n">
        <v>1130101</v>
      </c>
      <c r="T97" s="11" t="s">
        <v>48</v>
      </c>
      <c r="U97" s="12" t="n">
        <v>570</v>
      </c>
      <c r="W97" s="12" t="n">
        <v>0</v>
      </c>
      <c r="X97" s="11" t="s">
        <v>87</v>
      </c>
      <c r="Z97" s="0" t="str">
        <f aca="false">IF($T97="","",IFERROR(INDEX('Resumo Grupos'!$AC$3:$AC$200,MATCH($T97,'Resumo Grupos'!$AB$3:$AB$200,0)),"n/d"))</f>
        <v>Mercadoria</v>
      </c>
      <c r="AA97" s="0" t="str">
        <f aca="false">IF($T97="","",IF(COUNTIF('Resumo Grupos'!$AE$3:$AE$40,$T97)&gt;0,"NAO","SIM"))</f>
        <v>SIM</v>
      </c>
      <c r="AB97" s="0" t="str">
        <f aca="false">IFERROR(INDEX('Mov Entradas (Rel 10497)'!$L:$L,MATCH(AC97,'Mov Entradas (Rel 10497)'!$I:$I,0)),"nao encontrado")</f>
        <v>OVOS BRANCO UNID</v>
      </c>
      <c r="AC97" s="0" t="n">
        <v>287</v>
      </c>
    </row>
    <row r="98" customFormat="false" ht="45.75" hidden="false" customHeight="true" outlineLevel="0" collapsed="false">
      <c r="A98" s="9" t="n">
        <v>2</v>
      </c>
      <c r="B98" s="10" t="n">
        <v>46174</v>
      </c>
      <c r="C98" s="10" t="n">
        <v>46178</v>
      </c>
      <c r="D98" s="9" t="n">
        <v>1628</v>
      </c>
      <c r="E98" s="11" t="s">
        <v>217</v>
      </c>
      <c r="F98" s="9" t="n">
        <v>24</v>
      </c>
      <c r="G98" s="11" t="s">
        <v>51</v>
      </c>
      <c r="H98" s="9" t="n">
        <v>2110101</v>
      </c>
      <c r="I98" s="11" t="s">
        <v>43</v>
      </c>
      <c r="J98" s="9" t="n">
        <v>1187093</v>
      </c>
      <c r="L98" s="9" t="n">
        <v>157983</v>
      </c>
      <c r="M98" s="11" t="s">
        <v>52</v>
      </c>
      <c r="N98" s="11" t="s">
        <v>45</v>
      </c>
      <c r="P98" s="9" t="n">
        <v>113</v>
      </c>
      <c r="Q98" s="11" t="s">
        <v>46</v>
      </c>
      <c r="R98" s="11" t="s">
        <v>47</v>
      </c>
      <c r="S98" s="9" t="n">
        <v>1130101</v>
      </c>
      <c r="T98" s="11" t="s">
        <v>48</v>
      </c>
      <c r="U98" s="12" t="n">
        <v>627.05</v>
      </c>
      <c r="W98" s="12" t="n">
        <v>0</v>
      </c>
      <c r="X98" s="11" t="s">
        <v>218</v>
      </c>
      <c r="Z98" s="0" t="str">
        <f aca="false">IF($T98="","",IFERROR(INDEX('Resumo Grupos'!$AC$3:$AC$200,MATCH($T98,'Resumo Grupos'!$AB$3:$AB$200,0)),"n/d"))</f>
        <v>Mercadoria</v>
      </c>
      <c r="AA98" s="0" t="str">
        <f aca="false">IF($T98="","",IF(COUNTIF('Resumo Grupos'!$AE$3:$AE$40,$T98)&gt;0,"NAO","SIM"))</f>
        <v>SIM</v>
      </c>
      <c r="AB98" s="0" t="str">
        <f aca="false">IFERROR(INDEX('Mov Entradas (Rel 10497)'!$L:$L,MATCH(AC98,'Mov Entradas (Rel 10497)'!$I:$I,0)),"nao encontrado")</f>
        <v>CIGARRO MARLBORO CIN</v>
      </c>
      <c r="AC98" s="0" t="n">
        <v>88296</v>
      </c>
    </row>
    <row r="99" customFormat="false" ht="45.75" hidden="false" customHeight="true" outlineLevel="0" collapsed="false">
      <c r="A99" s="9" t="n">
        <v>2</v>
      </c>
      <c r="B99" s="10" t="n">
        <v>46178</v>
      </c>
      <c r="C99" s="10" t="n">
        <v>46178</v>
      </c>
      <c r="D99" s="9" t="n">
        <v>52</v>
      </c>
      <c r="E99" s="11" t="s">
        <v>219</v>
      </c>
      <c r="F99" s="9" t="n">
        <v>34</v>
      </c>
      <c r="G99" s="11" t="s">
        <v>55</v>
      </c>
      <c r="H99" s="9" t="n">
        <v>2110405</v>
      </c>
      <c r="I99" s="11" t="s">
        <v>56</v>
      </c>
      <c r="J99" s="9" t="n">
        <v>1295967</v>
      </c>
      <c r="L99" s="9" t="n">
        <v>173527</v>
      </c>
      <c r="M99" s="11" t="s">
        <v>52</v>
      </c>
      <c r="N99" s="11" t="s">
        <v>45</v>
      </c>
      <c r="P99" s="9" t="n">
        <v>113</v>
      </c>
      <c r="Q99" s="11" t="s">
        <v>46</v>
      </c>
      <c r="R99" s="11" t="s">
        <v>71</v>
      </c>
      <c r="S99" s="9" t="n">
        <v>4210301</v>
      </c>
      <c r="T99" s="11" t="s">
        <v>220</v>
      </c>
      <c r="U99" s="12" t="n">
        <v>520</v>
      </c>
      <c r="W99" s="12" t="n">
        <v>0</v>
      </c>
      <c r="X99" s="11" t="s">
        <v>221</v>
      </c>
      <c r="Z99" s="0" t="str">
        <f aca="false">IF($T99="","",IFERROR(INDEX('Resumo Grupos'!$AC$3:$AC$200,MATCH($T99,'Resumo Grupos'!$AB$3:$AB$200,0)),"n/d"))</f>
        <v>Salários</v>
      </c>
      <c r="AA99" s="0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9" t="n">
        <v>2</v>
      </c>
      <c r="B100" s="10" t="n">
        <v>46178</v>
      </c>
      <c r="C100" s="10" t="n">
        <v>46178</v>
      </c>
      <c r="D100" s="9" t="n">
        <v>52</v>
      </c>
      <c r="E100" s="11" t="s">
        <v>219</v>
      </c>
      <c r="F100" s="9" t="n">
        <v>7</v>
      </c>
      <c r="G100" s="11" t="s">
        <v>222</v>
      </c>
      <c r="H100" s="9" t="n">
        <v>2110405</v>
      </c>
      <c r="I100" s="11" t="s">
        <v>56</v>
      </c>
      <c r="J100" s="9" t="n">
        <v>1295970</v>
      </c>
      <c r="L100" s="9" t="n">
        <v>173529</v>
      </c>
      <c r="M100" s="11" t="s">
        <v>52</v>
      </c>
      <c r="N100" s="11" t="s">
        <v>45</v>
      </c>
      <c r="P100" s="9" t="n">
        <v>113</v>
      </c>
      <c r="Q100" s="11" t="s">
        <v>46</v>
      </c>
      <c r="R100" s="11" t="s">
        <v>71</v>
      </c>
      <c r="S100" s="9" t="n">
        <v>4210301</v>
      </c>
      <c r="T100" s="11" t="s">
        <v>220</v>
      </c>
      <c r="U100" s="12" t="n">
        <v>491.78</v>
      </c>
      <c r="W100" s="12" t="n">
        <v>0</v>
      </c>
      <c r="X100" s="11" t="s">
        <v>223</v>
      </c>
      <c r="Z100" s="0" t="str">
        <f aca="false">IF($T100="","",IFERROR(INDEX('Resumo Grupos'!$AC$3:$AC$200,MATCH($T100,'Resumo Grupos'!$AB$3:$AB$200,0)),"n/d"))</f>
        <v>Salários</v>
      </c>
      <c r="AA100" s="0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9" t="n">
        <v>2</v>
      </c>
      <c r="B101" s="10" t="n">
        <v>46178</v>
      </c>
      <c r="C101" s="10" t="n">
        <v>46178</v>
      </c>
      <c r="D101" s="9" t="n">
        <v>328</v>
      </c>
      <c r="E101" s="11" t="s">
        <v>224</v>
      </c>
      <c r="F101" s="9" t="n">
        <v>34</v>
      </c>
      <c r="G101" s="11" t="s">
        <v>55</v>
      </c>
      <c r="H101" s="9" t="n">
        <v>2110405</v>
      </c>
      <c r="I101" s="11" t="s">
        <v>56</v>
      </c>
      <c r="J101" s="9" t="n">
        <v>1209041</v>
      </c>
      <c r="L101" s="9" t="n">
        <v>161105</v>
      </c>
      <c r="M101" s="11" t="s">
        <v>52</v>
      </c>
      <c r="N101" s="11" t="s">
        <v>45</v>
      </c>
      <c r="P101" s="9" t="n">
        <v>101</v>
      </c>
      <c r="Q101" s="11" t="s">
        <v>57</v>
      </c>
      <c r="R101" s="11" t="s">
        <v>71</v>
      </c>
      <c r="S101" s="9" t="n">
        <v>4210305</v>
      </c>
      <c r="T101" s="11" t="s">
        <v>225</v>
      </c>
      <c r="U101" s="12" t="n">
        <v>2147.05</v>
      </c>
      <c r="W101" s="12" t="n">
        <v>0</v>
      </c>
      <c r="X101" s="11" t="s">
        <v>226</v>
      </c>
      <c r="Z101" s="0" t="str">
        <f aca="false">IF($T101="","",IFERROR(INDEX('Resumo Grupos'!$AC$3:$AC$200,MATCH($T101,'Resumo Grupos'!$AB$3:$AB$200,0)),"n/d"))</f>
        <v>Salários</v>
      </c>
      <c r="AA101" s="0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9" t="n">
        <v>2</v>
      </c>
      <c r="B102" s="10" t="n">
        <v>46178</v>
      </c>
      <c r="C102" s="10" t="n">
        <v>46178</v>
      </c>
      <c r="D102" s="9" t="n">
        <v>328</v>
      </c>
      <c r="E102" s="11" t="s">
        <v>224</v>
      </c>
      <c r="F102" s="9" t="n">
        <v>7</v>
      </c>
      <c r="G102" s="11" t="s">
        <v>222</v>
      </c>
      <c r="H102" s="9" t="n">
        <v>2110405</v>
      </c>
      <c r="I102" s="11" t="s">
        <v>56</v>
      </c>
      <c r="J102" s="9" t="n">
        <v>1295990</v>
      </c>
      <c r="L102" s="9" t="n">
        <v>173535</v>
      </c>
      <c r="M102" s="11" t="s">
        <v>52</v>
      </c>
      <c r="N102" s="11" t="s">
        <v>45</v>
      </c>
      <c r="P102" s="9" t="n">
        <v>113</v>
      </c>
      <c r="Q102" s="11" t="s">
        <v>46</v>
      </c>
      <c r="R102" s="11" t="s">
        <v>71</v>
      </c>
      <c r="S102" s="9" t="n">
        <v>4210301</v>
      </c>
      <c r="T102" s="11" t="s">
        <v>220</v>
      </c>
      <c r="U102" s="12" t="n">
        <v>325.49</v>
      </c>
      <c r="W102" s="12" t="n">
        <v>0</v>
      </c>
      <c r="X102" s="11" t="s">
        <v>227</v>
      </c>
      <c r="Z102" s="0" t="str">
        <f aca="false">IF($T102="","",IFERROR(INDEX('Resumo Grupos'!$AC$3:$AC$200,MATCH($T102,'Resumo Grupos'!$AB$3:$AB$200,0)),"n/d"))</f>
        <v>Salários</v>
      </c>
      <c r="AA102" s="0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9" t="n">
        <v>2</v>
      </c>
      <c r="B103" s="10" t="n">
        <v>46171</v>
      </c>
      <c r="C103" s="10" t="n">
        <v>46178</v>
      </c>
      <c r="D103" s="9" t="n">
        <v>1642</v>
      </c>
      <c r="E103" s="11" t="s">
        <v>228</v>
      </c>
      <c r="F103" s="9" t="n">
        <v>24</v>
      </c>
      <c r="G103" s="11" t="s">
        <v>51</v>
      </c>
      <c r="H103" s="9" t="n">
        <v>2110101</v>
      </c>
      <c r="I103" s="11" t="s">
        <v>43</v>
      </c>
      <c r="J103" s="9" t="n">
        <v>1171638</v>
      </c>
      <c r="L103" s="9" t="n">
        <v>1024603</v>
      </c>
      <c r="M103" s="11" t="s">
        <v>52</v>
      </c>
      <c r="N103" s="11" t="s">
        <v>37</v>
      </c>
      <c r="P103" s="9" t="n">
        <v>113</v>
      </c>
      <c r="Q103" s="11" t="s">
        <v>46</v>
      </c>
      <c r="R103" s="11" t="s">
        <v>47</v>
      </c>
      <c r="S103" s="9" t="n">
        <v>1130101</v>
      </c>
      <c r="T103" s="11" t="s">
        <v>48</v>
      </c>
      <c r="U103" s="12" t="n">
        <v>479.28</v>
      </c>
      <c r="W103" s="12" t="n">
        <v>0</v>
      </c>
      <c r="X103" s="11" t="s">
        <v>229</v>
      </c>
      <c r="Z103" s="0" t="str">
        <f aca="false">IF($T103="","",IFERROR(INDEX('Resumo Grupos'!$AC$3:$AC$200,MATCH($T103,'Resumo Grupos'!$AB$3:$AB$200,0)),"n/d"))</f>
        <v>Mercadoria</v>
      </c>
      <c r="AA103" s="0" t="str">
        <f aca="false">IF($T103="","",IF(COUNTIF('Resumo Grupos'!$AE$3:$AE$40,$T103)&gt;0,"NAO","SIM"))</f>
        <v>SIM</v>
      </c>
      <c r="AB103" s="0" t="str">
        <f aca="false">IFERROR(INDEX('Mov Entradas (Rel 10497)'!$L:$L,MATCH(AC103,'Mov Entradas (Rel 10497)'!$I:$I,0)),"nao encontrado")</f>
        <v>nao encontrado</v>
      </c>
      <c r="AC103" s="0" t="n">
        <v>1024603</v>
      </c>
    </row>
    <row r="104" customFormat="false" ht="54.75" hidden="false" customHeight="true" outlineLevel="0" collapsed="false">
      <c r="A104" s="9" t="n">
        <v>2</v>
      </c>
      <c r="B104" s="10" t="n">
        <v>46178</v>
      </c>
      <c r="C104" s="10" t="n">
        <v>46178</v>
      </c>
      <c r="D104" s="9" t="n">
        <v>34</v>
      </c>
      <c r="E104" s="11" t="s">
        <v>230</v>
      </c>
      <c r="F104" s="9" t="n">
        <v>7</v>
      </c>
      <c r="G104" s="11" t="s">
        <v>222</v>
      </c>
      <c r="H104" s="9" t="n">
        <v>2110405</v>
      </c>
      <c r="I104" s="11" t="s">
        <v>56</v>
      </c>
      <c r="J104" s="9" t="n">
        <v>1296086</v>
      </c>
      <c r="L104" s="9" t="n">
        <v>173568</v>
      </c>
      <c r="M104" s="11" t="s">
        <v>52</v>
      </c>
      <c r="N104" s="11" t="s">
        <v>45</v>
      </c>
      <c r="P104" s="9" t="n">
        <v>113</v>
      </c>
      <c r="Q104" s="11" t="s">
        <v>46</v>
      </c>
      <c r="R104" s="11" t="s">
        <v>71</v>
      </c>
      <c r="S104" s="9" t="n">
        <v>4210301</v>
      </c>
      <c r="T104" s="11" t="s">
        <v>220</v>
      </c>
      <c r="U104" s="12" t="n">
        <v>515.6</v>
      </c>
      <c r="W104" s="12" t="n">
        <v>0</v>
      </c>
      <c r="X104" s="11" t="s">
        <v>231</v>
      </c>
      <c r="Z104" s="0" t="str">
        <f aca="false">IF($T104="","",IFERROR(INDEX('Resumo Grupos'!$AC$3:$AC$200,MATCH($T104,'Resumo Grupos'!$AB$3:$AB$200,0)),"n/d"))</f>
        <v>Salários</v>
      </c>
      <c r="AA104" s="0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9" t="n">
        <v>2</v>
      </c>
      <c r="B105" s="10" t="n">
        <v>46171</v>
      </c>
      <c r="C105" s="10" t="n">
        <v>46178</v>
      </c>
      <c r="D105" s="9" t="n">
        <v>1621</v>
      </c>
      <c r="E105" s="11" t="s">
        <v>232</v>
      </c>
      <c r="F105" s="9" t="n">
        <v>24</v>
      </c>
      <c r="G105" s="11" t="s">
        <v>51</v>
      </c>
      <c r="H105" s="9" t="n">
        <v>2110101</v>
      </c>
      <c r="I105" s="11" t="s">
        <v>43</v>
      </c>
      <c r="J105" s="9" t="n">
        <v>1172086</v>
      </c>
      <c r="L105" s="9" t="n">
        <v>830893</v>
      </c>
      <c r="M105" s="11" t="s">
        <v>52</v>
      </c>
      <c r="N105" s="11" t="s">
        <v>37</v>
      </c>
      <c r="P105" s="9" t="n">
        <v>113</v>
      </c>
      <c r="Q105" s="11" t="s">
        <v>46</v>
      </c>
      <c r="R105" s="11" t="s">
        <v>47</v>
      </c>
      <c r="S105" s="9" t="n">
        <v>1130101</v>
      </c>
      <c r="T105" s="11" t="s">
        <v>48</v>
      </c>
      <c r="U105" s="12" t="n">
        <v>1156.72</v>
      </c>
      <c r="W105" s="12" t="n">
        <v>0</v>
      </c>
      <c r="X105" s="11" t="s">
        <v>233</v>
      </c>
      <c r="Z105" s="0" t="str">
        <f aca="false">IF($T105="","",IFERROR(INDEX('Resumo Grupos'!$AC$3:$AC$200,MATCH($T105,'Resumo Grupos'!$AB$3:$AB$200,0)),"n/d"))</f>
        <v>Mercadoria</v>
      </c>
      <c r="AA105" s="0" t="str">
        <f aca="false">IF($T105="","",IF(COUNTIF('Resumo Grupos'!$AE$3:$AE$40,$T105)&gt;0,"NAO","SIM"))</f>
        <v>SIM</v>
      </c>
      <c r="AB105" s="0" t="str">
        <f aca="false">IFERROR(INDEX('Mov Entradas (Rel 10497)'!$L:$L,MATCH(AC105,'Mov Entradas (Rel 10497)'!$I:$I,0)),"nao encontrado")</f>
        <v>nao encontrado</v>
      </c>
      <c r="AC105" s="0" t="n">
        <v>830893</v>
      </c>
    </row>
    <row r="106" customFormat="false" ht="45.75" hidden="false" customHeight="true" outlineLevel="0" collapsed="false">
      <c r="A106" s="9" t="n">
        <v>2</v>
      </c>
      <c r="B106" s="10" t="n">
        <v>46171</v>
      </c>
      <c r="C106" s="10" t="n">
        <v>46178</v>
      </c>
      <c r="D106" s="9" t="n">
        <v>1621</v>
      </c>
      <c r="E106" s="11" t="s">
        <v>232</v>
      </c>
      <c r="F106" s="9" t="n">
        <v>24</v>
      </c>
      <c r="G106" s="11" t="s">
        <v>51</v>
      </c>
      <c r="H106" s="9" t="n">
        <v>2110101</v>
      </c>
      <c r="I106" s="11" t="s">
        <v>43</v>
      </c>
      <c r="J106" s="9" t="n">
        <v>1172095</v>
      </c>
      <c r="L106" s="9" t="n">
        <v>156216</v>
      </c>
      <c r="M106" s="11" t="s">
        <v>52</v>
      </c>
      <c r="N106" s="11" t="s">
        <v>45</v>
      </c>
      <c r="P106" s="9" t="n">
        <v>113</v>
      </c>
      <c r="Q106" s="11" t="s">
        <v>46</v>
      </c>
      <c r="R106" s="11" t="s">
        <v>47</v>
      </c>
      <c r="S106" s="9" t="n">
        <v>1130101</v>
      </c>
      <c r="T106" s="11" t="s">
        <v>48</v>
      </c>
      <c r="U106" s="12" t="n">
        <v>1.55</v>
      </c>
      <c r="W106" s="12" t="n">
        <v>0</v>
      </c>
      <c r="X106" s="11" t="s">
        <v>234</v>
      </c>
      <c r="Z106" s="0" t="str">
        <f aca="false">IF($T106="","",IFERROR(INDEX('Resumo Grupos'!$AC$3:$AC$200,MATCH($T106,'Resumo Grupos'!$AB$3:$AB$200,0)),"n/d"))</f>
        <v>Mercadoria</v>
      </c>
      <c r="AA106" s="0" t="str">
        <f aca="false">IF($T106="","",IF(COUNTIF('Resumo Grupos'!$AE$3:$AE$40,$T106)&gt;0,"NAO","SIM"))</f>
        <v>SIM</v>
      </c>
      <c r="AB106" s="0" t="str">
        <f aca="false">IFERROR(INDEX('Mov Entradas (Rel 10497)'!$L:$L,MATCH(AC106,'Mov Entradas (Rel 10497)'!$I:$I,0)),"nao encontrado")</f>
        <v>nao encontrado</v>
      </c>
      <c r="AC106" s="0" t="n">
        <v>830893</v>
      </c>
    </row>
    <row r="107" customFormat="false" ht="45.75" hidden="false" customHeight="true" outlineLevel="0" collapsed="false">
      <c r="A107" s="9" t="n">
        <v>2</v>
      </c>
      <c r="B107" s="10" t="n">
        <v>46178</v>
      </c>
      <c r="C107" s="10" t="n">
        <v>46178</v>
      </c>
      <c r="D107" s="9" t="n">
        <v>340</v>
      </c>
      <c r="E107" s="11" t="s">
        <v>235</v>
      </c>
      <c r="F107" s="9" t="n">
        <v>34</v>
      </c>
      <c r="G107" s="11" t="s">
        <v>55</v>
      </c>
      <c r="H107" s="9" t="n">
        <v>2110405</v>
      </c>
      <c r="I107" s="11" t="s">
        <v>56</v>
      </c>
      <c r="J107" s="9" t="n">
        <v>1296006</v>
      </c>
      <c r="L107" s="9" t="n">
        <v>173539</v>
      </c>
      <c r="M107" s="11" t="s">
        <v>52</v>
      </c>
      <c r="N107" s="11" t="s">
        <v>45</v>
      </c>
      <c r="P107" s="9" t="n">
        <v>113</v>
      </c>
      <c r="Q107" s="11" t="s">
        <v>46</v>
      </c>
      <c r="R107" s="11" t="s">
        <v>71</v>
      </c>
      <c r="S107" s="9" t="n">
        <v>4210301</v>
      </c>
      <c r="T107" s="11" t="s">
        <v>220</v>
      </c>
      <c r="U107" s="12" t="n">
        <v>1631.39</v>
      </c>
      <c r="W107" s="12" t="n">
        <v>0</v>
      </c>
      <c r="X107" s="11" t="s">
        <v>221</v>
      </c>
      <c r="Z107" s="0" t="str">
        <f aca="false">IF($T107="","",IFERROR(INDEX('Resumo Grupos'!$AC$3:$AC$200,MATCH($T107,'Resumo Grupos'!$AB$3:$AB$200,0)),"n/d"))</f>
        <v>Salários</v>
      </c>
      <c r="AA107" s="0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9" t="n">
        <v>2</v>
      </c>
      <c r="B108" s="10" t="n">
        <v>46178</v>
      </c>
      <c r="C108" s="10" t="n">
        <v>46178</v>
      </c>
      <c r="D108" s="9" t="n">
        <v>340</v>
      </c>
      <c r="E108" s="11" t="s">
        <v>235</v>
      </c>
      <c r="F108" s="9" t="n">
        <v>7</v>
      </c>
      <c r="G108" s="11" t="s">
        <v>222</v>
      </c>
      <c r="H108" s="9" t="n">
        <v>2110405</v>
      </c>
      <c r="I108" s="11" t="s">
        <v>56</v>
      </c>
      <c r="J108" s="9" t="n">
        <v>1296010</v>
      </c>
      <c r="L108" s="9" t="n">
        <v>173542</v>
      </c>
      <c r="M108" s="11" t="s">
        <v>52</v>
      </c>
      <c r="N108" s="11" t="s">
        <v>45</v>
      </c>
      <c r="P108" s="9" t="n">
        <v>113</v>
      </c>
      <c r="Q108" s="11" t="s">
        <v>46</v>
      </c>
      <c r="R108" s="11" t="s">
        <v>71</v>
      </c>
      <c r="S108" s="9" t="n">
        <v>4210301</v>
      </c>
      <c r="T108" s="11" t="s">
        <v>220</v>
      </c>
      <c r="U108" s="12" t="n">
        <v>80.46</v>
      </c>
      <c r="W108" s="12" t="n">
        <v>0</v>
      </c>
      <c r="X108" s="11" t="s">
        <v>223</v>
      </c>
      <c r="Z108" s="0" t="str">
        <f aca="false">IF($T108="","",IFERROR(INDEX('Resumo Grupos'!$AC$3:$AC$200,MATCH($T108,'Resumo Grupos'!$AB$3:$AB$200,0)),"n/d"))</f>
        <v>Salários</v>
      </c>
      <c r="AA108" s="0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9" t="n">
        <v>2</v>
      </c>
      <c r="B109" s="10" t="n">
        <v>46149</v>
      </c>
      <c r="C109" s="10" t="n">
        <v>46178</v>
      </c>
      <c r="D109" s="9" t="n">
        <v>1718</v>
      </c>
      <c r="E109" s="11" t="s">
        <v>236</v>
      </c>
      <c r="F109" s="9" t="n">
        <v>24</v>
      </c>
      <c r="G109" s="11" t="s">
        <v>51</v>
      </c>
      <c r="H109" s="9" t="n">
        <v>2110101</v>
      </c>
      <c r="I109" s="11" t="s">
        <v>43</v>
      </c>
      <c r="J109" s="9" t="n">
        <v>1060635</v>
      </c>
      <c r="L109" s="9" t="n">
        <v>666212</v>
      </c>
      <c r="M109" s="11" t="s">
        <v>67</v>
      </c>
      <c r="N109" s="11" t="s">
        <v>37</v>
      </c>
      <c r="P109" s="9" t="n">
        <v>113</v>
      </c>
      <c r="Q109" s="11" t="s">
        <v>46</v>
      </c>
      <c r="R109" s="11" t="s">
        <v>47</v>
      </c>
      <c r="S109" s="9" t="n">
        <v>1130101</v>
      </c>
      <c r="T109" s="11" t="s">
        <v>48</v>
      </c>
      <c r="U109" s="12" t="n">
        <v>700.23</v>
      </c>
      <c r="W109" s="12" t="n">
        <v>0</v>
      </c>
      <c r="X109" s="11" t="s">
        <v>237</v>
      </c>
      <c r="Z109" s="0" t="str">
        <f aca="false">IF($T109="","",IFERROR(INDEX('Resumo Grupos'!$AC$3:$AC$200,MATCH($T109,'Resumo Grupos'!$AB$3:$AB$200,0)),"n/d"))</f>
        <v>Mercadoria</v>
      </c>
      <c r="AA109" s="0" t="str">
        <f aca="false">IF($T109="","",IF(COUNTIF('Resumo Grupos'!$AE$3:$AE$40,$T109)&gt;0,"NAO","SIM"))</f>
        <v>SIM</v>
      </c>
      <c r="AB109" s="0" t="str">
        <f aca="false">IFERROR(INDEX('Mov Entradas (Rel 10497)'!$L:$L,MATCH(AC109,'Mov Entradas (Rel 10497)'!$I:$I,0)),"nao encontrado")</f>
        <v>nao encontrado</v>
      </c>
      <c r="AC109" s="0" t="n">
        <v>666212</v>
      </c>
    </row>
    <row r="110" customFormat="false" ht="63.75" hidden="false" customHeight="true" outlineLevel="0" collapsed="false">
      <c r="A110" s="9" t="n">
        <v>2</v>
      </c>
      <c r="B110" s="10" t="n">
        <v>46164</v>
      </c>
      <c r="C110" s="10" t="n">
        <v>46178</v>
      </c>
      <c r="D110" s="9" t="n">
        <v>1718</v>
      </c>
      <c r="E110" s="11" t="s">
        <v>236</v>
      </c>
      <c r="F110" s="9" t="n">
        <v>24</v>
      </c>
      <c r="G110" s="11" t="s">
        <v>51</v>
      </c>
      <c r="H110" s="9" t="n">
        <v>2110101</v>
      </c>
      <c r="I110" s="11" t="s">
        <v>43</v>
      </c>
      <c r="J110" s="9" t="n">
        <v>1136374</v>
      </c>
      <c r="L110" s="9" t="n">
        <v>668750</v>
      </c>
      <c r="M110" s="11" t="s">
        <v>52</v>
      </c>
      <c r="N110" s="11" t="s">
        <v>37</v>
      </c>
      <c r="P110" s="9" t="n">
        <v>113</v>
      </c>
      <c r="Q110" s="11" t="s">
        <v>46</v>
      </c>
      <c r="R110" s="11" t="s">
        <v>47</v>
      </c>
      <c r="S110" s="9" t="n">
        <v>1130101</v>
      </c>
      <c r="T110" s="11" t="s">
        <v>48</v>
      </c>
      <c r="U110" s="12" t="n">
        <v>352.35</v>
      </c>
      <c r="W110" s="12" t="n">
        <v>0</v>
      </c>
      <c r="X110" s="11" t="s">
        <v>238</v>
      </c>
      <c r="Z110" s="0" t="str">
        <f aca="false">IF($T110="","",IFERROR(INDEX('Resumo Grupos'!$AC$3:$AC$200,MATCH($T110,'Resumo Grupos'!$AB$3:$AB$200,0)),"n/d"))</f>
        <v>Mercadoria</v>
      </c>
      <c r="AA110" s="0" t="str">
        <f aca="false">IF($T110="","",IF(COUNTIF('Resumo Grupos'!$AE$3:$AE$40,$T110)&gt;0,"NAO","SIM"))</f>
        <v>SIM</v>
      </c>
      <c r="AB110" s="0" t="str">
        <f aca="false">IFERROR(INDEX('Mov Entradas (Rel 10497)'!$L:$L,MATCH(AC110,'Mov Entradas (Rel 10497)'!$I:$I,0)),"nao encontrado")</f>
        <v>nao encontrado</v>
      </c>
      <c r="AC110" s="0" t="n">
        <v>668750</v>
      </c>
    </row>
    <row r="111" customFormat="false" ht="36.75" hidden="false" customHeight="true" outlineLevel="0" collapsed="false">
      <c r="A111" s="9" t="n">
        <v>2</v>
      </c>
      <c r="B111" s="10" t="n">
        <v>46183</v>
      </c>
      <c r="C111" s="10" t="n">
        <v>46178</v>
      </c>
      <c r="D111" s="9" t="n">
        <v>1718</v>
      </c>
      <c r="E111" s="11" t="s">
        <v>236</v>
      </c>
      <c r="F111" s="9" t="n">
        <v>24</v>
      </c>
      <c r="G111" s="11" t="s">
        <v>51</v>
      </c>
      <c r="H111" s="9" t="n">
        <v>2110101</v>
      </c>
      <c r="I111" s="11" t="s">
        <v>43</v>
      </c>
      <c r="J111" s="9" t="n">
        <v>1231901</v>
      </c>
      <c r="L111" s="9" t="n">
        <v>670477</v>
      </c>
      <c r="M111" s="11" t="s">
        <v>52</v>
      </c>
      <c r="N111" s="11" t="s">
        <v>37</v>
      </c>
      <c r="P111" s="9" t="n">
        <v>113</v>
      </c>
      <c r="Q111" s="11" t="s">
        <v>46</v>
      </c>
      <c r="R111" s="11" t="s">
        <v>47</v>
      </c>
      <c r="S111" s="9" t="n">
        <v>1130101</v>
      </c>
      <c r="T111" s="11" t="s">
        <v>48</v>
      </c>
      <c r="U111" s="12" t="n">
        <v>238.4</v>
      </c>
      <c r="W111" s="12" t="n">
        <v>0</v>
      </c>
      <c r="X111" s="11" t="s">
        <v>239</v>
      </c>
      <c r="Z111" s="0" t="str">
        <f aca="false">IF($T111="","",IFERROR(INDEX('Resumo Grupos'!$AC$3:$AC$200,MATCH($T111,'Resumo Grupos'!$AB$3:$AB$200,0)),"n/d"))</f>
        <v>Mercadoria</v>
      </c>
      <c r="AA111" s="0" t="str">
        <f aca="false">IF($T111="","",IF(COUNTIF('Resumo Grupos'!$AE$3:$AE$40,$T111)&gt;0,"NAO","SIM"))</f>
        <v>SIM</v>
      </c>
      <c r="AB111" s="0" t="str">
        <f aca="false">IFERROR(INDEX('Mov Entradas (Rel 10497)'!$L:$L,MATCH(AC111,'Mov Entradas (Rel 10497)'!$I:$I,0)),"nao encontrado")</f>
        <v>BIS FLOWPACK LAKA 63</v>
      </c>
      <c r="AC111" s="0" t="n">
        <v>670477</v>
      </c>
    </row>
    <row r="112" customFormat="false" ht="45.75" hidden="false" customHeight="true" outlineLevel="0" collapsed="false">
      <c r="A112" s="9" t="n">
        <v>2</v>
      </c>
      <c r="B112" s="10" t="n">
        <v>46164</v>
      </c>
      <c r="C112" s="10" t="n">
        <v>46178</v>
      </c>
      <c r="D112" s="9" t="n">
        <v>1608</v>
      </c>
      <c r="E112" s="11" t="s">
        <v>240</v>
      </c>
      <c r="F112" s="9" t="n">
        <v>24</v>
      </c>
      <c r="G112" s="11" t="s">
        <v>51</v>
      </c>
      <c r="H112" s="9" t="n">
        <v>2110101</v>
      </c>
      <c r="I112" s="11" t="s">
        <v>43</v>
      </c>
      <c r="J112" s="9" t="n">
        <v>1136027</v>
      </c>
      <c r="L112" s="9" t="n">
        <v>1659538</v>
      </c>
      <c r="M112" s="11" t="s">
        <v>52</v>
      </c>
      <c r="N112" s="11" t="s">
        <v>37</v>
      </c>
      <c r="P112" s="9" t="n">
        <v>113</v>
      </c>
      <c r="Q112" s="11" t="s">
        <v>46</v>
      </c>
      <c r="R112" s="11" t="s">
        <v>47</v>
      </c>
      <c r="S112" s="9" t="n">
        <v>1130101</v>
      </c>
      <c r="T112" s="11" t="s">
        <v>48</v>
      </c>
      <c r="U112" s="12" t="n">
        <v>1041.86</v>
      </c>
      <c r="W112" s="12" t="n">
        <v>0</v>
      </c>
      <c r="X112" s="11" t="s">
        <v>241</v>
      </c>
      <c r="Z112" s="0" t="str">
        <f aca="false">IF($T112="","",IFERROR(INDEX('Resumo Grupos'!$AC$3:$AC$200,MATCH($T112,'Resumo Grupos'!$AB$3:$AB$200,0)),"n/d"))</f>
        <v>Mercadoria</v>
      </c>
      <c r="AA112" s="0" t="str">
        <f aca="false">IF($T112="","",IF(COUNTIF('Resumo Grupos'!$AE$3:$AE$40,$T112)&gt;0,"NAO","SIM"))</f>
        <v>SIM</v>
      </c>
      <c r="AB112" s="0" t="str">
        <f aca="false">IFERROR(INDEX('Mov Entradas (Rel 10497)'!$L:$L,MATCH(AC112,'Mov Entradas (Rel 10497)'!$I:$I,0)),"nao encontrado")</f>
        <v>nao encontrado</v>
      </c>
      <c r="AC112" s="0" t="n">
        <v>1659538</v>
      </c>
    </row>
    <row r="113" customFormat="false" ht="36.75" hidden="false" customHeight="true" outlineLevel="0" collapsed="false">
      <c r="A113" s="9" t="n">
        <v>2</v>
      </c>
      <c r="B113" s="10" t="n">
        <v>46175</v>
      </c>
      <c r="C113" s="10" t="n">
        <v>46178</v>
      </c>
      <c r="D113" s="9" t="n">
        <v>1608</v>
      </c>
      <c r="E113" s="11" t="s">
        <v>240</v>
      </c>
      <c r="F113" s="9" t="n">
        <v>24</v>
      </c>
      <c r="G113" s="11" t="s">
        <v>51</v>
      </c>
      <c r="H113" s="9" t="n">
        <v>2110101</v>
      </c>
      <c r="I113" s="11" t="s">
        <v>43</v>
      </c>
      <c r="J113" s="9" t="n">
        <v>1191332</v>
      </c>
      <c r="L113" s="9" t="n">
        <v>1664082</v>
      </c>
      <c r="M113" s="11" t="s">
        <v>52</v>
      </c>
      <c r="N113" s="11" t="s">
        <v>37</v>
      </c>
      <c r="P113" s="9" t="n">
        <v>113</v>
      </c>
      <c r="Q113" s="11" t="s">
        <v>46</v>
      </c>
      <c r="R113" s="11" t="s">
        <v>47</v>
      </c>
      <c r="S113" s="9" t="n">
        <v>1130101</v>
      </c>
      <c r="T113" s="11" t="s">
        <v>48</v>
      </c>
      <c r="U113" s="12" t="n">
        <v>342.59</v>
      </c>
      <c r="W113" s="12" t="n">
        <v>0</v>
      </c>
      <c r="X113" s="11" t="s">
        <v>242</v>
      </c>
      <c r="Z113" s="0" t="str">
        <f aca="false">IF($T113="","",IFERROR(INDEX('Resumo Grupos'!$AC$3:$AC$200,MATCH($T113,'Resumo Grupos'!$AB$3:$AB$200,0)),"n/d"))</f>
        <v>Mercadoria</v>
      </c>
      <c r="AA113" s="0" t="str">
        <f aca="false">IF($T113="","",IF(COUNTIF('Resumo Grupos'!$AE$3:$AE$40,$T113)&gt;0,"NAO","SIM"))</f>
        <v>SIM</v>
      </c>
      <c r="AB113" s="0" t="str">
        <f aca="false">IFERROR(INDEX('Mov Entradas (Rel 10497)'!$L:$L,MATCH(AC113,'Mov Entradas (Rel 10497)'!$I:$I,0)),"nao encontrado")</f>
        <v>YOPRO CHCOCOLATE 250</v>
      </c>
      <c r="AC113" s="0" t="n">
        <v>1664082</v>
      </c>
    </row>
    <row r="114" customFormat="false" ht="36.75" hidden="false" customHeight="true" outlineLevel="0" collapsed="false">
      <c r="A114" s="9" t="n">
        <v>2</v>
      </c>
      <c r="B114" s="10" t="n">
        <v>46178</v>
      </c>
      <c r="C114" s="10" t="n">
        <v>46178</v>
      </c>
      <c r="D114" s="9" t="n">
        <v>23</v>
      </c>
      <c r="E114" s="11" t="s">
        <v>243</v>
      </c>
      <c r="F114" s="9" t="n">
        <v>34</v>
      </c>
      <c r="G114" s="11" t="s">
        <v>55</v>
      </c>
      <c r="H114" s="9" t="n">
        <v>2110405</v>
      </c>
      <c r="I114" s="11" t="s">
        <v>56</v>
      </c>
      <c r="J114" s="9" t="n">
        <v>1296014</v>
      </c>
      <c r="L114" s="9" t="n">
        <v>173544</v>
      </c>
      <c r="M114" s="11" t="s">
        <v>52</v>
      </c>
      <c r="N114" s="11" t="s">
        <v>45</v>
      </c>
      <c r="P114" s="9" t="n">
        <v>113</v>
      </c>
      <c r="Q114" s="11" t="s">
        <v>46</v>
      </c>
      <c r="R114" s="11" t="s">
        <v>71</v>
      </c>
      <c r="S114" s="9" t="n">
        <v>4210301</v>
      </c>
      <c r="T114" s="11" t="s">
        <v>220</v>
      </c>
      <c r="U114" s="12" t="n">
        <v>521.01</v>
      </c>
      <c r="W114" s="12" t="n">
        <v>0</v>
      </c>
      <c r="X114" s="11" t="s">
        <v>221</v>
      </c>
      <c r="Z114" s="0" t="str">
        <f aca="false">IF($T114="","",IFERROR(INDEX('Resumo Grupos'!$AC$3:$AC$200,MATCH($T114,'Resumo Grupos'!$AB$3:$AB$200,0)),"n/d"))</f>
        <v>Salários</v>
      </c>
      <c r="AA114" s="0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9" t="n">
        <v>2</v>
      </c>
      <c r="B115" s="10" t="n">
        <v>46178</v>
      </c>
      <c r="C115" s="10" t="n">
        <v>46178</v>
      </c>
      <c r="D115" s="9" t="n">
        <v>23</v>
      </c>
      <c r="E115" s="11" t="s">
        <v>243</v>
      </c>
      <c r="F115" s="9" t="n">
        <v>7</v>
      </c>
      <c r="G115" s="11" t="s">
        <v>222</v>
      </c>
      <c r="H115" s="9" t="n">
        <v>2110405</v>
      </c>
      <c r="I115" s="11" t="s">
        <v>56</v>
      </c>
      <c r="J115" s="9" t="n">
        <v>1296017</v>
      </c>
      <c r="L115" s="9" t="n">
        <v>173546</v>
      </c>
      <c r="M115" s="11" t="s">
        <v>52</v>
      </c>
      <c r="N115" s="11" t="s">
        <v>45</v>
      </c>
      <c r="P115" s="9" t="n">
        <v>113</v>
      </c>
      <c r="Q115" s="11" t="s">
        <v>46</v>
      </c>
      <c r="R115" s="11" t="s">
        <v>71</v>
      </c>
      <c r="S115" s="9" t="n">
        <v>4210301</v>
      </c>
      <c r="T115" s="11" t="s">
        <v>220</v>
      </c>
      <c r="U115" s="12" t="n">
        <v>828.99</v>
      </c>
      <c r="W115" s="12" t="n">
        <v>0</v>
      </c>
      <c r="X115" s="11" t="s">
        <v>231</v>
      </c>
      <c r="Z115" s="0" t="str">
        <f aca="false">IF($T115="","",IFERROR(INDEX('Resumo Grupos'!$AC$3:$AC$200,MATCH($T115,'Resumo Grupos'!$AB$3:$AB$200,0)),"n/d"))</f>
        <v>Salários</v>
      </c>
      <c r="AA115" s="0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9" t="n">
        <v>2</v>
      </c>
      <c r="B116" s="10" t="n">
        <v>46178</v>
      </c>
      <c r="C116" s="10" t="n">
        <v>46178</v>
      </c>
      <c r="D116" s="9" t="n">
        <v>73</v>
      </c>
      <c r="E116" s="11" t="s">
        <v>70</v>
      </c>
      <c r="F116" s="9" t="n">
        <v>34</v>
      </c>
      <c r="G116" s="11" t="s">
        <v>55</v>
      </c>
      <c r="H116" s="9" t="n">
        <v>2110405</v>
      </c>
      <c r="I116" s="11" t="s">
        <v>56</v>
      </c>
      <c r="J116" s="9" t="n">
        <v>1296020</v>
      </c>
      <c r="L116" s="9" t="n">
        <v>173547</v>
      </c>
      <c r="M116" s="11" t="s">
        <v>52</v>
      </c>
      <c r="N116" s="11" t="s">
        <v>45</v>
      </c>
      <c r="P116" s="9" t="n">
        <v>113</v>
      </c>
      <c r="Q116" s="11" t="s">
        <v>46</v>
      </c>
      <c r="R116" s="11" t="s">
        <v>71</v>
      </c>
      <c r="S116" s="9" t="n">
        <v>4210301</v>
      </c>
      <c r="T116" s="11" t="s">
        <v>220</v>
      </c>
      <c r="U116" s="12" t="n">
        <v>1089.98</v>
      </c>
      <c r="W116" s="12" t="n">
        <v>0</v>
      </c>
      <c r="X116" s="11" t="s">
        <v>221</v>
      </c>
      <c r="Z116" s="0" t="str">
        <f aca="false">IF($T116="","",IFERROR(INDEX('Resumo Grupos'!$AC$3:$AC$200,MATCH($T116,'Resumo Grupos'!$AB$3:$AB$200,0)),"n/d"))</f>
        <v>Salários</v>
      </c>
      <c r="AA116" s="0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9" t="n">
        <v>2</v>
      </c>
      <c r="B117" s="10" t="n">
        <v>46178</v>
      </c>
      <c r="C117" s="10" t="n">
        <v>46178</v>
      </c>
      <c r="D117" s="9" t="n">
        <v>73</v>
      </c>
      <c r="E117" s="11" t="s">
        <v>70</v>
      </c>
      <c r="F117" s="9" t="n">
        <v>7</v>
      </c>
      <c r="G117" s="11" t="s">
        <v>222</v>
      </c>
      <c r="H117" s="9" t="n">
        <v>2110405</v>
      </c>
      <c r="I117" s="11" t="s">
        <v>56</v>
      </c>
      <c r="J117" s="9" t="n">
        <v>1296025</v>
      </c>
      <c r="L117" s="9" t="n">
        <v>173548</v>
      </c>
      <c r="M117" s="11" t="s">
        <v>52</v>
      </c>
      <c r="N117" s="11" t="s">
        <v>45</v>
      </c>
      <c r="P117" s="9" t="n">
        <v>113</v>
      </c>
      <c r="Q117" s="11" t="s">
        <v>46</v>
      </c>
      <c r="R117" s="11" t="s">
        <v>71</v>
      </c>
      <c r="S117" s="9" t="n">
        <v>4210301</v>
      </c>
      <c r="T117" s="11" t="s">
        <v>220</v>
      </c>
      <c r="U117" s="12" t="n">
        <v>81.41</v>
      </c>
      <c r="W117" s="12" t="n">
        <v>0</v>
      </c>
      <c r="X117" s="11" t="s">
        <v>231</v>
      </c>
      <c r="Z117" s="0" t="str">
        <f aca="false">IF($T117="","",IFERROR(INDEX('Resumo Grupos'!$AC$3:$AC$200,MATCH($T117,'Resumo Grupos'!$AB$3:$AB$200,0)),"n/d"))</f>
        <v>Salários</v>
      </c>
      <c r="AA117" s="0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9" t="n">
        <v>2</v>
      </c>
      <c r="B118" s="10" t="n">
        <v>46178</v>
      </c>
      <c r="C118" s="10" t="n">
        <v>46178</v>
      </c>
      <c r="D118" s="9" t="n">
        <v>1037</v>
      </c>
      <c r="E118" s="11" t="s">
        <v>134</v>
      </c>
      <c r="F118" s="9" t="n">
        <v>34</v>
      </c>
      <c r="G118" s="11" t="s">
        <v>55</v>
      </c>
      <c r="H118" s="9" t="n">
        <v>2110101</v>
      </c>
      <c r="I118" s="11" t="s">
        <v>43</v>
      </c>
      <c r="J118" s="9" t="n">
        <v>1207986</v>
      </c>
      <c r="L118" s="9" t="n">
        <v>160933</v>
      </c>
      <c r="M118" s="11" t="s">
        <v>52</v>
      </c>
      <c r="N118" s="11" t="s">
        <v>45</v>
      </c>
      <c r="P118" s="9" t="n">
        <v>113</v>
      </c>
      <c r="Q118" s="11" t="s">
        <v>46</v>
      </c>
      <c r="R118" s="11" t="s">
        <v>47</v>
      </c>
      <c r="S118" s="9" t="n">
        <v>1130101</v>
      </c>
      <c r="T118" s="11" t="s">
        <v>48</v>
      </c>
      <c r="U118" s="12" t="n">
        <v>120</v>
      </c>
      <c r="W118" s="12" t="n">
        <v>0</v>
      </c>
      <c r="X118" s="11" t="s">
        <v>244</v>
      </c>
      <c r="Z118" s="0" t="str">
        <f aca="false">IF($T118="","",IFERROR(INDEX('Resumo Grupos'!$AC$3:$AC$200,MATCH($T118,'Resumo Grupos'!$AB$3:$AB$200,0)),"n/d"))</f>
        <v>Mercadoria</v>
      </c>
      <c r="AA118" s="0" t="str">
        <f aca="false">IF($T118="","",IF(COUNTIF('Resumo Grupos'!$AE$3:$AE$40,$T118)&gt;0,"NAO","SIM"))</f>
        <v>SIM</v>
      </c>
      <c r="AB118" s="0" t="str">
        <f aca="false">IFERROR(INDEX('Mov Entradas (Rel 10497)'!$L:$L,MATCH(AC118,'Mov Entradas (Rel 10497)'!$I:$I,0)),"nao encontrado")</f>
        <v>BATATA PORTUGUESA KG</v>
      </c>
      <c r="AC118" s="0" t="n">
        <v>2479</v>
      </c>
    </row>
    <row r="119" customFormat="false" ht="36.75" hidden="false" customHeight="true" outlineLevel="0" collapsed="false">
      <c r="A119" s="9" t="n">
        <v>2</v>
      </c>
      <c r="B119" s="10" t="n">
        <v>46178</v>
      </c>
      <c r="C119" s="10" t="n">
        <v>46178</v>
      </c>
      <c r="D119" s="9" t="n">
        <v>12</v>
      </c>
      <c r="E119" s="11" t="s">
        <v>79</v>
      </c>
      <c r="F119" s="9" t="n">
        <v>7</v>
      </c>
      <c r="G119" s="11" t="s">
        <v>222</v>
      </c>
      <c r="H119" s="9" t="n">
        <v>2110405</v>
      </c>
      <c r="I119" s="11" t="s">
        <v>56</v>
      </c>
      <c r="J119" s="9" t="n">
        <v>1296041</v>
      </c>
      <c r="L119" s="9" t="n">
        <v>173552</v>
      </c>
      <c r="M119" s="11" t="s">
        <v>52</v>
      </c>
      <c r="N119" s="11" t="s">
        <v>45</v>
      </c>
      <c r="P119" s="9" t="n">
        <v>113</v>
      </c>
      <c r="Q119" s="11" t="s">
        <v>46</v>
      </c>
      <c r="R119" s="11" t="s">
        <v>71</v>
      </c>
      <c r="S119" s="9" t="n">
        <v>4210301</v>
      </c>
      <c r="T119" s="11" t="s">
        <v>220</v>
      </c>
      <c r="U119" s="12" t="n">
        <v>657.85</v>
      </c>
      <c r="W119" s="12" t="n">
        <v>0</v>
      </c>
      <c r="X119" s="11" t="s">
        <v>231</v>
      </c>
      <c r="Z119" s="0" t="str">
        <f aca="false">IF($T119="","",IFERROR(INDEX('Resumo Grupos'!$AC$3:$AC$200,MATCH($T119,'Resumo Grupos'!$AB$3:$AB$200,0)),"n/d"))</f>
        <v>Salários</v>
      </c>
      <c r="AA119" s="0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9" t="n">
        <v>2</v>
      </c>
      <c r="B120" s="10" t="n">
        <v>46178</v>
      </c>
      <c r="C120" s="10" t="n">
        <v>46178</v>
      </c>
      <c r="D120" s="9" t="n">
        <v>22</v>
      </c>
      <c r="E120" s="11" t="s">
        <v>245</v>
      </c>
      <c r="F120" s="9" t="n">
        <v>34</v>
      </c>
      <c r="G120" s="11" t="s">
        <v>55</v>
      </c>
      <c r="H120" s="9" t="n">
        <v>2110405</v>
      </c>
      <c r="I120" s="11" t="s">
        <v>56</v>
      </c>
      <c r="J120" s="9" t="n">
        <v>1296046</v>
      </c>
      <c r="L120" s="9" t="n">
        <v>173554</v>
      </c>
      <c r="M120" s="11" t="s">
        <v>52</v>
      </c>
      <c r="N120" s="11" t="s">
        <v>45</v>
      </c>
      <c r="P120" s="9" t="n">
        <v>113</v>
      </c>
      <c r="Q120" s="11" t="s">
        <v>46</v>
      </c>
      <c r="R120" s="11" t="s">
        <v>71</v>
      </c>
      <c r="S120" s="9" t="n">
        <v>4210301</v>
      </c>
      <c r="T120" s="11" t="s">
        <v>220</v>
      </c>
      <c r="U120" s="12" t="n">
        <v>1155.89</v>
      </c>
      <c r="W120" s="12" t="n">
        <v>0</v>
      </c>
      <c r="X120" s="11" t="s">
        <v>221</v>
      </c>
      <c r="Z120" s="0" t="str">
        <f aca="false">IF($T120="","",IFERROR(INDEX('Resumo Grupos'!$AC$3:$AC$200,MATCH($T120,'Resumo Grupos'!$AB$3:$AB$200,0)),"n/d"))</f>
        <v>Salários</v>
      </c>
      <c r="AA120" s="0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9" t="n">
        <v>2</v>
      </c>
      <c r="B121" s="10" t="n">
        <v>46178</v>
      </c>
      <c r="C121" s="10" t="n">
        <v>46178</v>
      </c>
      <c r="D121" s="9" t="n">
        <v>22</v>
      </c>
      <c r="E121" s="11" t="s">
        <v>245</v>
      </c>
      <c r="F121" s="9" t="n">
        <v>7</v>
      </c>
      <c r="G121" s="11" t="s">
        <v>222</v>
      </c>
      <c r="H121" s="9" t="n">
        <v>2110405</v>
      </c>
      <c r="I121" s="11" t="s">
        <v>56</v>
      </c>
      <c r="J121" s="9" t="n">
        <v>1296047</v>
      </c>
      <c r="L121" s="9" t="n">
        <v>173555</v>
      </c>
      <c r="M121" s="11" t="s">
        <v>52</v>
      </c>
      <c r="N121" s="11" t="s">
        <v>45</v>
      </c>
      <c r="P121" s="9" t="n">
        <v>113</v>
      </c>
      <c r="Q121" s="11" t="s">
        <v>46</v>
      </c>
      <c r="R121" s="11" t="s">
        <v>71</v>
      </c>
      <c r="S121" s="9" t="n">
        <v>4210301</v>
      </c>
      <c r="T121" s="11" t="s">
        <v>220</v>
      </c>
      <c r="U121" s="12" t="n">
        <v>225.14</v>
      </c>
      <c r="W121" s="12" t="n">
        <v>0</v>
      </c>
      <c r="X121" s="11" t="s">
        <v>231</v>
      </c>
      <c r="Z121" s="0" t="str">
        <f aca="false">IF($T121="","",IFERROR(INDEX('Resumo Grupos'!$AC$3:$AC$200,MATCH($T121,'Resumo Grupos'!$AB$3:$AB$200,0)),"n/d"))</f>
        <v>Salários</v>
      </c>
      <c r="AA121" s="0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9" t="n">
        <v>2</v>
      </c>
      <c r="B122" s="10" t="n">
        <v>46178</v>
      </c>
      <c r="C122" s="10" t="n">
        <v>46178</v>
      </c>
      <c r="D122" s="9" t="n">
        <v>515</v>
      </c>
      <c r="E122" s="11" t="s">
        <v>137</v>
      </c>
      <c r="F122" s="9" t="n">
        <v>34</v>
      </c>
      <c r="G122" s="11" t="s">
        <v>55</v>
      </c>
      <c r="H122" s="9" t="n">
        <v>2110405</v>
      </c>
      <c r="I122" s="11" t="s">
        <v>56</v>
      </c>
      <c r="J122" s="9" t="n">
        <v>1444132</v>
      </c>
      <c r="L122" s="9" t="n">
        <v>195327</v>
      </c>
      <c r="M122" s="11" t="s">
        <v>52</v>
      </c>
      <c r="N122" s="11" t="s">
        <v>45</v>
      </c>
      <c r="P122" s="9" t="n">
        <v>104</v>
      </c>
      <c r="Q122" s="11" t="s">
        <v>38</v>
      </c>
      <c r="R122" s="11" t="s">
        <v>138</v>
      </c>
      <c r="S122" s="9" t="n">
        <v>4210502</v>
      </c>
      <c r="T122" s="11" t="s">
        <v>246</v>
      </c>
      <c r="U122" s="12" t="n">
        <v>689.65</v>
      </c>
      <c r="W122" s="12" t="n">
        <v>0</v>
      </c>
      <c r="X122" s="11" t="s">
        <v>247</v>
      </c>
      <c r="Z122" s="0" t="str">
        <f aca="false">IF($T122="","",IFERROR(INDEX('Resumo Grupos'!$AC$3:$AC$200,MATCH($T122,'Resumo Grupos'!$AB$3:$AB$200,0)),"n/d"))</f>
        <v>Empréstimo</v>
      </c>
      <c r="AA122" s="0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9" t="n">
        <v>2</v>
      </c>
      <c r="B123" s="10" t="n">
        <v>46170</v>
      </c>
      <c r="C123" s="10" t="n">
        <v>46178</v>
      </c>
      <c r="D123" s="9" t="n">
        <v>1699</v>
      </c>
      <c r="E123" s="11" t="s">
        <v>248</v>
      </c>
      <c r="F123" s="9" t="n">
        <v>24</v>
      </c>
      <c r="G123" s="11" t="s">
        <v>51</v>
      </c>
      <c r="H123" s="9" t="n">
        <v>2110101</v>
      </c>
      <c r="I123" s="11" t="s">
        <v>43</v>
      </c>
      <c r="J123" s="9" t="n">
        <v>1166006</v>
      </c>
      <c r="L123" s="9" t="n">
        <v>302504</v>
      </c>
      <c r="M123" s="11" t="s">
        <v>52</v>
      </c>
      <c r="N123" s="11" t="s">
        <v>37</v>
      </c>
      <c r="P123" s="9" t="n">
        <v>113</v>
      </c>
      <c r="Q123" s="11" t="s">
        <v>46</v>
      </c>
      <c r="R123" s="11" t="s">
        <v>47</v>
      </c>
      <c r="S123" s="9" t="n">
        <v>1130101</v>
      </c>
      <c r="T123" s="11" t="s">
        <v>48</v>
      </c>
      <c r="U123" s="12" t="n">
        <v>290</v>
      </c>
      <c r="W123" s="12" t="n">
        <v>0</v>
      </c>
      <c r="X123" s="11" t="s">
        <v>249</v>
      </c>
      <c r="Z123" s="0" t="str">
        <f aca="false">IF($T123="","",IFERROR(INDEX('Resumo Grupos'!$AC$3:$AC$200,MATCH($T123,'Resumo Grupos'!$AB$3:$AB$200,0)),"n/d"))</f>
        <v>Mercadoria</v>
      </c>
      <c r="AA123" s="0" t="str">
        <f aca="false">IF($T123="","",IF(COUNTIF('Resumo Grupos'!$AE$3:$AE$40,$T123)&gt;0,"NAO","SIM"))</f>
        <v>SIM</v>
      </c>
      <c r="AB123" s="0" t="str">
        <f aca="false">IFERROR(INDEX('Mov Entradas (Rel 10497)'!$L:$L,MATCH(AC123,'Mov Entradas (Rel 10497)'!$I:$I,0)),"nao encontrado")</f>
        <v>nao encontrado</v>
      </c>
      <c r="AC123" s="0" t="n">
        <v>302504</v>
      </c>
    </row>
    <row r="124" customFormat="false" ht="45.75" hidden="false" customHeight="true" outlineLevel="0" collapsed="false">
      <c r="A124" s="9" t="n">
        <v>2</v>
      </c>
      <c r="B124" s="10" t="n">
        <v>46178</v>
      </c>
      <c r="C124" s="10" t="n">
        <v>46178</v>
      </c>
      <c r="D124" s="9" t="n">
        <v>1979</v>
      </c>
      <c r="E124" s="11" t="s">
        <v>250</v>
      </c>
      <c r="F124" s="9" t="n">
        <v>34</v>
      </c>
      <c r="G124" s="11" t="s">
        <v>55</v>
      </c>
      <c r="H124" s="9" t="n">
        <v>2110405</v>
      </c>
      <c r="I124" s="11" t="s">
        <v>56</v>
      </c>
      <c r="J124" s="9" t="n">
        <v>1296050</v>
      </c>
      <c r="L124" s="9" t="n">
        <v>173557</v>
      </c>
      <c r="M124" s="11" t="s">
        <v>52</v>
      </c>
      <c r="N124" s="11" t="s">
        <v>45</v>
      </c>
      <c r="P124" s="9" t="n">
        <v>113</v>
      </c>
      <c r="Q124" s="11" t="s">
        <v>46</v>
      </c>
      <c r="R124" s="11" t="s">
        <v>71</v>
      </c>
      <c r="S124" s="9" t="n">
        <v>4210301</v>
      </c>
      <c r="T124" s="11" t="s">
        <v>220</v>
      </c>
      <c r="U124" s="12" t="n">
        <v>998.37</v>
      </c>
      <c r="W124" s="12" t="n">
        <v>0</v>
      </c>
      <c r="X124" s="11" t="s">
        <v>221</v>
      </c>
      <c r="Z124" s="0" t="str">
        <f aca="false">IF($T124="","",IFERROR(INDEX('Resumo Grupos'!$AC$3:$AC$200,MATCH($T124,'Resumo Grupos'!$AB$3:$AB$200,0)),"n/d"))</f>
        <v>Salários</v>
      </c>
      <c r="AA124" s="0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9" t="n">
        <v>2</v>
      </c>
      <c r="B125" s="10" t="n">
        <v>46178</v>
      </c>
      <c r="C125" s="10" t="n">
        <v>46178</v>
      </c>
      <c r="D125" s="9" t="n">
        <v>1979</v>
      </c>
      <c r="E125" s="11" t="s">
        <v>250</v>
      </c>
      <c r="F125" s="9" t="n">
        <v>7</v>
      </c>
      <c r="G125" s="11" t="s">
        <v>222</v>
      </c>
      <c r="H125" s="9" t="n">
        <v>2110405</v>
      </c>
      <c r="I125" s="11" t="s">
        <v>56</v>
      </c>
      <c r="J125" s="9" t="n">
        <v>1296053</v>
      </c>
      <c r="L125" s="9" t="n">
        <v>173558</v>
      </c>
      <c r="M125" s="11" t="s">
        <v>52</v>
      </c>
      <c r="N125" s="11" t="s">
        <v>45</v>
      </c>
      <c r="P125" s="9" t="n">
        <v>113</v>
      </c>
      <c r="Q125" s="11" t="s">
        <v>46</v>
      </c>
      <c r="R125" s="11" t="s">
        <v>71</v>
      </c>
      <c r="S125" s="9" t="n">
        <v>4210301</v>
      </c>
      <c r="T125" s="11" t="s">
        <v>220</v>
      </c>
      <c r="U125" s="12" t="n">
        <v>386.94</v>
      </c>
      <c r="W125" s="12" t="n">
        <v>0</v>
      </c>
      <c r="X125" s="11" t="s">
        <v>231</v>
      </c>
      <c r="Z125" s="0" t="str">
        <f aca="false">IF($T125="","",IFERROR(INDEX('Resumo Grupos'!$AC$3:$AC$200,MATCH($T125,'Resumo Grupos'!$AB$3:$AB$200,0)),"n/d"))</f>
        <v>Salários</v>
      </c>
      <c r="AA125" s="0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9" t="n">
        <v>2</v>
      </c>
      <c r="B126" s="10" t="n">
        <v>46178</v>
      </c>
      <c r="C126" s="10" t="n">
        <v>46178</v>
      </c>
      <c r="D126" s="9" t="n">
        <v>1038</v>
      </c>
      <c r="E126" s="11" t="s">
        <v>149</v>
      </c>
      <c r="F126" s="9" t="n">
        <v>13</v>
      </c>
      <c r="G126" s="11" t="s">
        <v>135</v>
      </c>
      <c r="H126" s="9" t="n">
        <v>2110101</v>
      </c>
      <c r="I126" s="11" t="s">
        <v>43</v>
      </c>
      <c r="J126" s="9" t="n">
        <v>1221476</v>
      </c>
      <c r="L126" s="9" t="n">
        <v>5947</v>
      </c>
      <c r="M126" s="11" t="s">
        <v>52</v>
      </c>
      <c r="N126" s="11" t="s">
        <v>37</v>
      </c>
      <c r="P126" s="9" t="n">
        <v>113</v>
      </c>
      <c r="Q126" s="11" t="s">
        <v>46</v>
      </c>
      <c r="R126" s="11" t="s">
        <v>47</v>
      </c>
      <c r="S126" s="9" t="n">
        <v>1130101</v>
      </c>
      <c r="T126" s="11" t="s">
        <v>48</v>
      </c>
      <c r="U126" s="12" t="n">
        <v>140</v>
      </c>
      <c r="W126" s="12" t="n">
        <v>140</v>
      </c>
      <c r="X126" s="11" t="s">
        <v>251</v>
      </c>
      <c r="Z126" s="0" t="str">
        <f aca="false">IF($T126="","",IFERROR(INDEX('Resumo Grupos'!$AC$3:$AC$200,MATCH($T126,'Resumo Grupos'!$AB$3:$AB$200,0)),"n/d"))</f>
        <v>Mercadoria</v>
      </c>
      <c r="AA126" s="0" t="str">
        <f aca="false">IF($T126="","",IF(COUNTIF('Resumo Grupos'!$AE$3:$AE$40,$T126)&gt;0,"NAO","SIM"))</f>
        <v>SIM</v>
      </c>
      <c r="AB126" s="0" t="str">
        <f aca="false">IFERROR(INDEX('Mov Entradas (Rel 10497)'!$L:$L,MATCH(AC126,'Mov Entradas (Rel 10497)'!$I:$I,0)),"nao encontrado")</f>
        <v>BOLO MIYAZAKI GRANDE</v>
      </c>
      <c r="AC126" s="0" t="n">
        <v>5947</v>
      </c>
    </row>
    <row r="127" customFormat="false" ht="36.75" hidden="false" customHeight="true" outlineLevel="0" collapsed="false">
      <c r="A127" s="9" t="n">
        <v>2</v>
      </c>
      <c r="B127" s="10" t="n">
        <v>46178</v>
      </c>
      <c r="C127" s="10" t="n">
        <v>46178</v>
      </c>
      <c r="D127" s="9" t="n">
        <v>48</v>
      </c>
      <c r="E127" s="11" t="s">
        <v>153</v>
      </c>
      <c r="F127" s="9" t="n">
        <v>34</v>
      </c>
      <c r="G127" s="11" t="s">
        <v>55</v>
      </c>
      <c r="H127" s="9" t="n">
        <v>2110101</v>
      </c>
      <c r="I127" s="11" t="s">
        <v>43</v>
      </c>
      <c r="J127" s="9" t="n">
        <v>1207974</v>
      </c>
      <c r="L127" s="9" t="n">
        <v>2479</v>
      </c>
      <c r="M127" s="11" t="s">
        <v>52</v>
      </c>
      <c r="N127" s="11" t="s">
        <v>37</v>
      </c>
      <c r="P127" s="9" t="n">
        <v>113</v>
      </c>
      <c r="Q127" s="11" t="s">
        <v>46</v>
      </c>
      <c r="R127" s="11" t="s">
        <v>47</v>
      </c>
      <c r="S127" s="9" t="n">
        <v>1130101</v>
      </c>
      <c r="T127" s="11" t="s">
        <v>48</v>
      </c>
      <c r="U127" s="12" t="n">
        <v>1281.95</v>
      </c>
      <c r="W127" s="12" t="n">
        <v>0</v>
      </c>
      <c r="X127" s="11" t="s">
        <v>252</v>
      </c>
      <c r="Z127" s="0" t="str">
        <f aca="false">IF($T127="","",IFERROR(INDEX('Resumo Grupos'!$AC$3:$AC$200,MATCH($T127,'Resumo Grupos'!$AB$3:$AB$200,0)),"n/d"))</f>
        <v>Mercadoria</v>
      </c>
      <c r="AA127" s="0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9" t="n">
        <v>2</v>
      </c>
      <c r="B128" s="10" t="n">
        <v>46178</v>
      </c>
      <c r="C128" s="10" t="n">
        <v>46178</v>
      </c>
      <c r="D128" s="9" t="n">
        <v>48</v>
      </c>
      <c r="E128" s="11" t="s">
        <v>153</v>
      </c>
      <c r="F128" s="9" t="n">
        <v>13</v>
      </c>
      <c r="G128" s="11" t="s">
        <v>135</v>
      </c>
      <c r="H128" s="9" t="n">
        <v>2110101</v>
      </c>
      <c r="I128" s="11" t="s">
        <v>43</v>
      </c>
      <c r="J128" s="9" t="n">
        <v>1208155</v>
      </c>
      <c r="L128" s="9" t="n">
        <v>2480</v>
      </c>
      <c r="M128" s="11" t="s">
        <v>52</v>
      </c>
      <c r="N128" s="11" t="s">
        <v>37</v>
      </c>
      <c r="P128" s="9" t="n">
        <v>113</v>
      </c>
      <c r="Q128" s="11" t="s">
        <v>46</v>
      </c>
      <c r="R128" s="11" t="s">
        <v>47</v>
      </c>
      <c r="S128" s="9" t="n">
        <v>1130101</v>
      </c>
      <c r="T128" s="11" t="s">
        <v>48</v>
      </c>
      <c r="U128" s="12" t="n">
        <v>247</v>
      </c>
      <c r="W128" s="12" t="n">
        <v>247</v>
      </c>
      <c r="X128" s="11" t="s">
        <v>253</v>
      </c>
      <c r="Z128" s="0" t="str">
        <f aca="false">IF($T128="","",IFERROR(INDEX('Resumo Grupos'!$AC$3:$AC$200,MATCH($T128,'Resumo Grupos'!$AB$3:$AB$200,0)),"n/d"))</f>
        <v>Mercadoria</v>
      </c>
      <c r="AA128" s="0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9" t="n">
        <v>2</v>
      </c>
      <c r="B129" s="10" t="n">
        <v>46164</v>
      </c>
      <c r="C129" s="10" t="n">
        <v>46178</v>
      </c>
      <c r="D129" s="9" t="n">
        <v>1107</v>
      </c>
      <c r="E129" s="11" t="s">
        <v>254</v>
      </c>
      <c r="F129" s="9" t="n">
        <v>24</v>
      </c>
      <c r="G129" s="11" t="s">
        <v>51</v>
      </c>
      <c r="H129" s="9" t="n">
        <v>2110101</v>
      </c>
      <c r="I129" s="11" t="s">
        <v>43</v>
      </c>
      <c r="J129" s="9" t="n">
        <v>1137727</v>
      </c>
      <c r="L129" s="9" t="n">
        <v>407270</v>
      </c>
      <c r="M129" s="11" t="s">
        <v>52</v>
      </c>
      <c r="N129" s="11" t="s">
        <v>37</v>
      </c>
      <c r="P129" s="9" t="n">
        <v>113</v>
      </c>
      <c r="Q129" s="11" t="s">
        <v>46</v>
      </c>
      <c r="R129" s="11" t="s">
        <v>47</v>
      </c>
      <c r="S129" s="9" t="n">
        <v>1130101</v>
      </c>
      <c r="T129" s="11" t="s">
        <v>48</v>
      </c>
      <c r="U129" s="12" t="n">
        <v>639.84</v>
      </c>
      <c r="W129" s="12" t="n">
        <v>0</v>
      </c>
      <c r="X129" s="11" t="s">
        <v>255</v>
      </c>
      <c r="Z129" s="0" t="str">
        <f aca="false">IF($T129="","",IFERROR(INDEX('Resumo Grupos'!$AC$3:$AC$200,MATCH($T129,'Resumo Grupos'!$AB$3:$AB$200,0)),"n/d"))</f>
        <v>Mercadoria</v>
      </c>
      <c r="AA129" s="0" t="str">
        <f aca="false">IF($T129="","",IF(COUNTIF('Resumo Grupos'!$AE$3:$AE$40,$T129)&gt;0,"NAO","SIM"))</f>
        <v>SIM</v>
      </c>
      <c r="AB129" s="0" t="str">
        <f aca="false">IFERROR(INDEX('Mov Entradas (Rel 10497)'!$L:$L,MATCH(AC129,'Mov Entradas (Rel 10497)'!$I:$I,0)),"nao encontrado")</f>
        <v>nao encontrado</v>
      </c>
      <c r="AC129" s="0" t="n">
        <v>407270</v>
      </c>
    </row>
    <row r="130" customFormat="false" ht="36.75" hidden="false" customHeight="true" outlineLevel="0" collapsed="false">
      <c r="A130" s="9" t="n">
        <v>2</v>
      </c>
      <c r="B130" s="10" t="n">
        <v>46174</v>
      </c>
      <c r="C130" s="10" t="n">
        <v>46178</v>
      </c>
      <c r="D130" s="9" t="n">
        <v>1899</v>
      </c>
      <c r="E130" s="11" t="s">
        <v>204</v>
      </c>
      <c r="F130" s="9" t="n">
        <v>24</v>
      </c>
      <c r="G130" s="11" t="s">
        <v>51</v>
      </c>
      <c r="H130" s="9" t="n">
        <v>2110101</v>
      </c>
      <c r="I130" s="11" t="s">
        <v>43</v>
      </c>
      <c r="J130" s="9" t="n">
        <v>1188208</v>
      </c>
      <c r="L130" s="9" t="n">
        <v>643</v>
      </c>
      <c r="M130" s="11" t="s">
        <v>52</v>
      </c>
      <c r="N130" s="11" t="s">
        <v>37</v>
      </c>
      <c r="P130" s="9" t="n">
        <v>113</v>
      </c>
      <c r="Q130" s="11" t="s">
        <v>46</v>
      </c>
      <c r="R130" s="11" t="s">
        <v>47</v>
      </c>
      <c r="S130" s="9" t="n">
        <v>1130101</v>
      </c>
      <c r="T130" s="11" t="s">
        <v>48</v>
      </c>
      <c r="U130" s="12" t="n">
        <v>334.6</v>
      </c>
      <c r="W130" s="12" t="n">
        <v>0</v>
      </c>
      <c r="X130" s="11" t="s">
        <v>256</v>
      </c>
      <c r="Z130" s="0" t="str">
        <f aca="false">IF($T130="","",IFERROR(INDEX('Resumo Grupos'!$AC$3:$AC$200,MATCH($T130,'Resumo Grupos'!$AB$3:$AB$200,0)),"n/d"))</f>
        <v>Mercadoria</v>
      </c>
      <c r="AA130" s="0" t="str">
        <f aca="false">IF($T130="","",IF(COUNTIF('Resumo Grupos'!$AE$3:$AE$40,$T130)&gt;0,"NAO","SIM"))</f>
        <v>SIM</v>
      </c>
      <c r="AB130" s="0" t="str">
        <f aca="false">IFERROR(INDEX('Mov Entradas (Rel 10497)'!$L:$L,MATCH(AC130,'Mov Entradas (Rel 10497)'!$I:$I,0)),"nao encontrado")</f>
        <v>PAO DE FORMA REAL MA</v>
      </c>
      <c r="AC130" s="0" t="n">
        <v>643</v>
      </c>
    </row>
    <row r="131" customFormat="false" ht="36.75" hidden="false" customHeight="true" outlineLevel="0" collapsed="false">
      <c r="A131" s="9" t="n">
        <v>2</v>
      </c>
      <c r="B131" s="10" t="n">
        <v>46178</v>
      </c>
      <c r="C131" s="10" t="n">
        <v>46178</v>
      </c>
      <c r="D131" s="9" t="n">
        <v>16</v>
      </c>
      <c r="E131" s="11" t="s">
        <v>257</v>
      </c>
      <c r="F131" s="9" t="n">
        <v>7</v>
      </c>
      <c r="G131" s="11" t="s">
        <v>222</v>
      </c>
      <c r="H131" s="9" t="n">
        <v>2110405</v>
      </c>
      <c r="I131" s="11" t="s">
        <v>56</v>
      </c>
      <c r="J131" s="9" t="n">
        <v>1296074</v>
      </c>
      <c r="L131" s="9" t="n">
        <v>173564</v>
      </c>
      <c r="M131" s="11" t="s">
        <v>52</v>
      </c>
      <c r="N131" s="11" t="s">
        <v>45</v>
      </c>
      <c r="P131" s="9" t="n">
        <v>113</v>
      </c>
      <c r="Q131" s="11" t="s">
        <v>46</v>
      </c>
      <c r="R131" s="11" t="s">
        <v>71</v>
      </c>
      <c r="S131" s="9" t="n">
        <v>4210301</v>
      </c>
      <c r="T131" s="11" t="s">
        <v>220</v>
      </c>
      <c r="U131" s="12" t="n">
        <v>234.18</v>
      </c>
      <c r="W131" s="12" t="n">
        <v>0</v>
      </c>
      <c r="X131" s="11" t="s">
        <v>231</v>
      </c>
      <c r="Z131" s="0" t="str">
        <f aca="false">IF($T131="","",IFERROR(INDEX('Resumo Grupos'!$AC$3:$AC$200,MATCH($T131,'Resumo Grupos'!$AB$3:$AB$200,0)),"n/d"))</f>
        <v>Salários</v>
      </c>
      <c r="AA131" s="0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9" t="n">
        <v>2</v>
      </c>
      <c r="B132" s="10" t="n">
        <v>46178</v>
      </c>
      <c r="C132" s="10" t="n">
        <v>46178</v>
      </c>
      <c r="D132" s="9" t="n">
        <v>16</v>
      </c>
      <c r="E132" s="11" t="s">
        <v>257</v>
      </c>
      <c r="F132" s="9" t="n">
        <v>34</v>
      </c>
      <c r="G132" s="11" t="s">
        <v>55</v>
      </c>
      <c r="H132" s="9" t="n">
        <v>2110405</v>
      </c>
      <c r="I132" s="11" t="s">
        <v>56</v>
      </c>
      <c r="J132" s="9" t="n">
        <v>1441236</v>
      </c>
      <c r="L132" s="9" t="n">
        <v>194938</v>
      </c>
      <c r="M132" s="11" t="s">
        <v>52</v>
      </c>
      <c r="N132" s="11" t="s">
        <v>45</v>
      </c>
      <c r="P132" s="9" t="n">
        <v>101</v>
      </c>
      <c r="Q132" s="11" t="s">
        <v>57</v>
      </c>
      <c r="R132" s="11" t="s">
        <v>71</v>
      </c>
      <c r="S132" s="9" t="n">
        <v>4210301</v>
      </c>
      <c r="T132" s="11" t="s">
        <v>220</v>
      </c>
      <c r="U132" s="12" t="n">
        <v>500</v>
      </c>
      <c r="W132" s="12" t="n">
        <v>0</v>
      </c>
      <c r="X132" s="11" t="s">
        <v>258</v>
      </c>
      <c r="Z132" s="0" t="str">
        <f aca="false">IF($T132="","",IFERROR(INDEX('Resumo Grupos'!$AC$3:$AC$200,MATCH($T132,'Resumo Grupos'!$AB$3:$AB$200,0)),"n/d"))</f>
        <v>Salários</v>
      </c>
      <c r="AA132" s="0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9" t="n">
        <v>2</v>
      </c>
      <c r="B133" s="10" t="n">
        <v>46178</v>
      </c>
      <c r="C133" s="10" t="n">
        <v>46178</v>
      </c>
      <c r="D133" s="9" t="n">
        <v>21</v>
      </c>
      <c r="E133" s="11" t="s">
        <v>107</v>
      </c>
      <c r="F133" s="9" t="n">
        <v>34</v>
      </c>
      <c r="G133" s="11" t="s">
        <v>55</v>
      </c>
      <c r="H133" s="9" t="n">
        <v>2110405</v>
      </c>
      <c r="I133" s="11" t="s">
        <v>56</v>
      </c>
      <c r="J133" s="9" t="n">
        <v>1296060</v>
      </c>
      <c r="L133" s="9" t="n">
        <v>173560</v>
      </c>
      <c r="M133" s="11" t="s">
        <v>52</v>
      </c>
      <c r="N133" s="11" t="s">
        <v>45</v>
      </c>
      <c r="P133" s="9" t="n">
        <v>113</v>
      </c>
      <c r="Q133" s="11" t="s">
        <v>46</v>
      </c>
      <c r="R133" s="11" t="s">
        <v>71</v>
      </c>
      <c r="S133" s="9" t="n">
        <v>4210301</v>
      </c>
      <c r="T133" s="11" t="s">
        <v>220</v>
      </c>
      <c r="U133" s="12" t="n">
        <v>572.89</v>
      </c>
      <c r="W133" s="12" t="n">
        <v>0</v>
      </c>
      <c r="X133" s="11" t="s">
        <v>221</v>
      </c>
      <c r="Z133" s="0" t="str">
        <f aca="false">IF($T133="","",IFERROR(INDEX('Resumo Grupos'!$AC$3:$AC$200,MATCH($T133,'Resumo Grupos'!$AB$3:$AB$200,0)),"n/d"))</f>
        <v>Salários</v>
      </c>
      <c r="AA133" s="0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9" t="n">
        <v>2</v>
      </c>
      <c r="B134" s="10" t="n">
        <v>46178</v>
      </c>
      <c r="C134" s="10" t="n">
        <v>46178</v>
      </c>
      <c r="D134" s="9" t="n">
        <v>21</v>
      </c>
      <c r="E134" s="11" t="s">
        <v>107</v>
      </c>
      <c r="F134" s="9" t="n">
        <v>7</v>
      </c>
      <c r="G134" s="11" t="s">
        <v>222</v>
      </c>
      <c r="H134" s="9" t="n">
        <v>2110405</v>
      </c>
      <c r="I134" s="11" t="s">
        <v>56</v>
      </c>
      <c r="J134" s="9" t="n">
        <v>1296062</v>
      </c>
      <c r="L134" s="9" t="n">
        <v>173561</v>
      </c>
      <c r="M134" s="11" t="s">
        <v>52</v>
      </c>
      <c r="N134" s="11" t="s">
        <v>45</v>
      </c>
      <c r="P134" s="9" t="n">
        <v>113</v>
      </c>
      <c r="Q134" s="11" t="s">
        <v>46</v>
      </c>
      <c r="R134" s="11" t="s">
        <v>71</v>
      </c>
      <c r="S134" s="9" t="n">
        <v>4210301</v>
      </c>
      <c r="T134" s="11" t="s">
        <v>220</v>
      </c>
      <c r="U134" s="12" t="n">
        <v>289.97</v>
      </c>
      <c r="W134" s="12" t="n">
        <v>0</v>
      </c>
      <c r="X134" s="11" t="s">
        <v>231</v>
      </c>
      <c r="Z134" s="0" t="str">
        <f aca="false">IF($T134="","",IFERROR(INDEX('Resumo Grupos'!$AC$3:$AC$200,MATCH($T134,'Resumo Grupos'!$AB$3:$AB$200,0)),"n/d"))</f>
        <v>Salários</v>
      </c>
      <c r="AA134" s="0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9" t="n">
        <v>2</v>
      </c>
      <c r="B135" s="10" t="n">
        <v>46178</v>
      </c>
      <c r="C135" s="10" t="n">
        <v>46178</v>
      </c>
      <c r="D135" s="9" t="n">
        <v>0</v>
      </c>
      <c r="E135" s="11" t="s">
        <v>109</v>
      </c>
      <c r="F135" s="9" t="n">
        <v>17</v>
      </c>
      <c r="G135" s="11" t="s">
        <v>110</v>
      </c>
      <c r="H135" s="9" t="n">
        <v>1110101</v>
      </c>
      <c r="I135" s="11" t="s">
        <v>111</v>
      </c>
      <c r="J135" s="9" t="n">
        <v>1256393</v>
      </c>
      <c r="L135" s="9" t="n">
        <v>1256393</v>
      </c>
      <c r="M135" s="11" t="s">
        <v>52</v>
      </c>
      <c r="N135" s="11" t="s">
        <v>112</v>
      </c>
      <c r="P135" s="9" t="n">
        <v>113</v>
      </c>
      <c r="Q135" s="11" t="s">
        <v>46</v>
      </c>
      <c r="R135" s="11" t="s">
        <v>259</v>
      </c>
      <c r="S135" s="9" t="n">
        <v>2110101</v>
      </c>
      <c r="T135" s="11" t="s">
        <v>43</v>
      </c>
      <c r="U135" s="12" t="n">
        <v>247</v>
      </c>
      <c r="W135" s="12" t="n">
        <v>247</v>
      </c>
      <c r="X135" s="11" t="s">
        <v>260</v>
      </c>
      <c r="Z135" s="0" t="str">
        <f aca="false">IF($T135="","",IFERROR(INDEX('Resumo Grupos'!$AC$3:$AC$200,MATCH($T135,'Resumo Grupos'!$AB$3:$AB$200,0)),"n/d"))</f>
        <v>Despesa</v>
      </c>
      <c r="AA135" s="0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9" t="n">
        <v>2</v>
      </c>
      <c r="B136" s="10" t="n">
        <v>46178</v>
      </c>
      <c r="C136" s="10" t="n">
        <v>46178</v>
      </c>
      <c r="D136" s="9" t="n">
        <v>0</v>
      </c>
      <c r="E136" s="11" t="s">
        <v>109</v>
      </c>
      <c r="F136" s="9" t="n">
        <v>17</v>
      </c>
      <c r="G136" s="11" t="s">
        <v>110</v>
      </c>
      <c r="H136" s="9" t="n">
        <v>1110101</v>
      </c>
      <c r="I136" s="11" t="s">
        <v>111</v>
      </c>
      <c r="J136" s="9" t="n">
        <v>1256397</v>
      </c>
      <c r="L136" s="9" t="n">
        <v>1256397</v>
      </c>
      <c r="M136" s="11" t="s">
        <v>52</v>
      </c>
      <c r="N136" s="11" t="s">
        <v>112</v>
      </c>
      <c r="P136" s="9" t="n">
        <v>113</v>
      </c>
      <c r="Q136" s="11" t="s">
        <v>46</v>
      </c>
      <c r="R136" s="11" t="s">
        <v>259</v>
      </c>
      <c r="S136" s="9" t="n">
        <v>2110101</v>
      </c>
      <c r="T136" s="11" t="s">
        <v>43</v>
      </c>
      <c r="U136" s="12" t="n">
        <v>140</v>
      </c>
      <c r="W136" s="12" t="n">
        <v>140</v>
      </c>
      <c r="X136" s="11" t="s">
        <v>261</v>
      </c>
      <c r="Z136" s="0" t="str">
        <f aca="false">IF($T136="","",IFERROR(INDEX('Resumo Grupos'!$AC$3:$AC$200,MATCH($T136,'Resumo Grupos'!$AB$3:$AB$200,0)),"n/d"))</f>
        <v>Despesa</v>
      </c>
      <c r="AA136" s="0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9" t="n">
        <v>2</v>
      </c>
      <c r="B137" s="10" t="n">
        <v>46178</v>
      </c>
      <c r="C137" s="10" t="n">
        <v>46178</v>
      </c>
      <c r="D137" s="9" t="n">
        <v>0</v>
      </c>
      <c r="E137" s="11" t="s">
        <v>109</v>
      </c>
      <c r="F137" s="9" t="n">
        <v>17</v>
      </c>
      <c r="G137" s="11" t="s">
        <v>110</v>
      </c>
      <c r="H137" s="9" t="n">
        <v>1110101</v>
      </c>
      <c r="I137" s="11" t="s">
        <v>111</v>
      </c>
      <c r="J137" s="9" t="n">
        <v>1256399</v>
      </c>
      <c r="L137" s="9" t="n">
        <v>1256399</v>
      </c>
      <c r="M137" s="11" t="s">
        <v>52</v>
      </c>
      <c r="N137" s="11" t="s">
        <v>112</v>
      </c>
      <c r="P137" s="9" t="n">
        <v>113</v>
      </c>
      <c r="Q137" s="11" t="s">
        <v>46</v>
      </c>
      <c r="R137" s="11" t="s">
        <v>47</v>
      </c>
      <c r="S137" s="9" t="n">
        <v>1130101</v>
      </c>
      <c r="T137" s="11" t="s">
        <v>48</v>
      </c>
      <c r="U137" s="12" t="n">
        <v>118</v>
      </c>
      <c r="W137" s="12" t="n">
        <v>118</v>
      </c>
      <c r="X137" s="11" t="s">
        <v>262</v>
      </c>
      <c r="Z137" s="0" t="str">
        <f aca="false">IF($T137="","",IFERROR(INDEX('Resumo Grupos'!$AC$3:$AC$200,MATCH($T137,'Resumo Grupos'!$AB$3:$AB$200,0)),"n/d"))</f>
        <v>Mercadoria</v>
      </c>
      <c r="AA137" s="0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9" t="n">
        <v>2</v>
      </c>
      <c r="B138" s="10" t="n">
        <v>46178</v>
      </c>
      <c r="C138" s="10" t="n">
        <v>46178</v>
      </c>
      <c r="D138" s="9" t="n">
        <v>0</v>
      </c>
      <c r="E138" s="11" t="s">
        <v>109</v>
      </c>
      <c r="F138" s="9" t="n">
        <v>17</v>
      </c>
      <c r="G138" s="11" t="s">
        <v>110</v>
      </c>
      <c r="H138" s="9" t="n">
        <v>1110101</v>
      </c>
      <c r="I138" s="11" t="s">
        <v>111</v>
      </c>
      <c r="J138" s="9" t="n">
        <v>1256400</v>
      </c>
      <c r="L138" s="9" t="n">
        <v>1256400</v>
      </c>
      <c r="M138" s="11" t="s">
        <v>52</v>
      </c>
      <c r="N138" s="11" t="s">
        <v>112</v>
      </c>
      <c r="P138" s="9" t="n">
        <v>113</v>
      </c>
      <c r="Q138" s="11" t="s">
        <v>46</v>
      </c>
      <c r="R138" s="11" t="s">
        <v>71</v>
      </c>
      <c r="S138" s="9" t="n">
        <v>4210316</v>
      </c>
      <c r="T138" s="11" t="s">
        <v>159</v>
      </c>
      <c r="U138" s="12" t="n">
        <v>50</v>
      </c>
      <c r="W138" s="12" t="n">
        <v>50</v>
      </c>
      <c r="X138" s="11" t="s">
        <v>263</v>
      </c>
      <c r="Z138" s="0" t="str">
        <f aca="false">IF($T138="","",IFERROR(INDEX('Resumo Grupos'!$AC$3:$AC$200,MATCH($T138,'Resumo Grupos'!$AB$3:$AB$200,0)),"n/d"))</f>
        <v>Salários</v>
      </c>
      <c r="AA138" s="0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9" t="n">
        <v>2</v>
      </c>
      <c r="B139" s="10" t="n">
        <v>46178</v>
      </c>
      <c r="C139" s="10" t="n">
        <v>46178</v>
      </c>
      <c r="D139" s="9" t="n">
        <v>0</v>
      </c>
      <c r="E139" s="11" t="s">
        <v>109</v>
      </c>
      <c r="F139" s="9" t="n">
        <v>17</v>
      </c>
      <c r="G139" s="11" t="s">
        <v>110</v>
      </c>
      <c r="H139" s="9" t="n">
        <v>1110101</v>
      </c>
      <c r="I139" s="11" t="s">
        <v>111</v>
      </c>
      <c r="J139" s="9" t="n">
        <v>1361176</v>
      </c>
      <c r="L139" s="9" t="n">
        <v>1361176</v>
      </c>
      <c r="M139" s="11" t="s">
        <v>52</v>
      </c>
      <c r="N139" s="11" t="s">
        <v>112</v>
      </c>
      <c r="P139" s="9" t="n">
        <v>113</v>
      </c>
      <c r="Q139" s="11" t="s">
        <v>46</v>
      </c>
      <c r="R139" s="11" t="s">
        <v>116</v>
      </c>
      <c r="S139" s="9" t="n">
        <v>1110203</v>
      </c>
      <c r="T139" s="11" t="s">
        <v>117</v>
      </c>
      <c r="U139" s="12" t="n">
        <v>2000</v>
      </c>
      <c r="W139" s="12" t="n">
        <v>2000</v>
      </c>
      <c r="X139" s="11" t="s">
        <v>264</v>
      </c>
      <c r="Z139" s="0" t="str">
        <f aca="false">IF($T139="","",IFERROR(INDEX('Resumo Grupos'!$AC$3:$AC$200,MATCH($T139,'Resumo Grupos'!$AB$3:$AB$200,0)),"n/d"))</f>
        <v>Despesa</v>
      </c>
      <c r="AA139" s="0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9" t="n">
        <v>2</v>
      </c>
      <c r="B140" s="10" t="n">
        <v>46172</v>
      </c>
      <c r="C140" s="10" t="n">
        <v>46178</v>
      </c>
      <c r="D140" s="9" t="n">
        <v>754</v>
      </c>
      <c r="E140" s="11" t="s">
        <v>162</v>
      </c>
      <c r="F140" s="9" t="n">
        <v>24</v>
      </c>
      <c r="G140" s="11" t="s">
        <v>51</v>
      </c>
      <c r="H140" s="9" t="n">
        <v>2110101</v>
      </c>
      <c r="I140" s="11" t="s">
        <v>43</v>
      </c>
      <c r="J140" s="9" t="n">
        <v>1176238</v>
      </c>
      <c r="L140" s="9" t="n">
        <v>30723</v>
      </c>
      <c r="M140" s="11" t="s">
        <v>52</v>
      </c>
      <c r="N140" s="11" t="s">
        <v>37</v>
      </c>
      <c r="P140" s="9" t="n">
        <v>113</v>
      </c>
      <c r="Q140" s="11" t="s">
        <v>46</v>
      </c>
      <c r="R140" s="11" t="s">
        <v>47</v>
      </c>
      <c r="S140" s="9" t="n">
        <v>1130101</v>
      </c>
      <c r="T140" s="11" t="s">
        <v>48</v>
      </c>
      <c r="U140" s="12" t="n">
        <v>2731.2</v>
      </c>
      <c r="W140" s="12" t="n">
        <v>0</v>
      </c>
      <c r="X140" s="11" t="s">
        <v>265</v>
      </c>
      <c r="Z140" s="0" t="str">
        <f aca="false">IF($T140="","",IFERROR(INDEX('Resumo Grupos'!$AC$3:$AC$200,MATCH($T140,'Resumo Grupos'!$AB$3:$AB$200,0)),"n/d"))</f>
        <v>Mercadoria</v>
      </c>
      <c r="AA140" s="0" t="str">
        <f aca="false">IF($T140="","",IF(COUNTIF('Resumo Grupos'!$AE$3:$AE$40,$T140)&gt;0,"NAO","SIM"))</f>
        <v>SIM</v>
      </c>
      <c r="AB140" s="0" t="str">
        <f aca="false">IFERROR(INDEX('Mov Entradas (Rel 10497)'!$L:$L,MATCH(AC140,'Mov Entradas (Rel 10497)'!$I:$I,0)),"nao encontrado")</f>
        <v>nao encontrado</v>
      </c>
      <c r="AC140" s="0" t="n">
        <v>30723</v>
      </c>
    </row>
    <row r="141" customFormat="false" ht="36.75" hidden="false" customHeight="true" outlineLevel="0" collapsed="false">
      <c r="A141" s="9" t="n">
        <v>2</v>
      </c>
      <c r="B141" s="10" t="n">
        <v>46165</v>
      </c>
      <c r="C141" s="10" t="n">
        <v>46178</v>
      </c>
      <c r="D141" s="9" t="n">
        <v>1666</v>
      </c>
      <c r="E141" s="11" t="s">
        <v>266</v>
      </c>
      <c r="F141" s="9" t="n">
        <v>24</v>
      </c>
      <c r="G141" s="11" t="s">
        <v>51</v>
      </c>
      <c r="H141" s="9" t="n">
        <v>2110101</v>
      </c>
      <c r="I141" s="11" t="s">
        <v>43</v>
      </c>
      <c r="J141" s="9" t="n">
        <v>1141061</v>
      </c>
      <c r="L141" s="9" t="n">
        <v>151469</v>
      </c>
      <c r="M141" s="11" t="s">
        <v>52</v>
      </c>
      <c r="N141" s="11" t="s">
        <v>45</v>
      </c>
      <c r="P141" s="9" t="n">
        <v>113</v>
      </c>
      <c r="Q141" s="11" t="s">
        <v>46</v>
      </c>
      <c r="R141" s="11" t="s">
        <v>47</v>
      </c>
      <c r="S141" s="9" t="n">
        <v>1130101</v>
      </c>
      <c r="T141" s="11" t="s">
        <v>48</v>
      </c>
      <c r="U141" s="12" t="n">
        <v>3927.04</v>
      </c>
      <c r="W141" s="12" t="n">
        <v>0</v>
      </c>
      <c r="X141" s="11" t="s">
        <v>267</v>
      </c>
      <c r="Z141" s="0" t="str">
        <f aca="false">IF($T141="","",IFERROR(INDEX('Resumo Grupos'!$AC$3:$AC$200,MATCH($T141,'Resumo Grupos'!$AB$3:$AB$200,0)),"n/d"))</f>
        <v>Mercadoria</v>
      </c>
      <c r="AA141" s="0" t="str">
        <f aca="false">IF($T141="","",IF(COUNTIF('Resumo Grupos'!$AE$3:$AE$40,$T141)&gt;0,"NAO","SIM"))</f>
        <v>SIM</v>
      </c>
      <c r="AB141" s="0" t="str">
        <f aca="false">IFERROR(INDEX('Mov Entradas (Rel 10497)'!$L:$L,MATCH(AC141,'Mov Entradas (Rel 10497)'!$I:$I,0)),"nao encontrado")</f>
        <v>nao encontrado</v>
      </c>
      <c r="AC141" s="0" t="n">
        <v>560914</v>
      </c>
    </row>
    <row r="142" customFormat="false" ht="45.75" hidden="false" customHeight="true" outlineLevel="0" collapsed="false">
      <c r="A142" s="9" t="n">
        <v>2</v>
      </c>
      <c r="B142" s="10" t="n">
        <v>46178</v>
      </c>
      <c r="C142" s="10" t="n">
        <v>46178</v>
      </c>
      <c r="D142" s="9" t="n">
        <v>18</v>
      </c>
      <c r="E142" s="11" t="s">
        <v>121</v>
      </c>
      <c r="F142" s="9" t="n">
        <v>34</v>
      </c>
      <c r="G142" s="11" t="s">
        <v>55</v>
      </c>
      <c r="H142" s="9" t="n">
        <v>2110405</v>
      </c>
      <c r="I142" s="11" t="s">
        <v>56</v>
      </c>
      <c r="J142" s="9" t="n">
        <v>1296064</v>
      </c>
      <c r="L142" s="9" t="n">
        <v>173562</v>
      </c>
      <c r="M142" s="11" t="s">
        <v>52</v>
      </c>
      <c r="N142" s="11" t="s">
        <v>45</v>
      </c>
      <c r="P142" s="9" t="n">
        <v>113</v>
      </c>
      <c r="Q142" s="11" t="s">
        <v>46</v>
      </c>
      <c r="R142" s="11" t="s">
        <v>71</v>
      </c>
      <c r="S142" s="9" t="n">
        <v>4210301</v>
      </c>
      <c r="T142" s="11" t="s">
        <v>220</v>
      </c>
      <c r="U142" s="12" t="n">
        <v>150.03</v>
      </c>
      <c r="W142" s="12" t="n">
        <v>0</v>
      </c>
      <c r="X142" s="11" t="s">
        <v>221</v>
      </c>
      <c r="Z142" s="0" t="str">
        <f aca="false">IF($T142="","",IFERROR(INDEX('Resumo Grupos'!$AC$3:$AC$200,MATCH($T142,'Resumo Grupos'!$AB$3:$AB$200,0)),"n/d"))</f>
        <v>Salários</v>
      </c>
      <c r="AA142" s="0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9" t="n">
        <v>2</v>
      </c>
      <c r="B143" s="10" t="n">
        <v>46178</v>
      </c>
      <c r="C143" s="10" t="n">
        <v>46178</v>
      </c>
      <c r="D143" s="9" t="n">
        <v>18</v>
      </c>
      <c r="E143" s="11" t="s">
        <v>121</v>
      </c>
      <c r="F143" s="9" t="n">
        <v>7</v>
      </c>
      <c r="G143" s="11" t="s">
        <v>222</v>
      </c>
      <c r="H143" s="9" t="n">
        <v>2110405</v>
      </c>
      <c r="I143" s="11" t="s">
        <v>56</v>
      </c>
      <c r="J143" s="9" t="n">
        <v>1296066</v>
      </c>
      <c r="L143" s="9" t="n">
        <v>173563</v>
      </c>
      <c r="M143" s="11" t="s">
        <v>52</v>
      </c>
      <c r="N143" s="11" t="s">
        <v>45</v>
      </c>
      <c r="P143" s="9" t="n">
        <v>113</v>
      </c>
      <c r="Q143" s="11" t="s">
        <v>46</v>
      </c>
      <c r="R143" s="11" t="s">
        <v>71</v>
      </c>
      <c r="S143" s="9" t="n">
        <v>4210301</v>
      </c>
      <c r="T143" s="11" t="s">
        <v>220</v>
      </c>
      <c r="U143" s="12" t="n">
        <v>359.56</v>
      </c>
      <c r="W143" s="12" t="n">
        <v>0</v>
      </c>
      <c r="X143" s="11" t="s">
        <v>231</v>
      </c>
      <c r="Z143" s="0" t="str">
        <f aca="false">IF($T143="","",IFERROR(INDEX('Resumo Grupos'!$AC$3:$AC$200,MATCH($T143,'Resumo Grupos'!$AB$3:$AB$200,0)),"n/d"))</f>
        <v>Salários</v>
      </c>
      <c r="AA143" s="0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9" t="n">
        <v>2</v>
      </c>
      <c r="B144" s="10" t="n">
        <v>46172</v>
      </c>
      <c r="C144" s="10" t="n">
        <v>46179</v>
      </c>
      <c r="D144" s="9" t="n">
        <v>10019</v>
      </c>
      <c r="E144" s="11" t="s">
        <v>268</v>
      </c>
      <c r="F144" s="9" t="n">
        <v>24</v>
      </c>
      <c r="G144" s="11" t="s">
        <v>51</v>
      </c>
      <c r="H144" s="9" t="n">
        <v>2110101</v>
      </c>
      <c r="I144" s="11" t="s">
        <v>43</v>
      </c>
      <c r="J144" s="9" t="n">
        <v>1176847</v>
      </c>
      <c r="L144" s="9" t="n">
        <v>29829</v>
      </c>
      <c r="M144" s="11" t="s">
        <v>52</v>
      </c>
      <c r="N144" s="11" t="s">
        <v>37</v>
      </c>
      <c r="P144" s="9" t="n">
        <v>113</v>
      </c>
      <c r="Q144" s="11" t="s">
        <v>46</v>
      </c>
      <c r="R144" s="11" t="s">
        <v>47</v>
      </c>
      <c r="S144" s="9" t="n">
        <v>1130101</v>
      </c>
      <c r="T144" s="11" t="s">
        <v>48</v>
      </c>
      <c r="U144" s="12" t="n">
        <v>1598.59</v>
      </c>
      <c r="W144" s="12" t="n">
        <v>0</v>
      </c>
      <c r="X144" s="11" t="s">
        <v>269</v>
      </c>
      <c r="Z144" s="0" t="str">
        <f aca="false">IF($T144="","",IFERROR(INDEX('Resumo Grupos'!$AC$3:$AC$200,MATCH($T144,'Resumo Grupos'!$AB$3:$AB$200,0)),"n/d"))</f>
        <v>Mercadoria</v>
      </c>
      <c r="AA144" s="0" t="str">
        <f aca="false">IF($T144="","",IF(COUNTIF('Resumo Grupos'!$AE$3:$AE$40,$T144)&gt;0,"NAO","SIM"))</f>
        <v>SIM</v>
      </c>
      <c r="AB144" s="0" t="str">
        <f aca="false">IFERROR(INDEX('Mov Entradas (Rel 10497)'!$L:$L,MATCH(AC144,'Mov Entradas (Rel 10497)'!$I:$I,0)),"nao encontrado")</f>
        <v>nao encontrado</v>
      </c>
      <c r="AC144" s="0" t="n">
        <v>29829</v>
      </c>
    </row>
    <row r="145" customFormat="false" ht="27.75" hidden="false" customHeight="true" outlineLevel="0" collapsed="false">
      <c r="A145" s="9" t="n">
        <v>2</v>
      </c>
      <c r="B145" s="10" t="n">
        <v>46167</v>
      </c>
      <c r="C145" s="10" t="n">
        <v>46179</v>
      </c>
      <c r="D145" s="9" t="n">
        <v>1625</v>
      </c>
      <c r="E145" s="11" t="s">
        <v>270</v>
      </c>
      <c r="F145" s="9" t="n">
        <v>24</v>
      </c>
      <c r="G145" s="11" t="s">
        <v>51</v>
      </c>
      <c r="H145" s="9" t="n">
        <v>2110101</v>
      </c>
      <c r="I145" s="11" t="s">
        <v>43</v>
      </c>
      <c r="J145" s="9" t="n">
        <v>1150882</v>
      </c>
      <c r="L145" s="9" t="n">
        <v>14303</v>
      </c>
      <c r="M145" s="11" t="s">
        <v>52</v>
      </c>
      <c r="N145" s="11" t="s">
        <v>37</v>
      </c>
      <c r="P145" s="9" t="n">
        <v>113</v>
      </c>
      <c r="Q145" s="11" t="s">
        <v>46</v>
      </c>
      <c r="R145" s="11" t="s">
        <v>47</v>
      </c>
      <c r="S145" s="9" t="n">
        <v>1130101</v>
      </c>
      <c r="T145" s="11" t="s">
        <v>48</v>
      </c>
      <c r="U145" s="12" t="n">
        <v>2412.8</v>
      </c>
      <c r="W145" s="12" t="n">
        <v>0</v>
      </c>
      <c r="X145" s="11" t="s">
        <v>271</v>
      </c>
      <c r="Z145" s="0" t="str">
        <f aca="false">IF($T145="","",IFERROR(INDEX('Resumo Grupos'!$AC$3:$AC$200,MATCH($T145,'Resumo Grupos'!$AB$3:$AB$200,0)),"n/d"))</f>
        <v>Mercadoria</v>
      </c>
      <c r="AA145" s="0" t="str">
        <f aca="false">IF($T145="","",IF(COUNTIF('Resumo Grupos'!$AE$3:$AE$40,$T145)&gt;0,"NAO","SIM"))</f>
        <v>SIM</v>
      </c>
      <c r="AB145" s="0" t="str">
        <f aca="false">IFERROR(INDEX('Mov Entradas (Rel 10497)'!$L:$L,MATCH(AC145,'Mov Entradas (Rel 10497)'!$I:$I,0)),"nao encontrado")</f>
        <v>nao encontrado</v>
      </c>
      <c r="AC145" s="0" t="n">
        <v>14303</v>
      </c>
    </row>
    <row r="146" customFormat="false" ht="36.75" hidden="false" customHeight="true" outlineLevel="0" collapsed="false">
      <c r="A146" s="9" t="n">
        <v>2</v>
      </c>
      <c r="B146" s="10" t="n">
        <v>46174</v>
      </c>
      <c r="C146" s="10" t="n">
        <v>46179</v>
      </c>
      <c r="D146" s="9" t="n">
        <v>1625</v>
      </c>
      <c r="E146" s="11" t="s">
        <v>270</v>
      </c>
      <c r="F146" s="9" t="n">
        <v>24</v>
      </c>
      <c r="G146" s="11" t="s">
        <v>51</v>
      </c>
      <c r="H146" s="9" t="n">
        <v>2110101</v>
      </c>
      <c r="I146" s="11" t="s">
        <v>43</v>
      </c>
      <c r="J146" s="9" t="n">
        <v>1188021</v>
      </c>
      <c r="L146" s="9" t="n">
        <v>14361</v>
      </c>
      <c r="M146" s="11" t="s">
        <v>52</v>
      </c>
      <c r="N146" s="11" t="s">
        <v>37</v>
      </c>
      <c r="P146" s="9" t="n">
        <v>113</v>
      </c>
      <c r="Q146" s="11" t="s">
        <v>46</v>
      </c>
      <c r="R146" s="11" t="s">
        <v>47</v>
      </c>
      <c r="S146" s="9" t="n">
        <v>1130101</v>
      </c>
      <c r="T146" s="11" t="s">
        <v>48</v>
      </c>
      <c r="U146" s="12" t="n">
        <v>3329</v>
      </c>
      <c r="W146" s="12" t="n">
        <v>0</v>
      </c>
      <c r="X146" s="11" t="s">
        <v>272</v>
      </c>
      <c r="Z146" s="0" t="str">
        <f aca="false">IF($T146="","",IFERROR(INDEX('Resumo Grupos'!$AC$3:$AC$200,MATCH($T146,'Resumo Grupos'!$AB$3:$AB$200,0)),"n/d"))</f>
        <v>Mercadoria</v>
      </c>
      <c r="AA146" s="0" t="str">
        <f aca="false">IF($T146="","",IF(COUNTIF('Resumo Grupos'!$AE$3:$AE$40,$T146)&gt;0,"NAO","SIM"))</f>
        <v>SIM</v>
      </c>
      <c r="AB146" s="0" t="str">
        <f aca="false">IFERROR(INDEX('Mov Entradas (Rel 10497)'!$L:$L,MATCH(AC146,'Mov Entradas (Rel 10497)'!$I:$I,0)),"nao encontrado")</f>
        <v>TRASEIRO DE BOI L1</v>
      </c>
      <c r="AC146" s="0" t="n">
        <v>14361</v>
      </c>
    </row>
    <row r="147" customFormat="false" ht="45.75" hidden="false" customHeight="true" outlineLevel="0" collapsed="false">
      <c r="A147" s="9" t="n">
        <v>2</v>
      </c>
      <c r="B147" s="10" t="n">
        <v>46174</v>
      </c>
      <c r="C147" s="10" t="n">
        <v>46179</v>
      </c>
      <c r="D147" s="9" t="n">
        <v>1292</v>
      </c>
      <c r="E147" s="11" t="s">
        <v>209</v>
      </c>
      <c r="F147" s="9" t="n">
        <v>24</v>
      </c>
      <c r="G147" s="11" t="s">
        <v>51</v>
      </c>
      <c r="H147" s="9" t="n">
        <v>2110101</v>
      </c>
      <c r="I147" s="11" t="s">
        <v>43</v>
      </c>
      <c r="J147" s="9" t="n">
        <v>1187124</v>
      </c>
      <c r="L147" s="9" t="n">
        <v>3301</v>
      </c>
      <c r="M147" s="11" t="s">
        <v>52</v>
      </c>
      <c r="N147" s="11" t="s">
        <v>37</v>
      </c>
      <c r="P147" s="9" t="n">
        <v>113</v>
      </c>
      <c r="Q147" s="11" t="s">
        <v>46</v>
      </c>
      <c r="R147" s="11" t="s">
        <v>47</v>
      </c>
      <c r="S147" s="9" t="n">
        <v>1130101</v>
      </c>
      <c r="T147" s="11" t="s">
        <v>48</v>
      </c>
      <c r="U147" s="12" t="n">
        <v>449.5</v>
      </c>
      <c r="W147" s="12" t="n">
        <v>0</v>
      </c>
      <c r="X147" s="11" t="s">
        <v>273</v>
      </c>
      <c r="Z147" s="0" t="str">
        <f aca="false">IF($T147="","",IFERROR(INDEX('Resumo Grupos'!$AC$3:$AC$200,MATCH($T147,'Resumo Grupos'!$AB$3:$AB$200,0)),"n/d"))</f>
        <v>Mercadoria</v>
      </c>
      <c r="AA147" s="0" t="str">
        <f aca="false">IF($T147="","",IF(COUNTIF('Resumo Grupos'!$AE$3:$AE$40,$T147)&gt;0,"NAO","SIM"))</f>
        <v>SIM</v>
      </c>
      <c r="AB147" s="0" t="str">
        <f aca="false">IFERROR(INDEX('Mov Entradas (Rel 10497)'!$L:$L,MATCH(AC147,'Mov Entradas (Rel 10497)'!$I:$I,0)),"nao encontrado")</f>
        <v>QUEIJO MUSSARELA FAT</v>
      </c>
      <c r="AC147" s="0" t="n">
        <v>3301</v>
      </c>
    </row>
    <row r="148" customFormat="false" ht="36.75" hidden="false" customHeight="true" outlineLevel="0" collapsed="false">
      <c r="A148" s="9" t="n">
        <v>2</v>
      </c>
      <c r="B148" s="10" t="n">
        <v>46179</v>
      </c>
      <c r="C148" s="10" t="n">
        <v>46179</v>
      </c>
      <c r="D148" s="9" t="n">
        <v>0</v>
      </c>
      <c r="E148" s="11" t="s">
        <v>109</v>
      </c>
      <c r="F148" s="9" t="n">
        <v>17</v>
      </c>
      <c r="G148" s="11" t="s">
        <v>110</v>
      </c>
      <c r="H148" s="9" t="n">
        <v>1110101</v>
      </c>
      <c r="I148" s="11" t="s">
        <v>111</v>
      </c>
      <c r="J148" s="9" t="n">
        <v>1256477</v>
      </c>
      <c r="L148" s="9" t="n">
        <v>1256477</v>
      </c>
      <c r="M148" s="11" t="s">
        <v>52</v>
      </c>
      <c r="N148" s="11" t="s">
        <v>112</v>
      </c>
      <c r="P148" s="9" t="n">
        <v>113</v>
      </c>
      <c r="Q148" s="11" t="s">
        <v>46</v>
      </c>
      <c r="R148" s="11" t="s">
        <v>71</v>
      </c>
      <c r="S148" s="9" t="n">
        <v>4210316</v>
      </c>
      <c r="T148" s="11" t="s">
        <v>159</v>
      </c>
      <c r="U148" s="12" t="n">
        <v>50</v>
      </c>
      <c r="W148" s="12" t="n">
        <v>50</v>
      </c>
      <c r="X148" s="11" t="s">
        <v>263</v>
      </c>
      <c r="Z148" s="0" t="str">
        <f aca="false">IF($T148="","",IFERROR(INDEX('Resumo Grupos'!$AC$3:$AC$200,MATCH($T148,'Resumo Grupos'!$AB$3:$AB$200,0)),"n/d"))</f>
        <v>Salários</v>
      </c>
      <c r="AA148" s="0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9" t="n">
        <v>2</v>
      </c>
      <c r="B149" s="10" t="n">
        <v>46179</v>
      </c>
      <c r="C149" s="10" t="n">
        <v>46179</v>
      </c>
      <c r="D149" s="9" t="n">
        <v>0</v>
      </c>
      <c r="E149" s="11" t="s">
        <v>109</v>
      </c>
      <c r="F149" s="9" t="n">
        <v>17</v>
      </c>
      <c r="G149" s="11" t="s">
        <v>110</v>
      </c>
      <c r="H149" s="9" t="n">
        <v>1110101</v>
      </c>
      <c r="I149" s="11" t="s">
        <v>111</v>
      </c>
      <c r="J149" s="9" t="n">
        <v>1361177</v>
      </c>
      <c r="L149" s="9" t="n">
        <v>1361177</v>
      </c>
      <c r="M149" s="11" t="s">
        <v>52</v>
      </c>
      <c r="N149" s="11" t="s">
        <v>112</v>
      </c>
      <c r="P149" s="9" t="n">
        <v>113</v>
      </c>
      <c r="Q149" s="11" t="s">
        <v>46</v>
      </c>
      <c r="R149" s="11" t="s">
        <v>116</v>
      </c>
      <c r="S149" s="9" t="n">
        <v>1110203</v>
      </c>
      <c r="T149" s="11" t="s">
        <v>117</v>
      </c>
      <c r="U149" s="12" t="n">
        <v>3500</v>
      </c>
      <c r="W149" s="12" t="n">
        <v>3500</v>
      </c>
      <c r="X149" s="11" t="s">
        <v>274</v>
      </c>
      <c r="Z149" s="0" t="str">
        <f aca="false">IF($T149="","",IFERROR(INDEX('Resumo Grupos'!$AC$3:$AC$200,MATCH($T149,'Resumo Grupos'!$AB$3:$AB$200,0)),"n/d"))</f>
        <v>Despesa</v>
      </c>
      <c r="AA149" s="0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9" t="n">
        <v>2</v>
      </c>
      <c r="B150" s="10" t="n">
        <v>46157</v>
      </c>
      <c r="C150" s="10" t="n">
        <v>46179</v>
      </c>
      <c r="D150" s="9" t="n">
        <v>1708</v>
      </c>
      <c r="E150" s="11" t="s">
        <v>275</v>
      </c>
      <c r="F150" s="9" t="n">
        <v>24</v>
      </c>
      <c r="G150" s="11" t="s">
        <v>51</v>
      </c>
      <c r="H150" s="9" t="n">
        <v>2110101</v>
      </c>
      <c r="I150" s="11" t="s">
        <v>43</v>
      </c>
      <c r="J150" s="9" t="n">
        <v>1102211</v>
      </c>
      <c r="L150" s="9" t="n">
        <v>258977</v>
      </c>
      <c r="M150" s="11" t="s">
        <v>52</v>
      </c>
      <c r="N150" s="11" t="s">
        <v>37</v>
      </c>
      <c r="P150" s="9" t="n">
        <v>113</v>
      </c>
      <c r="Q150" s="11" t="s">
        <v>46</v>
      </c>
      <c r="R150" s="11" t="s">
        <v>47</v>
      </c>
      <c r="S150" s="9" t="n">
        <v>1130101</v>
      </c>
      <c r="T150" s="11" t="s">
        <v>48</v>
      </c>
      <c r="U150" s="12" t="n">
        <v>317.81</v>
      </c>
      <c r="W150" s="12" t="n">
        <v>0</v>
      </c>
      <c r="X150" s="11" t="s">
        <v>276</v>
      </c>
      <c r="Z150" s="0" t="str">
        <f aca="false">IF($T150="","",IFERROR(INDEX('Resumo Grupos'!$AC$3:$AC$200,MATCH($T150,'Resumo Grupos'!$AB$3:$AB$200,0)),"n/d"))</f>
        <v>Mercadoria</v>
      </c>
      <c r="AA150" s="0" t="str">
        <f aca="false">IF($T150="","",IF(COUNTIF('Resumo Grupos'!$AE$3:$AE$40,$T150)&gt;0,"NAO","SIM"))</f>
        <v>SIM</v>
      </c>
      <c r="AB150" s="0" t="str">
        <f aca="false">IFERROR(INDEX('Mov Entradas (Rel 10497)'!$L:$L,MATCH(AC150,'Mov Entradas (Rel 10497)'!$I:$I,0)),"nao encontrado")</f>
        <v>nao encontrado</v>
      </c>
      <c r="AC150" s="0" t="n">
        <v>258977</v>
      </c>
    </row>
    <row r="151" customFormat="false" ht="36.75" hidden="false" customHeight="true" outlineLevel="0" collapsed="false">
      <c r="A151" s="9" t="n">
        <v>2</v>
      </c>
      <c r="B151" s="10" t="n">
        <v>46157</v>
      </c>
      <c r="C151" s="10" t="n">
        <v>46179</v>
      </c>
      <c r="D151" s="9" t="n">
        <v>1708</v>
      </c>
      <c r="E151" s="11" t="s">
        <v>275</v>
      </c>
      <c r="F151" s="9" t="n">
        <v>24</v>
      </c>
      <c r="G151" s="11" t="s">
        <v>51</v>
      </c>
      <c r="H151" s="9" t="n">
        <v>2110101</v>
      </c>
      <c r="I151" s="11" t="s">
        <v>43</v>
      </c>
      <c r="J151" s="9" t="n">
        <v>1102216</v>
      </c>
      <c r="L151" s="9" t="n">
        <v>258978</v>
      </c>
      <c r="M151" s="11" t="s">
        <v>52</v>
      </c>
      <c r="N151" s="11" t="s">
        <v>37</v>
      </c>
      <c r="P151" s="9" t="n">
        <v>113</v>
      </c>
      <c r="Q151" s="11" t="s">
        <v>46</v>
      </c>
      <c r="R151" s="11" t="s">
        <v>47</v>
      </c>
      <c r="S151" s="9" t="n">
        <v>1130101</v>
      </c>
      <c r="T151" s="11" t="s">
        <v>48</v>
      </c>
      <c r="U151" s="12" t="n">
        <v>528.95</v>
      </c>
      <c r="W151" s="12" t="n">
        <v>0</v>
      </c>
      <c r="X151" s="11" t="s">
        <v>277</v>
      </c>
      <c r="Z151" s="0" t="str">
        <f aca="false">IF($T151="","",IFERROR(INDEX('Resumo Grupos'!$AC$3:$AC$200,MATCH($T151,'Resumo Grupos'!$AB$3:$AB$200,0)),"n/d"))</f>
        <v>Mercadoria</v>
      </c>
      <c r="AA151" s="0" t="str">
        <f aca="false">IF($T151="","",IF(COUNTIF('Resumo Grupos'!$AE$3:$AE$40,$T151)&gt;0,"NAO","SIM"))</f>
        <v>SIM</v>
      </c>
      <c r="AB151" s="0" t="str">
        <f aca="false">IFERROR(INDEX('Mov Entradas (Rel 10497)'!$L:$L,MATCH(AC151,'Mov Entradas (Rel 10497)'!$I:$I,0)),"nao encontrado")</f>
        <v>nao encontrado</v>
      </c>
      <c r="AC151" s="0" t="n">
        <v>258978</v>
      </c>
    </row>
    <row r="152" customFormat="false" ht="36.75" hidden="false" customHeight="true" outlineLevel="0" collapsed="false">
      <c r="A152" s="9" t="n">
        <v>2</v>
      </c>
      <c r="B152" s="10" t="n">
        <v>46170</v>
      </c>
      <c r="C152" s="10" t="n">
        <v>46180</v>
      </c>
      <c r="D152" s="9" t="n">
        <v>1932</v>
      </c>
      <c r="E152" s="11" t="s">
        <v>278</v>
      </c>
      <c r="F152" s="9" t="n">
        <v>34</v>
      </c>
      <c r="G152" s="11" t="s">
        <v>55</v>
      </c>
      <c r="H152" s="9" t="n">
        <v>2110405</v>
      </c>
      <c r="I152" s="11" t="s">
        <v>56</v>
      </c>
      <c r="J152" s="9" t="n">
        <v>1166351</v>
      </c>
      <c r="L152" s="9" t="n">
        <v>155207</v>
      </c>
      <c r="M152" s="11" t="s">
        <v>52</v>
      </c>
      <c r="N152" s="11" t="s">
        <v>45</v>
      </c>
      <c r="P152" s="9" t="n">
        <v>101</v>
      </c>
      <c r="Q152" s="11" t="s">
        <v>57</v>
      </c>
      <c r="R152" s="11" t="s">
        <v>71</v>
      </c>
      <c r="S152" s="9" t="n">
        <v>4210315</v>
      </c>
      <c r="T152" s="11" t="s">
        <v>279</v>
      </c>
      <c r="U152" s="12" t="n">
        <v>119.97</v>
      </c>
      <c r="W152" s="12" t="n">
        <v>0</v>
      </c>
      <c r="X152" s="11" t="s">
        <v>280</v>
      </c>
      <c r="Z152" s="0" t="str">
        <f aca="false">IF($T152="","",IFERROR(INDEX('Resumo Grupos'!$AC$3:$AC$200,MATCH($T152,'Resumo Grupos'!$AB$3:$AB$200,0)),"n/d"))</f>
        <v>Despesa</v>
      </c>
      <c r="AA152" s="0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9" t="n">
        <v>2</v>
      </c>
      <c r="B153" s="10" t="n">
        <v>46141</v>
      </c>
      <c r="C153" s="10" t="n">
        <v>46180</v>
      </c>
      <c r="D153" s="9" t="n">
        <v>607</v>
      </c>
      <c r="E153" s="11" t="s">
        <v>281</v>
      </c>
      <c r="F153" s="9" t="n">
        <v>24</v>
      </c>
      <c r="G153" s="11" t="s">
        <v>51</v>
      </c>
      <c r="H153" s="9" t="n">
        <v>2110101</v>
      </c>
      <c r="I153" s="11" t="s">
        <v>43</v>
      </c>
      <c r="J153" s="9" t="n">
        <v>1023193</v>
      </c>
      <c r="L153" s="9" t="n">
        <v>10245</v>
      </c>
      <c r="M153" s="11" t="s">
        <v>67</v>
      </c>
      <c r="N153" s="11" t="s">
        <v>37</v>
      </c>
      <c r="P153" s="9" t="n">
        <v>113</v>
      </c>
      <c r="Q153" s="11" t="s">
        <v>46</v>
      </c>
      <c r="R153" s="11" t="s">
        <v>47</v>
      </c>
      <c r="S153" s="9" t="n">
        <v>1130101</v>
      </c>
      <c r="T153" s="11" t="s">
        <v>48</v>
      </c>
      <c r="U153" s="12" t="n">
        <v>644.97</v>
      </c>
      <c r="W153" s="12" t="n">
        <v>0</v>
      </c>
      <c r="X153" s="11" t="s">
        <v>282</v>
      </c>
      <c r="Z153" s="0" t="str">
        <f aca="false">IF($T153="","",IFERROR(INDEX('Resumo Grupos'!$AC$3:$AC$200,MATCH($T153,'Resumo Grupos'!$AB$3:$AB$200,0)),"n/d"))</f>
        <v>Mercadoria</v>
      </c>
      <c r="AA153" s="0" t="str">
        <f aca="false">IF($T153="","",IF(COUNTIF('Resumo Grupos'!$AE$3:$AE$40,$T153)&gt;0,"NAO","SIM"))</f>
        <v>SIM</v>
      </c>
      <c r="AB153" s="0" t="str">
        <f aca="false">IFERROR(INDEX('Mov Entradas (Rel 10497)'!$L:$L,MATCH(AC153,'Mov Entradas (Rel 10497)'!$I:$I,0)),"nao encontrado")</f>
        <v>nao encontrado</v>
      </c>
      <c r="AC153" s="0" t="n">
        <v>10245</v>
      </c>
    </row>
    <row r="154" customFormat="false" ht="36.75" hidden="false" customHeight="true" outlineLevel="0" collapsed="false">
      <c r="A154" s="9" t="n">
        <v>2</v>
      </c>
      <c r="B154" s="10" t="n">
        <v>46180</v>
      </c>
      <c r="C154" s="10" t="n">
        <v>46180</v>
      </c>
      <c r="D154" s="9" t="n">
        <v>0</v>
      </c>
      <c r="E154" s="11" t="s">
        <v>109</v>
      </c>
      <c r="F154" s="9" t="n">
        <v>17</v>
      </c>
      <c r="G154" s="11" t="s">
        <v>110</v>
      </c>
      <c r="H154" s="9" t="n">
        <v>1110101</v>
      </c>
      <c r="I154" s="11" t="s">
        <v>111</v>
      </c>
      <c r="J154" s="9" t="n">
        <v>1256497</v>
      </c>
      <c r="L154" s="9" t="n">
        <v>1256497</v>
      </c>
      <c r="M154" s="11" t="s">
        <v>52</v>
      </c>
      <c r="N154" s="11" t="s">
        <v>112</v>
      </c>
      <c r="P154" s="9" t="n">
        <v>113</v>
      </c>
      <c r="Q154" s="11" t="s">
        <v>46</v>
      </c>
      <c r="R154" s="11" t="s">
        <v>71</v>
      </c>
      <c r="S154" s="9" t="n">
        <v>4210310</v>
      </c>
      <c r="T154" s="11" t="s">
        <v>126</v>
      </c>
      <c r="U154" s="12" t="n">
        <v>96</v>
      </c>
      <c r="W154" s="12" t="n">
        <v>96</v>
      </c>
      <c r="X154" s="11" t="s">
        <v>283</v>
      </c>
      <c r="Z154" s="0" t="str">
        <f aca="false">IF($T154="","",IFERROR(INDEX('Resumo Grupos'!$AC$3:$AC$200,MATCH($T154,'Resumo Grupos'!$AB$3:$AB$200,0)),"n/d"))</f>
        <v>Despesa</v>
      </c>
      <c r="AA154" s="0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9" t="n">
        <v>2</v>
      </c>
      <c r="B155" s="10" t="n">
        <v>46180</v>
      </c>
      <c r="C155" s="10" t="n">
        <v>46180</v>
      </c>
      <c r="D155" s="9" t="n">
        <v>0</v>
      </c>
      <c r="E155" s="11" t="s">
        <v>109</v>
      </c>
      <c r="F155" s="9" t="n">
        <v>17</v>
      </c>
      <c r="G155" s="11" t="s">
        <v>110</v>
      </c>
      <c r="H155" s="9" t="n">
        <v>1110101</v>
      </c>
      <c r="I155" s="11" t="s">
        <v>111</v>
      </c>
      <c r="J155" s="9" t="n">
        <v>1256500</v>
      </c>
      <c r="L155" s="9" t="n">
        <v>1256500</v>
      </c>
      <c r="M155" s="11" t="s">
        <v>52</v>
      </c>
      <c r="N155" s="11" t="s">
        <v>112</v>
      </c>
      <c r="P155" s="9" t="n">
        <v>113</v>
      </c>
      <c r="Q155" s="11" t="s">
        <v>46</v>
      </c>
      <c r="R155" s="11" t="s">
        <v>71</v>
      </c>
      <c r="S155" s="9" t="n">
        <v>4210316</v>
      </c>
      <c r="T155" s="11" t="s">
        <v>159</v>
      </c>
      <c r="U155" s="12" t="n">
        <v>70</v>
      </c>
      <c r="W155" s="12" t="n">
        <v>70</v>
      </c>
      <c r="X155" s="11" t="s">
        <v>263</v>
      </c>
      <c r="Z155" s="0" t="str">
        <f aca="false">IF($T155="","",IFERROR(INDEX('Resumo Grupos'!$AC$3:$AC$200,MATCH($T155,'Resumo Grupos'!$AB$3:$AB$200,0)),"n/d"))</f>
        <v>Salários</v>
      </c>
      <c r="AA155" s="0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9" t="n">
        <v>2</v>
      </c>
      <c r="B156" s="10" t="n">
        <v>46180</v>
      </c>
      <c r="C156" s="10" t="n">
        <v>46180</v>
      </c>
      <c r="D156" s="9" t="n">
        <v>0</v>
      </c>
      <c r="E156" s="11" t="s">
        <v>109</v>
      </c>
      <c r="F156" s="9" t="n">
        <v>17</v>
      </c>
      <c r="G156" s="11" t="s">
        <v>110</v>
      </c>
      <c r="H156" s="9" t="n">
        <v>1110101</v>
      </c>
      <c r="I156" s="11" t="s">
        <v>111</v>
      </c>
      <c r="J156" s="9" t="n">
        <v>1361178</v>
      </c>
      <c r="L156" s="9" t="n">
        <v>1361178</v>
      </c>
      <c r="M156" s="11" t="s">
        <v>52</v>
      </c>
      <c r="N156" s="11" t="s">
        <v>112</v>
      </c>
      <c r="P156" s="9" t="n">
        <v>113</v>
      </c>
      <c r="Q156" s="11" t="s">
        <v>46</v>
      </c>
      <c r="R156" s="11" t="s">
        <v>116</v>
      </c>
      <c r="S156" s="9" t="n">
        <v>1110203</v>
      </c>
      <c r="T156" s="11" t="s">
        <v>117</v>
      </c>
      <c r="U156" s="12" t="n">
        <v>1600</v>
      </c>
      <c r="W156" s="12" t="n">
        <v>1600</v>
      </c>
      <c r="X156" s="11" t="s">
        <v>284</v>
      </c>
      <c r="Z156" s="0" t="str">
        <f aca="false">IF($T156="","",IFERROR(INDEX('Resumo Grupos'!$AC$3:$AC$200,MATCH($T156,'Resumo Grupos'!$AB$3:$AB$200,0)),"n/d"))</f>
        <v>Despesa</v>
      </c>
      <c r="AA156" s="0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9" t="n">
        <v>2</v>
      </c>
      <c r="B157" s="10" t="n">
        <v>46163</v>
      </c>
      <c r="C157" s="10" t="n">
        <v>46181</v>
      </c>
      <c r="D157" s="9" t="n">
        <v>1636</v>
      </c>
      <c r="E157" s="11" t="s">
        <v>61</v>
      </c>
      <c r="F157" s="9" t="n">
        <v>24</v>
      </c>
      <c r="G157" s="11" t="s">
        <v>51</v>
      </c>
      <c r="H157" s="9" t="n">
        <v>2110101</v>
      </c>
      <c r="I157" s="11" t="s">
        <v>43</v>
      </c>
      <c r="J157" s="9" t="n">
        <v>1131615</v>
      </c>
      <c r="L157" s="9" t="n">
        <v>150120</v>
      </c>
      <c r="M157" s="11" t="s">
        <v>52</v>
      </c>
      <c r="N157" s="11" t="s">
        <v>45</v>
      </c>
      <c r="P157" s="9" t="n">
        <v>113</v>
      </c>
      <c r="Q157" s="11" t="s">
        <v>46</v>
      </c>
      <c r="R157" s="11" t="s">
        <v>47</v>
      </c>
      <c r="S157" s="9" t="n">
        <v>1130101</v>
      </c>
      <c r="T157" s="11" t="s">
        <v>48</v>
      </c>
      <c r="U157" s="12" t="n">
        <v>391.4</v>
      </c>
      <c r="W157" s="12" t="n">
        <v>0</v>
      </c>
      <c r="X157" s="11" t="s">
        <v>62</v>
      </c>
      <c r="Z157" s="0" t="str">
        <f aca="false">IF($T157="","",IFERROR(INDEX('Resumo Grupos'!$AC$3:$AC$200,MATCH($T157,'Resumo Grupos'!$AB$3:$AB$200,0)),"n/d"))</f>
        <v>Mercadoria</v>
      </c>
      <c r="AA157" s="0" t="str">
        <f aca="false">IF($T157="","",IF(COUNTIF('Resumo Grupos'!$AE$3:$AE$40,$T157)&gt;0,"NAO","SIM"))</f>
        <v>SIM</v>
      </c>
      <c r="AB157" s="0" t="str">
        <f aca="false">IFERROR(INDEX('Mov Entradas (Rel 10497)'!$L:$L,MATCH(AC157,'Mov Entradas (Rel 10497)'!$I:$I,0)),"nao encontrado")</f>
        <v>nao encontrado</v>
      </c>
      <c r="AC157" s="0" t="n">
        <v>3188783</v>
      </c>
    </row>
    <row r="158" customFormat="false" ht="36.75" hidden="false" customHeight="true" outlineLevel="0" collapsed="false">
      <c r="A158" s="9" t="n">
        <v>2</v>
      </c>
      <c r="B158" s="10" t="n">
        <v>46163</v>
      </c>
      <c r="C158" s="10" t="n">
        <v>46181</v>
      </c>
      <c r="D158" s="9" t="n">
        <v>1636</v>
      </c>
      <c r="E158" s="11" t="s">
        <v>61</v>
      </c>
      <c r="F158" s="9" t="n">
        <v>24</v>
      </c>
      <c r="G158" s="11" t="s">
        <v>51</v>
      </c>
      <c r="H158" s="9" t="n">
        <v>2110101</v>
      </c>
      <c r="I158" s="11" t="s">
        <v>43</v>
      </c>
      <c r="J158" s="9" t="n">
        <v>1131763</v>
      </c>
      <c r="L158" s="9" t="n">
        <v>150158</v>
      </c>
      <c r="M158" s="11" t="s">
        <v>52</v>
      </c>
      <c r="N158" s="11" t="s">
        <v>45</v>
      </c>
      <c r="P158" s="9" t="n">
        <v>113</v>
      </c>
      <c r="Q158" s="11" t="s">
        <v>46</v>
      </c>
      <c r="R158" s="11" t="s">
        <v>47</v>
      </c>
      <c r="S158" s="9" t="n">
        <v>1130101</v>
      </c>
      <c r="T158" s="11" t="s">
        <v>48</v>
      </c>
      <c r="U158" s="12" t="n">
        <v>1562.27</v>
      </c>
      <c r="W158" s="12" t="n">
        <v>0</v>
      </c>
      <c r="X158" s="11" t="s">
        <v>63</v>
      </c>
      <c r="Z158" s="0" t="str">
        <f aca="false">IF($T158="","",IFERROR(INDEX('Resumo Grupos'!$AC$3:$AC$200,MATCH($T158,'Resumo Grupos'!$AB$3:$AB$200,0)),"n/d"))</f>
        <v>Mercadoria</v>
      </c>
      <c r="AA158" s="0" t="str">
        <f aca="false">IF($T158="","",IF(COUNTIF('Resumo Grupos'!$AE$3:$AE$40,$T158)&gt;0,"NAO","SIM"))</f>
        <v>SIM</v>
      </c>
      <c r="AB158" s="0" t="str">
        <f aca="false">IFERROR(INDEX('Mov Entradas (Rel 10497)'!$L:$L,MATCH(AC158,'Mov Entradas (Rel 10497)'!$I:$I,0)),"nao encontrado")</f>
        <v>nao encontrado</v>
      </c>
      <c r="AC158" s="0" t="n">
        <v>3188782</v>
      </c>
    </row>
    <row r="159" customFormat="false" ht="36.75" hidden="false" customHeight="true" outlineLevel="0" collapsed="false">
      <c r="A159" s="9" t="n">
        <v>2</v>
      </c>
      <c r="B159" s="10" t="n">
        <v>46154</v>
      </c>
      <c r="C159" s="10" t="n">
        <v>46181</v>
      </c>
      <c r="D159" s="9" t="n">
        <v>1616</v>
      </c>
      <c r="E159" s="11" t="s">
        <v>64</v>
      </c>
      <c r="F159" s="9" t="n">
        <v>24</v>
      </c>
      <c r="G159" s="11" t="s">
        <v>51</v>
      </c>
      <c r="H159" s="9" t="n">
        <v>2110101</v>
      </c>
      <c r="I159" s="11" t="s">
        <v>43</v>
      </c>
      <c r="J159" s="9" t="n">
        <v>1088464</v>
      </c>
      <c r="L159" s="9" t="n">
        <v>641255</v>
      </c>
      <c r="M159" s="11" t="s">
        <v>67</v>
      </c>
      <c r="N159" s="11" t="s">
        <v>37</v>
      </c>
      <c r="P159" s="9" t="n">
        <v>113</v>
      </c>
      <c r="Q159" s="11" t="s">
        <v>46</v>
      </c>
      <c r="R159" s="11" t="s">
        <v>47</v>
      </c>
      <c r="S159" s="9" t="n">
        <v>1130101</v>
      </c>
      <c r="T159" s="11" t="s">
        <v>48</v>
      </c>
      <c r="U159" s="12" t="n">
        <v>346.6</v>
      </c>
      <c r="W159" s="12" t="n">
        <v>0</v>
      </c>
      <c r="X159" s="11" t="s">
        <v>65</v>
      </c>
      <c r="Z159" s="0" t="str">
        <f aca="false">IF($T159="","",IFERROR(INDEX('Resumo Grupos'!$AC$3:$AC$200,MATCH($T159,'Resumo Grupos'!$AB$3:$AB$200,0)),"n/d"))</f>
        <v>Mercadoria</v>
      </c>
      <c r="AA159" s="0" t="str">
        <f aca="false">IF($T159="","",IF(COUNTIF('Resumo Grupos'!$AE$3:$AE$40,$T159)&gt;0,"NAO","SIM"))</f>
        <v>SIM</v>
      </c>
      <c r="AB159" s="0" t="str">
        <f aca="false">IFERROR(INDEX('Mov Entradas (Rel 10497)'!$L:$L,MATCH(AC159,'Mov Entradas (Rel 10497)'!$I:$I,0)),"nao encontrado")</f>
        <v>nao encontrado</v>
      </c>
      <c r="AC159" s="0" t="n">
        <v>641255</v>
      </c>
    </row>
    <row r="160" customFormat="false" ht="36.75" hidden="false" customHeight="true" outlineLevel="0" collapsed="false">
      <c r="A160" s="9" t="n">
        <v>2</v>
      </c>
      <c r="B160" s="10" t="n">
        <v>46153</v>
      </c>
      <c r="C160" s="10" t="n">
        <v>46181</v>
      </c>
      <c r="D160" s="9" t="n">
        <v>1612</v>
      </c>
      <c r="E160" s="11" t="s">
        <v>74</v>
      </c>
      <c r="F160" s="9" t="n">
        <v>24</v>
      </c>
      <c r="G160" s="11" t="s">
        <v>51</v>
      </c>
      <c r="H160" s="9" t="n">
        <v>2110101</v>
      </c>
      <c r="I160" s="11" t="s">
        <v>43</v>
      </c>
      <c r="J160" s="9" t="n">
        <v>1084481</v>
      </c>
      <c r="L160" s="9" t="n">
        <v>2282942</v>
      </c>
      <c r="M160" s="11" t="s">
        <v>67</v>
      </c>
      <c r="N160" s="11" t="s">
        <v>37</v>
      </c>
      <c r="P160" s="9" t="n">
        <v>113</v>
      </c>
      <c r="Q160" s="11" t="s">
        <v>46</v>
      </c>
      <c r="R160" s="11" t="s">
        <v>47</v>
      </c>
      <c r="S160" s="9" t="n">
        <v>1130101</v>
      </c>
      <c r="T160" s="11" t="s">
        <v>48</v>
      </c>
      <c r="U160" s="12" t="n">
        <v>100.36</v>
      </c>
      <c r="W160" s="12" t="n">
        <v>0</v>
      </c>
      <c r="X160" s="11" t="s">
        <v>75</v>
      </c>
      <c r="Z160" s="0" t="str">
        <f aca="false">IF($T160="","",IFERROR(INDEX('Resumo Grupos'!$AC$3:$AC$200,MATCH($T160,'Resumo Grupos'!$AB$3:$AB$200,0)),"n/d"))</f>
        <v>Mercadoria</v>
      </c>
      <c r="AA160" s="0" t="str">
        <f aca="false">IF($T160="","",IF(COUNTIF('Resumo Grupos'!$AE$3:$AE$40,$T160)&gt;0,"NAO","SIM"))</f>
        <v>SIM</v>
      </c>
      <c r="AB160" s="0" t="str">
        <f aca="false">IFERROR(INDEX('Mov Entradas (Rel 10497)'!$L:$L,MATCH(AC160,'Mov Entradas (Rel 10497)'!$I:$I,0)),"nao encontrado")</f>
        <v>nao encontrado</v>
      </c>
      <c r="AC160" s="0" t="n">
        <v>2282942</v>
      </c>
    </row>
    <row r="161" customFormat="false" ht="36.75" hidden="false" customHeight="true" outlineLevel="0" collapsed="false">
      <c r="A161" s="9" t="n">
        <v>2</v>
      </c>
      <c r="B161" s="10" t="n">
        <v>46153</v>
      </c>
      <c r="C161" s="10" t="n">
        <v>46181</v>
      </c>
      <c r="D161" s="9" t="n">
        <v>1612</v>
      </c>
      <c r="E161" s="11" t="s">
        <v>74</v>
      </c>
      <c r="F161" s="9" t="n">
        <v>24</v>
      </c>
      <c r="G161" s="11" t="s">
        <v>51</v>
      </c>
      <c r="H161" s="9" t="n">
        <v>2110101</v>
      </c>
      <c r="I161" s="11" t="s">
        <v>43</v>
      </c>
      <c r="J161" s="9" t="n">
        <v>1084736</v>
      </c>
      <c r="L161" s="9" t="n">
        <v>2282943</v>
      </c>
      <c r="M161" s="11" t="s">
        <v>67</v>
      </c>
      <c r="N161" s="11" t="s">
        <v>37</v>
      </c>
      <c r="P161" s="9" t="n">
        <v>113</v>
      </c>
      <c r="Q161" s="11" t="s">
        <v>46</v>
      </c>
      <c r="R161" s="11" t="s">
        <v>47</v>
      </c>
      <c r="S161" s="9" t="n">
        <v>1130101</v>
      </c>
      <c r="T161" s="11" t="s">
        <v>48</v>
      </c>
      <c r="U161" s="12" t="n">
        <v>628.88</v>
      </c>
      <c r="W161" s="12" t="n">
        <v>0</v>
      </c>
      <c r="X161" s="11" t="s">
        <v>76</v>
      </c>
      <c r="Z161" s="0" t="str">
        <f aca="false">IF($T161="","",IFERROR(INDEX('Resumo Grupos'!$AC$3:$AC$200,MATCH($T161,'Resumo Grupos'!$AB$3:$AB$200,0)),"n/d"))</f>
        <v>Mercadoria</v>
      </c>
      <c r="AA161" s="0" t="str">
        <f aca="false">IF($T161="","",IF(COUNTIF('Resumo Grupos'!$AE$3:$AE$40,$T161)&gt;0,"NAO","SIM"))</f>
        <v>SIM</v>
      </c>
      <c r="AB161" s="0" t="str">
        <f aca="false">IFERROR(INDEX('Mov Entradas (Rel 10497)'!$L:$L,MATCH(AC161,'Mov Entradas (Rel 10497)'!$I:$I,0)),"nao encontrado")</f>
        <v>nao encontrado</v>
      </c>
      <c r="AC161" s="0" t="n">
        <v>2282943</v>
      </c>
    </row>
    <row r="162" customFormat="false" ht="36.75" hidden="false" customHeight="true" outlineLevel="0" collapsed="false">
      <c r="A162" s="9" t="n">
        <v>2</v>
      </c>
      <c r="B162" s="10" t="n">
        <v>46160</v>
      </c>
      <c r="C162" s="10" t="n">
        <v>46181</v>
      </c>
      <c r="D162" s="9" t="n">
        <v>1626</v>
      </c>
      <c r="E162" s="11" t="s">
        <v>77</v>
      </c>
      <c r="F162" s="9" t="n">
        <v>24</v>
      </c>
      <c r="G162" s="11" t="s">
        <v>51</v>
      </c>
      <c r="H162" s="9" t="n">
        <v>2110101</v>
      </c>
      <c r="I162" s="11" t="s">
        <v>43</v>
      </c>
      <c r="J162" s="9" t="n">
        <v>1117737</v>
      </c>
      <c r="L162" s="9" t="n">
        <v>148044</v>
      </c>
      <c r="M162" s="11" t="s">
        <v>52</v>
      </c>
      <c r="N162" s="11" t="s">
        <v>45</v>
      </c>
      <c r="P162" s="9" t="n">
        <v>113</v>
      </c>
      <c r="Q162" s="11" t="s">
        <v>46</v>
      </c>
      <c r="R162" s="11" t="s">
        <v>47</v>
      </c>
      <c r="S162" s="9" t="n">
        <v>1130101</v>
      </c>
      <c r="T162" s="11" t="s">
        <v>48</v>
      </c>
      <c r="U162" s="12" t="n">
        <v>750.79</v>
      </c>
      <c r="W162" s="12" t="n">
        <v>0</v>
      </c>
      <c r="X162" s="11" t="s">
        <v>78</v>
      </c>
      <c r="Z162" s="0" t="str">
        <f aca="false">IF($T162="","",IFERROR(INDEX('Resumo Grupos'!$AC$3:$AC$200,MATCH($T162,'Resumo Grupos'!$AB$3:$AB$200,0)),"n/d"))</f>
        <v>Mercadoria</v>
      </c>
      <c r="AA162" s="0" t="str">
        <f aca="false">IF($T162="","",IF(COUNTIF('Resumo Grupos'!$AE$3:$AE$40,$T162)&gt;0,"NAO","SIM"))</f>
        <v>SIM</v>
      </c>
      <c r="AB162" s="0" t="str">
        <f aca="false">IFERROR(INDEX('Mov Entradas (Rel 10497)'!$L:$L,MATCH(AC162,'Mov Entradas (Rel 10497)'!$I:$I,0)),"nao encontrado")</f>
        <v>nao encontrado</v>
      </c>
      <c r="AC162" s="0" t="n">
        <v>305709</v>
      </c>
    </row>
    <row r="163" customFormat="false" ht="36.75" hidden="false" customHeight="true" outlineLevel="0" collapsed="false">
      <c r="A163" s="9" t="n">
        <v>2</v>
      </c>
      <c r="B163" s="10" t="n">
        <v>46167</v>
      </c>
      <c r="C163" s="10" t="n">
        <v>46181</v>
      </c>
      <c r="D163" s="9" t="n">
        <v>1634</v>
      </c>
      <c r="E163" s="11" t="s">
        <v>285</v>
      </c>
      <c r="F163" s="9" t="n">
        <v>24</v>
      </c>
      <c r="G163" s="11" t="s">
        <v>51</v>
      </c>
      <c r="H163" s="9" t="n">
        <v>2110101</v>
      </c>
      <c r="I163" s="11" t="s">
        <v>43</v>
      </c>
      <c r="J163" s="9" t="n">
        <v>1151044</v>
      </c>
      <c r="L163" s="9" t="n">
        <v>325220</v>
      </c>
      <c r="M163" s="11" t="s">
        <v>52</v>
      </c>
      <c r="N163" s="11" t="s">
        <v>37</v>
      </c>
      <c r="P163" s="9" t="n">
        <v>113</v>
      </c>
      <c r="Q163" s="11" t="s">
        <v>46</v>
      </c>
      <c r="R163" s="11" t="s">
        <v>47</v>
      </c>
      <c r="S163" s="9" t="n">
        <v>1130101</v>
      </c>
      <c r="T163" s="11" t="s">
        <v>48</v>
      </c>
      <c r="U163" s="12" t="n">
        <v>591.96</v>
      </c>
      <c r="W163" s="12" t="n">
        <v>0</v>
      </c>
      <c r="X163" s="11" t="s">
        <v>286</v>
      </c>
      <c r="Z163" s="0" t="str">
        <f aca="false">IF($T163="","",IFERROR(INDEX('Resumo Grupos'!$AC$3:$AC$200,MATCH($T163,'Resumo Grupos'!$AB$3:$AB$200,0)),"n/d"))</f>
        <v>Mercadoria</v>
      </c>
      <c r="AA163" s="0" t="str">
        <f aca="false">IF($T163="","",IF(COUNTIF('Resumo Grupos'!$AE$3:$AE$40,$T163)&gt;0,"NAO","SIM"))</f>
        <v>SIM</v>
      </c>
      <c r="AB163" s="0" t="str">
        <f aca="false">IFERROR(INDEX('Mov Entradas (Rel 10497)'!$L:$L,MATCH(AC163,'Mov Entradas (Rel 10497)'!$I:$I,0)),"nao encontrado")</f>
        <v>nao encontrado</v>
      </c>
      <c r="AC163" s="0" t="n">
        <v>325220</v>
      </c>
    </row>
    <row r="164" customFormat="false" ht="36.75" hidden="false" customHeight="true" outlineLevel="0" collapsed="false">
      <c r="A164" s="9" t="n">
        <v>2</v>
      </c>
      <c r="B164" s="10" t="n">
        <v>46163</v>
      </c>
      <c r="C164" s="10" t="n">
        <v>46181</v>
      </c>
      <c r="D164" s="9" t="n">
        <v>1778</v>
      </c>
      <c r="E164" s="11" t="s">
        <v>200</v>
      </c>
      <c r="F164" s="9" t="n">
        <v>24</v>
      </c>
      <c r="G164" s="11" t="s">
        <v>51</v>
      </c>
      <c r="H164" s="9" t="n">
        <v>2110405</v>
      </c>
      <c r="I164" s="11" t="s">
        <v>56</v>
      </c>
      <c r="J164" s="9" t="n">
        <v>1133080</v>
      </c>
      <c r="L164" s="9" t="n">
        <v>150375</v>
      </c>
      <c r="M164" s="11" t="s">
        <v>52</v>
      </c>
      <c r="N164" s="11" t="s">
        <v>45</v>
      </c>
      <c r="P164" s="9" t="n">
        <v>101</v>
      </c>
      <c r="Q164" s="11" t="s">
        <v>57</v>
      </c>
      <c r="R164" s="11" t="s">
        <v>39</v>
      </c>
      <c r="S164" s="9" t="n">
        <v>4210207</v>
      </c>
      <c r="T164" s="11" t="s">
        <v>201</v>
      </c>
      <c r="U164" s="12" t="n">
        <v>620.88</v>
      </c>
      <c r="W164" s="12" t="n">
        <v>0</v>
      </c>
      <c r="X164" s="11" t="s">
        <v>287</v>
      </c>
      <c r="Z164" s="0" t="str">
        <f aca="false">IF($T164="","",IFERROR(INDEX('Resumo Grupos'!$AC$3:$AC$200,MATCH($T164,'Resumo Grupos'!$AB$3:$AB$200,0)),"n/d"))</f>
        <v>Despesa</v>
      </c>
      <c r="AA164" s="0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9" t="n">
        <v>2</v>
      </c>
      <c r="B165" s="10" t="n">
        <v>46181</v>
      </c>
      <c r="C165" s="10" t="n">
        <v>46181</v>
      </c>
      <c r="D165" s="9" t="n">
        <v>1038</v>
      </c>
      <c r="E165" s="11" t="s">
        <v>149</v>
      </c>
      <c r="F165" s="9" t="n">
        <v>13</v>
      </c>
      <c r="G165" s="11" t="s">
        <v>135</v>
      </c>
      <c r="H165" s="9" t="n">
        <v>2110101</v>
      </c>
      <c r="I165" s="11" t="s">
        <v>43</v>
      </c>
      <c r="J165" s="9" t="n">
        <v>1226536</v>
      </c>
      <c r="L165" s="9" t="n">
        <v>5957</v>
      </c>
      <c r="M165" s="11" t="s">
        <v>52</v>
      </c>
      <c r="N165" s="11" t="s">
        <v>37</v>
      </c>
      <c r="P165" s="9" t="n">
        <v>113</v>
      </c>
      <c r="Q165" s="11" t="s">
        <v>46</v>
      </c>
      <c r="R165" s="11" t="s">
        <v>47</v>
      </c>
      <c r="S165" s="9" t="n">
        <v>1130101</v>
      </c>
      <c r="T165" s="11" t="s">
        <v>48</v>
      </c>
      <c r="U165" s="12" t="n">
        <v>140</v>
      </c>
      <c r="W165" s="12" t="n">
        <v>140</v>
      </c>
      <c r="X165" s="11" t="s">
        <v>288</v>
      </c>
      <c r="Z165" s="0" t="str">
        <f aca="false">IF($T165="","",IFERROR(INDEX('Resumo Grupos'!$AC$3:$AC$200,MATCH($T165,'Resumo Grupos'!$AB$3:$AB$200,0)),"n/d"))</f>
        <v>Mercadoria</v>
      </c>
      <c r="AA165" s="0" t="str">
        <f aca="false">IF($T165="","",IF(COUNTIF('Resumo Grupos'!$AE$3:$AE$40,$T165)&gt;0,"NAO","SIM"))</f>
        <v>SIM</v>
      </c>
      <c r="AB165" s="0" t="str">
        <f aca="false">IFERROR(INDEX('Mov Entradas (Rel 10497)'!$L:$L,MATCH(AC165,'Mov Entradas (Rel 10497)'!$I:$I,0)),"nao encontrado")</f>
        <v>BOLO MIYAZAKI GRANDE</v>
      </c>
      <c r="AC165" s="0" t="n">
        <v>5957</v>
      </c>
    </row>
    <row r="166" customFormat="false" ht="36.75" hidden="false" customHeight="true" outlineLevel="0" collapsed="false">
      <c r="A166" s="9" t="n">
        <v>2</v>
      </c>
      <c r="B166" s="10" t="n">
        <v>46168</v>
      </c>
      <c r="C166" s="10" t="n">
        <v>46181</v>
      </c>
      <c r="D166" s="9" t="n">
        <v>1675</v>
      </c>
      <c r="E166" s="11" t="s">
        <v>289</v>
      </c>
      <c r="F166" s="9" t="n">
        <v>24</v>
      </c>
      <c r="G166" s="11" t="s">
        <v>51</v>
      </c>
      <c r="H166" s="9" t="n">
        <v>2110101</v>
      </c>
      <c r="I166" s="11" t="s">
        <v>43</v>
      </c>
      <c r="J166" s="9" t="n">
        <v>1156642</v>
      </c>
      <c r="L166" s="9" t="n">
        <v>491844</v>
      </c>
      <c r="M166" s="11" t="s">
        <v>52</v>
      </c>
      <c r="N166" s="11" t="s">
        <v>37</v>
      </c>
      <c r="P166" s="9" t="n">
        <v>113</v>
      </c>
      <c r="Q166" s="11" t="s">
        <v>46</v>
      </c>
      <c r="R166" s="11" t="s">
        <v>47</v>
      </c>
      <c r="S166" s="9" t="n">
        <v>1130101</v>
      </c>
      <c r="T166" s="11" t="s">
        <v>48</v>
      </c>
      <c r="U166" s="12" t="n">
        <v>344.71</v>
      </c>
      <c r="W166" s="12" t="n">
        <v>0</v>
      </c>
      <c r="X166" s="11" t="s">
        <v>290</v>
      </c>
      <c r="Z166" s="0" t="str">
        <f aca="false">IF($T166="","",IFERROR(INDEX('Resumo Grupos'!$AC$3:$AC$200,MATCH($T166,'Resumo Grupos'!$AB$3:$AB$200,0)),"n/d"))</f>
        <v>Mercadoria</v>
      </c>
      <c r="AA166" s="0" t="str">
        <f aca="false">IF($T166="","",IF(COUNTIF('Resumo Grupos'!$AE$3:$AE$40,$T166)&gt;0,"NAO","SIM"))</f>
        <v>SIM</v>
      </c>
      <c r="AB166" s="0" t="str">
        <f aca="false">IFERROR(INDEX('Mov Entradas (Rel 10497)'!$L:$L,MATCH(AC166,'Mov Entradas (Rel 10497)'!$I:$I,0)),"nao encontrado")</f>
        <v>nao encontrado</v>
      </c>
      <c r="AC166" s="0" t="n">
        <v>491844</v>
      </c>
    </row>
    <row r="167" customFormat="false" ht="36.75" hidden="false" customHeight="true" outlineLevel="0" collapsed="false">
      <c r="A167" s="9" t="n">
        <v>2</v>
      </c>
      <c r="B167" s="10" t="n">
        <v>46168</v>
      </c>
      <c r="C167" s="10" t="n">
        <v>46181</v>
      </c>
      <c r="D167" s="9" t="n">
        <v>1675</v>
      </c>
      <c r="E167" s="11" t="s">
        <v>289</v>
      </c>
      <c r="F167" s="9" t="n">
        <v>24</v>
      </c>
      <c r="G167" s="11" t="s">
        <v>51</v>
      </c>
      <c r="H167" s="9" t="n">
        <v>2110101</v>
      </c>
      <c r="I167" s="11" t="s">
        <v>43</v>
      </c>
      <c r="J167" s="9" t="n">
        <v>1157010</v>
      </c>
      <c r="L167" s="9" t="n">
        <v>491834</v>
      </c>
      <c r="M167" s="11" t="s">
        <v>52</v>
      </c>
      <c r="N167" s="11" t="s">
        <v>37</v>
      </c>
      <c r="P167" s="9" t="n">
        <v>113</v>
      </c>
      <c r="Q167" s="11" t="s">
        <v>46</v>
      </c>
      <c r="R167" s="11" t="s">
        <v>47</v>
      </c>
      <c r="S167" s="9" t="n">
        <v>1130101</v>
      </c>
      <c r="T167" s="11" t="s">
        <v>48</v>
      </c>
      <c r="U167" s="12" t="n">
        <v>1022.42</v>
      </c>
      <c r="W167" s="12" t="n">
        <v>0</v>
      </c>
      <c r="X167" s="11" t="s">
        <v>291</v>
      </c>
      <c r="Z167" s="0" t="str">
        <f aca="false">IF($T167="","",IFERROR(INDEX('Resumo Grupos'!$AC$3:$AC$200,MATCH($T167,'Resumo Grupos'!$AB$3:$AB$200,0)),"n/d"))</f>
        <v>Mercadoria</v>
      </c>
      <c r="AA167" s="0" t="str">
        <f aca="false">IF($T167="","",IF(COUNTIF('Resumo Grupos'!$AE$3:$AE$40,$T167)&gt;0,"NAO","SIM"))</f>
        <v>SIM</v>
      </c>
      <c r="AB167" s="0" t="str">
        <f aca="false">IFERROR(INDEX('Mov Entradas (Rel 10497)'!$L:$L,MATCH(AC167,'Mov Entradas (Rel 10497)'!$I:$I,0)),"nao encontrado")</f>
        <v>nao encontrado</v>
      </c>
      <c r="AC167" s="0" t="n">
        <v>491834</v>
      </c>
    </row>
    <row r="168" customFormat="false" ht="36.75" hidden="false" customHeight="true" outlineLevel="0" collapsed="false">
      <c r="A168" s="9" t="n">
        <v>2</v>
      </c>
      <c r="B168" s="10" t="n">
        <v>46181</v>
      </c>
      <c r="C168" s="10" t="n">
        <v>46181</v>
      </c>
      <c r="D168" s="9" t="n">
        <v>48</v>
      </c>
      <c r="E168" s="11" t="s">
        <v>153</v>
      </c>
      <c r="F168" s="9" t="n">
        <v>13</v>
      </c>
      <c r="G168" s="11" t="s">
        <v>135</v>
      </c>
      <c r="H168" s="9" t="n">
        <v>2110101</v>
      </c>
      <c r="I168" s="11" t="s">
        <v>43</v>
      </c>
      <c r="J168" s="9" t="n">
        <v>1221843</v>
      </c>
      <c r="L168" s="9" t="n">
        <v>2485</v>
      </c>
      <c r="M168" s="11" t="s">
        <v>52</v>
      </c>
      <c r="N168" s="11" t="s">
        <v>37</v>
      </c>
      <c r="P168" s="9" t="n">
        <v>113</v>
      </c>
      <c r="Q168" s="11" t="s">
        <v>46</v>
      </c>
      <c r="R168" s="11" t="s">
        <v>47</v>
      </c>
      <c r="S168" s="9" t="n">
        <v>1130101</v>
      </c>
      <c r="T168" s="11" t="s">
        <v>48</v>
      </c>
      <c r="U168" s="12" t="n">
        <v>180</v>
      </c>
      <c r="W168" s="12" t="n">
        <v>0</v>
      </c>
      <c r="X168" s="11" t="s">
        <v>292</v>
      </c>
      <c r="Z168" s="0" t="str">
        <f aca="false">IF($T168="","",IFERROR(INDEX('Resumo Grupos'!$AC$3:$AC$200,MATCH($T168,'Resumo Grupos'!$AB$3:$AB$200,0)),"n/d"))</f>
        <v>Mercadoria</v>
      </c>
      <c r="AA168" s="0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9" t="n">
        <v>2</v>
      </c>
      <c r="B169" s="10" t="n">
        <v>46181</v>
      </c>
      <c r="C169" s="10" t="n">
        <v>46181</v>
      </c>
      <c r="D169" s="9" t="n">
        <v>48</v>
      </c>
      <c r="E169" s="11" t="s">
        <v>153</v>
      </c>
      <c r="F169" s="9" t="n">
        <v>13</v>
      </c>
      <c r="G169" s="11" t="s">
        <v>135</v>
      </c>
      <c r="H169" s="9" t="n">
        <v>2110101</v>
      </c>
      <c r="I169" s="11" t="s">
        <v>43</v>
      </c>
      <c r="J169" s="9" t="n">
        <v>1222855</v>
      </c>
      <c r="L169" s="9" t="n">
        <v>2486</v>
      </c>
      <c r="M169" s="11" t="s">
        <v>52</v>
      </c>
      <c r="N169" s="11" t="s">
        <v>37</v>
      </c>
      <c r="P169" s="9" t="n">
        <v>113</v>
      </c>
      <c r="Q169" s="11" t="s">
        <v>46</v>
      </c>
      <c r="R169" s="11" t="s">
        <v>47</v>
      </c>
      <c r="S169" s="9" t="n">
        <v>1130101</v>
      </c>
      <c r="T169" s="11" t="s">
        <v>48</v>
      </c>
      <c r="U169" s="12" t="n">
        <v>195</v>
      </c>
      <c r="W169" s="12" t="n">
        <v>195</v>
      </c>
      <c r="X169" s="11" t="s">
        <v>293</v>
      </c>
      <c r="Z169" s="0" t="str">
        <f aca="false">IF($T169="","",IFERROR(INDEX('Resumo Grupos'!$AC$3:$AC$200,MATCH($T169,'Resumo Grupos'!$AB$3:$AB$200,0)),"n/d"))</f>
        <v>Mercadoria</v>
      </c>
      <c r="AA169" s="0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9" t="n">
        <v>2</v>
      </c>
      <c r="B170" s="10" t="n">
        <v>46175</v>
      </c>
      <c r="C170" s="10" t="n">
        <v>46181</v>
      </c>
      <c r="D170" s="9" t="n">
        <v>1328</v>
      </c>
      <c r="E170" s="11" t="s">
        <v>95</v>
      </c>
      <c r="F170" s="9" t="n">
        <v>24</v>
      </c>
      <c r="G170" s="11" t="s">
        <v>51</v>
      </c>
      <c r="H170" s="9" t="n">
        <v>2110101</v>
      </c>
      <c r="I170" s="11" t="s">
        <v>43</v>
      </c>
      <c r="J170" s="9" t="n">
        <v>1193352</v>
      </c>
      <c r="L170" s="9" t="n">
        <v>3628</v>
      </c>
      <c r="M170" s="11" t="s">
        <v>52</v>
      </c>
      <c r="N170" s="11" t="s">
        <v>37</v>
      </c>
      <c r="P170" s="9" t="n">
        <v>113</v>
      </c>
      <c r="Q170" s="11" t="s">
        <v>46</v>
      </c>
      <c r="R170" s="11" t="s">
        <v>47</v>
      </c>
      <c r="S170" s="9" t="n">
        <v>1130101</v>
      </c>
      <c r="T170" s="11" t="s">
        <v>48</v>
      </c>
      <c r="U170" s="12" t="n">
        <v>209.7</v>
      </c>
      <c r="W170" s="12" t="n">
        <v>0</v>
      </c>
      <c r="X170" s="11" t="s">
        <v>294</v>
      </c>
      <c r="Z170" s="0" t="str">
        <f aca="false">IF($T170="","",IFERROR(INDEX('Resumo Grupos'!$AC$3:$AC$200,MATCH($T170,'Resumo Grupos'!$AB$3:$AB$200,0)),"n/d"))</f>
        <v>Mercadoria</v>
      </c>
      <c r="AA170" s="0" t="str">
        <f aca="false">IF($T170="","",IF(COUNTIF('Resumo Grupos'!$AE$3:$AE$40,$T170)&gt;0,"NAO","SIM"))</f>
        <v>SIM</v>
      </c>
      <c r="AB170" s="0" t="str">
        <f aca="false">IFERROR(INDEX('Mov Entradas (Rel 10497)'!$L:$L,MATCH(AC170,'Mov Entradas (Rel 10497)'!$I:$I,0)),"nao encontrado")</f>
        <v>PAO DE KIKAO 10</v>
      </c>
      <c r="AC170" s="0" t="n">
        <v>3628</v>
      </c>
    </row>
    <row r="171" customFormat="false" ht="45.75" hidden="false" customHeight="true" outlineLevel="0" collapsed="false">
      <c r="A171" s="9" t="n">
        <v>2</v>
      </c>
      <c r="B171" s="10" t="n">
        <v>46181</v>
      </c>
      <c r="C171" s="10" t="n">
        <v>46181</v>
      </c>
      <c r="D171" s="9" t="n">
        <v>0</v>
      </c>
      <c r="E171" s="11" t="s">
        <v>109</v>
      </c>
      <c r="F171" s="9" t="n">
        <v>17</v>
      </c>
      <c r="G171" s="11" t="s">
        <v>110</v>
      </c>
      <c r="H171" s="9" t="n">
        <v>1110101</v>
      </c>
      <c r="I171" s="11" t="s">
        <v>111</v>
      </c>
      <c r="J171" s="9" t="n">
        <v>1256553</v>
      </c>
      <c r="L171" s="9" t="n">
        <v>1256553</v>
      </c>
      <c r="M171" s="11" t="s">
        <v>52</v>
      </c>
      <c r="N171" s="11" t="s">
        <v>112</v>
      </c>
      <c r="P171" s="9" t="n">
        <v>113</v>
      </c>
      <c r="Q171" s="11" t="s">
        <v>46</v>
      </c>
      <c r="R171" s="11" t="s">
        <v>259</v>
      </c>
      <c r="S171" s="9" t="n">
        <v>2110101</v>
      </c>
      <c r="T171" s="11" t="s">
        <v>43</v>
      </c>
      <c r="U171" s="12" t="n">
        <v>195</v>
      </c>
      <c r="W171" s="12" t="n">
        <v>195</v>
      </c>
      <c r="X171" s="11" t="s">
        <v>295</v>
      </c>
      <c r="Z171" s="0" t="str">
        <f aca="false">IF($T171="","",IFERROR(INDEX('Resumo Grupos'!$AC$3:$AC$200,MATCH($T171,'Resumo Grupos'!$AB$3:$AB$200,0)),"n/d"))</f>
        <v>Despesa</v>
      </c>
      <c r="AA171" s="0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9" t="n">
        <v>2</v>
      </c>
      <c r="B172" s="10" t="n">
        <v>46181</v>
      </c>
      <c r="C172" s="10" t="n">
        <v>46181</v>
      </c>
      <c r="D172" s="9" t="n">
        <v>0</v>
      </c>
      <c r="E172" s="11" t="s">
        <v>109</v>
      </c>
      <c r="F172" s="9" t="n">
        <v>17</v>
      </c>
      <c r="G172" s="11" t="s">
        <v>110</v>
      </c>
      <c r="H172" s="9" t="n">
        <v>1110101</v>
      </c>
      <c r="I172" s="11" t="s">
        <v>111</v>
      </c>
      <c r="J172" s="9" t="n">
        <v>1256557</v>
      </c>
      <c r="L172" s="9" t="n">
        <v>1256557</v>
      </c>
      <c r="M172" s="11" t="s">
        <v>52</v>
      </c>
      <c r="N172" s="11" t="s">
        <v>112</v>
      </c>
      <c r="P172" s="9" t="n">
        <v>113</v>
      </c>
      <c r="Q172" s="11" t="s">
        <v>46</v>
      </c>
      <c r="R172" s="11" t="s">
        <v>259</v>
      </c>
      <c r="S172" s="9" t="n">
        <v>2110101</v>
      </c>
      <c r="T172" s="11" t="s">
        <v>43</v>
      </c>
      <c r="U172" s="12" t="n">
        <v>140</v>
      </c>
      <c r="W172" s="12" t="n">
        <v>140</v>
      </c>
      <c r="X172" s="11" t="s">
        <v>296</v>
      </c>
      <c r="Z172" s="0" t="str">
        <f aca="false">IF($T172="","",IFERROR(INDEX('Resumo Grupos'!$AC$3:$AC$200,MATCH($T172,'Resumo Grupos'!$AB$3:$AB$200,0)),"n/d"))</f>
        <v>Despesa</v>
      </c>
      <c r="AA172" s="0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9" t="n">
        <v>2</v>
      </c>
      <c r="B173" s="10" t="n">
        <v>46181</v>
      </c>
      <c r="C173" s="10" t="n">
        <v>46181</v>
      </c>
      <c r="D173" s="9" t="n">
        <v>0</v>
      </c>
      <c r="E173" s="11" t="s">
        <v>109</v>
      </c>
      <c r="F173" s="9" t="n">
        <v>17</v>
      </c>
      <c r="G173" s="11" t="s">
        <v>110</v>
      </c>
      <c r="H173" s="9" t="n">
        <v>1110101</v>
      </c>
      <c r="I173" s="11" t="s">
        <v>111</v>
      </c>
      <c r="J173" s="9" t="n">
        <v>1256560</v>
      </c>
      <c r="L173" s="9" t="n">
        <v>1256560</v>
      </c>
      <c r="M173" s="11" t="s">
        <v>52</v>
      </c>
      <c r="N173" s="11" t="s">
        <v>112</v>
      </c>
      <c r="P173" s="9" t="n">
        <v>113</v>
      </c>
      <c r="Q173" s="11" t="s">
        <v>46</v>
      </c>
      <c r="R173" s="11" t="s">
        <v>71</v>
      </c>
      <c r="S173" s="9" t="n">
        <v>4210314</v>
      </c>
      <c r="T173" s="11" t="s">
        <v>113</v>
      </c>
      <c r="U173" s="12" t="n">
        <v>70</v>
      </c>
      <c r="W173" s="12" t="n">
        <v>70</v>
      </c>
      <c r="X173" s="11" t="s">
        <v>187</v>
      </c>
      <c r="Z173" s="0" t="str">
        <f aca="false">IF($T173="","",IFERROR(INDEX('Resumo Grupos'!$AC$3:$AC$200,MATCH($T173,'Resumo Grupos'!$AB$3:$AB$200,0)),"n/d"))</f>
        <v>Despesa</v>
      </c>
      <c r="AA173" s="0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9" t="n">
        <v>2</v>
      </c>
      <c r="B174" s="10" t="n">
        <v>46181</v>
      </c>
      <c r="C174" s="10" t="n">
        <v>46181</v>
      </c>
      <c r="D174" s="9" t="n">
        <v>0</v>
      </c>
      <c r="E174" s="11" t="s">
        <v>109</v>
      </c>
      <c r="F174" s="9" t="n">
        <v>17</v>
      </c>
      <c r="G174" s="11" t="s">
        <v>110</v>
      </c>
      <c r="H174" s="9" t="n">
        <v>1110101</v>
      </c>
      <c r="I174" s="11" t="s">
        <v>111</v>
      </c>
      <c r="J174" s="9" t="n">
        <v>1256561</v>
      </c>
      <c r="L174" s="9" t="n">
        <v>1256561</v>
      </c>
      <c r="M174" s="11" t="s">
        <v>52</v>
      </c>
      <c r="N174" s="11" t="s">
        <v>112</v>
      </c>
      <c r="P174" s="9" t="n">
        <v>113</v>
      </c>
      <c r="Q174" s="11" t="s">
        <v>46</v>
      </c>
      <c r="R174" s="11" t="s">
        <v>71</v>
      </c>
      <c r="S174" s="9" t="n">
        <v>4210314</v>
      </c>
      <c r="T174" s="11" t="s">
        <v>113</v>
      </c>
      <c r="U174" s="12" t="n">
        <v>70</v>
      </c>
      <c r="W174" s="12" t="n">
        <v>70</v>
      </c>
      <c r="X174" s="11" t="s">
        <v>115</v>
      </c>
      <c r="Z174" s="0" t="str">
        <f aca="false">IF($T174="","",IFERROR(INDEX('Resumo Grupos'!$AC$3:$AC$200,MATCH($T174,'Resumo Grupos'!$AB$3:$AB$200,0)),"n/d"))</f>
        <v>Despesa</v>
      </c>
      <c r="AA174" s="0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9" t="n">
        <v>2</v>
      </c>
      <c r="B175" s="10" t="n">
        <v>46181</v>
      </c>
      <c r="C175" s="10" t="n">
        <v>46181</v>
      </c>
      <c r="D175" s="9" t="n">
        <v>0</v>
      </c>
      <c r="E175" s="11" t="s">
        <v>109</v>
      </c>
      <c r="F175" s="9" t="n">
        <v>17</v>
      </c>
      <c r="G175" s="11" t="s">
        <v>110</v>
      </c>
      <c r="H175" s="9" t="n">
        <v>1110101</v>
      </c>
      <c r="I175" s="11" t="s">
        <v>111</v>
      </c>
      <c r="J175" s="9" t="n">
        <v>1256609</v>
      </c>
      <c r="L175" s="9" t="n">
        <v>1256609</v>
      </c>
      <c r="M175" s="11" t="s">
        <v>52</v>
      </c>
      <c r="N175" s="11" t="s">
        <v>112</v>
      </c>
      <c r="P175" s="9" t="n">
        <v>113</v>
      </c>
      <c r="Q175" s="11" t="s">
        <v>46</v>
      </c>
      <c r="R175" s="11" t="s">
        <v>39</v>
      </c>
      <c r="S175" s="9" t="n">
        <v>4210227</v>
      </c>
      <c r="T175" s="11" t="s">
        <v>68</v>
      </c>
      <c r="U175" s="12" t="n">
        <v>4.5</v>
      </c>
      <c r="W175" s="12" t="n">
        <v>4.5</v>
      </c>
      <c r="X175" s="11" t="s">
        <v>297</v>
      </c>
      <c r="Z175" s="0" t="str">
        <f aca="false">IF($T175="","",IFERROR(INDEX('Resumo Grupos'!$AC$3:$AC$200,MATCH($T175,'Resumo Grupos'!$AB$3:$AB$200,0)),"n/d"))</f>
        <v>Despesa</v>
      </c>
      <c r="AA175" s="0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9" t="n">
        <v>2</v>
      </c>
      <c r="B176" s="10" t="n">
        <v>46181</v>
      </c>
      <c r="C176" s="10" t="n">
        <v>46181</v>
      </c>
      <c r="D176" s="9" t="n">
        <v>0</v>
      </c>
      <c r="E176" s="11" t="s">
        <v>109</v>
      </c>
      <c r="F176" s="9" t="n">
        <v>17</v>
      </c>
      <c r="G176" s="11" t="s">
        <v>110</v>
      </c>
      <c r="H176" s="9" t="n">
        <v>1110101</v>
      </c>
      <c r="I176" s="11" t="s">
        <v>111</v>
      </c>
      <c r="J176" s="9" t="n">
        <v>1361181</v>
      </c>
      <c r="L176" s="9" t="n">
        <v>1361181</v>
      </c>
      <c r="M176" s="11" t="s">
        <v>52</v>
      </c>
      <c r="N176" s="11" t="s">
        <v>112</v>
      </c>
      <c r="P176" s="9" t="n">
        <v>113</v>
      </c>
      <c r="Q176" s="11" t="s">
        <v>46</v>
      </c>
      <c r="R176" s="11" t="s">
        <v>116</v>
      </c>
      <c r="S176" s="9" t="n">
        <v>1110203</v>
      </c>
      <c r="T176" s="11" t="s">
        <v>117</v>
      </c>
      <c r="U176" s="12" t="n">
        <v>2430</v>
      </c>
      <c r="W176" s="12" t="n">
        <v>2430</v>
      </c>
      <c r="X176" s="11" t="s">
        <v>298</v>
      </c>
      <c r="Z176" s="0" t="str">
        <f aca="false">IF($T176="","",IFERROR(INDEX('Resumo Grupos'!$AC$3:$AC$200,MATCH($T176,'Resumo Grupos'!$AB$3:$AB$200,0)),"n/d"))</f>
        <v>Despesa</v>
      </c>
      <c r="AA176" s="0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9" t="n">
        <v>2</v>
      </c>
      <c r="B177" s="10" t="n">
        <v>46174</v>
      </c>
      <c r="C177" s="10" t="n">
        <v>46181</v>
      </c>
      <c r="D177" s="9" t="n">
        <v>1631</v>
      </c>
      <c r="E177" s="11" t="s">
        <v>299</v>
      </c>
      <c r="F177" s="9" t="n">
        <v>24</v>
      </c>
      <c r="G177" s="11" t="s">
        <v>51</v>
      </c>
      <c r="H177" s="9" t="n">
        <v>2110101</v>
      </c>
      <c r="I177" s="11" t="s">
        <v>43</v>
      </c>
      <c r="J177" s="9" t="n">
        <v>1187978</v>
      </c>
      <c r="L177" s="9" t="n">
        <v>14975</v>
      </c>
      <c r="M177" s="11" t="s">
        <v>52</v>
      </c>
      <c r="N177" s="11" t="s">
        <v>37</v>
      </c>
      <c r="P177" s="9" t="n">
        <v>113</v>
      </c>
      <c r="Q177" s="11" t="s">
        <v>46</v>
      </c>
      <c r="R177" s="11" t="s">
        <v>47</v>
      </c>
      <c r="S177" s="9" t="n">
        <v>1130101</v>
      </c>
      <c r="T177" s="11" t="s">
        <v>48</v>
      </c>
      <c r="U177" s="12" t="n">
        <v>374.01</v>
      </c>
      <c r="W177" s="12" t="n">
        <v>0</v>
      </c>
      <c r="X177" s="11" t="s">
        <v>300</v>
      </c>
      <c r="Z177" s="0" t="str">
        <f aca="false">IF($T177="","",IFERROR(INDEX('Resumo Grupos'!$AC$3:$AC$200,MATCH($T177,'Resumo Grupos'!$AB$3:$AB$200,0)),"n/d"))</f>
        <v>Mercadoria</v>
      </c>
      <c r="AA177" s="0" t="str">
        <f aca="false">IF($T177="","",IF(COUNTIF('Resumo Grupos'!$AE$3:$AE$40,$T177)&gt;0,"NAO","SIM"))</f>
        <v>SIM</v>
      </c>
      <c r="AB177" s="0" t="str">
        <f aca="false">IFERROR(INDEX('Mov Entradas (Rel 10497)'!$L:$L,MATCH(AC177,'Mov Entradas (Rel 10497)'!$I:$I,0)),"nao encontrado")</f>
        <v>IOGURTE AMAZONGURT D</v>
      </c>
      <c r="AC177" s="0" t="n">
        <v>14975</v>
      </c>
    </row>
    <row r="178" customFormat="false" ht="45.75" hidden="false" customHeight="true" outlineLevel="0" collapsed="false">
      <c r="A178" s="9" t="n">
        <v>2</v>
      </c>
      <c r="B178" s="10" t="n">
        <v>46163</v>
      </c>
      <c r="C178" s="10" t="n">
        <v>46181</v>
      </c>
      <c r="D178" s="9" t="n">
        <v>1671</v>
      </c>
      <c r="E178" s="11" t="s">
        <v>119</v>
      </c>
      <c r="F178" s="9" t="n">
        <v>24</v>
      </c>
      <c r="G178" s="11" t="s">
        <v>51</v>
      </c>
      <c r="H178" s="9" t="n">
        <v>2110101</v>
      </c>
      <c r="I178" s="11" t="s">
        <v>43</v>
      </c>
      <c r="J178" s="9" t="n">
        <v>1131480</v>
      </c>
      <c r="L178" s="9" t="n">
        <v>569926</v>
      </c>
      <c r="M178" s="11" t="s">
        <v>52</v>
      </c>
      <c r="N178" s="11" t="s">
        <v>37</v>
      </c>
      <c r="P178" s="9" t="n">
        <v>113</v>
      </c>
      <c r="Q178" s="11" t="s">
        <v>46</v>
      </c>
      <c r="R178" s="11" t="s">
        <v>47</v>
      </c>
      <c r="S178" s="9" t="n">
        <v>1130101</v>
      </c>
      <c r="T178" s="11" t="s">
        <v>48</v>
      </c>
      <c r="U178" s="12" t="n">
        <v>680.53</v>
      </c>
      <c r="W178" s="12" t="n">
        <v>0</v>
      </c>
      <c r="X178" s="11" t="s">
        <v>301</v>
      </c>
      <c r="Z178" s="0" t="str">
        <f aca="false">IF($T178="","",IFERROR(INDEX('Resumo Grupos'!$AC$3:$AC$200,MATCH($T178,'Resumo Grupos'!$AB$3:$AB$200,0)),"n/d"))</f>
        <v>Mercadoria</v>
      </c>
      <c r="AA178" s="0" t="str">
        <f aca="false">IF($T178="","",IF(COUNTIF('Resumo Grupos'!$AE$3:$AE$40,$T178)&gt;0,"NAO","SIM"))</f>
        <v>SIM</v>
      </c>
      <c r="AB178" s="0" t="str">
        <f aca="false">IFERROR(INDEX('Mov Entradas (Rel 10497)'!$L:$L,MATCH(AC178,'Mov Entradas (Rel 10497)'!$I:$I,0)),"nao encontrado")</f>
        <v>nao encontrado</v>
      </c>
      <c r="AC178" s="0" t="n">
        <v>569926</v>
      </c>
    </row>
    <row r="179" customFormat="false" ht="36.75" hidden="false" customHeight="true" outlineLevel="0" collapsed="false">
      <c r="A179" s="9" t="n">
        <v>2</v>
      </c>
      <c r="B179" s="10" t="n">
        <v>46164</v>
      </c>
      <c r="C179" s="10" t="n">
        <v>46181</v>
      </c>
      <c r="D179" s="9" t="n">
        <v>1671</v>
      </c>
      <c r="E179" s="11" t="s">
        <v>119</v>
      </c>
      <c r="F179" s="9" t="n">
        <v>24</v>
      </c>
      <c r="G179" s="11" t="s">
        <v>51</v>
      </c>
      <c r="H179" s="9" t="n">
        <v>2110101</v>
      </c>
      <c r="I179" s="11" t="s">
        <v>43</v>
      </c>
      <c r="J179" s="9" t="n">
        <v>1138283</v>
      </c>
      <c r="L179" s="9" t="n">
        <v>151110</v>
      </c>
      <c r="M179" s="11" t="s">
        <v>52</v>
      </c>
      <c r="N179" s="11" t="s">
        <v>45</v>
      </c>
      <c r="P179" s="9" t="n">
        <v>113</v>
      </c>
      <c r="Q179" s="11" t="s">
        <v>46</v>
      </c>
      <c r="R179" s="11" t="s">
        <v>47</v>
      </c>
      <c r="S179" s="9" t="n">
        <v>1130101</v>
      </c>
      <c r="T179" s="11" t="s">
        <v>48</v>
      </c>
      <c r="U179" s="12" t="n">
        <v>1095.36</v>
      </c>
      <c r="W179" s="12" t="n">
        <v>0</v>
      </c>
      <c r="X179" s="11" t="s">
        <v>120</v>
      </c>
      <c r="Z179" s="0" t="str">
        <f aca="false">IF($T179="","",IFERROR(INDEX('Resumo Grupos'!$AC$3:$AC$200,MATCH($T179,'Resumo Grupos'!$AB$3:$AB$200,0)),"n/d"))</f>
        <v>Mercadoria</v>
      </c>
      <c r="AA179" s="0" t="str">
        <f aca="false">IF($T179="","",IF(COUNTIF('Resumo Grupos'!$AE$3:$AE$40,$T179)&gt;0,"NAO","SIM"))</f>
        <v>SIM</v>
      </c>
      <c r="AB179" s="0" t="str">
        <f aca="false">IFERROR(INDEX('Mov Entradas (Rel 10497)'!$L:$L,MATCH(AC179,'Mov Entradas (Rel 10497)'!$I:$I,0)),"nao encontrado")</f>
        <v>nao encontrado</v>
      </c>
      <c r="AC179" s="0" t="n">
        <v>569925</v>
      </c>
    </row>
    <row r="180" customFormat="false" ht="36.75" hidden="false" customHeight="true" outlineLevel="0" collapsed="false">
      <c r="A180" s="9" t="n">
        <v>2</v>
      </c>
      <c r="B180" s="10" t="n">
        <v>46182</v>
      </c>
      <c r="C180" s="10" t="n">
        <v>46182</v>
      </c>
      <c r="D180" s="9" t="n">
        <v>642</v>
      </c>
      <c r="E180" s="11" t="s">
        <v>123</v>
      </c>
      <c r="F180" s="9" t="n">
        <v>24</v>
      </c>
      <c r="G180" s="11" t="s">
        <v>51</v>
      </c>
      <c r="H180" s="9" t="n">
        <v>2110101</v>
      </c>
      <c r="I180" s="11" t="s">
        <v>43</v>
      </c>
      <c r="J180" s="9" t="n">
        <v>1227245</v>
      </c>
      <c r="L180" s="9" t="n">
        <v>493</v>
      </c>
      <c r="M180" s="11" t="s">
        <v>52</v>
      </c>
      <c r="N180" s="11" t="s">
        <v>37</v>
      </c>
      <c r="P180" s="9" t="n">
        <v>113</v>
      </c>
      <c r="Q180" s="11" t="s">
        <v>46</v>
      </c>
      <c r="R180" s="11" t="s">
        <v>47</v>
      </c>
      <c r="S180" s="9" t="n">
        <v>1130101</v>
      </c>
      <c r="T180" s="11" t="s">
        <v>48</v>
      </c>
      <c r="U180" s="12" t="n">
        <v>180</v>
      </c>
      <c r="W180" s="12" t="n">
        <v>0</v>
      </c>
      <c r="X180" s="11" t="s">
        <v>302</v>
      </c>
      <c r="Z180" s="0" t="str">
        <f aca="false">IF($T180="","",IFERROR(INDEX('Resumo Grupos'!$AC$3:$AC$200,MATCH($T180,'Resumo Grupos'!$AB$3:$AB$200,0)),"n/d"))</f>
        <v>Mercadoria</v>
      </c>
      <c r="AA180" s="0" t="str">
        <f aca="false">IF($T180="","",IF(COUNTIF('Resumo Grupos'!$AE$3:$AE$40,$T180)&gt;0,"NAO","SIM"))</f>
        <v>SIM</v>
      </c>
      <c r="AB180" s="0" t="str">
        <f aca="false">IFERROR(INDEX('Mov Entradas (Rel 10497)'!$L:$L,MATCH(AC180,'Mov Entradas (Rel 10497)'!$I:$I,0)),"nao encontrado")</f>
        <v>BOLO BLOOM 600G</v>
      </c>
      <c r="AC180" s="0" t="n">
        <v>493</v>
      </c>
    </row>
    <row r="181" customFormat="false" ht="36.75" hidden="false" customHeight="true" outlineLevel="0" collapsed="false">
      <c r="A181" s="9" t="n">
        <v>2</v>
      </c>
      <c r="B181" s="10" t="n">
        <v>46177</v>
      </c>
      <c r="C181" s="10" t="n">
        <v>46182</v>
      </c>
      <c r="D181" s="9" t="n">
        <v>10018</v>
      </c>
      <c r="E181" s="11" t="s">
        <v>216</v>
      </c>
      <c r="F181" s="9" t="n">
        <v>34</v>
      </c>
      <c r="G181" s="11" t="s">
        <v>55</v>
      </c>
      <c r="H181" s="9" t="n">
        <v>2110101</v>
      </c>
      <c r="I181" s="11" t="s">
        <v>43</v>
      </c>
      <c r="J181" s="9" t="n">
        <v>1202298</v>
      </c>
      <c r="L181" s="9" t="n">
        <v>160380</v>
      </c>
      <c r="M181" s="11" t="s">
        <v>52</v>
      </c>
      <c r="N181" s="11" t="s">
        <v>45</v>
      </c>
      <c r="P181" s="9" t="n">
        <v>113</v>
      </c>
      <c r="Q181" s="11" t="s">
        <v>46</v>
      </c>
      <c r="R181" s="11" t="s">
        <v>47</v>
      </c>
      <c r="S181" s="9" t="n">
        <v>1130101</v>
      </c>
      <c r="T181" s="11" t="s">
        <v>48</v>
      </c>
      <c r="U181" s="12" t="n">
        <v>950</v>
      </c>
      <c r="W181" s="12" t="n">
        <v>0</v>
      </c>
      <c r="X181" s="11" t="s">
        <v>303</v>
      </c>
      <c r="Z181" s="0" t="str">
        <f aca="false">IF($T181="","",IFERROR(INDEX('Resumo Grupos'!$AC$3:$AC$200,MATCH($T181,'Resumo Grupos'!$AB$3:$AB$200,0)),"n/d"))</f>
        <v>Mercadoria</v>
      </c>
      <c r="AA181" s="0" t="str">
        <f aca="false">IF($T181="","",IF(COUNTIF('Resumo Grupos'!$AE$3:$AE$40,$T181)&gt;0,"NAO","SIM"))</f>
        <v>SIM</v>
      </c>
      <c r="AB181" s="0" t="str">
        <f aca="false">IFERROR(INDEX('Mov Entradas (Rel 10497)'!$L:$L,MATCH(AC181,'Mov Entradas (Rel 10497)'!$I:$I,0)),"nao encontrado")</f>
        <v>OVOS BRANCO UNID</v>
      </c>
      <c r="AC181" s="0" t="n">
        <v>294</v>
      </c>
    </row>
    <row r="182" customFormat="false" ht="45.75" hidden="false" customHeight="true" outlineLevel="0" collapsed="false">
      <c r="A182" s="9" t="n">
        <v>2</v>
      </c>
      <c r="B182" s="10" t="n">
        <v>46167</v>
      </c>
      <c r="C182" s="10" t="n">
        <v>46182</v>
      </c>
      <c r="D182" s="9" t="n">
        <v>1705</v>
      </c>
      <c r="E182" s="11" t="s">
        <v>130</v>
      </c>
      <c r="F182" s="9" t="n">
        <v>24</v>
      </c>
      <c r="G182" s="11" t="s">
        <v>51</v>
      </c>
      <c r="H182" s="9" t="n">
        <v>2110101</v>
      </c>
      <c r="I182" s="11" t="s">
        <v>43</v>
      </c>
      <c r="J182" s="9" t="n">
        <v>1150772</v>
      </c>
      <c r="L182" s="9" t="n">
        <v>1133947</v>
      </c>
      <c r="M182" s="11" t="s">
        <v>52</v>
      </c>
      <c r="N182" s="11" t="s">
        <v>37</v>
      </c>
      <c r="P182" s="9" t="n">
        <v>113</v>
      </c>
      <c r="Q182" s="11" t="s">
        <v>46</v>
      </c>
      <c r="R182" s="11" t="s">
        <v>47</v>
      </c>
      <c r="S182" s="9" t="n">
        <v>1130101</v>
      </c>
      <c r="T182" s="11" t="s">
        <v>48</v>
      </c>
      <c r="U182" s="12" t="n">
        <v>776.55</v>
      </c>
      <c r="W182" s="12" t="n">
        <v>0</v>
      </c>
      <c r="X182" s="11" t="s">
        <v>304</v>
      </c>
      <c r="Z182" s="0" t="str">
        <f aca="false">IF($T182="","",IFERROR(INDEX('Resumo Grupos'!$AC$3:$AC$200,MATCH($T182,'Resumo Grupos'!$AB$3:$AB$200,0)),"n/d"))</f>
        <v>Mercadoria</v>
      </c>
      <c r="AA182" s="0" t="str">
        <f aca="false">IF($T182="","",IF(COUNTIF('Resumo Grupos'!$AE$3:$AE$40,$T182)&gt;0,"NAO","SIM"))</f>
        <v>SIM</v>
      </c>
      <c r="AB182" s="0" t="str">
        <f aca="false">IFERROR(INDEX('Mov Entradas (Rel 10497)'!$L:$L,MATCH(AC182,'Mov Entradas (Rel 10497)'!$I:$I,0)),"nao encontrado")</f>
        <v>nao encontrado</v>
      </c>
      <c r="AC182" s="0" t="n">
        <v>1133947</v>
      </c>
    </row>
    <row r="183" customFormat="false" ht="45.75" hidden="false" customHeight="true" outlineLevel="0" collapsed="false">
      <c r="A183" s="9" t="n">
        <v>2</v>
      </c>
      <c r="B183" s="10" t="n">
        <v>46167</v>
      </c>
      <c r="C183" s="10" t="n">
        <v>46182</v>
      </c>
      <c r="D183" s="9" t="n">
        <v>1705</v>
      </c>
      <c r="E183" s="11" t="s">
        <v>130</v>
      </c>
      <c r="F183" s="9" t="n">
        <v>24</v>
      </c>
      <c r="G183" s="11" t="s">
        <v>51</v>
      </c>
      <c r="H183" s="9" t="n">
        <v>2110101</v>
      </c>
      <c r="I183" s="11" t="s">
        <v>43</v>
      </c>
      <c r="J183" s="9" t="n">
        <v>1150801</v>
      </c>
      <c r="L183" s="9" t="n">
        <v>152633</v>
      </c>
      <c r="M183" s="11" t="s">
        <v>52</v>
      </c>
      <c r="N183" s="11" t="s">
        <v>45</v>
      </c>
      <c r="P183" s="9" t="n">
        <v>113</v>
      </c>
      <c r="Q183" s="11" t="s">
        <v>46</v>
      </c>
      <c r="R183" s="11" t="s">
        <v>47</v>
      </c>
      <c r="S183" s="9" t="n">
        <v>1130101</v>
      </c>
      <c r="T183" s="11" t="s">
        <v>48</v>
      </c>
      <c r="U183" s="12" t="n">
        <v>258.47</v>
      </c>
      <c r="W183" s="12" t="n">
        <v>0</v>
      </c>
      <c r="X183" s="11" t="s">
        <v>305</v>
      </c>
      <c r="Z183" s="0" t="str">
        <f aca="false">IF($T183="","",IFERROR(INDEX('Resumo Grupos'!$AC$3:$AC$200,MATCH($T183,'Resumo Grupos'!$AB$3:$AB$200,0)),"n/d"))</f>
        <v>Mercadoria</v>
      </c>
      <c r="AA183" s="0" t="str">
        <f aca="false">IF($T183="","",IF(COUNTIF('Resumo Grupos'!$AE$3:$AE$40,$T183)&gt;0,"NAO","SIM"))</f>
        <v>SIM</v>
      </c>
      <c r="AB183" s="0" t="str">
        <f aca="false">IFERROR(INDEX('Mov Entradas (Rel 10497)'!$L:$L,MATCH(AC183,'Mov Entradas (Rel 10497)'!$I:$I,0)),"nao encontrado")</f>
        <v>nao encontrado</v>
      </c>
      <c r="AC183" s="0" t="n">
        <v>1133905</v>
      </c>
    </row>
    <row r="184" customFormat="false" ht="36.75" hidden="false" customHeight="true" outlineLevel="0" collapsed="false">
      <c r="A184" s="9" t="n">
        <v>2</v>
      </c>
      <c r="B184" s="10" t="n">
        <v>46175</v>
      </c>
      <c r="C184" s="10" t="n">
        <v>46182</v>
      </c>
      <c r="D184" s="9" t="n">
        <v>1642</v>
      </c>
      <c r="E184" s="11" t="s">
        <v>228</v>
      </c>
      <c r="F184" s="9" t="n">
        <v>24</v>
      </c>
      <c r="G184" s="11" t="s">
        <v>51</v>
      </c>
      <c r="H184" s="9" t="n">
        <v>2110101</v>
      </c>
      <c r="I184" s="11" t="s">
        <v>43</v>
      </c>
      <c r="J184" s="9" t="n">
        <v>1191352</v>
      </c>
      <c r="L184" s="9" t="n">
        <v>1025111</v>
      </c>
      <c r="M184" s="11" t="s">
        <v>52</v>
      </c>
      <c r="N184" s="11" t="s">
        <v>37</v>
      </c>
      <c r="P184" s="9" t="n">
        <v>113</v>
      </c>
      <c r="Q184" s="11" t="s">
        <v>46</v>
      </c>
      <c r="R184" s="11" t="s">
        <v>47</v>
      </c>
      <c r="S184" s="9" t="n">
        <v>1130101</v>
      </c>
      <c r="T184" s="11" t="s">
        <v>48</v>
      </c>
      <c r="U184" s="12" t="n">
        <v>337.08</v>
      </c>
      <c r="W184" s="12" t="n">
        <v>0</v>
      </c>
      <c r="X184" s="11" t="s">
        <v>306</v>
      </c>
      <c r="Z184" s="0" t="str">
        <f aca="false">IF($T184="","",IFERROR(INDEX('Resumo Grupos'!$AC$3:$AC$200,MATCH($T184,'Resumo Grupos'!$AB$3:$AB$200,0)),"n/d"))</f>
        <v>Mercadoria</v>
      </c>
      <c r="AA184" s="0" t="str">
        <f aca="false">IF($T184="","",IF(COUNTIF('Resumo Grupos'!$AE$3:$AE$40,$T184)&gt;0,"NAO","SIM"))</f>
        <v>SIM</v>
      </c>
      <c r="AB184" s="0" t="str">
        <f aca="false">IFERROR(INDEX('Mov Entradas (Rel 10497)'!$L:$L,MATCH(AC184,'Mov Entradas (Rel 10497)'!$I:$I,0)),"nao encontrado")</f>
        <v>PAO DE FORMA BROTHER</v>
      </c>
      <c r="AC184" s="0" t="n">
        <v>1025111</v>
      </c>
    </row>
    <row r="185" customFormat="false" ht="36.75" hidden="false" customHeight="true" outlineLevel="0" collapsed="false">
      <c r="A185" s="9" t="n">
        <v>2</v>
      </c>
      <c r="B185" s="10" t="n">
        <v>46182</v>
      </c>
      <c r="C185" s="10" t="n">
        <v>46182</v>
      </c>
      <c r="D185" s="9" t="n">
        <v>1037</v>
      </c>
      <c r="E185" s="11" t="s">
        <v>134</v>
      </c>
      <c r="F185" s="9" t="n">
        <v>13</v>
      </c>
      <c r="G185" s="11" t="s">
        <v>135</v>
      </c>
      <c r="H185" s="9" t="n">
        <v>2110101</v>
      </c>
      <c r="I185" s="11" t="s">
        <v>43</v>
      </c>
      <c r="J185" s="9" t="n">
        <v>1227950</v>
      </c>
      <c r="L185" s="9" t="n">
        <v>163364</v>
      </c>
      <c r="M185" s="11" t="s">
        <v>52</v>
      </c>
      <c r="N185" s="11" t="s">
        <v>45</v>
      </c>
      <c r="P185" s="9" t="n">
        <v>113</v>
      </c>
      <c r="Q185" s="11" t="s">
        <v>46</v>
      </c>
      <c r="R185" s="11" t="s">
        <v>47</v>
      </c>
      <c r="S185" s="9" t="n">
        <v>1130101</v>
      </c>
      <c r="T185" s="11" t="s">
        <v>48</v>
      </c>
      <c r="U185" s="12" t="n">
        <v>180</v>
      </c>
      <c r="W185" s="12" t="n">
        <v>0</v>
      </c>
      <c r="X185" s="11" t="s">
        <v>307</v>
      </c>
      <c r="Z185" s="0" t="str">
        <f aca="false">IF($T185="","",IFERROR(INDEX('Resumo Grupos'!$AC$3:$AC$200,MATCH($T185,'Resumo Grupos'!$AB$3:$AB$200,0)),"n/d"))</f>
        <v>Mercadoria</v>
      </c>
      <c r="AA185" s="0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9" t="n">
        <v>2</v>
      </c>
      <c r="B186" s="10" t="n">
        <v>46182</v>
      </c>
      <c r="C186" s="10" t="n">
        <v>46182</v>
      </c>
      <c r="D186" s="9" t="n">
        <v>1037</v>
      </c>
      <c r="E186" s="11" t="s">
        <v>134</v>
      </c>
      <c r="F186" s="9" t="n">
        <v>34</v>
      </c>
      <c r="G186" s="11" t="s">
        <v>55</v>
      </c>
      <c r="H186" s="9" t="n">
        <v>2110405</v>
      </c>
      <c r="I186" s="11" t="s">
        <v>56</v>
      </c>
      <c r="J186" s="9" t="n">
        <v>1237086</v>
      </c>
      <c r="L186" s="9" t="n">
        <v>164841</v>
      </c>
      <c r="M186" s="11" t="s">
        <v>52</v>
      </c>
      <c r="N186" s="11" t="s">
        <v>45</v>
      </c>
      <c r="P186" s="9" t="n">
        <v>102</v>
      </c>
      <c r="Q186" s="11" t="s">
        <v>308</v>
      </c>
      <c r="R186" s="11" t="s">
        <v>81</v>
      </c>
      <c r="S186" s="9" t="n">
        <v>4220199</v>
      </c>
      <c r="T186" s="11" t="s">
        <v>82</v>
      </c>
      <c r="U186" s="12" t="n">
        <v>404</v>
      </c>
      <c r="W186" s="12" t="n">
        <v>0</v>
      </c>
      <c r="X186" s="11" t="s">
        <v>309</v>
      </c>
      <c r="Z186" s="0" t="str">
        <f aca="false">IF($T186="","",IFERROR(INDEX('Resumo Grupos'!$AC$3:$AC$200,MATCH($T186,'Resumo Grupos'!$AB$3:$AB$200,0)),"n/d"))</f>
        <v>Pagamentos outros não operacionais</v>
      </c>
      <c r="AA186" s="0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9" t="n">
        <v>2</v>
      </c>
      <c r="B187" s="10" t="n">
        <v>46182</v>
      </c>
      <c r="C187" s="10" t="n">
        <v>46182</v>
      </c>
      <c r="D187" s="9" t="n">
        <v>1037</v>
      </c>
      <c r="E187" s="11" t="s">
        <v>134</v>
      </c>
      <c r="F187" s="9" t="n">
        <v>34</v>
      </c>
      <c r="G187" s="11" t="s">
        <v>55</v>
      </c>
      <c r="H187" s="9" t="n">
        <v>2110405</v>
      </c>
      <c r="I187" s="11" t="s">
        <v>56</v>
      </c>
      <c r="J187" s="9" t="n">
        <v>1237089</v>
      </c>
      <c r="L187" s="9" t="n">
        <v>164844</v>
      </c>
      <c r="M187" s="11" t="s">
        <v>52</v>
      </c>
      <c r="N187" s="11" t="s">
        <v>45</v>
      </c>
      <c r="P187" s="9" t="n">
        <v>102</v>
      </c>
      <c r="Q187" s="11" t="s">
        <v>308</v>
      </c>
      <c r="R187" s="11" t="s">
        <v>81</v>
      </c>
      <c r="S187" s="9" t="n">
        <v>4220199</v>
      </c>
      <c r="T187" s="11" t="s">
        <v>82</v>
      </c>
      <c r="U187" s="12" t="n">
        <v>1340</v>
      </c>
      <c r="W187" s="12" t="n">
        <v>0</v>
      </c>
      <c r="X187" s="11" t="s">
        <v>309</v>
      </c>
      <c r="Z187" s="0" t="str">
        <f aca="false">IF($T187="","",IFERROR(INDEX('Resumo Grupos'!$AC$3:$AC$200,MATCH($T187,'Resumo Grupos'!$AB$3:$AB$200,0)),"n/d"))</f>
        <v>Pagamentos outros não operacionais</v>
      </c>
      <c r="AA187" s="0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9" t="n">
        <v>2</v>
      </c>
      <c r="B188" s="10" t="n">
        <v>46178</v>
      </c>
      <c r="C188" s="10" t="n">
        <v>46182</v>
      </c>
      <c r="D188" s="9" t="n">
        <v>10067</v>
      </c>
      <c r="E188" s="11" t="s">
        <v>310</v>
      </c>
      <c r="F188" s="9" t="n">
        <v>24</v>
      </c>
      <c r="G188" s="11" t="s">
        <v>51</v>
      </c>
      <c r="H188" s="9" t="n">
        <v>2110405</v>
      </c>
      <c r="I188" s="11" t="s">
        <v>56</v>
      </c>
      <c r="J188" s="9" t="n">
        <v>1206907</v>
      </c>
      <c r="L188" s="9" t="n">
        <v>160749</v>
      </c>
      <c r="M188" s="11" t="s">
        <v>52</v>
      </c>
      <c r="N188" s="11" t="s">
        <v>45</v>
      </c>
      <c r="P188" s="9" t="n">
        <v>101</v>
      </c>
      <c r="Q188" s="11" t="s">
        <v>57</v>
      </c>
      <c r="R188" s="11" t="s">
        <v>39</v>
      </c>
      <c r="S188" s="9" t="n">
        <v>4210227</v>
      </c>
      <c r="T188" s="11" t="s">
        <v>68</v>
      </c>
      <c r="U188" s="12" t="n">
        <v>134.8</v>
      </c>
      <c r="W188" s="12" t="n">
        <v>0</v>
      </c>
      <c r="X188" s="11" t="s">
        <v>311</v>
      </c>
      <c r="Z188" s="0" t="str">
        <f aca="false">IF($T188="","",IFERROR(INDEX('Resumo Grupos'!$AC$3:$AC$200,MATCH($T188,'Resumo Grupos'!$AB$3:$AB$200,0)),"n/d"))</f>
        <v>Despesa</v>
      </c>
      <c r="AA188" s="0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9" t="n">
        <v>2</v>
      </c>
      <c r="B189" s="10" t="n">
        <v>46163</v>
      </c>
      <c r="C189" s="10" t="n">
        <v>46182</v>
      </c>
      <c r="D189" s="9" t="n">
        <v>1668</v>
      </c>
      <c r="E189" s="11" t="s">
        <v>151</v>
      </c>
      <c r="F189" s="9" t="n">
        <v>24</v>
      </c>
      <c r="G189" s="11" t="s">
        <v>51</v>
      </c>
      <c r="H189" s="9" t="n">
        <v>2110101</v>
      </c>
      <c r="I189" s="11" t="s">
        <v>43</v>
      </c>
      <c r="J189" s="9" t="n">
        <v>1131396</v>
      </c>
      <c r="L189" s="9" t="n">
        <v>720157</v>
      </c>
      <c r="M189" s="11" t="s">
        <v>44</v>
      </c>
      <c r="N189" s="11" t="s">
        <v>37</v>
      </c>
      <c r="P189" s="9" t="n">
        <v>113</v>
      </c>
      <c r="Q189" s="11" t="s">
        <v>46</v>
      </c>
      <c r="R189" s="11" t="s">
        <v>47</v>
      </c>
      <c r="S189" s="9" t="n">
        <v>1130101</v>
      </c>
      <c r="T189" s="11" t="s">
        <v>48</v>
      </c>
      <c r="U189" s="12" t="n">
        <v>460.61</v>
      </c>
      <c r="W189" s="12" t="n">
        <v>0</v>
      </c>
      <c r="X189" s="11" t="s">
        <v>152</v>
      </c>
      <c r="Z189" s="0" t="str">
        <f aca="false">IF($T189="","",IFERROR(INDEX('Resumo Grupos'!$AC$3:$AC$200,MATCH($T189,'Resumo Grupos'!$AB$3:$AB$200,0)),"n/d"))</f>
        <v>Mercadoria</v>
      </c>
      <c r="AA189" s="0" t="str">
        <f aca="false">IF($T189="","",IF(COUNTIF('Resumo Grupos'!$AE$3:$AE$40,$T189)&gt;0,"NAO","SIM"))</f>
        <v>SIM</v>
      </c>
      <c r="AB189" s="0" t="str">
        <f aca="false">IFERROR(INDEX('Mov Entradas (Rel 10497)'!$L:$L,MATCH(AC189,'Mov Entradas (Rel 10497)'!$I:$I,0)),"nao encontrado")</f>
        <v>nao encontrado</v>
      </c>
      <c r="AC189" s="0" t="n">
        <v>720157</v>
      </c>
    </row>
    <row r="190" customFormat="false" ht="36.75" hidden="false" customHeight="true" outlineLevel="0" collapsed="false">
      <c r="A190" s="9" t="n">
        <v>2</v>
      </c>
      <c r="B190" s="10" t="n">
        <v>46182</v>
      </c>
      <c r="C190" s="10" t="n">
        <v>46182</v>
      </c>
      <c r="D190" s="9" t="n">
        <v>48</v>
      </c>
      <c r="E190" s="11" t="s">
        <v>153</v>
      </c>
      <c r="F190" s="9" t="n">
        <v>13</v>
      </c>
      <c r="G190" s="11" t="s">
        <v>135</v>
      </c>
      <c r="H190" s="9" t="n">
        <v>2110101</v>
      </c>
      <c r="I190" s="11" t="s">
        <v>43</v>
      </c>
      <c r="J190" s="9" t="n">
        <v>1227926</v>
      </c>
      <c r="L190" s="9" t="n">
        <v>2487</v>
      </c>
      <c r="M190" s="11" t="s">
        <v>52</v>
      </c>
      <c r="N190" s="11" t="s">
        <v>37</v>
      </c>
      <c r="P190" s="9" t="n">
        <v>113</v>
      </c>
      <c r="Q190" s="11" t="s">
        <v>46</v>
      </c>
      <c r="R190" s="11" t="s">
        <v>47</v>
      </c>
      <c r="S190" s="9" t="n">
        <v>1130101</v>
      </c>
      <c r="T190" s="11" t="s">
        <v>48</v>
      </c>
      <c r="U190" s="12" t="n">
        <v>1926.18</v>
      </c>
      <c r="W190" s="12" t="n">
        <v>0</v>
      </c>
      <c r="X190" s="11" t="s">
        <v>312</v>
      </c>
      <c r="Z190" s="0" t="str">
        <f aca="false">IF($T190="","",IFERROR(INDEX('Resumo Grupos'!$AC$3:$AC$200,MATCH($T190,'Resumo Grupos'!$AB$3:$AB$200,0)),"n/d"))</f>
        <v>Mercadoria</v>
      </c>
      <c r="AA190" s="0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9" t="n">
        <v>2</v>
      </c>
      <c r="B191" s="10" t="n">
        <v>46147</v>
      </c>
      <c r="C191" s="10" t="n">
        <v>46182</v>
      </c>
      <c r="D191" s="9" t="n">
        <v>33</v>
      </c>
      <c r="E191" s="11" t="s">
        <v>313</v>
      </c>
      <c r="F191" s="9" t="n">
        <v>34</v>
      </c>
      <c r="G191" s="11" t="s">
        <v>55</v>
      </c>
      <c r="H191" s="9" t="n">
        <v>2110405</v>
      </c>
      <c r="I191" s="11" t="s">
        <v>56</v>
      </c>
      <c r="J191" s="9" t="n">
        <v>1052625</v>
      </c>
      <c r="L191" s="9" t="n">
        <v>139006</v>
      </c>
      <c r="M191" s="11" t="s">
        <v>52</v>
      </c>
      <c r="N191" s="11" t="s">
        <v>45</v>
      </c>
      <c r="P191" s="9" t="n">
        <v>101</v>
      </c>
      <c r="Q191" s="11" t="s">
        <v>57</v>
      </c>
      <c r="R191" s="11" t="s">
        <v>71</v>
      </c>
      <c r="S191" s="9" t="n">
        <v>4210301</v>
      </c>
      <c r="T191" s="11" t="s">
        <v>220</v>
      </c>
      <c r="U191" s="12" t="n">
        <v>225.48</v>
      </c>
      <c r="W191" s="12" t="n">
        <v>0</v>
      </c>
      <c r="X191" s="11" t="s">
        <v>314</v>
      </c>
      <c r="Z191" s="0" t="str">
        <f aca="false">IF($T191="","",IFERROR(INDEX('Resumo Grupos'!$AC$3:$AC$200,MATCH($T191,'Resumo Grupos'!$AB$3:$AB$200,0)),"n/d"))</f>
        <v>Salários</v>
      </c>
      <c r="AA191" s="0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9" t="n">
        <v>2</v>
      </c>
      <c r="B192" s="10" t="n">
        <v>46182</v>
      </c>
      <c r="C192" s="10" t="n">
        <v>46182</v>
      </c>
      <c r="D192" s="9" t="n">
        <v>0</v>
      </c>
      <c r="E192" s="11" t="s">
        <v>109</v>
      </c>
      <c r="F192" s="9" t="n">
        <v>17</v>
      </c>
      <c r="G192" s="11" t="s">
        <v>110</v>
      </c>
      <c r="H192" s="9" t="n">
        <v>1110101</v>
      </c>
      <c r="I192" s="11" t="s">
        <v>111</v>
      </c>
      <c r="J192" s="9" t="n">
        <v>1256634</v>
      </c>
      <c r="L192" s="9" t="n">
        <v>1256634</v>
      </c>
      <c r="M192" s="11" t="s">
        <v>52</v>
      </c>
      <c r="N192" s="11" t="s">
        <v>112</v>
      </c>
      <c r="P192" s="9" t="n">
        <v>113</v>
      </c>
      <c r="Q192" s="11" t="s">
        <v>46</v>
      </c>
      <c r="R192" s="11" t="s">
        <v>71</v>
      </c>
      <c r="S192" s="9" t="n">
        <v>4210316</v>
      </c>
      <c r="T192" s="11" t="s">
        <v>159</v>
      </c>
      <c r="U192" s="12" t="n">
        <v>50</v>
      </c>
      <c r="W192" s="12" t="n">
        <v>50</v>
      </c>
      <c r="X192" s="11" t="s">
        <v>263</v>
      </c>
      <c r="Z192" s="0" t="str">
        <f aca="false">IF($T192="","",IFERROR(INDEX('Resumo Grupos'!$AC$3:$AC$200,MATCH($T192,'Resumo Grupos'!$AB$3:$AB$200,0)),"n/d"))</f>
        <v>Salários</v>
      </c>
      <c r="AA192" s="0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9" t="n">
        <v>2</v>
      </c>
      <c r="B193" s="10" t="n">
        <v>46182</v>
      </c>
      <c r="C193" s="10" t="n">
        <v>46182</v>
      </c>
      <c r="D193" s="9" t="n">
        <v>0</v>
      </c>
      <c r="E193" s="11" t="s">
        <v>109</v>
      </c>
      <c r="F193" s="9" t="n">
        <v>17</v>
      </c>
      <c r="G193" s="11" t="s">
        <v>110</v>
      </c>
      <c r="H193" s="9" t="n">
        <v>1110101</v>
      </c>
      <c r="I193" s="11" t="s">
        <v>111</v>
      </c>
      <c r="J193" s="9" t="n">
        <v>1256635</v>
      </c>
      <c r="L193" s="9" t="n">
        <v>1256635</v>
      </c>
      <c r="M193" s="11" t="s">
        <v>52</v>
      </c>
      <c r="N193" s="11" t="s">
        <v>112</v>
      </c>
      <c r="P193" s="9" t="n">
        <v>113</v>
      </c>
      <c r="Q193" s="11" t="s">
        <v>46</v>
      </c>
      <c r="R193" s="11" t="s">
        <v>39</v>
      </c>
      <c r="S193" s="9" t="n">
        <v>4210227</v>
      </c>
      <c r="T193" s="11" t="s">
        <v>68</v>
      </c>
      <c r="U193" s="12" t="n">
        <v>310</v>
      </c>
      <c r="W193" s="12" t="n">
        <v>310</v>
      </c>
      <c r="X193" s="11" t="s">
        <v>315</v>
      </c>
      <c r="Z193" s="0" t="str">
        <f aca="false">IF($T193="","",IFERROR(INDEX('Resumo Grupos'!$AC$3:$AC$200,MATCH($T193,'Resumo Grupos'!$AB$3:$AB$200,0)),"n/d"))</f>
        <v>Despesa</v>
      </c>
      <c r="AA193" s="0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9" t="n">
        <v>2</v>
      </c>
      <c r="B194" s="10" t="n">
        <v>46182</v>
      </c>
      <c r="C194" s="10" t="n">
        <v>46182</v>
      </c>
      <c r="D194" s="9" t="n">
        <v>0</v>
      </c>
      <c r="E194" s="11" t="s">
        <v>109</v>
      </c>
      <c r="F194" s="9" t="n">
        <v>17</v>
      </c>
      <c r="G194" s="11" t="s">
        <v>110</v>
      </c>
      <c r="H194" s="9" t="n">
        <v>1110101</v>
      </c>
      <c r="I194" s="11" t="s">
        <v>111</v>
      </c>
      <c r="J194" s="9" t="n">
        <v>1256637</v>
      </c>
      <c r="L194" s="9" t="n">
        <v>1256637</v>
      </c>
      <c r="M194" s="11" t="s">
        <v>52</v>
      </c>
      <c r="N194" s="11" t="s">
        <v>112</v>
      </c>
      <c r="P194" s="9" t="n">
        <v>113</v>
      </c>
      <c r="Q194" s="11" t="s">
        <v>46</v>
      </c>
      <c r="R194" s="11" t="s">
        <v>47</v>
      </c>
      <c r="S194" s="9" t="n">
        <v>1130101</v>
      </c>
      <c r="T194" s="11" t="s">
        <v>48</v>
      </c>
      <c r="U194" s="12" t="n">
        <v>200</v>
      </c>
      <c r="W194" s="12" t="n">
        <v>200</v>
      </c>
      <c r="X194" s="11" t="s">
        <v>316</v>
      </c>
      <c r="Z194" s="0" t="str">
        <f aca="false">IF($T194="","",IFERROR(INDEX('Resumo Grupos'!$AC$3:$AC$200,MATCH($T194,'Resumo Grupos'!$AB$3:$AB$200,0)),"n/d"))</f>
        <v>Mercadoria</v>
      </c>
      <c r="AA194" s="0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9" t="n">
        <v>2</v>
      </c>
      <c r="B195" s="10" t="n">
        <v>46182</v>
      </c>
      <c r="C195" s="10" t="n">
        <v>46182</v>
      </c>
      <c r="D195" s="9" t="n">
        <v>0</v>
      </c>
      <c r="E195" s="11" t="s">
        <v>109</v>
      </c>
      <c r="F195" s="9" t="n">
        <v>17</v>
      </c>
      <c r="G195" s="11" t="s">
        <v>110</v>
      </c>
      <c r="H195" s="9" t="n">
        <v>1110101</v>
      </c>
      <c r="I195" s="11" t="s">
        <v>111</v>
      </c>
      <c r="J195" s="9" t="n">
        <v>1256638</v>
      </c>
      <c r="L195" s="9" t="n">
        <v>1256638</v>
      </c>
      <c r="M195" s="11" t="s">
        <v>52</v>
      </c>
      <c r="N195" s="11" t="s">
        <v>112</v>
      </c>
      <c r="P195" s="9" t="n">
        <v>113</v>
      </c>
      <c r="Q195" s="11" t="s">
        <v>46</v>
      </c>
      <c r="R195" s="11" t="s">
        <v>71</v>
      </c>
      <c r="S195" s="9" t="n">
        <v>4210314</v>
      </c>
      <c r="T195" s="11" t="s">
        <v>113</v>
      </c>
      <c r="U195" s="12" t="n">
        <v>70</v>
      </c>
      <c r="W195" s="12" t="n">
        <v>70</v>
      </c>
      <c r="X195" s="11" t="s">
        <v>187</v>
      </c>
      <c r="Z195" s="0" t="str">
        <f aca="false">IF($T195="","",IFERROR(INDEX('Resumo Grupos'!$AC$3:$AC$200,MATCH($T195,'Resumo Grupos'!$AB$3:$AB$200,0)),"n/d"))</f>
        <v>Despesa</v>
      </c>
      <c r="AA195" s="0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9" t="n">
        <v>2</v>
      </c>
      <c r="B196" s="10" t="n">
        <v>46182</v>
      </c>
      <c r="C196" s="10" t="n">
        <v>46182</v>
      </c>
      <c r="D196" s="9" t="n">
        <v>0</v>
      </c>
      <c r="E196" s="11" t="s">
        <v>109</v>
      </c>
      <c r="F196" s="9" t="n">
        <v>17</v>
      </c>
      <c r="G196" s="11" t="s">
        <v>110</v>
      </c>
      <c r="H196" s="9" t="n">
        <v>1110101</v>
      </c>
      <c r="I196" s="11" t="s">
        <v>111</v>
      </c>
      <c r="J196" s="9" t="n">
        <v>1361183</v>
      </c>
      <c r="L196" s="9" t="n">
        <v>1361183</v>
      </c>
      <c r="M196" s="11" t="s">
        <v>52</v>
      </c>
      <c r="N196" s="11" t="s">
        <v>112</v>
      </c>
      <c r="P196" s="9" t="n">
        <v>113</v>
      </c>
      <c r="Q196" s="11" t="s">
        <v>46</v>
      </c>
      <c r="R196" s="11" t="s">
        <v>116</v>
      </c>
      <c r="S196" s="9" t="n">
        <v>1110203</v>
      </c>
      <c r="T196" s="11" t="s">
        <v>117</v>
      </c>
      <c r="U196" s="12" t="n">
        <v>2150</v>
      </c>
      <c r="W196" s="12" t="n">
        <v>2150</v>
      </c>
      <c r="X196" s="11" t="s">
        <v>317</v>
      </c>
      <c r="Z196" s="0" t="str">
        <f aca="false">IF($T196="","",IFERROR(INDEX('Resumo Grupos'!$AC$3:$AC$200,MATCH($T196,'Resumo Grupos'!$AB$3:$AB$200,0)),"n/d"))</f>
        <v>Despesa</v>
      </c>
      <c r="AA196" s="0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9" t="n">
        <v>2</v>
      </c>
      <c r="B197" s="10" t="n">
        <v>46049</v>
      </c>
      <c r="C197" s="10" t="n">
        <v>46183</v>
      </c>
      <c r="D197" s="9" t="n">
        <v>862</v>
      </c>
      <c r="E197" s="11" t="s">
        <v>318</v>
      </c>
      <c r="F197" s="9" t="n">
        <v>46</v>
      </c>
      <c r="G197" s="11" t="s">
        <v>319</v>
      </c>
      <c r="H197" s="9" t="n">
        <v>2110405</v>
      </c>
      <c r="I197" s="11" t="s">
        <v>56</v>
      </c>
      <c r="J197" s="9" t="n">
        <v>651715</v>
      </c>
      <c r="L197" s="9" t="n">
        <v>84736</v>
      </c>
      <c r="M197" s="11" t="s">
        <v>89</v>
      </c>
      <c r="N197" s="11" t="s">
        <v>45</v>
      </c>
      <c r="P197" s="9" t="n">
        <v>101</v>
      </c>
      <c r="Q197" s="11" t="s">
        <v>57</v>
      </c>
      <c r="R197" s="11" t="s">
        <v>39</v>
      </c>
      <c r="S197" s="9" t="n">
        <v>4210232</v>
      </c>
      <c r="T197" s="11" t="s">
        <v>320</v>
      </c>
      <c r="U197" s="12" t="n">
        <v>166</v>
      </c>
      <c r="W197" s="12" t="n">
        <v>0</v>
      </c>
      <c r="X197" s="11" t="s">
        <v>321</v>
      </c>
      <c r="Z197" s="0" t="str">
        <f aca="false">IF($T197="","",IFERROR(INDEX('Resumo Grupos'!$AC$3:$AC$200,MATCH($T197,'Resumo Grupos'!$AB$3:$AB$200,0)),"n/d"))</f>
        <v>Despesa</v>
      </c>
      <c r="AA197" s="0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9" t="n">
        <v>2</v>
      </c>
      <c r="B198" s="10" t="n">
        <v>46153</v>
      </c>
      <c r="C198" s="10" t="n">
        <v>46183</v>
      </c>
      <c r="D198" s="9" t="n">
        <v>1176</v>
      </c>
      <c r="E198" s="11" t="s">
        <v>322</v>
      </c>
      <c r="F198" s="9" t="n">
        <v>24</v>
      </c>
      <c r="G198" s="11" t="s">
        <v>51</v>
      </c>
      <c r="H198" s="9" t="n">
        <v>2110405</v>
      </c>
      <c r="I198" s="11" t="s">
        <v>56</v>
      </c>
      <c r="J198" s="9" t="n">
        <v>1083394</v>
      </c>
      <c r="L198" s="9" t="n">
        <v>143444</v>
      </c>
      <c r="M198" s="11" t="s">
        <v>44</v>
      </c>
      <c r="N198" s="11" t="s">
        <v>45</v>
      </c>
      <c r="P198" s="9" t="n">
        <v>101</v>
      </c>
      <c r="Q198" s="11" t="s">
        <v>57</v>
      </c>
      <c r="R198" s="11" t="s">
        <v>323</v>
      </c>
      <c r="S198" s="9" t="n">
        <v>2110901</v>
      </c>
      <c r="T198" s="11" t="s">
        <v>324</v>
      </c>
      <c r="U198" s="12" t="n">
        <v>2332.19</v>
      </c>
      <c r="W198" s="12" t="n">
        <v>0</v>
      </c>
      <c r="X198" s="11" t="s">
        <v>325</v>
      </c>
      <c r="Z198" s="0" t="str">
        <f aca="false">IF($T198="","",IFERROR(INDEX('Resumo Grupos'!$AC$3:$AC$200,MATCH($T198,'Resumo Grupos'!$AB$3:$AB$200,0)),"n/d"))</f>
        <v>Empréstimo</v>
      </c>
      <c r="AA198" s="0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9" t="n">
        <v>2</v>
      </c>
      <c r="B199" s="10" t="n">
        <v>46163</v>
      </c>
      <c r="C199" s="10" t="n">
        <v>46183</v>
      </c>
      <c r="D199" s="9" t="n">
        <v>1921</v>
      </c>
      <c r="E199" s="11" t="s">
        <v>167</v>
      </c>
      <c r="F199" s="9" t="n">
        <v>24</v>
      </c>
      <c r="G199" s="11" t="s">
        <v>51</v>
      </c>
      <c r="H199" s="9" t="n">
        <v>2110101</v>
      </c>
      <c r="I199" s="11" t="s">
        <v>43</v>
      </c>
      <c r="J199" s="9" t="n">
        <v>1131644</v>
      </c>
      <c r="L199" s="9" t="n">
        <v>20752</v>
      </c>
      <c r="M199" s="11" t="s">
        <v>44</v>
      </c>
      <c r="N199" s="11" t="s">
        <v>37</v>
      </c>
      <c r="P199" s="9" t="n">
        <v>113</v>
      </c>
      <c r="Q199" s="11" t="s">
        <v>46</v>
      </c>
      <c r="R199" s="11" t="s">
        <v>47</v>
      </c>
      <c r="S199" s="9" t="n">
        <v>1130101</v>
      </c>
      <c r="T199" s="11" t="s">
        <v>48</v>
      </c>
      <c r="U199" s="12" t="n">
        <v>340.77</v>
      </c>
      <c r="W199" s="12" t="n">
        <v>0</v>
      </c>
      <c r="X199" s="11" t="s">
        <v>168</v>
      </c>
      <c r="Z199" s="0" t="str">
        <f aca="false">IF($T199="","",IFERROR(INDEX('Resumo Grupos'!$AC$3:$AC$200,MATCH($T199,'Resumo Grupos'!$AB$3:$AB$200,0)),"n/d"))</f>
        <v>Mercadoria</v>
      </c>
      <c r="AA199" s="0" t="str">
        <f aca="false">IF($T199="","",IF(COUNTIF('Resumo Grupos'!$AE$3:$AE$40,$T199)&gt;0,"NAO","SIM"))</f>
        <v>SIM</v>
      </c>
      <c r="AB199" s="0" t="str">
        <f aca="false">IFERROR(INDEX('Mov Entradas (Rel 10497)'!$L:$L,MATCH(AC199,'Mov Entradas (Rel 10497)'!$I:$I,0)),"nao encontrado")</f>
        <v>nao encontrado</v>
      </c>
      <c r="AC199" s="0" t="n">
        <v>20752</v>
      </c>
    </row>
    <row r="200" customFormat="false" ht="36.75" hidden="false" customHeight="true" outlineLevel="0" collapsed="false">
      <c r="A200" s="9" t="n">
        <v>2</v>
      </c>
      <c r="B200" s="10" t="n">
        <v>46170</v>
      </c>
      <c r="C200" s="10" t="n">
        <v>46183</v>
      </c>
      <c r="D200" s="9" t="n">
        <v>1635</v>
      </c>
      <c r="E200" s="11" t="s">
        <v>128</v>
      </c>
      <c r="F200" s="9" t="n">
        <v>24</v>
      </c>
      <c r="G200" s="11" t="s">
        <v>51</v>
      </c>
      <c r="H200" s="9" t="n">
        <v>2110101</v>
      </c>
      <c r="I200" s="11" t="s">
        <v>43</v>
      </c>
      <c r="J200" s="9" t="n">
        <v>1167024</v>
      </c>
      <c r="L200" s="9" t="n">
        <v>517177</v>
      </c>
      <c r="M200" s="11" t="s">
        <v>52</v>
      </c>
      <c r="N200" s="11" t="s">
        <v>37</v>
      </c>
      <c r="P200" s="9" t="n">
        <v>113</v>
      </c>
      <c r="Q200" s="11" t="s">
        <v>46</v>
      </c>
      <c r="R200" s="11" t="s">
        <v>47</v>
      </c>
      <c r="S200" s="9" t="n">
        <v>1130101</v>
      </c>
      <c r="T200" s="11" t="s">
        <v>48</v>
      </c>
      <c r="U200" s="12" t="n">
        <v>823.77</v>
      </c>
      <c r="W200" s="12" t="n">
        <v>0</v>
      </c>
      <c r="X200" s="11" t="s">
        <v>326</v>
      </c>
      <c r="Z200" s="0" t="str">
        <f aca="false">IF($T200="","",IFERROR(INDEX('Resumo Grupos'!$AC$3:$AC$200,MATCH($T200,'Resumo Grupos'!$AB$3:$AB$200,0)),"n/d"))</f>
        <v>Mercadoria</v>
      </c>
      <c r="AA200" s="0" t="str">
        <f aca="false">IF($T200="","",IF(COUNTIF('Resumo Grupos'!$AE$3:$AE$40,$T200)&gt;0,"NAO","SIM"))</f>
        <v>SIM</v>
      </c>
      <c r="AB200" s="0" t="str">
        <f aca="false">IFERROR(INDEX('Mov Entradas (Rel 10497)'!$L:$L,MATCH(AC200,'Mov Entradas (Rel 10497)'!$I:$I,0)),"nao encontrado")</f>
        <v>nao encontrado</v>
      </c>
      <c r="AC200" s="0" t="n">
        <v>517177</v>
      </c>
    </row>
    <row r="201" customFormat="false" ht="36.75" hidden="false" customHeight="true" outlineLevel="0" collapsed="false">
      <c r="A201" s="9" t="n">
        <v>2</v>
      </c>
      <c r="B201" s="10" t="n">
        <v>46164</v>
      </c>
      <c r="C201" s="10" t="n">
        <v>46183</v>
      </c>
      <c r="D201" s="9" t="n">
        <v>1613</v>
      </c>
      <c r="E201" s="11" t="s">
        <v>50</v>
      </c>
      <c r="F201" s="9" t="n">
        <v>24</v>
      </c>
      <c r="G201" s="11" t="s">
        <v>51</v>
      </c>
      <c r="H201" s="9" t="n">
        <v>2110101</v>
      </c>
      <c r="I201" s="11" t="s">
        <v>43</v>
      </c>
      <c r="J201" s="9" t="n">
        <v>1137478</v>
      </c>
      <c r="L201" s="9" t="n">
        <v>1588694</v>
      </c>
      <c r="M201" s="11" t="s">
        <v>44</v>
      </c>
      <c r="N201" s="11" t="s">
        <v>37</v>
      </c>
      <c r="P201" s="9" t="n">
        <v>113</v>
      </c>
      <c r="Q201" s="11" t="s">
        <v>46</v>
      </c>
      <c r="R201" s="11" t="s">
        <v>47</v>
      </c>
      <c r="S201" s="9" t="n">
        <v>1130101</v>
      </c>
      <c r="T201" s="11" t="s">
        <v>48</v>
      </c>
      <c r="U201" s="12" t="n">
        <v>1208.63</v>
      </c>
      <c r="W201" s="12" t="n">
        <v>0</v>
      </c>
      <c r="X201" s="11" t="s">
        <v>170</v>
      </c>
      <c r="Z201" s="0" t="str">
        <f aca="false">IF($T201="","",IFERROR(INDEX('Resumo Grupos'!$AC$3:$AC$200,MATCH($T201,'Resumo Grupos'!$AB$3:$AB$200,0)),"n/d"))</f>
        <v>Mercadoria</v>
      </c>
      <c r="AA201" s="0" t="str">
        <f aca="false">IF($T201="","",IF(COUNTIF('Resumo Grupos'!$AE$3:$AE$40,$T201)&gt;0,"NAO","SIM"))</f>
        <v>SIM</v>
      </c>
      <c r="AB201" s="0" t="str">
        <f aca="false">IFERROR(INDEX('Mov Entradas (Rel 10497)'!$L:$L,MATCH(AC201,'Mov Entradas (Rel 10497)'!$I:$I,0)),"nao encontrado")</f>
        <v>nao encontrado</v>
      </c>
      <c r="AC201" s="0" t="n">
        <v>1588694</v>
      </c>
    </row>
    <row r="202" customFormat="false" ht="54.75" hidden="false" customHeight="true" outlineLevel="0" collapsed="false">
      <c r="A202" s="9" t="n">
        <v>2</v>
      </c>
      <c r="B202" s="10" t="n">
        <v>46171</v>
      </c>
      <c r="C202" s="10" t="n">
        <v>46183</v>
      </c>
      <c r="D202" s="9" t="n">
        <v>1613</v>
      </c>
      <c r="E202" s="11" t="s">
        <v>50</v>
      </c>
      <c r="F202" s="9" t="n">
        <v>24</v>
      </c>
      <c r="G202" s="11" t="s">
        <v>51</v>
      </c>
      <c r="H202" s="9" t="n">
        <v>2110101</v>
      </c>
      <c r="I202" s="11" t="s">
        <v>43</v>
      </c>
      <c r="J202" s="9" t="n">
        <v>1170890</v>
      </c>
      <c r="L202" s="9" t="n">
        <v>1591453</v>
      </c>
      <c r="M202" s="11" t="s">
        <v>52</v>
      </c>
      <c r="N202" s="11" t="s">
        <v>37</v>
      </c>
      <c r="P202" s="9" t="n">
        <v>113</v>
      </c>
      <c r="Q202" s="11" t="s">
        <v>46</v>
      </c>
      <c r="R202" s="11" t="s">
        <v>47</v>
      </c>
      <c r="S202" s="9" t="n">
        <v>1130101</v>
      </c>
      <c r="T202" s="11" t="s">
        <v>48</v>
      </c>
      <c r="U202" s="12" t="n">
        <v>1030.58</v>
      </c>
      <c r="W202" s="12" t="n">
        <v>0</v>
      </c>
      <c r="X202" s="11"/>
      <c r="Z202" s="0" t="str">
        <f aca="false">IF($T202="","",IFERROR(INDEX('Resumo Grupos'!$AC$3:$AC$200,MATCH($T202,'Resumo Grupos'!$AB$3:$AB$200,0)),"n/d"))</f>
        <v>Mercadoria</v>
      </c>
      <c r="AA202" s="0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9" t="n">
        <v>2</v>
      </c>
      <c r="B203" s="10" t="n">
        <v>46150</v>
      </c>
      <c r="C203" s="10" t="n">
        <v>46183</v>
      </c>
      <c r="D203" s="9" t="n">
        <v>1100</v>
      </c>
      <c r="E203" s="11" t="s">
        <v>327</v>
      </c>
      <c r="F203" s="9" t="n">
        <v>46</v>
      </c>
      <c r="G203" s="11" t="s">
        <v>319</v>
      </c>
      <c r="H203" s="9" t="n">
        <v>2110405</v>
      </c>
      <c r="I203" s="11" t="s">
        <v>56</v>
      </c>
      <c r="J203" s="9" t="n">
        <v>1067484</v>
      </c>
      <c r="L203" s="9" t="n">
        <v>139909</v>
      </c>
      <c r="M203" s="11" t="s">
        <v>52</v>
      </c>
      <c r="N203" s="11" t="s">
        <v>45</v>
      </c>
      <c r="P203" s="9" t="n">
        <v>113</v>
      </c>
      <c r="Q203" s="11" t="s">
        <v>46</v>
      </c>
      <c r="R203" s="11" t="s">
        <v>39</v>
      </c>
      <c r="S203" s="9" t="n">
        <v>4210227</v>
      </c>
      <c r="T203" s="11" t="s">
        <v>68</v>
      </c>
      <c r="U203" s="12" t="n">
        <v>340</v>
      </c>
      <c r="W203" s="12" t="n">
        <v>340</v>
      </c>
      <c r="X203" s="11" t="s">
        <v>328</v>
      </c>
      <c r="Z203" s="0" t="str">
        <f aca="false">IF($T203="","",IFERROR(INDEX('Resumo Grupos'!$AC$3:$AC$200,MATCH($T203,'Resumo Grupos'!$AB$3:$AB$200,0)),"n/d"))</f>
        <v>Despesa</v>
      </c>
      <c r="AA203" s="0" t="str">
        <f aca="false">IF($T203="","",IF(COUNTIF('Resumo Grupos'!$AE$3:$AE$40,$T203)&gt;0,"NAO","SIM"))</f>
        <v>SIM</v>
      </c>
      <c r="AB203" s="0" t="str">
        <f aca="false">IFERROR(INDEX('Mov Entradas (Rel 10497)'!$L:$L,MATCH(AC203,'Mov Entradas (Rel 10497)'!$I:$I,0)),"nao encontrado")</f>
        <v>nao encontrado</v>
      </c>
      <c r="AC203" s="0" t="n">
        <v>8973</v>
      </c>
    </row>
    <row r="204" customFormat="false" ht="45.75" hidden="false" customHeight="true" outlineLevel="0" collapsed="false">
      <c r="A204" s="9" t="n">
        <v>2</v>
      </c>
      <c r="B204" s="10" t="n">
        <v>46183</v>
      </c>
      <c r="C204" s="10" t="n">
        <v>46183</v>
      </c>
      <c r="D204" s="9" t="n">
        <v>1100</v>
      </c>
      <c r="E204" s="11" t="s">
        <v>327</v>
      </c>
      <c r="F204" s="9" t="n">
        <v>46</v>
      </c>
      <c r="G204" s="11" t="s">
        <v>319</v>
      </c>
      <c r="H204" s="9" t="n">
        <v>2110101</v>
      </c>
      <c r="I204" s="11" t="s">
        <v>43</v>
      </c>
      <c r="J204" s="9" t="n">
        <v>1230732</v>
      </c>
      <c r="L204" s="9" t="n">
        <v>1399</v>
      </c>
      <c r="M204" s="11" t="s">
        <v>52</v>
      </c>
      <c r="N204" s="11" t="s">
        <v>112</v>
      </c>
      <c r="P204" s="9" t="n">
        <v>101</v>
      </c>
      <c r="Q204" s="11" t="s">
        <v>57</v>
      </c>
      <c r="R204" s="11" t="s">
        <v>259</v>
      </c>
      <c r="S204" s="9" t="n">
        <v>2110101</v>
      </c>
      <c r="T204" s="11" t="s">
        <v>43</v>
      </c>
      <c r="U204" s="12" t="n">
        <v>226.67</v>
      </c>
      <c r="W204" s="12" t="n">
        <v>0</v>
      </c>
      <c r="X204" s="11" t="s">
        <v>329</v>
      </c>
      <c r="Z204" s="0" t="str">
        <f aca="false">IF($T204="","",IFERROR(INDEX('Resumo Grupos'!$AC$3:$AC$200,MATCH($T204,'Resumo Grupos'!$AB$3:$AB$200,0)),"n/d"))</f>
        <v>Despesa</v>
      </c>
      <c r="AA204" s="0" t="str">
        <f aca="false">IF($T204="","",IF(COUNTIF('Resumo Grupos'!$AE$3:$AE$40,$T204)&gt;0,"NAO","SIM"))</f>
        <v>SIM</v>
      </c>
      <c r="AB204" s="0" t="str">
        <f aca="false">IFERROR(INDEX('Mov Entradas (Rel 10497)'!$L:$L,MATCH(AC204,'Mov Entradas (Rel 10497)'!$I:$I,0)),"nao encontrado")</f>
        <v>nao encontrado</v>
      </c>
      <c r="AC204" s="0" t="n">
        <v>8973</v>
      </c>
    </row>
    <row r="205" customFormat="false" ht="72.75" hidden="false" customHeight="true" outlineLevel="0" collapsed="false">
      <c r="A205" s="9" t="n">
        <v>2</v>
      </c>
      <c r="B205" s="10" t="n">
        <v>46078</v>
      </c>
      <c r="C205" s="10" t="n">
        <v>46183</v>
      </c>
      <c r="D205" s="9" t="n">
        <v>1869</v>
      </c>
      <c r="E205" s="11" t="s">
        <v>330</v>
      </c>
      <c r="F205" s="9" t="n">
        <v>46</v>
      </c>
      <c r="G205" s="11" t="s">
        <v>319</v>
      </c>
      <c r="H205" s="9" t="n">
        <v>2110101</v>
      </c>
      <c r="I205" s="11" t="s">
        <v>43</v>
      </c>
      <c r="J205" s="9" t="n">
        <v>717667</v>
      </c>
      <c r="L205" s="9" t="n">
        <v>93850</v>
      </c>
      <c r="M205" s="11" t="s">
        <v>89</v>
      </c>
      <c r="N205" s="11" t="s">
        <v>45</v>
      </c>
      <c r="P205" s="9" t="n">
        <v>113</v>
      </c>
      <c r="Q205" s="11" t="s">
        <v>46</v>
      </c>
      <c r="R205" s="11" t="s">
        <v>39</v>
      </c>
      <c r="S205" s="9" t="n">
        <v>4210227</v>
      </c>
      <c r="T205" s="11" t="s">
        <v>68</v>
      </c>
      <c r="U205" s="12" t="n">
        <v>283.67</v>
      </c>
      <c r="W205" s="12" t="n">
        <v>0</v>
      </c>
      <c r="X205" s="11" t="s">
        <v>331</v>
      </c>
      <c r="Z205" s="0" t="str">
        <f aca="false">IF($T205="","",IFERROR(INDEX('Resumo Grupos'!$AC$3:$AC$200,MATCH($T205,'Resumo Grupos'!$AB$3:$AB$200,0)),"n/d"))</f>
        <v>Despesa</v>
      </c>
      <c r="AA205" s="0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9" t="n">
        <v>2</v>
      </c>
      <c r="B206" s="10" t="n">
        <v>46172</v>
      </c>
      <c r="C206" s="10" t="n">
        <v>46183</v>
      </c>
      <c r="D206" s="9" t="n">
        <v>901</v>
      </c>
      <c r="E206" s="11" t="s">
        <v>332</v>
      </c>
      <c r="F206" s="9" t="n">
        <v>24</v>
      </c>
      <c r="G206" s="11" t="s">
        <v>51</v>
      </c>
      <c r="H206" s="9" t="n">
        <v>2110101</v>
      </c>
      <c r="I206" s="11" t="s">
        <v>43</v>
      </c>
      <c r="J206" s="9" t="n">
        <v>1176619</v>
      </c>
      <c r="L206" s="9" t="n">
        <v>436</v>
      </c>
      <c r="M206" s="11" t="s">
        <v>52</v>
      </c>
      <c r="N206" s="11" t="s">
        <v>37</v>
      </c>
      <c r="P206" s="9" t="n">
        <v>113</v>
      </c>
      <c r="Q206" s="11" t="s">
        <v>46</v>
      </c>
      <c r="R206" s="11" t="s">
        <v>47</v>
      </c>
      <c r="S206" s="9" t="n">
        <v>1130101</v>
      </c>
      <c r="T206" s="11" t="s">
        <v>48</v>
      </c>
      <c r="U206" s="12" t="n">
        <v>405</v>
      </c>
      <c r="W206" s="12" t="n">
        <v>0</v>
      </c>
      <c r="X206" s="11" t="s">
        <v>333</v>
      </c>
      <c r="Z206" s="0" t="str">
        <f aca="false">IF($T206="","",IFERROR(INDEX('Resumo Grupos'!$AC$3:$AC$200,MATCH($T206,'Resumo Grupos'!$AB$3:$AB$200,0)),"n/d"))</f>
        <v>Mercadoria</v>
      </c>
      <c r="AA206" s="0" t="str">
        <f aca="false">IF($T206="","",IF(COUNTIF('Resumo Grupos'!$AE$3:$AE$40,$T206)&gt;0,"NAO","SIM"))</f>
        <v>SIM</v>
      </c>
      <c r="AB206" s="0" t="str">
        <f aca="false">IFERROR(INDEX('Mov Entradas (Rel 10497)'!$L:$L,MATCH(AC206,'Mov Entradas (Rel 10497)'!$I:$I,0)),"nao encontrado")</f>
        <v>nao encontrado</v>
      </c>
      <c r="AC206" s="0" t="n">
        <v>436</v>
      </c>
    </row>
    <row r="207" customFormat="false" ht="54.75" hidden="false" customHeight="true" outlineLevel="0" collapsed="false">
      <c r="A207" s="9" t="n">
        <v>2</v>
      </c>
      <c r="B207" s="10" t="n">
        <v>46183</v>
      </c>
      <c r="C207" s="10" t="n">
        <v>46183</v>
      </c>
      <c r="D207" s="9" t="n">
        <v>1718</v>
      </c>
      <c r="E207" s="11" t="s">
        <v>236</v>
      </c>
      <c r="F207" s="9" t="n">
        <v>24</v>
      </c>
      <c r="G207" s="11" t="s">
        <v>51</v>
      </c>
      <c r="H207" s="9" t="n">
        <v>2110101</v>
      </c>
      <c r="I207" s="11" t="s">
        <v>43</v>
      </c>
      <c r="J207" s="9" t="n">
        <v>1231901</v>
      </c>
      <c r="L207" s="9" t="n">
        <v>670477</v>
      </c>
      <c r="M207" s="11" t="s">
        <v>44</v>
      </c>
      <c r="N207" s="11" t="s">
        <v>37</v>
      </c>
      <c r="P207" s="9" t="n">
        <v>113</v>
      </c>
      <c r="Q207" s="11" t="s">
        <v>46</v>
      </c>
      <c r="R207" s="11" t="s">
        <v>47</v>
      </c>
      <c r="S207" s="9" t="n">
        <v>1130101</v>
      </c>
      <c r="T207" s="11" t="s">
        <v>48</v>
      </c>
      <c r="U207" s="12" t="n">
        <v>238.4</v>
      </c>
      <c r="W207" s="12" t="n">
        <v>0</v>
      </c>
      <c r="X207" s="11" t="s">
        <v>334</v>
      </c>
      <c r="Z207" s="0" t="str">
        <f aca="false">IF($T207="","",IFERROR(INDEX('Resumo Grupos'!$AC$3:$AC$200,MATCH($T207,'Resumo Grupos'!$AB$3:$AB$200,0)),"n/d"))</f>
        <v>Mercadoria</v>
      </c>
      <c r="AA207" s="0" t="str">
        <f aca="false">IF($T207="","",IF(COUNTIF('Resumo Grupos'!$AE$3:$AE$40,$T207)&gt;0,"NAO","SIM"))</f>
        <v>SIM</v>
      </c>
      <c r="AB207" s="0" t="str">
        <f aca="false">IFERROR(INDEX('Mov Entradas (Rel 10497)'!$L:$L,MATCH(AC207,'Mov Entradas (Rel 10497)'!$I:$I,0)),"nao encontrado")</f>
        <v>BIS FLOWPACK LAKA 63</v>
      </c>
      <c r="AC207" s="0" t="n">
        <v>670477</v>
      </c>
    </row>
    <row r="208" customFormat="false" ht="54.75" hidden="false" customHeight="true" outlineLevel="0" collapsed="false">
      <c r="A208" s="9" t="n">
        <v>2</v>
      </c>
      <c r="B208" s="10" t="n">
        <v>46156</v>
      </c>
      <c r="C208" s="10" t="n">
        <v>46183</v>
      </c>
      <c r="D208" s="9" t="n">
        <v>1636</v>
      </c>
      <c r="E208" s="11" t="s">
        <v>61</v>
      </c>
      <c r="F208" s="9" t="n">
        <v>24</v>
      </c>
      <c r="G208" s="11" t="s">
        <v>51</v>
      </c>
      <c r="H208" s="9" t="n">
        <v>2110101</v>
      </c>
      <c r="I208" s="11" t="s">
        <v>43</v>
      </c>
      <c r="J208" s="9" t="n">
        <v>1097363</v>
      </c>
      <c r="L208" s="9" t="n">
        <v>145430</v>
      </c>
      <c r="M208" s="11" t="s">
        <v>52</v>
      </c>
      <c r="N208" s="11" t="s">
        <v>45</v>
      </c>
      <c r="P208" s="9" t="n">
        <v>113</v>
      </c>
      <c r="Q208" s="11" t="s">
        <v>46</v>
      </c>
      <c r="R208" s="11" t="s">
        <v>47</v>
      </c>
      <c r="S208" s="9" t="n">
        <v>1130101</v>
      </c>
      <c r="T208" s="11" t="s">
        <v>48</v>
      </c>
      <c r="U208" s="12" t="n">
        <v>1036.09</v>
      </c>
      <c r="W208" s="12" t="n">
        <v>0</v>
      </c>
      <c r="X208" s="11" t="s">
        <v>171</v>
      </c>
      <c r="Z208" s="0" t="str">
        <f aca="false">IF($T208="","",IFERROR(INDEX('Resumo Grupos'!$AC$3:$AC$200,MATCH($T208,'Resumo Grupos'!$AB$3:$AB$200,0)),"n/d"))</f>
        <v>Mercadoria</v>
      </c>
      <c r="AA208" s="0" t="str">
        <f aca="false">IF($T208="","",IF(COUNTIF('Resumo Grupos'!$AE$3:$AE$40,$T208)&gt;0,"NAO","SIM"))</f>
        <v>SIM</v>
      </c>
      <c r="AB208" s="0" t="str">
        <f aca="false">IFERROR(INDEX('Mov Entradas (Rel 10497)'!$L:$L,MATCH(AC208,'Mov Entradas (Rel 10497)'!$I:$I,0)),"nao encontrado")</f>
        <v>nao encontrado</v>
      </c>
      <c r="AC208" s="0" t="n">
        <v>3186737</v>
      </c>
    </row>
    <row r="209" customFormat="false" ht="54.75" hidden="false" customHeight="true" outlineLevel="0" collapsed="false">
      <c r="A209" s="9" t="n">
        <v>2</v>
      </c>
      <c r="B209" s="10" t="n">
        <v>46170</v>
      </c>
      <c r="C209" s="10" t="n">
        <v>46183</v>
      </c>
      <c r="D209" s="9" t="n">
        <v>794</v>
      </c>
      <c r="E209" s="11" t="s">
        <v>335</v>
      </c>
      <c r="F209" s="9" t="n">
        <v>24</v>
      </c>
      <c r="G209" s="11" t="s">
        <v>51</v>
      </c>
      <c r="H209" s="9" t="n">
        <v>2110405</v>
      </c>
      <c r="I209" s="11" t="s">
        <v>56</v>
      </c>
      <c r="J209" s="9" t="n">
        <v>1165973</v>
      </c>
      <c r="L209" s="9" t="n">
        <v>155116</v>
      </c>
      <c r="M209" s="11" t="s">
        <v>52</v>
      </c>
      <c r="N209" s="11" t="s">
        <v>45</v>
      </c>
      <c r="P209" s="9" t="n">
        <v>113</v>
      </c>
      <c r="Q209" s="11" t="s">
        <v>46</v>
      </c>
      <c r="R209" s="11" t="s">
        <v>39</v>
      </c>
      <c r="S209" s="9" t="n">
        <v>4210299</v>
      </c>
      <c r="T209" s="11" t="s">
        <v>165</v>
      </c>
      <c r="U209" s="12" t="n">
        <v>430.35</v>
      </c>
      <c r="W209" s="12" t="n">
        <v>0</v>
      </c>
      <c r="X209" s="11" t="s">
        <v>336</v>
      </c>
      <c r="Z209" s="0" t="str">
        <f aca="false">IF($T209="","",IFERROR(INDEX('Resumo Grupos'!$AC$3:$AC$200,MATCH($T209,'Resumo Grupos'!$AB$3:$AB$200,0)),"n/d"))</f>
        <v>Despesa</v>
      </c>
      <c r="AA209" s="0" t="str">
        <f aca="false">IF($T209="","",IF(COUNTIF('Resumo Grupos'!$AE$3:$AE$40,$T209)&gt;0,"NAO","SIM"))</f>
        <v>SIM</v>
      </c>
      <c r="AB209" s="0" t="str">
        <f aca="false">IFERROR(INDEX('Mov Entradas (Rel 10497)'!$L:$L,MATCH(AC209,'Mov Entradas (Rel 10497)'!$I:$I,0)),"nao encontrado")</f>
        <v>nao encontrado</v>
      </c>
      <c r="AC209" s="0" t="n">
        <v>7941</v>
      </c>
    </row>
    <row r="210" customFormat="false" ht="36.75" hidden="false" customHeight="true" outlineLevel="0" collapsed="false">
      <c r="A210" s="9" t="n">
        <v>2</v>
      </c>
      <c r="B210" s="10" t="n">
        <v>46163</v>
      </c>
      <c r="C210" s="10" t="n">
        <v>46183</v>
      </c>
      <c r="D210" s="9" t="n">
        <v>10037</v>
      </c>
      <c r="E210" s="11" t="s">
        <v>337</v>
      </c>
      <c r="F210" s="9" t="n">
        <v>24</v>
      </c>
      <c r="G210" s="11" t="s">
        <v>51</v>
      </c>
      <c r="H210" s="9" t="n">
        <v>2110101</v>
      </c>
      <c r="I210" s="11" t="s">
        <v>43</v>
      </c>
      <c r="J210" s="9" t="n">
        <v>1131327</v>
      </c>
      <c r="L210" s="9" t="n">
        <v>2108</v>
      </c>
      <c r="M210" s="11" t="s">
        <v>52</v>
      </c>
      <c r="N210" s="11" t="s">
        <v>37</v>
      </c>
      <c r="P210" s="9" t="n">
        <v>113</v>
      </c>
      <c r="Q210" s="11" t="s">
        <v>46</v>
      </c>
      <c r="R210" s="11" t="s">
        <v>47</v>
      </c>
      <c r="S210" s="9" t="n">
        <v>1130101</v>
      </c>
      <c r="T210" s="11" t="s">
        <v>48</v>
      </c>
      <c r="U210" s="12" t="n">
        <v>504.52</v>
      </c>
      <c r="W210" s="12" t="n">
        <v>0</v>
      </c>
      <c r="X210" s="11" t="s">
        <v>338</v>
      </c>
      <c r="Z210" s="0" t="str">
        <f aca="false">IF($T210="","",IFERROR(INDEX('Resumo Grupos'!$AC$3:$AC$200,MATCH($T210,'Resumo Grupos'!$AB$3:$AB$200,0)),"n/d"))</f>
        <v>Mercadoria</v>
      </c>
      <c r="AA210" s="0" t="str">
        <f aca="false">IF($T210="","",IF(COUNTIF('Resumo Grupos'!$AE$3:$AE$40,$T210)&gt;0,"NAO","SIM"))</f>
        <v>SIM</v>
      </c>
      <c r="AB210" s="0" t="str">
        <f aca="false">IFERROR(INDEX('Mov Entradas (Rel 10497)'!$L:$L,MATCH(AC210,'Mov Entradas (Rel 10497)'!$I:$I,0)),"nao encontrado")</f>
        <v>nao encontrado</v>
      </c>
      <c r="AC210" s="0" t="n">
        <v>2108</v>
      </c>
    </row>
    <row r="211" customFormat="false" ht="36.75" hidden="false" customHeight="true" outlineLevel="0" collapsed="false">
      <c r="A211" s="9" t="n">
        <v>2</v>
      </c>
      <c r="B211" s="10" t="n">
        <v>46163</v>
      </c>
      <c r="C211" s="10" t="n">
        <v>46183</v>
      </c>
      <c r="D211" s="9" t="n">
        <v>1815</v>
      </c>
      <c r="E211" s="11" t="s">
        <v>172</v>
      </c>
      <c r="F211" s="9" t="n">
        <v>24</v>
      </c>
      <c r="G211" s="11" t="s">
        <v>51</v>
      </c>
      <c r="H211" s="9" t="n">
        <v>2110101</v>
      </c>
      <c r="I211" s="11" t="s">
        <v>43</v>
      </c>
      <c r="J211" s="9" t="n">
        <v>1131280</v>
      </c>
      <c r="L211" s="9" t="n">
        <v>382547</v>
      </c>
      <c r="M211" s="11" t="s">
        <v>67</v>
      </c>
      <c r="N211" s="11" t="s">
        <v>37</v>
      </c>
      <c r="P211" s="9" t="n">
        <v>113</v>
      </c>
      <c r="Q211" s="11" t="s">
        <v>46</v>
      </c>
      <c r="R211" s="11" t="s">
        <v>47</v>
      </c>
      <c r="S211" s="9" t="n">
        <v>1130101</v>
      </c>
      <c r="T211" s="11" t="s">
        <v>48</v>
      </c>
      <c r="U211" s="12" t="n">
        <v>774.33</v>
      </c>
      <c r="W211" s="12" t="n">
        <v>0</v>
      </c>
      <c r="X211" s="11" t="s">
        <v>173</v>
      </c>
      <c r="Z211" s="0" t="str">
        <f aca="false">IF($T211="","",IFERROR(INDEX('Resumo Grupos'!$AC$3:$AC$200,MATCH($T211,'Resumo Grupos'!$AB$3:$AB$200,0)),"n/d"))</f>
        <v>Mercadoria</v>
      </c>
      <c r="AA211" s="0" t="str">
        <f aca="false">IF($T211="","",IF(COUNTIF('Resumo Grupos'!$AE$3:$AE$40,$T211)&gt;0,"NAO","SIM"))</f>
        <v>SIM</v>
      </c>
      <c r="AB211" s="0" t="str">
        <f aca="false">IFERROR(INDEX('Mov Entradas (Rel 10497)'!$L:$L,MATCH(AC211,'Mov Entradas (Rel 10497)'!$I:$I,0)),"nao encontrado")</f>
        <v>nao encontrado</v>
      </c>
      <c r="AC211" s="0" t="n">
        <v>382547</v>
      </c>
    </row>
    <row r="212" customFormat="false" ht="36.75" hidden="false" customHeight="true" outlineLevel="0" collapsed="false">
      <c r="A212" s="9" t="n">
        <v>2</v>
      </c>
      <c r="B212" s="10" t="n">
        <v>46176</v>
      </c>
      <c r="C212" s="10" t="n">
        <v>46183</v>
      </c>
      <c r="D212" s="9" t="n">
        <v>581</v>
      </c>
      <c r="E212" s="11" t="s">
        <v>147</v>
      </c>
      <c r="F212" s="9" t="n">
        <v>24</v>
      </c>
      <c r="G212" s="11" t="s">
        <v>51</v>
      </c>
      <c r="H212" s="9" t="n">
        <v>2110101</v>
      </c>
      <c r="I212" s="11" t="s">
        <v>43</v>
      </c>
      <c r="J212" s="9" t="n">
        <v>1198404</v>
      </c>
      <c r="L212" s="9" t="n">
        <v>159821</v>
      </c>
      <c r="M212" s="11" t="s">
        <v>52</v>
      </c>
      <c r="N212" s="11" t="s">
        <v>45</v>
      </c>
      <c r="P212" s="9" t="n">
        <v>113</v>
      </c>
      <c r="Q212" s="11" t="s">
        <v>46</v>
      </c>
      <c r="R212" s="11" t="s">
        <v>47</v>
      </c>
      <c r="S212" s="9" t="n">
        <v>1130101</v>
      </c>
      <c r="T212" s="11" t="s">
        <v>48</v>
      </c>
      <c r="U212" s="12" t="n">
        <v>199</v>
      </c>
      <c r="W212" s="12" t="n">
        <v>0</v>
      </c>
      <c r="X212" s="11" t="s">
        <v>339</v>
      </c>
      <c r="Z212" s="0" t="str">
        <f aca="false">IF($T212="","",IFERROR(INDEX('Resumo Grupos'!$AC$3:$AC$200,MATCH($T212,'Resumo Grupos'!$AB$3:$AB$200,0)),"n/d"))</f>
        <v>Mercadoria</v>
      </c>
      <c r="AA212" s="0" t="str">
        <f aca="false">IF($T212="","",IF(COUNTIF('Resumo Grupos'!$AE$3:$AE$40,$T212)&gt;0,"NAO","SIM"))</f>
        <v>SIM</v>
      </c>
      <c r="AB212" s="0" t="str">
        <f aca="false">IFERROR(INDEX('Mov Entradas (Rel 10497)'!$L:$L,MATCH(AC212,'Mov Entradas (Rel 10497)'!$I:$I,0)),"nao encontrado")</f>
        <v>nao encontrado</v>
      </c>
      <c r="AC212" s="0" t="n">
        <v>30975</v>
      </c>
    </row>
    <row r="213" customFormat="false" ht="36.75" hidden="false" customHeight="true" outlineLevel="0" collapsed="false">
      <c r="A213" s="9" t="n">
        <v>2</v>
      </c>
      <c r="B213" s="10" t="n">
        <v>46183</v>
      </c>
      <c r="C213" s="10" t="n">
        <v>46183</v>
      </c>
      <c r="D213" s="9" t="n">
        <v>1783</v>
      </c>
      <c r="E213" s="11" t="s">
        <v>340</v>
      </c>
      <c r="F213" s="9" t="n">
        <v>13</v>
      </c>
      <c r="G213" s="11" t="s">
        <v>135</v>
      </c>
      <c r="H213" s="9" t="n">
        <v>2110101</v>
      </c>
      <c r="I213" s="11" t="s">
        <v>43</v>
      </c>
      <c r="J213" s="9" t="n">
        <v>1231225</v>
      </c>
      <c r="L213" s="9" t="n">
        <v>502</v>
      </c>
      <c r="M213" s="11" t="s">
        <v>52</v>
      </c>
      <c r="N213" s="11" t="s">
        <v>37</v>
      </c>
      <c r="P213" s="9" t="n">
        <v>113</v>
      </c>
      <c r="Q213" s="11" t="s">
        <v>46</v>
      </c>
      <c r="R213" s="11" t="s">
        <v>47</v>
      </c>
      <c r="S213" s="9" t="n">
        <v>1130101</v>
      </c>
      <c r="T213" s="11" t="s">
        <v>48</v>
      </c>
      <c r="U213" s="12" t="n">
        <v>160.32</v>
      </c>
      <c r="W213" s="12" t="n">
        <v>160.32</v>
      </c>
      <c r="X213" s="11" t="s">
        <v>341</v>
      </c>
      <c r="Z213" s="0" t="str">
        <f aca="false">IF($T213="","",IFERROR(INDEX('Resumo Grupos'!$AC$3:$AC$200,MATCH($T213,'Resumo Grupos'!$AB$3:$AB$200,0)),"n/d"))</f>
        <v>Mercadoria</v>
      </c>
      <c r="AA213" s="0" t="str">
        <f aca="false">IF($T213="","",IF(COUNTIF('Resumo Grupos'!$AE$3:$AE$40,$T213)&gt;0,"NAO","SIM"))</f>
        <v>SIM</v>
      </c>
      <c r="AB213" s="0" t="str">
        <f aca="false">IFERROR(INDEX('Mov Entradas (Rel 10497)'!$L:$L,MATCH(AC213,'Mov Entradas (Rel 10497)'!$I:$I,0)),"nao encontrado")</f>
        <v>MARSHMALOW NO PALITO</v>
      </c>
      <c r="AC213" s="0" t="n">
        <v>502</v>
      </c>
    </row>
    <row r="214" customFormat="false" ht="36.75" hidden="false" customHeight="true" outlineLevel="0" collapsed="false">
      <c r="A214" s="9" t="n">
        <v>2</v>
      </c>
      <c r="B214" s="10" t="n">
        <v>46181</v>
      </c>
      <c r="C214" s="10" t="n">
        <v>46183</v>
      </c>
      <c r="D214" s="9" t="n">
        <v>1778</v>
      </c>
      <c r="E214" s="11" t="s">
        <v>200</v>
      </c>
      <c r="F214" s="9" t="n">
        <v>24</v>
      </c>
      <c r="G214" s="11" t="s">
        <v>51</v>
      </c>
      <c r="H214" s="9" t="n">
        <v>2110405</v>
      </c>
      <c r="I214" s="11" t="s">
        <v>56</v>
      </c>
      <c r="J214" s="9" t="n">
        <v>1223195</v>
      </c>
      <c r="L214" s="9" t="n">
        <v>162681</v>
      </c>
      <c r="M214" s="11" t="s">
        <v>52</v>
      </c>
      <c r="N214" s="11" t="s">
        <v>45</v>
      </c>
      <c r="P214" s="9" t="n">
        <v>101</v>
      </c>
      <c r="Q214" s="11" t="s">
        <v>57</v>
      </c>
      <c r="R214" s="11" t="s">
        <v>39</v>
      </c>
      <c r="S214" s="9" t="n">
        <v>4210207</v>
      </c>
      <c r="T214" s="11" t="s">
        <v>201</v>
      </c>
      <c r="U214" s="12" t="n">
        <v>620.88</v>
      </c>
      <c r="W214" s="12" t="n">
        <v>0</v>
      </c>
      <c r="X214" s="11" t="s">
        <v>287</v>
      </c>
      <c r="Z214" s="0" t="str">
        <f aca="false">IF($T214="","",IFERROR(INDEX('Resumo Grupos'!$AC$3:$AC$200,MATCH($T214,'Resumo Grupos'!$AB$3:$AB$200,0)),"n/d"))</f>
        <v>Despesa</v>
      </c>
      <c r="AA214" s="0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9" t="n">
        <v>2</v>
      </c>
      <c r="B215" s="10" t="n">
        <v>46183</v>
      </c>
      <c r="C215" s="10" t="n">
        <v>46183</v>
      </c>
      <c r="D215" s="9" t="n">
        <v>1038</v>
      </c>
      <c r="E215" s="11" t="s">
        <v>149</v>
      </c>
      <c r="F215" s="9" t="n">
        <v>13</v>
      </c>
      <c r="G215" s="11" t="s">
        <v>135</v>
      </c>
      <c r="H215" s="9" t="n">
        <v>2110101</v>
      </c>
      <c r="I215" s="11" t="s">
        <v>43</v>
      </c>
      <c r="J215" s="9" t="n">
        <v>1232441</v>
      </c>
      <c r="L215" s="9" t="n">
        <v>5967</v>
      </c>
      <c r="M215" s="11" t="s">
        <v>52</v>
      </c>
      <c r="N215" s="11" t="s">
        <v>37</v>
      </c>
      <c r="P215" s="9" t="n">
        <v>113</v>
      </c>
      <c r="Q215" s="11" t="s">
        <v>46</v>
      </c>
      <c r="R215" s="11" t="s">
        <v>47</v>
      </c>
      <c r="S215" s="9" t="n">
        <v>1130101</v>
      </c>
      <c r="T215" s="11" t="s">
        <v>48</v>
      </c>
      <c r="U215" s="12" t="n">
        <v>200</v>
      </c>
      <c r="W215" s="12" t="n">
        <v>200</v>
      </c>
      <c r="X215" s="11" t="s">
        <v>342</v>
      </c>
      <c r="Z215" s="0" t="str">
        <f aca="false">IF($T215="","",IFERROR(INDEX('Resumo Grupos'!$AC$3:$AC$200,MATCH($T215,'Resumo Grupos'!$AB$3:$AB$200,0)),"n/d"))</f>
        <v>Mercadoria</v>
      </c>
      <c r="AA215" s="0" t="str">
        <f aca="false">IF($T215="","",IF(COUNTIF('Resumo Grupos'!$AE$3:$AE$40,$T215)&gt;0,"NAO","SIM"))</f>
        <v>SIM</v>
      </c>
      <c r="AB215" s="0" t="str">
        <f aca="false">IFERROR(INDEX('Mov Entradas (Rel 10497)'!$L:$L,MATCH(AC215,'Mov Entradas (Rel 10497)'!$I:$I,0)),"nao encontrado")</f>
        <v>BOLO MIYAZAKI GRANDE</v>
      </c>
      <c r="AC215" s="0" t="n">
        <v>5967</v>
      </c>
    </row>
    <row r="216" customFormat="false" ht="36.75" hidden="false" customHeight="true" outlineLevel="0" collapsed="false">
      <c r="A216" s="9" t="n">
        <v>2</v>
      </c>
      <c r="B216" s="10" t="n">
        <v>46164</v>
      </c>
      <c r="C216" s="10" t="n">
        <v>46183</v>
      </c>
      <c r="D216" s="9" t="n">
        <v>1672</v>
      </c>
      <c r="E216" s="11" t="s">
        <v>343</v>
      </c>
      <c r="F216" s="9" t="n">
        <v>24</v>
      </c>
      <c r="G216" s="11" t="s">
        <v>51</v>
      </c>
      <c r="H216" s="9" t="n">
        <v>2110101</v>
      </c>
      <c r="I216" s="11" t="s">
        <v>43</v>
      </c>
      <c r="J216" s="9" t="n">
        <v>1137537</v>
      </c>
      <c r="L216" s="9" t="n">
        <v>1353427</v>
      </c>
      <c r="M216" s="11" t="s">
        <v>52</v>
      </c>
      <c r="N216" s="11" t="s">
        <v>37</v>
      </c>
      <c r="P216" s="9" t="n">
        <v>113</v>
      </c>
      <c r="Q216" s="11" t="s">
        <v>46</v>
      </c>
      <c r="R216" s="11" t="s">
        <v>47</v>
      </c>
      <c r="S216" s="9" t="n">
        <v>1130101</v>
      </c>
      <c r="T216" s="11" t="s">
        <v>48</v>
      </c>
      <c r="U216" s="12" t="n">
        <v>2345.6</v>
      </c>
      <c r="W216" s="12" t="n">
        <v>0</v>
      </c>
      <c r="X216" s="11" t="s">
        <v>344</v>
      </c>
      <c r="Z216" s="0" t="str">
        <f aca="false">IF($T216="","",IFERROR(INDEX('Resumo Grupos'!$AC$3:$AC$200,MATCH($T216,'Resumo Grupos'!$AB$3:$AB$200,0)),"n/d"))</f>
        <v>Mercadoria</v>
      </c>
      <c r="AA216" s="0" t="str">
        <f aca="false">IF($T216="","",IF(COUNTIF('Resumo Grupos'!$AE$3:$AE$40,$T216)&gt;0,"NAO","SIM"))</f>
        <v>SIM</v>
      </c>
      <c r="AB216" s="0" t="str">
        <f aca="false">IFERROR(INDEX('Mov Entradas (Rel 10497)'!$L:$L,MATCH(AC216,'Mov Entradas (Rel 10497)'!$I:$I,0)),"nao encontrado")</f>
        <v>nao encontrado</v>
      </c>
      <c r="AC216" s="0" t="n">
        <v>1353427</v>
      </c>
    </row>
    <row r="217" customFormat="false" ht="36.75" hidden="false" customHeight="true" outlineLevel="0" collapsed="false">
      <c r="A217" s="9" t="n">
        <v>2</v>
      </c>
      <c r="B217" s="10" t="n">
        <v>46157</v>
      </c>
      <c r="C217" s="10" t="n">
        <v>46183</v>
      </c>
      <c r="D217" s="9" t="n">
        <v>1611</v>
      </c>
      <c r="E217" s="11" t="s">
        <v>178</v>
      </c>
      <c r="F217" s="9" t="n">
        <v>24</v>
      </c>
      <c r="G217" s="11" t="s">
        <v>51</v>
      </c>
      <c r="H217" s="9" t="n">
        <v>2110101</v>
      </c>
      <c r="I217" s="11" t="s">
        <v>43</v>
      </c>
      <c r="J217" s="9" t="n">
        <v>1101883</v>
      </c>
      <c r="L217" s="9" t="n">
        <v>146197</v>
      </c>
      <c r="M217" s="11" t="s">
        <v>52</v>
      </c>
      <c r="N217" s="11" t="s">
        <v>45</v>
      </c>
      <c r="P217" s="9" t="n">
        <v>113</v>
      </c>
      <c r="Q217" s="11" t="s">
        <v>46</v>
      </c>
      <c r="R217" s="11" t="s">
        <v>47</v>
      </c>
      <c r="S217" s="9" t="n">
        <v>1130101</v>
      </c>
      <c r="T217" s="11" t="s">
        <v>48</v>
      </c>
      <c r="U217" s="12" t="n">
        <v>392.13</v>
      </c>
      <c r="W217" s="12" t="n">
        <v>0</v>
      </c>
      <c r="X217" s="11" t="s">
        <v>179</v>
      </c>
      <c r="Z217" s="0" t="str">
        <f aca="false">IF($T217="","",IFERROR(INDEX('Resumo Grupos'!$AC$3:$AC$200,MATCH($T217,'Resumo Grupos'!$AB$3:$AB$200,0)),"n/d"))</f>
        <v>Mercadoria</v>
      </c>
      <c r="AA217" s="0" t="str">
        <f aca="false">IF($T217="","",IF(COUNTIF('Resumo Grupos'!$AE$3:$AE$40,$T217)&gt;0,"NAO","SIM"))</f>
        <v>SIM</v>
      </c>
      <c r="AB217" s="0" t="str">
        <f aca="false">IFERROR(INDEX('Mov Entradas (Rel 10497)'!$L:$L,MATCH(AC217,'Mov Entradas (Rel 10497)'!$I:$I,0)),"nao encontrado")</f>
        <v>nao encontrado</v>
      </c>
      <c r="AC217" s="0" t="n">
        <v>1762194</v>
      </c>
    </row>
    <row r="218" customFormat="false" ht="36.75" hidden="false" customHeight="true" outlineLevel="0" collapsed="false">
      <c r="A218" s="9" t="n">
        <v>2</v>
      </c>
      <c r="B218" s="10" t="n">
        <v>46157</v>
      </c>
      <c r="C218" s="10" t="n">
        <v>46183</v>
      </c>
      <c r="D218" s="9" t="n">
        <v>1611</v>
      </c>
      <c r="E218" s="11" t="s">
        <v>178</v>
      </c>
      <c r="F218" s="9" t="n">
        <v>24</v>
      </c>
      <c r="G218" s="11" t="s">
        <v>51</v>
      </c>
      <c r="H218" s="9" t="n">
        <v>2110101</v>
      </c>
      <c r="I218" s="11" t="s">
        <v>43</v>
      </c>
      <c r="J218" s="9" t="n">
        <v>1102198</v>
      </c>
      <c r="L218" s="9" t="n">
        <v>1762195</v>
      </c>
      <c r="M218" s="11" t="s">
        <v>67</v>
      </c>
      <c r="N218" s="11" t="s">
        <v>37</v>
      </c>
      <c r="P218" s="9" t="n">
        <v>113</v>
      </c>
      <c r="Q218" s="11" t="s">
        <v>46</v>
      </c>
      <c r="R218" s="11" t="s">
        <v>47</v>
      </c>
      <c r="S218" s="9" t="n">
        <v>1130101</v>
      </c>
      <c r="T218" s="11" t="s">
        <v>48</v>
      </c>
      <c r="U218" s="12" t="n">
        <v>691.5</v>
      </c>
      <c r="W218" s="12" t="n">
        <v>0</v>
      </c>
      <c r="X218" s="11" t="s">
        <v>180</v>
      </c>
      <c r="Z218" s="0" t="str">
        <f aca="false">IF($T218="","",IFERROR(INDEX('Resumo Grupos'!$AC$3:$AC$200,MATCH($T218,'Resumo Grupos'!$AB$3:$AB$200,0)),"n/d"))</f>
        <v>Mercadoria</v>
      </c>
      <c r="AA218" s="0" t="str">
        <f aca="false">IF($T218="","",IF(COUNTIF('Resumo Grupos'!$AE$3:$AE$40,$T218)&gt;0,"NAO","SIM"))</f>
        <v>SIM</v>
      </c>
      <c r="AB218" s="0" t="str">
        <f aca="false">IFERROR(INDEX('Mov Entradas (Rel 10497)'!$L:$L,MATCH(AC218,'Mov Entradas (Rel 10497)'!$I:$I,0)),"nao encontrado")</f>
        <v>nao encontrado</v>
      </c>
      <c r="AC218" s="0" t="n">
        <v>1762195</v>
      </c>
    </row>
    <row r="219" customFormat="false" ht="36.75" hidden="false" customHeight="true" outlineLevel="0" collapsed="false">
      <c r="A219" s="9" t="n">
        <v>2</v>
      </c>
      <c r="B219" s="10" t="n">
        <v>46170</v>
      </c>
      <c r="C219" s="10" t="n">
        <v>46183</v>
      </c>
      <c r="D219" s="9" t="n">
        <v>1668</v>
      </c>
      <c r="E219" s="11" t="s">
        <v>151</v>
      </c>
      <c r="F219" s="9" t="n">
        <v>24</v>
      </c>
      <c r="G219" s="11" t="s">
        <v>51</v>
      </c>
      <c r="H219" s="9" t="n">
        <v>2110405</v>
      </c>
      <c r="I219" s="11" t="s">
        <v>56</v>
      </c>
      <c r="J219" s="9" t="n">
        <v>1166891</v>
      </c>
      <c r="L219" s="9" t="n">
        <v>155337</v>
      </c>
      <c r="M219" s="11" t="s">
        <v>52</v>
      </c>
      <c r="N219" s="11" t="s">
        <v>45</v>
      </c>
      <c r="P219" s="9" t="n">
        <v>113</v>
      </c>
      <c r="Q219" s="11" t="s">
        <v>46</v>
      </c>
      <c r="R219" s="11" t="s">
        <v>39</v>
      </c>
      <c r="S219" s="9" t="n">
        <v>4210299</v>
      </c>
      <c r="T219" s="11" t="s">
        <v>165</v>
      </c>
      <c r="U219" s="12" t="n">
        <v>474.78</v>
      </c>
      <c r="W219" s="12" t="n">
        <v>0</v>
      </c>
      <c r="X219" s="11" t="s">
        <v>345</v>
      </c>
      <c r="Z219" s="0" t="str">
        <f aca="false">IF($T219="","",IFERROR(INDEX('Resumo Grupos'!$AC$3:$AC$200,MATCH($T219,'Resumo Grupos'!$AB$3:$AB$200,0)),"n/d"))</f>
        <v>Despesa</v>
      </c>
      <c r="AA219" s="0" t="str">
        <f aca="false">IF($T219="","",IF(COUNTIF('Resumo Grupos'!$AE$3:$AE$40,$T219)&gt;0,"NAO","SIM"))</f>
        <v>SIM</v>
      </c>
      <c r="AB219" s="0" t="str">
        <f aca="false">IFERROR(INDEX('Mov Entradas (Rel 10497)'!$L:$L,MATCH(AC219,'Mov Entradas (Rel 10497)'!$I:$I,0)),"nao encontrado")</f>
        <v>nao encontrado</v>
      </c>
      <c r="AC219" s="0" t="n">
        <v>722976</v>
      </c>
    </row>
    <row r="220" customFormat="false" ht="54.75" hidden="false" customHeight="true" outlineLevel="0" collapsed="false">
      <c r="A220" s="9" t="n">
        <v>2</v>
      </c>
      <c r="B220" s="10" t="n">
        <v>46170</v>
      </c>
      <c r="C220" s="10" t="n">
        <v>46183</v>
      </c>
      <c r="D220" s="9" t="n">
        <v>1078</v>
      </c>
      <c r="E220" s="11" t="s">
        <v>151</v>
      </c>
      <c r="F220" s="9" t="n">
        <v>24</v>
      </c>
      <c r="G220" s="11" t="s">
        <v>51</v>
      </c>
      <c r="H220" s="9" t="n">
        <v>2110101</v>
      </c>
      <c r="I220" s="11" t="s">
        <v>43</v>
      </c>
      <c r="J220" s="9" t="n">
        <v>1167108</v>
      </c>
      <c r="L220" s="9" t="n">
        <v>27273</v>
      </c>
      <c r="M220" s="11" t="s">
        <v>44</v>
      </c>
      <c r="N220" s="11" t="s">
        <v>37</v>
      </c>
      <c r="P220" s="9" t="n">
        <v>113</v>
      </c>
      <c r="Q220" s="11" t="s">
        <v>46</v>
      </c>
      <c r="R220" s="11" t="s">
        <v>47</v>
      </c>
      <c r="S220" s="9" t="n">
        <v>1130101</v>
      </c>
      <c r="T220" s="11" t="s">
        <v>48</v>
      </c>
      <c r="U220" s="12" t="n">
        <v>84.11</v>
      </c>
      <c r="W220" s="12" t="n">
        <v>0</v>
      </c>
      <c r="X220" s="11" t="s">
        <v>181</v>
      </c>
      <c r="Z220" s="0" t="str">
        <f aca="false">IF($T220="","",IFERROR(INDEX('Resumo Grupos'!$AC$3:$AC$200,MATCH($T220,'Resumo Grupos'!$AB$3:$AB$200,0)),"n/d"))</f>
        <v>Mercadoria</v>
      </c>
      <c r="AA220" s="0" t="str">
        <f aca="false">IF($T220="","",IF(COUNTIF('Resumo Grupos'!$AE$3:$AE$40,$T220)&gt;0,"NAO","SIM"))</f>
        <v>SIM</v>
      </c>
      <c r="AB220" s="0" t="str">
        <f aca="false">IFERROR(INDEX('Mov Entradas (Rel 10497)'!$L:$L,MATCH(AC220,'Mov Entradas (Rel 10497)'!$I:$I,0)),"nao encontrado")</f>
        <v>nao encontrado</v>
      </c>
      <c r="AC220" s="0" t="n">
        <v>27273</v>
      </c>
    </row>
    <row r="221" customFormat="false" ht="36.75" hidden="false" customHeight="true" outlineLevel="0" collapsed="false">
      <c r="A221" s="9" t="n">
        <v>2</v>
      </c>
      <c r="B221" s="10" t="n">
        <v>46179</v>
      </c>
      <c r="C221" s="10" t="n">
        <v>46183</v>
      </c>
      <c r="D221" s="9" t="n">
        <v>513</v>
      </c>
      <c r="E221" s="11" t="s">
        <v>346</v>
      </c>
      <c r="F221" s="9" t="n">
        <v>24</v>
      </c>
      <c r="G221" s="11" t="s">
        <v>51</v>
      </c>
      <c r="H221" s="9" t="n">
        <v>2110405</v>
      </c>
      <c r="I221" s="11" t="s">
        <v>56</v>
      </c>
      <c r="J221" s="9" t="n">
        <v>1212006</v>
      </c>
      <c r="L221" s="9" t="n">
        <v>161452</v>
      </c>
      <c r="M221" s="11" t="s">
        <v>52</v>
      </c>
      <c r="N221" s="11" t="s">
        <v>45</v>
      </c>
      <c r="P221" s="9" t="n">
        <v>101</v>
      </c>
      <c r="Q221" s="11" t="s">
        <v>57</v>
      </c>
      <c r="R221" s="11" t="s">
        <v>71</v>
      </c>
      <c r="S221" s="9" t="n">
        <v>4210315</v>
      </c>
      <c r="T221" s="11" t="s">
        <v>279</v>
      </c>
      <c r="U221" s="12" t="n">
        <v>160</v>
      </c>
      <c r="W221" s="12" t="n">
        <v>0</v>
      </c>
      <c r="X221" s="11" t="s">
        <v>347</v>
      </c>
      <c r="Z221" s="0" t="str">
        <f aca="false">IF($T221="","",IFERROR(INDEX('Resumo Grupos'!$AC$3:$AC$200,MATCH($T221,'Resumo Grupos'!$AB$3:$AB$200,0)),"n/d"))</f>
        <v>Despesa</v>
      </c>
      <c r="AA221" s="0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9" t="n">
        <v>2</v>
      </c>
      <c r="B222" s="10" t="n">
        <v>46183</v>
      </c>
      <c r="C222" s="10" t="n">
        <v>46183</v>
      </c>
      <c r="D222" s="9" t="n">
        <v>48</v>
      </c>
      <c r="E222" s="11" t="s">
        <v>153</v>
      </c>
      <c r="F222" s="9" t="n">
        <v>13</v>
      </c>
      <c r="G222" s="11" t="s">
        <v>135</v>
      </c>
      <c r="H222" s="9" t="n">
        <v>2110101</v>
      </c>
      <c r="I222" s="11" t="s">
        <v>43</v>
      </c>
      <c r="J222" s="9" t="n">
        <v>1231753</v>
      </c>
      <c r="L222" s="9" t="n">
        <v>2493</v>
      </c>
      <c r="M222" s="11" t="s">
        <v>52</v>
      </c>
      <c r="N222" s="11" t="s">
        <v>37</v>
      </c>
      <c r="P222" s="9" t="n">
        <v>113</v>
      </c>
      <c r="Q222" s="11" t="s">
        <v>46</v>
      </c>
      <c r="R222" s="11" t="s">
        <v>47</v>
      </c>
      <c r="S222" s="9" t="n">
        <v>1130101</v>
      </c>
      <c r="T222" s="11" t="s">
        <v>48</v>
      </c>
      <c r="U222" s="12" t="n">
        <v>195</v>
      </c>
      <c r="W222" s="12" t="n">
        <v>195</v>
      </c>
      <c r="X222" s="11" t="s">
        <v>348</v>
      </c>
      <c r="Z222" s="0" t="str">
        <f aca="false">IF($T222="","",IFERROR(INDEX('Resumo Grupos'!$AC$3:$AC$200,MATCH($T222,'Resumo Grupos'!$AB$3:$AB$200,0)),"n/d"))</f>
        <v>Mercadoria</v>
      </c>
      <c r="AA222" s="0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9" t="n">
        <v>2</v>
      </c>
      <c r="B223" s="10" t="n">
        <v>46153</v>
      </c>
      <c r="C223" s="10" t="n">
        <v>46183</v>
      </c>
      <c r="D223" s="9" t="n">
        <v>10011</v>
      </c>
      <c r="E223" s="11" t="s">
        <v>349</v>
      </c>
      <c r="F223" s="9" t="n">
        <v>24</v>
      </c>
      <c r="G223" s="11" t="s">
        <v>51</v>
      </c>
      <c r="H223" s="9" t="n">
        <v>2110101</v>
      </c>
      <c r="I223" s="11" t="s">
        <v>43</v>
      </c>
      <c r="J223" s="9" t="n">
        <v>1083233</v>
      </c>
      <c r="L223" s="9" t="n">
        <v>33574</v>
      </c>
      <c r="M223" s="11" t="s">
        <v>52</v>
      </c>
      <c r="N223" s="11" t="s">
        <v>37</v>
      </c>
      <c r="P223" s="9" t="n">
        <v>113</v>
      </c>
      <c r="Q223" s="11" t="s">
        <v>46</v>
      </c>
      <c r="R223" s="11" t="s">
        <v>47</v>
      </c>
      <c r="S223" s="9" t="n">
        <v>1130101</v>
      </c>
      <c r="T223" s="11" t="s">
        <v>48</v>
      </c>
      <c r="U223" s="12" t="n">
        <v>1270.35</v>
      </c>
      <c r="W223" s="12" t="n">
        <v>0</v>
      </c>
      <c r="X223" s="11" t="s">
        <v>350</v>
      </c>
      <c r="Z223" s="0" t="str">
        <f aca="false">IF($T223="","",IFERROR(INDEX('Resumo Grupos'!$AC$3:$AC$200,MATCH($T223,'Resumo Grupos'!$AB$3:$AB$200,0)),"n/d"))</f>
        <v>Mercadoria</v>
      </c>
      <c r="AA223" s="0" t="str">
        <f aca="false">IF($T223="","",IF(COUNTIF('Resumo Grupos'!$AE$3:$AE$40,$T223)&gt;0,"NAO","SIM"))</f>
        <v>SIM</v>
      </c>
      <c r="AB223" s="0" t="str">
        <f aca="false">IFERROR(INDEX('Mov Entradas (Rel 10497)'!$L:$L,MATCH(AC223,'Mov Entradas (Rel 10497)'!$I:$I,0)),"nao encontrado")</f>
        <v>nao encontrado</v>
      </c>
      <c r="AC223" s="0" t="n">
        <v>33574</v>
      </c>
    </row>
    <row r="224" customFormat="false" ht="36.75" hidden="false" customHeight="true" outlineLevel="0" collapsed="false">
      <c r="A224" s="9" t="n">
        <v>2</v>
      </c>
      <c r="B224" s="10" t="n">
        <v>46163</v>
      </c>
      <c r="C224" s="10" t="n">
        <v>46183</v>
      </c>
      <c r="D224" s="9" t="n">
        <v>1624</v>
      </c>
      <c r="E224" s="11" t="s">
        <v>351</v>
      </c>
      <c r="F224" s="9" t="n">
        <v>24</v>
      </c>
      <c r="G224" s="11" t="s">
        <v>51</v>
      </c>
      <c r="H224" s="9" t="n">
        <v>2110101</v>
      </c>
      <c r="I224" s="11" t="s">
        <v>43</v>
      </c>
      <c r="J224" s="9" t="n">
        <v>1133230</v>
      </c>
      <c r="L224" s="9" t="n">
        <v>654829</v>
      </c>
      <c r="M224" s="11" t="s">
        <v>52</v>
      </c>
      <c r="N224" s="11" t="s">
        <v>37</v>
      </c>
      <c r="P224" s="9" t="n">
        <v>113</v>
      </c>
      <c r="Q224" s="11" t="s">
        <v>46</v>
      </c>
      <c r="R224" s="11" t="s">
        <v>47</v>
      </c>
      <c r="S224" s="9" t="n">
        <v>1130101</v>
      </c>
      <c r="T224" s="11" t="s">
        <v>48</v>
      </c>
      <c r="U224" s="12" t="n">
        <v>650</v>
      </c>
      <c r="W224" s="12" t="n">
        <v>0</v>
      </c>
      <c r="X224" s="11" t="s">
        <v>352</v>
      </c>
      <c r="Z224" s="0" t="str">
        <f aca="false">IF($T224="","",IFERROR(INDEX('Resumo Grupos'!$AC$3:$AC$200,MATCH($T224,'Resumo Grupos'!$AB$3:$AB$200,0)),"n/d"))</f>
        <v>Mercadoria</v>
      </c>
      <c r="AA224" s="0" t="str">
        <f aca="false">IF($T224="","",IF(COUNTIF('Resumo Grupos'!$AE$3:$AE$40,$T224)&gt;0,"NAO","SIM"))</f>
        <v>SIM</v>
      </c>
      <c r="AB224" s="0" t="str">
        <f aca="false">IFERROR(INDEX('Mov Entradas (Rel 10497)'!$L:$L,MATCH(AC224,'Mov Entradas (Rel 10497)'!$I:$I,0)),"nao encontrado")</f>
        <v>nao encontrado</v>
      </c>
      <c r="AC224" s="0" t="n">
        <v>654829</v>
      </c>
    </row>
    <row r="225" customFormat="false" ht="36.75" hidden="false" customHeight="true" outlineLevel="0" collapsed="false">
      <c r="A225" s="9" t="n">
        <v>2</v>
      </c>
      <c r="B225" s="10" t="n">
        <v>46153</v>
      </c>
      <c r="C225" s="10" t="n">
        <v>46183</v>
      </c>
      <c r="D225" s="9" t="n">
        <v>10006</v>
      </c>
      <c r="E225" s="11" t="s">
        <v>206</v>
      </c>
      <c r="F225" s="9" t="n">
        <v>46</v>
      </c>
      <c r="G225" s="11" t="s">
        <v>319</v>
      </c>
      <c r="H225" s="9" t="n">
        <v>2110405</v>
      </c>
      <c r="I225" s="11" t="s">
        <v>56</v>
      </c>
      <c r="J225" s="9" t="n">
        <v>1230712</v>
      </c>
      <c r="L225" s="9" t="n">
        <v>163750</v>
      </c>
      <c r="M225" s="11" t="s">
        <v>52</v>
      </c>
      <c r="N225" s="11" t="s">
        <v>45</v>
      </c>
      <c r="P225" s="9" t="n">
        <v>101</v>
      </c>
      <c r="Q225" s="11" t="s">
        <v>57</v>
      </c>
      <c r="R225" s="11" t="s">
        <v>39</v>
      </c>
      <c r="S225" s="9" t="n">
        <v>4210232</v>
      </c>
      <c r="T225" s="11" t="s">
        <v>320</v>
      </c>
      <c r="U225" s="12" t="n">
        <v>415.26</v>
      </c>
      <c r="W225" s="12" t="n">
        <v>0</v>
      </c>
      <c r="X225" s="11" t="s">
        <v>353</v>
      </c>
      <c r="Z225" s="0" t="str">
        <f aca="false">IF($T225="","",IFERROR(INDEX('Resumo Grupos'!$AC$3:$AC$200,MATCH($T225,'Resumo Grupos'!$AB$3:$AB$200,0)),"n/d"))</f>
        <v>Despesa</v>
      </c>
      <c r="AA225" s="0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9" t="n">
        <v>2</v>
      </c>
      <c r="B226" s="10" t="n">
        <v>46158</v>
      </c>
      <c r="C226" s="10" t="n">
        <v>46183</v>
      </c>
      <c r="D226" s="9" t="n">
        <v>10012</v>
      </c>
      <c r="E226" s="11" t="s">
        <v>185</v>
      </c>
      <c r="F226" s="9" t="n">
        <v>24</v>
      </c>
      <c r="G226" s="11" t="s">
        <v>51</v>
      </c>
      <c r="H226" s="9" t="n">
        <v>2110101</v>
      </c>
      <c r="I226" s="11" t="s">
        <v>43</v>
      </c>
      <c r="J226" s="9" t="n">
        <v>1106692</v>
      </c>
      <c r="L226" s="9" t="n">
        <v>1952417</v>
      </c>
      <c r="M226" s="11" t="s">
        <v>44</v>
      </c>
      <c r="N226" s="11" t="s">
        <v>37</v>
      </c>
      <c r="P226" s="9" t="n">
        <v>113</v>
      </c>
      <c r="Q226" s="11" t="s">
        <v>46</v>
      </c>
      <c r="R226" s="11" t="s">
        <v>47</v>
      </c>
      <c r="S226" s="9" t="n">
        <v>1130101</v>
      </c>
      <c r="T226" s="11" t="s">
        <v>48</v>
      </c>
      <c r="U226" s="12" t="n">
        <v>1262.32</v>
      </c>
      <c r="W226" s="12" t="n">
        <v>0</v>
      </c>
      <c r="X226" s="11" t="s">
        <v>186</v>
      </c>
      <c r="Z226" s="0" t="str">
        <f aca="false">IF($T226="","",IFERROR(INDEX('Resumo Grupos'!$AC$3:$AC$200,MATCH($T226,'Resumo Grupos'!$AB$3:$AB$200,0)),"n/d"))</f>
        <v>Mercadoria</v>
      </c>
      <c r="AA226" s="0" t="str">
        <f aca="false">IF($T226="","",IF(COUNTIF('Resumo Grupos'!$AE$3:$AE$40,$T226)&gt;0,"NAO","SIM"))</f>
        <v>SIM</v>
      </c>
      <c r="AB226" s="0" t="str">
        <f aca="false">IFERROR(INDEX('Mov Entradas (Rel 10497)'!$L:$L,MATCH(AC226,'Mov Entradas (Rel 10497)'!$I:$I,0)),"nao encontrado")</f>
        <v>nao encontrado</v>
      </c>
      <c r="AC226" s="0" t="n">
        <v>1952417</v>
      </c>
    </row>
    <row r="227" customFormat="false" ht="36.75" hidden="false" customHeight="true" outlineLevel="0" collapsed="false">
      <c r="A227" s="9" t="n">
        <v>2</v>
      </c>
      <c r="B227" s="10" t="n">
        <v>46183</v>
      </c>
      <c r="C227" s="10" t="n">
        <v>46183</v>
      </c>
      <c r="D227" s="9" t="n">
        <v>0</v>
      </c>
      <c r="E227" s="11" t="s">
        <v>109</v>
      </c>
      <c r="F227" s="9" t="n">
        <v>17</v>
      </c>
      <c r="G227" s="11" t="s">
        <v>110</v>
      </c>
      <c r="H227" s="9" t="n">
        <v>1110101</v>
      </c>
      <c r="I227" s="11" t="s">
        <v>111</v>
      </c>
      <c r="J227" s="9" t="n">
        <v>1256674</v>
      </c>
      <c r="L227" s="9" t="n">
        <v>1256674</v>
      </c>
      <c r="M227" s="11" t="s">
        <v>52</v>
      </c>
      <c r="N227" s="11" t="s">
        <v>112</v>
      </c>
      <c r="P227" s="9" t="n">
        <v>113</v>
      </c>
      <c r="Q227" s="11" t="s">
        <v>46</v>
      </c>
      <c r="R227" s="11" t="s">
        <v>259</v>
      </c>
      <c r="S227" s="9" t="n">
        <v>2110101</v>
      </c>
      <c r="T227" s="11" t="s">
        <v>43</v>
      </c>
      <c r="U227" s="12" t="n">
        <v>200</v>
      </c>
      <c r="W227" s="12" t="n">
        <v>200</v>
      </c>
      <c r="X227" s="11" t="s">
        <v>354</v>
      </c>
      <c r="Z227" s="0" t="str">
        <f aca="false">IF($T227="","",IFERROR(INDEX('Resumo Grupos'!$AC$3:$AC$200,MATCH($T227,'Resumo Grupos'!$AB$3:$AB$200,0)),"n/d"))</f>
        <v>Despesa</v>
      </c>
      <c r="AA227" s="0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9" t="n">
        <v>2</v>
      </c>
      <c r="B228" s="10" t="n">
        <v>46183</v>
      </c>
      <c r="C228" s="10" t="n">
        <v>46183</v>
      </c>
      <c r="D228" s="9" t="n">
        <v>0</v>
      </c>
      <c r="E228" s="11" t="s">
        <v>109</v>
      </c>
      <c r="F228" s="9" t="n">
        <v>17</v>
      </c>
      <c r="G228" s="11" t="s">
        <v>110</v>
      </c>
      <c r="H228" s="9" t="n">
        <v>1110101</v>
      </c>
      <c r="I228" s="11" t="s">
        <v>111</v>
      </c>
      <c r="J228" s="9" t="n">
        <v>1256675</v>
      </c>
      <c r="L228" s="9" t="n">
        <v>1256675</v>
      </c>
      <c r="M228" s="11" t="s">
        <v>52</v>
      </c>
      <c r="N228" s="11" t="s">
        <v>112</v>
      </c>
      <c r="P228" s="9" t="n">
        <v>113</v>
      </c>
      <c r="Q228" s="11" t="s">
        <v>46</v>
      </c>
      <c r="R228" s="11" t="s">
        <v>259</v>
      </c>
      <c r="S228" s="9" t="n">
        <v>2110101</v>
      </c>
      <c r="T228" s="11" t="s">
        <v>43</v>
      </c>
      <c r="U228" s="12" t="n">
        <v>160.32</v>
      </c>
      <c r="W228" s="12" t="n">
        <v>160.32</v>
      </c>
      <c r="X228" s="11" t="s">
        <v>355</v>
      </c>
      <c r="Z228" s="0" t="str">
        <f aca="false">IF($T228="","",IFERROR(INDEX('Resumo Grupos'!$AC$3:$AC$200,MATCH($T228,'Resumo Grupos'!$AB$3:$AB$200,0)),"n/d"))</f>
        <v>Despesa</v>
      </c>
      <c r="AA228" s="0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9" t="n">
        <v>2</v>
      </c>
      <c r="B229" s="10" t="n">
        <v>46183</v>
      </c>
      <c r="C229" s="10" t="n">
        <v>46183</v>
      </c>
      <c r="D229" s="9" t="n">
        <v>0</v>
      </c>
      <c r="E229" s="11" t="s">
        <v>109</v>
      </c>
      <c r="F229" s="9" t="n">
        <v>17</v>
      </c>
      <c r="G229" s="11" t="s">
        <v>110</v>
      </c>
      <c r="H229" s="9" t="n">
        <v>1110101</v>
      </c>
      <c r="I229" s="11" t="s">
        <v>111</v>
      </c>
      <c r="J229" s="9" t="n">
        <v>1256679</v>
      </c>
      <c r="L229" s="9" t="n">
        <v>1256679</v>
      </c>
      <c r="M229" s="11" t="s">
        <v>52</v>
      </c>
      <c r="N229" s="11" t="s">
        <v>112</v>
      </c>
      <c r="P229" s="9" t="n">
        <v>113</v>
      </c>
      <c r="Q229" s="11" t="s">
        <v>46</v>
      </c>
      <c r="R229" s="11" t="s">
        <v>259</v>
      </c>
      <c r="S229" s="9" t="n">
        <v>2110101</v>
      </c>
      <c r="T229" s="11" t="s">
        <v>43</v>
      </c>
      <c r="U229" s="12" t="n">
        <v>195</v>
      </c>
      <c r="W229" s="12" t="n">
        <v>195</v>
      </c>
      <c r="X229" s="11" t="s">
        <v>356</v>
      </c>
      <c r="Z229" s="0" t="str">
        <f aca="false">IF($T229="","",IFERROR(INDEX('Resumo Grupos'!$AC$3:$AC$200,MATCH($T229,'Resumo Grupos'!$AB$3:$AB$200,0)),"n/d"))</f>
        <v>Despesa</v>
      </c>
      <c r="AA229" s="0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9" t="n">
        <v>2</v>
      </c>
      <c r="B230" s="10" t="n">
        <v>46183</v>
      </c>
      <c r="C230" s="10" t="n">
        <v>46183</v>
      </c>
      <c r="D230" s="9" t="n">
        <v>0</v>
      </c>
      <c r="E230" s="11" t="s">
        <v>109</v>
      </c>
      <c r="F230" s="9" t="n">
        <v>17</v>
      </c>
      <c r="G230" s="11" t="s">
        <v>110</v>
      </c>
      <c r="H230" s="9" t="n">
        <v>1110101</v>
      </c>
      <c r="I230" s="11" t="s">
        <v>111</v>
      </c>
      <c r="J230" s="9" t="n">
        <v>1256680</v>
      </c>
      <c r="L230" s="9" t="n">
        <v>1256680</v>
      </c>
      <c r="M230" s="11" t="s">
        <v>52</v>
      </c>
      <c r="N230" s="11" t="s">
        <v>112</v>
      </c>
      <c r="P230" s="9" t="n">
        <v>113</v>
      </c>
      <c r="Q230" s="11" t="s">
        <v>46</v>
      </c>
      <c r="R230" s="11" t="s">
        <v>71</v>
      </c>
      <c r="S230" s="9" t="n">
        <v>4210314</v>
      </c>
      <c r="T230" s="11" t="s">
        <v>113</v>
      </c>
      <c r="U230" s="12" t="n">
        <v>70</v>
      </c>
      <c r="W230" s="12" t="n">
        <v>70</v>
      </c>
      <c r="X230" s="11" t="s">
        <v>114</v>
      </c>
      <c r="Z230" s="0" t="str">
        <f aca="false">IF($T230="","",IFERROR(INDEX('Resumo Grupos'!$AC$3:$AC$200,MATCH($T230,'Resumo Grupos'!$AB$3:$AB$200,0)),"n/d"))</f>
        <v>Despesa</v>
      </c>
      <c r="AA230" s="0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9" t="n">
        <v>2</v>
      </c>
      <c r="B231" s="10" t="n">
        <v>46183</v>
      </c>
      <c r="C231" s="10" t="n">
        <v>46183</v>
      </c>
      <c r="D231" s="9" t="n">
        <v>0</v>
      </c>
      <c r="E231" s="11" t="s">
        <v>109</v>
      </c>
      <c r="F231" s="9" t="n">
        <v>17</v>
      </c>
      <c r="G231" s="11" t="s">
        <v>110</v>
      </c>
      <c r="H231" s="9" t="n">
        <v>1110101</v>
      </c>
      <c r="I231" s="11" t="s">
        <v>111</v>
      </c>
      <c r="J231" s="9" t="n">
        <v>1256681</v>
      </c>
      <c r="L231" s="9" t="n">
        <v>1256681</v>
      </c>
      <c r="M231" s="11" t="s">
        <v>52</v>
      </c>
      <c r="N231" s="11" t="s">
        <v>112</v>
      </c>
      <c r="P231" s="9" t="n">
        <v>113</v>
      </c>
      <c r="Q231" s="11" t="s">
        <v>46</v>
      </c>
      <c r="R231" s="11" t="s">
        <v>71</v>
      </c>
      <c r="S231" s="9" t="n">
        <v>4210314</v>
      </c>
      <c r="T231" s="11" t="s">
        <v>113</v>
      </c>
      <c r="U231" s="12" t="n">
        <v>70</v>
      </c>
      <c r="W231" s="12" t="n">
        <v>70</v>
      </c>
      <c r="X231" s="11" t="s">
        <v>187</v>
      </c>
      <c r="Z231" s="0" t="str">
        <f aca="false">IF($T231="","",IFERROR(INDEX('Resumo Grupos'!$AC$3:$AC$200,MATCH($T231,'Resumo Grupos'!$AB$3:$AB$200,0)),"n/d"))</f>
        <v>Despesa</v>
      </c>
      <c r="AA231" s="0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9" t="n">
        <v>2</v>
      </c>
      <c r="B232" s="10" t="n">
        <v>46183</v>
      </c>
      <c r="C232" s="10" t="n">
        <v>46183</v>
      </c>
      <c r="D232" s="9" t="n">
        <v>0</v>
      </c>
      <c r="E232" s="11" t="s">
        <v>109</v>
      </c>
      <c r="F232" s="9" t="n">
        <v>17</v>
      </c>
      <c r="G232" s="11" t="s">
        <v>110</v>
      </c>
      <c r="H232" s="9" t="n">
        <v>1110101</v>
      </c>
      <c r="I232" s="11" t="s">
        <v>111</v>
      </c>
      <c r="J232" s="9" t="n">
        <v>1256682</v>
      </c>
      <c r="L232" s="9" t="n">
        <v>1256682</v>
      </c>
      <c r="M232" s="11" t="s">
        <v>52</v>
      </c>
      <c r="N232" s="11" t="s">
        <v>112</v>
      </c>
      <c r="P232" s="9" t="n">
        <v>113</v>
      </c>
      <c r="Q232" s="11" t="s">
        <v>46</v>
      </c>
      <c r="R232" s="11" t="s">
        <v>47</v>
      </c>
      <c r="S232" s="9" t="n">
        <v>1130101</v>
      </c>
      <c r="T232" s="11" t="s">
        <v>48</v>
      </c>
      <c r="U232" s="12" t="n">
        <v>42</v>
      </c>
      <c r="W232" s="12" t="n">
        <v>42</v>
      </c>
      <c r="X232" s="11" t="s">
        <v>357</v>
      </c>
      <c r="Z232" s="0" t="str">
        <f aca="false">IF($T232="","",IFERROR(INDEX('Resumo Grupos'!$AC$3:$AC$200,MATCH($T232,'Resumo Grupos'!$AB$3:$AB$200,0)),"n/d"))</f>
        <v>Mercadoria</v>
      </c>
      <c r="AA232" s="0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9" t="n">
        <v>2</v>
      </c>
      <c r="B233" s="10" t="n">
        <v>46183</v>
      </c>
      <c r="C233" s="10" t="n">
        <v>46183</v>
      </c>
      <c r="D233" s="9" t="n">
        <v>0</v>
      </c>
      <c r="E233" s="11" t="s">
        <v>109</v>
      </c>
      <c r="F233" s="9" t="n">
        <v>17</v>
      </c>
      <c r="G233" s="11" t="s">
        <v>110</v>
      </c>
      <c r="H233" s="9" t="n">
        <v>1110101</v>
      </c>
      <c r="I233" s="11" t="s">
        <v>111</v>
      </c>
      <c r="J233" s="9" t="n">
        <v>1256686</v>
      </c>
      <c r="L233" s="9" t="n">
        <v>1256686</v>
      </c>
      <c r="M233" s="11" t="s">
        <v>52</v>
      </c>
      <c r="N233" s="11" t="s">
        <v>112</v>
      </c>
      <c r="P233" s="9" t="n">
        <v>113</v>
      </c>
      <c r="Q233" s="11" t="s">
        <v>46</v>
      </c>
      <c r="R233" s="11" t="s">
        <v>71</v>
      </c>
      <c r="S233" s="9" t="n">
        <v>4210314</v>
      </c>
      <c r="T233" s="11" t="s">
        <v>113</v>
      </c>
      <c r="U233" s="12" t="n">
        <v>70</v>
      </c>
      <c r="W233" s="12" t="n">
        <v>70</v>
      </c>
      <c r="X233" s="11" t="s">
        <v>115</v>
      </c>
      <c r="Z233" s="0" t="str">
        <f aca="false">IF($T233="","",IFERROR(INDEX('Resumo Grupos'!$AC$3:$AC$200,MATCH($T233,'Resumo Grupos'!$AB$3:$AB$200,0)),"n/d"))</f>
        <v>Despesa</v>
      </c>
      <c r="AA233" s="0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9" t="n">
        <v>2</v>
      </c>
      <c r="B234" s="10" t="n">
        <v>46183</v>
      </c>
      <c r="C234" s="10" t="n">
        <v>46183</v>
      </c>
      <c r="D234" s="9" t="n">
        <v>0</v>
      </c>
      <c r="E234" s="11" t="s">
        <v>109</v>
      </c>
      <c r="F234" s="9" t="n">
        <v>17</v>
      </c>
      <c r="G234" s="11" t="s">
        <v>110</v>
      </c>
      <c r="H234" s="9" t="n">
        <v>1110101</v>
      </c>
      <c r="I234" s="11" t="s">
        <v>111</v>
      </c>
      <c r="J234" s="9" t="n">
        <v>1256688</v>
      </c>
      <c r="L234" s="9" t="n">
        <v>1256688</v>
      </c>
      <c r="M234" s="11" t="s">
        <v>52</v>
      </c>
      <c r="N234" s="11" t="s">
        <v>112</v>
      </c>
      <c r="P234" s="9" t="n">
        <v>113</v>
      </c>
      <c r="Q234" s="11" t="s">
        <v>46</v>
      </c>
      <c r="R234" s="11" t="s">
        <v>71</v>
      </c>
      <c r="S234" s="9" t="n">
        <v>4210316</v>
      </c>
      <c r="T234" s="11" t="s">
        <v>159</v>
      </c>
      <c r="U234" s="12" t="n">
        <v>50</v>
      </c>
      <c r="W234" s="12" t="n">
        <v>50</v>
      </c>
      <c r="X234" s="11" t="s">
        <v>263</v>
      </c>
      <c r="Z234" s="0" t="str">
        <f aca="false">IF($T234="","",IFERROR(INDEX('Resumo Grupos'!$AC$3:$AC$200,MATCH($T234,'Resumo Grupos'!$AB$3:$AB$200,0)),"n/d"))</f>
        <v>Salários</v>
      </c>
      <c r="AA234" s="0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9" t="n">
        <v>2</v>
      </c>
      <c r="B235" s="10" t="n">
        <v>46183</v>
      </c>
      <c r="C235" s="10" t="n">
        <v>46183</v>
      </c>
      <c r="D235" s="9" t="n">
        <v>0</v>
      </c>
      <c r="E235" s="11" t="s">
        <v>109</v>
      </c>
      <c r="F235" s="9" t="n">
        <v>17</v>
      </c>
      <c r="G235" s="11" t="s">
        <v>110</v>
      </c>
      <c r="H235" s="9" t="n">
        <v>1110101</v>
      </c>
      <c r="I235" s="11" t="s">
        <v>111</v>
      </c>
      <c r="J235" s="9" t="n">
        <v>1361185</v>
      </c>
      <c r="L235" s="9" t="n">
        <v>1361185</v>
      </c>
      <c r="M235" s="11" t="s">
        <v>52</v>
      </c>
      <c r="N235" s="11" t="s">
        <v>112</v>
      </c>
      <c r="P235" s="9" t="n">
        <v>113</v>
      </c>
      <c r="Q235" s="11" t="s">
        <v>46</v>
      </c>
      <c r="R235" s="11" t="s">
        <v>116</v>
      </c>
      <c r="S235" s="9" t="n">
        <v>1110203</v>
      </c>
      <c r="T235" s="11" t="s">
        <v>117</v>
      </c>
      <c r="U235" s="12" t="n">
        <v>1650</v>
      </c>
      <c r="W235" s="12" t="n">
        <v>1650</v>
      </c>
      <c r="X235" s="11" t="s">
        <v>358</v>
      </c>
      <c r="Z235" s="0" t="str">
        <f aca="false">IF($T235="","",IFERROR(INDEX('Resumo Grupos'!$AC$3:$AC$200,MATCH($T235,'Resumo Grupos'!$AB$3:$AB$200,0)),"n/d"))</f>
        <v>Despesa</v>
      </c>
      <c r="AA235" s="0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9" t="n">
        <v>2</v>
      </c>
      <c r="B236" s="10" t="n">
        <v>46177</v>
      </c>
      <c r="C236" s="10" t="n">
        <v>46183</v>
      </c>
      <c r="D236" s="9" t="n">
        <v>754</v>
      </c>
      <c r="E236" s="11" t="s">
        <v>162</v>
      </c>
      <c r="F236" s="9" t="n">
        <v>24</v>
      </c>
      <c r="G236" s="11" t="s">
        <v>51</v>
      </c>
      <c r="H236" s="9" t="n">
        <v>2110101</v>
      </c>
      <c r="I236" s="11" t="s">
        <v>43</v>
      </c>
      <c r="J236" s="9" t="n">
        <v>1201529</v>
      </c>
      <c r="L236" s="9" t="n">
        <v>160202</v>
      </c>
      <c r="M236" s="11" t="s">
        <v>52</v>
      </c>
      <c r="N236" s="11" t="s">
        <v>45</v>
      </c>
      <c r="P236" s="9" t="n">
        <v>113</v>
      </c>
      <c r="Q236" s="11" t="s">
        <v>46</v>
      </c>
      <c r="R236" s="11" t="s">
        <v>47</v>
      </c>
      <c r="S236" s="9" t="n">
        <v>1130101</v>
      </c>
      <c r="T236" s="11" t="s">
        <v>48</v>
      </c>
      <c r="U236" s="12" t="n">
        <v>1600.8</v>
      </c>
      <c r="W236" s="12" t="n">
        <v>0</v>
      </c>
      <c r="X236" s="11" t="s">
        <v>359</v>
      </c>
      <c r="Z236" s="0" t="str">
        <f aca="false">IF($T236="","",IFERROR(INDEX('Resumo Grupos'!$AC$3:$AC$200,MATCH($T236,'Resumo Grupos'!$AB$3:$AB$200,0)),"n/d"))</f>
        <v>Mercadoria</v>
      </c>
      <c r="AA236" s="0" t="str">
        <f aca="false">IF($T236="","",IF(COUNTIF('Resumo Grupos'!$AE$3:$AE$40,$T236)&gt;0,"NAO","SIM"))</f>
        <v>SIM</v>
      </c>
      <c r="AB236" s="0" t="str">
        <f aca="false">IFERROR(INDEX('Mov Entradas (Rel 10497)'!$L:$L,MATCH(AC236,'Mov Entradas (Rel 10497)'!$I:$I,0)),"nao encontrado")</f>
        <v>DIANTEIRO DE BOI L</v>
      </c>
      <c r="AC236" s="0" t="n">
        <v>30864</v>
      </c>
    </row>
    <row r="237" customFormat="false" ht="36.75" hidden="false" customHeight="true" outlineLevel="0" collapsed="false">
      <c r="A237" s="9" t="n">
        <v>2</v>
      </c>
      <c r="B237" s="10" t="n">
        <v>46178</v>
      </c>
      <c r="C237" s="10" t="n">
        <v>46183</v>
      </c>
      <c r="D237" s="9" t="n">
        <v>754</v>
      </c>
      <c r="E237" s="11" t="s">
        <v>162</v>
      </c>
      <c r="F237" s="9" t="n">
        <v>24</v>
      </c>
      <c r="G237" s="11" t="s">
        <v>51</v>
      </c>
      <c r="H237" s="9" t="n">
        <v>2110101</v>
      </c>
      <c r="I237" s="11" t="s">
        <v>43</v>
      </c>
      <c r="J237" s="9" t="n">
        <v>1207507</v>
      </c>
      <c r="L237" s="9" t="n">
        <v>160865</v>
      </c>
      <c r="M237" s="11" t="s">
        <v>52</v>
      </c>
      <c r="N237" s="11" t="s">
        <v>45</v>
      </c>
      <c r="P237" s="9" t="n">
        <v>113</v>
      </c>
      <c r="Q237" s="11" t="s">
        <v>46</v>
      </c>
      <c r="R237" s="11" t="s">
        <v>47</v>
      </c>
      <c r="S237" s="9" t="n">
        <v>1130101</v>
      </c>
      <c r="T237" s="11" t="s">
        <v>48</v>
      </c>
      <c r="U237" s="12" t="n">
        <v>290</v>
      </c>
      <c r="W237" s="12" t="n">
        <v>0</v>
      </c>
      <c r="X237" s="11" t="s">
        <v>360</v>
      </c>
      <c r="Z237" s="0" t="str">
        <f aca="false">IF($T237="","",IFERROR(INDEX('Resumo Grupos'!$AC$3:$AC$200,MATCH($T237,'Resumo Grupos'!$AB$3:$AB$200,0)),"n/d"))</f>
        <v>Mercadoria</v>
      </c>
      <c r="AA237" s="0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9" t="n">
        <v>2</v>
      </c>
      <c r="B238" s="10" t="n">
        <v>46168</v>
      </c>
      <c r="C238" s="10" t="n">
        <v>46183</v>
      </c>
      <c r="D238" s="9" t="n">
        <v>1671</v>
      </c>
      <c r="E238" s="11" t="s">
        <v>119</v>
      </c>
      <c r="F238" s="9" t="n">
        <v>24</v>
      </c>
      <c r="G238" s="11" t="s">
        <v>51</v>
      </c>
      <c r="H238" s="9" t="n">
        <v>2110101</v>
      </c>
      <c r="I238" s="11" t="s">
        <v>43</v>
      </c>
      <c r="J238" s="9" t="n">
        <v>1157192</v>
      </c>
      <c r="L238" s="9" t="n">
        <v>153704</v>
      </c>
      <c r="M238" s="11" t="s">
        <v>52</v>
      </c>
      <c r="N238" s="11" t="s">
        <v>45</v>
      </c>
      <c r="P238" s="9" t="n">
        <v>113</v>
      </c>
      <c r="Q238" s="11" t="s">
        <v>46</v>
      </c>
      <c r="R238" s="11" t="s">
        <v>47</v>
      </c>
      <c r="S238" s="9" t="n">
        <v>1130101</v>
      </c>
      <c r="T238" s="11" t="s">
        <v>48</v>
      </c>
      <c r="U238" s="12" t="n">
        <v>633.45</v>
      </c>
      <c r="W238" s="12" t="n">
        <v>0</v>
      </c>
      <c r="X238" s="11" t="s">
        <v>361</v>
      </c>
      <c r="Z238" s="0" t="str">
        <f aca="false">IF($T238="","",IFERROR(INDEX('Resumo Grupos'!$AC$3:$AC$200,MATCH($T238,'Resumo Grupos'!$AB$3:$AB$200,0)),"n/d"))</f>
        <v>Mercadoria</v>
      </c>
      <c r="AA238" s="0" t="str">
        <f aca="false">IF($T238="","",IF(COUNTIF('Resumo Grupos'!$AE$3:$AE$40,$T238)&gt;0,"NAO","SIM"))</f>
        <v>SIM</v>
      </c>
      <c r="AB238" s="0" t="str">
        <f aca="false">IFERROR(INDEX('Mov Entradas (Rel 10497)'!$L:$L,MATCH(AC238,'Mov Entradas (Rel 10497)'!$I:$I,0)),"nao encontrado")</f>
        <v>nao encontrado</v>
      </c>
      <c r="AC238" s="0" t="n">
        <v>571363</v>
      </c>
    </row>
    <row r="239" customFormat="false" ht="63.75" hidden="false" customHeight="true" outlineLevel="0" collapsed="false">
      <c r="A239" s="9" t="n">
        <v>2</v>
      </c>
      <c r="B239" s="10" t="n">
        <v>46156</v>
      </c>
      <c r="C239" s="10" t="n">
        <v>46183</v>
      </c>
      <c r="D239" s="9" t="n">
        <v>1745</v>
      </c>
      <c r="E239" s="11" t="s">
        <v>189</v>
      </c>
      <c r="F239" s="9" t="n">
        <v>24</v>
      </c>
      <c r="G239" s="11" t="s">
        <v>51</v>
      </c>
      <c r="H239" s="9" t="n">
        <v>2110101</v>
      </c>
      <c r="I239" s="11" t="s">
        <v>43</v>
      </c>
      <c r="J239" s="9" t="n">
        <v>1098104</v>
      </c>
      <c r="L239" s="9" t="n">
        <v>341419</v>
      </c>
      <c r="M239" s="11" t="s">
        <v>67</v>
      </c>
      <c r="N239" s="11" t="s">
        <v>37</v>
      </c>
      <c r="P239" s="9" t="n">
        <v>113</v>
      </c>
      <c r="Q239" s="11" t="s">
        <v>46</v>
      </c>
      <c r="R239" s="11" t="s">
        <v>47</v>
      </c>
      <c r="S239" s="9" t="n">
        <v>1130101</v>
      </c>
      <c r="T239" s="11" t="s">
        <v>48</v>
      </c>
      <c r="U239" s="12" t="n">
        <v>843.15</v>
      </c>
      <c r="W239" s="12" t="n">
        <v>0</v>
      </c>
      <c r="X239" s="11" t="s">
        <v>190</v>
      </c>
      <c r="Z239" s="0" t="str">
        <f aca="false">IF($T239="","",IFERROR(INDEX('Resumo Grupos'!$AC$3:$AC$200,MATCH($T239,'Resumo Grupos'!$AB$3:$AB$200,0)),"n/d"))</f>
        <v>Mercadoria</v>
      </c>
      <c r="AA239" s="0" t="str">
        <f aca="false">IF($T239="","",IF(COUNTIF('Resumo Grupos'!$AE$3:$AE$40,$T239)&gt;0,"NAO","SIM"))</f>
        <v>SIM</v>
      </c>
      <c r="AB239" s="0" t="str">
        <f aca="false">IFERROR(INDEX('Mov Entradas (Rel 10497)'!$L:$L,MATCH(AC239,'Mov Entradas (Rel 10497)'!$I:$I,0)),"nao encontrado")</f>
        <v>nao encontrado</v>
      </c>
      <c r="AC239" s="0" t="n">
        <v>341419</v>
      </c>
    </row>
    <row r="240" customFormat="false" ht="63.75" hidden="false" customHeight="true" outlineLevel="0" collapsed="false">
      <c r="A240" s="9" t="n">
        <v>2</v>
      </c>
      <c r="B240" s="10" t="n">
        <v>46169</v>
      </c>
      <c r="C240" s="10" t="n">
        <v>46184</v>
      </c>
      <c r="D240" s="9" t="n">
        <v>1705</v>
      </c>
      <c r="E240" s="11" t="s">
        <v>130</v>
      </c>
      <c r="F240" s="9" t="n">
        <v>24</v>
      </c>
      <c r="G240" s="11" t="s">
        <v>51</v>
      </c>
      <c r="H240" s="9" t="n">
        <v>2110101</v>
      </c>
      <c r="I240" s="11" t="s">
        <v>43</v>
      </c>
      <c r="J240" s="9" t="n">
        <v>1161307</v>
      </c>
      <c r="L240" s="9" t="n">
        <v>1138131</v>
      </c>
      <c r="M240" s="11" t="s">
        <v>52</v>
      </c>
      <c r="N240" s="11" t="s">
        <v>37</v>
      </c>
      <c r="P240" s="9" t="n">
        <v>113</v>
      </c>
      <c r="Q240" s="11" t="s">
        <v>46</v>
      </c>
      <c r="R240" s="11" t="s">
        <v>47</v>
      </c>
      <c r="S240" s="9" t="n">
        <v>1130101</v>
      </c>
      <c r="T240" s="11" t="s">
        <v>48</v>
      </c>
      <c r="U240" s="12" t="n">
        <v>472.41</v>
      </c>
      <c r="W240" s="12" t="n">
        <v>0</v>
      </c>
      <c r="X240" s="11" t="s">
        <v>362</v>
      </c>
      <c r="Z240" s="0" t="str">
        <f aca="false">IF($T240="","",IFERROR(INDEX('Resumo Grupos'!$AC$3:$AC$200,MATCH($T240,'Resumo Grupos'!$AB$3:$AB$200,0)),"n/d"))</f>
        <v>Mercadoria</v>
      </c>
      <c r="AA240" s="0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9" t="n">
        <v>2</v>
      </c>
      <c r="B241" s="10" t="n">
        <v>46169</v>
      </c>
      <c r="C241" s="10" t="n">
        <v>46184</v>
      </c>
      <c r="D241" s="9" t="n">
        <v>1705</v>
      </c>
      <c r="E241" s="11" t="s">
        <v>130</v>
      </c>
      <c r="F241" s="9" t="n">
        <v>24</v>
      </c>
      <c r="G241" s="11" t="s">
        <v>51</v>
      </c>
      <c r="H241" s="9" t="n">
        <v>2110101</v>
      </c>
      <c r="I241" s="11" t="s">
        <v>43</v>
      </c>
      <c r="J241" s="9" t="n">
        <v>1161379</v>
      </c>
      <c r="L241" s="9" t="n">
        <v>154122</v>
      </c>
      <c r="M241" s="11" t="s">
        <v>52</v>
      </c>
      <c r="N241" s="11" t="s">
        <v>45</v>
      </c>
      <c r="P241" s="9" t="n">
        <v>113</v>
      </c>
      <c r="Q241" s="11" t="s">
        <v>46</v>
      </c>
      <c r="R241" s="11" t="s">
        <v>47</v>
      </c>
      <c r="S241" s="9" t="n">
        <v>1130101</v>
      </c>
      <c r="T241" s="11" t="s">
        <v>48</v>
      </c>
      <c r="U241" s="12" t="n">
        <v>205.37</v>
      </c>
      <c r="W241" s="12" t="n">
        <v>0</v>
      </c>
      <c r="X241" s="11" t="s">
        <v>363</v>
      </c>
      <c r="Z241" s="0" t="str">
        <f aca="false">IF($T241="","",IFERROR(INDEX('Resumo Grupos'!$AC$3:$AC$200,MATCH($T241,'Resumo Grupos'!$AB$3:$AB$200,0)),"n/d"))</f>
        <v>Mercadoria</v>
      </c>
      <c r="AA241" s="0" t="str">
        <f aca="false">IF($T241="","",IF(COUNTIF('Resumo Grupos'!$AE$3:$AE$40,$T241)&gt;0,"NAO","SIM"))</f>
        <v>SIM</v>
      </c>
      <c r="AB241" s="0" t="str">
        <f aca="false">IFERROR(INDEX('Mov Entradas (Rel 10497)'!$L:$L,MATCH(AC241,'Mov Entradas (Rel 10497)'!$I:$I,0)),"nao encontrado")</f>
        <v>nao encontrado</v>
      </c>
      <c r="AC241" s="0" t="n">
        <v>1850474</v>
      </c>
    </row>
    <row r="242" customFormat="false" ht="36.75" hidden="false" customHeight="true" outlineLevel="0" collapsed="false">
      <c r="A242" s="9" t="n">
        <v>2</v>
      </c>
      <c r="B242" s="10" t="n">
        <v>46169</v>
      </c>
      <c r="C242" s="10" t="n">
        <v>46184</v>
      </c>
      <c r="D242" s="9" t="n">
        <v>1705</v>
      </c>
      <c r="E242" s="11" t="s">
        <v>130</v>
      </c>
      <c r="F242" s="9" t="n">
        <v>24</v>
      </c>
      <c r="G242" s="11" t="s">
        <v>51</v>
      </c>
      <c r="H242" s="9" t="n">
        <v>2110101</v>
      </c>
      <c r="I242" s="11" t="s">
        <v>43</v>
      </c>
      <c r="J242" s="9" t="n">
        <v>1161585</v>
      </c>
      <c r="L242" s="9" t="n">
        <v>1851161</v>
      </c>
      <c r="M242" s="11" t="s">
        <v>52</v>
      </c>
      <c r="N242" s="11" t="s">
        <v>37</v>
      </c>
      <c r="P242" s="9" t="n">
        <v>113</v>
      </c>
      <c r="Q242" s="11" t="s">
        <v>46</v>
      </c>
      <c r="R242" s="11" t="s">
        <v>47</v>
      </c>
      <c r="S242" s="9" t="n">
        <v>1130101</v>
      </c>
      <c r="T242" s="11" t="s">
        <v>48</v>
      </c>
      <c r="U242" s="12" t="n">
        <v>2614.74</v>
      </c>
      <c r="W242" s="12" t="n">
        <v>0</v>
      </c>
      <c r="X242" s="11" t="s">
        <v>364</v>
      </c>
      <c r="Z242" s="0" t="str">
        <f aca="false">IF($T242="","",IFERROR(INDEX('Resumo Grupos'!$AC$3:$AC$200,MATCH($T242,'Resumo Grupos'!$AB$3:$AB$200,0)),"n/d"))</f>
        <v>Mercadoria</v>
      </c>
      <c r="AA242" s="0" t="str">
        <f aca="false">IF($T242="","",IF(COUNTIF('Resumo Grupos'!$AE$3:$AE$40,$T242)&gt;0,"NAO","SIM"))</f>
        <v>SIM</v>
      </c>
      <c r="AB242" s="0" t="str">
        <f aca="false">IFERROR(INDEX('Mov Entradas (Rel 10497)'!$L:$L,MATCH(AC242,'Mov Entradas (Rel 10497)'!$I:$I,0)),"nao encontrado")</f>
        <v>nao encontrado</v>
      </c>
      <c r="AC242" s="0" t="n">
        <v>1851161</v>
      </c>
    </row>
    <row r="243" customFormat="false" ht="36.75" hidden="false" customHeight="true" outlineLevel="0" collapsed="false">
      <c r="A243" s="9" t="n">
        <v>2</v>
      </c>
      <c r="B243" s="10" t="n">
        <v>46164</v>
      </c>
      <c r="C243" s="10" t="n">
        <v>46184</v>
      </c>
      <c r="D243" s="9" t="n">
        <v>1601</v>
      </c>
      <c r="E243" s="11" t="s">
        <v>193</v>
      </c>
      <c r="F243" s="9" t="n">
        <v>24</v>
      </c>
      <c r="G243" s="11" t="s">
        <v>51</v>
      </c>
      <c r="H243" s="9" t="n">
        <v>2110101</v>
      </c>
      <c r="I243" s="11" t="s">
        <v>43</v>
      </c>
      <c r="J243" s="9" t="n">
        <v>1136600</v>
      </c>
      <c r="L243" s="9" t="n">
        <v>836835</v>
      </c>
      <c r="M243" s="11" t="s">
        <v>44</v>
      </c>
      <c r="N243" s="11" t="s">
        <v>37</v>
      </c>
      <c r="P243" s="9" t="n">
        <v>113</v>
      </c>
      <c r="Q243" s="11" t="s">
        <v>46</v>
      </c>
      <c r="R243" s="11" t="s">
        <v>47</v>
      </c>
      <c r="S243" s="9" t="n">
        <v>1130101</v>
      </c>
      <c r="T243" s="11" t="s">
        <v>48</v>
      </c>
      <c r="U243" s="12" t="n">
        <v>560.42</v>
      </c>
      <c r="W243" s="12" t="n">
        <v>0</v>
      </c>
      <c r="X243" s="11" t="s">
        <v>196</v>
      </c>
      <c r="Z243" s="0" t="str">
        <f aca="false">IF($T243="","",IFERROR(INDEX('Resumo Grupos'!$AC$3:$AC$200,MATCH($T243,'Resumo Grupos'!$AB$3:$AB$200,0)),"n/d"))</f>
        <v>Mercadoria</v>
      </c>
      <c r="AA243" s="0" t="str">
        <f aca="false">IF($T243="","",IF(COUNTIF('Resumo Grupos'!$AE$3:$AE$40,$T243)&gt;0,"NAO","SIM"))</f>
        <v>SIM</v>
      </c>
      <c r="AB243" s="0" t="str">
        <f aca="false">IFERROR(INDEX('Mov Entradas (Rel 10497)'!$L:$L,MATCH(AC243,'Mov Entradas (Rel 10497)'!$I:$I,0)),"nao encontrado")</f>
        <v>nao encontrado</v>
      </c>
      <c r="AC243" s="0" t="n">
        <v>836835</v>
      </c>
    </row>
    <row r="244" customFormat="false" ht="36.75" hidden="false" customHeight="true" outlineLevel="0" collapsed="false">
      <c r="A244" s="9" t="n">
        <v>2</v>
      </c>
      <c r="B244" s="10" t="n">
        <v>46171</v>
      </c>
      <c r="C244" s="10" t="n">
        <v>46184</v>
      </c>
      <c r="D244" s="9" t="n">
        <v>1612</v>
      </c>
      <c r="E244" s="11" t="s">
        <v>74</v>
      </c>
      <c r="F244" s="9" t="n">
        <v>24</v>
      </c>
      <c r="G244" s="11" t="s">
        <v>51</v>
      </c>
      <c r="H244" s="9" t="n">
        <v>2110101</v>
      </c>
      <c r="I244" s="11" t="s">
        <v>43</v>
      </c>
      <c r="J244" s="9" t="n">
        <v>1172063</v>
      </c>
      <c r="L244" s="9" t="n">
        <v>2285997</v>
      </c>
      <c r="M244" s="11" t="s">
        <v>44</v>
      </c>
      <c r="N244" s="11" t="s">
        <v>37</v>
      </c>
      <c r="P244" s="9" t="n">
        <v>113</v>
      </c>
      <c r="Q244" s="11" t="s">
        <v>46</v>
      </c>
      <c r="R244" s="11" t="s">
        <v>47</v>
      </c>
      <c r="S244" s="9" t="n">
        <v>1130101</v>
      </c>
      <c r="T244" s="11" t="s">
        <v>48</v>
      </c>
      <c r="U244" s="12" t="n">
        <v>506.55</v>
      </c>
      <c r="W244" s="12" t="n">
        <v>0</v>
      </c>
      <c r="X244" s="11" t="s">
        <v>199</v>
      </c>
      <c r="Z244" s="0" t="str">
        <f aca="false">IF($T244="","",IFERROR(INDEX('Resumo Grupos'!$AC$3:$AC$200,MATCH($T244,'Resumo Grupos'!$AB$3:$AB$200,0)),"n/d"))</f>
        <v>Mercadoria</v>
      </c>
      <c r="AA244" s="0" t="str">
        <f aca="false">IF($T244="","",IF(COUNTIF('Resumo Grupos'!$AE$3:$AE$40,$T244)&gt;0,"NAO","SIM"))</f>
        <v>SIM</v>
      </c>
      <c r="AB244" s="0" t="str">
        <f aca="false">IFERROR(INDEX('Mov Entradas (Rel 10497)'!$L:$L,MATCH(AC244,'Mov Entradas (Rel 10497)'!$I:$I,0)),"nao encontrado")</f>
        <v>nao encontrado</v>
      </c>
      <c r="AC244" s="0" t="n">
        <v>2285997</v>
      </c>
    </row>
    <row r="245" customFormat="false" ht="54.75" hidden="false" customHeight="true" outlineLevel="0" collapsed="false">
      <c r="A245" s="9" t="n">
        <v>2</v>
      </c>
      <c r="B245" s="10" t="n">
        <v>46170</v>
      </c>
      <c r="C245" s="10" t="n">
        <v>46184</v>
      </c>
      <c r="D245" s="9" t="n">
        <v>1699</v>
      </c>
      <c r="E245" s="11" t="s">
        <v>248</v>
      </c>
      <c r="F245" s="9" t="n">
        <v>24</v>
      </c>
      <c r="G245" s="11" t="s">
        <v>51</v>
      </c>
      <c r="H245" s="9" t="n">
        <v>2110101</v>
      </c>
      <c r="I245" s="11" t="s">
        <v>43</v>
      </c>
      <c r="J245" s="9" t="n">
        <v>1166006</v>
      </c>
      <c r="L245" s="9" t="n">
        <v>302504</v>
      </c>
      <c r="M245" s="11" t="s">
        <v>44</v>
      </c>
      <c r="N245" s="11" t="s">
        <v>37</v>
      </c>
      <c r="P245" s="9" t="n">
        <v>113</v>
      </c>
      <c r="Q245" s="11" t="s">
        <v>46</v>
      </c>
      <c r="R245" s="11" t="s">
        <v>47</v>
      </c>
      <c r="S245" s="9" t="n">
        <v>1130101</v>
      </c>
      <c r="T245" s="11" t="s">
        <v>48</v>
      </c>
      <c r="U245" s="12" t="n">
        <v>290</v>
      </c>
      <c r="W245" s="12" t="n">
        <v>0</v>
      </c>
      <c r="X245" s="11" t="s">
        <v>249</v>
      </c>
      <c r="Z245" s="0" t="str">
        <f aca="false">IF($T245="","",IFERROR(INDEX('Resumo Grupos'!$AC$3:$AC$200,MATCH($T245,'Resumo Grupos'!$AB$3:$AB$200,0)),"n/d"))</f>
        <v>Mercadoria</v>
      </c>
      <c r="AA245" s="0" t="str">
        <f aca="false">IF($T245="","",IF(COUNTIF('Resumo Grupos'!$AE$3:$AE$40,$T245)&gt;0,"NAO","SIM"))</f>
        <v>SIM</v>
      </c>
      <c r="AB245" s="0" t="str">
        <f aca="false">IFERROR(INDEX('Mov Entradas (Rel 10497)'!$L:$L,MATCH(AC245,'Mov Entradas (Rel 10497)'!$I:$I,0)),"nao encontrado")</f>
        <v>nao encontrado</v>
      </c>
      <c r="AC245" s="0" t="n">
        <v>302504</v>
      </c>
    </row>
    <row r="246" customFormat="false" ht="36.75" hidden="false" customHeight="true" outlineLevel="0" collapsed="false">
      <c r="A246" s="9" t="n">
        <v>2</v>
      </c>
      <c r="B246" s="10" t="n">
        <v>46161</v>
      </c>
      <c r="C246" s="10" t="n">
        <v>46184</v>
      </c>
      <c r="D246" s="9" t="n">
        <v>1611</v>
      </c>
      <c r="E246" s="11" t="s">
        <v>178</v>
      </c>
      <c r="F246" s="9" t="n">
        <v>24</v>
      </c>
      <c r="G246" s="11" t="s">
        <v>51</v>
      </c>
      <c r="H246" s="9" t="n">
        <v>2110101</v>
      </c>
      <c r="I246" s="11" t="s">
        <v>43</v>
      </c>
      <c r="J246" s="9" t="n">
        <v>1121537</v>
      </c>
      <c r="L246" s="9" t="n">
        <v>148581</v>
      </c>
      <c r="M246" s="11" t="s">
        <v>52</v>
      </c>
      <c r="N246" s="11" t="s">
        <v>45</v>
      </c>
      <c r="P246" s="9" t="n">
        <v>113</v>
      </c>
      <c r="Q246" s="11" t="s">
        <v>46</v>
      </c>
      <c r="R246" s="11" t="s">
        <v>47</v>
      </c>
      <c r="S246" s="9" t="n">
        <v>1130101</v>
      </c>
      <c r="T246" s="11" t="s">
        <v>48</v>
      </c>
      <c r="U246" s="12" t="n">
        <v>3345.97</v>
      </c>
      <c r="W246" s="12" t="n">
        <v>0</v>
      </c>
      <c r="X246" s="11" t="s">
        <v>203</v>
      </c>
      <c r="Z246" s="0" t="str">
        <f aca="false">IF($T246="","",IFERROR(INDEX('Resumo Grupos'!$AC$3:$AC$200,MATCH($T246,'Resumo Grupos'!$AB$3:$AB$200,0)),"n/d"))</f>
        <v>Mercadoria</v>
      </c>
      <c r="AA246" s="0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9" t="n">
        <v>2</v>
      </c>
      <c r="B247" s="10" t="n">
        <v>46178</v>
      </c>
      <c r="C247" s="10" t="n">
        <v>46184</v>
      </c>
      <c r="D247" s="9" t="n">
        <v>1328</v>
      </c>
      <c r="E247" s="11" t="s">
        <v>95</v>
      </c>
      <c r="F247" s="9" t="n">
        <v>24</v>
      </c>
      <c r="G247" s="11" t="s">
        <v>51</v>
      </c>
      <c r="H247" s="9" t="n">
        <v>2110101</v>
      </c>
      <c r="I247" s="11" t="s">
        <v>43</v>
      </c>
      <c r="J247" s="9" t="n">
        <v>1208198</v>
      </c>
      <c r="L247" s="9" t="n">
        <v>3659</v>
      </c>
      <c r="M247" s="11" t="s">
        <v>52</v>
      </c>
      <c r="N247" s="11" t="s">
        <v>37</v>
      </c>
      <c r="P247" s="9" t="n">
        <v>113</v>
      </c>
      <c r="Q247" s="11" t="s">
        <v>46</v>
      </c>
      <c r="R247" s="11" t="s">
        <v>47</v>
      </c>
      <c r="S247" s="9" t="n">
        <v>1130101</v>
      </c>
      <c r="T247" s="11" t="s">
        <v>48</v>
      </c>
      <c r="U247" s="12" t="n">
        <v>126.04</v>
      </c>
      <c r="W247" s="12" t="n">
        <v>0</v>
      </c>
      <c r="X247" s="11" t="s">
        <v>365</v>
      </c>
      <c r="Z247" s="0" t="str">
        <f aca="false">IF($T247="","",IFERROR(INDEX('Resumo Grupos'!$AC$3:$AC$200,MATCH($T247,'Resumo Grupos'!$AB$3:$AB$200,0)),"n/d"))</f>
        <v>Mercadoria</v>
      </c>
      <c r="AA247" s="0" t="str">
        <f aca="false">IF($T247="","",IF(COUNTIF('Resumo Grupos'!$AE$3:$AE$40,$T247)&gt;0,"NAO","SIM"))</f>
        <v>SIM</v>
      </c>
      <c r="AB247" s="0" t="str">
        <f aca="false">IFERROR(INDEX('Mov Entradas (Rel 10497)'!$L:$L,MATCH(AC247,'Mov Entradas (Rel 10497)'!$I:$I,0)),"nao encontrado")</f>
        <v>PAO DE KIKAO 10</v>
      </c>
      <c r="AC247" s="0" t="n">
        <v>3659</v>
      </c>
    </row>
    <row r="248" customFormat="false" ht="36.75" hidden="false" customHeight="true" outlineLevel="0" collapsed="false">
      <c r="A248" s="9" t="n">
        <v>2</v>
      </c>
      <c r="B248" s="10" t="n">
        <v>46178</v>
      </c>
      <c r="C248" s="10" t="n">
        <v>46184</v>
      </c>
      <c r="D248" s="9" t="n">
        <v>1899</v>
      </c>
      <c r="E248" s="11" t="s">
        <v>204</v>
      </c>
      <c r="F248" s="9" t="n">
        <v>24</v>
      </c>
      <c r="G248" s="11" t="s">
        <v>51</v>
      </c>
      <c r="H248" s="9" t="n">
        <v>2110101</v>
      </c>
      <c r="I248" s="11" t="s">
        <v>43</v>
      </c>
      <c r="J248" s="9" t="n">
        <v>1208221</v>
      </c>
      <c r="L248" s="9" t="n">
        <v>654</v>
      </c>
      <c r="M248" s="11" t="s">
        <v>52</v>
      </c>
      <c r="N248" s="11" t="s">
        <v>37</v>
      </c>
      <c r="P248" s="9" t="n">
        <v>113</v>
      </c>
      <c r="Q248" s="11" t="s">
        <v>46</v>
      </c>
      <c r="R248" s="11" t="s">
        <v>47</v>
      </c>
      <c r="S248" s="9" t="n">
        <v>1130101</v>
      </c>
      <c r="T248" s="11" t="s">
        <v>48</v>
      </c>
      <c r="U248" s="12" t="n">
        <v>282.25</v>
      </c>
      <c r="W248" s="12" t="n">
        <v>0</v>
      </c>
      <c r="X248" s="11" t="s">
        <v>366</v>
      </c>
      <c r="Z248" s="0" t="str">
        <f aca="false">IF($T248="","",IFERROR(INDEX('Resumo Grupos'!$AC$3:$AC$200,MATCH($T248,'Resumo Grupos'!$AB$3:$AB$200,0)),"n/d"))</f>
        <v>Mercadoria</v>
      </c>
      <c r="AA248" s="0" t="str">
        <f aca="false">IF($T248="","",IF(COUNTIF('Resumo Grupos'!$AE$3:$AE$40,$T248)&gt;0,"NAO","SIM"))</f>
        <v>SIM</v>
      </c>
      <c r="AB248" s="0" t="str">
        <f aca="false">IFERROR(INDEX('Mov Entradas (Rel 10497)'!$L:$L,MATCH(AC248,'Mov Entradas (Rel 10497)'!$I:$I,0)),"nao encontrado")</f>
        <v>PAO DE FORMA REAL MA</v>
      </c>
      <c r="AC248" s="0" t="n">
        <v>654</v>
      </c>
    </row>
    <row r="249" customFormat="false" ht="36.75" hidden="false" customHeight="true" outlineLevel="0" collapsed="false">
      <c r="A249" s="9" t="n">
        <v>2</v>
      </c>
      <c r="B249" s="10" t="n">
        <v>46169</v>
      </c>
      <c r="C249" s="10" t="n">
        <v>46184</v>
      </c>
      <c r="D249" s="9" t="n">
        <v>10012</v>
      </c>
      <c r="E249" s="11" t="s">
        <v>185</v>
      </c>
      <c r="F249" s="9" t="n">
        <v>24</v>
      </c>
      <c r="G249" s="11" t="s">
        <v>51</v>
      </c>
      <c r="H249" s="9" t="n">
        <v>2110101</v>
      </c>
      <c r="I249" s="11" t="s">
        <v>43</v>
      </c>
      <c r="J249" s="9" t="n">
        <v>1160814</v>
      </c>
      <c r="L249" s="9" t="n">
        <v>1953907</v>
      </c>
      <c r="M249" s="11" t="s">
        <v>52</v>
      </c>
      <c r="N249" s="11" t="s">
        <v>37</v>
      </c>
      <c r="P249" s="9" t="n">
        <v>113</v>
      </c>
      <c r="Q249" s="11" t="s">
        <v>46</v>
      </c>
      <c r="R249" s="11" t="s">
        <v>47</v>
      </c>
      <c r="S249" s="9" t="n">
        <v>1130101</v>
      </c>
      <c r="T249" s="11" t="s">
        <v>48</v>
      </c>
      <c r="U249" s="12" t="n">
        <v>409.2</v>
      </c>
      <c r="W249" s="12" t="n">
        <v>0</v>
      </c>
      <c r="X249" s="11" t="s">
        <v>367</v>
      </c>
      <c r="Z249" s="0" t="str">
        <f aca="false">IF($T249="","",IFERROR(INDEX('Resumo Grupos'!$AC$3:$AC$200,MATCH($T249,'Resumo Grupos'!$AB$3:$AB$200,0)),"n/d"))</f>
        <v>Mercadoria</v>
      </c>
      <c r="AA249" s="0" t="str">
        <f aca="false">IF($T249="","",IF(COUNTIF('Resumo Grupos'!$AE$3:$AE$40,$T249)&gt;0,"NAO","SIM"))</f>
        <v>SIM</v>
      </c>
      <c r="AB249" s="0" t="str">
        <f aca="false">IFERROR(INDEX('Mov Entradas (Rel 10497)'!$L:$L,MATCH(AC249,'Mov Entradas (Rel 10497)'!$I:$I,0)),"nao encontrado")</f>
        <v>nao encontrado</v>
      </c>
      <c r="AC249" s="0" t="n">
        <v>1953907</v>
      </c>
    </row>
    <row r="250" customFormat="false" ht="36.75" hidden="false" customHeight="true" outlineLevel="0" collapsed="false">
      <c r="A250" s="9" t="n">
        <v>2</v>
      </c>
      <c r="B250" s="10" t="n">
        <v>46184</v>
      </c>
      <c r="C250" s="10" t="n">
        <v>46184</v>
      </c>
      <c r="D250" s="9" t="n">
        <v>0</v>
      </c>
      <c r="E250" s="11" t="s">
        <v>109</v>
      </c>
      <c r="F250" s="9" t="n">
        <v>17</v>
      </c>
      <c r="G250" s="11" t="s">
        <v>110</v>
      </c>
      <c r="H250" s="9" t="n">
        <v>1110101</v>
      </c>
      <c r="I250" s="11" t="s">
        <v>111</v>
      </c>
      <c r="J250" s="9" t="n">
        <v>1256787</v>
      </c>
      <c r="L250" s="9" t="n">
        <v>1256787</v>
      </c>
      <c r="M250" s="11" t="s">
        <v>52</v>
      </c>
      <c r="N250" s="11" t="s">
        <v>112</v>
      </c>
      <c r="P250" s="9" t="n">
        <v>113</v>
      </c>
      <c r="Q250" s="11" t="s">
        <v>46</v>
      </c>
      <c r="R250" s="11" t="s">
        <v>71</v>
      </c>
      <c r="S250" s="9" t="n">
        <v>4210314</v>
      </c>
      <c r="T250" s="11" t="s">
        <v>113</v>
      </c>
      <c r="U250" s="12" t="n">
        <v>50</v>
      </c>
      <c r="W250" s="12" t="n">
        <v>50</v>
      </c>
      <c r="X250" s="11" t="s">
        <v>368</v>
      </c>
      <c r="Z250" s="0" t="str">
        <f aca="false">IF($T250="","",IFERROR(INDEX('Resumo Grupos'!$AC$3:$AC$200,MATCH($T250,'Resumo Grupos'!$AB$3:$AB$200,0)),"n/d"))</f>
        <v>Despesa</v>
      </c>
      <c r="AA250" s="0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9" t="n">
        <v>2</v>
      </c>
      <c r="B251" s="10" t="n">
        <v>46184</v>
      </c>
      <c r="C251" s="10" t="n">
        <v>46184</v>
      </c>
      <c r="D251" s="9" t="n">
        <v>0</v>
      </c>
      <c r="E251" s="11" t="s">
        <v>109</v>
      </c>
      <c r="F251" s="9" t="n">
        <v>17</v>
      </c>
      <c r="G251" s="11" t="s">
        <v>110</v>
      </c>
      <c r="H251" s="9" t="n">
        <v>1110101</v>
      </c>
      <c r="I251" s="11" t="s">
        <v>111</v>
      </c>
      <c r="J251" s="9" t="n">
        <v>1361188</v>
      </c>
      <c r="L251" s="9" t="n">
        <v>1361188</v>
      </c>
      <c r="M251" s="11" t="s">
        <v>52</v>
      </c>
      <c r="N251" s="11" t="s">
        <v>112</v>
      </c>
      <c r="P251" s="9" t="n">
        <v>113</v>
      </c>
      <c r="Q251" s="11" t="s">
        <v>46</v>
      </c>
      <c r="R251" s="11" t="s">
        <v>116</v>
      </c>
      <c r="S251" s="9" t="n">
        <v>1110203</v>
      </c>
      <c r="T251" s="11" t="s">
        <v>117</v>
      </c>
      <c r="U251" s="12" t="n">
        <v>2150</v>
      </c>
      <c r="W251" s="12" t="n">
        <v>2150</v>
      </c>
      <c r="X251" s="11" t="s">
        <v>369</v>
      </c>
      <c r="Z251" s="0" t="str">
        <f aca="false">IF($T251="","",IFERROR(INDEX('Resumo Grupos'!$AC$3:$AC$200,MATCH($T251,'Resumo Grupos'!$AB$3:$AB$200,0)),"n/d"))</f>
        <v>Despesa</v>
      </c>
      <c r="AA251" s="0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9" t="n">
        <v>2</v>
      </c>
      <c r="B252" s="10" t="n">
        <v>46181</v>
      </c>
      <c r="C252" s="10" t="n">
        <v>46185</v>
      </c>
      <c r="D252" s="9" t="n">
        <v>642</v>
      </c>
      <c r="E252" s="11" t="s">
        <v>123</v>
      </c>
      <c r="F252" s="9" t="n">
        <v>24</v>
      </c>
      <c r="G252" s="11" t="s">
        <v>51</v>
      </c>
      <c r="H252" s="9" t="n">
        <v>2110101</v>
      </c>
      <c r="I252" s="11" t="s">
        <v>43</v>
      </c>
      <c r="J252" s="9" t="n">
        <v>1221458</v>
      </c>
      <c r="L252" s="9" t="n">
        <v>487</v>
      </c>
      <c r="M252" s="11" t="s">
        <v>52</v>
      </c>
      <c r="N252" s="11" t="s">
        <v>37</v>
      </c>
      <c r="P252" s="9" t="n">
        <v>113</v>
      </c>
      <c r="Q252" s="11" t="s">
        <v>46</v>
      </c>
      <c r="R252" s="11" t="s">
        <v>47</v>
      </c>
      <c r="S252" s="9" t="n">
        <v>1130101</v>
      </c>
      <c r="T252" s="11" t="s">
        <v>48</v>
      </c>
      <c r="U252" s="12" t="n">
        <v>180</v>
      </c>
      <c r="W252" s="12" t="n">
        <v>0</v>
      </c>
      <c r="X252" s="11" t="s">
        <v>370</v>
      </c>
      <c r="Z252" s="0" t="str">
        <f aca="false">IF($T252="","",IFERROR(INDEX('Resumo Grupos'!$AC$3:$AC$200,MATCH($T252,'Resumo Grupos'!$AB$3:$AB$200,0)),"n/d"))</f>
        <v>Mercadoria</v>
      </c>
      <c r="AA252" s="0" t="str">
        <f aca="false">IF($T252="","",IF(COUNTIF('Resumo Grupos'!$AE$3:$AE$40,$T252)&gt;0,"NAO","SIM"))</f>
        <v>SIM</v>
      </c>
      <c r="AB252" s="0" t="str">
        <f aca="false">IFERROR(INDEX('Mov Entradas (Rel 10497)'!$L:$L,MATCH(AC252,'Mov Entradas (Rel 10497)'!$I:$I,0)),"nao encontrado")</f>
        <v>BOLO BLOOM 600G</v>
      </c>
      <c r="AC252" s="0" t="n">
        <v>487</v>
      </c>
    </row>
    <row r="253" customFormat="false" ht="36.75" hidden="false" customHeight="true" outlineLevel="0" collapsed="false">
      <c r="A253" s="9" t="n">
        <v>2</v>
      </c>
      <c r="B253" s="10" t="n">
        <v>46176</v>
      </c>
      <c r="C253" s="10" t="n">
        <v>46185</v>
      </c>
      <c r="D253" s="9" t="n">
        <v>1723</v>
      </c>
      <c r="E253" s="11" t="s">
        <v>371</v>
      </c>
      <c r="F253" s="9" t="n">
        <v>24</v>
      </c>
      <c r="G253" s="11" t="s">
        <v>51</v>
      </c>
      <c r="H253" s="9" t="n">
        <v>2110101</v>
      </c>
      <c r="I253" s="11" t="s">
        <v>43</v>
      </c>
      <c r="J253" s="9" t="n">
        <v>1197015</v>
      </c>
      <c r="L253" s="9" t="n">
        <v>170938</v>
      </c>
      <c r="M253" s="11" t="s">
        <v>52</v>
      </c>
      <c r="N253" s="11" t="s">
        <v>37</v>
      </c>
      <c r="P253" s="9" t="n">
        <v>113</v>
      </c>
      <c r="Q253" s="11" t="s">
        <v>46</v>
      </c>
      <c r="R253" s="11" t="s">
        <v>47</v>
      </c>
      <c r="S253" s="9" t="n">
        <v>1130101</v>
      </c>
      <c r="T253" s="11" t="s">
        <v>48</v>
      </c>
      <c r="U253" s="12" t="n">
        <v>2264.85</v>
      </c>
      <c r="W253" s="12" t="n">
        <v>0</v>
      </c>
      <c r="X253" s="11" t="s">
        <v>372</v>
      </c>
      <c r="Z253" s="0" t="str">
        <f aca="false">IF($T253="","",IFERROR(INDEX('Resumo Grupos'!$AC$3:$AC$200,MATCH($T253,'Resumo Grupos'!$AB$3:$AB$200,0)),"n/d"))</f>
        <v>Mercadoria</v>
      </c>
      <c r="AA253" s="0" t="str">
        <f aca="false">IF($T253="","",IF(COUNTIF('Resumo Grupos'!$AE$3:$AE$40,$T253)&gt;0,"NAO","SIM"))</f>
        <v>SIM</v>
      </c>
      <c r="AB253" s="0" t="str">
        <f aca="false">IFERROR(INDEX('Mov Entradas (Rel 10497)'!$L:$L,MATCH(AC253,'Mov Entradas (Rel 10497)'!$I:$I,0)),"nao encontrado")</f>
        <v>TRASEIRO DE BOI L1</v>
      </c>
      <c r="AC253" s="0" t="n">
        <v>170938</v>
      </c>
    </row>
    <row r="254" customFormat="false" ht="36.75" hidden="false" customHeight="true" outlineLevel="0" collapsed="false">
      <c r="A254" s="9" t="n">
        <v>2</v>
      </c>
      <c r="B254" s="10" t="n">
        <v>46164</v>
      </c>
      <c r="C254" s="10" t="n">
        <v>46185</v>
      </c>
      <c r="D254" s="9" t="n">
        <v>1718</v>
      </c>
      <c r="E254" s="11" t="s">
        <v>236</v>
      </c>
      <c r="F254" s="9" t="n">
        <v>24</v>
      </c>
      <c r="G254" s="11" t="s">
        <v>51</v>
      </c>
      <c r="H254" s="9" t="n">
        <v>2110101</v>
      </c>
      <c r="I254" s="11" t="s">
        <v>43</v>
      </c>
      <c r="J254" s="9" t="n">
        <v>1136374</v>
      </c>
      <c r="L254" s="9" t="n">
        <v>668750</v>
      </c>
      <c r="M254" s="11" t="s">
        <v>44</v>
      </c>
      <c r="N254" s="11" t="s">
        <v>37</v>
      </c>
      <c r="P254" s="9" t="n">
        <v>113</v>
      </c>
      <c r="Q254" s="11" t="s">
        <v>46</v>
      </c>
      <c r="R254" s="11" t="s">
        <v>47</v>
      </c>
      <c r="S254" s="9" t="n">
        <v>1130101</v>
      </c>
      <c r="T254" s="11" t="s">
        <v>48</v>
      </c>
      <c r="U254" s="12" t="n">
        <v>352.35</v>
      </c>
      <c r="W254" s="12" t="n">
        <v>0</v>
      </c>
      <c r="X254" s="11" t="s">
        <v>238</v>
      </c>
      <c r="Z254" s="0" t="str">
        <f aca="false">IF($T254="","",IFERROR(INDEX('Resumo Grupos'!$AC$3:$AC$200,MATCH($T254,'Resumo Grupos'!$AB$3:$AB$200,0)),"n/d"))</f>
        <v>Mercadoria</v>
      </c>
      <c r="AA254" s="0" t="str">
        <f aca="false">IF($T254="","",IF(COUNTIF('Resumo Grupos'!$AE$3:$AE$40,$T254)&gt;0,"NAO","SIM"))</f>
        <v>SIM</v>
      </c>
      <c r="AB254" s="0" t="str">
        <f aca="false">IFERROR(INDEX('Mov Entradas (Rel 10497)'!$L:$L,MATCH(AC254,'Mov Entradas (Rel 10497)'!$I:$I,0)),"nao encontrado")</f>
        <v>nao encontrado</v>
      </c>
      <c r="AC254" s="0" t="n">
        <v>668750</v>
      </c>
    </row>
    <row r="255" customFormat="false" ht="45.75" hidden="false" customHeight="true" outlineLevel="0" collapsed="false">
      <c r="A255" s="9" t="n">
        <v>2</v>
      </c>
      <c r="B255" s="10" t="n">
        <v>46183</v>
      </c>
      <c r="C255" s="10" t="n">
        <v>46185</v>
      </c>
      <c r="D255" s="9" t="n">
        <v>1718</v>
      </c>
      <c r="E255" s="11" t="s">
        <v>236</v>
      </c>
      <c r="F255" s="9" t="n">
        <v>24</v>
      </c>
      <c r="G255" s="11" t="s">
        <v>51</v>
      </c>
      <c r="H255" s="9" t="n">
        <v>2110101</v>
      </c>
      <c r="I255" s="11" t="s">
        <v>43</v>
      </c>
      <c r="J255" s="9" t="n">
        <v>1231901</v>
      </c>
      <c r="L255" s="9" t="n">
        <v>670477</v>
      </c>
      <c r="M255" s="11" t="s">
        <v>67</v>
      </c>
      <c r="N255" s="11" t="s">
        <v>37</v>
      </c>
      <c r="P255" s="9" t="n">
        <v>113</v>
      </c>
      <c r="Q255" s="11" t="s">
        <v>46</v>
      </c>
      <c r="R255" s="11" t="s">
        <v>47</v>
      </c>
      <c r="S255" s="9" t="n">
        <v>1130101</v>
      </c>
      <c r="T255" s="11" t="s">
        <v>48</v>
      </c>
      <c r="U255" s="12" t="n">
        <v>238.4</v>
      </c>
      <c r="W255" s="12" t="n">
        <v>0</v>
      </c>
      <c r="X255" s="11" t="s">
        <v>334</v>
      </c>
      <c r="Z255" s="0" t="str">
        <f aca="false">IF($T255="","",IFERROR(INDEX('Resumo Grupos'!$AC$3:$AC$200,MATCH($T255,'Resumo Grupos'!$AB$3:$AB$200,0)),"n/d"))</f>
        <v>Mercadoria</v>
      </c>
      <c r="AA255" s="0" t="str">
        <f aca="false">IF($T255="","",IF(COUNTIF('Resumo Grupos'!$AE$3:$AE$40,$T255)&gt;0,"NAO","SIM"))</f>
        <v>SIM</v>
      </c>
      <c r="AB255" s="0" t="str">
        <f aca="false">IFERROR(INDEX('Mov Entradas (Rel 10497)'!$L:$L,MATCH(AC255,'Mov Entradas (Rel 10497)'!$I:$I,0)),"nao encontrado")</f>
        <v>BIS FLOWPACK LAKA 63</v>
      </c>
      <c r="AC255" s="0" t="n">
        <v>670477</v>
      </c>
    </row>
    <row r="256" customFormat="false" ht="36.75" hidden="false" customHeight="true" outlineLevel="0" collapsed="false">
      <c r="A256" s="9" t="n">
        <v>2</v>
      </c>
      <c r="B256" s="10" t="n">
        <v>46163</v>
      </c>
      <c r="C256" s="10" t="n">
        <v>46185</v>
      </c>
      <c r="D256" s="9" t="n">
        <v>1608</v>
      </c>
      <c r="E256" s="11" t="s">
        <v>240</v>
      </c>
      <c r="F256" s="9" t="n">
        <v>24</v>
      </c>
      <c r="G256" s="11" t="s">
        <v>51</v>
      </c>
      <c r="H256" s="9" t="n">
        <v>2110101</v>
      </c>
      <c r="I256" s="11" t="s">
        <v>43</v>
      </c>
      <c r="J256" s="9" t="n">
        <v>1132874</v>
      </c>
      <c r="L256" s="9" t="n">
        <v>1659288</v>
      </c>
      <c r="M256" s="11" t="s">
        <v>52</v>
      </c>
      <c r="N256" s="11" t="s">
        <v>37</v>
      </c>
      <c r="P256" s="9" t="n">
        <v>113</v>
      </c>
      <c r="Q256" s="11" t="s">
        <v>46</v>
      </c>
      <c r="R256" s="11" t="s">
        <v>47</v>
      </c>
      <c r="S256" s="9" t="n">
        <v>1130101</v>
      </c>
      <c r="T256" s="11" t="s">
        <v>48</v>
      </c>
      <c r="U256" s="12" t="n">
        <v>956.2</v>
      </c>
      <c r="W256" s="12" t="n">
        <v>0</v>
      </c>
      <c r="X256" s="11" t="s">
        <v>373</v>
      </c>
      <c r="Z256" s="0" t="str">
        <f aca="false">IF($T256="","",IFERROR(INDEX('Resumo Grupos'!$AC$3:$AC$200,MATCH($T256,'Resumo Grupos'!$AB$3:$AB$200,0)),"n/d"))</f>
        <v>Mercadoria</v>
      </c>
      <c r="AA256" s="0" t="str">
        <f aca="false">IF($T256="","",IF(COUNTIF('Resumo Grupos'!$AE$3:$AE$40,$T256)&gt;0,"NAO","SIM"))</f>
        <v>SIM</v>
      </c>
      <c r="AB256" s="0" t="str">
        <f aca="false">IFERROR(INDEX('Mov Entradas (Rel 10497)'!$L:$L,MATCH(AC256,'Mov Entradas (Rel 10497)'!$I:$I,0)),"nao encontrado")</f>
        <v>nao encontrado</v>
      </c>
      <c r="AC256" s="0" t="n">
        <v>1659288</v>
      </c>
    </row>
    <row r="257" customFormat="false" ht="54.75" hidden="false" customHeight="true" outlineLevel="0" collapsed="false">
      <c r="A257" s="9" t="n">
        <v>2</v>
      </c>
      <c r="B257" s="10" t="n">
        <v>46163</v>
      </c>
      <c r="C257" s="10" t="n">
        <v>46185</v>
      </c>
      <c r="D257" s="9" t="n">
        <v>1608</v>
      </c>
      <c r="E257" s="11" t="s">
        <v>240</v>
      </c>
      <c r="F257" s="9" t="n">
        <v>24</v>
      </c>
      <c r="G257" s="11" t="s">
        <v>51</v>
      </c>
      <c r="H257" s="9" t="n">
        <v>2110101</v>
      </c>
      <c r="I257" s="11" t="s">
        <v>43</v>
      </c>
      <c r="J257" s="9" t="n">
        <v>1133064</v>
      </c>
      <c r="L257" s="9" t="n">
        <v>1659289</v>
      </c>
      <c r="M257" s="11" t="s">
        <v>52</v>
      </c>
      <c r="N257" s="11" t="s">
        <v>37</v>
      </c>
      <c r="P257" s="9" t="n">
        <v>113</v>
      </c>
      <c r="Q257" s="11" t="s">
        <v>46</v>
      </c>
      <c r="R257" s="11" t="s">
        <v>47</v>
      </c>
      <c r="S257" s="9" t="n">
        <v>1130101</v>
      </c>
      <c r="T257" s="11" t="s">
        <v>48</v>
      </c>
      <c r="U257" s="12" t="n">
        <v>643.51</v>
      </c>
      <c r="W257" s="12" t="n">
        <v>0</v>
      </c>
      <c r="X257" s="11" t="s">
        <v>374</v>
      </c>
      <c r="Z257" s="0" t="str">
        <f aca="false">IF($T257="","",IFERROR(INDEX('Resumo Grupos'!$AC$3:$AC$200,MATCH($T257,'Resumo Grupos'!$AB$3:$AB$200,0)),"n/d"))</f>
        <v>Mercadoria</v>
      </c>
      <c r="AA257" s="0" t="str">
        <f aca="false">IF($T257="","",IF(COUNTIF('Resumo Grupos'!$AE$3:$AE$40,$T257)&gt;0,"NAO","SIM"))</f>
        <v>SIM</v>
      </c>
      <c r="AB257" s="0" t="str">
        <f aca="false">IFERROR(INDEX('Mov Entradas (Rel 10497)'!$L:$L,MATCH(AC257,'Mov Entradas (Rel 10497)'!$I:$I,0)),"nao encontrado")</f>
        <v>nao encontrado</v>
      </c>
      <c r="AC257" s="0" t="n">
        <v>1659289</v>
      </c>
    </row>
    <row r="258" customFormat="false" ht="54.75" hidden="false" customHeight="true" outlineLevel="0" collapsed="false">
      <c r="A258" s="9" t="n">
        <v>2</v>
      </c>
      <c r="B258" s="10" t="n">
        <v>46164</v>
      </c>
      <c r="C258" s="10" t="n">
        <v>46185</v>
      </c>
      <c r="D258" s="9" t="n">
        <v>1608</v>
      </c>
      <c r="E258" s="11" t="s">
        <v>240</v>
      </c>
      <c r="F258" s="9" t="n">
        <v>24</v>
      </c>
      <c r="G258" s="11" t="s">
        <v>51</v>
      </c>
      <c r="H258" s="9" t="n">
        <v>2110101</v>
      </c>
      <c r="I258" s="11" t="s">
        <v>43</v>
      </c>
      <c r="J258" s="9" t="n">
        <v>1136027</v>
      </c>
      <c r="L258" s="9" t="n">
        <v>1659538</v>
      </c>
      <c r="M258" s="11" t="s">
        <v>44</v>
      </c>
      <c r="N258" s="11" t="s">
        <v>37</v>
      </c>
      <c r="P258" s="9" t="n">
        <v>113</v>
      </c>
      <c r="Q258" s="11" t="s">
        <v>46</v>
      </c>
      <c r="R258" s="11" t="s">
        <v>47</v>
      </c>
      <c r="S258" s="9" t="n">
        <v>1130101</v>
      </c>
      <c r="T258" s="11" t="s">
        <v>48</v>
      </c>
      <c r="U258" s="12" t="n">
        <v>1041.87</v>
      </c>
      <c r="W258" s="12" t="n">
        <v>0</v>
      </c>
      <c r="X258" s="11" t="s">
        <v>241</v>
      </c>
      <c r="Z258" s="0" t="str">
        <f aca="false">IF($T258="","",IFERROR(INDEX('Resumo Grupos'!$AC$3:$AC$200,MATCH($T258,'Resumo Grupos'!$AB$3:$AB$200,0)),"n/d"))</f>
        <v>Mercadoria</v>
      </c>
      <c r="AA258" s="0" t="str">
        <f aca="false">IF($T258="","",IF(COUNTIF('Resumo Grupos'!$AE$3:$AE$40,$T258)&gt;0,"NAO","SIM"))</f>
        <v>SIM</v>
      </c>
      <c r="AB258" s="0" t="str">
        <f aca="false">IFERROR(INDEX('Mov Entradas (Rel 10497)'!$L:$L,MATCH(AC258,'Mov Entradas (Rel 10497)'!$I:$I,0)),"nao encontrado")</f>
        <v>nao encontrado</v>
      </c>
      <c r="AC258" s="0" t="n">
        <v>1659538</v>
      </c>
    </row>
    <row r="259" customFormat="false" ht="36.75" hidden="false" customHeight="true" outlineLevel="0" collapsed="false">
      <c r="A259" s="9" t="n">
        <v>2</v>
      </c>
      <c r="B259" s="10" t="n">
        <v>46185</v>
      </c>
      <c r="C259" s="10" t="n">
        <v>46185</v>
      </c>
      <c r="D259" s="9" t="n">
        <v>1037</v>
      </c>
      <c r="E259" s="11" t="s">
        <v>134</v>
      </c>
      <c r="F259" s="9" t="n">
        <v>13</v>
      </c>
      <c r="G259" s="11" t="s">
        <v>135</v>
      </c>
      <c r="H259" s="9" t="n">
        <v>2110101</v>
      </c>
      <c r="I259" s="11" t="s">
        <v>43</v>
      </c>
      <c r="J259" s="9" t="n">
        <v>1241682</v>
      </c>
      <c r="L259" s="9" t="n">
        <v>165590</v>
      </c>
      <c r="M259" s="11" t="s">
        <v>52</v>
      </c>
      <c r="N259" s="11" t="s">
        <v>45</v>
      </c>
      <c r="P259" s="9" t="n">
        <v>113</v>
      </c>
      <c r="Q259" s="11" t="s">
        <v>46</v>
      </c>
      <c r="R259" s="11" t="s">
        <v>47</v>
      </c>
      <c r="S259" s="9" t="n">
        <v>1130101</v>
      </c>
      <c r="T259" s="11" t="s">
        <v>48</v>
      </c>
      <c r="U259" s="12" t="n">
        <v>380</v>
      </c>
      <c r="W259" s="12" t="n">
        <v>0</v>
      </c>
      <c r="X259" s="11" t="s">
        <v>375</v>
      </c>
      <c r="Z259" s="0" t="str">
        <f aca="false">IF($T259="","",IFERROR(INDEX('Resumo Grupos'!$AC$3:$AC$200,MATCH($T259,'Resumo Grupos'!$AB$3:$AB$200,0)),"n/d"))</f>
        <v>Mercadoria</v>
      </c>
      <c r="AA259" s="0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9" t="n">
        <v>2</v>
      </c>
      <c r="B260" s="10" t="n">
        <v>46185</v>
      </c>
      <c r="C260" s="10" t="n">
        <v>46185</v>
      </c>
      <c r="D260" s="9" t="n">
        <v>1037</v>
      </c>
      <c r="E260" s="11" t="s">
        <v>134</v>
      </c>
      <c r="F260" s="9" t="n">
        <v>34</v>
      </c>
      <c r="G260" s="11" t="s">
        <v>55</v>
      </c>
      <c r="H260" s="9" t="n">
        <v>2110405</v>
      </c>
      <c r="I260" s="11" t="s">
        <v>56</v>
      </c>
      <c r="J260" s="9" t="n">
        <v>1441299</v>
      </c>
      <c r="L260" s="9" t="n">
        <v>194943</v>
      </c>
      <c r="M260" s="11" t="s">
        <v>52</v>
      </c>
      <c r="N260" s="11" t="s">
        <v>45</v>
      </c>
      <c r="P260" s="9" t="n">
        <v>101</v>
      </c>
      <c r="Q260" s="11" t="s">
        <v>57</v>
      </c>
      <c r="R260" s="11" t="s">
        <v>81</v>
      </c>
      <c r="S260" s="9" t="n">
        <v>4220199</v>
      </c>
      <c r="T260" s="11" t="s">
        <v>82</v>
      </c>
      <c r="U260" s="12" t="n">
        <v>4189</v>
      </c>
      <c r="W260" s="12" t="n">
        <v>0</v>
      </c>
      <c r="X260" s="11" t="s">
        <v>376</v>
      </c>
      <c r="Z260" s="0" t="str">
        <f aca="false">IF($T260="","",IFERROR(INDEX('Resumo Grupos'!$AC$3:$AC$200,MATCH($T260,'Resumo Grupos'!$AB$3:$AB$200,0)),"n/d"))</f>
        <v>Pagamentos outros não operacionais</v>
      </c>
      <c r="AA260" s="0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9" t="n">
        <v>2</v>
      </c>
      <c r="B261" s="10" t="n">
        <v>46178</v>
      </c>
      <c r="C261" s="10" t="n">
        <v>46185</v>
      </c>
      <c r="D261" s="9" t="n">
        <v>1626</v>
      </c>
      <c r="E261" s="11" t="s">
        <v>77</v>
      </c>
      <c r="F261" s="9" t="n">
        <v>24</v>
      </c>
      <c r="G261" s="11" t="s">
        <v>51</v>
      </c>
      <c r="H261" s="9" t="n">
        <v>2110101</v>
      </c>
      <c r="I261" s="11" t="s">
        <v>43</v>
      </c>
      <c r="J261" s="9" t="n">
        <v>1206560</v>
      </c>
      <c r="L261" s="9" t="n">
        <v>160678</v>
      </c>
      <c r="M261" s="11" t="s">
        <v>52</v>
      </c>
      <c r="N261" s="11" t="s">
        <v>45</v>
      </c>
      <c r="P261" s="9" t="n">
        <v>113</v>
      </c>
      <c r="Q261" s="11" t="s">
        <v>46</v>
      </c>
      <c r="R261" s="11" t="s">
        <v>47</v>
      </c>
      <c r="S261" s="9" t="n">
        <v>1130101</v>
      </c>
      <c r="T261" s="11" t="s">
        <v>48</v>
      </c>
      <c r="U261" s="12" t="n">
        <v>392.25</v>
      </c>
      <c r="W261" s="12" t="n">
        <v>0</v>
      </c>
      <c r="X261" s="11" t="s">
        <v>377</v>
      </c>
      <c r="Z261" s="0" t="str">
        <f aca="false">IF($T261="","",IFERROR(INDEX('Resumo Grupos'!$AC$3:$AC$200,MATCH($T261,'Resumo Grupos'!$AB$3:$AB$200,0)),"n/d"))</f>
        <v>Mercadoria</v>
      </c>
      <c r="AA261" s="0" t="str">
        <f aca="false">IF($T261="","",IF(COUNTIF('Resumo Grupos'!$AE$3:$AE$40,$T261)&gt;0,"NAO","SIM"))</f>
        <v>SIM</v>
      </c>
      <c r="AB261" s="0" t="str">
        <f aca="false">IFERROR(INDEX('Mov Entradas (Rel 10497)'!$L:$L,MATCH(AC261,'Mov Entradas (Rel 10497)'!$I:$I,0)),"nao encontrado")</f>
        <v>TEKITOS TRAD 300G</v>
      </c>
      <c r="AC261" s="0" t="n">
        <v>308379</v>
      </c>
    </row>
    <row r="262" customFormat="false" ht="36.75" hidden="false" customHeight="true" outlineLevel="0" collapsed="false">
      <c r="A262" s="9" t="n">
        <v>2</v>
      </c>
      <c r="B262" s="10" t="n">
        <v>46209</v>
      </c>
      <c r="C262" s="10" t="n">
        <v>46185</v>
      </c>
      <c r="D262" s="9" t="n">
        <v>1768</v>
      </c>
      <c r="E262" s="11" t="s">
        <v>378</v>
      </c>
      <c r="F262" s="9" t="n">
        <v>34</v>
      </c>
      <c r="G262" s="11" t="s">
        <v>55</v>
      </c>
      <c r="H262" s="9" t="n">
        <v>2110405</v>
      </c>
      <c r="I262" s="11" t="s">
        <v>56</v>
      </c>
      <c r="J262" s="9" t="n">
        <v>628286</v>
      </c>
      <c r="L262" s="9" t="n">
        <v>81552</v>
      </c>
      <c r="M262" s="11" t="s">
        <v>89</v>
      </c>
      <c r="N262" s="11" t="s">
        <v>45</v>
      </c>
      <c r="P262" s="9" t="n">
        <v>102</v>
      </c>
      <c r="Q262" s="11" t="s">
        <v>308</v>
      </c>
      <c r="R262" s="11" t="s">
        <v>39</v>
      </c>
      <c r="S262" s="9" t="n">
        <v>4210202</v>
      </c>
      <c r="T262" s="11" t="s">
        <v>379</v>
      </c>
      <c r="U262" s="12" t="n">
        <v>2431.5</v>
      </c>
      <c r="W262" s="12" t="n">
        <v>0</v>
      </c>
      <c r="X262" s="11" t="s">
        <v>380</v>
      </c>
      <c r="Z262" s="0" t="str">
        <f aca="false">IF($T262="","",IFERROR(INDEX('Resumo Grupos'!$AC$3:$AC$200,MATCH($T262,'Resumo Grupos'!$AB$3:$AB$200,0)),"n/d"))</f>
        <v>Despesa</v>
      </c>
      <c r="AA262" s="0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9" t="n">
        <v>2</v>
      </c>
      <c r="B263" s="10" t="n">
        <v>46183</v>
      </c>
      <c r="C263" s="10" t="n">
        <v>46185</v>
      </c>
      <c r="D263" s="9" t="n">
        <v>10035</v>
      </c>
      <c r="E263" s="11" t="s">
        <v>86</v>
      </c>
      <c r="F263" s="9" t="n">
        <v>34</v>
      </c>
      <c r="G263" s="11" t="s">
        <v>55</v>
      </c>
      <c r="H263" s="9" t="n">
        <v>2110101</v>
      </c>
      <c r="I263" s="11" t="s">
        <v>43</v>
      </c>
      <c r="J263" s="9" t="n">
        <v>1231085</v>
      </c>
      <c r="L263" s="9" t="n">
        <v>297</v>
      </c>
      <c r="M263" s="11" t="s">
        <v>52</v>
      </c>
      <c r="N263" s="11" t="s">
        <v>37</v>
      </c>
      <c r="P263" s="9" t="n">
        <v>113</v>
      </c>
      <c r="Q263" s="11" t="s">
        <v>46</v>
      </c>
      <c r="R263" s="11" t="s">
        <v>47</v>
      </c>
      <c r="S263" s="9" t="n">
        <v>1130101</v>
      </c>
      <c r="T263" s="11" t="s">
        <v>48</v>
      </c>
      <c r="U263" s="12" t="n">
        <v>190.5</v>
      </c>
      <c r="W263" s="12" t="n">
        <v>0</v>
      </c>
      <c r="X263" s="11" t="s">
        <v>381</v>
      </c>
      <c r="Z263" s="0" t="str">
        <f aca="false">IF($T263="","",IFERROR(INDEX('Resumo Grupos'!$AC$3:$AC$200,MATCH($T263,'Resumo Grupos'!$AB$3:$AB$200,0)),"n/d"))</f>
        <v>Mercadoria</v>
      </c>
      <c r="AA263" s="0" t="str">
        <f aca="false">IF($T263="","",IF(COUNTIF('Resumo Grupos'!$AE$3:$AE$40,$T263)&gt;0,"NAO","SIM"))</f>
        <v>SIM</v>
      </c>
      <c r="AB263" s="0" t="str">
        <f aca="false">IFERROR(INDEX('Mov Entradas (Rel 10497)'!$L:$L,MATCH(AC263,'Mov Entradas (Rel 10497)'!$I:$I,0)),"nao encontrado")</f>
        <v>CARVAO VEGETAL 3KG</v>
      </c>
      <c r="AC263" s="0" t="n">
        <v>297</v>
      </c>
    </row>
    <row r="264" customFormat="false" ht="36.75" hidden="false" customHeight="true" outlineLevel="0" collapsed="false">
      <c r="A264" s="9" t="n">
        <v>2</v>
      </c>
      <c r="B264" s="10" t="n">
        <v>46178</v>
      </c>
      <c r="C264" s="10" t="n">
        <v>46185</v>
      </c>
      <c r="D264" s="9" t="n">
        <v>1363</v>
      </c>
      <c r="E264" s="11" t="s">
        <v>174</v>
      </c>
      <c r="F264" s="9" t="n">
        <v>24</v>
      </c>
      <c r="G264" s="11" t="s">
        <v>51</v>
      </c>
      <c r="H264" s="9" t="n">
        <v>2110101</v>
      </c>
      <c r="I264" s="11" t="s">
        <v>43</v>
      </c>
      <c r="J264" s="9" t="n">
        <v>1208207</v>
      </c>
      <c r="L264" s="9" t="n">
        <v>3322</v>
      </c>
      <c r="M264" s="11" t="s">
        <v>52</v>
      </c>
      <c r="N264" s="11" t="s">
        <v>37</v>
      </c>
      <c r="P264" s="9" t="n">
        <v>113</v>
      </c>
      <c r="Q264" s="11" t="s">
        <v>46</v>
      </c>
      <c r="R264" s="11" t="s">
        <v>47</v>
      </c>
      <c r="S264" s="9" t="n">
        <v>1130101</v>
      </c>
      <c r="T264" s="11" t="s">
        <v>48</v>
      </c>
      <c r="U264" s="12" t="n">
        <v>161</v>
      </c>
      <c r="W264" s="12" t="n">
        <v>0</v>
      </c>
      <c r="X264" s="11" t="s">
        <v>382</v>
      </c>
      <c r="Z264" s="0" t="str">
        <f aca="false">IF($T264="","",IFERROR(INDEX('Resumo Grupos'!$AC$3:$AC$200,MATCH($T264,'Resumo Grupos'!$AB$3:$AB$200,0)),"n/d"))</f>
        <v>Mercadoria</v>
      </c>
      <c r="AA264" s="0" t="str">
        <f aca="false">IF($T264="","",IF(COUNTIF('Resumo Grupos'!$AE$3:$AE$40,$T264)&gt;0,"NAO","SIM"))</f>
        <v>SIM</v>
      </c>
      <c r="AB264" s="0" t="str">
        <f aca="false">IFERROR(INDEX('Mov Entradas (Rel 10497)'!$L:$L,MATCH(AC264,'Mov Entradas (Rel 10497)'!$I:$I,0)),"nao encontrado")</f>
        <v>PAO HAMBURGUER SANTO PAO</v>
      </c>
      <c r="AC264" s="0" t="n">
        <v>3322</v>
      </c>
    </row>
    <row r="265" customFormat="false" ht="36.75" hidden="false" customHeight="true" outlineLevel="0" collapsed="false">
      <c r="A265" s="9" t="n">
        <v>2</v>
      </c>
      <c r="B265" s="10" t="n">
        <v>46183</v>
      </c>
      <c r="C265" s="10" t="n">
        <v>46185</v>
      </c>
      <c r="D265" s="9" t="n">
        <v>48</v>
      </c>
      <c r="E265" s="11" t="s">
        <v>153</v>
      </c>
      <c r="F265" s="9" t="n">
        <v>34</v>
      </c>
      <c r="G265" s="11" t="s">
        <v>55</v>
      </c>
      <c r="H265" s="9" t="n">
        <v>2110101</v>
      </c>
      <c r="I265" s="11" t="s">
        <v>43</v>
      </c>
      <c r="J265" s="9" t="n">
        <v>1231255</v>
      </c>
      <c r="L265" s="9" t="n">
        <v>2489</v>
      </c>
      <c r="M265" s="11" t="s">
        <v>52</v>
      </c>
      <c r="N265" s="11" t="s">
        <v>37</v>
      </c>
      <c r="P265" s="9" t="n">
        <v>113</v>
      </c>
      <c r="Q265" s="11" t="s">
        <v>46</v>
      </c>
      <c r="R265" s="11" t="s">
        <v>47</v>
      </c>
      <c r="S265" s="9" t="n">
        <v>1130101</v>
      </c>
      <c r="T265" s="11" t="s">
        <v>48</v>
      </c>
      <c r="U265" s="12" t="n">
        <v>600</v>
      </c>
      <c r="W265" s="12" t="n">
        <v>0</v>
      </c>
      <c r="X265" s="11" t="s">
        <v>383</v>
      </c>
      <c r="Z265" s="0" t="str">
        <f aca="false">IF($T265="","",IFERROR(INDEX('Resumo Grupos'!$AC$3:$AC$200,MATCH($T265,'Resumo Grupos'!$AB$3:$AB$200,0)),"n/d"))</f>
        <v>Mercadoria</v>
      </c>
      <c r="AA265" s="0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9" t="n">
        <v>2</v>
      </c>
      <c r="B266" s="10" t="n">
        <v>46185</v>
      </c>
      <c r="C266" s="10" t="n">
        <v>46185</v>
      </c>
      <c r="D266" s="9" t="n">
        <v>48</v>
      </c>
      <c r="E266" s="11" t="s">
        <v>153</v>
      </c>
      <c r="F266" s="9" t="n">
        <v>13</v>
      </c>
      <c r="G266" s="11" t="s">
        <v>135</v>
      </c>
      <c r="H266" s="9" t="n">
        <v>2110101</v>
      </c>
      <c r="I266" s="11" t="s">
        <v>43</v>
      </c>
      <c r="J266" s="9" t="n">
        <v>1240627</v>
      </c>
      <c r="L266" s="9" t="n">
        <v>2494</v>
      </c>
      <c r="M266" s="11" t="s">
        <v>52</v>
      </c>
      <c r="N266" s="11" t="s">
        <v>37</v>
      </c>
      <c r="P266" s="9" t="n">
        <v>113</v>
      </c>
      <c r="Q266" s="11" t="s">
        <v>46</v>
      </c>
      <c r="R266" s="11" t="s">
        <v>47</v>
      </c>
      <c r="S266" s="9" t="n">
        <v>1130101</v>
      </c>
      <c r="T266" s="11" t="s">
        <v>48</v>
      </c>
      <c r="U266" s="12" t="n">
        <v>260</v>
      </c>
      <c r="W266" s="12" t="n">
        <v>260</v>
      </c>
      <c r="X266" s="11" t="s">
        <v>384</v>
      </c>
      <c r="Z266" s="0" t="str">
        <f aca="false">IF($T266="","",IFERROR(INDEX('Resumo Grupos'!$AC$3:$AC$200,MATCH($T266,'Resumo Grupos'!$AB$3:$AB$200,0)),"n/d"))</f>
        <v>Mercadoria</v>
      </c>
      <c r="AA266" s="0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9" t="n">
        <v>2</v>
      </c>
      <c r="B267" s="10" t="n">
        <v>46185</v>
      </c>
      <c r="C267" s="10" t="n">
        <v>46185</v>
      </c>
      <c r="D267" s="9" t="n">
        <v>48</v>
      </c>
      <c r="E267" s="11" t="s">
        <v>153</v>
      </c>
      <c r="F267" s="9" t="n">
        <v>13</v>
      </c>
      <c r="G267" s="11" t="s">
        <v>135</v>
      </c>
      <c r="H267" s="9" t="n">
        <v>2110101</v>
      </c>
      <c r="I267" s="11" t="s">
        <v>43</v>
      </c>
      <c r="J267" s="9" t="n">
        <v>1241673</v>
      </c>
      <c r="L267" s="9" t="n">
        <v>2495</v>
      </c>
      <c r="M267" s="11" t="s">
        <v>52</v>
      </c>
      <c r="N267" s="11" t="s">
        <v>37</v>
      </c>
      <c r="P267" s="9" t="n">
        <v>113</v>
      </c>
      <c r="Q267" s="11" t="s">
        <v>46</v>
      </c>
      <c r="R267" s="11" t="s">
        <v>47</v>
      </c>
      <c r="S267" s="9" t="n">
        <v>1130101</v>
      </c>
      <c r="T267" s="11" t="s">
        <v>48</v>
      </c>
      <c r="U267" s="12" t="n">
        <v>1323.79</v>
      </c>
      <c r="W267" s="12" t="n">
        <v>0</v>
      </c>
      <c r="X267" s="11" t="s">
        <v>385</v>
      </c>
      <c r="Z267" s="0" t="str">
        <f aca="false">IF($T267="","",IFERROR(INDEX('Resumo Grupos'!$AC$3:$AC$200,MATCH($T267,'Resumo Grupos'!$AB$3:$AB$200,0)),"n/d"))</f>
        <v>Mercadoria</v>
      </c>
      <c r="AA267" s="0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9" t="n">
        <v>2</v>
      </c>
      <c r="B268" s="10" t="n">
        <v>46164</v>
      </c>
      <c r="C268" s="10" t="n">
        <v>46185</v>
      </c>
      <c r="D268" s="9" t="n">
        <v>1107</v>
      </c>
      <c r="E268" s="11" t="s">
        <v>254</v>
      </c>
      <c r="F268" s="9" t="n">
        <v>24</v>
      </c>
      <c r="G268" s="11" t="s">
        <v>51</v>
      </c>
      <c r="H268" s="9" t="n">
        <v>2110101</v>
      </c>
      <c r="I268" s="11" t="s">
        <v>43</v>
      </c>
      <c r="J268" s="9" t="n">
        <v>1137727</v>
      </c>
      <c r="L268" s="9" t="n">
        <v>407270</v>
      </c>
      <c r="M268" s="11" t="s">
        <v>44</v>
      </c>
      <c r="N268" s="11" t="s">
        <v>37</v>
      </c>
      <c r="P268" s="9" t="n">
        <v>113</v>
      </c>
      <c r="Q268" s="11" t="s">
        <v>46</v>
      </c>
      <c r="R268" s="11" t="s">
        <v>47</v>
      </c>
      <c r="S268" s="9" t="n">
        <v>1130101</v>
      </c>
      <c r="T268" s="11" t="s">
        <v>48</v>
      </c>
      <c r="U268" s="12" t="n">
        <v>639.85</v>
      </c>
      <c r="W268" s="12" t="n">
        <v>0</v>
      </c>
      <c r="X268" s="11" t="s">
        <v>255</v>
      </c>
      <c r="Z268" s="0" t="str">
        <f aca="false">IF($T268="","",IFERROR(INDEX('Resumo Grupos'!$AC$3:$AC$200,MATCH($T268,'Resumo Grupos'!$AB$3:$AB$200,0)),"n/d"))</f>
        <v>Mercadoria</v>
      </c>
      <c r="AA268" s="0" t="str">
        <f aca="false">IF($T268="","",IF(COUNTIF('Resumo Grupos'!$AE$3:$AE$40,$T268)&gt;0,"NAO","SIM"))</f>
        <v>SIM</v>
      </c>
      <c r="AB268" s="0" t="str">
        <f aca="false">IFERROR(INDEX('Mov Entradas (Rel 10497)'!$L:$L,MATCH(AC268,'Mov Entradas (Rel 10497)'!$I:$I,0)),"nao encontrado")</f>
        <v>nao encontrado</v>
      </c>
      <c r="AC268" s="0" t="n">
        <v>407270</v>
      </c>
    </row>
    <row r="269" customFormat="false" ht="54.75" hidden="false" customHeight="true" outlineLevel="0" collapsed="false">
      <c r="A269" s="9" t="n">
        <v>2</v>
      </c>
      <c r="B269" s="10" t="n">
        <v>46185</v>
      </c>
      <c r="C269" s="10" t="n">
        <v>46185</v>
      </c>
      <c r="D269" s="9" t="n">
        <v>0</v>
      </c>
      <c r="E269" s="11" t="s">
        <v>109</v>
      </c>
      <c r="F269" s="9" t="n">
        <v>17</v>
      </c>
      <c r="G269" s="11" t="s">
        <v>110</v>
      </c>
      <c r="H269" s="9" t="n">
        <v>1110101</v>
      </c>
      <c r="I269" s="11" t="s">
        <v>111</v>
      </c>
      <c r="J269" s="9" t="n">
        <v>1256915</v>
      </c>
      <c r="L269" s="9" t="n">
        <v>1256915</v>
      </c>
      <c r="M269" s="11" t="s">
        <v>52</v>
      </c>
      <c r="N269" s="11" t="s">
        <v>112</v>
      </c>
      <c r="P269" s="9" t="n">
        <v>113</v>
      </c>
      <c r="Q269" s="11" t="s">
        <v>46</v>
      </c>
      <c r="R269" s="11" t="s">
        <v>259</v>
      </c>
      <c r="S269" s="9" t="n">
        <v>2110101</v>
      </c>
      <c r="T269" s="11" t="s">
        <v>43</v>
      </c>
      <c r="U269" s="12" t="n">
        <v>260</v>
      </c>
      <c r="W269" s="12" t="n">
        <v>260</v>
      </c>
      <c r="X269" s="11" t="s">
        <v>386</v>
      </c>
      <c r="Z269" s="0" t="str">
        <f aca="false">IF($T269="","",IFERROR(INDEX('Resumo Grupos'!$AC$3:$AC$200,MATCH($T269,'Resumo Grupos'!$AB$3:$AB$200,0)),"n/d"))</f>
        <v>Despesa</v>
      </c>
      <c r="AA269" s="0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9" t="n">
        <v>2</v>
      </c>
      <c r="B270" s="10" t="n">
        <v>46185</v>
      </c>
      <c r="C270" s="10" t="n">
        <v>46185</v>
      </c>
      <c r="D270" s="9" t="n">
        <v>0</v>
      </c>
      <c r="E270" s="11" t="s">
        <v>109</v>
      </c>
      <c r="F270" s="9" t="n">
        <v>17</v>
      </c>
      <c r="G270" s="11" t="s">
        <v>110</v>
      </c>
      <c r="H270" s="9" t="n">
        <v>1110101</v>
      </c>
      <c r="I270" s="11" t="s">
        <v>111</v>
      </c>
      <c r="J270" s="9" t="n">
        <v>1256916</v>
      </c>
      <c r="L270" s="9" t="n">
        <v>1256916</v>
      </c>
      <c r="M270" s="11" t="s">
        <v>52</v>
      </c>
      <c r="N270" s="11" t="s">
        <v>112</v>
      </c>
      <c r="P270" s="9" t="n">
        <v>113</v>
      </c>
      <c r="Q270" s="11" t="s">
        <v>46</v>
      </c>
      <c r="R270" s="11" t="s">
        <v>71</v>
      </c>
      <c r="S270" s="9" t="n">
        <v>4210316</v>
      </c>
      <c r="T270" s="11" t="s">
        <v>159</v>
      </c>
      <c r="U270" s="12" t="n">
        <v>50</v>
      </c>
      <c r="W270" s="12" t="n">
        <v>50</v>
      </c>
      <c r="X270" s="11" t="s">
        <v>263</v>
      </c>
      <c r="Z270" s="0" t="str">
        <f aca="false">IF($T270="","",IFERROR(INDEX('Resumo Grupos'!$AC$3:$AC$200,MATCH($T270,'Resumo Grupos'!$AB$3:$AB$200,0)),"n/d"))</f>
        <v>Salários</v>
      </c>
      <c r="AA270" s="0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9" t="n">
        <v>2</v>
      </c>
      <c r="B271" s="10" t="n">
        <v>46185</v>
      </c>
      <c r="C271" s="10" t="n">
        <v>46185</v>
      </c>
      <c r="D271" s="9" t="n">
        <v>0</v>
      </c>
      <c r="E271" s="11" t="s">
        <v>109</v>
      </c>
      <c r="F271" s="9" t="n">
        <v>17</v>
      </c>
      <c r="G271" s="11" t="s">
        <v>110</v>
      </c>
      <c r="H271" s="9" t="n">
        <v>1110101</v>
      </c>
      <c r="I271" s="11" t="s">
        <v>111</v>
      </c>
      <c r="J271" s="9" t="n">
        <v>1256919</v>
      </c>
      <c r="L271" s="9" t="n">
        <v>1256919</v>
      </c>
      <c r="M271" s="11" t="s">
        <v>52</v>
      </c>
      <c r="N271" s="11" t="s">
        <v>112</v>
      </c>
      <c r="P271" s="9" t="n">
        <v>113</v>
      </c>
      <c r="Q271" s="11" t="s">
        <v>46</v>
      </c>
      <c r="R271" s="11" t="s">
        <v>47</v>
      </c>
      <c r="S271" s="9" t="n">
        <v>1130101</v>
      </c>
      <c r="T271" s="11" t="s">
        <v>48</v>
      </c>
      <c r="U271" s="12" t="n">
        <v>54</v>
      </c>
      <c r="W271" s="12" t="n">
        <v>54</v>
      </c>
      <c r="X271" s="11" t="s">
        <v>387</v>
      </c>
      <c r="Z271" s="0" t="str">
        <f aca="false">IF($T271="","",IFERROR(INDEX('Resumo Grupos'!$AC$3:$AC$200,MATCH($T271,'Resumo Grupos'!$AB$3:$AB$200,0)),"n/d"))</f>
        <v>Mercadoria</v>
      </c>
      <c r="AA271" s="0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9" t="n">
        <v>2</v>
      </c>
      <c r="B272" s="10" t="n">
        <v>46185</v>
      </c>
      <c r="C272" s="10" t="n">
        <v>46185</v>
      </c>
      <c r="D272" s="9" t="n">
        <v>0</v>
      </c>
      <c r="E272" s="11" t="s">
        <v>109</v>
      </c>
      <c r="F272" s="9" t="n">
        <v>17</v>
      </c>
      <c r="G272" s="11" t="s">
        <v>110</v>
      </c>
      <c r="H272" s="9" t="n">
        <v>1110101</v>
      </c>
      <c r="I272" s="11" t="s">
        <v>111</v>
      </c>
      <c r="J272" s="9" t="n">
        <v>1256920</v>
      </c>
      <c r="L272" s="9" t="n">
        <v>1256920</v>
      </c>
      <c r="M272" s="11" t="s">
        <v>52</v>
      </c>
      <c r="N272" s="11" t="s">
        <v>112</v>
      </c>
      <c r="P272" s="9" t="n">
        <v>113</v>
      </c>
      <c r="Q272" s="11" t="s">
        <v>46</v>
      </c>
      <c r="R272" s="11" t="s">
        <v>71</v>
      </c>
      <c r="S272" s="9" t="n">
        <v>4210314</v>
      </c>
      <c r="T272" s="11" t="s">
        <v>113</v>
      </c>
      <c r="U272" s="12" t="n">
        <v>50</v>
      </c>
      <c r="W272" s="12" t="n">
        <v>50</v>
      </c>
      <c r="X272" s="11" t="s">
        <v>187</v>
      </c>
      <c r="Z272" s="0" t="str">
        <f aca="false">IF($T272="","",IFERROR(INDEX('Resumo Grupos'!$AC$3:$AC$200,MATCH($T272,'Resumo Grupos'!$AB$3:$AB$200,0)),"n/d"))</f>
        <v>Despesa</v>
      </c>
      <c r="AA272" s="0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9" t="n">
        <v>2</v>
      </c>
      <c r="B273" s="10" t="n">
        <v>46185</v>
      </c>
      <c r="C273" s="10" t="n">
        <v>46185</v>
      </c>
      <c r="D273" s="9" t="n">
        <v>0</v>
      </c>
      <c r="E273" s="11" t="s">
        <v>109</v>
      </c>
      <c r="F273" s="9" t="n">
        <v>17</v>
      </c>
      <c r="G273" s="11" t="s">
        <v>110</v>
      </c>
      <c r="H273" s="9" t="n">
        <v>1110101</v>
      </c>
      <c r="I273" s="11" t="s">
        <v>111</v>
      </c>
      <c r="J273" s="9" t="n">
        <v>1361189</v>
      </c>
      <c r="L273" s="9" t="n">
        <v>1361189</v>
      </c>
      <c r="M273" s="11" t="s">
        <v>52</v>
      </c>
      <c r="N273" s="11" t="s">
        <v>112</v>
      </c>
      <c r="P273" s="9" t="n">
        <v>113</v>
      </c>
      <c r="Q273" s="11" t="s">
        <v>46</v>
      </c>
      <c r="R273" s="11" t="s">
        <v>116</v>
      </c>
      <c r="S273" s="9" t="n">
        <v>1110203</v>
      </c>
      <c r="T273" s="11" t="s">
        <v>117</v>
      </c>
      <c r="U273" s="12" t="n">
        <v>2050</v>
      </c>
      <c r="W273" s="12" t="n">
        <v>2050</v>
      </c>
      <c r="X273" s="11" t="s">
        <v>388</v>
      </c>
      <c r="Z273" s="0" t="str">
        <f aca="false">IF($T273="","",IFERROR(INDEX('Resumo Grupos'!$AC$3:$AC$200,MATCH($T273,'Resumo Grupos'!$AB$3:$AB$200,0)),"n/d"))</f>
        <v>Despesa</v>
      </c>
      <c r="AA273" s="0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9" t="n">
        <v>2</v>
      </c>
      <c r="B274" s="10" t="n">
        <v>46181</v>
      </c>
      <c r="C274" s="10" t="n">
        <v>46185</v>
      </c>
      <c r="D274" s="9" t="n">
        <v>754</v>
      </c>
      <c r="E274" s="11" t="s">
        <v>162</v>
      </c>
      <c r="F274" s="9" t="n">
        <v>24</v>
      </c>
      <c r="G274" s="11" t="s">
        <v>51</v>
      </c>
      <c r="H274" s="9" t="n">
        <v>2110101</v>
      </c>
      <c r="I274" s="11" t="s">
        <v>43</v>
      </c>
      <c r="J274" s="9" t="n">
        <v>1221751</v>
      </c>
      <c r="L274" s="9" t="n">
        <v>30915</v>
      </c>
      <c r="M274" s="11" t="s">
        <v>52</v>
      </c>
      <c r="N274" s="11" t="s">
        <v>37</v>
      </c>
      <c r="P274" s="9" t="n">
        <v>113</v>
      </c>
      <c r="Q274" s="11" t="s">
        <v>46</v>
      </c>
      <c r="R274" s="11" t="s">
        <v>47</v>
      </c>
      <c r="S274" s="9" t="n">
        <v>1130101</v>
      </c>
      <c r="T274" s="11" t="s">
        <v>48</v>
      </c>
      <c r="U274" s="12" t="n">
        <v>3840</v>
      </c>
      <c r="W274" s="12" t="n">
        <v>0</v>
      </c>
      <c r="X274" s="11" t="s">
        <v>389</v>
      </c>
      <c r="Z274" s="0" t="str">
        <f aca="false">IF($T274="","",IFERROR(INDEX('Resumo Grupos'!$AC$3:$AC$200,MATCH($T274,'Resumo Grupos'!$AB$3:$AB$200,0)),"n/d"))</f>
        <v>Mercadoria</v>
      </c>
      <c r="AA274" s="0" t="str">
        <f aca="false">IF($T274="","",IF(COUNTIF('Resumo Grupos'!$AE$3:$AE$40,$T274)&gt;0,"NAO","SIM"))</f>
        <v>SIM</v>
      </c>
      <c r="AB274" s="0" t="str">
        <f aca="false">IFERROR(INDEX('Mov Entradas (Rel 10497)'!$L:$L,MATCH(AC274,'Mov Entradas (Rel 10497)'!$I:$I,0)),"nao encontrado")</f>
        <v>TRASEIRO DE BOI L1</v>
      </c>
      <c r="AC274" s="0" t="n">
        <v>30915</v>
      </c>
    </row>
    <row r="275" customFormat="false" ht="36.75" hidden="false" customHeight="true" outlineLevel="0" collapsed="false">
      <c r="A275" s="9" t="n">
        <v>2</v>
      </c>
      <c r="B275" s="10" t="n">
        <v>46165</v>
      </c>
      <c r="C275" s="10" t="n">
        <v>46185</v>
      </c>
      <c r="D275" s="9" t="n">
        <v>1666</v>
      </c>
      <c r="E275" s="11" t="s">
        <v>266</v>
      </c>
      <c r="F275" s="9" t="n">
        <v>24</v>
      </c>
      <c r="G275" s="11" t="s">
        <v>51</v>
      </c>
      <c r="H275" s="9" t="n">
        <v>2110101</v>
      </c>
      <c r="I275" s="11" t="s">
        <v>43</v>
      </c>
      <c r="J275" s="9" t="n">
        <v>1141070</v>
      </c>
      <c r="L275" s="9" t="n">
        <v>151471</v>
      </c>
      <c r="M275" s="11" t="s">
        <v>52</v>
      </c>
      <c r="N275" s="11" t="s">
        <v>45</v>
      </c>
      <c r="P275" s="9" t="n">
        <v>113</v>
      </c>
      <c r="Q275" s="11" t="s">
        <v>46</v>
      </c>
      <c r="R275" s="11" t="s">
        <v>47</v>
      </c>
      <c r="S275" s="9" t="n">
        <v>1130101</v>
      </c>
      <c r="T275" s="11" t="s">
        <v>48</v>
      </c>
      <c r="U275" s="12" t="n">
        <v>3787.04</v>
      </c>
      <c r="W275" s="12" t="n">
        <v>0</v>
      </c>
      <c r="X275" s="11" t="s">
        <v>267</v>
      </c>
      <c r="Z275" s="0" t="str">
        <f aca="false">IF($T275="","",IFERROR(INDEX('Resumo Grupos'!$AC$3:$AC$200,MATCH($T275,'Resumo Grupos'!$AB$3:$AB$200,0)),"n/d"))</f>
        <v>Mercadoria</v>
      </c>
      <c r="AA275" s="0" t="str">
        <f aca="false">IF($T275="","",IF(COUNTIF('Resumo Grupos'!$AE$3:$AE$40,$T275)&gt;0,"NAO","SIM"))</f>
        <v>SIM</v>
      </c>
      <c r="AB275" s="0" t="str">
        <f aca="false">IFERROR(INDEX('Mov Entradas (Rel 10497)'!$L:$L,MATCH(AC275,'Mov Entradas (Rel 10497)'!$I:$I,0)),"nao encontrado")</f>
        <v>nao encontrado</v>
      </c>
      <c r="AC275" s="0" t="n">
        <v>560914</v>
      </c>
    </row>
    <row r="276" customFormat="false" ht="36.75" hidden="false" customHeight="true" outlineLevel="0" collapsed="false">
      <c r="A276" s="9" t="n">
        <v>2</v>
      </c>
      <c r="B276" s="10" t="n">
        <v>46184</v>
      </c>
      <c r="C276" s="10" t="n">
        <v>46186</v>
      </c>
      <c r="D276" s="9" t="n">
        <v>1695</v>
      </c>
      <c r="E276" s="11" t="s">
        <v>390</v>
      </c>
      <c r="F276" s="9" t="n">
        <v>24</v>
      </c>
      <c r="G276" s="11" t="s">
        <v>51</v>
      </c>
      <c r="H276" s="9" t="n">
        <v>2110101</v>
      </c>
      <c r="I276" s="11" t="s">
        <v>43</v>
      </c>
      <c r="J276" s="9" t="n">
        <v>1236453</v>
      </c>
      <c r="L276" s="9" t="n">
        <v>18534</v>
      </c>
      <c r="M276" s="11" t="s">
        <v>52</v>
      </c>
      <c r="N276" s="11" t="s">
        <v>37</v>
      </c>
      <c r="P276" s="9" t="n">
        <v>113</v>
      </c>
      <c r="Q276" s="11" t="s">
        <v>46</v>
      </c>
      <c r="R276" s="11" t="s">
        <v>47</v>
      </c>
      <c r="S276" s="9" t="n">
        <v>1130101</v>
      </c>
      <c r="T276" s="11" t="s">
        <v>48</v>
      </c>
      <c r="U276" s="12" t="n">
        <v>837.49</v>
      </c>
      <c r="W276" s="12" t="n">
        <v>0</v>
      </c>
      <c r="X276" s="11" t="s">
        <v>391</v>
      </c>
      <c r="Z276" s="0" t="str">
        <f aca="false">IF($T276="","",IFERROR(INDEX('Resumo Grupos'!$AC$3:$AC$200,MATCH($T276,'Resumo Grupos'!$AB$3:$AB$200,0)),"n/d"))</f>
        <v>Mercadoria</v>
      </c>
      <c r="AA276" s="0" t="str">
        <f aca="false">IF($T276="","",IF(COUNTIF('Resumo Grupos'!$AE$3:$AE$40,$T276)&gt;0,"NAO","SIM"))</f>
        <v>SIM</v>
      </c>
      <c r="AB276" s="0" t="str">
        <f aca="false">IFERROR(INDEX('Mov Entradas (Rel 10497)'!$L:$L,MATCH(AC276,'Mov Entradas (Rel 10497)'!$I:$I,0)),"nao encontrado")</f>
        <v>DETER LIMPOL MACA 500ML</v>
      </c>
      <c r="AC276" s="0" t="n">
        <v>18534</v>
      </c>
    </row>
    <row r="277" customFormat="false" ht="36.75" hidden="false" customHeight="true" outlineLevel="0" collapsed="false">
      <c r="A277" s="9" t="n">
        <v>2</v>
      </c>
      <c r="B277" s="10" t="n">
        <v>46171</v>
      </c>
      <c r="C277" s="10" t="n">
        <v>46186</v>
      </c>
      <c r="D277" s="9" t="n">
        <v>1705</v>
      </c>
      <c r="E277" s="11" t="s">
        <v>130</v>
      </c>
      <c r="F277" s="9" t="n">
        <v>24</v>
      </c>
      <c r="G277" s="11" t="s">
        <v>51</v>
      </c>
      <c r="H277" s="9" t="n">
        <v>2110101</v>
      </c>
      <c r="I277" s="11" t="s">
        <v>43</v>
      </c>
      <c r="J277" s="9" t="n">
        <v>1172473</v>
      </c>
      <c r="L277" s="9" t="n">
        <v>156276</v>
      </c>
      <c r="M277" s="11" t="s">
        <v>52</v>
      </c>
      <c r="N277" s="11" t="s">
        <v>45</v>
      </c>
      <c r="P277" s="9" t="n">
        <v>113</v>
      </c>
      <c r="Q277" s="11" t="s">
        <v>46</v>
      </c>
      <c r="R277" s="11" t="s">
        <v>47</v>
      </c>
      <c r="S277" s="9" t="n">
        <v>1130101</v>
      </c>
      <c r="T277" s="11" t="s">
        <v>48</v>
      </c>
      <c r="U277" s="12" t="n">
        <v>800.9</v>
      </c>
      <c r="W277" s="12" t="n">
        <v>0</v>
      </c>
      <c r="X277" s="11"/>
      <c r="Z277" s="0" t="str">
        <f aca="false">IF($T277="","",IFERROR(INDEX('Resumo Grupos'!$AC$3:$AC$200,MATCH($T277,'Resumo Grupos'!$AB$3:$AB$200,0)),"n/d"))</f>
        <v>Mercadoria</v>
      </c>
      <c r="AA277" s="0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9" t="n">
        <v>2</v>
      </c>
      <c r="B278" s="10" t="n">
        <v>46172</v>
      </c>
      <c r="C278" s="10" t="n">
        <v>46186</v>
      </c>
      <c r="D278" s="9" t="n">
        <v>10019</v>
      </c>
      <c r="E278" s="11" t="s">
        <v>268</v>
      </c>
      <c r="F278" s="9" t="n">
        <v>24</v>
      </c>
      <c r="G278" s="11" t="s">
        <v>51</v>
      </c>
      <c r="H278" s="9" t="n">
        <v>2110101</v>
      </c>
      <c r="I278" s="11" t="s">
        <v>43</v>
      </c>
      <c r="J278" s="9" t="n">
        <v>1176847</v>
      </c>
      <c r="L278" s="9" t="n">
        <v>29829</v>
      </c>
      <c r="M278" s="11" t="s">
        <v>44</v>
      </c>
      <c r="N278" s="11" t="s">
        <v>37</v>
      </c>
      <c r="P278" s="9" t="n">
        <v>113</v>
      </c>
      <c r="Q278" s="11" t="s">
        <v>46</v>
      </c>
      <c r="R278" s="11" t="s">
        <v>47</v>
      </c>
      <c r="S278" s="9" t="n">
        <v>1130101</v>
      </c>
      <c r="T278" s="11" t="s">
        <v>48</v>
      </c>
      <c r="U278" s="12" t="n">
        <v>1598.58</v>
      </c>
      <c r="W278" s="12" t="n">
        <v>0</v>
      </c>
      <c r="X278" s="11" t="s">
        <v>269</v>
      </c>
      <c r="Z278" s="0" t="str">
        <f aca="false">IF($T278="","",IFERROR(INDEX('Resumo Grupos'!$AC$3:$AC$200,MATCH($T278,'Resumo Grupos'!$AB$3:$AB$200,0)),"n/d"))</f>
        <v>Mercadoria</v>
      </c>
      <c r="AA278" s="0" t="str">
        <f aca="false">IF($T278="","",IF(COUNTIF('Resumo Grupos'!$AE$3:$AE$40,$T278)&gt;0,"NAO","SIM"))</f>
        <v>SIM</v>
      </c>
      <c r="AB278" s="0" t="str">
        <f aca="false">IFERROR(INDEX('Mov Entradas (Rel 10497)'!$L:$L,MATCH(AC278,'Mov Entradas (Rel 10497)'!$I:$I,0)),"nao encontrado")</f>
        <v>nao encontrado</v>
      </c>
      <c r="AC278" s="0" t="n">
        <v>29829</v>
      </c>
    </row>
    <row r="279" customFormat="false" ht="36.75" hidden="false" customHeight="true" outlineLevel="0" collapsed="false">
      <c r="A279" s="9" t="n">
        <v>2</v>
      </c>
      <c r="B279" s="10" t="n">
        <v>46181</v>
      </c>
      <c r="C279" s="10" t="n">
        <v>46186</v>
      </c>
      <c r="D279" s="9" t="n">
        <v>1815</v>
      </c>
      <c r="E279" s="11" t="s">
        <v>172</v>
      </c>
      <c r="F279" s="9" t="n">
        <v>24</v>
      </c>
      <c r="G279" s="11" t="s">
        <v>51</v>
      </c>
      <c r="H279" s="9" t="n">
        <v>2110101</v>
      </c>
      <c r="I279" s="11" t="s">
        <v>43</v>
      </c>
      <c r="J279" s="9" t="n">
        <v>1221500</v>
      </c>
      <c r="L279" s="9" t="n">
        <v>385542</v>
      </c>
      <c r="M279" s="11" t="s">
        <v>52</v>
      </c>
      <c r="N279" s="11" t="s">
        <v>37</v>
      </c>
      <c r="P279" s="9" t="n">
        <v>113</v>
      </c>
      <c r="Q279" s="11" t="s">
        <v>46</v>
      </c>
      <c r="R279" s="11" t="s">
        <v>47</v>
      </c>
      <c r="S279" s="9" t="n">
        <v>1130101</v>
      </c>
      <c r="T279" s="11" t="s">
        <v>48</v>
      </c>
      <c r="U279" s="12" t="n">
        <v>524.7</v>
      </c>
      <c r="W279" s="12" t="n">
        <v>0</v>
      </c>
      <c r="X279" s="11" t="s">
        <v>392</v>
      </c>
      <c r="Z279" s="0" t="str">
        <f aca="false">IF($T279="","",IFERROR(INDEX('Resumo Grupos'!$AC$3:$AC$200,MATCH($T279,'Resumo Grupos'!$AB$3:$AB$200,0)),"n/d"))</f>
        <v>Mercadoria</v>
      </c>
      <c r="AA279" s="0" t="str">
        <f aca="false">IF($T279="","",IF(COUNTIF('Resumo Grupos'!$AE$3:$AE$40,$T279)&gt;0,"NAO","SIM"))</f>
        <v>SIM</v>
      </c>
      <c r="AB279" s="0" t="str">
        <f aca="false">IFERROR(INDEX('Mov Entradas (Rel 10497)'!$L:$L,MATCH(AC279,'Mov Entradas (Rel 10497)'!$I:$I,0)),"nao encontrado")</f>
        <v>CARRE SUINO KG</v>
      </c>
      <c r="AC279" s="0" t="n">
        <v>385542</v>
      </c>
    </row>
    <row r="280" customFormat="false" ht="54.75" hidden="false" customHeight="true" outlineLevel="0" collapsed="false">
      <c r="A280" s="9" t="n">
        <v>2</v>
      </c>
      <c r="B280" s="10" t="n">
        <v>46186</v>
      </c>
      <c r="C280" s="10" t="n">
        <v>46186</v>
      </c>
      <c r="D280" s="9" t="n">
        <v>0</v>
      </c>
      <c r="E280" s="11" t="s">
        <v>109</v>
      </c>
      <c r="F280" s="9" t="n">
        <v>17</v>
      </c>
      <c r="G280" s="11" t="s">
        <v>110</v>
      </c>
      <c r="H280" s="9" t="n">
        <v>1110101</v>
      </c>
      <c r="I280" s="11" t="s">
        <v>111</v>
      </c>
      <c r="J280" s="9" t="n">
        <v>1256939</v>
      </c>
      <c r="L280" s="9" t="n">
        <v>1256939</v>
      </c>
      <c r="M280" s="11" t="s">
        <v>52</v>
      </c>
      <c r="N280" s="11" t="s">
        <v>112</v>
      </c>
      <c r="P280" s="9" t="n">
        <v>113</v>
      </c>
      <c r="Q280" s="11" t="s">
        <v>46</v>
      </c>
      <c r="R280" s="11" t="s">
        <v>71</v>
      </c>
      <c r="S280" s="9" t="n">
        <v>4210314</v>
      </c>
      <c r="T280" s="11" t="s">
        <v>113</v>
      </c>
      <c r="U280" s="12" t="n">
        <v>50</v>
      </c>
      <c r="W280" s="12" t="n">
        <v>50</v>
      </c>
      <c r="X280" s="11" t="s">
        <v>368</v>
      </c>
      <c r="Z280" s="0" t="str">
        <f aca="false">IF($T280="","",IFERROR(INDEX('Resumo Grupos'!$AC$3:$AC$200,MATCH($T280,'Resumo Grupos'!$AB$3:$AB$200,0)),"n/d"))</f>
        <v>Despesa</v>
      </c>
      <c r="AA280" s="0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9" t="n">
        <v>2</v>
      </c>
      <c r="B281" s="10" t="n">
        <v>46186</v>
      </c>
      <c r="C281" s="10" t="n">
        <v>46186</v>
      </c>
      <c r="D281" s="9" t="n">
        <v>0</v>
      </c>
      <c r="E281" s="11" t="s">
        <v>109</v>
      </c>
      <c r="F281" s="9" t="n">
        <v>17</v>
      </c>
      <c r="G281" s="11" t="s">
        <v>110</v>
      </c>
      <c r="H281" s="9" t="n">
        <v>1110101</v>
      </c>
      <c r="I281" s="11" t="s">
        <v>111</v>
      </c>
      <c r="J281" s="9" t="n">
        <v>1256940</v>
      </c>
      <c r="L281" s="9" t="n">
        <v>1256940</v>
      </c>
      <c r="M281" s="11" t="s">
        <v>52</v>
      </c>
      <c r="N281" s="11" t="s">
        <v>112</v>
      </c>
      <c r="P281" s="9" t="n">
        <v>113</v>
      </c>
      <c r="Q281" s="11" t="s">
        <v>46</v>
      </c>
      <c r="R281" s="11" t="s">
        <v>71</v>
      </c>
      <c r="S281" s="9" t="n">
        <v>4210314</v>
      </c>
      <c r="T281" s="11" t="s">
        <v>113</v>
      </c>
      <c r="U281" s="12" t="n">
        <v>50</v>
      </c>
      <c r="W281" s="12" t="n">
        <v>50</v>
      </c>
      <c r="X281" s="11" t="s">
        <v>187</v>
      </c>
      <c r="Z281" s="0" t="str">
        <f aca="false">IF($T281="","",IFERROR(INDEX('Resumo Grupos'!$AC$3:$AC$200,MATCH($T281,'Resumo Grupos'!$AB$3:$AB$200,0)),"n/d"))</f>
        <v>Despesa</v>
      </c>
      <c r="AA281" s="0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9" t="n">
        <v>2</v>
      </c>
      <c r="B282" s="10" t="n">
        <v>46186</v>
      </c>
      <c r="C282" s="10" t="n">
        <v>46186</v>
      </c>
      <c r="D282" s="9" t="n">
        <v>0</v>
      </c>
      <c r="E282" s="11" t="s">
        <v>109</v>
      </c>
      <c r="F282" s="9" t="n">
        <v>17</v>
      </c>
      <c r="G282" s="11" t="s">
        <v>110</v>
      </c>
      <c r="H282" s="9" t="n">
        <v>1110101</v>
      </c>
      <c r="I282" s="11" t="s">
        <v>111</v>
      </c>
      <c r="J282" s="9" t="n">
        <v>1361190</v>
      </c>
      <c r="L282" s="9" t="n">
        <v>1361190</v>
      </c>
      <c r="M282" s="11" t="s">
        <v>52</v>
      </c>
      <c r="N282" s="11" t="s">
        <v>112</v>
      </c>
      <c r="P282" s="9" t="n">
        <v>113</v>
      </c>
      <c r="Q282" s="11" t="s">
        <v>46</v>
      </c>
      <c r="R282" s="11" t="s">
        <v>116</v>
      </c>
      <c r="S282" s="9" t="n">
        <v>1110203</v>
      </c>
      <c r="T282" s="11" t="s">
        <v>117</v>
      </c>
      <c r="U282" s="12" t="n">
        <v>2650</v>
      </c>
      <c r="W282" s="12" t="n">
        <v>2650</v>
      </c>
      <c r="X282" s="11" t="s">
        <v>393</v>
      </c>
      <c r="Z282" s="0" t="str">
        <f aca="false">IF($T282="","",IFERROR(INDEX('Resumo Grupos'!$AC$3:$AC$200,MATCH($T282,'Resumo Grupos'!$AB$3:$AB$200,0)),"n/d"))</f>
        <v>Despesa</v>
      </c>
      <c r="AA282" s="0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9" t="n">
        <v>2</v>
      </c>
      <c r="B283" s="10" t="n">
        <v>46183</v>
      </c>
      <c r="C283" s="10" t="n">
        <v>46187</v>
      </c>
      <c r="D283" s="9" t="n">
        <v>821</v>
      </c>
      <c r="E283" s="11" t="s">
        <v>394</v>
      </c>
      <c r="F283" s="9" t="n">
        <v>24</v>
      </c>
      <c r="G283" s="11" t="s">
        <v>51</v>
      </c>
      <c r="H283" s="9" t="n">
        <v>2110101</v>
      </c>
      <c r="I283" s="11" t="s">
        <v>43</v>
      </c>
      <c r="J283" s="9" t="n">
        <v>1232234</v>
      </c>
      <c r="L283" s="9" t="n">
        <v>164071</v>
      </c>
      <c r="M283" s="11" t="s">
        <v>52</v>
      </c>
      <c r="N283" s="11" t="s">
        <v>45</v>
      </c>
      <c r="P283" s="9" t="n">
        <v>113</v>
      </c>
      <c r="Q283" s="11" t="s">
        <v>46</v>
      </c>
      <c r="R283" s="11" t="s">
        <v>47</v>
      </c>
      <c r="S283" s="9" t="n">
        <v>1130101</v>
      </c>
      <c r="T283" s="11" t="s">
        <v>48</v>
      </c>
      <c r="U283" s="12" t="n">
        <v>288</v>
      </c>
      <c r="W283" s="12" t="n">
        <v>0</v>
      </c>
      <c r="X283" s="11" t="s">
        <v>395</v>
      </c>
      <c r="Z283" s="0" t="str">
        <f aca="false">IF($T283="","",IFERROR(INDEX('Resumo Grupos'!$AC$3:$AC$200,MATCH($T283,'Resumo Grupos'!$AB$3:$AB$200,0)),"n/d"))</f>
        <v>Mercadoria</v>
      </c>
      <c r="AA283" s="0" t="str">
        <f aca="false">IF($T283="","",IF(COUNTIF('Resumo Grupos'!$AE$3:$AE$40,$T283)&gt;0,"NAO","SIM"))</f>
        <v>SIM</v>
      </c>
      <c r="AB283" s="0" t="str">
        <f aca="false">IFERROR(INDEX('Mov Entradas (Rel 10497)'!$L:$L,MATCH(AC283,'Mov Entradas (Rel 10497)'!$I:$I,0)),"nao encontrado")</f>
        <v>CACH CAB ICE 275ML</v>
      </c>
      <c r="AC283" s="0" t="n">
        <v>459236</v>
      </c>
    </row>
    <row r="284" customFormat="false" ht="54.75" hidden="false" customHeight="true" outlineLevel="0" collapsed="false">
      <c r="A284" s="9" t="n">
        <v>2</v>
      </c>
      <c r="B284" s="10" t="n">
        <v>46174</v>
      </c>
      <c r="C284" s="10" t="n">
        <v>46187</v>
      </c>
      <c r="D284" s="9" t="n">
        <v>1705</v>
      </c>
      <c r="E284" s="11" t="s">
        <v>130</v>
      </c>
      <c r="F284" s="9" t="n">
        <v>24</v>
      </c>
      <c r="G284" s="11" t="s">
        <v>51</v>
      </c>
      <c r="H284" s="9" t="n">
        <v>2110101</v>
      </c>
      <c r="I284" s="11" t="s">
        <v>43</v>
      </c>
      <c r="J284" s="9" t="n">
        <v>1188049</v>
      </c>
      <c r="L284" s="9" t="n">
        <v>1858412</v>
      </c>
      <c r="M284" s="11" t="s">
        <v>52</v>
      </c>
      <c r="N284" s="11" t="s">
        <v>37</v>
      </c>
      <c r="P284" s="9" t="n">
        <v>113</v>
      </c>
      <c r="Q284" s="11" t="s">
        <v>46</v>
      </c>
      <c r="R284" s="11" t="s">
        <v>47</v>
      </c>
      <c r="S284" s="9" t="n">
        <v>1130101</v>
      </c>
      <c r="T284" s="11" t="s">
        <v>48</v>
      </c>
      <c r="U284" s="12" t="n">
        <v>225.8</v>
      </c>
      <c r="W284" s="12" t="n">
        <v>0</v>
      </c>
      <c r="X284" s="11" t="s">
        <v>396</v>
      </c>
      <c r="Z284" s="0" t="str">
        <f aca="false">IF($T284="","",IFERROR(INDEX('Resumo Grupos'!$AC$3:$AC$200,MATCH($T284,'Resumo Grupos'!$AB$3:$AB$200,0)),"n/d"))</f>
        <v>Mercadoria</v>
      </c>
      <c r="AA284" s="0" t="str">
        <f aca="false">IF($T284="","",IF(COUNTIF('Resumo Grupos'!$AE$3:$AE$40,$T284)&gt;0,"NAO","SIM"))</f>
        <v>SIM</v>
      </c>
      <c r="AB284" s="0" t="str">
        <f aca="false">IFERROR(INDEX('Mov Entradas (Rel 10497)'!$L:$L,MATCH(AC284,'Mov Entradas (Rel 10497)'!$I:$I,0)),"nao encontrado")</f>
        <v>COCA ZERO 2,5 LTS</v>
      </c>
      <c r="AC284" s="0" t="n">
        <v>1858412</v>
      </c>
    </row>
    <row r="285" customFormat="false" ht="54.75" hidden="false" customHeight="true" outlineLevel="0" collapsed="false">
      <c r="A285" s="9" t="n">
        <v>2</v>
      </c>
      <c r="B285" s="10" t="n">
        <v>46174</v>
      </c>
      <c r="C285" s="10" t="n">
        <v>46187</v>
      </c>
      <c r="D285" s="9" t="n">
        <v>1705</v>
      </c>
      <c r="E285" s="11" t="s">
        <v>130</v>
      </c>
      <c r="F285" s="9" t="n">
        <v>24</v>
      </c>
      <c r="G285" s="11" t="s">
        <v>51</v>
      </c>
      <c r="H285" s="9" t="n">
        <v>2110101</v>
      </c>
      <c r="I285" s="11" t="s">
        <v>43</v>
      </c>
      <c r="J285" s="9" t="n">
        <v>1188052</v>
      </c>
      <c r="L285" s="9" t="n">
        <v>1143885</v>
      </c>
      <c r="M285" s="11" t="s">
        <v>52</v>
      </c>
      <c r="N285" s="11" t="s">
        <v>37</v>
      </c>
      <c r="P285" s="9" t="n">
        <v>113</v>
      </c>
      <c r="Q285" s="11" t="s">
        <v>46</v>
      </c>
      <c r="R285" s="11" t="s">
        <v>47</v>
      </c>
      <c r="S285" s="9" t="n">
        <v>1130101</v>
      </c>
      <c r="T285" s="11" t="s">
        <v>48</v>
      </c>
      <c r="U285" s="12" t="n">
        <v>305.12</v>
      </c>
      <c r="W285" s="12" t="n">
        <v>0</v>
      </c>
      <c r="X285" s="11" t="s">
        <v>397</v>
      </c>
      <c r="Z285" s="0" t="str">
        <f aca="false">IF($T285="","",IFERROR(INDEX('Resumo Grupos'!$AC$3:$AC$200,MATCH($T285,'Resumo Grupos'!$AB$3:$AB$200,0)),"n/d"))</f>
        <v>Mercadoria</v>
      </c>
      <c r="AA285" s="0" t="str">
        <f aca="false">IF($T285="","",IF(COUNTIF('Resumo Grupos'!$AE$3:$AE$40,$T285)&gt;0,"NAO","SIM"))</f>
        <v>SIM</v>
      </c>
      <c r="AB285" s="0" t="str">
        <f aca="false">IFERROR(INDEX('Mov Entradas (Rel 10497)'!$L:$L,MATCH(AC285,'Mov Entradas (Rel 10497)'!$I:$I,0)),"nao encontrado")</f>
        <v>MONSTER ENERGY 473ML</v>
      </c>
      <c r="AC285" s="0" t="n">
        <v>1143885</v>
      </c>
    </row>
    <row r="286" customFormat="false" ht="54.75" hidden="false" customHeight="true" outlineLevel="0" collapsed="false">
      <c r="A286" s="9" t="n">
        <v>2</v>
      </c>
      <c r="B286" s="10" t="n">
        <v>46174</v>
      </c>
      <c r="C286" s="10" t="n">
        <v>46187</v>
      </c>
      <c r="D286" s="9" t="n">
        <v>1705</v>
      </c>
      <c r="E286" s="11" t="s">
        <v>130</v>
      </c>
      <c r="F286" s="9" t="n">
        <v>24</v>
      </c>
      <c r="G286" s="11" t="s">
        <v>51</v>
      </c>
      <c r="H286" s="9" t="n">
        <v>2110101</v>
      </c>
      <c r="I286" s="11" t="s">
        <v>43</v>
      </c>
      <c r="J286" s="9" t="n">
        <v>1188075</v>
      </c>
      <c r="L286" s="9" t="n">
        <v>158221</v>
      </c>
      <c r="M286" s="11" t="s">
        <v>52</v>
      </c>
      <c r="N286" s="11" t="s">
        <v>45</v>
      </c>
      <c r="P286" s="9" t="n">
        <v>113</v>
      </c>
      <c r="Q286" s="11" t="s">
        <v>46</v>
      </c>
      <c r="R286" s="11" t="s">
        <v>47</v>
      </c>
      <c r="S286" s="9" t="n">
        <v>1130101</v>
      </c>
      <c r="T286" s="11" t="s">
        <v>48</v>
      </c>
      <c r="U286" s="12" t="n">
        <v>323.34</v>
      </c>
      <c r="W286" s="12" t="n">
        <v>0</v>
      </c>
      <c r="X286" s="11" t="s">
        <v>398</v>
      </c>
      <c r="Z286" s="0" t="str">
        <f aca="false">IF($T286="","",IFERROR(INDEX('Resumo Grupos'!$AC$3:$AC$200,MATCH($T286,'Resumo Grupos'!$AB$3:$AB$200,0)),"n/d"))</f>
        <v>Mercadoria</v>
      </c>
      <c r="AA286" s="0" t="str">
        <f aca="false">IF($T286="","",IF(COUNTIF('Resumo Grupos'!$AE$3:$AE$40,$T286)&gt;0,"NAO","SIM"))</f>
        <v>SIM</v>
      </c>
      <c r="AB286" s="0" t="str">
        <f aca="false">IFERROR(INDEX('Mov Entradas (Rel 10497)'!$L:$L,MATCH(AC286,'Mov Entradas (Rel 10497)'!$I:$I,0)),"nao encontrado")</f>
        <v>REFR COCA COLA 200ML</v>
      </c>
      <c r="AC286" s="0" t="n">
        <v>1857569</v>
      </c>
    </row>
    <row r="287" customFormat="false" ht="36.75" hidden="false" customHeight="true" outlineLevel="0" collapsed="false">
      <c r="A287" s="9" t="n">
        <v>2</v>
      </c>
      <c r="B287" s="10" t="n">
        <v>46167</v>
      </c>
      <c r="C287" s="10" t="n">
        <v>46187</v>
      </c>
      <c r="D287" s="9" t="n">
        <v>10011</v>
      </c>
      <c r="E287" s="11" t="s">
        <v>349</v>
      </c>
      <c r="F287" s="9" t="n">
        <v>24</v>
      </c>
      <c r="G287" s="11" t="s">
        <v>51</v>
      </c>
      <c r="H287" s="9" t="n">
        <v>2110101</v>
      </c>
      <c r="I287" s="11" t="s">
        <v>43</v>
      </c>
      <c r="J287" s="9" t="n">
        <v>1151538</v>
      </c>
      <c r="L287" s="9" t="n">
        <v>33745</v>
      </c>
      <c r="M287" s="11" t="s">
        <v>52</v>
      </c>
      <c r="N287" s="11" t="s">
        <v>37</v>
      </c>
      <c r="P287" s="9" t="n">
        <v>113</v>
      </c>
      <c r="Q287" s="11" t="s">
        <v>46</v>
      </c>
      <c r="R287" s="11" t="s">
        <v>47</v>
      </c>
      <c r="S287" s="9" t="n">
        <v>1130101</v>
      </c>
      <c r="T287" s="11" t="s">
        <v>48</v>
      </c>
      <c r="U287" s="12" t="n">
        <v>938.26</v>
      </c>
      <c r="W287" s="12" t="n">
        <v>0</v>
      </c>
      <c r="X287" s="11" t="s">
        <v>399</v>
      </c>
      <c r="Z287" s="0" t="str">
        <f aca="false">IF($T287="","",IFERROR(INDEX('Resumo Grupos'!$AC$3:$AC$200,MATCH($T287,'Resumo Grupos'!$AB$3:$AB$200,0)),"n/d"))</f>
        <v>Mercadoria</v>
      </c>
      <c r="AA287" s="0" t="str">
        <f aca="false">IF($T287="","",IF(COUNTIF('Resumo Grupos'!$AE$3:$AE$40,$T287)&gt;0,"NAO","SIM"))</f>
        <v>SIM</v>
      </c>
      <c r="AB287" s="0" t="str">
        <f aca="false">IFERROR(INDEX('Mov Entradas (Rel 10497)'!$L:$L,MATCH(AC287,'Mov Entradas (Rel 10497)'!$I:$I,0)),"nao encontrado")</f>
        <v>nao encontrado</v>
      </c>
      <c r="AC287" s="0" t="n">
        <v>33745</v>
      </c>
    </row>
    <row r="288" customFormat="false" ht="63.75" hidden="false" customHeight="true" outlineLevel="0" collapsed="false">
      <c r="A288" s="9" t="n">
        <v>2</v>
      </c>
      <c r="B288" s="10" t="n">
        <v>46187</v>
      </c>
      <c r="C288" s="10" t="n">
        <v>46187</v>
      </c>
      <c r="D288" s="9" t="n">
        <v>0</v>
      </c>
      <c r="E288" s="11" t="s">
        <v>109</v>
      </c>
      <c r="F288" s="9" t="n">
        <v>17</v>
      </c>
      <c r="G288" s="11" t="s">
        <v>110</v>
      </c>
      <c r="H288" s="9" t="n">
        <v>1110101</v>
      </c>
      <c r="I288" s="11" t="s">
        <v>111</v>
      </c>
      <c r="J288" s="9" t="n">
        <v>1256952</v>
      </c>
      <c r="L288" s="9" t="n">
        <v>1256952</v>
      </c>
      <c r="M288" s="11" t="s">
        <v>52</v>
      </c>
      <c r="N288" s="11" t="s">
        <v>112</v>
      </c>
      <c r="P288" s="9" t="n">
        <v>113</v>
      </c>
      <c r="Q288" s="11" t="s">
        <v>46</v>
      </c>
      <c r="R288" s="11" t="s">
        <v>71</v>
      </c>
      <c r="S288" s="9" t="n">
        <v>4210310</v>
      </c>
      <c r="T288" s="11" t="s">
        <v>126</v>
      </c>
      <c r="U288" s="12" t="n">
        <v>90</v>
      </c>
      <c r="W288" s="12" t="n">
        <v>90</v>
      </c>
      <c r="X288" s="11" t="s">
        <v>283</v>
      </c>
      <c r="Z288" s="0" t="str">
        <f aca="false">IF($T288="","",IFERROR(INDEX('Resumo Grupos'!$AC$3:$AC$200,MATCH($T288,'Resumo Grupos'!$AB$3:$AB$200,0)),"n/d"))</f>
        <v>Despesa</v>
      </c>
      <c r="AA288" s="0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9" t="n">
        <v>2</v>
      </c>
      <c r="B289" s="10" t="n">
        <v>46187</v>
      </c>
      <c r="C289" s="10" t="n">
        <v>46187</v>
      </c>
      <c r="D289" s="9" t="n">
        <v>0</v>
      </c>
      <c r="E289" s="11" t="s">
        <v>109</v>
      </c>
      <c r="F289" s="9" t="n">
        <v>17</v>
      </c>
      <c r="G289" s="11" t="s">
        <v>110</v>
      </c>
      <c r="H289" s="9" t="n">
        <v>1110101</v>
      </c>
      <c r="I289" s="11" t="s">
        <v>111</v>
      </c>
      <c r="J289" s="9" t="n">
        <v>1256954</v>
      </c>
      <c r="L289" s="9" t="n">
        <v>1256954</v>
      </c>
      <c r="M289" s="11" t="s">
        <v>52</v>
      </c>
      <c r="N289" s="11" t="s">
        <v>112</v>
      </c>
      <c r="P289" s="9" t="n">
        <v>113</v>
      </c>
      <c r="Q289" s="11" t="s">
        <v>46</v>
      </c>
      <c r="R289" s="11" t="s">
        <v>71</v>
      </c>
      <c r="S289" s="9" t="n">
        <v>4210314</v>
      </c>
      <c r="T289" s="11" t="s">
        <v>113</v>
      </c>
      <c r="U289" s="12" t="n">
        <v>70</v>
      </c>
      <c r="W289" s="12" t="n">
        <v>70</v>
      </c>
      <c r="X289" s="11" t="s">
        <v>400</v>
      </c>
      <c r="Z289" s="0" t="str">
        <f aca="false">IF($T289="","",IFERROR(INDEX('Resumo Grupos'!$AC$3:$AC$200,MATCH($T289,'Resumo Grupos'!$AB$3:$AB$200,0)),"n/d"))</f>
        <v>Despesa</v>
      </c>
      <c r="AA289" s="0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9" t="n">
        <v>2</v>
      </c>
      <c r="B290" s="10" t="n">
        <v>46187</v>
      </c>
      <c r="C290" s="10" t="n">
        <v>46187</v>
      </c>
      <c r="D290" s="9" t="n">
        <v>0</v>
      </c>
      <c r="E290" s="11" t="s">
        <v>109</v>
      </c>
      <c r="F290" s="9" t="n">
        <v>17</v>
      </c>
      <c r="G290" s="11" t="s">
        <v>110</v>
      </c>
      <c r="H290" s="9" t="n">
        <v>1110101</v>
      </c>
      <c r="I290" s="11" t="s">
        <v>111</v>
      </c>
      <c r="J290" s="9" t="n">
        <v>1361197</v>
      </c>
      <c r="L290" s="9" t="n">
        <v>1361197</v>
      </c>
      <c r="M290" s="11" t="s">
        <v>52</v>
      </c>
      <c r="N290" s="11" t="s">
        <v>112</v>
      </c>
      <c r="P290" s="9" t="n">
        <v>113</v>
      </c>
      <c r="Q290" s="11" t="s">
        <v>46</v>
      </c>
      <c r="R290" s="11" t="s">
        <v>116</v>
      </c>
      <c r="S290" s="9" t="n">
        <v>1110203</v>
      </c>
      <c r="T290" s="11" t="s">
        <v>117</v>
      </c>
      <c r="U290" s="12" t="n">
        <v>2150</v>
      </c>
      <c r="W290" s="12" t="n">
        <v>2150</v>
      </c>
      <c r="X290" s="11" t="s">
        <v>401</v>
      </c>
      <c r="Z290" s="0" t="str">
        <f aca="false">IF($T290="","",IFERROR(INDEX('Resumo Grupos'!$AC$3:$AC$200,MATCH($T290,'Resumo Grupos'!$AB$3:$AB$200,0)),"n/d"))</f>
        <v>Despesa</v>
      </c>
      <c r="AA290" s="0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9" t="n">
        <v>2</v>
      </c>
      <c r="B291" s="10" t="n">
        <v>46188</v>
      </c>
      <c r="C291" s="10" t="n">
        <v>46188</v>
      </c>
      <c r="D291" s="9" t="n">
        <v>52</v>
      </c>
      <c r="E291" s="11" t="s">
        <v>219</v>
      </c>
      <c r="F291" s="9" t="n">
        <v>34</v>
      </c>
      <c r="G291" s="11" t="s">
        <v>55</v>
      </c>
      <c r="H291" s="9" t="n">
        <v>2110405</v>
      </c>
      <c r="I291" s="11" t="s">
        <v>56</v>
      </c>
      <c r="J291" s="9" t="n">
        <v>1257006</v>
      </c>
      <c r="L291" s="9" t="n">
        <v>167613</v>
      </c>
      <c r="M291" s="11" t="s">
        <v>52</v>
      </c>
      <c r="N291" s="11" t="s">
        <v>45</v>
      </c>
      <c r="P291" s="9" t="n">
        <v>113</v>
      </c>
      <c r="Q291" s="11" t="s">
        <v>46</v>
      </c>
      <c r="R291" s="11" t="s">
        <v>71</v>
      </c>
      <c r="S291" s="9" t="n">
        <v>4210301</v>
      </c>
      <c r="T291" s="11" t="s">
        <v>220</v>
      </c>
      <c r="U291" s="12" t="n">
        <v>200</v>
      </c>
      <c r="W291" s="12" t="n">
        <v>0</v>
      </c>
      <c r="X291" s="11" t="s">
        <v>402</v>
      </c>
      <c r="Z291" s="0" t="str">
        <f aca="false">IF($T291="","",IFERROR(INDEX('Resumo Grupos'!$AC$3:$AC$200,MATCH($T291,'Resumo Grupos'!$AB$3:$AB$200,0)),"n/d"))</f>
        <v>Salários</v>
      </c>
      <c r="AA291" s="0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9" t="n">
        <v>2</v>
      </c>
      <c r="B292" s="10" t="n">
        <v>46184</v>
      </c>
      <c r="C292" s="10" t="n">
        <v>46188</v>
      </c>
      <c r="D292" s="9" t="n">
        <v>1695</v>
      </c>
      <c r="E292" s="11" t="s">
        <v>390</v>
      </c>
      <c r="F292" s="9" t="n">
        <v>34</v>
      </c>
      <c r="G292" s="11" t="s">
        <v>55</v>
      </c>
      <c r="H292" s="9" t="n">
        <v>2110101</v>
      </c>
      <c r="I292" s="11" t="s">
        <v>43</v>
      </c>
      <c r="J292" s="9" t="n">
        <v>1236975</v>
      </c>
      <c r="L292" s="9" t="n">
        <v>164826</v>
      </c>
      <c r="M292" s="11" t="s">
        <v>52</v>
      </c>
      <c r="N292" s="11" t="s">
        <v>45</v>
      </c>
      <c r="P292" s="9" t="n">
        <v>113</v>
      </c>
      <c r="Q292" s="11" t="s">
        <v>46</v>
      </c>
      <c r="R292" s="11" t="s">
        <v>47</v>
      </c>
      <c r="S292" s="9" t="n">
        <v>1130101</v>
      </c>
      <c r="T292" s="11" t="s">
        <v>48</v>
      </c>
      <c r="U292" s="12" t="n">
        <v>156.6</v>
      </c>
      <c r="W292" s="12" t="n">
        <v>0</v>
      </c>
      <c r="X292" s="11" t="s">
        <v>403</v>
      </c>
      <c r="Z292" s="0" t="str">
        <f aca="false">IF($T292="","",IFERROR(INDEX('Resumo Grupos'!$AC$3:$AC$200,MATCH($T292,'Resumo Grupos'!$AB$3:$AB$200,0)),"n/d"))</f>
        <v>Mercadoria</v>
      </c>
      <c r="AA292" s="0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9" t="n">
        <v>2</v>
      </c>
      <c r="B293" s="10" t="n">
        <v>46181</v>
      </c>
      <c r="C293" s="10" t="n">
        <v>46188</v>
      </c>
      <c r="D293" s="9" t="n">
        <v>1723</v>
      </c>
      <c r="E293" s="11" t="s">
        <v>371</v>
      </c>
      <c r="F293" s="9" t="n">
        <v>24</v>
      </c>
      <c r="G293" s="11" t="s">
        <v>51</v>
      </c>
      <c r="H293" s="9" t="n">
        <v>2110101</v>
      </c>
      <c r="I293" s="11" t="s">
        <v>43</v>
      </c>
      <c r="J293" s="9" t="n">
        <v>1221695</v>
      </c>
      <c r="L293" s="9" t="n">
        <v>171066</v>
      </c>
      <c r="M293" s="11" t="s">
        <v>52</v>
      </c>
      <c r="N293" s="11" t="s">
        <v>37</v>
      </c>
      <c r="P293" s="9" t="n">
        <v>113</v>
      </c>
      <c r="Q293" s="11" t="s">
        <v>46</v>
      </c>
      <c r="R293" s="11" t="s">
        <v>47</v>
      </c>
      <c r="S293" s="9" t="n">
        <v>1130101</v>
      </c>
      <c r="T293" s="11" t="s">
        <v>48</v>
      </c>
      <c r="U293" s="12" t="n">
        <v>1068</v>
      </c>
      <c r="W293" s="12" t="n">
        <v>0</v>
      </c>
      <c r="X293" s="11" t="s">
        <v>404</v>
      </c>
      <c r="Z293" s="0" t="str">
        <f aca="false">IF($T293="","",IFERROR(INDEX('Resumo Grupos'!$AC$3:$AC$200,MATCH($T293,'Resumo Grupos'!$AB$3:$AB$200,0)),"n/d"))</f>
        <v>Mercadoria</v>
      </c>
      <c r="AA293" s="0" t="str">
        <f aca="false">IF($T293="","",IF(COUNTIF('Resumo Grupos'!$AE$3:$AE$40,$T293)&gt;0,"NAO","SIM"))</f>
        <v>SIM</v>
      </c>
      <c r="AB293" s="0" t="str">
        <f aca="false">IFERROR(INDEX('Mov Entradas (Rel 10497)'!$L:$L,MATCH(AC293,'Mov Entradas (Rel 10497)'!$I:$I,0)),"nao encontrado")</f>
        <v>TRASEIRO DE BOI - BISTECA</v>
      </c>
      <c r="AC293" s="0" t="n">
        <v>171066</v>
      </c>
    </row>
    <row r="294" customFormat="false" ht="36.75" hidden="false" customHeight="true" outlineLevel="0" collapsed="false">
      <c r="A294" s="9" t="n">
        <v>2</v>
      </c>
      <c r="B294" s="10" t="n">
        <v>46181</v>
      </c>
      <c r="C294" s="10" t="n">
        <v>46188</v>
      </c>
      <c r="D294" s="9" t="n">
        <v>1608</v>
      </c>
      <c r="E294" s="11" t="s">
        <v>240</v>
      </c>
      <c r="F294" s="9" t="n">
        <v>24</v>
      </c>
      <c r="G294" s="11" t="s">
        <v>51</v>
      </c>
      <c r="H294" s="9" t="n">
        <v>2110101</v>
      </c>
      <c r="I294" s="11" t="s">
        <v>43</v>
      </c>
      <c r="J294" s="9" t="n">
        <v>1221613</v>
      </c>
      <c r="L294" s="9" t="n">
        <v>1668916</v>
      </c>
      <c r="M294" s="11" t="s">
        <v>52</v>
      </c>
      <c r="N294" s="11" t="s">
        <v>37</v>
      </c>
      <c r="P294" s="9" t="n">
        <v>113</v>
      </c>
      <c r="Q294" s="11" t="s">
        <v>46</v>
      </c>
      <c r="R294" s="11" t="s">
        <v>47</v>
      </c>
      <c r="S294" s="9" t="n">
        <v>1130101</v>
      </c>
      <c r="T294" s="11" t="s">
        <v>48</v>
      </c>
      <c r="U294" s="12" t="n">
        <v>333.54</v>
      </c>
      <c r="W294" s="12" t="n">
        <v>0</v>
      </c>
      <c r="X294" s="11" t="s">
        <v>405</v>
      </c>
      <c r="Z294" s="0" t="str">
        <f aca="false">IF($T294="","",IFERROR(INDEX('Resumo Grupos'!$AC$3:$AC$200,MATCH($T294,'Resumo Grupos'!$AB$3:$AB$200,0)),"n/d"))</f>
        <v>Mercadoria</v>
      </c>
      <c r="AA294" s="0" t="str">
        <f aca="false">IF($T294="","",IF(COUNTIF('Resumo Grupos'!$AE$3:$AE$40,$T294)&gt;0,"NAO","SIM"))</f>
        <v>SIM</v>
      </c>
      <c r="AB294" s="0" t="str">
        <f aca="false">IFERROR(INDEX('Mov Entradas (Rel 10497)'!$L:$L,MATCH(AC294,'Mov Entradas (Rel 10497)'!$I:$I,0)),"nao encontrado")</f>
        <v>DANONE GREGO UNID FR</v>
      </c>
      <c r="AC294" s="0" t="n">
        <v>1668916</v>
      </c>
    </row>
    <row r="295" customFormat="false" ht="36.75" hidden="false" customHeight="true" outlineLevel="0" collapsed="false">
      <c r="A295" s="9" t="n">
        <v>2</v>
      </c>
      <c r="B295" s="10" t="n">
        <v>46163</v>
      </c>
      <c r="C295" s="10" t="n">
        <v>46188</v>
      </c>
      <c r="D295" s="9" t="n">
        <v>1636</v>
      </c>
      <c r="E295" s="11" t="s">
        <v>61</v>
      </c>
      <c r="F295" s="9" t="n">
        <v>24</v>
      </c>
      <c r="G295" s="11" t="s">
        <v>51</v>
      </c>
      <c r="H295" s="9" t="n">
        <v>2110101</v>
      </c>
      <c r="I295" s="11" t="s">
        <v>43</v>
      </c>
      <c r="J295" s="9" t="n">
        <v>1131617</v>
      </c>
      <c r="L295" s="9" t="n">
        <v>150121</v>
      </c>
      <c r="M295" s="11" t="s">
        <v>52</v>
      </c>
      <c r="N295" s="11" t="s">
        <v>45</v>
      </c>
      <c r="P295" s="9" t="n">
        <v>113</v>
      </c>
      <c r="Q295" s="11" t="s">
        <v>46</v>
      </c>
      <c r="R295" s="11" t="s">
        <v>47</v>
      </c>
      <c r="S295" s="9" t="n">
        <v>1130101</v>
      </c>
      <c r="T295" s="11" t="s">
        <v>48</v>
      </c>
      <c r="U295" s="12" t="n">
        <v>391.4</v>
      </c>
      <c r="W295" s="12" t="n">
        <v>0</v>
      </c>
      <c r="X295" s="11" t="s">
        <v>62</v>
      </c>
      <c r="Z295" s="0" t="str">
        <f aca="false">IF($T295="","",IFERROR(INDEX('Resumo Grupos'!$AC$3:$AC$200,MATCH($T295,'Resumo Grupos'!$AB$3:$AB$200,0)),"n/d"))</f>
        <v>Mercadoria</v>
      </c>
      <c r="AA295" s="0" t="str">
        <f aca="false">IF($T295="","",IF(COUNTIF('Resumo Grupos'!$AE$3:$AE$40,$T295)&gt;0,"NAO","SIM"))</f>
        <v>SIM</v>
      </c>
      <c r="AB295" s="0" t="str">
        <f aca="false">IFERROR(INDEX('Mov Entradas (Rel 10497)'!$L:$L,MATCH(AC295,'Mov Entradas (Rel 10497)'!$I:$I,0)),"nao encontrado")</f>
        <v>nao encontrado</v>
      </c>
      <c r="AC295" s="0" t="n">
        <v>3188783</v>
      </c>
    </row>
    <row r="296" customFormat="false" ht="36.75" hidden="false" customHeight="true" outlineLevel="0" collapsed="false">
      <c r="A296" s="9" t="n">
        <v>2</v>
      </c>
      <c r="B296" s="10" t="n">
        <v>46163</v>
      </c>
      <c r="C296" s="10" t="n">
        <v>46188</v>
      </c>
      <c r="D296" s="9" t="n">
        <v>1636</v>
      </c>
      <c r="E296" s="11" t="s">
        <v>61</v>
      </c>
      <c r="F296" s="9" t="n">
        <v>24</v>
      </c>
      <c r="G296" s="11" t="s">
        <v>51</v>
      </c>
      <c r="H296" s="9" t="n">
        <v>2110101</v>
      </c>
      <c r="I296" s="11" t="s">
        <v>43</v>
      </c>
      <c r="J296" s="9" t="n">
        <v>1131772</v>
      </c>
      <c r="L296" s="9" t="n">
        <v>150161</v>
      </c>
      <c r="M296" s="11" t="s">
        <v>52</v>
      </c>
      <c r="N296" s="11" t="s">
        <v>45</v>
      </c>
      <c r="P296" s="9" t="n">
        <v>113</v>
      </c>
      <c r="Q296" s="11" t="s">
        <v>46</v>
      </c>
      <c r="R296" s="11" t="s">
        <v>47</v>
      </c>
      <c r="S296" s="9" t="n">
        <v>1130101</v>
      </c>
      <c r="T296" s="11" t="s">
        <v>48</v>
      </c>
      <c r="U296" s="12" t="n">
        <v>1562.27</v>
      </c>
      <c r="W296" s="12" t="n">
        <v>0</v>
      </c>
      <c r="X296" s="11" t="s">
        <v>63</v>
      </c>
      <c r="Z296" s="0" t="str">
        <f aca="false">IF($T296="","",IFERROR(INDEX('Resumo Grupos'!$AC$3:$AC$200,MATCH($T296,'Resumo Grupos'!$AB$3:$AB$200,0)),"n/d"))</f>
        <v>Mercadoria</v>
      </c>
      <c r="AA296" s="0" t="str">
        <f aca="false">IF($T296="","",IF(COUNTIF('Resumo Grupos'!$AE$3:$AE$40,$T296)&gt;0,"NAO","SIM"))</f>
        <v>SIM</v>
      </c>
      <c r="AB296" s="0" t="str">
        <f aca="false">IFERROR(INDEX('Mov Entradas (Rel 10497)'!$L:$L,MATCH(AC296,'Mov Entradas (Rel 10497)'!$I:$I,0)),"nao encontrado")</f>
        <v>nao encontrado</v>
      </c>
      <c r="AC296" s="0" t="n">
        <v>3188782</v>
      </c>
    </row>
    <row r="297" customFormat="false" ht="36.75" hidden="false" customHeight="true" outlineLevel="0" collapsed="false">
      <c r="A297" s="9" t="n">
        <v>2</v>
      </c>
      <c r="B297" s="10" t="n">
        <v>46174</v>
      </c>
      <c r="C297" s="10" t="n">
        <v>46188</v>
      </c>
      <c r="D297" s="9" t="n">
        <v>1683</v>
      </c>
      <c r="E297" s="11" t="s">
        <v>406</v>
      </c>
      <c r="F297" s="9" t="n">
        <v>34</v>
      </c>
      <c r="G297" s="11" t="s">
        <v>55</v>
      </c>
      <c r="H297" s="9" t="n">
        <v>2110101</v>
      </c>
      <c r="I297" s="11" t="s">
        <v>43</v>
      </c>
      <c r="J297" s="9" t="n">
        <v>1187101</v>
      </c>
      <c r="L297" s="9" t="n">
        <v>1624511</v>
      </c>
      <c r="M297" s="11" t="s">
        <v>52</v>
      </c>
      <c r="N297" s="11" t="s">
        <v>37</v>
      </c>
      <c r="P297" s="9" t="n">
        <v>113</v>
      </c>
      <c r="Q297" s="11" t="s">
        <v>46</v>
      </c>
      <c r="R297" s="11" t="s">
        <v>47</v>
      </c>
      <c r="S297" s="9" t="n">
        <v>1130101</v>
      </c>
      <c r="T297" s="11" t="s">
        <v>48</v>
      </c>
      <c r="U297" s="12" t="n">
        <v>172</v>
      </c>
      <c r="W297" s="12" t="n">
        <v>0</v>
      </c>
      <c r="X297" s="11" t="s">
        <v>407</v>
      </c>
      <c r="Z297" s="0" t="str">
        <f aca="false">IF($T297="","",IFERROR(INDEX('Resumo Grupos'!$AC$3:$AC$200,MATCH($T297,'Resumo Grupos'!$AB$3:$AB$200,0)),"n/d"))</f>
        <v>Mercadoria</v>
      </c>
      <c r="AA297" s="0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9" t="n">
        <v>2</v>
      </c>
      <c r="B298" s="10" t="n">
        <v>46175</v>
      </c>
      <c r="C298" s="10" t="n">
        <v>46188</v>
      </c>
      <c r="D298" s="9" t="n">
        <v>1683</v>
      </c>
      <c r="E298" s="11" t="s">
        <v>406</v>
      </c>
      <c r="F298" s="9" t="n">
        <v>34</v>
      </c>
      <c r="G298" s="11" t="s">
        <v>55</v>
      </c>
      <c r="H298" s="9" t="n">
        <v>2110101</v>
      </c>
      <c r="I298" s="11" t="s">
        <v>43</v>
      </c>
      <c r="J298" s="9" t="n">
        <v>1192343</v>
      </c>
      <c r="L298" s="9" t="n">
        <v>1624969</v>
      </c>
      <c r="M298" s="11" t="s">
        <v>52</v>
      </c>
      <c r="N298" s="11" t="s">
        <v>37</v>
      </c>
      <c r="P298" s="9" t="n">
        <v>113</v>
      </c>
      <c r="Q298" s="11" t="s">
        <v>46</v>
      </c>
      <c r="R298" s="11" t="s">
        <v>47</v>
      </c>
      <c r="S298" s="9" t="n">
        <v>1130101</v>
      </c>
      <c r="T298" s="11" t="s">
        <v>48</v>
      </c>
      <c r="U298" s="12" t="n">
        <v>130.5</v>
      </c>
      <c r="W298" s="12" t="n">
        <v>0</v>
      </c>
      <c r="X298" s="11" t="s">
        <v>408</v>
      </c>
      <c r="Z298" s="0" t="str">
        <f aca="false">IF($T298="","",IFERROR(INDEX('Resumo Grupos'!$AC$3:$AC$200,MATCH($T298,'Resumo Grupos'!$AB$3:$AB$200,0)),"n/d"))</f>
        <v>Mercadoria</v>
      </c>
      <c r="AA298" s="0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9" t="n">
        <v>2</v>
      </c>
      <c r="B299" s="10" t="n">
        <v>46178</v>
      </c>
      <c r="C299" s="10" t="n">
        <v>46188</v>
      </c>
      <c r="D299" s="9" t="n">
        <v>1683</v>
      </c>
      <c r="E299" s="11" t="s">
        <v>406</v>
      </c>
      <c r="F299" s="9" t="n">
        <v>34</v>
      </c>
      <c r="G299" s="11" t="s">
        <v>55</v>
      </c>
      <c r="H299" s="9" t="n">
        <v>2110101</v>
      </c>
      <c r="I299" s="11" t="s">
        <v>43</v>
      </c>
      <c r="J299" s="9" t="n">
        <v>1206599</v>
      </c>
      <c r="L299" s="9" t="n">
        <v>1626342</v>
      </c>
      <c r="M299" s="11" t="s">
        <v>52</v>
      </c>
      <c r="N299" s="11" t="s">
        <v>37</v>
      </c>
      <c r="P299" s="9" t="n">
        <v>113</v>
      </c>
      <c r="Q299" s="11" t="s">
        <v>46</v>
      </c>
      <c r="R299" s="11" t="s">
        <v>47</v>
      </c>
      <c r="S299" s="9" t="n">
        <v>1130101</v>
      </c>
      <c r="T299" s="11" t="s">
        <v>48</v>
      </c>
      <c r="U299" s="12" t="n">
        <v>133.5</v>
      </c>
      <c r="W299" s="12" t="n">
        <v>0</v>
      </c>
      <c r="X299" s="11" t="s">
        <v>409</v>
      </c>
      <c r="Z299" s="0" t="str">
        <f aca="false">IF($T299="","",IFERROR(INDEX('Resumo Grupos'!$AC$3:$AC$200,MATCH($T299,'Resumo Grupos'!$AB$3:$AB$200,0)),"n/d"))</f>
        <v>Mercadoria</v>
      </c>
      <c r="AA299" s="0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9" t="n">
        <v>2</v>
      </c>
      <c r="B300" s="10" t="n">
        <v>46178</v>
      </c>
      <c r="C300" s="10" t="n">
        <v>46188</v>
      </c>
      <c r="D300" s="9" t="n">
        <v>1683</v>
      </c>
      <c r="E300" s="11" t="s">
        <v>406</v>
      </c>
      <c r="F300" s="9" t="n">
        <v>34</v>
      </c>
      <c r="G300" s="11" t="s">
        <v>55</v>
      </c>
      <c r="H300" s="9" t="n">
        <v>2110101</v>
      </c>
      <c r="I300" s="11" t="s">
        <v>43</v>
      </c>
      <c r="J300" s="9" t="n">
        <v>1208226</v>
      </c>
      <c r="L300" s="9" t="n">
        <v>1627236</v>
      </c>
      <c r="M300" s="11" t="s">
        <v>52</v>
      </c>
      <c r="N300" s="11" t="s">
        <v>37</v>
      </c>
      <c r="P300" s="9" t="n">
        <v>113</v>
      </c>
      <c r="Q300" s="11" t="s">
        <v>46</v>
      </c>
      <c r="R300" s="11" t="s">
        <v>47</v>
      </c>
      <c r="S300" s="9" t="n">
        <v>1130101</v>
      </c>
      <c r="T300" s="11" t="s">
        <v>48</v>
      </c>
      <c r="U300" s="12" t="n">
        <v>90</v>
      </c>
      <c r="W300" s="12" t="n">
        <v>0</v>
      </c>
      <c r="X300" s="11" t="s">
        <v>408</v>
      </c>
      <c r="Z300" s="0" t="str">
        <f aca="false">IF($T300="","",IFERROR(INDEX('Resumo Grupos'!$AC$3:$AC$200,MATCH($T300,'Resumo Grupos'!$AB$3:$AB$200,0)),"n/d"))</f>
        <v>Mercadoria</v>
      </c>
      <c r="AA300" s="0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9" t="n">
        <v>2</v>
      </c>
      <c r="B301" s="10" t="n">
        <v>46178</v>
      </c>
      <c r="C301" s="10" t="n">
        <v>46188</v>
      </c>
      <c r="D301" s="9" t="n">
        <v>1683</v>
      </c>
      <c r="E301" s="11" t="s">
        <v>406</v>
      </c>
      <c r="F301" s="9" t="n">
        <v>34</v>
      </c>
      <c r="G301" s="11" t="s">
        <v>55</v>
      </c>
      <c r="H301" s="9" t="n">
        <v>2110101</v>
      </c>
      <c r="I301" s="11" t="s">
        <v>43</v>
      </c>
      <c r="J301" s="9" t="n">
        <v>1208237</v>
      </c>
      <c r="L301" s="9" t="n">
        <v>1627239</v>
      </c>
      <c r="M301" s="11" t="s">
        <v>52</v>
      </c>
      <c r="N301" s="11" t="s">
        <v>37</v>
      </c>
      <c r="P301" s="9" t="n">
        <v>113</v>
      </c>
      <c r="Q301" s="11" t="s">
        <v>46</v>
      </c>
      <c r="R301" s="11" t="s">
        <v>47</v>
      </c>
      <c r="S301" s="9" t="n">
        <v>1130101</v>
      </c>
      <c r="T301" s="11" t="s">
        <v>48</v>
      </c>
      <c r="U301" s="12" t="n">
        <v>81.5</v>
      </c>
      <c r="W301" s="12" t="n">
        <v>0</v>
      </c>
      <c r="X301" s="11" t="s">
        <v>408</v>
      </c>
      <c r="Z301" s="0" t="str">
        <f aca="false">IF($T301="","",IFERROR(INDEX('Resumo Grupos'!$AC$3:$AC$200,MATCH($T301,'Resumo Grupos'!$AB$3:$AB$200,0)),"n/d"))</f>
        <v>Mercadoria</v>
      </c>
      <c r="AA301" s="0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9" t="n">
        <v>2</v>
      </c>
      <c r="B302" s="10" t="n">
        <v>46181</v>
      </c>
      <c r="C302" s="10" t="n">
        <v>46188</v>
      </c>
      <c r="D302" s="9" t="n">
        <v>1683</v>
      </c>
      <c r="E302" s="11" t="s">
        <v>406</v>
      </c>
      <c r="F302" s="9" t="n">
        <v>34</v>
      </c>
      <c r="G302" s="11" t="s">
        <v>55</v>
      </c>
      <c r="H302" s="9" t="n">
        <v>2110101</v>
      </c>
      <c r="I302" s="11" t="s">
        <v>43</v>
      </c>
      <c r="J302" s="9" t="n">
        <v>1222859</v>
      </c>
      <c r="L302" s="9" t="n">
        <v>1628195</v>
      </c>
      <c r="M302" s="11" t="s">
        <v>52</v>
      </c>
      <c r="N302" s="11" t="s">
        <v>37</v>
      </c>
      <c r="P302" s="9" t="n">
        <v>113</v>
      </c>
      <c r="Q302" s="11" t="s">
        <v>46</v>
      </c>
      <c r="R302" s="11" t="s">
        <v>47</v>
      </c>
      <c r="S302" s="9" t="n">
        <v>1130101</v>
      </c>
      <c r="T302" s="11" t="s">
        <v>48</v>
      </c>
      <c r="U302" s="12" t="n">
        <v>232</v>
      </c>
      <c r="W302" s="12" t="n">
        <v>0</v>
      </c>
      <c r="X302" s="11" t="s">
        <v>408</v>
      </c>
      <c r="Z302" s="0" t="str">
        <f aca="false">IF($T302="","",IFERROR(INDEX('Resumo Grupos'!$AC$3:$AC$200,MATCH($T302,'Resumo Grupos'!$AB$3:$AB$200,0)),"n/d"))</f>
        <v>Mercadoria</v>
      </c>
      <c r="AA302" s="0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9" t="n">
        <v>2</v>
      </c>
      <c r="B303" s="10" t="n">
        <v>46181</v>
      </c>
      <c r="C303" s="10" t="n">
        <v>46188</v>
      </c>
      <c r="D303" s="9" t="n">
        <v>1683</v>
      </c>
      <c r="E303" s="11" t="s">
        <v>406</v>
      </c>
      <c r="F303" s="9" t="n">
        <v>34</v>
      </c>
      <c r="G303" s="11" t="s">
        <v>55</v>
      </c>
      <c r="H303" s="9" t="n">
        <v>2110101</v>
      </c>
      <c r="I303" s="11" t="s">
        <v>43</v>
      </c>
      <c r="J303" s="9" t="n">
        <v>1222861</v>
      </c>
      <c r="L303" s="9" t="n">
        <v>1628316</v>
      </c>
      <c r="M303" s="11" t="s">
        <v>52</v>
      </c>
      <c r="N303" s="11" t="s">
        <v>37</v>
      </c>
      <c r="P303" s="9" t="n">
        <v>113</v>
      </c>
      <c r="Q303" s="11" t="s">
        <v>46</v>
      </c>
      <c r="R303" s="11" t="s">
        <v>47</v>
      </c>
      <c r="S303" s="9" t="n">
        <v>1130101</v>
      </c>
      <c r="T303" s="11" t="s">
        <v>48</v>
      </c>
      <c r="U303" s="12" t="n">
        <v>72</v>
      </c>
      <c r="W303" s="12" t="n">
        <v>0</v>
      </c>
      <c r="X303" s="11" t="s">
        <v>408</v>
      </c>
      <c r="Z303" s="0" t="str">
        <f aca="false">IF($T303="","",IFERROR(INDEX('Resumo Grupos'!$AC$3:$AC$200,MATCH($T303,'Resumo Grupos'!$AB$3:$AB$200,0)),"n/d"))</f>
        <v>Mercadoria</v>
      </c>
      <c r="AA303" s="0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9" t="n">
        <v>2</v>
      </c>
      <c r="B304" s="10" t="n">
        <v>46183</v>
      </c>
      <c r="C304" s="10" t="n">
        <v>46188</v>
      </c>
      <c r="D304" s="9" t="n">
        <v>1683</v>
      </c>
      <c r="E304" s="11" t="s">
        <v>406</v>
      </c>
      <c r="F304" s="9" t="n">
        <v>34</v>
      </c>
      <c r="G304" s="11" t="s">
        <v>55</v>
      </c>
      <c r="H304" s="9" t="n">
        <v>2110101</v>
      </c>
      <c r="I304" s="11" t="s">
        <v>43</v>
      </c>
      <c r="J304" s="9" t="n">
        <v>1231783</v>
      </c>
      <c r="L304" s="9" t="n">
        <v>1629655</v>
      </c>
      <c r="M304" s="11" t="s">
        <v>52</v>
      </c>
      <c r="N304" s="11" t="s">
        <v>37</v>
      </c>
      <c r="P304" s="9" t="n">
        <v>113</v>
      </c>
      <c r="Q304" s="11" t="s">
        <v>46</v>
      </c>
      <c r="R304" s="11" t="s">
        <v>47</v>
      </c>
      <c r="S304" s="9" t="n">
        <v>1130101</v>
      </c>
      <c r="T304" s="11" t="s">
        <v>48</v>
      </c>
      <c r="U304" s="12" t="n">
        <v>171.5</v>
      </c>
      <c r="W304" s="12" t="n">
        <v>0</v>
      </c>
      <c r="X304" s="11" t="s">
        <v>408</v>
      </c>
      <c r="Z304" s="0" t="str">
        <f aca="false">IF($T304="","",IFERROR(INDEX('Resumo Grupos'!$AC$3:$AC$200,MATCH($T304,'Resumo Grupos'!$AB$3:$AB$200,0)),"n/d"))</f>
        <v>Mercadoria</v>
      </c>
      <c r="AA304" s="0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9" t="n">
        <v>2</v>
      </c>
      <c r="B305" s="10" t="n">
        <v>46186</v>
      </c>
      <c r="C305" s="10" t="n">
        <v>46188</v>
      </c>
      <c r="D305" s="9" t="n">
        <v>1683</v>
      </c>
      <c r="E305" s="11" t="s">
        <v>406</v>
      </c>
      <c r="F305" s="9" t="n">
        <v>34</v>
      </c>
      <c r="G305" s="11" t="s">
        <v>55</v>
      </c>
      <c r="H305" s="9" t="n">
        <v>2110101</v>
      </c>
      <c r="I305" s="11" t="s">
        <v>43</v>
      </c>
      <c r="J305" s="9" t="n">
        <v>1244024</v>
      </c>
      <c r="L305" s="9" t="n">
        <v>1631088</v>
      </c>
      <c r="M305" s="11" t="s">
        <v>52</v>
      </c>
      <c r="N305" s="11" t="s">
        <v>37</v>
      </c>
      <c r="P305" s="9" t="n">
        <v>113</v>
      </c>
      <c r="Q305" s="11" t="s">
        <v>46</v>
      </c>
      <c r="R305" s="11" t="s">
        <v>47</v>
      </c>
      <c r="S305" s="9" t="n">
        <v>1130101</v>
      </c>
      <c r="T305" s="11" t="s">
        <v>48</v>
      </c>
      <c r="U305" s="12" t="n">
        <v>64</v>
      </c>
      <c r="W305" s="12" t="n">
        <v>0</v>
      </c>
      <c r="X305" s="11" t="s">
        <v>410</v>
      </c>
      <c r="Z305" s="0" t="str">
        <f aca="false">IF($T305="","",IFERROR(INDEX('Resumo Grupos'!$AC$3:$AC$200,MATCH($T305,'Resumo Grupos'!$AB$3:$AB$200,0)),"n/d"))</f>
        <v>Mercadoria</v>
      </c>
      <c r="AA305" s="0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9" t="n">
        <v>2</v>
      </c>
      <c r="B306" s="10" t="n">
        <v>46188</v>
      </c>
      <c r="C306" s="10" t="n">
        <v>46188</v>
      </c>
      <c r="D306" s="9" t="n">
        <v>1683</v>
      </c>
      <c r="E306" s="11" t="s">
        <v>406</v>
      </c>
      <c r="F306" s="9" t="n">
        <v>34</v>
      </c>
      <c r="G306" s="11" t="s">
        <v>55</v>
      </c>
      <c r="H306" s="9" t="n">
        <v>2110101</v>
      </c>
      <c r="I306" s="11" t="s">
        <v>43</v>
      </c>
      <c r="J306" s="9" t="n">
        <v>1255081</v>
      </c>
      <c r="L306" s="9" t="n">
        <v>1631512</v>
      </c>
      <c r="M306" s="11" t="s">
        <v>52</v>
      </c>
      <c r="N306" s="11" t="s">
        <v>37</v>
      </c>
      <c r="P306" s="9" t="n">
        <v>113</v>
      </c>
      <c r="Q306" s="11" t="s">
        <v>46</v>
      </c>
      <c r="R306" s="11" t="s">
        <v>47</v>
      </c>
      <c r="S306" s="9" t="n">
        <v>1130101</v>
      </c>
      <c r="T306" s="11" t="s">
        <v>48</v>
      </c>
      <c r="U306" s="12" t="n">
        <v>161</v>
      </c>
      <c r="W306" s="12" t="n">
        <v>0</v>
      </c>
      <c r="X306" s="11" t="s">
        <v>408</v>
      </c>
      <c r="Z306" s="0" t="str">
        <f aca="false">IF($T306="","",IFERROR(INDEX('Resumo Grupos'!$AC$3:$AC$200,MATCH($T306,'Resumo Grupos'!$AB$3:$AB$200,0)),"n/d"))</f>
        <v>Mercadoria</v>
      </c>
      <c r="AA306" s="0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9" t="n">
        <v>2</v>
      </c>
      <c r="B307" s="10" t="n">
        <v>46188</v>
      </c>
      <c r="C307" s="10" t="n">
        <v>46188</v>
      </c>
      <c r="D307" s="9" t="n">
        <v>1683</v>
      </c>
      <c r="E307" s="11" t="s">
        <v>406</v>
      </c>
      <c r="F307" s="9" t="n">
        <v>34</v>
      </c>
      <c r="G307" s="11" t="s">
        <v>55</v>
      </c>
      <c r="H307" s="9" t="n">
        <v>2110101</v>
      </c>
      <c r="I307" s="11" t="s">
        <v>43</v>
      </c>
      <c r="J307" s="9" t="n">
        <v>1257021</v>
      </c>
      <c r="L307" s="9" t="n">
        <v>1631944</v>
      </c>
      <c r="M307" s="11" t="s">
        <v>52</v>
      </c>
      <c r="N307" s="11" t="s">
        <v>37</v>
      </c>
      <c r="P307" s="9" t="n">
        <v>113</v>
      </c>
      <c r="Q307" s="11" t="s">
        <v>46</v>
      </c>
      <c r="R307" s="11" t="s">
        <v>47</v>
      </c>
      <c r="S307" s="9" t="n">
        <v>1130101</v>
      </c>
      <c r="T307" s="11" t="s">
        <v>48</v>
      </c>
      <c r="U307" s="12" t="n">
        <v>86</v>
      </c>
      <c r="W307" s="12" t="n">
        <v>0</v>
      </c>
      <c r="X307" s="11" t="s">
        <v>408</v>
      </c>
      <c r="Z307" s="0" t="str">
        <f aca="false">IF($T307="","",IFERROR(INDEX('Resumo Grupos'!$AC$3:$AC$200,MATCH($T307,'Resumo Grupos'!$AB$3:$AB$200,0)),"n/d"))</f>
        <v>Mercadoria</v>
      </c>
      <c r="AA307" s="0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9" t="n">
        <v>2</v>
      </c>
      <c r="B308" s="10" t="n">
        <v>46188</v>
      </c>
      <c r="C308" s="10" t="n">
        <v>46188</v>
      </c>
      <c r="D308" s="9" t="n">
        <v>23</v>
      </c>
      <c r="E308" s="11" t="s">
        <v>243</v>
      </c>
      <c r="F308" s="9" t="n">
        <v>34</v>
      </c>
      <c r="G308" s="11" t="s">
        <v>55</v>
      </c>
      <c r="H308" s="9" t="n">
        <v>2110405</v>
      </c>
      <c r="I308" s="11" t="s">
        <v>56</v>
      </c>
      <c r="J308" s="9" t="n">
        <v>1257013</v>
      </c>
      <c r="L308" s="9" t="n">
        <v>167617</v>
      </c>
      <c r="M308" s="11" t="s">
        <v>52</v>
      </c>
      <c r="N308" s="11" t="s">
        <v>45</v>
      </c>
      <c r="P308" s="9" t="n">
        <v>113</v>
      </c>
      <c r="Q308" s="11" t="s">
        <v>46</v>
      </c>
      <c r="R308" s="11" t="s">
        <v>71</v>
      </c>
      <c r="S308" s="9" t="n">
        <v>4210301</v>
      </c>
      <c r="T308" s="11" t="s">
        <v>220</v>
      </c>
      <c r="U308" s="12" t="n">
        <v>400</v>
      </c>
      <c r="W308" s="12" t="n">
        <v>0</v>
      </c>
      <c r="X308" s="11" t="s">
        <v>402</v>
      </c>
      <c r="Z308" s="0" t="str">
        <f aca="false">IF($T308="","",IFERROR(INDEX('Resumo Grupos'!$AC$3:$AC$200,MATCH($T308,'Resumo Grupos'!$AB$3:$AB$200,0)),"n/d"))</f>
        <v>Salários</v>
      </c>
      <c r="AA308" s="0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9" t="n">
        <v>2</v>
      </c>
      <c r="B309" s="10" t="n">
        <v>46188</v>
      </c>
      <c r="C309" s="10" t="n">
        <v>46188</v>
      </c>
      <c r="D309" s="9" t="n">
        <v>73</v>
      </c>
      <c r="E309" s="11" t="s">
        <v>70</v>
      </c>
      <c r="F309" s="9" t="n">
        <v>34</v>
      </c>
      <c r="G309" s="11" t="s">
        <v>55</v>
      </c>
      <c r="H309" s="9" t="n">
        <v>2110405</v>
      </c>
      <c r="I309" s="11" t="s">
        <v>56</v>
      </c>
      <c r="J309" s="9" t="n">
        <v>1257000</v>
      </c>
      <c r="L309" s="9" t="n">
        <v>167608</v>
      </c>
      <c r="M309" s="11" t="s">
        <v>52</v>
      </c>
      <c r="N309" s="11" t="s">
        <v>45</v>
      </c>
      <c r="P309" s="9" t="n">
        <v>113</v>
      </c>
      <c r="Q309" s="11" t="s">
        <v>46</v>
      </c>
      <c r="R309" s="11" t="s">
        <v>71</v>
      </c>
      <c r="S309" s="9" t="n">
        <v>4210301</v>
      </c>
      <c r="T309" s="11" t="s">
        <v>220</v>
      </c>
      <c r="U309" s="12" t="n">
        <v>400</v>
      </c>
      <c r="W309" s="12" t="n">
        <v>0</v>
      </c>
      <c r="X309" s="11" t="s">
        <v>402</v>
      </c>
      <c r="Z309" s="0" t="str">
        <f aca="false">IF($T309="","",IFERROR(INDEX('Resumo Grupos'!$AC$3:$AC$200,MATCH($T309,'Resumo Grupos'!$AB$3:$AB$200,0)),"n/d"))</f>
        <v>Salários</v>
      </c>
      <c r="AA309" s="0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9" t="n">
        <v>2</v>
      </c>
      <c r="B310" s="10" t="n">
        <v>46188</v>
      </c>
      <c r="C310" s="10" t="n">
        <v>46188</v>
      </c>
      <c r="D310" s="9" t="n">
        <v>10007</v>
      </c>
      <c r="E310" s="11" t="s">
        <v>411</v>
      </c>
      <c r="F310" s="9" t="n">
        <v>24</v>
      </c>
      <c r="G310" s="11" t="s">
        <v>51</v>
      </c>
      <c r="H310" s="9" t="n">
        <v>2110101</v>
      </c>
      <c r="I310" s="11" t="s">
        <v>43</v>
      </c>
      <c r="J310" s="9" t="n">
        <v>1435971</v>
      </c>
      <c r="L310" s="9" t="n">
        <v>194023</v>
      </c>
      <c r="M310" s="11" t="s">
        <v>52</v>
      </c>
      <c r="N310" s="11" t="s">
        <v>45</v>
      </c>
      <c r="P310" s="9" t="n">
        <v>101</v>
      </c>
      <c r="Q310" s="11" t="s">
        <v>57</v>
      </c>
      <c r="R310" s="11" t="s">
        <v>138</v>
      </c>
      <c r="S310" s="9" t="n">
        <v>4210504</v>
      </c>
      <c r="T310" s="11" t="s">
        <v>143</v>
      </c>
      <c r="U310" s="12" t="n">
        <v>159.8</v>
      </c>
      <c r="W310" s="12" t="n">
        <v>0</v>
      </c>
      <c r="X310" s="11" t="s">
        <v>412</v>
      </c>
      <c r="Z310" s="0" t="str">
        <f aca="false">IF($T310="","",IFERROR(INDEX('Resumo Grupos'!$AC$3:$AC$200,MATCH($T310,'Resumo Grupos'!$AB$3:$AB$200,0)),"n/d"))</f>
        <v>Despesa</v>
      </c>
      <c r="AA310" s="0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9" t="n">
        <v>2</v>
      </c>
      <c r="B311" s="10" t="n">
        <v>46181</v>
      </c>
      <c r="C311" s="10" t="n">
        <v>46188</v>
      </c>
      <c r="D311" s="9" t="n">
        <v>1609</v>
      </c>
      <c r="E311" s="11" t="s">
        <v>84</v>
      </c>
      <c r="F311" s="9" t="n">
        <v>24</v>
      </c>
      <c r="G311" s="11" t="s">
        <v>51</v>
      </c>
      <c r="H311" s="9" t="n">
        <v>2110101</v>
      </c>
      <c r="I311" s="11" t="s">
        <v>43</v>
      </c>
      <c r="J311" s="9" t="n">
        <v>1223267</v>
      </c>
      <c r="L311" s="9" t="n">
        <v>5642</v>
      </c>
      <c r="M311" s="11" t="s">
        <v>52</v>
      </c>
      <c r="N311" s="11" t="s">
        <v>37</v>
      </c>
      <c r="P311" s="9" t="n">
        <v>113</v>
      </c>
      <c r="Q311" s="11" t="s">
        <v>46</v>
      </c>
      <c r="R311" s="11" t="s">
        <v>47</v>
      </c>
      <c r="S311" s="9" t="n">
        <v>1130101</v>
      </c>
      <c r="T311" s="11" t="s">
        <v>48</v>
      </c>
      <c r="U311" s="12" t="n">
        <v>688.3</v>
      </c>
      <c r="W311" s="12" t="n">
        <v>0</v>
      </c>
      <c r="X311" s="11" t="s">
        <v>413</v>
      </c>
      <c r="Z311" s="0" t="str">
        <f aca="false">IF($T311="","",IFERROR(INDEX('Resumo Grupos'!$AC$3:$AC$200,MATCH($T311,'Resumo Grupos'!$AB$3:$AB$200,0)),"n/d"))</f>
        <v>Mercadoria</v>
      </c>
      <c r="AA311" s="0" t="str">
        <f aca="false">IF($T311="","",IF(COUNTIF('Resumo Grupos'!$AE$3:$AE$40,$T311)&gt;0,"NAO","SIM"))</f>
        <v>SIM</v>
      </c>
      <c r="AB311" s="0" t="str">
        <f aca="false">IFERROR(INDEX('Mov Entradas (Rel 10497)'!$L:$L,MATCH(AC311,'Mov Entradas (Rel 10497)'!$I:$I,0)),"nao encontrado")</f>
        <v>SUCO FAZENDINHA CITR</v>
      </c>
      <c r="AC311" s="0" t="n">
        <v>5642</v>
      </c>
    </row>
    <row r="312" customFormat="false" ht="27.75" hidden="false" customHeight="true" outlineLevel="0" collapsed="false">
      <c r="A312" s="9" t="n">
        <v>2</v>
      </c>
      <c r="B312" s="10" t="n">
        <v>46188</v>
      </c>
      <c r="C312" s="10" t="n">
        <v>46188</v>
      </c>
      <c r="D312" s="9" t="n">
        <v>22</v>
      </c>
      <c r="E312" s="11" t="s">
        <v>245</v>
      </c>
      <c r="F312" s="9" t="n">
        <v>34</v>
      </c>
      <c r="G312" s="11" t="s">
        <v>55</v>
      </c>
      <c r="H312" s="9" t="n">
        <v>2110405</v>
      </c>
      <c r="I312" s="11" t="s">
        <v>56</v>
      </c>
      <c r="J312" s="9" t="n">
        <v>1257003</v>
      </c>
      <c r="L312" s="9" t="n">
        <v>167612</v>
      </c>
      <c r="M312" s="11" t="s">
        <v>52</v>
      </c>
      <c r="N312" s="11" t="s">
        <v>45</v>
      </c>
      <c r="P312" s="9" t="n">
        <v>113</v>
      </c>
      <c r="Q312" s="11" t="s">
        <v>46</v>
      </c>
      <c r="R312" s="11" t="s">
        <v>71</v>
      </c>
      <c r="S312" s="9" t="n">
        <v>4210301</v>
      </c>
      <c r="T312" s="11" t="s">
        <v>220</v>
      </c>
      <c r="U312" s="12" t="n">
        <v>400</v>
      </c>
      <c r="W312" s="12" t="n">
        <v>0</v>
      </c>
      <c r="X312" s="11" t="s">
        <v>402</v>
      </c>
      <c r="Z312" s="0" t="str">
        <f aca="false">IF($T312="","",IFERROR(INDEX('Resumo Grupos'!$AC$3:$AC$200,MATCH($T312,'Resumo Grupos'!$AB$3:$AB$200,0)),"n/d"))</f>
        <v>Salários</v>
      </c>
      <c r="AA312" s="0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9" t="n">
        <v>2</v>
      </c>
      <c r="B313" s="10" t="n">
        <v>46181</v>
      </c>
      <c r="C313" s="10" t="n">
        <v>46188</v>
      </c>
      <c r="D313" s="9" t="n">
        <v>1699</v>
      </c>
      <c r="E313" s="11" t="s">
        <v>248</v>
      </c>
      <c r="F313" s="9" t="n">
        <v>24</v>
      </c>
      <c r="G313" s="11" t="s">
        <v>51</v>
      </c>
      <c r="H313" s="9" t="n">
        <v>2110101</v>
      </c>
      <c r="I313" s="11" t="s">
        <v>43</v>
      </c>
      <c r="J313" s="9" t="n">
        <v>1222609</v>
      </c>
      <c r="L313" s="9" t="n">
        <v>303660</v>
      </c>
      <c r="M313" s="11" t="s">
        <v>52</v>
      </c>
      <c r="N313" s="11" t="s">
        <v>37</v>
      </c>
      <c r="P313" s="9" t="n">
        <v>113</v>
      </c>
      <c r="Q313" s="11" t="s">
        <v>46</v>
      </c>
      <c r="R313" s="11" t="s">
        <v>47</v>
      </c>
      <c r="S313" s="9" t="n">
        <v>1130101</v>
      </c>
      <c r="T313" s="11" t="s">
        <v>48</v>
      </c>
      <c r="U313" s="12" t="n">
        <v>1909.5</v>
      </c>
      <c r="W313" s="12" t="n">
        <v>0</v>
      </c>
      <c r="X313" s="11" t="s">
        <v>414</v>
      </c>
      <c r="Z313" s="0" t="str">
        <f aca="false">IF($T313="","",IFERROR(INDEX('Resumo Grupos'!$AC$3:$AC$200,MATCH($T313,'Resumo Grupos'!$AB$3:$AB$200,0)),"n/d"))</f>
        <v>Mercadoria</v>
      </c>
      <c r="AA313" s="0" t="str">
        <f aca="false">IF($T313="","",IF(COUNTIF('Resumo Grupos'!$AE$3:$AE$40,$T313)&gt;0,"NAO","SIM"))</f>
        <v>SIM</v>
      </c>
      <c r="AB313" s="0" t="str">
        <f aca="false">IFERROR(INDEX('Mov Entradas (Rel 10497)'!$L:$L,MATCH(AC313,'Mov Entradas (Rel 10497)'!$I:$I,0)),"nao encontrado")</f>
        <v>SALSICHA PERDIGÃO KG</v>
      </c>
      <c r="AC313" s="0" t="n">
        <v>303660</v>
      </c>
    </row>
    <row r="314" customFormat="false" ht="45.75" hidden="false" customHeight="true" outlineLevel="0" collapsed="false">
      <c r="A314" s="9" t="n">
        <v>2</v>
      </c>
      <c r="B314" s="10" t="n">
        <v>46188</v>
      </c>
      <c r="C314" s="10" t="n">
        <v>46188</v>
      </c>
      <c r="D314" s="9" t="n">
        <v>1979</v>
      </c>
      <c r="E314" s="11" t="s">
        <v>250</v>
      </c>
      <c r="F314" s="9" t="n">
        <v>34</v>
      </c>
      <c r="G314" s="11" t="s">
        <v>55</v>
      </c>
      <c r="H314" s="9" t="n">
        <v>2110405</v>
      </c>
      <c r="I314" s="11" t="s">
        <v>56</v>
      </c>
      <c r="J314" s="9" t="n">
        <v>1257011</v>
      </c>
      <c r="L314" s="9" t="n">
        <v>167616</v>
      </c>
      <c r="M314" s="11" t="s">
        <v>52</v>
      </c>
      <c r="N314" s="11" t="s">
        <v>45</v>
      </c>
      <c r="P314" s="9" t="n">
        <v>113</v>
      </c>
      <c r="Q314" s="11" t="s">
        <v>46</v>
      </c>
      <c r="R314" s="11" t="s">
        <v>71</v>
      </c>
      <c r="S314" s="9" t="n">
        <v>4210301</v>
      </c>
      <c r="T314" s="11" t="s">
        <v>220</v>
      </c>
      <c r="U314" s="12" t="n">
        <v>400</v>
      </c>
      <c r="W314" s="12" t="n">
        <v>0</v>
      </c>
      <c r="X314" s="11" t="s">
        <v>402</v>
      </c>
      <c r="Z314" s="0" t="str">
        <f aca="false">IF($T314="","",IFERROR(INDEX('Resumo Grupos'!$AC$3:$AC$200,MATCH($T314,'Resumo Grupos'!$AB$3:$AB$200,0)),"n/d"))</f>
        <v>Salários</v>
      </c>
      <c r="AA314" s="0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9" t="n">
        <v>2</v>
      </c>
      <c r="B315" s="10" t="n">
        <v>46168</v>
      </c>
      <c r="C315" s="10" t="n">
        <v>46188</v>
      </c>
      <c r="D315" s="9" t="n">
        <v>1675</v>
      </c>
      <c r="E315" s="11" t="s">
        <v>289</v>
      </c>
      <c r="F315" s="9" t="n">
        <v>24</v>
      </c>
      <c r="G315" s="11" t="s">
        <v>51</v>
      </c>
      <c r="H315" s="9" t="n">
        <v>2110101</v>
      </c>
      <c r="I315" s="11" t="s">
        <v>43</v>
      </c>
      <c r="J315" s="9" t="n">
        <v>1157010</v>
      </c>
      <c r="L315" s="9" t="n">
        <v>491834</v>
      </c>
      <c r="M315" s="11" t="s">
        <v>44</v>
      </c>
      <c r="N315" s="11" t="s">
        <v>37</v>
      </c>
      <c r="P315" s="9" t="n">
        <v>113</v>
      </c>
      <c r="Q315" s="11" t="s">
        <v>46</v>
      </c>
      <c r="R315" s="11" t="s">
        <v>47</v>
      </c>
      <c r="S315" s="9" t="n">
        <v>1130101</v>
      </c>
      <c r="T315" s="11" t="s">
        <v>48</v>
      </c>
      <c r="U315" s="12" t="n">
        <v>1022.42</v>
      </c>
      <c r="W315" s="12" t="n">
        <v>0</v>
      </c>
      <c r="X315" s="11" t="s">
        <v>291</v>
      </c>
      <c r="Z315" s="0" t="str">
        <f aca="false">IF($T315="","",IFERROR(INDEX('Resumo Grupos'!$AC$3:$AC$200,MATCH($T315,'Resumo Grupos'!$AB$3:$AB$200,0)),"n/d"))</f>
        <v>Mercadoria</v>
      </c>
      <c r="AA315" s="0" t="str">
        <f aca="false">IF($T315="","",IF(COUNTIF('Resumo Grupos'!$AE$3:$AE$40,$T315)&gt;0,"NAO","SIM"))</f>
        <v>SIM</v>
      </c>
      <c r="AB315" s="0" t="str">
        <f aca="false">IFERROR(INDEX('Mov Entradas (Rel 10497)'!$L:$L,MATCH(AC315,'Mov Entradas (Rel 10497)'!$I:$I,0)),"nao encontrado")</f>
        <v>nao encontrado</v>
      </c>
      <c r="AC315" s="0" t="n">
        <v>491834</v>
      </c>
    </row>
    <row r="316" customFormat="false" ht="27.75" hidden="false" customHeight="true" outlineLevel="0" collapsed="false">
      <c r="A316" s="9" t="n">
        <v>2</v>
      </c>
      <c r="B316" s="10" t="n">
        <v>46188</v>
      </c>
      <c r="C316" s="10" t="n">
        <v>46188</v>
      </c>
      <c r="D316" s="9" t="n">
        <v>48</v>
      </c>
      <c r="E316" s="11" t="s">
        <v>153</v>
      </c>
      <c r="F316" s="9" t="n">
        <v>13</v>
      </c>
      <c r="G316" s="11" t="s">
        <v>135</v>
      </c>
      <c r="H316" s="9" t="n">
        <v>2110101</v>
      </c>
      <c r="I316" s="11" t="s">
        <v>43</v>
      </c>
      <c r="J316" s="9" t="n">
        <v>1255540</v>
      </c>
      <c r="L316" s="9" t="n">
        <v>2496</v>
      </c>
      <c r="M316" s="11" t="s">
        <v>52</v>
      </c>
      <c r="N316" s="11" t="s">
        <v>37</v>
      </c>
      <c r="P316" s="9" t="n">
        <v>113</v>
      </c>
      <c r="Q316" s="11" t="s">
        <v>46</v>
      </c>
      <c r="R316" s="11" t="s">
        <v>47</v>
      </c>
      <c r="S316" s="9" t="n">
        <v>1130101</v>
      </c>
      <c r="T316" s="11" t="s">
        <v>48</v>
      </c>
      <c r="U316" s="12" t="n">
        <v>210</v>
      </c>
      <c r="W316" s="12" t="n">
        <v>210</v>
      </c>
      <c r="X316" s="11" t="s">
        <v>415</v>
      </c>
      <c r="Z316" s="0" t="str">
        <f aca="false">IF($T316="","",IFERROR(INDEX('Resumo Grupos'!$AC$3:$AC$200,MATCH($T316,'Resumo Grupos'!$AB$3:$AB$200,0)),"n/d"))</f>
        <v>Mercadoria</v>
      </c>
      <c r="AA316" s="0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9" t="n">
        <v>2</v>
      </c>
      <c r="B317" s="10" t="n">
        <v>46182</v>
      </c>
      <c r="C317" s="10" t="n">
        <v>46188</v>
      </c>
      <c r="D317" s="9" t="n">
        <v>1328</v>
      </c>
      <c r="E317" s="11" t="s">
        <v>95</v>
      </c>
      <c r="F317" s="9" t="n">
        <v>24</v>
      </c>
      <c r="G317" s="11" t="s">
        <v>51</v>
      </c>
      <c r="H317" s="9" t="n">
        <v>2110101</v>
      </c>
      <c r="I317" s="11" t="s">
        <v>43</v>
      </c>
      <c r="J317" s="9" t="n">
        <v>1226545</v>
      </c>
      <c r="L317" s="9" t="n">
        <v>3699</v>
      </c>
      <c r="M317" s="11" t="s">
        <v>52</v>
      </c>
      <c r="N317" s="11" t="s">
        <v>37</v>
      </c>
      <c r="P317" s="9" t="n">
        <v>113</v>
      </c>
      <c r="Q317" s="11" t="s">
        <v>46</v>
      </c>
      <c r="R317" s="11" t="s">
        <v>47</v>
      </c>
      <c r="S317" s="9" t="n">
        <v>1130101</v>
      </c>
      <c r="T317" s="11" t="s">
        <v>48</v>
      </c>
      <c r="U317" s="12" t="n">
        <v>186.94</v>
      </c>
      <c r="W317" s="12" t="n">
        <v>0</v>
      </c>
      <c r="X317" s="11" t="s">
        <v>416</v>
      </c>
      <c r="Z317" s="0" t="str">
        <f aca="false">IF($T317="","",IFERROR(INDEX('Resumo Grupos'!$AC$3:$AC$200,MATCH($T317,'Resumo Grupos'!$AB$3:$AB$200,0)),"n/d"))</f>
        <v>Mercadoria</v>
      </c>
      <c r="AA317" s="0" t="str">
        <f aca="false">IF($T317="","",IF(COUNTIF('Resumo Grupos'!$AE$3:$AE$40,$T317)&gt;0,"NAO","SIM"))</f>
        <v>SIM</v>
      </c>
      <c r="AB317" s="0" t="str">
        <f aca="false">IFERROR(INDEX('Mov Entradas (Rel 10497)'!$L:$L,MATCH(AC317,'Mov Entradas (Rel 10497)'!$I:$I,0)),"nao encontrado")</f>
        <v>PAO DE KIKAO 10</v>
      </c>
      <c r="AC317" s="0" t="n">
        <v>3699</v>
      </c>
    </row>
    <row r="318" customFormat="false" ht="36.75" hidden="false" customHeight="true" outlineLevel="0" collapsed="false">
      <c r="A318" s="9" t="n">
        <v>2</v>
      </c>
      <c r="B318" s="10" t="n">
        <v>46185</v>
      </c>
      <c r="C318" s="10" t="n">
        <v>46188</v>
      </c>
      <c r="D318" s="9" t="n">
        <v>666</v>
      </c>
      <c r="E318" s="11" t="s">
        <v>417</v>
      </c>
      <c r="F318" s="9" t="n">
        <v>24</v>
      </c>
      <c r="G318" s="11" t="s">
        <v>51</v>
      </c>
      <c r="H318" s="9" t="n">
        <v>2110101</v>
      </c>
      <c r="I318" s="11" t="s">
        <v>43</v>
      </c>
      <c r="J318" s="9" t="n">
        <v>1241746</v>
      </c>
      <c r="L318" s="9" t="n">
        <v>165601</v>
      </c>
      <c r="M318" s="11" t="s">
        <v>52</v>
      </c>
      <c r="N318" s="11" t="s">
        <v>45</v>
      </c>
      <c r="P318" s="9" t="n">
        <v>113</v>
      </c>
      <c r="Q318" s="11" t="s">
        <v>46</v>
      </c>
      <c r="R318" s="11" t="s">
        <v>47</v>
      </c>
      <c r="S318" s="9" t="n">
        <v>1130101</v>
      </c>
      <c r="T318" s="11" t="s">
        <v>48</v>
      </c>
      <c r="U318" s="12" t="n">
        <v>383.26</v>
      </c>
      <c r="W318" s="12" t="n">
        <v>0</v>
      </c>
      <c r="X318" s="11" t="s">
        <v>418</v>
      </c>
      <c r="Z318" s="0" t="str">
        <f aca="false">IF($T318="","",IFERROR(INDEX('Resumo Grupos'!$AC$3:$AC$200,MATCH($T318,'Resumo Grupos'!$AB$3:$AB$200,0)),"n/d"))</f>
        <v>Mercadoria</v>
      </c>
      <c r="AA318" s="0" t="str">
        <f aca="false">IF($T318="","",IF(COUNTIF('Resumo Grupos'!$AE$3:$AE$40,$T318)&gt;0,"NAO","SIM"))</f>
        <v>SIM</v>
      </c>
      <c r="AB318" s="0" t="str">
        <f aca="false">IFERROR(INDEX('Mov Entradas (Rel 10497)'!$L:$L,MATCH(AC318,'Mov Entradas (Rel 10497)'!$I:$I,0)),"nao encontrado")</f>
        <v>RACAO SABOR CAT KG</v>
      </c>
      <c r="AC318" s="0" t="n">
        <v>7725</v>
      </c>
    </row>
    <row r="319" customFormat="false" ht="36.75" hidden="false" customHeight="true" outlineLevel="0" collapsed="false">
      <c r="A319" s="9" t="n">
        <v>2</v>
      </c>
      <c r="B319" s="10" t="n">
        <v>46181</v>
      </c>
      <c r="C319" s="10" t="n">
        <v>46188</v>
      </c>
      <c r="D319" s="9" t="n">
        <v>1899</v>
      </c>
      <c r="E319" s="11" t="s">
        <v>204</v>
      </c>
      <c r="F319" s="9" t="n">
        <v>24</v>
      </c>
      <c r="G319" s="11" t="s">
        <v>51</v>
      </c>
      <c r="H319" s="9" t="n">
        <v>2110101</v>
      </c>
      <c r="I319" s="11" t="s">
        <v>43</v>
      </c>
      <c r="J319" s="9" t="n">
        <v>1223311</v>
      </c>
      <c r="L319" s="9" t="n">
        <v>656</v>
      </c>
      <c r="M319" s="11" t="s">
        <v>52</v>
      </c>
      <c r="N319" s="11" t="s">
        <v>37</v>
      </c>
      <c r="P319" s="9" t="n">
        <v>113</v>
      </c>
      <c r="Q319" s="11" t="s">
        <v>46</v>
      </c>
      <c r="R319" s="11" t="s">
        <v>47</v>
      </c>
      <c r="S319" s="9" t="n">
        <v>1130101</v>
      </c>
      <c r="T319" s="11" t="s">
        <v>48</v>
      </c>
      <c r="U319" s="12" t="n">
        <v>307.2</v>
      </c>
      <c r="W319" s="12" t="n">
        <v>0</v>
      </c>
      <c r="X319" s="11" t="s">
        <v>419</v>
      </c>
      <c r="Z319" s="0" t="str">
        <f aca="false">IF($T319="","",IFERROR(INDEX('Resumo Grupos'!$AC$3:$AC$200,MATCH($T319,'Resumo Grupos'!$AB$3:$AB$200,0)),"n/d"))</f>
        <v>Mercadoria</v>
      </c>
      <c r="AA319" s="0" t="str">
        <f aca="false">IF($T319="","",IF(COUNTIF('Resumo Grupos'!$AE$3:$AE$40,$T319)&gt;0,"NAO","SIM"))</f>
        <v>SIM</v>
      </c>
      <c r="AB319" s="0" t="str">
        <f aca="false">IFERROR(INDEX('Mov Entradas (Rel 10497)'!$L:$L,MATCH(AC319,'Mov Entradas (Rel 10497)'!$I:$I,0)),"nao encontrado")</f>
        <v>PAO DE FORMA REAL MA</v>
      </c>
      <c r="AC319" s="0" t="n">
        <v>656</v>
      </c>
    </row>
    <row r="320" customFormat="false" ht="36.75" hidden="false" customHeight="true" outlineLevel="0" collapsed="false">
      <c r="A320" s="9" t="n">
        <v>2</v>
      </c>
      <c r="B320" s="10" t="n">
        <v>46097</v>
      </c>
      <c r="C320" s="10" t="n">
        <v>46188</v>
      </c>
      <c r="D320" s="9" t="n">
        <v>1867</v>
      </c>
      <c r="E320" s="11" t="s">
        <v>420</v>
      </c>
      <c r="F320" s="9" t="n">
        <v>24</v>
      </c>
      <c r="G320" s="11" t="s">
        <v>51</v>
      </c>
      <c r="H320" s="9" t="n">
        <v>2110405</v>
      </c>
      <c r="I320" s="11" t="s">
        <v>56</v>
      </c>
      <c r="J320" s="9" t="n">
        <v>808550</v>
      </c>
      <c r="L320" s="9" t="n">
        <v>2026</v>
      </c>
      <c r="M320" s="11" t="s">
        <v>89</v>
      </c>
      <c r="N320" s="11" t="s">
        <v>45</v>
      </c>
      <c r="P320" s="9" t="n">
        <v>101</v>
      </c>
      <c r="Q320" s="11" t="s">
        <v>57</v>
      </c>
      <c r="R320" s="11" t="s">
        <v>421</v>
      </c>
      <c r="S320" s="9" t="n">
        <v>4210401</v>
      </c>
      <c r="T320" s="11" t="s">
        <v>422</v>
      </c>
      <c r="U320" s="12" t="n">
        <v>228.88</v>
      </c>
      <c r="W320" s="12" t="n">
        <v>0</v>
      </c>
      <c r="X320" s="11" t="s">
        <v>423</v>
      </c>
      <c r="Z320" s="0" t="str">
        <f aca="false">IF($T320="","",IFERROR(INDEX('Resumo Grupos'!$AC$3:$AC$200,MATCH($T320,'Resumo Grupos'!$AB$3:$AB$200,0)),"n/d"))</f>
        <v>Impostos</v>
      </c>
      <c r="AA320" s="0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9" t="n">
        <v>2</v>
      </c>
      <c r="B321" s="10" t="n">
        <v>46188</v>
      </c>
      <c r="C321" s="10" t="n">
        <v>46188</v>
      </c>
      <c r="D321" s="9" t="n">
        <v>21</v>
      </c>
      <c r="E321" s="11" t="s">
        <v>107</v>
      </c>
      <c r="F321" s="9" t="n">
        <v>34</v>
      </c>
      <c r="G321" s="11" t="s">
        <v>55</v>
      </c>
      <c r="H321" s="9" t="n">
        <v>2110405</v>
      </c>
      <c r="I321" s="11" t="s">
        <v>56</v>
      </c>
      <c r="J321" s="9" t="n">
        <v>1257009</v>
      </c>
      <c r="L321" s="9" t="n">
        <v>167614</v>
      </c>
      <c r="M321" s="11" t="s">
        <v>52</v>
      </c>
      <c r="N321" s="11" t="s">
        <v>45</v>
      </c>
      <c r="P321" s="9" t="n">
        <v>113</v>
      </c>
      <c r="Q321" s="11" t="s">
        <v>46</v>
      </c>
      <c r="R321" s="11" t="s">
        <v>71</v>
      </c>
      <c r="S321" s="9" t="n">
        <v>4210301</v>
      </c>
      <c r="T321" s="11" t="s">
        <v>220</v>
      </c>
      <c r="U321" s="12" t="n">
        <v>1000</v>
      </c>
      <c r="W321" s="12" t="n">
        <v>0</v>
      </c>
      <c r="X321" s="11" t="s">
        <v>402</v>
      </c>
      <c r="Z321" s="0" t="str">
        <f aca="false">IF($T321="","",IFERROR(INDEX('Resumo Grupos'!$AC$3:$AC$200,MATCH($T321,'Resumo Grupos'!$AB$3:$AB$200,0)),"n/d"))</f>
        <v>Salários</v>
      </c>
      <c r="AA321" s="0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9" t="n">
        <v>2</v>
      </c>
      <c r="B322" s="10" t="n">
        <v>46181</v>
      </c>
      <c r="C322" s="10" t="n">
        <v>46188</v>
      </c>
      <c r="D322" s="9" t="n">
        <v>1292</v>
      </c>
      <c r="E322" s="11" t="s">
        <v>209</v>
      </c>
      <c r="F322" s="9" t="n">
        <v>24</v>
      </c>
      <c r="G322" s="11" t="s">
        <v>51</v>
      </c>
      <c r="H322" s="9" t="n">
        <v>2110101</v>
      </c>
      <c r="I322" s="11" t="s">
        <v>43</v>
      </c>
      <c r="J322" s="9" t="n">
        <v>1222883</v>
      </c>
      <c r="L322" s="9" t="n">
        <v>3362</v>
      </c>
      <c r="M322" s="11" t="s">
        <v>52</v>
      </c>
      <c r="N322" s="11" t="s">
        <v>37</v>
      </c>
      <c r="P322" s="9" t="n">
        <v>113</v>
      </c>
      <c r="Q322" s="11" t="s">
        <v>46</v>
      </c>
      <c r="R322" s="11" t="s">
        <v>47</v>
      </c>
      <c r="S322" s="9" t="n">
        <v>1130101</v>
      </c>
      <c r="T322" s="11" t="s">
        <v>48</v>
      </c>
      <c r="U322" s="12" t="n">
        <v>561.5</v>
      </c>
      <c r="W322" s="12" t="n">
        <v>0</v>
      </c>
      <c r="X322" s="11" t="s">
        <v>424</v>
      </c>
      <c r="Z322" s="0" t="str">
        <f aca="false">IF($T322="","",IFERROR(INDEX('Resumo Grupos'!$AC$3:$AC$200,MATCH($T322,'Resumo Grupos'!$AB$3:$AB$200,0)),"n/d"))</f>
        <v>Mercadoria</v>
      </c>
      <c r="AA322" s="0" t="str">
        <f aca="false">IF($T322="","",IF(COUNTIF('Resumo Grupos'!$AE$3:$AE$40,$T322)&gt;0,"NAO","SIM"))</f>
        <v>SIM</v>
      </c>
      <c r="AB322" s="0" t="str">
        <f aca="false">IFERROR(INDEX('Mov Entradas (Rel 10497)'!$L:$L,MATCH(AC322,'Mov Entradas (Rel 10497)'!$I:$I,0)),"nao encontrado")</f>
        <v>PRESUNTO DELICE DE PERU 200G</v>
      </c>
      <c r="AC322" s="0" t="n">
        <v>3362</v>
      </c>
    </row>
    <row r="323" customFormat="false" ht="36.75" hidden="false" customHeight="true" outlineLevel="0" collapsed="false">
      <c r="A323" s="9" t="n">
        <v>2</v>
      </c>
      <c r="B323" s="10" t="n">
        <v>46188</v>
      </c>
      <c r="C323" s="10" t="n">
        <v>46188</v>
      </c>
      <c r="D323" s="9" t="n">
        <v>0</v>
      </c>
      <c r="E323" s="11" t="s">
        <v>109</v>
      </c>
      <c r="F323" s="9" t="n">
        <v>17</v>
      </c>
      <c r="G323" s="11" t="s">
        <v>110</v>
      </c>
      <c r="H323" s="9" t="n">
        <v>1110101</v>
      </c>
      <c r="I323" s="11" t="s">
        <v>111</v>
      </c>
      <c r="J323" s="9" t="n">
        <v>1295268</v>
      </c>
      <c r="L323" s="9" t="n">
        <v>1295268</v>
      </c>
      <c r="M323" s="11" t="s">
        <v>52</v>
      </c>
      <c r="N323" s="11" t="s">
        <v>112</v>
      </c>
      <c r="P323" s="9" t="n">
        <v>113</v>
      </c>
      <c r="Q323" s="11" t="s">
        <v>46</v>
      </c>
      <c r="R323" s="11" t="s">
        <v>259</v>
      </c>
      <c r="S323" s="9" t="n">
        <v>2110101</v>
      </c>
      <c r="T323" s="11" t="s">
        <v>43</v>
      </c>
      <c r="U323" s="12" t="n">
        <v>210</v>
      </c>
      <c r="W323" s="12" t="n">
        <v>210</v>
      </c>
      <c r="X323" s="11" t="s">
        <v>425</v>
      </c>
      <c r="Z323" s="0" t="str">
        <f aca="false">IF($T323="","",IFERROR(INDEX('Resumo Grupos'!$AC$3:$AC$200,MATCH($T323,'Resumo Grupos'!$AB$3:$AB$200,0)),"n/d"))</f>
        <v>Despesa</v>
      </c>
      <c r="AA323" s="0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9" t="n">
        <v>2</v>
      </c>
      <c r="B324" s="10" t="n">
        <v>46188</v>
      </c>
      <c r="C324" s="10" t="n">
        <v>46188</v>
      </c>
      <c r="D324" s="9" t="n">
        <v>0</v>
      </c>
      <c r="E324" s="11" t="s">
        <v>109</v>
      </c>
      <c r="F324" s="9" t="n">
        <v>17</v>
      </c>
      <c r="G324" s="11" t="s">
        <v>110</v>
      </c>
      <c r="H324" s="9" t="n">
        <v>1110101</v>
      </c>
      <c r="I324" s="11" t="s">
        <v>111</v>
      </c>
      <c r="J324" s="9" t="n">
        <v>1295272</v>
      </c>
      <c r="L324" s="9" t="n">
        <v>1295272</v>
      </c>
      <c r="M324" s="11" t="s">
        <v>52</v>
      </c>
      <c r="N324" s="11" t="s">
        <v>112</v>
      </c>
      <c r="P324" s="9" t="n">
        <v>113</v>
      </c>
      <c r="Q324" s="11" t="s">
        <v>46</v>
      </c>
      <c r="R324" s="11" t="s">
        <v>47</v>
      </c>
      <c r="S324" s="9" t="n">
        <v>1130101</v>
      </c>
      <c r="T324" s="11" t="s">
        <v>48</v>
      </c>
      <c r="U324" s="12" t="n">
        <v>72</v>
      </c>
      <c r="W324" s="12" t="n">
        <v>72</v>
      </c>
      <c r="X324" s="11" t="s">
        <v>426</v>
      </c>
      <c r="Z324" s="0" t="str">
        <f aca="false">IF($T324="","",IFERROR(INDEX('Resumo Grupos'!$AC$3:$AC$200,MATCH($T324,'Resumo Grupos'!$AB$3:$AB$200,0)),"n/d"))</f>
        <v>Mercadoria</v>
      </c>
      <c r="AA324" s="0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9" t="n">
        <v>2</v>
      </c>
      <c r="B325" s="10" t="n">
        <v>46188</v>
      </c>
      <c r="C325" s="10" t="n">
        <v>46188</v>
      </c>
      <c r="D325" s="9" t="n">
        <v>0</v>
      </c>
      <c r="E325" s="11" t="s">
        <v>109</v>
      </c>
      <c r="F325" s="9" t="n">
        <v>17</v>
      </c>
      <c r="G325" s="11" t="s">
        <v>110</v>
      </c>
      <c r="H325" s="9" t="n">
        <v>1110101</v>
      </c>
      <c r="I325" s="11" t="s">
        <v>111</v>
      </c>
      <c r="J325" s="9" t="n">
        <v>1295277</v>
      </c>
      <c r="L325" s="9" t="n">
        <v>1295277</v>
      </c>
      <c r="M325" s="11" t="s">
        <v>52</v>
      </c>
      <c r="N325" s="11" t="s">
        <v>112</v>
      </c>
      <c r="P325" s="9" t="n">
        <v>113</v>
      </c>
      <c r="Q325" s="11" t="s">
        <v>46</v>
      </c>
      <c r="R325" s="11" t="s">
        <v>71</v>
      </c>
      <c r="S325" s="9" t="n">
        <v>4210314</v>
      </c>
      <c r="T325" s="11" t="s">
        <v>113</v>
      </c>
      <c r="U325" s="12" t="n">
        <v>70</v>
      </c>
      <c r="W325" s="12" t="n">
        <v>70</v>
      </c>
      <c r="X325" s="11" t="s">
        <v>114</v>
      </c>
      <c r="Z325" s="0" t="str">
        <f aca="false">IF($T325="","",IFERROR(INDEX('Resumo Grupos'!$AC$3:$AC$200,MATCH($T325,'Resumo Grupos'!$AB$3:$AB$200,0)),"n/d"))</f>
        <v>Despesa</v>
      </c>
      <c r="AA325" s="0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9" t="n">
        <v>2</v>
      </c>
      <c r="B326" s="10" t="n">
        <v>46188</v>
      </c>
      <c r="C326" s="10" t="n">
        <v>46188</v>
      </c>
      <c r="D326" s="9" t="n">
        <v>0</v>
      </c>
      <c r="E326" s="11" t="s">
        <v>109</v>
      </c>
      <c r="F326" s="9" t="n">
        <v>17</v>
      </c>
      <c r="G326" s="11" t="s">
        <v>110</v>
      </c>
      <c r="H326" s="9" t="n">
        <v>1110101</v>
      </c>
      <c r="I326" s="11" t="s">
        <v>111</v>
      </c>
      <c r="J326" s="9" t="n">
        <v>1295281</v>
      </c>
      <c r="L326" s="9" t="n">
        <v>1295281</v>
      </c>
      <c r="M326" s="11" t="s">
        <v>52</v>
      </c>
      <c r="N326" s="11" t="s">
        <v>112</v>
      </c>
      <c r="P326" s="9" t="n">
        <v>113</v>
      </c>
      <c r="Q326" s="11" t="s">
        <v>46</v>
      </c>
      <c r="R326" s="11" t="s">
        <v>71</v>
      </c>
      <c r="S326" s="9" t="n">
        <v>4210314</v>
      </c>
      <c r="T326" s="11" t="s">
        <v>113</v>
      </c>
      <c r="U326" s="12" t="n">
        <v>70</v>
      </c>
      <c r="W326" s="12" t="n">
        <v>70</v>
      </c>
      <c r="X326" s="11" t="s">
        <v>427</v>
      </c>
      <c r="Z326" s="0" t="str">
        <f aca="false">IF($T326="","",IFERROR(INDEX('Resumo Grupos'!$AC$3:$AC$200,MATCH($T326,'Resumo Grupos'!$AB$3:$AB$200,0)),"n/d"))</f>
        <v>Despesa</v>
      </c>
      <c r="AA326" s="0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9" t="n">
        <v>2</v>
      </c>
      <c r="B327" s="10" t="n">
        <v>46188</v>
      </c>
      <c r="C327" s="10" t="n">
        <v>46188</v>
      </c>
      <c r="D327" s="9" t="n">
        <v>0</v>
      </c>
      <c r="E327" s="11" t="s">
        <v>109</v>
      </c>
      <c r="F327" s="9" t="n">
        <v>17</v>
      </c>
      <c r="G327" s="11" t="s">
        <v>110</v>
      </c>
      <c r="H327" s="9" t="n">
        <v>1110101</v>
      </c>
      <c r="I327" s="11" t="s">
        <v>111</v>
      </c>
      <c r="J327" s="9" t="n">
        <v>1361200</v>
      </c>
      <c r="L327" s="9" t="n">
        <v>1361200</v>
      </c>
      <c r="M327" s="11" t="s">
        <v>52</v>
      </c>
      <c r="N327" s="11" t="s">
        <v>112</v>
      </c>
      <c r="P327" s="9" t="n">
        <v>113</v>
      </c>
      <c r="Q327" s="11" t="s">
        <v>46</v>
      </c>
      <c r="R327" s="11" t="s">
        <v>116</v>
      </c>
      <c r="S327" s="9" t="n">
        <v>1110203</v>
      </c>
      <c r="T327" s="11" t="s">
        <v>117</v>
      </c>
      <c r="U327" s="12" t="n">
        <v>1850</v>
      </c>
      <c r="W327" s="12" t="n">
        <v>1850</v>
      </c>
      <c r="X327" s="11" t="s">
        <v>428</v>
      </c>
      <c r="Z327" s="0" t="str">
        <f aca="false">IF($T327="","",IFERROR(INDEX('Resumo Grupos'!$AC$3:$AC$200,MATCH($T327,'Resumo Grupos'!$AB$3:$AB$200,0)),"n/d"))</f>
        <v>Despesa</v>
      </c>
      <c r="AA327" s="0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9" t="n">
        <v>2</v>
      </c>
      <c r="B328" s="10" t="n">
        <v>46127</v>
      </c>
      <c r="C328" s="10" t="n">
        <v>46188</v>
      </c>
      <c r="D328" s="9" t="n">
        <v>512</v>
      </c>
      <c r="E328" s="11" t="s">
        <v>429</v>
      </c>
      <c r="F328" s="9" t="n">
        <v>34</v>
      </c>
      <c r="G328" s="11" t="s">
        <v>55</v>
      </c>
      <c r="H328" s="9" t="n">
        <v>2110405</v>
      </c>
      <c r="I328" s="11" t="s">
        <v>56</v>
      </c>
      <c r="J328" s="9" t="n">
        <v>954215</v>
      </c>
      <c r="L328" s="9" t="n">
        <v>126220</v>
      </c>
      <c r="M328" s="11" t="s">
        <v>67</v>
      </c>
      <c r="N328" s="11" t="s">
        <v>45</v>
      </c>
      <c r="P328" s="9" t="n">
        <v>101</v>
      </c>
      <c r="Q328" s="11" t="s">
        <v>57</v>
      </c>
      <c r="R328" s="11" t="s">
        <v>430</v>
      </c>
      <c r="S328" s="9" t="n">
        <v>4210111</v>
      </c>
      <c r="T328" s="11" t="s">
        <v>431</v>
      </c>
      <c r="U328" s="12" t="n">
        <v>5700</v>
      </c>
      <c r="W328" s="12" t="n">
        <v>0</v>
      </c>
      <c r="X328" s="11" t="s">
        <v>432</v>
      </c>
      <c r="Z328" s="0" t="str">
        <f aca="false">IF($T328="","",IFERROR(INDEX('Resumo Grupos'!$AC$3:$AC$200,MATCH($T328,'Resumo Grupos'!$AB$3:$AB$200,0)),"n/d"))</f>
        <v>Despesa</v>
      </c>
      <c r="AA328" s="0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9" t="n">
        <v>2</v>
      </c>
      <c r="B329" s="10" t="n">
        <v>46183</v>
      </c>
      <c r="C329" s="10" t="n">
        <v>46188</v>
      </c>
      <c r="D329" s="9" t="n">
        <v>1666</v>
      </c>
      <c r="E329" s="11" t="s">
        <v>266</v>
      </c>
      <c r="F329" s="9" t="n">
        <v>24</v>
      </c>
      <c r="G329" s="11" t="s">
        <v>51</v>
      </c>
      <c r="H329" s="9" t="n">
        <v>2110101</v>
      </c>
      <c r="I329" s="11" t="s">
        <v>43</v>
      </c>
      <c r="J329" s="9" t="n">
        <v>1231218</v>
      </c>
      <c r="L329" s="9" t="n">
        <v>163836</v>
      </c>
      <c r="M329" s="11" t="s">
        <v>52</v>
      </c>
      <c r="N329" s="11" t="s">
        <v>45</v>
      </c>
      <c r="P329" s="9" t="n">
        <v>113</v>
      </c>
      <c r="Q329" s="11" t="s">
        <v>46</v>
      </c>
      <c r="R329" s="11" t="s">
        <v>47</v>
      </c>
      <c r="S329" s="9" t="n">
        <v>1130101</v>
      </c>
      <c r="T329" s="11" t="s">
        <v>48</v>
      </c>
      <c r="U329" s="12" t="n">
        <v>5244.24</v>
      </c>
      <c r="W329" s="12" t="n">
        <v>0</v>
      </c>
      <c r="X329" s="11" t="s">
        <v>433</v>
      </c>
      <c r="Z329" s="0" t="str">
        <f aca="false">IF($T329="","",IFERROR(INDEX('Resumo Grupos'!$AC$3:$AC$200,MATCH($T329,'Resumo Grupos'!$AB$3:$AB$200,0)),"n/d"))</f>
        <v>Mercadoria</v>
      </c>
      <c r="AA329" s="0" t="str">
        <f aca="false">IF($T329="","",IF(COUNTIF('Resumo Grupos'!$AE$3:$AE$40,$T329)&gt;0,"NAO","SIM"))</f>
        <v>SIM</v>
      </c>
      <c r="AB329" s="0" t="str">
        <f aca="false">IFERROR(INDEX('Mov Entradas (Rel 10497)'!$L:$L,MATCH(AC329,'Mov Entradas (Rel 10497)'!$I:$I,0)),"nao encontrado")</f>
        <v>AP BARBE BIC PELE SE</v>
      </c>
      <c r="AC329" s="0" t="n">
        <v>562635</v>
      </c>
    </row>
    <row r="330" customFormat="false" ht="36.75" hidden="false" customHeight="true" outlineLevel="0" collapsed="false">
      <c r="A330" s="9" t="n">
        <v>2</v>
      </c>
      <c r="B330" s="10" t="n">
        <v>46163</v>
      </c>
      <c r="C330" s="10" t="n">
        <v>46188</v>
      </c>
      <c r="D330" s="9" t="n">
        <v>1671</v>
      </c>
      <c r="E330" s="11" t="s">
        <v>119</v>
      </c>
      <c r="F330" s="9" t="n">
        <v>24</v>
      </c>
      <c r="G330" s="11" t="s">
        <v>51</v>
      </c>
      <c r="H330" s="9" t="n">
        <v>2110101</v>
      </c>
      <c r="I330" s="11" t="s">
        <v>43</v>
      </c>
      <c r="J330" s="9" t="n">
        <v>1131480</v>
      </c>
      <c r="L330" s="9" t="n">
        <v>569926</v>
      </c>
      <c r="M330" s="11" t="s">
        <v>44</v>
      </c>
      <c r="N330" s="11" t="s">
        <v>37</v>
      </c>
      <c r="P330" s="9" t="n">
        <v>113</v>
      </c>
      <c r="Q330" s="11" t="s">
        <v>46</v>
      </c>
      <c r="R330" s="11" t="s">
        <v>47</v>
      </c>
      <c r="S330" s="9" t="n">
        <v>1130101</v>
      </c>
      <c r="T330" s="11" t="s">
        <v>48</v>
      </c>
      <c r="U330" s="12" t="n">
        <v>680.53</v>
      </c>
      <c r="W330" s="12" t="n">
        <v>0</v>
      </c>
      <c r="X330" s="11" t="s">
        <v>301</v>
      </c>
      <c r="Z330" s="0" t="str">
        <f aca="false">IF($T330="","",IFERROR(INDEX('Resumo Grupos'!$AC$3:$AC$200,MATCH($T330,'Resumo Grupos'!$AB$3:$AB$200,0)),"n/d"))</f>
        <v>Mercadoria</v>
      </c>
      <c r="AA330" s="0" t="str">
        <f aca="false">IF($T330="","",IF(COUNTIF('Resumo Grupos'!$AE$3:$AE$40,$T330)&gt;0,"NAO","SIM"))</f>
        <v>SIM</v>
      </c>
      <c r="AB330" s="0" t="str">
        <f aca="false">IFERROR(INDEX('Mov Entradas (Rel 10497)'!$L:$L,MATCH(AC330,'Mov Entradas (Rel 10497)'!$I:$I,0)),"nao encontrado")</f>
        <v>nao encontrado</v>
      </c>
      <c r="AC330" s="0" t="n">
        <v>569926</v>
      </c>
    </row>
    <row r="331" customFormat="false" ht="45.75" hidden="false" customHeight="true" outlineLevel="0" collapsed="false">
      <c r="A331" s="9" t="n">
        <v>2</v>
      </c>
      <c r="B331" s="10" t="n">
        <v>46164</v>
      </c>
      <c r="C331" s="10" t="n">
        <v>46188</v>
      </c>
      <c r="D331" s="9" t="n">
        <v>1671</v>
      </c>
      <c r="E331" s="11" t="s">
        <v>119</v>
      </c>
      <c r="F331" s="9" t="n">
        <v>24</v>
      </c>
      <c r="G331" s="11" t="s">
        <v>51</v>
      </c>
      <c r="H331" s="9" t="n">
        <v>2110101</v>
      </c>
      <c r="I331" s="11" t="s">
        <v>43</v>
      </c>
      <c r="J331" s="9" t="n">
        <v>1138291</v>
      </c>
      <c r="L331" s="9" t="n">
        <v>151112</v>
      </c>
      <c r="M331" s="11" t="s">
        <v>52</v>
      </c>
      <c r="N331" s="11" t="s">
        <v>45</v>
      </c>
      <c r="P331" s="9" t="n">
        <v>113</v>
      </c>
      <c r="Q331" s="11" t="s">
        <v>46</v>
      </c>
      <c r="R331" s="11" t="s">
        <v>47</v>
      </c>
      <c r="S331" s="9" t="n">
        <v>1130101</v>
      </c>
      <c r="T331" s="11" t="s">
        <v>48</v>
      </c>
      <c r="U331" s="12" t="n">
        <v>1095.36</v>
      </c>
      <c r="W331" s="12" t="n">
        <v>0</v>
      </c>
      <c r="X331" s="11" t="s">
        <v>434</v>
      </c>
      <c r="Z331" s="0" t="str">
        <f aca="false">IF($T331="","",IFERROR(INDEX('Resumo Grupos'!$AC$3:$AC$200,MATCH($T331,'Resumo Grupos'!$AB$3:$AB$200,0)),"n/d"))</f>
        <v>Mercadoria</v>
      </c>
      <c r="AA331" s="0" t="str">
        <f aca="false">IF($T331="","",IF(COUNTIF('Resumo Grupos'!$AE$3:$AE$40,$T331)&gt;0,"NAO","SIM"))</f>
        <v>SIM</v>
      </c>
      <c r="AB331" s="0" t="str">
        <f aca="false">IFERROR(INDEX('Mov Entradas (Rel 10497)'!$L:$L,MATCH(AC331,'Mov Entradas (Rel 10497)'!$I:$I,0)),"nao encontrado")</f>
        <v>nao encontrado</v>
      </c>
      <c r="AC331" s="0" t="n">
        <v>596625</v>
      </c>
    </row>
    <row r="332" customFormat="false" ht="36.75" hidden="false" customHeight="true" outlineLevel="0" collapsed="false">
      <c r="A332" s="9" t="n">
        <v>2</v>
      </c>
      <c r="B332" s="10" t="n">
        <v>46188</v>
      </c>
      <c r="C332" s="10" t="n">
        <v>46188</v>
      </c>
      <c r="D332" s="9" t="n">
        <v>1671</v>
      </c>
      <c r="E332" s="11" t="s">
        <v>119</v>
      </c>
      <c r="F332" s="9" t="n">
        <v>24</v>
      </c>
      <c r="G332" s="11" t="s">
        <v>51</v>
      </c>
      <c r="H332" s="9" t="n">
        <v>2110101</v>
      </c>
      <c r="I332" s="11" t="s">
        <v>43</v>
      </c>
      <c r="J332" s="9" t="n">
        <v>1749692</v>
      </c>
      <c r="L332" s="9" t="n">
        <v>241128</v>
      </c>
      <c r="M332" s="11" t="s">
        <v>52</v>
      </c>
      <c r="N332" s="11" t="s">
        <v>45</v>
      </c>
      <c r="P332" s="9" t="n">
        <v>101</v>
      </c>
      <c r="Q332" s="11" t="s">
        <v>57</v>
      </c>
      <c r="R332" s="11" t="s">
        <v>47</v>
      </c>
      <c r="S332" s="9" t="n">
        <v>1130101</v>
      </c>
      <c r="T332" s="11" t="s">
        <v>48</v>
      </c>
      <c r="U332" s="12" t="n">
        <v>2</v>
      </c>
      <c r="W332" s="12" t="n">
        <v>0</v>
      </c>
      <c r="X332" s="11" t="s">
        <v>435</v>
      </c>
      <c r="Z332" s="0" t="str">
        <f aca="false">IF($T332="","",IFERROR(INDEX('Resumo Grupos'!$AC$3:$AC$200,MATCH($T332,'Resumo Grupos'!$AB$3:$AB$200,0)),"n/d"))</f>
        <v>Mercadoria</v>
      </c>
      <c r="AA332" s="0" t="str">
        <f aca="false">IF($T332="","",IF(COUNTIF('Resumo Grupos'!$AE$3:$AE$40,$T332)&gt;0,"NAO","SIM"))</f>
        <v>SIM</v>
      </c>
      <c r="AB332" s="0" t="str">
        <f aca="false">IFERROR(INDEX('Mov Entradas (Rel 10497)'!$L:$L,MATCH(AC332,'Mov Entradas (Rel 10497)'!$I:$I,0)),"nao encontrado")</f>
        <v>nao encontrado</v>
      </c>
      <c r="AC332" s="0" t="n">
        <v>569926</v>
      </c>
    </row>
    <row r="333" customFormat="false" ht="45.75" hidden="false" customHeight="true" outlineLevel="0" collapsed="false">
      <c r="A333" s="9" t="n">
        <v>2</v>
      </c>
      <c r="B333" s="10" t="n">
        <v>46188</v>
      </c>
      <c r="C333" s="10" t="n">
        <v>46188</v>
      </c>
      <c r="D333" s="9" t="n">
        <v>1671</v>
      </c>
      <c r="E333" s="11" t="s">
        <v>119</v>
      </c>
      <c r="F333" s="9" t="n">
        <v>24</v>
      </c>
      <c r="G333" s="11" t="s">
        <v>51</v>
      </c>
      <c r="H333" s="9" t="n">
        <v>2110101</v>
      </c>
      <c r="I333" s="11" t="s">
        <v>43</v>
      </c>
      <c r="J333" s="9" t="n">
        <v>1749694</v>
      </c>
      <c r="L333" s="9" t="n">
        <v>241129</v>
      </c>
      <c r="M333" s="11" t="s">
        <v>52</v>
      </c>
      <c r="N333" s="11" t="s">
        <v>45</v>
      </c>
      <c r="P333" s="9" t="n">
        <v>101</v>
      </c>
      <c r="Q333" s="11" t="s">
        <v>57</v>
      </c>
      <c r="R333" s="11" t="s">
        <v>47</v>
      </c>
      <c r="S333" s="9" t="n">
        <v>1130101</v>
      </c>
      <c r="T333" s="11" t="s">
        <v>48</v>
      </c>
      <c r="U333" s="12" t="n">
        <v>2</v>
      </c>
      <c r="W333" s="12" t="n">
        <v>0</v>
      </c>
      <c r="X333" s="11" t="s">
        <v>436</v>
      </c>
      <c r="Z333" s="0" t="str">
        <f aca="false">IF($T333="","",IFERROR(INDEX('Resumo Grupos'!$AC$3:$AC$200,MATCH($T333,'Resumo Grupos'!$AB$3:$AB$200,0)),"n/d"))</f>
        <v>Mercadoria</v>
      </c>
      <c r="AA333" s="0" t="str">
        <f aca="false">IF($T333="","",IF(COUNTIF('Resumo Grupos'!$AE$3:$AE$40,$T333)&gt;0,"NAO","SIM"))</f>
        <v>SIM</v>
      </c>
      <c r="AB333" s="0" t="str">
        <f aca="false">IFERROR(INDEX('Mov Entradas (Rel 10497)'!$L:$L,MATCH(AC333,'Mov Entradas (Rel 10497)'!$I:$I,0)),"nao encontrado")</f>
        <v>nao encontrado</v>
      </c>
      <c r="AC333" s="0" t="n">
        <v>569926</v>
      </c>
    </row>
    <row r="334" customFormat="false" ht="36.75" hidden="false" customHeight="true" outlineLevel="0" collapsed="false">
      <c r="A334" s="9" t="n">
        <v>2</v>
      </c>
      <c r="B334" s="10" t="n">
        <v>46188</v>
      </c>
      <c r="C334" s="10" t="n">
        <v>46188</v>
      </c>
      <c r="D334" s="9" t="n">
        <v>18</v>
      </c>
      <c r="E334" s="11" t="s">
        <v>121</v>
      </c>
      <c r="F334" s="9" t="n">
        <v>34</v>
      </c>
      <c r="G334" s="11" t="s">
        <v>55</v>
      </c>
      <c r="H334" s="9" t="n">
        <v>2110405</v>
      </c>
      <c r="I334" s="11" t="s">
        <v>56</v>
      </c>
      <c r="J334" s="9" t="n">
        <v>1257010</v>
      </c>
      <c r="L334" s="9" t="n">
        <v>167615</v>
      </c>
      <c r="M334" s="11" t="s">
        <v>52</v>
      </c>
      <c r="N334" s="11" t="s">
        <v>45</v>
      </c>
      <c r="P334" s="9" t="n">
        <v>113</v>
      </c>
      <c r="Q334" s="11" t="s">
        <v>46</v>
      </c>
      <c r="R334" s="11" t="s">
        <v>71</v>
      </c>
      <c r="S334" s="9" t="n">
        <v>4210301</v>
      </c>
      <c r="T334" s="11" t="s">
        <v>220</v>
      </c>
      <c r="U334" s="12" t="n">
        <v>600</v>
      </c>
      <c r="W334" s="12" t="n">
        <v>0</v>
      </c>
      <c r="X334" s="11" t="s">
        <v>402</v>
      </c>
      <c r="Z334" s="0" t="str">
        <f aca="false">IF($T334="","",IFERROR(INDEX('Resumo Grupos'!$AC$3:$AC$200,MATCH($T334,'Resumo Grupos'!$AB$3:$AB$200,0)),"n/d"))</f>
        <v>Salários</v>
      </c>
      <c r="AA334" s="0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9" t="n">
        <v>2</v>
      </c>
      <c r="B335" s="10" t="n">
        <v>46186</v>
      </c>
      <c r="C335" s="10" t="n">
        <v>46189</v>
      </c>
      <c r="D335" s="9" t="n">
        <v>642</v>
      </c>
      <c r="E335" s="11" t="s">
        <v>123</v>
      </c>
      <c r="F335" s="9" t="n">
        <v>24</v>
      </c>
      <c r="G335" s="11" t="s">
        <v>51</v>
      </c>
      <c r="H335" s="9" t="n">
        <v>2110101</v>
      </c>
      <c r="I335" s="11" t="s">
        <v>43</v>
      </c>
      <c r="J335" s="9" t="n">
        <v>1244039</v>
      </c>
      <c r="L335" s="9" t="n">
        <v>496</v>
      </c>
      <c r="M335" s="11" t="s">
        <v>52</v>
      </c>
      <c r="N335" s="11" t="s">
        <v>37</v>
      </c>
      <c r="P335" s="9" t="n">
        <v>113</v>
      </c>
      <c r="Q335" s="11" t="s">
        <v>46</v>
      </c>
      <c r="R335" s="11" t="s">
        <v>47</v>
      </c>
      <c r="S335" s="9" t="n">
        <v>1130101</v>
      </c>
      <c r="T335" s="11" t="s">
        <v>48</v>
      </c>
      <c r="U335" s="12" t="n">
        <v>180</v>
      </c>
      <c r="W335" s="12" t="n">
        <v>0</v>
      </c>
      <c r="X335" s="11" t="s">
        <v>437</v>
      </c>
      <c r="Z335" s="0" t="str">
        <f aca="false">IF($T335="","",IFERROR(INDEX('Resumo Grupos'!$AC$3:$AC$200,MATCH($T335,'Resumo Grupos'!$AB$3:$AB$200,0)),"n/d"))</f>
        <v>Mercadoria</v>
      </c>
      <c r="AA335" s="0" t="str">
        <f aca="false">IF($T335="","",IF(COUNTIF('Resumo Grupos'!$AE$3:$AE$40,$T335)&gt;0,"NAO","SIM"))</f>
        <v>SIM</v>
      </c>
      <c r="AB335" s="0" t="str">
        <f aca="false">IFERROR(INDEX('Mov Entradas (Rel 10497)'!$L:$L,MATCH(AC335,'Mov Entradas (Rel 10497)'!$I:$I,0)),"nao encontrado")</f>
        <v>BOLO BLOOM 600G</v>
      </c>
      <c r="AC335" s="0" t="n">
        <v>496</v>
      </c>
    </row>
    <row r="336" customFormat="false" ht="36.75" hidden="false" customHeight="true" outlineLevel="0" collapsed="false">
      <c r="A336" s="9" t="n">
        <v>2</v>
      </c>
      <c r="B336" s="10" t="n">
        <v>46182</v>
      </c>
      <c r="C336" s="10" t="n">
        <v>46189</v>
      </c>
      <c r="D336" s="9" t="n">
        <v>1650</v>
      </c>
      <c r="E336" s="11" t="s">
        <v>438</v>
      </c>
      <c r="F336" s="9" t="n">
        <v>24</v>
      </c>
      <c r="G336" s="11" t="s">
        <v>51</v>
      </c>
      <c r="H336" s="9" t="n">
        <v>2110101</v>
      </c>
      <c r="I336" s="11" t="s">
        <v>43</v>
      </c>
      <c r="J336" s="9" t="n">
        <v>1228116</v>
      </c>
      <c r="L336" s="9" t="n">
        <v>223109</v>
      </c>
      <c r="M336" s="11" t="s">
        <v>52</v>
      </c>
      <c r="N336" s="11" t="s">
        <v>37</v>
      </c>
      <c r="P336" s="9" t="n">
        <v>113</v>
      </c>
      <c r="Q336" s="11" t="s">
        <v>46</v>
      </c>
      <c r="R336" s="11" t="s">
        <v>47</v>
      </c>
      <c r="S336" s="9" t="n">
        <v>1130101</v>
      </c>
      <c r="T336" s="11" t="s">
        <v>48</v>
      </c>
      <c r="U336" s="12" t="n">
        <v>796.16</v>
      </c>
      <c r="W336" s="12" t="n">
        <v>0</v>
      </c>
      <c r="X336" s="11" t="s">
        <v>439</v>
      </c>
      <c r="Z336" s="0" t="str">
        <f aca="false">IF($T336="","",IFERROR(INDEX('Resumo Grupos'!$AC$3:$AC$200,MATCH($T336,'Resumo Grupos'!$AB$3:$AB$200,0)),"n/d"))</f>
        <v>Mercadoria</v>
      </c>
      <c r="AA336" s="0" t="str">
        <f aca="false">IF($T336="","",IF(COUNTIF('Resumo Grupos'!$AE$3:$AE$40,$T336)&gt;0,"NAO","SIM"))</f>
        <v>SIM</v>
      </c>
      <c r="AB336" s="0" t="str">
        <f aca="false">IFERROR(INDEX('Mov Entradas (Rel 10497)'!$L:$L,MATCH(AC336,'Mov Entradas (Rel 10497)'!$I:$I,0)),"nao encontrado")</f>
        <v>IOG.B.COMODORO SAC</v>
      </c>
      <c r="AC336" s="0" t="n">
        <v>223109</v>
      </c>
    </row>
    <row r="337" customFormat="false" ht="36.75" hidden="false" customHeight="true" outlineLevel="0" collapsed="false">
      <c r="A337" s="9" t="n">
        <v>2</v>
      </c>
      <c r="B337" s="10" t="n">
        <v>46183</v>
      </c>
      <c r="C337" s="10" t="n">
        <v>46189</v>
      </c>
      <c r="D337" s="9" t="n">
        <v>1625</v>
      </c>
      <c r="E337" s="11" t="s">
        <v>270</v>
      </c>
      <c r="F337" s="9" t="n">
        <v>24</v>
      </c>
      <c r="G337" s="11" t="s">
        <v>51</v>
      </c>
      <c r="H337" s="9" t="n">
        <v>2110101</v>
      </c>
      <c r="I337" s="11" t="s">
        <v>43</v>
      </c>
      <c r="J337" s="9" t="n">
        <v>1231585</v>
      </c>
      <c r="L337" s="9" t="n">
        <v>14437</v>
      </c>
      <c r="M337" s="11" t="s">
        <v>52</v>
      </c>
      <c r="N337" s="11" t="s">
        <v>37</v>
      </c>
      <c r="P337" s="9" t="n">
        <v>113</v>
      </c>
      <c r="Q337" s="11" t="s">
        <v>46</v>
      </c>
      <c r="R337" s="11" t="s">
        <v>47</v>
      </c>
      <c r="S337" s="9" t="n">
        <v>1130101</v>
      </c>
      <c r="T337" s="11" t="s">
        <v>48</v>
      </c>
      <c r="U337" s="12" t="n">
        <v>4433</v>
      </c>
      <c r="W337" s="12" t="n">
        <v>0</v>
      </c>
      <c r="X337" s="11" t="s">
        <v>440</v>
      </c>
      <c r="Z337" s="0" t="str">
        <f aca="false">IF($T337="","",IFERROR(INDEX('Resumo Grupos'!$AC$3:$AC$200,MATCH($T337,'Resumo Grupos'!$AB$3:$AB$200,0)),"n/d"))</f>
        <v>Mercadoria</v>
      </c>
      <c r="AA337" s="0" t="str">
        <f aca="false">IF($T337="","",IF(COUNTIF('Resumo Grupos'!$AE$3:$AE$40,$T337)&gt;0,"NAO","SIM"))</f>
        <v>SIM</v>
      </c>
      <c r="AB337" s="0" t="str">
        <f aca="false">IFERROR(INDEX('Mov Entradas (Rel 10497)'!$L:$L,MATCH(AC337,'Mov Entradas (Rel 10497)'!$I:$I,0)),"nao encontrado")</f>
        <v>TRASEIRO DE BOI L1</v>
      </c>
      <c r="AC337" s="0" t="n">
        <v>14437</v>
      </c>
    </row>
    <row r="338" customFormat="false" ht="27.75" hidden="false" customHeight="true" outlineLevel="0" collapsed="false">
      <c r="A338" s="9" t="n">
        <v>2</v>
      </c>
      <c r="B338" s="10" t="n">
        <v>46183</v>
      </c>
      <c r="C338" s="10" t="n">
        <v>46189</v>
      </c>
      <c r="D338" s="9" t="n">
        <v>48</v>
      </c>
      <c r="E338" s="11" t="s">
        <v>153</v>
      </c>
      <c r="F338" s="9" t="n">
        <v>34</v>
      </c>
      <c r="G338" s="11" t="s">
        <v>55</v>
      </c>
      <c r="H338" s="9" t="n">
        <v>2110101</v>
      </c>
      <c r="I338" s="11" t="s">
        <v>43</v>
      </c>
      <c r="J338" s="9" t="n">
        <v>1231001</v>
      </c>
      <c r="L338" s="9" t="n">
        <v>2488</v>
      </c>
      <c r="M338" s="11" t="s">
        <v>52</v>
      </c>
      <c r="N338" s="11" t="s">
        <v>37</v>
      </c>
      <c r="P338" s="9" t="n">
        <v>113</v>
      </c>
      <c r="Q338" s="11" t="s">
        <v>46</v>
      </c>
      <c r="R338" s="11" t="s">
        <v>47</v>
      </c>
      <c r="S338" s="9" t="n">
        <v>1130101</v>
      </c>
      <c r="T338" s="11" t="s">
        <v>48</v>
      </c>
      <c r="U338" s="12" t="n">
        <v>1094</v>
      </c>
      <c r="W338" s="12" t="n">
        <v>0</v>
      </c>
      <c r="X338" s="11" t="s">
        <v>441</v>
      </c>
      <c r="Z338" s="0" t="str">
        <f aca="false">IF($T338="","",IFERROR(INDEX('Resumo Grupos'!$AC$3:$AC$200,MATCH($T338,'Resumo Grupos'!$AB$3:$AB$200,0)),"n/d"))</f>
        <v>Mercadoria</v>
      </c>
      <c r="AA338" s="0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9" t="n">
        <v>2</v>
      </c>
      <c r="B339" s="10" t="n">
        <v>46189</v>
      </c>
      <c r="C339" s="10" t="n">
        <v>46189</v>
      </c>
      <c r="D339" s="9" t="n">
        <v>48</v>
      </c>
      <c r="E339" s="11" t="s">
        <v>153</v>
      </c>
      <c r="F339" s="9" t="n">
        <v>34</v>
      </c>
      <c r="G339" s="11" t="s">
        <v>55</v>
      </c>
      <c r="H339" s="9" t="n">
        <v>2110101</v>
      </c>
      <c r="I339" s="11" t="s">
        <v>43</v>
      </c>
      <c r="J339" s="9" t="n">
        <v>1261940</v>
      </c>
      <c r="L339" s="9" t="n">
        <v>2499</v>
      </c>
      <c r="M339" s="11" t="s">
        <v>52</v>
      </c>
      <c r="N339" s="11" t="s">
        <v>37</v>
      </c>
      <c r="P339" s="9" t="n">
        <v>113</v>
      </c>
      <c r="Q339" s="11" t="s">
        <v>46</v>
      </c>
      <c r="R339" s="11" t="s">
        <v>47</v>
      </c>
      <c r="S339" s="9" t="n">
        <v>1130101</v>
      </c>
      <c r="T339" s="11" t="s">
        <v>48</v>
      </c>
      <c r="U339" s="12" t="n">
        <v>1513.16</v>
      </c>
      <c r="W339" s="12" t="n">
        <v>0</v>
      </c>
      <c r="X339" s="11" t="s">
        <v>442</v>
      </c>
      <c r="Z339" s="0" t="str">
        <f aca="false">IF($T339="","",IFERROR(INDEX('Resumo Grupos'!$AC$3:$AC$200,MATCH($T339,'Resumo Grupos'!$AB$3:$AB$200,0)),"n/d"))</f>
        <v>Mercadoria</v>
      </c>
      <c r="AA339" s="0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9" t="n">
        <v>2</v>
      </c>
      <c r="B340" s="10" t="n">
        <v>46182</v>
      </c>
      <c r="C340" s="10" t="n">
        <v>46189</v>
      </c>
      <c r="D340" s="9" t="n">
        <v>1123</v>
      </c>
      <c r="E340" s="11" t="s">
        <v>443</v>
      </c>
      <c r="F340" s="9" t="n">
        <v>24</v>
      </c>
      <c r="G340" s="11" t="s">
        <v>51</v>
      </c>
      <c r="H340" s="9" t="n">
        <v>2110101</v>
      </c>
      <c r="I340" s="11" t="s">
        <v>43</v>
      </c>
      <c r="J340" s="9" t="n">
        <v>1228096</v>
      </c>
      <c r="L340" s="9" t="n">
        <v>40955</v>
      </c>
      <c r="M340" s="11" t="s">
        <v>52</v>
      </c>
      <c r="N340" s="11" t="s">
        <v>37</v>
      </c>
      <c r="P340" s="9" t="n">
        <v>113</v>
      </c>
      <c r="Q340" s="11" t="s">
        <v>46</v>
      </c>
      <c r="R340" s="11" t="s">
        <v>47</v>
      </c>
      <c r="S340" s="9" t="n">
        <v>1130101</v>
      </c>
      <c r="T340" s="11" t="s">
        <v>48</v>
      </c>
      <c r="U340" s="12" t="n">
        <v>460</v>
      </c>
      <c r="W340" s="12" t="n">
        <v>0</v>
      </c>
      <c r="X340" s="11" t="s">
        <v>444</v>
      </c>
      <c r="Z340" s="0" t="str">
        <f aca="false">IF($T340="","",IFERROR(INDEX('Resumo Grupos'!$AC$3:$AC$200,MATCH($T340,'Resumo Grupos'!$AB$3:$AB$200,0)),"n/d"))</f>
        <v>Mercadoria</v>
      </c>
      <c r="AA340" s="0" t="str">
        <f aca="false">IF($T340="","",IF(COUNTIF('Resumo Grupos'!$AE$3:$AE$40,$T340)&gt;0,"NAO","SIM"))</f>
        <v>SIM</v>
      </c>
      <c r="AB340" s="0" t="str">
        <f aca="false">IFERROR(INDEX('Mov Entradas (Rel 10497)'!$L:$L,MATCH(AC340,'Mov Entradas (Rel 10497)'!$I:$I,0)),"nao encontrado")</f>
        <v>QUEIJO MUSSARELA INT</v>
      </c>
      <c r="AC340" s="0" t="n">
        <v>40955</v>
      </c>
    </row>
    <row r="341" customFormat="false" ht="36.75" hidden="false" customHeight="true" outlineLevel="0" collapsed="false">
      <c r="A341" s="9" t="n">
        <v>2</v>
      </c>
      <c r="B341" s="10" t="n">
        <v>46189</v>
      </c>
      <c r="C341" s="10" t="n">
        <v>46189</v>
      </c>
      <c r="D341" s="9" t="n">
        <v>0</v>
      </c>
      <c r="E341" s="11" t="s">
        <v>109</v>
      </c>
      <c r="F341" s="9" t="n">
        <v>17</v>
      </c>
      <c r="G341" s="11" t="s">
        <v>110</v>
      </c>
      <c r="H341" s="9" t="n">
        <v>1110101</v>
      </c>
      <c r="I341" s="11" t="s">
        <v>111</v>
      </c>
      <c r="J341" s="9" t="n">
        <v>1295317</v>
      </c>
      <c r="L341" s="9" t="n">
        <v>1295317</v>
      </c>
      <c r="M341" s="11" t="s">
        <v>52</v>
      </c>
      <c r="N341" s="11" t="s">
        <v>112</v>
      </c>
      <c r="P341" s="9" t="n">
        <v>113</v>
      </c>
      <c r="Q341" s="11" t="s">
        <v>46</v>
      </c>
      <c r="R341" s="11" t="s">
        <v>71</v>
      </c>
      <c r="S341" s="9" t="n">
        <v>4210316</v>
      </c>
      <c r="T341" s="11" t="s">
        <v>159</v>
      </c>
      <c r="U341" s="12" t="n">
        <v>50</v>
      </c>
      <c r="W341" s="12" t="n">
        <v>50</v>
      </c>
      <c r="X341" s="11" t="s">
        <v>263</v>
      </c>
      <c r="Z341" s="0" t="str">
        <f aca="false">IF($T341="","",IFERROR(INDEX('Resumo Grupos'!$AC$3:$AC$200,MATCH($T341,'Resumo Grupos'!$AB$3:$AB$200,0)),"n/d"))</f>
        <v>Salários</v>
      </c>
      <c r="AA341" s="0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9" t="n">
        <v>2</v>
      </c>
      <c r="B342" s="10" t="n">
        <v>46189</v>
      </c>
      <c r="C342" s="10" t="n">
        <v>46189</v>
      </c>
      <c r="D342" s="9" t="n">
        <v>0</v>
      </c>
      <c r="E342" s="11" t="s">
        <v>109</v>
      </c>
      <c r="F342" s="9" t="n">
        <v>17</v>
      </c>
      <c r="G342" s="11" t="s">
        <v>110</v>
      </c>
      <c r="H342" s="9" t="n">
        <v>1110101</v>
      </c>
      <c r="I342" s="11" t="s">
        <v>111</v>
      </c>
      <c r="J342" s="9" t="n">
        <v>1295318</v>
      </c>
      <c r="L342" s="9" t="n">
        <v>1295318</v>
      </c>
      <c r="M342" s="11" t="s">
        <v>52</v>
      </c>
      <c r="N342" s="11" t="s">
        <v>112</v>
      </c>
      <c r="P342" s="9" t="n">
        <v>113</v>
      </c>
      <c r="Q342" s="11" t="s">
        <v>46</v>
      </c>
      <c r="R342" s="11" t="s">
        <v>71</v>
      </c>
      <c r="S342" s="9" t="n">
        <v>4210314</v>
      </c>
      <c r="T342" s="11" t="s">
        <v>113</v>
      </c>
      <c r="U342" s="12" t="n">
        <v>70</v>
      </c>
      <c r="W342" s="12" t="n">
        <v>70</v>
      </c>
      <c r="X342" s="11" t="s">
        <v>115</v>
      </c>
      <c r="Z342" s="0" t="str">
        <f aca="false">IF($T342="","",IFERROR(INDEX('Resumo Grupos'!$AC$3:$AC$200,MATCH($T342,'Resumo Grupos'!$AB$3:$AB$200,0)),"n/d"))</f>
        <v>Despesa</v>
      </c>
      <c r="AA342" s="0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9" t="n">
        <v>2</v>
      </c>
      <c r="B343" s="10" t="n">
        <v>46189</v>
      </c>
      <c r="C343" s="10" t="n">
        <v>46189</v>
      </c>
      <c r="D343" s="9" t="n">
        <v>0</v>
      </c>
      <c r="E343" s="11" t="s">
        <v>109</v>
      </c>
      <c r="F343" s="9" t="n">
        <v>17</v>
      </c>
      <c r="G343" s="11" t="s">
        <v>110</v>
      </c>
      <c r="H343" s="9" t="n">
        <v>1110101</v>
      </c>
      <c r="I343" s="11" t="s">
        <v>111</v>
      </c>
      <c r="J343" s="9" t="n">
        <v>1295320</v>
      </c>
      <c r="L343" s="9" t="n">
        <v>1295320</v>
      </c>
      <c r="M343" s="11" t="s">
        <v>52</v>
      </c>
      <c r="N343" s="11" t="s">
        <v>112</v>
      </c>
      <c r="P343" s="9" t="n">
        <v>113</v>
      </c>
      <c r="Q343" s="11" t="s">
        <v>46</v>
      </c>
      <c r="R343" s="11" t="s">
        <v>39</v>
      </c>
      <c r="S343" s="9" t="n">
        <v>4210227</v>
      </c>
      <c r="T343" s="11" t="s">
        <v>68</v>
      </c>
      <c r="U343" s="12" t="n">
        <v>50</v>
      </c>
      <c r="W343" s="12" t="n">
        <v>50</v>
      </c>
      <c r="X343" s="11" t="s">
        <v>445</v>
      </c>
      <c r="Z343" s="0" t="str">
        <f aca="false">IF($T343="","",IFERROR(INDEX('Resumo Grupos'!$AC$3:$AC$200,MATCH($T343,'Resumo Grupos'!$AB$3:$AB$200,0)),"n/d"))</f>
        <v>Despesa</v>
      </c>
      <c r="AA343" s="0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9" t="n">
        <v>2</v>
      </c>
      <c r="B344" s="10" t="n">
        <v>46189</v>
      </c>
      <c r="C344" s="10" t="n">
        <v>46189</v>
      </c>
      <c r="D344" s="9" t="n">
        <v>0</v>
      </c>
      <c r="E344" s="11" t="s">
        <v>109</v>
      </c>
      <c r="F344" s="9" t="n">
        <v>17</v>
      </c>
      <c r="G344" s="11" t="s">
        <v>110</v>
      </c>
      <c r="H344" s="9" t="n">
        <v>1110101</v>
      </c>
      <c r="I344" s="11" t="s">
        <v>111</v>
      </c>
      <c r="J344" s="9" t="n">
        <v>1361209</v>
      </c>
      <c r="L344" s="9" t="n">
        <v>1361209</v>
      </c>
      <c r="M344" s="11" t="s">
        <v>52</v>
      </c>
      <c r="N344" s="11" t="s">
        <v>112</v>
      </c>
      <c r="P344" s="9" t="n">
        <v>113</v>
      </c>
      <c r="Q344" s="11" t="s">
        <v>46</v>
      </c>
      <c r="R344" s="11" t="s">
        <v>116</v>
      </c>
      <c r="S344" s="9" t="n">
        <v>1110203</v>
      </c>
      <c r="T344" s="11" t="s">
        <v>117</v>
      </c>
      <c r="U344" s="12" t="n">
        <v>2300</v>
      </c>
      <c r="W344" s="12" t="n">
        <v>2300</v>
      </c>
      <c r="X344" s="11" t="s">
        <v>446</v>
      </c>
      <c r="Z344" s="0" t="str">
        <f aca="false">IF($T344="","",IFERROR(INDEX('Resumo Grupos'!$AC$3:$AC$200,MATCH($T344,'Resumo Grupos'!$AB$3:$AB$200,0)),"n/d"))</f>
        <v>Despesa</v>
      </c>
      <c r="AA344" s="0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9" t="n">
        <v>2</v>
      </c>
      <c r="B345" s="10" t="n">
        <v>46186</v>
      </c>
      <c r="C345" s="10" t="n">
        <v>46190</v>
      </c>
      <c r="D345" s="9" t="n">
        <v>10018</v>
      </c>
      <c r="E345" s="11" t="s">
        <v>216</v>
      </c>
      <c r="F345" s="9" t="n">
        <v>34</v>
      </c>
      <c r="G345" s="11" t="s">
        <v>55</v>
      </c>
      <c r="H345" s="9" t="n">
        <v>2110101</v>
      </c>
      <c r="I345" s="11" t="s">
        <v>43</v>
      </c>
      <c r="J345" s="9" t="n">
        <v>1244883</v>
      </c>
      <c r="L345" s="9" t="n">
        <v>299</v>
      </c>
      <c r="M345" s="11" t="s">
        <v>52</v>
      </c>
      <c r="N345" s="11" t="s">
        <v>37</v>
      </c>
      <c r="P345" s="9" t="n">
        <v>113</v>
      </c>
      <c r="Q345" s="11" t="s">
        <v>46</v>
      </c>
      <c r="R345" s="11" t="s">
        <v>47</v>
      </c>
      <c r="S345" s="9" t="n">
        <v>1130101</v>
      </c>
      <c r="T345" s="11" t="s">
        <v>48</v>
      </c>
      <c r="U345" s="12" t="n">
        <v>950</v>
      </c>
      <c r="W345" s="12" t="n">
        <v>0</v>
      </c>
      <c r="X345" s="11" t="s">
        <v>447</v>
      </c>
      <c r="Z345" s="0" t="str">
        <f aca="false">IF($T345="","",IFERROR(INDEX('Resumo Grupos'!$AC$3:$AC$200,MATCH($T345,'Resumo Grupos'!$AB$3:$AB$200,0)),"n/d"))</f>
        <v>Mercadoria</v>
      </c>
      <c r="AA345" s="0" t="str">
        <f aca="false">IF($T345="","",IF(COUNTIF('Resumo Grupos'!$AE$3:$AE$40,$T345)&gt;0,"NAO","SIM"))</f>
        <v>SIM</v>
      </c>
      <c r="AB345" s="0" t="str">
        <f aca="false">IFERROR(INDEX('Mov Entradas (Rel 10497)'!$L:$L,MATCH(AC345,'Mov Entradas (Rel 10497)'!$I:$I,0)),"nao encontrado")</f>
        <v>OVOS BRANCO UNID</v>
      </c>
      <c r="AC345" s="0" t="n">
        <v>299</v>
      </c>
    </row>
    <row r="346" customFormat="false" ht="54.75" hidden="false" customHeight="true" outlineLevel="0" collapsed="false">
      <c r="A346" s="9" t="n">
        <v>2</v>
      </c>
      <c r="B346" s="10" t="n">
        <v>46170</v>
      </c>
      <c r="C346" s="10" t="n">
        <v>46190</v>
      </c>
      <c r="D346" s="9" t="n">
        <v>1635</v>
      </c>
      <c r="E346" s="11" t="s">
        <v>128</v>
      </c>
      <c r="F346" s="9" t="n">
        <v>24</v>
      </c>
      <c r="G346" s="11" t="s">
        <v>51</v>
      </c>
      <c r="H346" s="9" t="n">
        <v>2110101</v>
      </c>
      <c r="I346" s="11" t="s">
        <v>43</v>
      </c>
      <c r="J346" s="9" t="n">
        <v>1167024</v>
      </c>
      <c r="L346" s="9" t="n">
        <v>517177</v>
      </c>
      <c r="M346" s="11" t="s">
        <v>44</v>
      </c>
      <c r="N346" s="11" t="s">
        <v>37</v>
      </c>
      <c r="P346" s="9" t="n">
        <v>113</v>
      </c>
      <c r="Q346" s="11" t="s">
        <v>46</v>
      </c>
      <c r="R346" s="11" t="s">
        <v>47</v>
      </c>
      <c r="S346" s="9" t="n">
        <v>1130101</v>
      </c>
      <c r="T346" s="11" t="s">
        <v>48</v>
      </c>
      <c r="U346" s="12" t="n">
        <v>823.77</v>
      </c>
      <c r="W346" s="12" t="n">
        <v>0</v>
      </c>
      <c r="X346" s="11" t="s">
        <v>326</v>
      </c>
      <c r="Z346" s="0" t="str">
        <f aca="false">IF($T346="","",IFERROR(INDEX('Resumo Grupos'!$AC$3:$AC$200,MATCH($T346,'Resumo Grupos'!$AB$3:$AB$200,0)),"n/d"))</f>
        <v>Mercadoria</v>
      </c>
      <c r="AA346" s="0" t="str">
        <f aca="false">IF($T346="","",IF(COUNTIF('Resumo Grupos'!$AE$3:$AE$40,$T346)&gt;0,"NAO","SIM"))</f>
        <v>SIM</v>
      </c>
      <c r="AB346" s="0" t="str">
        <f aca="false">IFERROR(INDEX('Mov Entradas (Rel 10497)'!$L:$L,MATCH(AC346,'Mov Entradas (Rel 10497)'!$I:$I,0)),"nao encontrado")</f>
        <v>nao encontrado</v>
      </c>
      <c r="AC346" s="0" t="n">
        <v>517177</v>
      </c>
    </row>
    <row r="347" customFormat="false" ht="36.75" hidden="false" customHeight="true" outlineLevel="0" collapsed="false">
      <c r="A347" s="9" t="n">
        <v>2</v>
      </c>
      <c r="B347" s="10" t="n">
        <v>46171</v>
      </c>
      <c r="C347" s="10" t="n">
        <v>46190</v>
      </c>
      <c r="D347" s="9" t="n">
        <v>1613</v>
      </c>
      <c r="E347" s="11" t="s">
        <v>50</v>
      </c>
      <c r="F347" s="9" t="n">
        <v>24</v>
      </c>
      <c r="G347" s="11" t="s">
        <v>51</v>
      </c>
      <c r="H347" s="9" t="n">
        <v>2110101</v>
      </c>
      <c r="I347" s="11" t="s">
        <v>43</v>
      </c>
      <c r="J347" s="9" t="n">
        <v>1170890</v>
      </c>
      <c r="L347" s="9" t="n">
        <v>1591453</v>
      </c>
      <c r="M347" s="11" t="s">
        <v>44</v>
      </c>
      <c r="N347" s="11" t="s">
        <v>37</v>
      </c>
      <c r="P347" s="9" t="n">
        <v>113</v>
      </c>
      <c r="Q347" s="11" t="s">
        <v>46</v>
      </c>
      <c r="R347" s="11" t="s">
        <v>47</v>
      </c>
      <c r="S347" s="9" t="n">
        <v>1130101</v>
      </c>
      <c r="T347" s="11" t="s">
        <v>48</v>
      </c>
      <c r="U347" s="12" t="n">
        <v>1030.57</v>
      </c>
      <c r="W347" s="12" t="n">
        <v>0</v>
      </c>
      <c r="X347" s="11"/>
      <c r="Z347" s="0" t="str">
        <f aca="false">IF($T347="","",IFERROR(INDEX('Resumo Grupos'!$AC$3:$AC$200,MATCH($T347,'Resumo Grupos'!$AB$3:$AB$200,0)),"n/d"))</f>
        <v>Mercadoria</v>
      </c>
      <c r="AA347" s="0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9" t="n">
        <v>2</v>
      </c>
      <c r="B348" s="10" t="n">
        <v>46170</v>
      </c>
      <c r="C348" s="10" t="n">
        <v>46190</v>
      </c>
      <c r="D348" s="9" t="n">
        <v>794</v>
      </c>
      <c r="E348" s="11" t="s">
        <v>335</v>
      </c>
      <c r="F348" s="9" t="n">
        <v>24</v>
      </c>
      <c r="G348" s="11" t="s">
        <v>51</v>
      </c>
      <c r="H348" s="9" t="n">
        <v>2110405</v>
      </c>
      <c r="I348" s="11" t="s">
        <v>56</v>
      </c>
      <c r="J348" s="9" t="n">
        <v>1165975</v>
      </c>
      <c r="L348" s="9" t="n">
        <v>155117</v>
      </c>
      <c r="M348" s="11" t="s">
        <v>52</v>
      </c>
      <c r="N348" s="11" t="s">
        <v>45</v>
      </c>
      <c r="P348" s="9" t="n">
        <v>113</v>
      </c>
      <c r="Q348" s="11" t="s">
        <v>46</v>
      </c>
      <c r="R348" s="11" t="s">
        <v>39</v>
      </c>
      <c r="S348" s="9" t="n">
        <v>4210299</v>
      </c>
      <c r="T348" s="11" t="s">
        <v>165</v>
      </c>
      <c r="U348" s="12" t="n">
        <v>430.35</v>
      </c>
      <c r="W348" s="12" t="n">
        <v>0</v>
      </c>
      <c r="X348" s="11" t="s">
        <v>448</v>
      </c>
      <c r="Z348" s="0" t="str">
        <f aca="false">IF($T348="","",IFERROR(INDEX('Resumo Grupos'!$AC$3:$AC$200,MATCH($T348,'Resumo Grupos'!$AB$3:$AB$200,0)),"n/d"))</f>
        <v>Despesa</v>
      </c>
      <c r="AA348" s="0" t="str">
        <f aca="false">IF($T348="","",IF(COUNTIF('Resumo Grupos'!$AE$3:$AE$40,$T348)&gt;0,"NAO","SIM"))</f>
        <v>SIM</v>
      </c>
      <c r="AB348" s="0" t="str">
        <f aca="false">IFERROR(INDEX('Mov Entradas (Rel 10497)'!$L:$L,MATCH(AC348,'Mov Entradas (Rel 10497)'!$I:$I,0)),"nao encontrado")</f>
        <v>nao encontrado</v>
      </c>
      <c r="AC348" s="0" t="n">
        <v>7941</v>
      </c>
    </row>
    <row r="349" customFormat="false" ht="45.75" hidden="false" customHeight="true" outlineLevel="0" collapsed="false">
      <c r="A349" s="9" t="n">
        <v>2</v>
      </c>
      <c r="B349" s="10" t="n">
        <v>46190</v>
      </c>
      <c r="C349" s="10" t="n">
        <v>46190</v>
      </c>
      <c r="D349" s="9" t="n">
        <v>717</v>
      </c>
      <c r="E349" s="11" t="s">
        <v>449</v>
      </c>
      <c r="F349" s="9" t="n">
        <v>24</v>
      </c>
      <c r="G349" s="11" t="s">
        <v>51</v>
      </c>
      <c r="H349" s="9" t="n">
        <v>2110405</v>
      </c>
      <c r="I349" s="11" t="s">
        <v>56</v>
      </c>
      <c r="J349" s="9" t="n">
        <v>1370167</v>
      </c>
      <c r="L349" s="9" t="n">
        <v>184241</v>
      </c>
      <c r="M349" s="11" t="s">
        <v>52</v>
      </c>
      <c r="N349" s="11" t="s">
        <v>45</v>
      </c>
      <c r="P349" s="9" t="n">
        <v>102</v>
      </c>
      <c r="Q349" s="11" t="s">
        <v>308</v>
      </c>
      <c r="R349" s="11" t="s">
        <v>71</v>
      </c>
      <c r="S349" s="9" t="n">
        <v>4210311</v>
      </c>
      <c r="T349" s="11" t="s">
        <v>450</v>
      </c>
      <c r="U349" s="12" t="n">
        <v>1396.73</v>
      </c>
      <c r="W349" s="12" t="n">
        <v>0</v>
      </c>
      <c r="X349" s="11" t="s">
        <v>451</v>
      </c>
      <c r="Z349" s="0" t="str">
        <f aca="false">IF($T349="","",IFERROR(INDEX('Resumo Grupos'!$AC$3:$AC$200,MATCH($T349,'Resumo Grupos'!$AB$3:$AB$200,0)),"n/d"))</f>
        <v>Salários</v>
      </c>
      <c r="AA349" s="0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9" t="n">
        <v>2</v>
      </c>
      <c r="B350" s="10" t="n">
        <v>46163</v>
      </c>
      <c r="C350" s="10" t="n">
        <v>46190</v>
      </c>
      <c r="D350" s="9" t="n">
        <v>10037</v>
      </c>
      <c r="E350" s="11" t="s">
        <v>337</v>
      </c>
      <c r="F350" s="9" t="n">
        <v>24</v>
      </c>
      <c r="G350" s="11" t="s">
        <v>51</v>
      </c>
      <c r="H350" s="9" t="n">
        <v>2110101</v>
      </c>
      <c r="I350" s="11" t="s">
        <v>43</v>
      </c>
      <c r="J350" s="9" t="n">
        <v>1131327</v>
      </c>
      <c r="L350" s="9" t="n">
        <v>2108</v>
      </c>
      <c r="M350" s="11" t="s">
        <v>44</v>
      </c>
      <c r="N350" s="11" t="s">
        <v>37</v>
      </c>
      <c r="P350" s="9" t="n">
        <v>113</v>
      </c>
      <c r="Q350" s="11" t="s">
        <v>46</v>
      </c>
      <c r="R350" s="11" t="s">
        <v>47</v>
      </c>
      <c r="S350" s="9" t="n">
        <v>1130101</v>
      </c>
      <c r="T350" s="11" t="s">
        <v>48</v>
      </c>
      <c r="U350" s="12" t="n">
        <v>504.51</v>
      </c>
      <c r="W350" s="12" t="n">
        <v>0</v>
      </c>
      <c r="X350" s="11" t="s">
        <v>338</v>
      </c>
      <c r="Z350" s="0" t="str">
        <f aca="false">IF($T350="","",IFERROR(INDEX('Resumo Grupos'!$AC$3:$AC$200,MATCH($T350,'Resumo Grupos'!$AB$3:$AB$200,0)),"n/d"))</f>
        <v>Mercadoria</v>
      </c>
      <c r="AA350" s="0" t="str">
        <f aca="false">IF($T350="","",IF(COUNTIF('Resumo Grupos'!$AE$3:$AE$40,$T350)&gt;0,"NAO","SIM"))</f>
        <v>SIM</v>
      </c>
      <c r="AB350" s="0" t="str">
        <f aca="false">IFERROR(INDEX('Mov Entradas (Rel 10497)'!$L:$L,MATCH(AC350,'Mov Entradas (Rel 10497)'!$I:$I,0)),"nao encontrado")</f>
        <v>nao encontrado</v>
      </c>
      <c r="AC350" s="0" t="n">
        <v>2108</v>
      </c>
    </row>
    <row r="351" customFormat="false" ht="27.75" hidden="false" customHeight="true" outlineLevel="0" collapsed="false">
      <c r="A351" s="9" t="n">
        <v>2</v>
      </c>
      <c r="B351" s="10" t="n">
        <v>46183</v>
      </c>
      <c r="C351" s="10" t="n">
        <v>46190</v>
      </c>
      <c r="D351" s="9" t="n">
        <v>1815</v>
      </c>
      <c r="E351" s="11" t="s">
        <v>172</v>
      </c>
      <c r="F351" s="9" t="n">
        <v>24</v>
      </c>
      <c r="G351" s="11" t="s">
        <v>51</v>
      </c>
      <c r="H351" s="9" t="n">
        <v>2110101</v>
      </c>
      <c r="I351" s="11" t="s">
        <v>43</v>
      </c>
      <c r="J351" s="9" t="n">
        <v>1230947</v>
      </c>
      <c r="L351" s="9" t="n">
        <v>386175</v>
      </c>
      <c r="M351" s="11" t="s">
        <v>52</v>
      </c>
      <c r="N351" s="11" t="s">
        <v>37</v>
      </c>
      <c r="P351" s="9" t="n">
        <v>113</v>
      </c>
      <c r="Q351" s="11" t="s">
        <v>46</v>
      </c>
      <c r="R351" s="11" t="s">
        <v>47</v>
      </c>
      <c r="S351" s="9" t="n">
        <v>1130101</v>
      </c>
      <c r="T351" s="11" t="s">
        <v>48</v>
      </c>
      <c r="U351" s="12" t="n">
        <v>737.07</v>
      </c>
      <c r="W351" s="12" t="n">
        <v>0</v>
      </c>
      <c r="X351" s="11" t="s">
        <v>452</v>
      </c>
      <c r="Z351" s="0" t="str">
        <f aca="false">IF($T351="","",IFERROR(INDEX('Resumo Grupos'!$AC$3:$AC$200,MATCH($T351,'Resumo Grupos'!$AB$3:$AB$200,0)),"n/d"))</f>
        <v>Mercadoria</v>
      </c>
      <c r="AA351" s="0" t="str">
        <f aca="false">IF($T351="","",IF(COUNTIF('Resumo Grupos'!$AE$3:$AE$40,$T351)&gt;0,"NAO","SIM"))</f>
        <v>SIM</v>
      </c>
      <c r="AB351" s="0" t="str">
        <f aca="false">IFERROR(INDEX('Mov Entradas (Rel 10497)'!$L:$L,MATCH(AC351,'Mov Entradas (Rel 10497)'!$I:$I,0)),"nao encontrado")</f>
        <v>COXAO MOLE KG</v>
      </c>
      <c r="AC351" s="0" t="n">
        <v>386175</v>
      </c>
    </row>
    <row r="352" customFormat="false" ht="36.75" hidden="false" customHeight="true" outlineLevel="0" collapsed="false">
      <c r="A352" s="9" t="n">
        <v>2</v>
      </c>
      <c r="B352" s="10" t="n">
        <v>46183</v>
      </c>
      <c r="C352" s="10" t="n">
        <v>46190</v>
      </c>
      <c r="D352" s="9" t="n">
        <v>560</v>
      </c>
      <c r="E352" s="11" t="s">
        <v>453</v>
      </c>
      <c r="F352" s="9" t="n">
        <v>24</v>
      </c>
      <c r="G352" s="11" t="s">
        <v>51</v>
      </c>
      <c r="H352" s="9" t="n">
        <v>2110101</v>
      </c>
      <c r="I352" s="11" t="s">
        <v>43</v>
      </c>
      <c r="J352" s="9" t="n">
        <v>1231978</v>
      </c>
      <c r="L352" s="9" t="n">
        <v>1616</v>
      </c>
      <c r="M352" s="11" t="s">
        <v>52</v>
      </c>
      <c r="N352" s="11" t="s">
        <v>37</v>
      </c>
      <c r="P352" s="9" t="n">
        <v>113</v>
      </c>
      <c r="Q352" s="11" t="s">
        <v>46</v>
      </c>
      <c r="R352" s="11" t="s">
        <v>47</v>
      </c>
      <c r="S352" s="9" t="n">
        <v>1130101</v>
      </c>
      <c r="T352" s="11" t="s">
        <v>48</v>
      </c>
      <c r="U352" s="12" t="n">
        <v>250</v>
      </c>
      <c r="W352" s="12" t="n">
        <v>0</v>
      </c>
      <c r="X352" s="11" t="s">
        <v>454</v>
      </c>
      <c r="Z352" s="0" t="str">
        <f aca="false">IF($T352="","",IFERROR(INDEX('Resumo Grupos'!$AC$3:$AC$200,MATCH($T352,'Resumo Grupos'!$AB$3:$AB$200,0)),"n/d"))</f>
        <v>Mercadoria</v>
      </c>
      <c r="AA352" s="0" t="str">
        <f aca="false">IF($T352="","",IF(COUNTIF('Resumo Grupos'!$AE$3:$AE$40,$T352)&gt;0,"NAO","SIM"))</f>
        <v>SIM</v>
      </c>
      <c r="AB352" s="0" t="str">
        <f aca="false">IFERROR(INDEX('Mov Entradas (Rel 10497)'!$L:$L,MATCH(AC352,'Mov Entradas (Rel 10497)'!$I:$I,0)),"nao encontrado")</f>
        <v>BISCOITOS DA MARIA S</v>
      </c>
      <c r="AC352" s="0" t="n">
        <v>1616</v>
      </c>
    </row>
    <row r="353" customFormat="false" ht="54.75" hidden="false" customHeight="true" outlineLevel="0" collapsed="false">
      <c r="A353" s="9" t="n">
        <v>2</v>
      </c>
      <c r="B353" s="10" t="n">
        <v>46170</v>
      </c>
      <c r="C353" s="10" t="n">
        <v>46190</v>
      </c>
      <c r="D353" s="9" t="n">
        <v>1078</v>
      </c>
      <c r="E353" s="11" t="s">
        <v>151</v>
      </c>
      <c r="F353" s="9" t="n">
        <v>24</v>
      </c>
      <c r="G353" s="11" t="s">
        <v>51</v>
      </c>
      <c r="H353" s="9" t="n">
        <v>2110101</v>
      </c>
      <c r="I353" s="11" t="s">
        <v>43</v>
      </c>
      <c r="J353" s="9" t="n">
        <v>1167108</v>
      </c>
      <c r="L353" s="9" t="n">
        <v>27273</v>
      </c>
      <c r="M353" s="11" t="s">
        <v>67</v>
      </c>
      <c r="N353" s="11" t="s">
        <v>37</v>
      </c>
      <c r="P353" s="9" t="n">
        <v>113</v>
      </c>
      <c r="Q353" s="11" t="s">
        <v>46</v>
      </c>
      <c r="R353" s="11" t="s">
        <v>47</v>
      </c>
      <c r="S353" s="9" t="n">
        <v>1130101</v>
      </c>
      <c r="T353" s="11" t="s">
        <v>48</v>
      </c>
      <c r="U353" s="12" t="n">
        <v>84.11</v>
      </c>
      <c r="W353" s="12" t="n">
        <v>0</v>
      </c>
      <c r="X353" s="11" t="s">
        <v>181</v>
      </c>
      <c r="Z353" s="0" t="str">
        <f aca="false">IF($T353="","",IFERROR(INDEX('Resumo Grupos'!$AC$3:$AC$200,MATCH($T353,'Resumo Grupos'!$AB$3:$AB$200,0)),"n/d"))</f>
        <v>Mercadoria</v>
      </c>
      <c r="AA353" s="0" t="str">
        <f aca="false">IF($T353="","",IF(COUNTIF('Resumo Grupos'!$AE$3:$AE$40,$T353)&gt;0,"NAO","SIM"))</f>
        <v>SIM</v>
      </c>
      <c r="AB353" s="0" t="str">
        <f aca="false">IFERROR(INDEX('Mov Entradas (Rel 10497)'!$L:$L,MATCH(AC353,'Mov Entradas (Rel 10497)'!$I:$I,0)),"nao encontrado")</f>
        <v>nao encontrado</v>
      </c>
      <c r="AC353" s="0" t="n">
        <v>27273</v>
      </c>
    </row>
    <row r="354" customFormat="false" ht="36.75" hidden="false" customHeight="true" outlineLevel="0" collapsed="false">
      <c r="A354" s="9" t="n">
        <v>2</v>
      </c>
      <c r="B354" s="10" t="n">
        <v>46183</v>
      </c>
      <c r="C354" s="10" t="n">
        <v>46190</v>
      </c>
      <c r="D354" s="9" t="n">
        <v>48</v>
      </c>
      <c r="E354" s="11" t="s">
        <v>153</v>
      </c>
      <c r="F354" s="9" t="n">
        <v>34</v>
      </c>
      <c r="G354" s="11" t="s">
        <v>55</v>
      </c>
      <c r="H354" s="9" t="n">
        <v>2110101</v>
      </c>
      <c r="I354" s="11" t="s">
        <v>43</v>
      </c>
      <c r="J354" s="9" t="n">
        <v>1231437</v>
      </c>
      <c r="L354" s="9" t="n">
        <v>2490</v>
      </c>
      <c r="M354" s="11" t="s">
        <v>52</v>
      </c>
      <c r="N354" s="11" t="s">
        <v>37</v>
      </c>
      <c r="P354" s="9" t="n">
        <v>113</v>
      </c>
      <c r="Q354" s="11" t="s">
        <v>46</v>
      </c>
      <c r="R354" s="11" t="s">
        <v>47</v>
      </c>
      <c r="S354" s="9" t="n">
        <v>1130101</v>
      </c>
      <c r="T354" s="11" t="s">
        <v>48</v>
      </c>
      <c r="U354" s="12" t="n">
        <v>1800</v>
      </c>
      <c r="W354" s="12" t="n">
        <v>0</v>
      </c>
      <c r="X354" s="11" t="s">
        <v>455</v>
      </c>
      <c r="Z354" s="0" t="str">
        <f aca="false">IF($T354="","",IFERROR(INDEX('Resumo Grupos'!$AC$3:$AC$200,MATCH($T354,'Resumo Grupos'!$AB$3:$AB$200,0)),"n/d"))</f>
        <v>Mercadoria</v>
      </c>
      <c r="AA354" s="0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9" t="n">
        <v>2</v>
      </c>
      <c r="B355" s="10" t="n">
        <v>46190</v>
      </c>
      <c r="C355" s="10" t="n">
        <v>46190</v>
      </c>
      <c r="D355" s="9" t="n">
        <v>48</v>
      </c>
      <c r="E355" s="11" t="s">
        <v>153</v>
      </c>
      <c r="F355" s="9" t="n">
        <v>13</v>
      </c>
      <c r="G355" s="11" t="s">
        <v>135</v>
      </c>
      <c r="H355" s="9" t="n">
        <v>2110101</v>
      </c>
      <c r="I355" s="11" t="s">
        <v>43</v>
      </c>
      <c r="J355" s="9" t="n">
        <v>1266172</v>
      </c>
      <c r="L355" s="9" t="n">
        <v>2500</v>
      </c>
      <c r="M355" s="11" t="s">
        <v>52</v>
      </c>
      <c r="N355" s="11" t="s">
        <v>37</v>
      </c>
      <c r="P355" s="9" t="n">
        <v>113</v>
      </c>
      <c r="Q355" s="11" t="s">
        <v>46</v>
      </c>
      <c r="R355" s="11" t="s">
        <v>47</v>
      </c>
      <c r="S355" s="9" t="n">
        <v>1130101</v>
      </c>
      <c r="T355" s="11" t="s">
        <v>48</v>
      </c>
      <c r="U355" s="12" t="n">
        <v>210</v>
      </c>
      <c r="W355" s="12" t="n">
        <v>210</v>
      </c>
      <c r="X355" s="11" t="s">
        <v>456</v>
      </c>
      <c r="Z355" s="0" t="str">
        <f aca="false">IF($T355="","",IFERROR(INDEX('Resumo Grupos'!$AC$3:$AC$200,MATCH($T355,'Resumo Grupos'!$AB$3:$AB$200,0)),"n/d"))</f>
        <v>Mercadoria</v>
      </c>
      <c r="AA355" s="0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9" t="n">
        <v>2</v>
      </c>
      <c r="B356" s="10" t="n">
        <v>46156</v>
      </c>
      <c r="C356" s="10" t="n">
        <v>46190</v>
      </c>
      <c r="D356" s="9" t="n">
        <v>10011</v>
      </c>
      <c r="E356" s="11" t="s">
        <v>349</v>
      </c>
      <c r="F356" s="9" t="n">
        <v>24</v>
      </c>
      <c r="G356" s="11" t="s">
        <v>51</v>
      </c>
      <c r="H356" s="9" t="n">
        <v>2110101</v>
      </c>
      <c r="I356" s="11" t="s">
        <v>43</v>
      </c>
      <c r="J356" s="9" t="n">
        <v>1098316</v>
      </c>
      <c r="L356" s="9" t="n">
        <v>33662</v>
      </c>
      <c r="M356" s="11" t="s">
        <v>52</v>
      </c>
      <c r="N356" s="11" t="s">
        <v>37</v>
      </c>
      <c r="P356" s="9" t="n">
        <v>113</v>
      </c>
      <c r="Q356" s="11" t="s">
        <v>46</v>
      </c>
      <c r="R356" s="11" t="s">
        <v>47</v>
      </c>
      <c r="S356" s="9" t="n">
        <v>1130101</v>
      </c>
      <c r="T356" s="11" t="s">
        <v>48</v>
      </c>
      <c r="U356" s="12" t="n">
        <v>666.6</v>
      </c>
      <c r="W356" s="12" t="n">
        <v>0</v>
      </c>
      <c r="X356" s="11" t="s">
        <v>457</v>
      </c>
      <c r="Z356" s="0" t="str">
        <f aca="false">IF($T356="","",IFERROR(INDEX('Resumo Grupos'!$AC$3:$AC$200,MATCH($T356,'Resumo Grupos'!$AB$3:$AB$200,0)),"n/d"))</f>
        <v>Mercadoria</v>
      </c>
      <c r="AA356" s="0" t="str">
        <f aca="false">IF($T356="","",IF(COUNTIF('Resumo Grupos'!$AE$3:$AE$40,$T356)&gt;0,"NAO","SIM"))</f>
        <v>SIM</v>
      </c>
      <c r="AB356" s="0" t="str">
        <f aca="false">IFERROR(INDEX('Mov Entradas (Rel 10497)'!$L:$L,MATCH(AC356,'Mov Entradas (Rel 10497)'!$I:$I,0)),"nao encontrado")</f>
        <v>nao encontrado</v>
      </c>
      <c r="AC356" s="0" t="n">
        <v>33662</v>
      </c>
    </row>
    <row r="357" customFormat="false" ht="36.75" hidden="false" customHeight="true" outlineLevel="0" collapsed="false">
      <c r="A357" s="9" t="n">
        <v>2</v>
      </c>
      <c r="B357" s="10" t="n">
        <v>46141</v>
      </c>
      <c r="C357" s="10" t="n">
        <v>46190</v>
      </c>
      <c r="D357" s="9" t="n">
        <v>607</v>
      </c>
      <c r="E357" s="11" t="s">
        <v>281</v>
      </c>
      <c r="F357" s="9" t="n">
        <v>24</v>
      </c>
      <c r="G357" s="11" t="s">
        <v>51</v>
      </c>
      <c r="H357" s="9" t="n">
        <v>2110101</v>
      </c>
      <c r="I357" s="11" t="s">
        <v>43</v>
      </c>
      <c r="J357" s="9" t="n">
        <v>1023193</v>
      </c>
      <c r="L357" s="9" t="n">
        <v>10245</v>
      </c>
      <c r="M357" s="11" t="s">
        <v>89</v>
      </c>
      <c r="N357" s="11" t="s">
        <v>37</v>
      </c>
      <c r="P357" s="9" t="n">
        <v>113</v>
      </c>
      <c r="Q357" s="11" t="s">
        <v>46</v>
      </c>
      <c r="R357" s="11" t="s">
        <v>47</v>
      </c>
      <c r="S357" s="9" t="n">
        <v>1130101</v>
      </c>
      <c r="T357" s="11" t="s">
        <v>48</v>
      </c>
      <c r="U357" s="12" t="n">
        <v>644.95</v>
      </c>
      <c r="W357" s="12" t="n">
        <v>0</v>
      </c>
      <c r="X357" s="11" t="s">
        <v>282</v>
      </c>
      <c r="Z357" s="0" t="str">
        <f aca="false">IF($T357="","",IFERROR(INDEX('Resumo Grupos'!$AC$3:$AC$200,MATCH($T357,'Resumo Grupos'!$AB$3:$AB$200,0)),"n/d"))</f>
        <v>Mercadoria</v>
      </c>
      <c r="AA357" s="0" t="str">
        <f aca="false">IF($T357="","",IF(COUNTIF('Resumo Grupos'!$AE$3:$AE$40,$T357)&gt;0,"NAO","SIM"))</f>
        <v>SIM</v>
      </c>
      <c r="AB357" s="0" t="str">
        <f aca="false">IFERROR(INDEX('Mov Entradas (Rel 10497)'!$L:$L,MATCH(AC357,'Mov Entradas (Rel 10497)'!$I:$I,0)),"nao encontrado")</f>
        <v>nao encontrado</v>
      </c>
      <c r="AC357" s="0" t="n">
        <v>10245</v>
      </c>
    </row>
    <row r="358" customFormat="false" ht="36.75" hidden="false" customHeight="true" outlineLevel="0" collapsed="false">
      <c r="A358" s="9" t="n">
        <v>2</v>
      </c>
      <c r="B358" s="10" t="n">
        <v>46163</v>
      </c>
      <c r="C358" s="10" t="n">
        <v>46190</v>
      </c>
      <c r="D358" s="9" t="n">
        <v>1624</v>
      </c>
      <c r="E358" s="11" t="s">
        <v>351</v>
      </c>
      <c r="F358" s="9" t="n">
        <v>24</v>
      </c>
      <c r="G358" s="11" t="s">
        <v>51</v>
      </c>
      <c r="H358" s="9" t="n">
        <v>2110101</v>
      </c>
      <c r="I358" s="11" t="s">
        <v>43</v>
      </c>
      <c r="J358" s="9" t="n">
        <v>1133230</v>
      </c>
      <c r="L358" s="9" t="n">
        <v>654829</v>
      </c>
      <c r="M358" s="11" t="s">
        <v>44</v>
      </c>
      <c r="N358" s="11" t="s">
        <v>37</v>
      </c>
      <c r="P358" s="9" t="n">
        <v>113</v>
      </c>
      <c r="Q358" s="11" t="s">
        <v>46</v>
      </c>
      <c r="R358" s="11" t="s">
        <v>47</v>
      </c>
      <c r="S358" s="9" t="n">
        <v>1130101</v>
      </c>
      <c r="T358" s="11" t="s">
        <v>48</v>
      </c>
      <c r="U358" s="12" t="n">
        <v>650</v>
      </c>
      <c r="W358" s="12" t="n">
        <v>0</v>
      </c>
      <c r="X358" s="11" t="s">
        <v>352</v>
      </c>
      <c r="Z358" s="0" t="str">
        <f aca="false">IF($T358="","",IFERROR(INDEX('Resumo Grupos'!$AC$3:$AC$200,MATCH($T358,'Resumo Grupos'!$AB$3:$AB$200,0)),"n/d"))</f>
        <v>Mercadoria</v>
      </c>
      <c r="AA358" s="0" t="str">
        <f aca="false">IF($T358="","",IF(COUNTIF('Resumo Grupos'!$AE$3:$AE$40,$T358)&gt;0,"NAO","SIM"))</f>
        <v>SIM</v>
      </c>
      <c r="AB358" s="0" t="str">
        <f aca="false">IFERROR(INDEX('Mov Entradas (Rel 10497)'!$L:$L,MATCH(AC358,'Mov Entradas (Rel 10497)'!$I:$I,0)),"nao encontrado")</f>
        <v>nao encontrado</v>
      </c>
      <c r="AC358" s="0" t="n">
        <v>654829</v>
      </c>
    </row>
    <row r="359" customFormat="false" ht="36.75" hidden="false" customHeight="true" outlineLevel="0" collapsed="false">
      <c r="A359" s="9" t="n">
        <v>2</v>
      </c>
      <c r="B359" s="10" t="n">
        <v>46158</v>
      </c>
      <c r="C359" s="10" t="n">
        <v>46190</v>
      </c>
      <c r="D359" s="9" t="n">
        <v>10012</v>
      </c>
      <c r="E359" s="11" t="s">
        <v>185</v>
      </c>
      <c r="F359" s="9" t="n">
        <v>24</v>
      </c>
      <c r="G359" s="11" t="s">
        <v>51</v>
      </c>
      <c r="H359" s="9" t="n">
        <v>2110101</v>
      </c>
      <c r="I359" s="11" t="s">
        <v>43</v>
      </c>
      <c r="J359" s="9" t="n">
        <v>1106692</v>
      </c>
      <c r="L359" s="9" t="n">
        <v>1952417</v>
      </c>
      <c r="M359" s="11" t="s">
        <v>67</v>
      </c>
      <c r="N359" s="11" t="s">
        <v>37</v>
      </c>
      <c r="P359" s="9" t="n">
        <v>113</v>
      </c>
      <c r="Q359" s="11" t="s">
        <v>46</v>
      </c>
      <c r="R359" s="11" t="s">
        <v>47</v>
      </c>
      <c r="S359" s="9" t="n">
        <v>1130101</v>
      </c>
      <c r="T359" s="11" t="s">
        <v>48</v>
      </c>
      <c r="U359" s="12" t="n">
        <v>1262.32</v>
      </c>
      <c r="W359" s="12" t="n">
        <v>0</v>
      </c>
      <c r="X359" s="11" t="s">
        <v>186</v>
      </c>
      <c r="Z359" s="0" t="str">
        <f aca="false">IF($T359="","",IFERROR(INDEX('Resumo Grupos'!$AC$3:$AC$200,MATCH($T359,'Resumo Grupos'!$AB$3:$AB$200,0)),"n/d"))</f>
        <v>Mercadoria</v>
      </c>
      <c r="AA359" s="0" t="str">
        <f aca="false">IF($T359="","",IF(COUNTIF('Resumo Grupos'!$AE$3:$AE$40,$T359)&gt;0,"NAO","SIM"))</f>
        <v>SIM</v>
      </c>
      <c r="AB359" s="0" t="str">
        <f aca="false">IFERROR(INDEX('Mov Entradas (Rel 10497)'!$L:$L,MATCH(AC359,'Mov Entradas (Rel 10497)'!$I:$I,0)),"nao encontrado")</f>
        <v>nao encontrado</v>
      </c>
      <c r="AC359" s="0" t="n">
        <v>1952417</v>
      </c>
    </row>
    <row r="360" customFormat="false" ht="36.75" hidden="false" customHeight="true" outlineLevel="0" collapsed="false">
      <c r="A360" s="9" t="n">
        <v>2</v>
      </c>
      <c r="B360" s="10" t="n">
        <v>46190</v>
      </c>
      <c r="C360" s="10" t="n">
        <v>46190</v>
      </c>
      <c r="D360" s="9" t="n">
        <v>0</v>
      </c>
      <c r="E360" s="11" t="s">
        <v>109</v>
      </c>
      <c r="F360" s="9" t="n">
        <v>17</v>
      </c>
      <c r="G360" s="11" t="s">
        <v>110</v>
      </c>
      <c r="H360" s="9" t="n">
        <v>1110101</v>
      </c>
      <c r="I360" s="11" t="s">
        <v>111</v>
      </c>
      <c r="J360" s="9" t="n">
        <v>1295351</v>
      </c>
      <c r="L360" s="9" t="n">
        <v>1295351</v>
      </c>
      <c r="M360" s="11" t="s">
        <v>52</v>
      </c>
      <c r="N360" s="11" t="s">
        <v>112</v>
      </c>
      <c r="P360" s="9" t="n">
        <v>113</v>
      </c>
      <c r="Q360" s="11" t="s">
        <v>46</v>
      </c>
      <c r="R360" s="11" t="s">
        <v>259</v>
      </c>
      <c r="S360" s="9" t="n">
        <v>2110101</v>
      </c>
      <c r="T360" s="11" t="s">
        <v>43</v>
      </c>
      <c r="U360" s="12" t="n">
        <v>210</v>
      </c>
      <c r="W360" s="12" t="n">
        <v>210</v>
      </c>
      <c r="X360" s="11" t="s">
        <v>458</v>
      </c>
      <c r="Z360" s="0" t="str">
        <f aca="false">IF($T360="","",IFERROR(INDEX('Resumo Grupos'!$AC$3:$AC$200,MATCH($T360,'Resumo Grupos'!$AB$3:$AB$200,0)),"n/d"))</f>
        <v>Despesa</v>
      </c>
      <c r="AA360" s="0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9" t="n">
        <v>2</v>
      </c>
      <c r="B361" s="10" t="n">
        <v>46190</v>
      </c>
      <c r="C361" s="10" t="n">
        <v>46190</v>
      </c>
      <c r="D361" s="9" t="n">
        <v>0</v>
      </c>
      <c r="E361" s="11" t="s">
        <v>109</v>
      </c>
      <c r="F361" s="9" t="n">
        <v>17</v>
      </c>
      <c r="G361" s="11" t="s">
        <v>110</v>
      </c>
      <c r="H361" s="9" t="n">
        <v>1110101</v>
      </c>
      <c r="I361" s="11" t="s">
        <v>111</v>
      </c>
      <c r="J361" s="9" t="n">
        <v>1295357</v>
      </c>
      <c r="L361" s="9" t="n">
        <v>1295357</v>
      </c>
      <c r="M361" s="11" t="s">
        <v>52</v>
      </c>
      <c r="N361" s="11" t="s">
        <v>112</v>
      </c>
      <c r="P361" s="9" t="n">
        <v>113</v>
      </c>
      <c r="Q361" s="11" t="s">
        <v>46</v>
      </c>
      <c r="R361" s="11" t="s">
        <v>71</v>
      </c>
      <c r="S361" s="9" t="n">
        <v>4210314</v>
      </c>
      <c r="T361" s="11" t="s">
        <v>113</v>
      </c>
      <c r="U361" s="12" t="n">
        <v>70</v>
      </c>
      <c r="W361" s="12" t="n">
        <v>70</v>
      </c>
      <c r="X361" s="11" t="s">
        <v>187</v>
      </c>
      <c r="Z361" s="0" t="str">
        <f aca="false">IF($T361="","",IFERROR(INDEX('Resumo Grupos'!$AC$3:$AC$200,MATCH($T361,'Resumo Grupos'!$AB$3:$AB$200,0)),"n/d"))</f>
        <v>Despesa</v>
      </c>
      <c r="AA361" s="0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9" t="n">
        <v>2</v>
      </c>
      <c r="B362" s="10" t="n">
        <v>46190</v>
      </c>
      <c r="C362" s="10" t="n">
        <v>46190</v>
      </c>
      <c r="D362" s="9" t="n">
        <v>0</v>
      </c>
      <c r="E362" s="11" t="s">
        <v>109</v>
      </c>
      <c r="F362" s="9" t="n">
        <v>17</v>
      </c>
      <c r="G362" s="11" t="s">
        <v>110</v>
      </c>
      <c r="H362" s="9" t="n">
        <v>1110101</v>
      </c>
      <c r="I362" s="11" t="s">
        <v>111</v>
      </c>
      <c r="J362" s="9" t="n">
        <v>1361213</v>
      </c>
      <c r="L362" s="9" t="n">
        <v>1361213</v>
      </c>
      <c r="M362" s="11" t="s">
        <v>52</v>
      </c>
      <c r="N362" s="11" t="s">
        <v>112</v>
      </c>
      <c r="P362" s="9" t="n">
        <v>113</v>
      </c>
      <c r="Q362" s="11" t="s">
        <v>46</v>
      </c>
      <c r="R362" s="11" t="s">
        <v>116</v>
      </c>
      <c r="S362" s="9" t="n">
        <v>1110203</v>
      </c>
      <c r="T362" s="11" t="s">
        <v>117</v>
      </c>
      <c r="U362" s="12" t="n">
        <v>1750</v>
      </c>
      <c r="W362" s="12" t="n">
        <v>1750</v>
      </c>
      <c r="X362" s="11" t="s">
        <v>459</v>
      </c>
      <c r="Z362" s="0" t="str">
        <f aca="false">IF($T362="","",IFERROR(INDEX('Resumo Grupos'!$AC$3:$AC$200,MATCH($T362,'Resumo Grupos'!$AB$3:$AB$200,0)),"n/d"))</f>
        <v>Despesa</v>
      </c>
      <c r="AA362" s="0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9" t="n">
        <v>2</v>
      </c>
      <c r="B363" s="10" t="n">
        <v>46168</v>
      </c>
      <c r="C363" s="10" t="n">
        <v>46190</v>
      </c>
      <c r="D363" s="9" t="n">
        <v>1671</v>
      </c>
      <c r="E363" s="11" t="s">
        <v>119</v>
      </c>
      <c r="F363" s="9" t="n">
        <v>24</v>
      </c>
      <c r="G363" s="11" t="s">
        <v>51</v>
      </c>
      <c r="H363" s="9" t="n">
        <v>2110101</v>
      </c>
      <c r="I363" s="11" t="s">
        <v>43</v>
      </c>
      <c r="J363" s="9" t="n">
        <v>1157198</v>
      </c>
      <c r="L363" s="9" t="n">
        <v>153706</v>
      </c>
      <c r="M363" s="11" t="s">
        <v>52</v>
      </c>
      <c r="N363" s="11" t="s">
        <v>45</v>
      </c>
      <c r="P363" s="9" t="n">
        <v>113</v>
      </c>
      <c r="Q363" s="11" t="s">
        <v>46</v>
      </c>
      <c r="R363" s="11" t="s">
        <v>47</v>
      </c>
      <c r="S363" s="9" t="n">
        <v>1130101</v>
      </c>
      <c r="T363" s="11" t="s">
        <v>48</v>
      </c>
      <c r="U363" s="12" t="n">
        <v>635.45</v>
      </c>
      <c r="W363" s="12" t="n">
        <v>0</v>
      </c>
      <c r="X363" s="11" t="s">
        <v>361</v>
      </c>
      <c r="Z363" s="0" t="str">
        <f aca="false">IF($T363="","",IFERROR(INDEX('Resumo Grupos'!$AC$3:$AC$200,MATCH($T363,'Resumo Grupos'!$AB$3:$AB$200,0)),"n/d"))</f>
        <v>Mercadoria</v>
      </c>
      <c r="AA363" s="0" t="str">
        <f aca="false">IF($T363="","",IF(COUNTIF('Resumo Grupos'!$AE$3:$AE$40,$T363)&gt;0,"NAO","SIM"))</f>
        <v>SIM</v>
      </c>
      <c r="AB363" s="0" t="str">
        <f aca="false">IFERROR(INDEX('Mov Entradas (Rel 10497)'!$L:$L,MATCH(AC363,'Mov Entradas (Rel 10497)'!$I:$I,0)),"nao encontrado")</f>
        <v>nao encontrado</v>
      </c>
      <c r="AC363" s="0" t="n">
        <v>571363</v>
      </c>
    </row>
    <row r="364" customFormat="false" ht="27.75" hidden="false" customHeight="true" outlineLevel="0" collapsed="false">
      <c r="A364" s="9" t="n">
        <v>2</v>
      </c>
      <c r="B364" s="10" t="n">
        <v>46176</v>
      </c>
      <c r="C364" s="10" t="n">
        <v>46191</v>
      </c>
      <c r="D364" s="9" t="n">
        <v>1705</v>
      </c>
      <c r="E364" s="11" t="s">
        <v>130</v>
      </c>
      <c r="F364" s="9" t="n">
        <v>24</v>
      </c>
      <c r="G364" s="11" t="s">
        <v>51</v>
      </c>
      <c r="H364" s="9" t="n">
        <v>2110101</v>
      </c>
      <c r="I364" s="11" t="s">
        <v>43</v>
      </c>
      <c r="J364" s="9" t="n">
        <v>1197719</v>
      </c>
      <c r="L364" s="9" t="n">
        <v>1863917</v>
      </c>
      <c r="M364" s="11" t="s">
        <v>52</v>
      </c>
      <c r="N364" s="11" t="s">
        <v>37</v>
      </c>
      <c r="P364" s="9" t="n">
        <v>113</v>
      </c>
      <c r="Q364" s="11" t="s">
        <v>46</v>
      </c>
      <c r="R364" s="11" t="s">
        <v>47</v>
      </c>
      <c r="S364" s="9" t="n">
        <v>1130101</v>
      </c>
      <c r="T364" s="11" t="s">
        <v>48</v>
      </c>
      <c r="U364" s="12" t="n">
        <v>953.47</v>
      </c>
      <c r="W364" s="12" t="n">
        <v>0</v>
      </c>
      <c r="X364" s="11" t="s">
        <v>460</v>
      </c>
      <c r="Z364" s="0" t="str">
        <f aca="false">IF($T364="","",IFERROR(INDEX('Resumo Grupos'!$AC$3:$AC$200,MATCH($T364,'Resumo Grupos'!$AB$3:$AB$200,0)),"n/d"))</f>
        <v>Mercadoria</v>
      </c>
      <c r="AA364" s="0" t="str">
        <f aca="false">IF($T364="","",IF(COUNTIF('Resumo Grupos'!$AE$3:$AE$40,$T364)&gt;0,"NAO","SIM"))</f>
        <v>SIM</v>
      </c>
      <c r="AB364" s="0" t="str">
        <f aca="false">IFERROR(INDEX('Mov Entradas (Rel 10497)'!$L:$L,MATCH(AC364,'Mov Entradas (Rel 10497)'!$I:$I,0)),"nao encontrado")</f>
        <v>REFRI. FANTA LARANJA</v>
      </c>
      <c r="AC364" s="0" t="n">
        <v>1863917</v>
      </c>
    </row>
    <row r="365" customFormat="false" ht="36.75" hidden="false" customHeight="true" outlineLevel="0" collapsed="false">
      <c r="A365" s="9" t="n">
        <v>2</v>
      </c>
      <c r="B365" s="10" t="n">
        <v>46176</v>
      </c>
      <c r="C365" s="10" t="n">
        <v>46191</v>
      </c>
      <c r="D365" s="9" t="n">
        <v>1705</v>
      </c>
      <c r="E365" s="11" t="s">
        <v>130</v>
      </c>
      <c r="F365" s="9" t="n">
        <v>24</v>
      </c>
      <c r="G365" s="11" t="s">
        <v>51</v>
      </c>
      <c r="H365" s="9" t="n">
        <v>2110101</v>
      </c>
      <c r="I365" s="11" t="s">
        <v>43</v>
      </c>
      <c r="J365" s="9" t="n">
        <v>1197727</v>
      </c>
      <c r="L365" s="9" t="n">
        <v>1149104</v>
      </c>
      <c r="M365" s="11" t="s">
        <v>52</v>
      </c>
      <c r="N365" s="11" t="s">
        <v>37</v>
      </c>
      <c r="P365" s="9" t="n">
        <v>113</v>
      </c>
      <c r="Q365" s="11" t="s">
        <v>46</v>
      </c>
      <c r="R365" s="11" t="s">
        <v>47</v>
      </c>
      <c r="S365" s="9" t="n">
        <v>1130101</v>
      </c>
      <c r="T365" s="11" t="s">
        <v>48</v>
      </c>
      <c r="U365" s="12" t="n">
        <v>552.17</v>
      </c>
      <c r="W365" s="12" t="n">
        <v>0</v>
      </c>
      <c r="X365" s="11" t="s">
        <v>461</v>
      </c>
      <c r="Z365" s="0" t="str">
        <f aca="false">IF($T365="","",IFERROR(INDEX('Resumo Grupos'!$AC$3:$AC$200,MATCH($T365,'Resumo Grupos'!$AB$3:$AB$200,0)),"n/d"))</f>
        <v>Mercadoria</v>
      </c>
      <c r="AA365" s="0" t="str">
        <f aca="false">IF($T365="","",IF(COUNTIF('Resumo Grupos'!$AE$3:$AE$40,$T365)&gt;0,"NAO","SIM"))</f>
        <v>SIM</v>
      </c>
      <c r="AB365" s="0" t="str">
        <f aca="false">IFERROR(INDEX('Mov Entradas (Rel 10497)'!$L:$L,MATCH(AC365,'Mov Entradas (Rel 10497)'!$I:$I,0)),"nao encontrado")</f>
        <v>KAPO UVA 200ML</v>
      </c>
      <c r="AC365" s="0" t="n">
        <v>1149104</v>
      </c>
    </row>
    <row r="366" customFormat="false" ht="36.75" hidden="false" customHeight="true" outlineLevel="0" collapsed="false">
      <c r="A366" s="9" t="n">
        <v>2</v>
      </c>
      <c r="B366" s="10" t="n">
        <v>46176</v>
      </c>
      <c r="C366" s="10" t="n">
        <v>46191</v>
      </c>
      <c r="D366" s="9" t="n">
        <v>1705</v>
      </c>
      <c r="E366" s="11" t="s">
        <v>130</v>
      </c>
      <c r="F366" s="9" t="n">
        <v>24</v>
      </c>
      <c r="G366" s="11" t="s">
        <v>51</v>
      </c>
      <c r="H366" s="9" t="n">
        <v>2110101</v>
      </c>
      <c r="I366" s="11" t="s">
        <v>43</v>
      </c>
      <c r="J366" s="9" t="n">
        <v>1197746</v>
      </c>
      <c r="L366" s="9" t="n">
        <v>159710</v>
      </c>
      <c r="M366" s="11" t="s">
        <v>52</v>
      </c>
      <c r="N366" s="11" t="s">
        <v>45</v>
      </c>
      <c r="P366" s="9" t="n">
        <v>113</v>
      </c>
      <c r="Q366" s="11" t="s">
        <v>46</v>
      </c>
      <c r="R366" s="11" t="s">
        <v>47</v>
      </c>
      <c r="S366" s="9" t="n">
        <v>1130101</v>
      </c>
      <c r="T366" s="11" t="s">
        <v>48</v>
      </c>
      <c r="U366" s="12" t="n">
        <v>186.74</v>
      </c>
      <c r="W366" s="12" t="n">
        <v>0</v>
      </c>
      <c r="X366" s="11" t="s">
        <v>462</v>
      </c>
      <c r="Z366" s="0" t="str">
        <f aca="false">IF($T366="","",IFERROR(INDEX('Resumo Grupos'!$AC$3:$AC$200,MATCH($T366,'Resumo Grupos'!$AB$3:$AB$200,0)),"n/d"))</f>
        <v>Mercadoria</v>
      </c>
      <c r="AA366" s="0" t="str">
        <f aca="false">IF($T366="","",IF(COUNTIF('Resumo Grupos'!$AE$3:$AE$40,$T366)&gt;0,"NAO","SIM"))</f>
        <v>SIM</v>
      </c>
      <c r="AB366" s="0" t="str">
        <f aca="false">IFERROR(INDEX('Mov Entradas (Rel 10497)'!$L:$L,MATCH(AC366,'Mov Entradas (Rel 10497)'!$I:$I,0)),"nao encontrado")</f>
        <v>REFRI. COCA COLA ORI</v>
      </c>
      <c r="AC366" s="0" t="n">
        <v>1862359</v>
      </c>
    </row>
    <row r="367" customFormat="false" ht="36.75" hidden="false" customHeight="true" outlineLevel="0" collapsed="false">
      <c r="A367" s="9" t="n">
        <v>2</v>
      </c>
      <c r="B367" s="10" t="n">
        <v>46164</v>
      </c>
      <c r="C367" s="10" t="n">
        <v>46191</v>
      </c>
      <c r="D367" s="9" t="n">
        <v>1601</v>
      </c>
      <c r="E367" s="11" t="s">
        <v>193</v>
      </c>
      <c r="F367" s="9" t="n">
        <v>24</v>
      </c>
      <c r="G367" s="11" t="s">
        <v>51</v>
      </c>
      <c r="H367" s="9" t="n">
        <v>2110101</v>
      </c>
      <c r="I367" s="11" t="s">
        <v>43</v>
      </c>
      <c r="J367" s="9" t="n">
        <v>1136600</v>
      </c>
      <c r="L367" s="9" t="n">
        <v>836835</v>
      </c>
      <c r="M367" s="11" t="s">
        <v>67</v>
      </c>
      <c r="N367" s="11" t="s">
        <v>37</v>
      </c>
      <c r="P367" s="9" t="n">
        <v>113</v>
      </c>
      <c r="Q367" s="11" t="s">
        <v>46</v>
      </c>
      <c r="R367" s="11" t="s">
        <v>47</v>
      </c>
      <c r="S367" s="9" t="n">
        <v>1130101</v>
      </c>
      <c r="T367" s="11" t="s">
        <v>48</v>
      </c>
      <c r="U367" s="12" t="n">
        <v>560.43</v>
      </c>
      <c r="W367" s="12" t="n">
        <v>0</v>
      </c>
      <c r="X367" s="11" t="s">
        <v>196</v>
      </c>
      <c r="Z367" s="0" t="str">
        <f aca="false">IF($T367="","",IFERROR(INDEX('Resumo Grupos'!$AC$3:$AC$200,MATCH($T367,'Resumo Grupos'!$AB$3:$AB$200,0)),"n/d"))</f>
        <v>Mercadoria</v>
      </c>
      <c r="AA367" s="0" t="str">
        <f aca="false">IF($T367="","",IF(COUNTIF('Resumo Grupos'!$AE$3:$AE$40,$T367)&gt;0,"NAO","SIM"))</f>
        <v>SIM</v>
      </c>
      <c r="AB367" s="0" t="str">
        <f aca="false">IFERROR(INDEX('Mov Entradas (Rel 10497)'!$L:$L,MATCH(AC367,'Mov Entradas (Rel 10497)'!$I:$I,0)),"nao encontrado")</f>
        <v>nao encontrado</v>
      </c>
      <c r="AC367" s="0" t="n">
        <v>836835</v>
      </c>
    </row>
    <row r="368" customFormat="false" ht="54.75" hidden="false" customHeight="true" outlineLevel="0" collapsed="false">
      <c r="A368" s="9" t="n">
        <v>2</v>
      </c>
      <c r="B368" s="10" t="n">
        <v>46170</v>
      </c>
      <c r="C368" s="10" t="n">
        <v>46191</v>
      </c>
      <c r="D368" s="9" t="n">
        <v>1699</v>
      </c>
      <c r="E368" s="11" t="s">
        <v>248</v>
      </c>
      <c r="F368" s="9" t="n">
        <v>24</v>
      </c>
      <c r="G368" s="11" t="s">
        <v>51</v>
      </c>
      <c r="H368" s="9" t="n">
        <v>2110101</v>
      </c>
      <c r="I368" s="11" t="s">
        <v>43</v>
      </c>
      <c r="J368" s="9" t="n">
        <v>1166006</v>
      </c>
      <c r="L368" s="9" t="n">
        <v>302504</v>
      </c>
      <c r="M368" s="11" t="s">
        <v>67</v>
      </c>
      <c r="N368" s="11" t="s">
        <v>37</v>
      </c>
      <c r="P368" s="9" t="n">
        <v>113</v>
      </c>
      <c r="Q368" s="11" t="s">
        <v>46</v>
      </c>
      <c r="R368" s="11" t="s">
        <v>47</v>
      </c>
      <c r="S368" s="9" t="n">
        <v>1130101</v>
      </c>
      <c r="T368" s="11" t="s">
        <v>48</v>
      </c>
      <c r="U368" s="12" t="n">
        <v>290</v>
      </c>
      <c r="W368" s="12" t="n">
        <v>0</v>
      </c>
      <c r="X368" s="11" t="s">
        <v>249</v>
      </c>
      <c r="Z368" s="0" t="str">
        <f aca="false">IF($T368="","",IFERROR(INDEX('Resumo Grupos'!$AC$3:$AC$200,MATCH($T368,'Resumo Grupos'!$AB$3:$AB$200,0)),"n/d"))</f>
        <v>Mercadoria</v>
      </c>
      <c r="AA368" s="0" t="str">
        <f aca="false">IF($T368="","",IF(COUNTIF('Resumo Grupos'!$AE$3:$AE$40,$T368)&gt;0,"NAO","SIM"))</f>
        <v>SIM</v>
      </c>
      <c r="AB368" s="0" t="str">
        <f aca="false">IFERROR(INDEX('Mov Entradas (Rel 10497)'!$L:$L,MATCH(AC368,'Mov Entradas (Rel 10497)'!$I:$I,0)),"nao encontrado")</f>
        <v>nao encontrado</v>
      </c>
      <c r="AC368" s="0" t="n">
        <v>302504</v>
      </c>
    </row>
    <row r="369" customFormat="false" ht="36.75" hidden="false" customHeight="true" outlineLevel="0" collapsed="false">
      <c r="A369" s="9" t="n">
        <v>2</v>
      </c>
      <c r="B369" s="10" t="n">
        <v>46185</v>
      </c>
      <c r="C369" s="10" t="n">
        <v>46191</v>
      </c>
      <c r="D369" s="9" t="n">
        <v>581</v>
      </c>
      <c r="E369" s="11" t="s">
        <v>147</v>
      </c>
      <c r="F369" s="9" t="n">
        <v>24</v>
      </c>
      <c r="G369" s="11" t="s">
        <v>51</v>
      </c>
      <c r="H369" s="9" t="n">
        <v>2110101</v>
      </c>
      <c r="I369" s="11" t="s">
        <v>43</v>
      </c>
      <c r="J369" s="9" t="n">
        <v>1241605</v>
      </c>
      <c r="L369" s="9" t="n">
        <v>30896</v>
      </c>
      <c r="M369" s="11" t="s">
        <v>52</v>
      </c>
      <c r="N369" s="11" t="s">
        <v>37</v>
      </c>
      <c r="P369" s="9" t="n">
        <v>113</v>
      </c>
      <c r="Q369" s="11" t="s">
        <v>46</v>
      </c>
      <c r="R369" s="11" t="s">
        <v>47</v>
      </c>
      <c r="S369" s="9" t="n">
        <v>1130101</v>
      </c>
      <c r="T369" s="11" t="s">
        <v>48</v>
      </c>
      <c r="U369" s="12" t="n">
        <v>231.5</v>
      </c>
      <c r="W369" s="12" t="n">
        <v>0</v>
      </c>
      <c r="X369" s="11" t="s">
        <v>463</v>
      </c>
      <c r="Z369" s="0" t="str">
        <f aca="false">IF($T369="","",IFERROR(INDEX('Resumo Grupos'!$AC$3:$AC$200,MATCH($T369,'Resumo Grupos'!$AB$3:$AB$200,0)),"n/d"))</f>
        <v>Mercadoria</v>
      </c>
      <c r="AA369" s="0" t="str">
        <f aca="false">IF($T369="","",IF(COUNTIF('Resumo Grupos'!$AE$3:$AE$40,$T369)&gt;0,"NAO","SIM"))</f>
        <v>SIM</v>
      </c>
      <c r="AB369" s="0" t="str">
        <f aca="false">IFERROR(INDEX('Mov Entradas (Rel 10497)'!$L:$L,MATCH(AC369,'Mov Entradas (Rel 10497)'!$I:$I,0)),"nao encontrado")</f>
        <v>GOMA DE MANDIOCA AMA</v>
      </c>
      <c r="AC369" s="0" t="n">
        <v>30896</v>
      </c>
    </row>
    <row r="370" customFormat="false" ht="36.75" hidden="false" customHeight="true" outlineLevel="0" collapsed="false">
      <c r="A370" s="9" t="n">
        <v>2</v>
      </c>
      <c r="B370" s="10" t="n">
        <v>46186</v>
      </c>
      <c r="C370" s="10" t="n">
        <v>46191</v>
      </c>
      <c r="D370" s="9" t="n">
        <v>10009</v>
      </c>
      <c r="E370" s="11" t="s">
        <v>464</v>
      </c>
      <c r="F370" s="9" t="n">
        <v>24</v>
      </c>
      <c r="G370" s="11" t="s">
        <v>51</v>
      </c>
      <c r="H370" s="9" t="n">
        <v>2110101</v>
      </c>
      <c r="I370" s="11" t="s">
        <v>43</v>
      </c>
      <c r="J370" s="9" t="n">
        <v>1244221</v>
      </c>
      <c r="L370" s="9" t="n">
        <v>1415530</v>
      </c>
      <c r="M370" s="11" t="s">
        <v>52</v>
      </c>
      <c r="N370" s="11" t="s">
        <v>37</v>
      </c>
      <c r="P370" s="9" t="n">
        <v>113</v>
      </c>
      <c r="Q370" s="11" t="s">
        <v>46</v>
      </c>
      <c r="R370" s="11" t="s">
        <v>47</v>
      </c>
      <c r="S370" s="9" t="n">
        <v>1130101</v>
      </c>
      <c r="T370" s="11" t="s">
        <v>48</v>
      </c>
      <c r="U370" s="12" t="n">
        <v>753.4</v>
      </c>
      <c r="W370" s="12" t="n">
        <v>0</v>
      </c>
      <c r="X370" s="11" t="s">
        <v>465</v>
      </c>
      <c r="Z370" s="0" t="str">
        <f aca="false">IF($T370="","",IFERROR(INDEX('Resumo Grupos'!$AC$3:$AC$200,MATCH($T370,'Resumo Grupos'!$AB$3:$AB$200,0)),"n/d"))</f>
        <v>Mercadoria</v>
      </c>
      <c r="AA370" s="0" t="str">
        <f aca="false">IF($T370="","",IF(COUNTIF('Resumo Grupos'!$AE$3:$AE$40,$T370)&gt;0,"NAO","SIM"))</f>
        <v>SIM</v>
      </c>
      <c r="AB370" s="0" t="str">
        <f aca="false">IFERROR(INDEX('Mov Entradas (Rel 10497)'!$L:$L,MATCH(AC370,'Mov Entradas (Rel 10497)'!$I:$I,0)),"nao encontrado")</f>
        <v>TALENTO CSTN 85G</v>
      </c>
      <c r="AC370" s="0" t="n">
        <v>1415530</v>
      </c>
    </row>
    <row r="371" customFormat="false" ht="36.75" hidden="false" customHeight="true" outlineLevel="0" collapsed="false">
      <c r="A371" s="9" t="n">
        <v>2</v>
      </c>
      <c r="B371" s="10" t="n">
        <v>46188</v>
      </c>
      <c r="C371" s="10" t="n">
        <v>46191</v>
      </c>
      <c r="D371" s="9" t="n">
        <v>10009</v>
      </c>
      <c r="E371" s="11" t="s">
        <v>464</v>
      </c>
      <c r="F371" s="9" t="n">
        <v>24</v>
      </c>
      <c r="G371" s="11" t="s">
        <v>51</v>
      </c>
      <c r="H371" s="9" t="n">
        <v>2110101</v>
      </c>
      <c r="I371" s="11" t="s">
        <v>43</v>
      </c>
      <c r="J371" s="9" t="n">
        <v>1255250</v>
      </c>
      <c r="L371" s="9" t="n">
        <v>1415529</v>
      </c>
      <c r="M371" s="11" t="s">
        <v>52</v>
      </c>
      <c r="N371" s="11" t="s">
        <v>37</v>
      </c>
      <c r="P371" s="9" t="n">
        <v>113</v>
      </c>
      <c r="Q371" s="11" t="s">
        <v>46</v>
      </c>
      <c r="R371" s="11" t="s">
        <v>47</v>
      </c>
      <c r="S371" s="9" t="n">
        <v>1130101</v>
      </c>
      <c r="T371" s="11" t="s">
        <v>48</v>
      </c>
      <c r="U371" s="12" t="n">
        <v>1529.51</v>
      </c>
      <c r="W371" s="12" t="n">
        <v>0</v>
      </c>
      <c r="X371" s="11" t="s">
        <v>466</v>
      </c>
      <c r="Z371" s="0" t="str">
        <f aca="false">IF($T371="","",IFERROR(INDEX('Resumo Grupos'!$AC$3:$AC$200,MATCH($T371,'Resumo Grupos'!$AB$3:$AB$200,0)),"n/d"))</f>
        <v>Mercadoria</v>
      </c>
      <c r="AA371" s="0" t="str">
        <f aca="false">IF($T371="","",IF(COUNTIF('Resumo Grupos'!$AE$3:$AE$40,$T371)&gt;0,"NAO","SIM"))</f>
        <v>SIM</v>
      </c>
      <c r="AB371" s="0" t="str">
        <f aca="false">IFERROR(INDEX('Mov Entradas (Rel 10497)'!$L:$L,MATCH(AC371,'Mov Entradas (Rel 10497)'!$I:$I,0)),"nao encontrado")</f>
        <v>SOPAO MAGGI COST 200</v>
      </c>
      <c r="AC371" s="0" t="n">
        <v>1415529</v>
      </c>
    </row>
    <row r="372" customFormat="false" ht="36.75" hidden="false" customHeight="true" outlineLevel="0" collapsed="false">
      <c r="A372" s="9" t="n">
        <v>2</v>
      </c>
      <c r="B372" s="10" t="n">
        <v>46185</v>
      </c>
      <c r="C372" s="10" t="n">
        <v>46191</v>
      </c>
      <c r="D372" s="9" t="n">
        <v>1328</v>
      </c>
      <c r="E372" s="11" t="s">
        <v>95</v>
      </c>
      <c r="F372" s="9" t="n">
        <v>24</v>
      </c>
      <c r="G372" s="11" t="s">
        <v>51</v>
      </c>
      <c r="H372" s="9" t="n">
        <v>2110101</v>
      </c>
      <c r="I372" s="11" t="s">
        <v>43</v>
      </c>
      <c r="J372" s="9" t="n">
        <v>1241587</v>
      </c>
      <c r="L372" s="9" t="n">
        <v>3741</v>
      </c>
      <c r="M372" s="11" t="s">
        <v>52</v>
      </c>
      <c r="N372" s="11" t="s">
        <v>37</v>
      </c>
      <c r="P372" s="9" t="n">
        <v>113</v>
      </c>
      <c r="Q372" s="11" t="s">
        <v>46</v>
      </c>
      <c r="R372" s="11" t="s">
        <v>47</v>
      </c>
      <c r="S372" s="9" t="n">
        <v>1130101</v>
      </c>
      <c r="T372" s="11" t="s">
        <v>48</v>
      </c>
      <c r="U372" s="12" t="n">
        <v>184.96</v>
      </c>
      <c r="W372" s="12" t="n">
        <v>0</v>
      </c>
      <c r="X372" s="11" t="s">
        <v>467</v>
      </c>
      <c r="Z372" s="0" t="str">
        <f aca="false">IF($T372="","",IFERROR(INDEX('Resumo Grupos'!$AC$3:$AC$200,MATCH($T372,'Resumo Grupos'!$AB$3:$AB$200,0)),"n/d"))</f>
        <v>Mercadoria</v>
      </c>
      <c r="AA372" s="0" t="str">
        <f aca="false">IF($T372="","",IF(COUNTIF('Resumo Grupos'!$AE$3:$AE$40,$T372)&gt;0,"NAO","SIM"))</f>
        <v>SIM</v>
      </c>
      <c r="AB372" s="0" t="str">
        <f aca="false">IFERROR(INDEX('Mov Entradas (Rel 10497)'!$L:$L,MATCH(AC372,'Mov Entradas (Rel 10497)'!$I:$I,0)),"nao encontrado")</f>
        <v>PAO DE KIKAO 10</v>
      </c>
      <c r="AC372" s="0" t="n">
        <v>3741</v>
      </c>
    </row>
    <row r="373" customFormat="false" ht="36.75" hidden="false" customHeight="true" outlineLevel="0" collapsed="false">
      <c r="A373" s="9" t="n">
        <v>2</v>
      </c>
      <c r="B373" s="10" t="n">
        <v>46184</v>
      </c>
      <c r="C373" s="10" t="n">
        <v>46191</v>
      </c>
      <c r="D373" s="9" t="n">
        <v>1740</v>
      </c>
      <c r="E373" s="11" t="s">
        <v>468</v>
      </c>
      <c r="F373" s="9" t="n">
        <v>24</v>
      </c>
      <c r="G373" s="11" t="s">
        <v>51</v>
      </c>
      <c r="H373" s="9" t="n">
        <v>2110101</v>
      </c>
      <c r="I373" s="11" t="s">
        <v>43</v>
      </c>
      <c r="J373" s="9" t="n">
        <v>1235244</v>
      </c>
      <c r="L373" s="9" t="n">
        <v>1235911</v>
      </c>
      <c r="M373" s="11" t="s">
        <v>52</v>
      </c>
      <c r="N373" s="11" t="s">
        <v>37</v>
      </c>
      <c r="P373" s="9" t="n">
        <v>113</v>
      </c>
      <c r="Q373" s="11" t="s">
        <v>46</v>
      </c>
      <c r="R373" s="11" t="s">
        <v>47</v>
      </c>
      <c r="S373" s="9" t="n">
        <v>1130101</v>
      </c>
      <c r="T373" s="11" t="s">
        <v>48</v>
      </c>
      <c r="U373" s="12" t="n">
        <v>345.7</v>
      </c>
      <c r="W373" s="12" t="n">
        <v>0</v>
      </c>
      <c r="X373" s="11" t="s">
        <v>469</v>
      </c>
      <c r="Z373" s="0" t="str">
        <f aca="false">IF($T373="","",IFERROR(INDEX('Resumo Grupos'!$AC$3:$AC$200,MATCH($T373,'Resumo Grupos'!$AB$3:$AB$200,0)),"n/d"))</f>
        <v>Mercadoria</v>
      </c>
      <c r="AA373" s="0" t="str">
        <f aca="false">IF($T373="","",IF(COUNTIF('Resumo Grupos'!$AE$3:$AE$40,$T373)&gt;0,"NAO","SIM"))</f>
        <v>SIM</v>
      </c>
      <c r="AB373" s="0" t="str">
        <f aca="false">IFERROR(INDEX('Mov Entradas (Rel 10497)'!$L:$L,MATCH(AC373,'Mov Entradas (Rel 10497)'!$I:$I,0)),"nao encontrado")</f>
        <v>IOG BI-CAMADA MGO CO</v>
      </c>
      <c r="AC373" s="0" t="n">
        <v>1235911</v>
      </c>
    </row>
    <row r="374" customFormat="false" ht="36.75" hidden="false" customHeight="true" outlineLevel="0" collapsed="false">
      <c r="A374" s="9" t="n">
        <v>2</v>
      </c>
      <c r="B374" s="10" t="n">
        <v>46185</v>
      </c>
      <c r="C374" s="10" t="n">
        <v>46191</v>
      </c>
      <c r="D374" s="9" t="n">
        <v>1899</v>
      </c>
      <c r="E374" s="11" t="s">
        <v>204</v>
      </c>
      <c r="F374" s="9" t="n">
        <v>24</v>
      </c>
      <c r="G374" s="11" t="s">
        <v>51</v>
      </c>
      <c r="H374" s="9" t="n">
        <v>2110101</v>
      </c>
      <c r="I374" s="11" t="s">
        <v>43</v>
      </c>
      <c r="J374" s="9" t="n">
        <v>1241529</v>
      </c>
      <c r="L374" s="9" t="n">
        <v>664</v>
      </c>
      <c r="M374" s="11" t="s">
        <v>52</v>
      </c>
      <c r="N374" s="11" t="s">
        <v>37</v>
      </c>
      <c r="P374" s="9" t="n">
        <v>113</v>
      </c>
      <c r="Q374" s="11" t="s">
        <v>46</v>
      </c>
      <c r="R374" s="11" t="s">
        <v>47</v>
      </c>
      <c r="S374" s="9" t="n">
        <v>1130101</v>
      </c>
      <c r="T374" s="11" t="s">
        <v>48</v>
      </c>
      <c r="U374" s="12" t="n">
        <v>379.6</v>
      </c>
      <c r="W374" s="12" t="n">
        <v>0</v>
      </c>
      <c r="X374" s="11" t="s">
        <v>470</v>
      </c>
      <c r="Z374" s="0" t="str">
        <f aca="false">IF($T374="","",IFERROR(INDEX('Resumo Grupos'!$AC$3:$AC$200,MATCH($T374,'Resumo Grupos'!$AB$3:$AB$200,0)),"n/d"))</f>
        <v>Mercadoria</v>
      </c>
      <c r="AA374" s="0" t="str">
        <f aca="false">IF($T374="","",IF(COUNTIF('Resumo Grupos'!$AE$3:$AE$40,$T374)&gt;0,"NAO","SIM"))</f>
        <v>SIM</v>
      </c>
      <c r="AB374" s="0" t="str">
        <f aca="false">IFERROR(INDEX('Mov Entradas (Rel 10497)'!$L:$L,MATCH(AC374,'Mov Entradas (Rel 10497)'!$I:$I,0)),"nao encontrado")</f>
        <v>PAO DE FORMA REAL MA</v>
      </c>
      <c r="AC374" s="0" t="n">
        <v>664</v>
      </c>
    </row>
    <row r="375" customFormat="false" ht="36.75" hidden="false" customHeight="true" outlineLevel="0" collapsed="false">
      <c r="A375" s="9" t="n">
        <v>2</v>
      </c>
      <c r="B375" s="10" t="n">
        <v>46184</v>
      </c>
      <c r="C375" s="10" t="n">
        <v>46191</v>
      </c>
      <c r="D375" s="9" t="n">
        <v>1024</v>
      </c>
      <c r="E375" s="11" t="s">
        <v>471</v>
      </c>
      <c r="F375" s="9" t="n">
        <v>24</v>
      </c>
      <c r="G375" s="11" t="s">
        <v>51</v>
      </c>
      <c r="H375" s="9" t="n">
        <v>2110101</v>
      </c>
      <c r="I375" s="11" t="s">
        <v>43</v>
      </c>
      <c r="J375" s="9" t="n">
        <v>1236954</v>
      </c>
      <c r="L375" s="9" t="n">
        <v>581432</v>
      </c>
      <c r="M375" s="11" t="s">
        <v>52</v>
      </c>
      <c r="N375" s="11" t="s">
        <v>37</v>
      </c>
      <c r="P375" s="9" t="n">
        <v>113</v>
      </c>
      <c r="Q375" s="11" t="s">
        <v>46</v>
      </c>
      <c r="R375" s="11" t="s">
        <v>47</v>
      </c>
      <c r="S375" s="9" t="n">
        <v>1130101</v>
      </c>
      <c r="T375" s="11" t="s">
        <v>48</v>
      </c>
      <c r="U375" s="12" t="n">
        <v>278</v>
      </c>
      <c r="W375" s="12" t="n">
        <v>0</v>
      </c>
      <c r="X375" s="11" t="s">
        <v>472</v>
      </c>
      <c r="Z375" s="0" t="str">
        <f aca="false">IF($T375="","",IFERROR(INDEX('Resumo Grupos'!$AC$3:$AC$200,MATCH($T375,'Resumo Grupos'!$AB$3:$AB$200,0)),"n/d"))</f>
        <v>Mercadoria</v>
      </c>
      <c r="AA375" s="0" t="str">
        <f aca="false">IF($T375="","",IF(COUNTIF('Resumo Grupos'!$AE$3:$AE$40,$T375)&gt;0,"NAO","SIM"))</f>
        <v>SIM</v>
      </c>
      <c r="AB375" s="0" t="str">
        <f aca="false">IFERROR(INDEX('Mov Entradas (Rel 10497)'!$L:$L,MATCH(AC375,'Mov Entradas (Rel 10497)'!$I:$I,0)),"nao encontrado")</f>
        <v>SANTA CLAUDIA C/G 350ML</v>
      </c>
      <c r="AC375" s="0" t="n">
        <v>581432</v>
      </c>
    </row>
    <row r="376" customFormat="false" ht="36.75" hidden="false" customHeight="true" outlineLevel="0" collapsed="false">
      <c r="A376" s="9" t="n">
        <v>2</v>
      </c>
      <c r="B376" s="10" t="n">
        <v>46191</v>
      </c>
      <c r="C376" s="10" t="n">
        <v>46191</v>
      </c>
      <c r="D376" s="9" t="n">
        <v>0</v>
      </c>
      <c r="E376" s="11" t="s">
        <v>109</v>
      </c>
      <c r="F376" s="9" t="n">
        <v>17</v>
      </c>
      <c r="G376" s="11" t="s">
        <v>110</v>
      </c>
      <c r="H376" s="9" t="n">
        <v>1110101</v>
      </c>
      <c r="I376" s="11" t="s">
        <v>111</v>
      </c>
      <c r="J376" s="9" t="n">
        <v>1361215</v>
      </c>
      <c r="L376" s="9" t="n">
        <v>1361215</v>
      </c>
      <c r="M376" s="11" t="s">
        <v>52</v>
      </c>
      <c r="N376" s="11" t="s">
        <v>112</v>
      </c>
      <c r="P376" s="9" t="n">
        <v>113</v>
      </c>
      <c r="Q376" s="11" t="s">
        <v>46</v>
      </c>
      <c r="R376" s="11" t="s">
        <v>116</v>
      </c>
      <c r="S376" s="9" t="n">
        <v>1110203</v>
      </c>
      <c r="T376" s="11" t="s">
        <v>117</v>
      </c>
      <c r="U376" s="12" t="n">
        <v>2550</v>
      </c>
      <c r="W376" s="12" t="n">
        <v>2550</v>
      </c>
      <c r="X376" s="11" t="s">
        <v>473</v>
      </c>
      <c r="Z376" s="0" t="str">
        <f aca="false">IF($T376="","",IFERROR(INDEX('Resumo Grupos'!$AC$3:$AC$200,MATCH($T376,'Resumo Grupos'!$AB$3:$AB$200,0)),"n/d"))</f>
        <v>Despesa</v>
      </c>
      <c r="AA376" s="0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9" t="n">
        <v>2</v>
      </c>
      <c r="B377" s="10" t="n">
        <v>46185</v>
      </c>
      <c r="C377" s="10" t="n">
        <v>46192</v>
      </c>
      <c r="D377" s="9" t="n">
        <v>1642</v>
      </c>
      <c r="E377" s="11" t="s">
        <v>228</v>
      </c>
      <c r="F377" s="9" t="n">
        <v>24</v>
      </c>
      <c r="G377" s="11" t="s">
        <v>51</v>
      </c>
      <c r="H377" s="9" t="n">
        <v>2110101</v>
      </c>
      <c r="I377" s="11" t="s">
        <v>43</v>
      </c>
      <c r="J377" s="9" t="n">
        <v>1241572</v>
      </c>
      <c r="L377" s="9" t="n">
        <v>1026809</v>
      </c>
      <c r="M377" s="11" t="s">
        <v>52</v>
      </c>
      <c r="N377" s="11" t="s">
        <v>37</v>
      </c>
      <c r="P377" s="9" t="n">
        <v>113</v>
      </c>
      <c r="Q377" s="11" t="s">
        <v>46</v>
      </c>
      <c r="R377" s="11" t="s">
        <v>47</v>
      </c>
      <c r="S377" s="9" t="n">
        <v>1130101</v>
      </c>
      <c r="T377" s="11" t="s">
        <v>48</v>
      </c>
      <c r="U377" s="12" t="n">
        <v>440.45</v>
      </c>
      <c r="W377" s="12" t="n">
        <v>0</v>
      </c>
      <c r="X377" s="11" t="s">
        <v>474</v>
      </c>
      <c r="Z377" s="0" t="str">
        <f aca="false">IF($T377="","",IFERROR(INDEX('Resumo Grupos'!$AC$3:$AC$200,MATCH($T377,'Resumo Grupos'!$AB$3:$AB$200,0)),"n/d"))</f>
        <v>Mercadoria</v>
      </c>
      <c r="AA377" s="0" t="str">
        <f aca="false">IF($T377="","",IF(COUNTIF('Resumo Grupos'!$AE$3:$AE$40,$T377)&gt;0,"NAO","SIM"))</f>
        <v>SIM</v>
      </c>
      <c r="AB377" s="0" t="str">
        <f aca="false">IFERROR(INDEX('Mov Entradas (Rel 10497)'!$L:$L,MATCH(AC377,'Mov Entradas (Rel 10497)'!$I:$I,0)),"nao encontrado")</f>
        <v>FAR ROSCA COM BROTHE</v>
      </c>
      <c r="AC377" s="0" t="n">
        <v>1026809</v>
      </c>
    </row>
    <row r="378" customFormat="false" ht="36.75" hidden="false" customHeight="true" outlineLevel="0" collapsed="false">
      <c r="A378" s="9" t="n">
        <v>2</v>
      </c>
      <c r="B378" s="10" t="n">
        <v>46188</v>
      </c>
      <c r="C378" s="10" t="n">
        <v>46192</v>
      </c>
      <c r="D378" s="9" t="n">
        <v>1621</v>
      </c>
      <c r="E378" s="11" t="s">
        <v>232</v>
      </c>
      <c r="F378" s="9" t="n">
        <v>24</v>
      </c>
      <c r="G378" s="11" t="s">
        <v>51</v>
      </c>
      <c r="H378" s="9" t="n">
        <v>2110101</v>
      </c>
      <c r="I378" s="11" t="s">
        <v>43</v>
      </c>
      <c r="J378" s="9" t="n">
        <v>1257356</v>
      </c>
      <c r="L378" s="9" t="n">
        <v>854255</v>
      </c>
      <c r="M378" s="11" t="s">
        <v>52</v>
      </c>
      <c r="N378" s="11" t="s">
        <v>37</v>
      </c>
      <c r="P378" s="9" t="n">
        <v>113</v>
      </c>
      <c r="Q378" s="11" t="s">
        <v>46</v>
      </c>
      <c r="R378" s="11" t="s">
        <v>47</v>
      </c>
      <c r="S378" s="9" t="n">
        <v>1130101</v>
      </c>
      <c r="T378" s="11" t="s">
        <v>48</v>
      </c>
      <c r="U378" s="12" t="n">
        <v>4705.7</v>
      </c>
      <c r="W378" s="12" t="n">
        <v>0</v>
      </c>
      <c r="X378" s="11" t="s">
        <v>475</v>
      </c>
      <c r="Z378" s="0" t="str">
        <f aca="false">IF($T378="","",IFERROR(INDEX('Resumo Grupos'!$AC$3:$AC$200,MATCH($T378,'Resumo Grupos'!$AB$3:$AB$200,0)),"n/d"))</f>
        <v>Mercadoria</v>
      </c>
      <c r="AA378" s="0" t="str">
        <f aca="false">IF($T378="","",IF(COUNTIF('Resumo Grupos'!$AE$3:$AE$40,$T378)&gt;0,"NAO","SIM"))</f>
        <v>SIM</v>
      </c>
      <c r="AB378" s="0" t="str">
        <f aca="false">IFERROR(INDEX('Mov Entradas (Rel 10497)'!$L:$L,MATCH(AC378,'Mov Entradas (Rel 10497)'!$I:$I,0)),"nao encontrado")</f>
        <v>RED BULL 250ML</v>
      </c>
      <c r="AC378" s="0" t="n">
        <v>854255</v>
      </c>
    </row>
    <row r="379" customFormat="false" ht="36.75" hidden="false" customHeight="true" outlineLevel="0" collapsed="false">
      <c r="A379" s="9" t="n">
        <v>2</v>
      </c>
      <c r="B379" s="10" t="n">
        <v>46188</v>
      </c>
      <c r="C379" s="10" t="n">
        <v>46192</v>
      </c>
      <c r="D379" s="9" t="n">
        <v>1621</v>
      </c>
      <c r="E379" s="11" t="s">
        <v>232</v>
      </c>
      <c r="F379" s="9" t="n">
        <v>24</v>
      </c>
      <c r="G379" s="11" t="s">
        <v>51</v>
      </c>
      <c r="H379" s="9" t="n">
        <v>2110101</v>
      </c>
      <c r="I379" s="11" t="s">
        <v>43</v>
      </c>
      <c r="J379" s="9" t="n">
        <v>1257380</v>
      </c>
      <c r="L379" s="9" t="n">
        <v>167674</v>
      </c>
      <c r="M379" s="11" t="s">
        <v>52</v>
      </c>
      <c r="N379" s="11" t="s">
        <v>45</v>
      </c>
      <c r="P379" s="9" t="n">
        <v>113</v>
      </c>
      <c r="Q379" s="11" t="s">
        <v>46</v>
      </c>
      <c r="R379" s="11" t="s">
        <v>47</v>
      </c>
      <c r="S379" s="9" t="n">
        <v>1130101</v>
      </c>
      <c r="T379" s="11" t="s">
        <v>48</v>
      </c>
      <c r="U379" s="12" t="n">
        <v>1.55</v>
      </c>
      <c r="W379" s="12" t="n">
        <v>0</v>
      </c>
      <c r="X379" s="11" t="s">
        <v>476</v>
      </c>
      <c r="Z379" s="0" t="str">
        <f aca="false">IF($T379="","",IFERROR(INDEX('Resumo Grupos'!$AC$3:$AC$200,MATCH($T379,'Resumo Grupos'!$AB$3:$AB$200,0)),"n/d"))</f>
        <v>Mercadoria</v>
      </c>
      <c r="AA379" s="0" t="str">
        <f aca="false">IF($T379="","",IF(COUNTIF('Resumo Grupos'!$AE$3:$AE$40,$T379)&gt;0,"NAO","SIM"))</f>
        <v>SIM</v>
      </c>
      <c r="AB379" s="0" t="str">
        <f aca="false">IFERROR(INDEX('Mov Entradas (Rel 10497)'!$L:$L,MATCH(AC379,'Mov Entradas (Rel 10497)'!$I:$I,0)),"nao encontrado")</f>
        <v>RED BULL 250ML</v>
      </c>
      <c r="AC379" s="0" t="n">
        <v>854255</v>
      </c>
    </row>
    <row r="380" customFormat="false" ht="36.75" hidden="false" customHeight="true" outlineLevel="0" collapsed="false">
      <c r="A380" s="9" t="n">
        <v>2</v>
      </c>
      <c r="B380" s="10" t="n">
        <v>46178</v>
      </c>
      <c r="C380" s="10" t="n">
        <v>46192</v>
      </c>
      <c r="D380" s="9" t="n">
        <v>10002</v>
      </c>
      <c r="E380" s="11" t="s">
        <v>197</v>
      </c>
      <c r="F380" s="9" t="n">
        <v>24</v>
      </c>
      <c r="G380" s="11" t="s">
        <v>51</v>
      </c>
      <c r="H380" s="9" t="n">
        <v>2110101</v>
      </c>
      <c r="I380" s="11" t="s">
        <v>43</v>
      </c>
      <c r="J380" s="9" t="n">
        <v>1206913</v>
      </c>
      <c r="L380" s="9" t="n">
        <v>195681</v>
      </c>
      <c r="M380" s="11" t="s">
        <v>52</v>
      </c>
      <c r="N380" s="11" t="s">
        <v>37</v>
      </c>
      <c r="P380" s="9" t="n">
        <v>113</v>
      </c>
      <c r="Q380" s="11" t="s">
        <v>46</v>
      </c>
      <c r="R380" s="11" t="s">
        <v>47</v>
      </c>
      <c r="S380" s="9" t="n">
        <v>1130101</v>
      </c>
      <c r="T380" s="11" t="s">
        <v>48</v>
      </c>
      <c r="U380" s="12" t="n">
        <v>618.56</v>
      </c>
      <c r="W380" s="12" t="n">
        <v>0</v>
      </c>
      <c r="X380" s="11" t="s">
        <v>477</v>
      </c>
      <c r="Z380" s="0" t="str">
        <f aca="false">IF($T380="","",IFERROR(INDEX('Resumo Grupos'!$AC$3:$AC$200,MATCH($T380,'Resumo Grupos'!$AB$3:$AB$200,0)),"n/d"))</f>
        <v>Mercadoria</v>
      </c>
      <c r="AA380" s="0" t="str">
        <f aca="false">IF($T380="","",IF(COUNTIF('Resumo Grupos'!$AE$3:$AE$40,$T380)&gt;0,"NAO","SIM"))</f>
        <v>SIM</v>
      </c>
      <c r="AB380" s="0" t="str">
        <f aca="false">IFERROR(INDEX('Mov Entradas (Rel 10497)'!$L:$L,MATCH(AC380,'Mov Entradas (Rel 10497)'!$I:$I,0)),"nao encontrado")</f>
        <v>POLPA MANGA BRASFRUT</v>
      </c>
      <c r="AC380" s="0" t="n">
        <v>195681</v>
      </c>
    </row>
    <row r="381" customFormat="false" ht="36.75" hidden="false" customHeight="true" outlineLevel="0" collapsed="false">
      <c r="A381" s="9" t="n">
        <v>2</v>
      </c>
      <c r="B381" s="10" t="n">
        <v>46192</v>
      </c>
      <c r="C381" s="10" t="n">
        <v>46192</v>
      </c>
      <c r="D381" s="9" t="n">
        <v>1758</v>
      </c>
      <c r="E381" s="11" t="s">
        <v>478</v>
      </c>
      <c r="F381" s="9" t="n">
        <v>34</v>
      </c>
      <c r="G381" s="11" t="s">
        <v>55</v>
      </c>
      <c r="H381" s="9" t="n">
        <v>2110405</v>
      </c>
      <c r="I381" s="11" t="s">
        <v>56</v>
      </c>
      <c r="J381" s="9" t="n">
        <v>1441327</v>
      </c>
      <c r="L381" s="9" t="n">
        <v>194956</v>
      </c>
      <c r="M381" s="11" t="s">
        <v>52</v>
      </c>
      <c r="N381" s="11" t="s">
        <v>45</v>
      </c>
      <c r="P381" s="9" t="n">
        <v>101</v>
      </c>
      <c r="Q381" s="11" t="s">
        <v>57</v>
      </c>
      <c r="R381" s="11" t="s">
        <v>479</v>
      </c>
      <c r="S381" s="9" t="n">
        <v>3120106</v>
      </c>
      <c r="T381" s="11" t="s">
        <v>480</v>
      </c>
      <c r="U381" s="12" t="n">
        <v>2600</v>
      </c>
      <c r="W381" s="12" t="n">
        <v>0</v>
      </c>
      <c r="X381" s="11" t="s">
        <v>481</v>
      </c>
      <c r="Z381" s="0" t="str">
        <f aca="false">IF($T381="","",IFERROR(INDEX('Resumo Grupos'!$AC$3:$AC$200,MATCH($T381,'Resumo Grupos'!$AB$3:$AB$200,0)),"n/d"))</f>
        <v>Despesa</v>
      </c>
      <c r="AA381" s="0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9" t="n">
        <v>2</v>
      </c>
      <c r="B382" s="10" t="n">
        <v>46164</v>
      </c>
      <c r="C382" s="10" t="n">
        <v>46192</v>
      </c>
      <c r="D382" s="9" t="n">
        <v>1608</v>
      </c>
      <c r="E382" s="11" t="s">
        <v>240</v>
      </c>
      <c r="F382" s="9" t="n">
        <v>24</v>
      </c>
      <c r="G382" s="11" t="s">
        <v>51</v>
      </c>
      <c r="H382" s="9" t="n">
        <v>2110101</v>
      </c>
      <c r="I382" s="11" t="s">
        <v>43</v>
      </c>
      <c r="J382" s="9" t="n">
        <v>1136027</v>
      </c>
      <c r="L382" s="9" t="n">
        <v>1659538</v>
      </c>
      <c r="M382" s="11" t="s">
        <v>67</v>
      </c>
      <c r="N382" s="11" t="s">
        <v>37</v>
      </c>
      <c r="P382" s="9" t="n">
        <v>113</v>
      </c>
      <c r="Q382" s="11" t="s">
        <v>46</v>
      </c>
      <c r="R382" s="11" t="s">
        <v>47</v>
      </c>
      <c r="S382" s="9" t="n">
        <v>1130101</v>
      </c>
      <c r="T382" s="11" t="s">
        <v>48</v>
      </c>
      <c r="U382" s="12" t="n">
        <v>1041.87</v>
      </c>
      <c r="W382" s="12" t="n">
        <v>0</v>
      </c>
      <c r="X382" s="11" t="s">
        <v>241</v>
      </c>
      <c r="Z382" s="0" t="str">
        <f aca="false">IF($T382="","",IFERROR(INDEX('Resumo Grupos'!$AC$3:$AC$200,MATCH($T382,'Resumo Grupos'!$AB$3:$AB$200,0)),"n/d"))</f>
        <v>Mercadoria</v>
      </c>
      <c r="AA382" s="0" t="str">
        <f aca="false">IF($T382="","",IF(COUNTIF('Resumo Grupos'!$AE$3:$AE$40,$T382)&gt;0,"NAO","SIM"))</f>
        <v>SIM</v>
      </c>
      <c r="AB382" s="0" t="str">
        <f aca="false">IFERROR(INDEX('Mov Entradas (Rel 10497)'!$L:$L,MATCH(AC382,'Mov Entradas (Rel 10497)'!$I:$I,0)),"nao encontrado")</f>
        <v>nao encontrado</v>
      </c>
      <c r="AC382" s="0" t="n">
        <v>1659538</v>
      </c>
    </row>
    <row r="383" customFormat="false" ht="36.75" hidden="false" customHeight="true" outlineLevel="0" collapsed="false">
      <c r="A383" s="9" t="n">
        <v>2</v>
      </c>
      <c r="B383" s="10" t="n">
        <v>46189</v>
      </c>
      <c r="C383" s="10" t="n">
        <v>46192</v>
      </c>
      <c r="D383" s="9" t="n">
        <v>1947</v>
      </c>
      <c r="E383" s="11" t="s">
        <v>482</v>
      </c>
      <c r="F383" s="9" t="n">
        <v>34</v>
      </c>
      <c r="G383" s="11" t="s">
        <v>55</v>
      </c>
      <c r="H383" s="9" t="n">
        <v>2110405</v>
      </c>
      <c r="I383" s="11" t="s">
        <v>56</v>
      </c>
      <c r="J383" s="9" t="n">
        <v>1261590</v>
      </c>
      <c r="L383" s="9" t="n">
        <v>526</v>
      </c>
      <c r="M383" s="11" t="s">
        <v>52</v>
      </c>
      <c r="N383" s="11" t="s">
        <v>45</v>
      </c>
      <c r="P383" s="9" t="n">
        <v>101</v>
      </c>
      <c r="Q383" s="11" t="s">
        <v>57</v>
      </c>
      <c r="R383" s="11" t="s">
        <v>71</v>
      </c>
      <c r="S383" s="9" t="n">
        <v>4210303</v>
      </c>
      <c r="T383" s="11" t="s">
        <v>483</v>
      </c>
      <c r="U383" s="12" t="n">
        <v>1402.37</v>
      </c>
      <c r="W383" s="12" t="n">
        <v>0</v>
      </c>
      <c r="X383" s="11" t="s">
        <v>484</v>
      </c>
      <c r="Z383" s="0" t="str">
        <f aca="false">IF($T383="","",IFERROR(INDEX('Resumo Grupos'!$AC$3:$AC$200,MATCH($T383,'Resumo Grupos'!$AB$3:$AB$200,0)),"n/d"))</f>
        <v>Impostos</v>
      </c>
      <c r="AA383" s="0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9" t="n">
        <v>2</v>
      </c>
      <c r="B384" s="10" t="n">
        <v>46189</v>
      </c>
      <c r="C384" s="10" t="n">
        <v>46192</v>
      </c>
      <c r="D384" s="9" t="n">
        <v>1947</v>
      </c>
      <c r="E384" s="11" t="s">
        <v>482</v>
      </c>
      <c r="F384" s="9" t="n">
        <v>34</v>
      </c>
      <c r="G384" s="11" t="s">
        <v>55</v>
      </c>
      <c r="H384" s="9" t="n">
        <v>2110405</v>
      </c>
      <c r="I384" s="11" t="s">
        <v>56</v>
      </c>
      <c r="J384" s="9" t="n">
        <v>1261594</v>
      </c>
      <c r="L384" s="9" t="n">
        <v>168352</v>
      </c>
      <c r="M384" s="11" t="s">
        <v>52</v>
      </c>
      <c r="N384" s="11" t="s">
        <v>45</v>
      </c>
      <c r="P384" s="9" t="n">
        <v>101</v>
      </c>
      <c r="Q384" s="11" t="s">
        <v>57</v>
      </c>
      <c r="R384" s="11" t="s">
        <v>71</v>
      </c>
      <c r="S384" s="9" t="n">
        <v>4210302</v>
      </c>
      <c r="T384" s="11" t="s">
        <v>485</v>
      </c>
      <c r="U384" s="12" t="n">
        <v>3059.01</v>
      </c>
      <c r="W384" s="12" t="n">
        <v>0</v>
      </c>
      <c r="X384" s="11" t="s">
        <v>486</v>
      </c>
      <c r="Z384" s="0" t="str">
        <f aca="false">IF($T384="","",IFERROR(INDEX('Resumo Grupos'!$AC$3:$AC$200,MATCH($T384,'Resumo Grupos'!$AB$3:$AB$200,0)),"n/d"))</f>
        <v>Impostos</v>
      </c>
      <c r="AA384" s="0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9" t="n">
        <v>2</v>
      </c>
      <c r="B385" s="10" t="n">
        <v>46192</v>
      </c>
      <c r="C385" s="10" t="n">
        <v>46192</v>
      </c>
      <c r="D385" s="9" t="n">
        <v>1037</v>
      </c>
      <c r="E385" s="11" t="s">
        <v>134</v>
      </c>
      <c r="F385" s="9" t="n">
        <v>34</v>
      </c>
      <c r="G385" s="11" t="s">
        <v>55</v>
      </c>
      <c r="H385" s="9" t="n">
        <v>2110405</v>
      </c>
      <c r="I385" s="11" t="s">
        <v>56</v>
      </c>
      <c r="J385" s="9" t="n">
        <v>1441360</v>
      </c>
      <c r="L385" s="9" t="n">
        <v>194966</v>
      </c>
      <c r="M385" s="11" t="s">
        <v>52</v>
      </c>
      <c r="N385" s="11" t="s">
        <v>45</v>
      </c>
      <c r="P385" s="9" t="n">
        <v>101</v>
      </c>
      <c r="Q385" s="11" t="s">
        <v>57</v>
      </c>
      <c r="R385" s="11" t="s">
        <v>81</v>
      </c>
      <c r="S385" s="9" t="n">
        <v>4220199</v>
      </c>
      <c r="T385" s="11" t="s">
        <v>82</v>
      </c>
      <c r="U385" s="12" t="n">
        <v>1690</v>
      </c>
      <c r="W385" s="12" t="n">
        <v>0</v>
      </c>
      <c r="X385" s="11" t="s">
        <v>376</v>
      </c>
      <c r="Z385" s="0" t="str">
        <f aca="false">IF($T385="","",IFERROR(INDEX('Resumo Grupos'!$AC$3:$AC$200,MATCH($T385,'Resumo Grupos'!$AB$3:$AB$200,0)),"n/d"))</f>
        <v>Pagamentos outros não operacionais</v>
      </c>
      <c r="AA385" s="0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9" t="n">
        <v>2</v>
      </c>
      <c r="B386" s="10" t="n">
        <v>46186</v>
      </c>
      <c r="C386" s="10" t="n">
        <v>46192</v>
      </c>
      <c r="D386" s="9" t="n">
        <v>911</v>
      </c>
      <c r="E386" s="11" t="s">
        <v>487</v>
      </c>
      <c r="F386" s="9" t="n">
        <v>24</v>
      </c>
      <c r="G386" s="11" t="s">
        <v>51</v>
      </c>
      <c r="H386" s="9" t="n">
        <v>2110101</v>
      </c>
      <c r="I386" s="11" t="s">
        <v>43</v>
      </c>
      <c r="J386" s="9" t="n">
        <v>1244029</v>
      </c>
      <c r="L386" s="9" t="n">
        <v>51542</v>
      </c>
      <c r="M386" s="11" t="s">
        <v>52</v>
      </c>
      <c r="N386" s="11" t="s">
        <v>37</v>
      </c>
      <c r="P386" s="9" t="n">
        <v>113</v>
      </c>
      <c r="Q386" s="11" t="s">
        <v>46</v>
      </c>
      <c r="R386" s="11" t="s">
        <v>47</v>
      </c>
      <c r="S386" s="9" t="n">
        <v>1130101</v>
      </c>
      <c r="T386" s="11" t="s">
        <v>48</v>
      </c>
      <c r="U386" s="12" t="n">
        <v>246.96</v>
      </c>
      <c r="W386" s="12" t="n">
        <v>0</v>
      </c>
      <c r="X386" s="11" t="s">
        <v>488</v>
      </c>
      <c r="Z386" s="0" t="str">
        <f aca="false">IF($T386="","",IFERROR(INDEX('Resumo Grupos'!$AC$3:$AC$200,MATCH($T386,'Resumo Grupos'!$AB$3:$AB$200,0)),"n/d"))</f>
        <v>Mercadoria</v>
      </c>
      <c r="AA386" s="0" t="str">
        <f aca="false">IF($T386="","",IF(COUNTIF('Resumo Grupos'!$AE$3:$AE$40,$T386)&gt;0,"NAO","SIM"))</f>
        <v>SIM</v>
      </c>
      <c r="AB386" s="0" t="str">
        <f aca="false">IFERROR(INDEX('Mov Entradas (Rel 10497)'!$L:$L,MATCH(AC386,'Mov Entradas (Rel 10497)'!$I:$I,0)),"nao encontrado")</f>
        <v>BLUE RAY ENER DRIN</v>
      </c>
      <c r="AC386" s="0" t="n">
        <v>51542</v>
      </c>
    </row>
    <row r="387" customFormat="false" ht="36.75" hidden="false" customHeight="true" outlineLevel="0" collapsed="false">
      <c r="A387" s="9" t="n">
        <v>2</v>
      </c>
      <c r="B387" s="10" t="n">
        <v>46178</v>
      </c>
      <c r="C387" s="10" t="n">
        <v>46192</v>
      </c>
      <c r="D387" s="9" t="n">
        <v>1626</v>
      </c>
      <c r="E387" s="11" t="s">
        <v>77</v>
      </c>
      <c r="F387" s="9" t="n">
        <v>24</v>
      </c>
      <c r="G387" s="11" t="s">
        <v>51</v>
      </c>
      <c r="H387" s="9" t="n">
        <v>2110101</v>
      </c>
      <c r="I387" s="11" t="s">
        <v>43</v>
      </c>
      <c r="J387" s="9" t="n">
        <v>1206563</v>
      </c>
      <c r="L387" s="9" t="n">
        <v>160682</v>
      </c>
      <c r="M387" s="11" t="s">
        <v>52</v>
      </c>
      <c r="N387" s="11" t="s">
        <v>45</v>
      </c>
      <c r="P387" s="9" t="n">
        <v>113</v>
      </c>
      <c r="Q387" s="11" t="s">
        <v>46</v>
      </c>
      <c r="R387" s="11" t="s">
        <v>47</v>
      </c>
      <c r="S387" s="9" t="n">
        <v>1130101</v>
      </c>
      <c r="T387" s="11" t="s">
        <v>48</v>
      </c>
      <c r="U387" s="12" t="n">
        <v>392.24</v>
      </c>
      <c r="W387" s="12" t="n">
        <v>0</v>
      </c>
      <c r="X387" s="11" t="s">
        <v>377</v>
      </c>
      <c r="Z387" s="0" t="str">
        <f aca="false">IF($T387="","",IFERROR(INDEX('Resumo Grupos'!$AC$3:$AC$200,MATCH($T387,'Resumo Grupos'!$AB$3:$AB$200,0)),"n/d"))</f>
        <v>Mercadoria</v>
      </c>
      <c r="AA387" s="0" t="str">
        <f aca="false">IF($T387="","",IF(COUNTIF('Resumo Grupos'!$AE$3:$AE$40,$T387)&gt;0,"NAO","SIM"))</f>
        <v>SIM</v>
      </c>
      <c r="AB387" s="0" t="str">
        <f aca="false">IFERROR(INDEX('Mov Entradas (Rel 10497)'!$L:$L,MATCH(AC387,'Mov Entradas (Rel 10497)'!$I:$I,0)),"nao encontrado")</f>
        <v>TEKITOS TRAD 300G</v>
      </c>
      <c r="AC387" s="0" t="n">
        <v>308379</v>
      </c>
    </row>
    <row r="388" customFormat="false" ht="36.75" hidden="false" customHeight="true" outlineLevel="0" collapsed="false">
      <c r="A388" s="9" t="n">
        <v>2</v>
      </c>
      <c r="B388" s="10" t="n">
        <v>46192</v>
      </c>
      <c r="C388" s="10" t="n">
        <v>46192</v>
      </c>
      <c r="D388" s="9" t="n">
        <v>17</v>
      </c>
      <c r="E388" s="11" t="s">
        <v>489</v>
      </c>
      <c r="F388" s="9" t="n">
        <v>24</v>
      </c>
      <c r="G388" s="11" t="s">
        <v>51</v>
      </c>
      <c r="H388" s="9" t="n">
        <v>2110405</v>
      </c>
      <c r="I388" s="11" t="s">
        <v>56</v>
      </c>
      <c r="J388" s="9" t="n">
        <v>1441337</v>
      </c>
      <c r="L388" s="9" t="n">
        <v>194959</v>
      </c>
      <c r="M388" s="11" t="s">
        <v>52</v>
      </c>
      <c r="N388" s="11" t="s">
        <v>45</v>
      </c>
      <c r="P388" s="9" t="n">
        <v>101</v>
      </c>
      <c r="Q388" s="11" t="s">
        <v>57</v>
      </c>
      <c r="R388" s="11" t="s">
        <v>81</v>
      </c>
      <c r="S388" s="9" t="n">
        <v>4220199</v>
      </c>
      <c r="T388" s="11" t="s">
        <v>82</v>
      </c>
      <c r="U388" s="12" t="n">
        <v>620</v>
      </c>
      <c r="W388" s="12" t="n">
        <v>0</v>
      </c>
      <c r="X388" s="11" t="s">
        <v>490</v>
      </c>
      <c r="Z388" s="0" t="str">
        <f aca="false">IF($T388="","",IFERROR(INDEX('Resumo Grupos'!$AC$3:$AC$200,MATCH($T388,'Resumo Grupos'!$AB$3:$AB$200,0)),"n/d"))</f>
        <v>Pagamentos outros não operacionais</v>
      </c>
      <c r="AA388" s="0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9" t="n">
        <v>2</v>
      </c>
      <c r="B389" s="10" t="n">
        <v>46164</v>
      </c>
      <c r="C389" s="10" t="n">
        <v>46192</v>
      </c>
      <c r="D389" s="9" t="n">
        <v>1107</v>
      </c>
      <c r="E389" s="11" t="s">
        <v>254</v>
      </c>
      <c r="F389" s="9" t="n">
        <v>24</v>
      </c>
      <c r="G389" s="11" t="s">
        <v>51</v>
      </c>
      <c r="H389" s="9" t="n">
        <v>2110101</v>
      </c>
      <c r="I389" s="11" t="s">
        <v>43</v>
      </c>
      <c r="J389" s="9" t="n">
        <v>1137727</v>
      </c>
      <c r="L389" s="9" t="n">
        <v>407270</v>
      </c>
      <c r="M389" s="11" t="s">
        <v>67</v>
      </c>
      <c r="N389" s="11" t="s">
        <v>37</v>
      </c>
      <c r="P389" s="9" t="n">
        <v>113</v>
      </c>
      <c r="Q389" s="11" t="s">
        <v>46</v>
      </c>
      <c r="R389" s="11" t="s">
        <v>47</v>
      </c>
      <c r="S389" s="9" t="n">
        <v>1130101</v>
      </c>
      <c r="T389" s="11" t="s">
        <v>48</v>
      </c>
      <c r="U389" s="12" t="n">
        <v>639.85</v>
      </c>
      <c r="W389" s="12" t="n">
        <v>0</v>
      </c>
      <c r="X389" s="11" t="s">
        <v>255</v>
      </c>
      <c r="Z389" s="0" t="str">
        <f aca="false">IF($T389="","",IFERROR(INDEX('Resumo Grupos'!$AC$3:$AC$200,MATCH($T389,'Resumo Grupos'!$AB$3:$AB$200,0)),"n/d"))</f>
        <v>Mercadoria</v>
      </c>
      <c r="AA389" s="0" t="str">
        <f aca="false">IF($T389="","",IF(COUNTIF('Resumo Grupos'!$AE$3:$AE$40,$T389)&gt;0,"NAO","SIM"))</f>
        <v>SIM</v>
      </c>
      <c r="AB389" s="0" t="str">
        <f aca="false">IFERROR(INDEX('Mov Entradas (Rel 10497)'!$L:$L,MATCH(AC389,'Mov Entradas (Rel 10497)'!$I:$I,0)),"nao encontrado")</f>
        <v>nao encontrado</v>
      </c>
      <c r="AC389" s="0" t="n">
        <v>407270</v>
      </c>
    </row>
    <row r="390" customFormat="false" ht="36.75" hidden="false" customHeight="true" outlineLevel="0" collapsed="false">
      <c r="A390" s="9" t="n">
        <v>2</v>
      </c>
      <c r="B390" s="10" t="n">
        <v>46192</v>
      </c>
      <c r="C390" s="10" t="n">
        <v>46192</v>
      </c>
      <c r="D390" s="9" t="n">
        <v>33</v>
      </c>
      <c r="E390" s="11" t="s">
        <v>313</v>
      </c>
      <c r="F390" s="9" t="n">
        <v>34</v>
      </c>
      <c r="G390" s="11" t="s">
        <v>55</v>
      </c>
      <c r="H390" s="9" t="n">
        <v>2110405</v>
      </c>
      <c r="I390" s="11" t="s">
        <v>56</v>
      </c>
      <c r="J390" s="9" t="n">
        <v>1273759</v>
      </c>
      <c r="L390" s="9" t="n">
        <v>168794</v>
      </c>
      <c r="M390" s="11" t="s">
        <v>52</v>
      </c>
      <c r="N390" s="11" t="s">
        <v>45</v>
      </c>
      <c r="P390" s="9" t="n">
        <v>101</v>
      </c>
      <c r="Q390" s="11" t="s">
        <v>57</v>
      </c>
      <c r="R390" s="11" t="s">
        <v>58</v>
      </c>
      <c r="S390" s="9" t="n">
        <v>1240203</v>
      </c>
      <c r="T390" s="11" t="s">
        <v>59</v>
      </c>
      <c r="U390" s="12" t="n">
        <v>666.67</v>
      </c>
      <c r="W390" s="12" t="n">
        <v>0</v>
      </c>
      <c r="X390" s="11" t="s">
        <v>491</v>
      </c>
      <c r="Z390" s="0" t="str">
        <f aca="false">IF($T390="","",IFERROR(INDEX('Resumo Grupos'!$AC$3:$AC$200,MATCH($T390,'Resumo Grupos'!$AB$3:$AB$200,0)),"n/d"))</f>
        <v>Despesa</v>
      </c>
      <c r="AA390" s="0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9" t="n">
        <v>2</v>
      </c>
      <c r="B391" s="10" t="n">
        <v>46192</v>
      </c>
      <c r="C391" s="10" t="n">
        <v>46192</v>
      </c>
      <c r="D391" s="9" t="n">
        <v>0</v>
      </c>
      <c r="E391" s="11" t="s">
        <v>109</v>
      </c>
      <c r="F391" s="9" t="n">
        <v>17</v>
      </c>
      <c r="G391" s="11" t="s">
        <v>110</v>
      </c>
      <c r="H391" s="9" t="n">
        <v>1110101</v>
      </c>
      <c r="I391" s="11" t="s">
        <v>111</v>
      </c>
      <c r="J391" s="9" t="n">
        <v>1295402</v>
      </c>
      <c r="L391" s="9" t="n">
        <v>1295402</v>
      </c>
      <c r="M391" s="11" t="s">
        <v>52</v>
      </c>
      <c r="N391" s="11" t="s">
        <v>112</v>
      </c>
      <c r="P391" s="9" t="n">
        <v>113</v>
      </c>
      <c r="Q391" s="11" t="s">
        <v>46</v>
      </c>
      <c r="R391" s="11" t="s">
        <v>71</v>
      </c>
      <c r="S391" s="9" t="n">
        <v>4210316</v>
      </c>
      <c r="T391" s="11" t="s">
        <v>159</v>
      </c>
      <c r="U391" s="12" t="n">
        <v>50</v>
      </c>
      <c r="W391" s="12" t="n">
        <v>50</v>
      </c>
      <c r="X391" s="11" t="s">
        <v>263</v>
      </c>
      <c r="Z391" s="0" t="str">
        <f aca="false">IF($T391="","",IFERROR(INDEX('Resumo Grupos'!$AC$3:$AC$200,MATCH($T391,'Resumo Grupos'!$AB$3:$AB$200,0)),"n/d"))</f>
        <v>Salários</v>
      </c>
      <c r="AA391" s="0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9" t="n">
        <v>2</v>
      </c>
      <c r="B392" s="10" t="n">
        <v>46192</v>
      </c>
      <c r="C392" s="10" t="n">
        <v>46192</v>
      </c>
      <c r="D392" s="9" t="n">
        <v>0</v>
      </c>
      <c r="E392" s="11" t="s">
        <v>109</v>
      </c>
      <c r="F392" s="9" t="n">
        <v>17</v>
      </c>
      <c r="G392" s="11" t="s">
        <v>110</v>
      </c>
      <c r="H392" s="9" t="n">
        <v>1110101</v>
      </c>
      <c r="I392" s="11" t="s">
        <v>111</v>
      </c>
      <c r="J392" s="9" t="n">
        <v>1295407</v>
      </c>
      <c r="L392" s="9" t="n">
        <v>1295407</v>
      </c>
      <c r="M392" s="11" t="s">
        <v>52</v>
      </c>
      <c r="N392" s="11" t="s">
        <v>112</v>
      </c>
      <c r="P392" s="9" t="n">
        <v>113</v>
      </c>
      <c r="Q392" s="11" t="s">
        <v>46</v>
      </c>
      <c r="R392" s="11" t="s">
        <v>47</v>
      </c>
      <c r="S392" s="9" t="n">
        <v>1130101</v>
      </c>
      <c r="T392" s="11" t="s">
        <v>48</v>
      </c>
      <c r="U392" s="12" t="n">
        <v>108</v>
      </c>
      <c r="W392" s="12" t="n">
        <v>108</v>
      </c>
      <c r="X392" s="11" t="s">
        <v>492</v>
      </c>
      <c r="Z392" s="0" t="str">
        <f aca="false">IF($T392="","",IFERROR(INDEX('Resumo Grupos'!$AC$3:$AC$200,MATCH($T392,'Resumo Grupos'!$AB$3:$AB$200,0)),"n/d"))</f>
        <v>Mercadoria</v>
      </c>
      <c r="AA392" s="0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9" t="n">
        <v>2</v>
      </c>
      <c r="B393" s="10" t="n">
        <v>46192</v>
      </c>
      <c r="C393" s="10" t="n">
        <v>46192</v>
      </c>
      <c r="D393" s="9" t="n">
        <v>0</v>
      </c>
      <c r="E393" s="11" t="s">
        <v>109</v>
      </c>
      <c r="F393" s="9" t="n">
        <v>17</v>
      </c>
      <c r="G393" s="11" t="s">
        <v>110</v>
      </c>
      <c r="H393" s="9" t="n">
        <v>1110101</v>
      </c>
      <c r="I393" s="11" t="s">
        <v>111</v>
      </c>
      <c r="J393" s="9" t="n">
        <v>1295411</v>
      </c>
      <c r="L393" s="9" t="n">
        <v>1295411</v>
      </c>
      <c r="M393" s="11" t="s">
        <v>52</v>
      </c>
      <c r="N393" s="11" t="s">
        <v>112</v>
      </c>
      <c r="P393" s="9" t="n">
        <v>113</v>
      </c>
      <c r="Q393" s="11" t="s">
        <v>46</v>
      </c>
      <c r="R393" s="11" t="s">
        <v>71</v>
      </c>
      <c r="S393" s="9" t="n">
        <v>4210314</v>
      </c>
      <c r="T393" s="11" t="s">
        <v>113</v>
      </c>
      <c r="U393" s="12" t="n">
        <v>50</v>
      </c>
      <c r="W393" s="12" t="n">
        <v>50</v>
      </c>
      <c r="X393" s="11" t="s">
        <v>187</v>
      </c>
      <c r="Z393" s="0" t="str">
        <f aca="false">IF($T393="","",IFERROR(INDEX('Resumo Grupos'!$AC$3:$AC$200,MATCH($T393,'Resumo Grupos'!$AB$3:$AB$200,0)),"n/d"))</f>
        <v>Despesa</v>
      </c>
      <c r="AA393" s="0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9" t="n">
        <v>2</v>
      </c>
      <c r="B394" s="10" t="n">
        <v>46192</v>
      </c>
      <c r="C394" s="10" t="n">
        <v>46192</v>
      </c>
      <c r="D394" s="9" t="n">
        <v>0</v>
      </c>
      <c r="E394" s="11" t="s">
        <v>109</v>
      </c>
      <c r="F394" s="9" t="n">
        <v>17</v>
      </c>
      <c r="G394" s="11" t="s">
        <v>110</v>
      </c>
      <c r="H394" s="9" t="n">
        <v>1110101</v>
      </c>
      <c r="I394" s="11" t="s">
        <v>111</v>
      </c>
      <c r="J394" s="9" t="n">
        <v>1361217</v>
      </c>
      <c r="L394" s="9" t="n">
        <v>1361217</v>
      </c>
      <c r="M394" s="11" t="s">
        <v>52</v>
      </c>
      <c r="N394" s="11" t="s">
        <v>112</v>
      </c>
      <c r="P394" s="9" t="n">
        <v>113</v>
      </c>
      <c r="Q394" s="11" t="s">
        <v>46</v>
      </c>
      <c r="R394" s="11" t="s">
        <v>116</v>
      </c>
      <c r="S394" s="9" t="n">
        <v>1110203</v>
      </c>
      <c r="T394" s="11" t="s">
        <v>117</v>
      </c>
      <c r="U394" s="12" t="n">
        <v>2700</v>
      </c>
      <c r="W394" s="12" t="n">
        <v>2700</v>
      </c>
      <c r="X394" s="11" t="s">
        <v>493</v>
      </c>
      <c r="Z394" s="0" t="str">
        <f aca="false">IF($T394="","",IFERROR(INDEX('Resumo Grupos'!$AC$3:$AC$200,MATCH($T394,'Resumo Grupos'!$AB$3:$AB$200,0)),"n/d"))</f>
        <v>Despesa</v>
      </c>
      <c r="AA394" s="0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9" t="n">
        <v>2</v>
      </c>
      <c r="B395" s="10" t="n">
        <v>46184</v>
      </c>
      <c r="C395" s="10" t="n">
        <v>46193</v>
      </c>
      <c r="D395" s="9" t="n">
        <v>1695</v>
      </c>
      <c r="E395" s="11" t="s">
        <v>390</v>
      </c>
      <c r="F395" s="9" t="n">
        <v>24</v>
      </c>
      <c r="G395" s="11" t="s">
        <v>51</v>
      </c>
      <c r="H395" s="9" t="n">
        <v>2110101</v>
      </c>
      <c r="I395" s="11" t="s">
        <v>43</v>
      </c>
      <c r="J395" s="9" t="n">
        <v>1236453</v>
      </c>
      <c r="L395" s="9" t="n">
        <v>18534</v>
      </c>
      <c r="M395" s="11" t="s">
        <v>44</v>
      </c>
      <c r="N395" s="11" t="s">
        <v>37</v>
      </c>
      <c r="P395" s="9" t="n">
        <v>113</v>
      </c>
      <c r="Q395" s="11" t="s">
        <v>46</v>
      </c>
      <c r="R395" s="11" t="s">
        <v>47</v>
      </c>
      <c r="S395" s="9" t="n">
        <v>1130101</v>
      </c>
      <c r="T395" s="11" t="s">
        <v>48</v>
      </c>
      <c r="U395" s="12" t="n">
        <v>837.48</v>
      </c>
      <c r="W395" s="12" t="n">
        <v>0</v>
      </c>
      <c r="X395" s="11" t="s">
        <v>391</v>
      </c>
      <c r="Z395" s="0" t="str">
        <f aca="false">IF($T395="","",IFERROR(INDEX('Resumo Grupos'!$AC$3:$AC$200,MATCH($T395,'Resumo Grupos'!$AB$3:$AB$200,0)),"n/d"))</f>
        <v>Mercadoria</v>
      </c>
      <c r="AA395" s="0" t="str">
        <f aca="false">IF($T395="","",IF(COUNTIF('Resumo Grupos'!$AE$3:$AE$40,$T395)&gt;0,"NAO","SIM"))</f>
        <v>SIM</v>
      </c>
      <c r="AB395" s="0" t="str">
        <f aca="false">IFERROR(INDEX('Mov Entradas (Rel 10497)'!$L:$L,MATCH(AC395,'Mov Entradas (Rel 10497)'!$I:$I,0)),"nao encontrado")</f>
        <v>DETER LIMPOL MACA 500ML</v>
      </c>
      <c r="AC395" s="0" t="n">
        <v>18534</v>
      </c>
    </row>
    <row r="396" customFormat="false" ht="36.75" hidden="false" customHeight="true" outlineLevel="0" collapsed="false">
      <c r="A396" s="9" t="n">
        <v>2</v>
      </c>
      <c r="B396" s="10" t="n">
        <v>46182</v>
      </c>
      <c r="C396" s="10" t="n">
        <v>46193</v>
      </c>
      <c r="D396" s="9" t="n">
        <v>10028</v>
      </c>
      <c r="E396" s="11" t="s">
        <v>494</v>
      </c>
      <c r="F396" s="9" t="n">
        <v>24</v>
      </c>
      <c r="G396" s="11" t="s">
        <v>51</v>
      </c>
      <c r="H396" s="9" t="n">
        <v>2110405</v>
      </c>
      <c r="I396" s="11" t="s">
        <v>56</v>
      </c>
      <c r="J396" s="9" t="n">
        <v>1226755</v>
      </c>
      <c r="L396" s="9" t="n">
        <v>163134</v>
      </c>
      <c r="M396" s="11" t="s">
        <v>52</v>
      </c>
      <c r="N396" s="11" t="s">
        <v>45</v>
      </c>
      <c r="P396" s="9" t="n">
        <v>101</v>
      </c>
      <c r="Q396" s="11" t="s">
        <v>57</v>
      </c>
      <c r="R396" s="11" t="s">
        <v>71</v>
      </c>
      <c r="S396" s="9" t="n">
        <v>4210315</v>
      </c>
      <c r="T396" s="11" t="s">
        <v>279</v>
      </c>
      <c r="U396" s="12" t="n">
        <v>595.9</v>
      </c>
      <c r="W396" s="12" t="n">
        <v>0</v>
      </c>
      <c r="X396" s="11" t="s">
        <v>495</v>
      </c>
      <c r="Z396" s="0" t="str">
        <f aca="false">IF($T396="","",IFERROR(INDEX('Resumo Grupos'!$AC$3:$AC$200,MATCH($T396,'Resumo Grupos'!$AB$3:$AB$200,0)),"n/d"))</f>
        <v>Despesa</v>
      </c>
      <c r="AA396" s="0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9" t="n">
        <v>2</v>
      </c>
      <c r="B397" s="10" t="n">
        <v>46181</v>
      </c>
      <c r="C397" s="10" t="n">
        <v>46193</v>
      </c>
      <c r="D397" s="9" t="n">
        <v>1815</v>
      </c>
      <c r="E397" s="11" t="s">
        <v>172</v>
      </c>
      <c r="F397" s="9" t="n">
        <v>24</v>
      </c>
      <c r="G397" s="11" t="s">
        <v>51</v>
      </c>
      <c r="H397" s="9" t="n">
        <v>2110101</v>
      </c>
      <c r="I397" s="11" t="s">
        <v>43</v>
      </c>
      <c r="J397" s="9" t="n">
        <v>1221500</v>
      </c>
      <c r="L397" s="9" t="n">
        <v>385542</v>
      </c>
      <c r="M397" s="11" t="s">
        <v>44</v>
      </c>
      <c r="N397" s="11" t="s">
        <v>37</v>
      </c>
      <c r="P397" s="9" t="n">
        <v>113</v>
      </c>
      <c r="Q397" s="11" t="s">
        <v>46</v>
      </c>
      <c r="R397" s="11" t="s">
        <v>47</v>
      </c>
      <c r="S397" s="9" t="n">
        <v>1130101</v>
      </c>
      <c r="T397" s="11" t="s">
        <v>48</v>
      </c>
      <c r="U397" s="12" t="n">
        <v>524.69</v>
      </c>
      <c r="W397" s="12" t="n">
        <v>0</v>
      </c>
      <c r="X397" s="11" t="s">
        <v>392</v>
      </c>
      <c r="Z397" s="0" t="str">
        <f aca="false">IF($T397="","",IFERROR(INDEX('Resumo Grupos'!$AC$3:$AC$200,MATCH($T397,'Resumo Grupos'!$AB$3:$AB$200,0)),"n/d"))</f>
        <v>Mercadoria</v>
      </c>
      <c r="AA397" s="0" t="str">
        <f aca="false">IF($T397="","",IF(COUNTIF('Resumo Grupos'!$AE$3:$AE$40,$T397)&gt;0,"NAO","SIM"))</f>
        <v>SIM</v>
      </c>
      <c r="AB397" s="0" t="str">
        <f aca="false">IFERROR(INDEX('Mov Entradas (Rel 10497)'!$L:$L,MATCH(AC397,'Mov Entradas (Rel 10497)'!$I:$I,0)),"nao encontrado")</f>
        <v>CARRE SUINO KG</v>
      </c>
      <c r="AC397" s="0" t="n">
        <v>385542</v>
      </c>
    </row>
    <row r="398" customFormat="false" ht="36.75" hidden="false" customHeight="true" outlineLevel="0" collapsed="false">
      <c r="A398" s="9" t="n">
        <v>2</v>
      </c>
      <c r="B398" s="10" t="n">
        <v>46193</v>
      </c>
      <c r="C398" s="10" t="n">
        <v>46193</v>
      </c>
      <c r="D398" s="9" t="n">
        <v>33</v>
      </c>
      <c r="E398" s="11" t="s">
        <v>313</v>
      </c>
      <c r="F398" s="9" t="n">
        <v>34</v>
      </c>
      <c r="G398" s="11" t="s">
        <v>55</v>
      </c>
      <c r="H398" s="9" t="n">
        <v>2110405</v>
      </c>
      <c r="I398" s="11" t="s">
        <v>56</v>
      </c>
      <c r="J398" s="9" t="n">
        <v>1435885</v>
      </c>
      <c r="L398" s="9" t="n">
        <v>193998</v>
      </c>
      <c r="M398" s="11" t="s">
        <v>52</v>
      </c>
      <c r="N398" s="11" t="s">
        <v>45</v>
      </c>
      <c r="P398" s="9" t="n">
        <v>101</v>
      </c>
      <c r="Q398" s="11" t="s">
        <v>57</v>
      </c>
      <c r="R398" s="11" t="s">
        <v>430</v>
      </c>
      <c r="S398" s="9" t="n">
        <v>4210107</v>
      </c>
      <c r="T398" s="11" t="s">
        <v>496</v>
      </c>
      <c r="U398" s="12" t="n">
        <v>140.24</v>
      </c>
      <c r="W398" s="12" t="n">
        <v>0</v>
      </c>
      <c r="X398" s="11" t="s">
        <v>497</v>
      </c>
      <c r="Z398" s="0" t="str">
        <f aca="false">IF($T398="","",IFERROR(INDEX('Resumo Grupos'!$AC$3:$AC$200,MATCH($T398,'Resumo Grupos'!$AB$3:$AB$200,0)),"n/d"))</f>
        <v>Despesa</v>
      </c>
      <c r="AA398" s="0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9" t="n">
        <v>2</v>
      </c>
      <c r="B399" s="10" t="n">
        <v>46072</v>
      </c>
      <c r="C399" s="10" t="n">
        <v>46193</v>
      </c>
      <c r="D399" s="9" t="n">
        <v>16</v>
      </c>
      <c r="E399" s="11" t="s">
        <v>257</v>
      </c>
      <c r="F399" s="9" t="n">
        <v>24</v>
      </c>
      <c r="G399" s="11" t="s">
        <v>51</v>
      </c>
      <c r="H399" s="9" t="n">
        <v>2110405</v>
      </c>
      <c r="I399" s="11" t="s">
        <v>56</v>
      </c>
      <c r="J399" s="9" t="n">
        <v>689660</v>
      </c>
      <c r="L399" s="9" t="n">
        <v>88110</v>
      </c>
      <c r="M399" s="11" t="s">
        <v>44</v>
      </c>
      <c r="N399" s="11" t="s">
        <v>45</v>
      </c>
      <c r="P399" s="9" t="n">
        <v>101</v>
      </c>
      <c r="Q399" s="11" t="s">
        <v>57</v>
      </c>
      <c r="R399" s="11" t="s">
        <v>81</v>
      </c>
      <c r="S399" s="9" t="n">
        <v>4220199</v>
      </c>
      <c r="T399" s="11" t="s">
        <v>82</v>
      </c>
      <c r="U399" s="12" t="n">
        <v>278.93</v>
      </c>
      <c r="W399" s="12" t="n">
        <v>0</v>
      </c>
      <c r="X399" s="11" t="s">
        <v>498</v>
      </c>
      <c r="Z399" s="0" t="str">
        <f aca="false">IF($T399="","",IFERROR(INDEX('Resumo Grupos'!$AC$3:$AC$200,MATCH($T399,'Resumo Grupos'!$AB$3:$AB$200,0)),"n/d"))</f>
        <v>Pagamentos outros não operacionais</v>
      </c>
      <c r="AA399" s="0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9" t="n">
        <v>2</v>
      </c>
      <c r="B400" s="10" t="n">
        <v>46193</v>
      </c>
      <c r="C400" s="10" t="n">
        <v>46193</v>
      </c>
      <c r="D400" s="9" t="n">
        <v>0</v>
      </c>
      <c r="E400" s="11" t="s">
        <v>109</v>
      </c>
      <c r="F400" s="9" t="n">
        <v>17</v>
      </c>
      <c r="G400" s="11" t="s">
        <v>110</v>
      </c>
      <c r="H400" s="9" t="n">
        <v>1110101</v>
      </c>
      <c r="I400" s="11" t="s">
        <v>111</v>
      </c>
      <c r="J400" s="9" t="n">
        <v>1295444</v>
      </c>
      <c r="L400" s="9" t="n">
        <v>1295444</v>
      </c>
      <c r="M400" s="11" t="s">
        <v>52</v>
      </c>
      <c r="N400" s="11" t="s">
        <v>112</v>
      </c>
      <c r="P400" s="9" t="n">
        <v>113</v>
      </c>
      <c r="Q400" s="11" t="s">
        <v>46</v>
      </c>
      <c r="R400" s="11" t="s">
        <v>71</v>
      </c>
      <c r="S400" s="9" t="n">
        <v>4210310</v>
      </c>
      <c r="T400" s="11" t="s">
        <v>126</v>
      </c>
      <c r="U400" s="12" t="n">
        <v>75</v>
      </c>
      <c r="W400" s="12" t="n">
        <v>75</v>
      </c>
      <c r="X400" s="11" t="s">
        <v>499</v>
      </c>
      <c r="Z400" s="0" t="str">
        <f aca="false">IF($T400="","",IFERROR(INDEX('Resumo Grupos'!$AC$3:$AC$200,MATCH($T400,'Resumo Grupos'!$AB$3:$AB$200,0)),"n/d"))</f>
        <v>Despesa</v>
      </c>
      <c r="AA400" s="0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9" t="n">
        <v>2</v>
      </c>
      <c r="B401" s="10" t="n">
        <v>46193</v>
      </c>
      <c r="C401" s="10" t="n">
        <v>46193</v>
      </c>
      <c r="D401" s="9" t="n">
        <v>0</v>
      </c>
      <c r="E401" s="11" t="s">
        <v>109</v>
      </c>
      <c r="F401" s="9" t="n">
        <v>17</v>
      </c>
      <c r="G401" s="11" t="s">
        <v>110</v>
      </c>
      <c r="H401" s="9" t="n">
        <v>1110101</v>
      </c>
      <c r="I401" s="11" t="s">
        <v>111</v>
      </c>
      <c r="J401" s="9" t="n">
        <v>1295449</v>
      </c>
      <c r="L401" s="9" t="n">
        <v>1295449</v>
      </c>
      <c r="M401" s="11" t="s">
        <v>52</v>
      </c>
      <c r="N401" s="11" t="s">
        <v>112</v>
      </c>
      <c r="P401" s="9" t="n">
        <v>113</v>
      </c>
      <c r="Q401" s="11" t="s">
        <v>46</v>
      </c>
      <c r="R401" s="11" t="s">
        <v>71</v>
      </c>
      <c r="S401" s="9" t="n">
        <v>4210314</v>
      </c>
      <c r="T401" s="11" t="s">
        <v>113</v>
      </c>
      <c r="U401" s="12" t="n">
        <v>70</v>
      </c>
      <c r="W401" s="12" t="n">
        <v>70</v>
      </c>
      <c r="X401" s="11" t="s">
        <v>114</v>
      </c>
      <c r="Z401" s="0" t="str">
        <f aca="false">IF($T401="","",IFERROR(INDEX('Resumo Grupos'!$AC$3:$AC$200,MATCH($T401,'Resumo Grupos'!$AB$3:$AB$200,0)),"n/d"))</f>
        <v>Despesa</v>
      </c>
      <c r="AA401" s="0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9" t="n">
        <v>2</v>
      </c>
      <c r="B402" s="10" t="n">
        <v>46193</v>
      </c>
      <c r="C402" s="10" t="n">
        <v>46193</v>
      </c>
      <c r="D402" s="9" t="n">
        <v>0</v>
      </c>
      <c r="E402" s="11" t="s">
        <v>109</v>
      </c>
      <c r="F402" s="9" t="n">
        <v>17</v>
      </c>
      <c r="G402" s="11" t="s">
        <v>110</v>
      </c>
      <c r="H402" s="9" t="n">
        <v>1110101</v>
      </c>
      <c r="I402" s="11" t="s">
        <v>111</v>
      </c>
      <c r="J402" s="9" t="n">
        <v>1361224</v>
      </c>
      <c r="L402" s="9" t="n">
        <v>1361224</v>
      </c>
      <c r="M402" s="11" t="s">
        <v>52</v>
      </c>
      <c r="N402" s="11" t="s">
        <v>112</v>
      </c>
      <c r="P402" s="9" t="n">
        <v>113</v>
      </c>
      <c r="Q402" s="11" t="s">
        <v>46</v>
      </c>
      <c r="R402" s="11" t="s">
        <v>116</v>
      </c>
      <c r="S402" s="9" t="n">
        <v>1110203</v>
      </c>
      <c r="T402" s="11" t="s">
        <v>117</v>
      </c>
      <c r="U402" s="12" t="n">
        <v>2500</v>
      </c>
      <c r="W402" s="12" t="n">
        <v>2500</v>
      </c>
      <c r="X402" s="11" t="s">
        <v>500</v>
      </c>
      <c r="Z402" s="0" t="str">
        <f aca="false">IF($T402="","",IFERROR(INDEX('Resumo Grupos'!$AC$3:$AC$200,MATCH($T402,'Resumo Grupos'!$AB$3:$AB$200,0)),"n/d"))</f>
        <v>Despesa</v>
      </c>
      <c r="AA402" s="0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9" t="n">
        <v>2</v>
      </c>
      <c r="B403" s="10" t="n">
        <v>46194</v>
      </c>
      <c r="C403" s="10" t="n">
        <v>46194</v>
      </c>
      <c r="D403" s="9" t="n">
        <v>0</v>
      </c>
      <c r="E403" s="11" t="s">
        <v>109</v>
      </c>
      <c r="F403" s="9" t="n">
        <v>17</v>
      </c>
      <c r="G403" s="11" t="s">
        <v>110</v>
      </c>
      <c r="H403" s="9" t="n">
        <v>1110101</v>
      </c>
      <c r="I403" s="11" t="s">
        <v>111</v>
      </c>
      <c r="J403" s="9" t="n">
        <v>1295482</v>
      </c>
      <c r="L403" s="9" t="n">
        <v>1295482</v>
      </c>
      <c r="M403" s="11" t="s">
        <v>52</v>
      </c>
      <c r="N403" s="11" t="s">
        <v>112</v>
      </c>
      <c r="P403" s="9" t="n">
        <v>113</v>
      </c>
      <c r="Q403" s="11" t="s">
        <v>46</v>
      </c>
      <c r="R403" s="11" t="s">
        <v>71</v>
      </c>
      <c r="S403" s="9" t="n">
        <v>4210310</v>
      </c>
      <c r="T403" s="11" t="s">
        <v>126</v>
      </c>
      <c r="U403" s="12" t="n">
        <v>76</v>
      </c>
      <c r="W403" s="12" t="n">
        <v>76</v>
      </c>
      <c r="X403" s="11" t="s">
        <v>283</v>
      </c>
      <c r="Z403" s="0" t="str">
        <f aca="false">IF($T403="","",IFERROR(INDEX('Resumo Grupos'!$AC$3:$AC$200,MATCH($T403,'Resumo Grupos'!$AB$3:$AB$200,0)),"n/d"))</f>
        <v>Despesa</v>
      </c>
      <c r="AA403" s="0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9" t="n">
        <v>2</v>
      </c>
      <c r="B404" s="10" t="n">
        <v>46194</v>
      </c>
      <c r="C404" s="10" t="n">
        <v>46194</v>
      </c>
      <c r="D404" s="9" t="n">
        <v>0</v>
      </c>
      <c r="E404" s="11" t="s">
        <v>109</v>
      </c>
      <c r="F404" s="9" t="n">
        <v>17</v>
      </c>
      <c r="G404" s="11" t="s">
        <v>110</v>
      </c>
      <c r="H404" s="9" t="n">
        <v>1110101</v>
      </c>
      <c r="I404" s="11" t="s">
        <v>111</v>
      </c>
      <c r="J404" s="9" t="n">
        <v>1295483</v>
      </c>
      <c r="L404" s="9" t="n">
        <v>1295483</v>
      </c>
      <c r="M404" s="11" t="s">
        <v>52</v>
      </c>
      <c r="N404" s="11" t="s">
        <v>112</v>
      </c>
      <c r="P404" s="9" t="n">
        <v>113</v>
      </c>
      <c r="Q404" s="11" t="s">
        <v>46</v>
      </c>
      <c r="R404" s="11" t="s">
        <v>71</v>
      </c>
      <c r="S404" s="9" t="n">
        <v>4210314</v>
      </c>
      <c r="T404" s="11" t="s">
        <v>113</v>
      </c>
      <c r="U404" s="12" t="n">
        <v>70</v>
      </c>
      <c r="W404" s="12" t="n">
        <v>70</v>
      </c>
      <c r="X404" s="11" t="s">
        <v>368</v>
      </c>
      <c r="Z404" s="0" t="str">
        <f aca="false">IF($T404="","",IFERROR(INDEX('Resumo Grupos'!$AC$3:$AC$200,MATCH($T404,'Resumo Grupos'!$AB$3:$AB$200,0)),"n/d"))</f>
        <v>Despesa</v>
      </c>
      <c r="AA404" s="0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9" t="n">
        <v>2</v>
      </c>
      <c r="B405" s="10" t="n">
        <v>46194</v>
      </c>
      <c r="C405" s="10" t="n">
        <v>46194</v>
      </c>
      <c r="D405" s="9" t="n">
        <v>0</v>
      </c>
      <c r="E405" s="11" t="s">
        <v>109</v>
      </c>
      <c r="F405" s="9" t="n">
        <v>17</v>
      </c>
      <c r="G405" s="11" t="s">
        <v>110</v>
      </c>
      <c r="H405" s="9" t="n">
        <v>1110101</v>
      </c>
      <c r="I405" s="11" t="s">
        <v>111</v>
      </c>
      <c r="J405" s="9" t="n">
        <v>1361231</v>
      </c>
      <c r="L405" s="9" t="n">
        <v>1361231</v>
      </c>
      <c r="M405" s="11" t="s">
        <v>52</v>
      </c>
      <c r="N405" s="11" t="s">
        <v>112</v>
      </c>
      <c r="P405" s="9" t="n">
        <v>113</v>
      </c>
      <c r="Q405" s="11" t="s">
        <v>46</v>
      </c>
      <c r="R405" s="11" t="s">
        <v>116</v>
      </c>
      <c r="S405" s="9" t="n">
        <v>1110203</v>
      </c>
      <c r="T405" s="11" t="s">
        <v>117</v>
      </c>
      <c r="U405" s="12" t="n">
        <v>1700</v>
      </c>
      <c r="W405" s="12" t="n">
        <v>1700</v>
      </c>
      <c r="X405" s="11" t="s">
        <v>501</v>
      </c>
      <c r="Z405" s="0" t="str">
        <f aca="false">IF($T405="","",IFERROR(INDEX('Resumo Grupos'!$AC$3:$AC$200,MATCH($T405,'Resumo Grupos'!$AB$3:$AB$200,0)),"n/d"))</f>
        <v>Despesa</v>
      </c>
      <c r="AA405" s="0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9" t="n">
        <v>2</v>
      </c>
      <c r="B406" s="10" t="n">
        <v>46197</v>
      </c>
      <c r="C406" s="10" t="n">
        <v>46195</v>
      </c>
      <c r="D406" s="9" t="n">
        <v>10086</v>
      </c>
      <c r="E406" s="11" t="s">
        <v>502</v>
      </c>
      <c r="F406" s="9" t="n">
        <v>13</v>
      </c>
      <c r="G406" s="11" t="s">
        <v>135</v>
      </c>
      <c r="H406" s="9" t="n">
        <v>2110101</v>
      </c>
      <c r="I406" s="11" t="s">
        <v>43</v>
      </c>
      <c r="J406" s="9" t="n">
        <v>1300830</v>
      </c>
      <c r="L406" s="9" t="n">
        <v>10</v>
      </c>
      <c r="M406" s="11" t="s">
        <v>52</v>
      </c>
      <c r="N406" s="11" t="s">
        <v>37</v>
      </c>
      <c r="P406" s="9" t="n">
        <v>113</v>
      </c>
      <c r="Q406" s="11" t="s">
        <v>46</v>
      </c>
      <c r="R406" s="11" t="s">
        <v>47</v>
      </c>
      <c r="S406" s="9" t="n">
        <v>1130101</v>
      </c>
      <c r="T406" s="11" t="s">
        <v>48</v>
      </c>
      <c r="U406" s="12" t="n">
        <v>140</v>
      </c>
      <c r="W406" s="12" t="n">
        <v>0</v>
      </c>
      <c r="X406" s="11" t="s">
        <v>503</v>
      </c>
      <c r="Z406" s="0" t="str">
        <f aca="false">IF($T406="","",IFERROR(INDEX('Resumo Grupos'!$AC$3:$AC$200,MATCH($T406,'Resumo Grupos'!$AB$3:$AB$200,0)),"n/d"))</f>
        <v>Mercadoria</v>
      </c>
      <c r="AA406" s="0" t="str">
        <f aca="false">IF($T406="","",IF(COUNTIF('Resumo Grupos'!$AE$3:$AE$40,$T406)&gt;0,"NAO","SIM"))</f>
        <v>SIM</v>
      </c>
      <c r="AB406" s="0" t="str">
        <f aca="false">IFERROR(INDEX('Mov Entradas (Rel 10497)'!$L:$L,MATCH(AC406,'Mov Entradas (Rel 10497)'!$I:$I,0)),"nao encontrado")</f>
        <v>ICE GEL MASSAG 220 G</v>
      </c>
      <c r="AC406" s="0" t="n">
        <v>10</v>
      </c>
    </row>
    <row r="407" customFormat="false" ht="45.75" hidden="false" customHeight="true" outlineLevel="0" collapsed="false">
      <c r="A407" s="9" t="n">
        <v>2</v>
      </c>
      <c r="B407" s="10" t="n">
        <v>46197</v>
      </c>
      <c r="C407" s="10" t="n">
        <v>46195</v>
      </c>
      <c r="D407" s="9" t="n">
        <v>10086</v>
      </c>
      <c r="E407" s="11" t="s">
        <v>502</v>
      </c>
      <c r="F407" s="9" t="n">
        <v>13</v>
      </c>
      <c r="G407" s="11" t="s">
        <v>135</v>
      </c>
      <c r="H407" s="9" t="n">
        <v>2110101</v>
      </c>
      <c r="I407" s="11" t="s">
        <v>43</v>
      </c>
      <c r="J407" s="9" t="n">
        <v>1300844</v>
      </c>
      <c r="L407" s="9" t="n">
        <v>11</v>
      </c>
      <c r="M407" s="11" t="s">
        <v>52</v>
      </c>
      <c r="N407" s="11" t="s">
        <v>37</v>
      </c>
      <c r="P407" s="9" t="n">
        <v>113</v>
      </c>
      <c r="Q407" s="11" t="s">
        <v>46</v>
      </c>
      <c r="R407" s="11" t="s">
        <v>47</v>
      </c>
      <c r="S407" s="9" t="n">
        <v>1130101</v>
      </c>
      <c r="T407" s="11" t="s">
        <v>48</v>
      </c>
      <c r="U407" s="12" t="n">
        <v>140</v>
      </c>
      <c r="W407" s="12" t="n">
        <v>0</v>
      </c>
      <c r="X407" s="11" t="s">
        <v>504</v>
      </c>
      <c r="Z407" s="0" t="str">
        <f aca="false">IF($T407="","",IFERROR(INDEX('Resumo Grupos'!$AC$3:$AC$200,MATCH($T407,'Resumo Grupos'!$AB$3:$AB$200,0)),"n/d"))</f>
        <v>Mercadoria</v>
      </c>
      <c r="AA407" s="0" t="str">
        <f aca="false">IF($T407="","",IF(COUNTIF('Resumo Grupos'!$AE$3:$AE$40,$T407)&gt;0,"NAO","SIM"))</f>
        <v>SIM</v>
      </c>
      <c r="AB407" s="0" t="str">
        <f aca="false">IFERROR(INDEX('Mov Entradas (Rel 10497)'!$L:$L,MATCH(AC407,'Mov Entradas (Rel 10497)'!$I:$I,0)),"nao encontrado")</f>
        <v>BOLO MIYAZAKI GRANDE</v>
      </c>
      <c r="AC407" s="0" t="n">
        <v>11</v>
      </c>
    </row>
    <row r="408" customFormat="false" ht="45.75" hidden="false" customHeight="true" outlineLevel="0" collapsed="false">
      <c r="A408" s="9" t="n">
        <v>2</v>
      </c>
      <c r="B408" s="10" t="n">
        <v>46197</v>
      </c>
      <c r="C408" s="10" t="n">
        <v>46195</v>
      </c>
      <c r="D408" s="9" t="n">
        <v>10086</v>
      </c>
      <c r="E408" s="11" t="s">
        <v>502</v>
      </c>
      <c r="F408" s="9" t="n">
        <v>13</v>
      </c>
      <c r="G408" s="11" t="s">
        <v>135</v>
      </c>
      <c r="H408" s="9" t="n">
        <v>2110101</v>
      </c>
      <c r="I408" s="11" t="s">
        <v>43</v>
      </c>
      <c r="J408" s="9" t="n">
        <v>1300868</v>
      </c>
      <c r="L408" s="9" t="n">
        <v>12</v>
      </c>
      <c r="M408" s="11" t="s">
        <v>52</v>
      </c>
      <c r="N408" s="11" t="s">
        <v>37</v>
      </c>
      <c r="P408" s="9" t="n">
        <v>113</v>
      </c>
      <c r="Q408" s="11" t="s">
        <v>46</v>
      </c>
      <c r="R408" s="11" t="s">
        <v>47</v>
      </c>
      <c r="S408" s="9" t="n">
        <v>1130101</v>
      </c>
      <c r="T408" s="11" t="s">
        <v>48</v>
      </c>
      <c r="U408" s="12" t="n">
        <v>200</v>
      </c>
      <c r="W408" s="12" t="n">
        <v>0</v>
      </c>
      <c r="X408" s="11" t="s">
        <v>505</v>
      </c>
      <c r="Z408" s="0" t="str">
        <f aca="false">IF($T408="","",IFERROR(INDEX('Resumo Grupos'!$AC$3:$AC$200,MATCH($T408,'Resumo Grupos'!$AB$3:$AB$200,0)),"n/d"))</f>
        <v>Mercadoria</v>
      </c>
      <c r="AA408" s="0" t="str">
        <f aca="false">IF($T408="","",IF(COUNTIF('Resumo Grupos'!$AE$3:$AE$40,$T408)&gt;0,"NAO","SIM"))</f>
        <v>SIM</v>
      </c>
      <c r="AB408" s="0" t="str">
        <f aca="false">IFERROR(INDEX('Mov Entradas (Rel 10497)'!$L:$L,MATCH(AC408,'Mov Entradas (Rel 10497)'!$I:$I,0)),"nao encontrado")</f>
        <v>BOLO MIYAZAKI GRANDE</v>
      </c>
      <c r="AC408" s="0" t="n">
        <v>12</v>
      </c>
    </row>
    <row r="409" customFormat="false" ht="45.75" hidden="false" customHeight="true" outlineLevel="0" collapsed="false">
      <c r="A409" s="9" t="n">
        <v>2</v>
      </c>
      <c r="B409" s="10" t="n">
        <v>46190</v>
      </c>
      <c r="C409" s="10" t="n">
        <v>46195</v>
      </c>
      <c r="D409" s="9" t="n">
        <v>10018</v>
      </c>
      <c r="E409" s="11" t="s">
        <v>216</v>
      </c>
      <c r="F409" s="9" t="n">
        <v>34</v>
      </c>
      <c r="G409" s="11" t="s">
        <v>55</v>
      </c>
      <c r="H409" s="9" t="n">
        <v>2110101</v>
      </c>
      <c r="I409" s="11" t="s">
        <v>43</v>
      </c>
      <c r="J409" s="9" t="n">
        <v>1266335</v>
      </c>
      <c r="L409" s="9" t="n">
        <v>304</v>
      </c>
      <c r="M409" s="11" t="s">
        <v>52</v>
      </c>
      <c r="N409" s="11" t="s">
        <v>37</v>
      </c>
      <c r="P409" s="9" t="n">
        <v>113</v>
      </c>
      <c r="Q409" s="11" t="s">
        <v>46</v>
      </c>
      <c r="R409" s="11" t="s">
        <v>47</v>
      </c>
      <c r="S409" s="9" t="n">
        <v>1130101</v>
      </c>
      <c r="T409" s="11" t="s">
        <v>48</v>
      </c>
      <c r="U409" s="12" t="n">
        <v>925</v>
      </c>
      <c r="W409" s="12" t="n">
        <v>0</v>
      </c>
      <c r="X409" s="11" t="s">
        <v>506</v>
      </c>
      <c r="Z409" s="0" t="str">
        <f aca="false">IF($T409="","",IFERROR(INDEX('Resumo Grupos'!$AC$3:$AC$200,MATCH($T409,'Resumo Grupos'!$AB$3:$AB$200,0)),"n/d"))</f>
        <v>Mercadoria</v>
      </c>
      <c r="AA409" s="0" t="str">
        <f aca="false">IF($T409="","",IF(COUNTIF('Resumo Grupos'!$AE$3:$AE$40,$T409)&gt;0,"NAO","SIM"))</f>
        <v>SIM</v>
      </c>
      <c r="AB409" s="0" t="str">
        <f aca="false">IFERROR(INDEX('Mov Entradas (Rel 10497)'!$L:$L,MATCH(AC409,'Mov Entradas (Rel 10497)'!$I:$I,0)),"nao encontrado")</f>
        <v>OVOS BRANCO UNID</v>
      </c>
      <c r="AC409" s="0" t="n">
        <v>304</v>
      </c>
    </row>
    <row r="410" customFormat="false" ht="45.75" hidden="false" customHeight="true" outlineLevel="0" collapsed="false">
      <c r="A410" s="9" t="n">
        <v>2</v>
      </c>
      <c r="B410" s="10" t="n">
        <v>46164</v>
      </c>
      <c r="C410" s="10" t="n">
        <v>46195</v>
      </c>
      <c r="D410" s="9" t="n">
        <v>1608</v>
      </c>
      <c r="E410" s="11" t="s">
        <v>240</v>
      </c>
      <c r="F410" s="9" t="n">
        <v>24</v>
      </c>
      <c r="G410" s="11" t="s">
        <v>51</v>
      </c>
      <c r="H410" s="9" t="n">
        <v>2110101</v>
      </c>
      <c r="I410" s="11" t="s">
        <v>43</v>
      </c>
      <c r="J410" s="9" t="n">
        <v>1138325</v>
      </c>
      <c r="L410" s="9" t="n">
        <v>1660317</v>
      </c>
      <c r="M410" s="11" t="s">
        <v>52</v>
      </c>
      <c r="N410" s="11" t="s">
        <v>37</v>
      </c>
      <c r="P410" s="9" t="n">
        <v>113</v>
      </c>
      <c r="Q410" s="11" t="s">
        <v>46</v>
      </c>
      <c r="R410" s="11" t="s">
        <v>47</v>
      </c>
      <c r="S410" s="9" t="n">
        <v>1130101</v>
      </c>
      <c r="T410" s="11" t="s">
        <v>48</v>
      </c>
      <c r="U410" s="12" t="n">
        <v>277.2</v>
      </c>
      <c r="W410" s="12" t="n">
        <v>0</v>
      </c>
      <c r="X410" s="11" t="s">
        <v>507</v>
      </c>
      <c r="Z410" s="0" t="str">
        <f aca="false">IF($T410="","",IFERROR(INDEX('Resumo Grupos'!$AC$3:$AC$200,MATCH($T410,'Resumo Grupos'!$AB$3:$AB$200,0)),"n/d"))</f>
        <v>Mercadoria</v>
      </c>
      <c r="AA410" s="0" t="str">
        <f aca="false">IF($T410="","",IF(COUNTIF('Resumo Grupos'!$AE$3:$AE$40,$T410)&gt;0,"NAO","SIM"))</f>
        <v>SIM</v>
      </c>
      <c r="AB410" s="0" t="str">
        <f aca="false">IFERROR(INDEX('Mov Entradas (Rel 10497)'!$L:$L,MATCH(AC410,'Mov Entradas (Rel 10497)'!$I:$I,0)),"nao encontrado")</f>
        <v>nao encontrado</v>
      </c>
      <c r="AC410" s="0" t="n">
        <v>1660317</v>
      </c>
    </row>
    <row r="411" customFormat="false" ht="54.75" hidden="false" customHeight="true" outlineLevel="0" collapsed="false">
      <c r="A411" s="9" t="n">
        <v>2</v>
      </c>
      <c r="B411" s="10" t="n">
        <v>46185</v>
      </c>
      <c r="C411" s="10" t="n">
        <v>46195</v>
      </c>
      <c r="D411" s="9" t="n">
        <v>1608</v>
      </c>
      <c r="E411" s="11" t="s">
        <v>240</v>
      </c>
      <c r="F411" s="9" t="n">
        <v>24</v>
      </c>
      <c r="G411" s="11" t="s">
        <v>51</v>
      </c>
      <c r="H411" s="9" t="n">
        <v>2110101</v>
      </c>
      <c r="I411" s="11" t="s">
        <v>43</v>
      </c>
      <c r="J411" s="9" t="n">
        <v>1240331</v>
      </c>
      <c r="L411" s="9" t="n">
        <v>1672321</v>
      </c>
      <c r="M411" s="11" t="s">
        <v>52</v>
      </c>
      <c r="N411" s="11" t="s">
        <v>37</v>
      </c>
      <c r="P411" s="9" t="n">
        <v>113</v>
      </c>
      <c r="Q411" s="11" t="s">
        <v>46</v>
      </c>
      <c r="R411" s="11" t="s">
        <v>47</v>
      </c>
      <c r="S411" s="9" t="n">
        <v>1130101</v>
      </c>
      <c r="T411" s="11" t="s">
        <v>48</v>
      </c>
      <c r="U411" s="12" t="n">
        <v>767.16</v>
      </c>
      <c r="W411" s="12" t="n">
        <v>0</v>
      </c>
      <c r="X411" s="11" t="s">
        <v>508</v>
      </c>
      <c r="Z411" s="0" t="str">
        <f aca="false">IF($T411="","",IFERROR(INDEX('Resumo Grupos'!$AC$3:$AC$200,MATCH($T411,'Resumo Grupos'!$AB$3:$AB$200,0)),"n/d"))</f>
        <v>Mercadoria</v>
      </c>
      <c r="AA411" s="0" t="str">
        <f aca="false">IF($T411="","",IF(COUNTIF('Resumo Grupos'!$AE$3:$AE$40,$T411)&gt;0,"NAO","SIM"))</f>
        <v>SIM</v>
      </c>
      <c r="AB411" s="0" t="str">
        <f aca="false">IFERROR(INDEX('Mov Entradas (Rel 10497)'!$L:$L,MATCH(AC411,'Mov Entradas (Rel 10497)'!$I:$I,0)),"nao encontrado")</f>
        <v>DANONE GREGO UNID FR</v>
      </c>
      <c r="AC411" s="0" t="n">
        <v>1672321</v>
      </c>
    </row>
    <row r="412" customFormat="false" ht="36.75" hidden="false" customHeight="true" outlineLevel="0" collapsed="false">
      <c r="A412" s="9" t="n">
        <v>2</v>
      </c>
      <c r="B412" s="10" t="n">
        <v>46195</v>
      </c>
      <c r="C412" s="10" t="n">
        <v>46195</v>
      </c>
      <c r="D412" s="9" t="n">
        <v>1947</v>
      </c>
      <c r="E412" s="11" t="s">
        <v>482</v>
      </c>
      <c r="F412" s="9" t="n">
        <v>34</v>
      </c>
      <c r="G412" s="11" t="s">
        <v>55</v>
      </c>
      <c r="H412" s="9" t="n">
        <v>2110405</v>
      </c>
      <c r="I412" s="11" t="s">
        <v>56</v>
      </c>
      <c r="J412" s="9" t="n">
        <v>1289674</v>
      </c>
      <c r="L412" s="9" t="n">
        <v>172324</v>
      </c>
      <c r="M412" s="11" t="s">
        <v>52</v>
      </c>
      <c r="N412" s="11" t="s">
        <v>45</v>
      </c>
      <c r="P412" s="9" t="n">
        <v>102</v>
      </c>
      <c r="Q412" s="11" t="s">
        <v>308</v>
      </c>
      <c r="R412" s="11" t="s">
        <v>509</v>
      </c>
      <c r="S412" s="9" t="n">
        <v>2110707</v>
      </c>
      <c r="T412" s="11" t="s">
        <v>510</v>
      </c>
      <c r="U412" s="12" t="n">
        <v>1546.42</v>
      </c>
      <c r="W412" s="12" t="n">
        <v>0</v>
      </c>
      <c r="X412" s="11" t="s">
        <v>511</v>
      </c>
      <c r="Z412" s="0" t="str">
        <f aca="false">IF($T412="","",IFERROR(INDEX('Resumo Grupos'!$AC$3:$AC$200,MATCH($T412,'Resumo Grupos'!$AB$3:$AB$200,0)),"n/d"))</f>
        <v>Impostos</v>
      </c>
      <c r="AA412" s="0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9" t="n">
        <v>2</v>
      </c>
      <c r="B413" s="10" t="n">
        <v>46136</v>
      </c>
      <c r="C413" s="10" t="n">
        <v>46195</v>
      </c>
      <c r="D413" s="9" t="n">
        <v>639</v>
      </c>
      <c r="E413" s="11" t="s">
        <v>512</v>
      </c>
      <c r="F413" s="9" t="n">
        <v>24</v>
      </c>
      <c r="G413" s="11" t="s">
        <v>51</v>
      </c>
      <c r="H413" s="9" t="n">
        <v>2110405</v>
      </c>
      <c r="I413" s="11" t="s">
        <v>56</v>
      </c>
      <c r="J413" s="9" t="n">
        <v>998934</v>
      </c>
      <c r="L413" s="9" t="n">
        <v>132143</v>
      </c>
      <c r="M413" s="11" t="s">
        <v>44</v>
      </c>
      <c r="N413" s="11" t="s">
        <v>45</v>
      </c>
      <c r="P413" s="9" t="n">
        <v>101</v>
      </c>
      <c r="Q413" s="11" t="s">
        <v>57</v>
      </c>
      <c r="R413" s="11" t="s">
        <v>39</v>
      </c>
      <c r="S413" s="9" t="n">
        <v>4210216</v>
      </c>
      <c r="T413" s="11" t="s">
        <v>513</v>
      </c>
      <c r="U413" s="12" t="n">
        <v>396.67</v>
      </c>
      <c r="W413" s="12" t="n">
        <v>0</v>
      </c>
      <c r="X413" s="11" t="s">
        <v>514</v>
      </c>
      <c r="Z413" s="0" t="str">
        <f aca="false">IF($T413="","",IFERROR(INDEX('Resumo Grupos'!$AC$3:$AC$200,MATCH($T413,'Resumo Grupos'!$AB$3:$AB$200,0)),"n/d"))</f>
        <v>Despesa</v>
      </c>
      <c r="AA413" s="0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9" t="n">
        <v>2</v>
      </c>
      <c r="B414" s="10" t="n">
        <v>46195</v>
      </c>
      <c r="C414" s="10" t="n">
        <v>46195</v>
      </c>
      <c r="D414" s="9" t="n">
        <v>1037</v>
      </c>
      <c r="E414" s="11" t="s">
        <v>134</v>
      </c>
      <c r="F414" s="9" t="n">
        <v>13</v>
      </c>
      <c r="G414" s="11" t="s">
        <v>135</v>
      </c>
      <c r="H414" s="9" t="n">
        <v>2110101</v>
      </c>
      <c r="I414" s="11" t="s">
        <v>43</v>
      </c>
      <c r="J414" s="9" t="n">
        <v>1289935</v>
      </c>
      <c r="L414" s="9" t="n">
        <v>172325</v>
      </c>
      <c r="M414" s="11" t="s">
        <v>52</v>
      </c>
      <c r="N414" s="11" t="s">
        <v>45</v>
      </c>
      <c r="P414" s="9" t="n">
        <v>113</v>
      </c>
      <c r="Q414" s="11" t="s">
        <v>46</v>
      </c>
      <c r="R414" s="11" t="s">
        <v>47</v>
      </c>
      <c r="S414" s="9" t="n">
        <v>1130101</v>
      </c>
      <c r="T414" s="11" t="s">
        <v>48</v>
      </c>
      <c r="U414" s="12" t="n">
        <v>390</v>
      </c>
      <c r="W414" s="12" t="n">
        <v>0</v>
      </c>
      <c r="X414" s="11" t="s">
        <v>515</v>
      </c>
      <c r="Z414" s="0" t="str">
        <f aca="false">IF($T414="","",IFERROR(INDEX('Resumo Grupos'!$AC$3:$AC$200,MATCH($T414,'Resumo Grupos'!$AB$3:$AB$200,0)),"n/d"))</f>
        <v>Mercadoria</v>
      </c>
      <c r="AA414" s="0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9" t="n">
        <v>2</v>
      </c>
      <c r="B415" s="10" t="n">
        <v>46195</v>
      </c>
      <c r="C415" s="10" t="n">
        <v>46195</v>
      </c>
      <c r="D415" s="9" t="n">
        <v>515</v>
      </c>
      <c r="E415" s="11" t="s">
        <v>137</v>
      </c>
      <c r="F415" s="9" t="n">
        <v>34</v>
      </c>
      <c r="G415" s="11" t="s">
        <v>55</v>
      </c>
      <c r="H415" s="9" t="n">
        <v>2110405</v>
      </c>
      <c r="I415" s="11" t="s">
        <v>56</v>
      </c>
      <c r="J415" s="9" t="n">
        <v>1340445</v>
      </c>
      <c r="L415" s="9" t="n">
        <v>179892</v>
      </c>
      <c r="M415" s="11" t="s">
        <v>52</v>
      </c>
      <c r="N415" s="11" t="s">
        <v>45</v>
      </c>
      <c r="P415" s="9" t="n">
        <v>102</v>
      </c>
      <c r="Q415" s="11" t="s">
        <v>308</v>
      </c>
      <c r="R415" s="11" t="s">
        <v>516</v>
      </c>
      <c r="S415" s="9" t="n">
        <v>22103</v>
      </c>
      <c r="T415" s="11" t="s">
        <v>516</v>
      </c>
      <c r="U415" s="12" t="n">
        <v>10000</v>
      </c>
      <c r="W415" s="12" t="n">
        <v>0</v>
      </c>
      <c r="X415" s="11" t="s">
        <v>517</v>
      </c>
      <c r="Z415" s="0" t="str">
        <f aca="false">IF($T415="","",IFERROR(INDEX('Resumo Grupos'!$AC$3:$AC$200,MATCH($T415,'Resumo Grupos'!$AB$3:$AB$200,0)),"n/d"))</f>
        <v>Despesa</v>
      </c>
      <c r="AA415" s="0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9" t="n">
        <v>2</v>
      </c>
      <c r="B416" s="10" t="n">
        <v>46181</v>
      </c>
      <c r="C416" s="10" t="n">
        <v>46195</v>
      </c>
      <c r="D416" s="9" t="n">
        <v>1699</v>
      </c>
      <c r="E416" s="11" t="s">
        <v>248</v>
      </c>
      <c r="F416" s="9" t="n">
        <v>24</v>
      </c>
      <c r="G416" s="11" t="s">
        <v>51</v>
      </c>
      <c r="H416" s="9" t="n">
        <v>2110101</v>
      </c>
      <c r="I416" s="11" t="s">
        <v>43</v>
      </c>
      <c r="J416" s="9" t="n">
        <v>1222609</v>
      </c>
      <c r="L416" s="9" t="n">
        <v>303660</v>
      </c>
      <c r="M416" s="11" t="s">
        <v>44</v>
      </c>
      <c r="N416" s="11" t="s">
        <v>37</v>
      </c>
      <c r="P416" s="9" t="n">
        <v>113</v>
      </c>
      <c r="Q416" s="11" t="s">
        <v>46</v>
      </c>
      <c r="R416" s="11" t="s">
        <v>47</v>
      </c>
      <c r="S416" s="9" t="n">
        <v>1130101</v>
      </c>
      <c r="T416" s="11" t="s">
        <v>48</v>
      </c>
      <c r="U416" s="12" t="n">
        <v>1909.5</v>
      </c>
      <c r="W416" s="12" t="n">
        <v>0</v>
      </c>
      <c r="X416" s="11" t="s">
        <v>414</v>
      </c>
      <c r="Z416" s="0" t="str">
        <f aca="false">IF($T416="","",IFERROR(INDEX('Resumo Grupos'!$AC$3:$AC$200,MATCH($T416,'Resumo Grupos'!$AB$3:$AB$200,0)),"n/d"))</f>
        <v>Mercadoria</v>
      </c>
      <c r="AA416" s="0" t="str">
        <f aca="false">IF($T416="","",IF(COUNTIF('Resumo Grupos'!$AE$3:$AE$40,$T416)&gt;0,"NAO","SIM"))</f>
        <v>SIM</v>
      </c>
      <c r="AB416" s="0" t="str">
        <f aca="false">IFERROR(INDEX('Mov Entradas (Rel 10497)'!$L:$L,MATCH(AC416,'Mov Entradas (Rel 10497)'!$I:$I,0)),"nao encontrado")</f>
        <v>SALSICHA PERDIGÃO KG</v>
      </c>
      <c r="AC416" s="0" t="n">
        <v>303660</v>
      </c>
    </row>
    <row r="417" customFormat="false" ht="36.75" hidden="false" customHeight="true" outlineLevel="0" collapsed="false">
      <c r="A417" s="9" t="n">
        <v>2</v>
      </c>
      <c r="B417" s="10" t="n">
        <v>46195</v>
      </c>
      <c r="C417" s="10" t="n">
        <v>46195</v>
      </c>
      <c r="D417" s="9" t="n">
        <v>48</v>
      </c>
      <c r="E417" s="11" t="s">
        <v>153</v>
      </c>
      <c r="F417" s="9" t="n">
        <v>13</v>
      </c>
      <c r="G417" s="11" t="s">
        <v>135</v>
      </c>
      <c r="H417" s="9" t="n">
        <v>2110101</v>
      </c>
      <c r="I417" s="11" t="s">
        <v>43</v>
      </c>
      <c r="J417" s="9" t="n">
        <v>1289851</v>
      </c>
      <c r="L417" s="9" t="n">
        <v>2503</v>
      </c>
      <c r="M417" s="11" t="s">
        <v>52</v>
      </c>
      <c r="N417" s="11" t="s">
        <v>37</v>
      </c>
      <c r="P417" s="9" t="n">
        <v>113</v>
      </c>
      <c r="Q417" s="11" t="s">
        <v>46</v>
      </c>
      <c r="R417" s="11" t="s">
        <v>47</v>
      </c>
      <c r="S417" s="9" t="n">
        <v>1130101</v>
      </c>
      <c r="T417" s="11" t="s">
        <v>48</v>
      </c>
      <c r="U417" s="12" t="n">
        <v>210</v>
      </c>
      <c r="W417" s="12" t="n">
        <v>0</v>
      </c>
      <c r="X417" s="11" t="s">
        <v>518</v>
      </c>
      <c r="Z417" s="0" t="str">
        <f aca="false">IF($T417="","",IFERROR(INDEX('Resumo Grupos'!$AC$3:$AC$200,MATCH($T417,'Resumo Grupos'!$AB$3:$AB$200,0)),"n/d"))</f>
        <v>Mercadoria</v>
      </c>
      <c r="AA417" s="0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9" t="n">
        <v>2</v>
      </c>
      <c r="B418" s="10" t="n">
        <v>46195</v>
      </c>
      <c r="C418" s="10" t="n">
        <v>46195</v>
      </c>
      <c r="D418" s="9" t="n">
        <v>48</v>
      </c>
      <c r="E418" s="11" t="s">
        <v>153</v>
      </c>
      <c r="F418" s="9" t="n">
        <v>13</v>
      </c>
      <c r="G418" s="11" t="s">
        <v>135</v>
      </c>
      <c r="H418" s="9" t="n">
        <v>2110101</v>
      </c>
      <c r="I418" s="11" t="s">
        <v>43</v>
      </c>
      <c r="J418" s="9" t="n">
        <v>1289925</v>
      </c>
      <c r="L418" s="9" t="n">
        <v>2504</v>
      </c>
      <c r="M418" s="11" t="s">
        <v>52</v>
      </c>
      <c r="N418" s="11" t="s">
        <v>37</v>
      </c>
      <c r="P418" s="9" t="n">
        <v>113</v>
      </c>
      <c r="Q418" s="11" t="s">
        <v>46</v>
      </c>
      <c r="R418" s="11" t="s">
        <v>47</v>
      </c>
      <c r="S418" s="9" t="n">
        <v>1130101</v>
      </c>
      <c r="T418" s="11" t="s">
        <v>48</v>
      </c>
      <c r="U418" s="12" t="n">
        <v>1454</v>
      </c>
      <c r="W418" s="12" t="n">
        <v>0</v>
      </c>
      <c r="X418" s="11" t="s">
        <v>519</v>
      </c>
      <c r="Z418" s="0" t="str">
        <f aca="false">IF($T418="","",IFERROR(INDEX('Resumo Grupos'!$AC$3:$AC$200,MATCH($T418,'Resumo Grupos'!$AB$3:$AB$200,0)),"n/d"))</f>
        <v>Mercadoria</v>
      </c>
      <c r="AA418" s="0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9" t="n">
        <v>2</v>
      </c>
      <c r="B419" s="10" t="n">
        <v>46188</v>
      </c>
      <c r="C419" s="10" t="n">
        <v>46195</v>
      </c>
      <c r="D419" s="9" t="n">
        <v>1830</v>
      </c>
      <c r="E419" s="11" t="s">
        <v>520</v>
      </c>
      <c r="F419" s="9" t="n">
        <v>24</v>
      </c>
      <c r="G419" s="11" t="s">
        <v>51</v>
      </c>
      <c r="H419" s="9" t="n">
        <v>2110405</v>
      </c>
      <c r="I419" s="11" t="s">
        <v>56</v>
      </c>
      <c r="J419" s="9" t="n">
        <v>1256786</v>
      </c>
      <c r="L419" s="9" t="n">
        <v>892</v>
      </c>
      <c r="M419" s="11" t="s">
        <v>52</v>
      </c>
      <c r="N419" s="11" t="s">
        <v>45</v>
      </c>
      <c r="P419" s="9" t="n">
        <v>101</v>
      </c>
      <c r="Q419" s="11" t="s">
        <v>57</v>
      </c>
      <c r="R419" s="11" t="s">
        <v>71</v>
      </c>
      <c r="S419" s="9" t="n">
        <v>4210319</v>
      </c>
      <c r="T419" s="11" t="s">
        <v>521</v>
      </c>
      <c r="U419" s="12" t="n">
        <v>541</v>
      </c>
      <c r="W419" s="12" t="n">
        <v>0</v>
      </c>
      <c r="X419" s="11" t="s">
        <v>522</v>
      </c>
      <c r="Z419" s="0" t="str">
        <f aca="false">IF($T419="","",IFERROR(INDEX('Resumo Grupos'!$AC$3:$AC$200,MATCH($T419,'Resumo Grupos'!$AB$3:$AB$200,0)),"n/d"))</f>
        <v>Salários</v>
      </c>
      <c r="AA419" s="0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9" t="n">
        <v>2</v>
      </c>
      <c r="B420" s="10" t="n">
        <v>46189</v>
      </c>
      <c r="C420" s="10" t="n">
        <v>46195</v>
      </c>
      <c r="D420" s="9" t="n">
        <v>1328</v>
      </c>
      <c r="E420" s="11" t="s">
        <v>95</v>
      </c>
      <c r="F420" s="9" t="n">
        <v>24</v>
      </c>
      <c r="G420" s="11" t="s">
        <v>51</v>
      </c>
      <c r="H420" s="9" t="n">
        <v>2110101</v>
      </c>
      <c r="I420" s="11" t="s">
        <v>43</v>
      </c>
      <c r="J420" s="9" t="n">
        <v>1261465</v>
      </c>
      <c r="L420" s="9" t="n">
        <v>3777</v>
      </c>
      <c r="M420" s="11" t="s">
        <v>52</v>
      </c>
      <c r="N420" s="11" t="s">
        <v>37</v>
      </c>
      <c r="P420" s="9" t="n">
        <v>113</v>
      </c>
      <c r="Q420" s="11" t="s">
        <v>46</v>
      </c>
      <c r="R420" s="11" t="s">
        <v>47</v>
      </c>
      <c r="S420" s="9" t="n">
        <v>1130101</v>
      </c>
      <c r="T420" s="11" t="s">
        <v>48</v>
      </c>
      <c r="U420" s="12" t="n">
        <v>185.2</v>
      </c>
      <c r="W420" s="12" t="n">
        <v>0</v>
      </c>
      <c r="X420" s="11" t="s">
        <v>523</v>
      </c>
      <c r="Z420" s="0" t="str">
        <f aca="false">IF($T420="","",IFERROR(INDEX('Resumo Grupos'!$AC$3:$AC$200,MATCH($T420,'Resumo Grupos'!$AB$3:$AB$200,0)),"n/d"))</f>
        <v>Mercadoria</v>
      </c>
      <c r="AA420" s="0" t="str">
        <f aca="false">IF($T420="","",IF(COUNTIF('Resumo Grupos'!$AE$3:$AE$40,$T420)&gt;0,"NAO","SIM"))</f>
        <v>SIM</v>
      </c>
      <c r="AB420" s="0" t="str">
        <f aca="false">IFERROR(INDEX('Mov Entradas (Rel 10497)'!$L:$L,MATCH(AC420,'Mov Entradas (Rel 10497)'!$I:$I,0)),"nao encontrado")</f>
        <v>PAO DE KIKAO 10</v>
      </c>
      <c r="AC420" s="0" t="n">
        <v>3777</v>
      </c>
    </row>
    <row r="421" customFormat="false" ht="36.75" hidden="false" customHeight="true" outlineLevel="0" collapsed="false">
      <c r="A421" s="9" t="n">
        <v>2</v>
      </c>
      <c r="B421" s="10" t="n">
        <v>46185</v>
      </c>
      <c r="C421" s="10" t="n">
        <v>46195</v>
      </c>
      <c r="D421" s="9" t="n">
        <v>666</v>
      </c>
      <c r="E421" s="11" t="s">
        <v>417</v>
      </c>
      <c r="F421" s="9" t="n">
        <v>24</v>
      </c>
      <c r="G421" s="11" t="s">
        <v>51</v>
      </c>
      <c r="H421" s="9" t="n">
        <v>2110101</v>
      </c>
      <c r="I421" s="11" t="s">
        <v>43</v>
      </c>
      <c r="J421" s="9" t="n">
        <v>1241752</v>
      </c>
      <c r="L421" s="9" t="n">
        <v>165604</v>
      </c>
      <c r="M421" s="11" t="s">
        <v>52</v>
      </c>
      <c r="N421" s="11" t="s">
        <v>45</v>
      </c>
      <c r="P421" s="9" t="n">
        <v>113</v>
      </c>
      <c r="Q421" s="11" t="s">
        <v>46</v>
      </c>
      <c r="R421" s="11" t="s">
        <v>47</v>
      </c>
      <c r="S421" s="9" t="n">
        <v>1130101</v>
      </c>
      <c r="T421" s="11" t="s">
        <v>48</v>
      </c>
      <c r="U421" s="12" t="n">
        <v>383.24</v>
      </c>
      <c r="W421" s="12" t="n">
        <v>0</v>
      </c>
      <c r="X421" s="11" t="s">
        <v>418</v>
      </c>
      <c r="Z421" s="0" t="str">
        <f aca="false">IF($T421="","",IFERROR(INDEX('Resumo Grupos'!$AC$3:$AC$200,MATCH($T421,'Resumo Grupos'!$AB$3:$AB$200,0)),"n/d"))</f>
        <v>Mercadoria</v>
      </c>
      <c r="AA421" s="0" t="str">
        <f aca="false">IF($T421="","",IF(COUNTIF('Resumo Grupos'!$AE$3:$AE$40,$T421)&gt;0,"NAO","SIM"))</f>
        <v>SIM</v>
      </c>
      <c r="AB421" s="0" t="str">
        <f aca="false">IFERROR(INDEX('Mov Entradas (Rel 10497)'!$L:$L,MATCH(AC421,'Mov Entradas (Rel 10497)'!$I:$I,0)),"nao encontrado")</f>
        <v>RACAO SABOR CAT KG</v>
      </c>
      <c r="AC421" s="0" t="n">
        <v>7725</v>
      </c>
    </row>
    <row r="422" customFormat="false" ht="36.75" hidden="false" customHeight="true" outlineLevel="0" collapsed="false">
      <c r="A422" s="9" t="n">
        <v>2</v>
      </c>
      <c r="B422" s="10" t="n">
        <v>46195</v>
      </c>
      <c r="C422" s="10" t="n">
        <v>46195</v>
      </c>
      <c r="D422" s="9" t="n">
        <v>306</v>
      </c>
      <c r="E422" s="11" t="s">
        <v>524</v>
      </c>
      <c r="F422" s="9" t="n">
        <v>34</v>
      </c>
      <c r="G422" s="11" t="s">
        <v>55</v>
      </c>
      <c r="H422" s="9" t="n">
        <v>2110101</v>
      </c>
      <c r="I422" s="11" t="s">
        <v>43</v>
      </c>
      <c r="J422" s="9" t="n">
        <v>1299376</v>
      </c>
      <c r="L422" s="9" t="n">
        <v>173992</v>
      </c>
      <c r="M422" s="11" t="s">
        <v>52</v>
      </c>
      <c r="N422" s="11" t="s">
        <v>45</v>
      </c>
      <c r="P422" s="9" t="n">
        <v>113</v>
      </c>
      <c r="Q422" s="11" t="s">
        <v>46</v>
      </c>
      <c r="R422" s="11" t="s">
        <v>47</v>
      </c>
      <c r="S422" s="9" t="n">
        <v>1130101</v>
      </c>
      <c r="T422" s="11" t="s">
        <v>48</v>
      </c>
      <c r="U422" s="12" t="n">
        <v>106.8</v>
      </c>
      <c r="W422" s="12" t="n">
        <v>0</v>
      </c>
      <c r="X422" s="11" t="s">
        <v>525</v>
      </c>
      <c r="Z422" s="0" t="str">
        <f aca="false">IF($T422="","",IFERROR(INDEX('Resumo Grupos'!$AC$3:$AC$200,MATCH($T422,'Resumo Grupos'!$AB$3:$AB$200,0)),"n/d"))</f>
        <v>Mercadoria</v>
      </c>
      <c r="AA422" s="0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9" t="n">
        <v>2</v>
      </c>
      <c r="B423" s="10" t="n">
        <v>46181</v>
      </c>
      <c r="C423" s="10" t="n">
        <v>46195</v>
      </c>
      <c r="D423" s="9" t="n">
        <v>33</v>
      </c>
      <c r="E423" s="11" t="s">
        <v>313</v>
      </c>
      <c r="F423" s="9" t="n">
        <v>34</v>
      </c>
      <c r="G423" s="11" t="s">
        <v>55</v>
      </c>
      <c r="H423" s="9" t="n">
        <v>2110405</v>
      </c>
      <c r="I423" s="11" t="s">
        <v>56</v>
      </c>
      <c r="J423" s="9" t="n">
        <v>1223649</v>
      </c>
      <c r="L423" s="9" t="n">
        <v>162751</v>
      </c>
      <c r="M423" s="11" t="s">
        <v>52</v>
      </c>
      <c r="N423" s="11" t="s">
        <v>45</v>
      </c>
      <c r="P423" s="9" t="n">
        <v>101</v>
      </c>
      <c r="Q423" s="11" t="s">
        <v>57</v>
      </c>
      <c r="R423" s="11" t="s">
        <v>430</v>
      </c>
      <c r="S423" s="9" t="n">
        <v>4210107</v>
      </c>
      <c r="T423" s="11" t="s">
        <v>496</v>
      </c>
      <c r="U423" s="12" t="n">
        <v>140.24</v>
      </c>
      <c r="W423" s="12" t="n">
        <v>0</v>
      </c>
      <c r="X423" s="11" t="s">
        <v>526</v>
      </c>
      <c r="Z423" s="0" t="str">
        <f aca="false">IF($T423="","",IFERROR(INDEX('Resumo Grupos'!$AC$3:$AC$200,MATCH($T423,'Resumo Grupos'!$AB$3:$AB$200,0)),"n/d"))</f>
        <v>Despesa</v>
      </c>
      <c r="AA423" s="0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9" t="n">
        <v>2</v>
      </c>
      <c r="B424" s="10" t="n">
        <v>46195</v>
      </c>
      <c r="C424" s="10" t="n">
        <v>46195</v>
      </c>
      <c r="D424" s="9" t="n">
        <v>10006</v>
      </c>
      <c r="E424" s="11" t="s">
        <v>206</v>
      </c>
      <c r="F424" s="9" t="n">
        <v>34</v>
      </c>
      <c r="G424" s="11" t="s">
        <v>55</v>
      </c>
      <c r="H424" s="9" t="n">
        <v>4210227</v>
      </c>
      <c r="I424" s="11" t="s">
        <v>68</v>
      </c>
      <c r="J424" s="9" t="n">
        <v>1290710</v>
      </c>
      <c r="L424" s="9" t="n">
        <v>172606</v>
      </c>
      <c r="M424" s="11" t="s">
        <v>52</v>
      </c>
      <c r="N424" s="11" t="s">
        <v>45</v>
      </c>
      <c r="P424" s="9" t="n">
        <v>101</v>
      </c>
      <c r="Q424" s="11" t="s">
        <v>57</v>
      </c>
      <c r="R424" s="11" t="s">
        <v>39</v>
      </c>
      <c r="S424" s="9" t="n">
        <v>4210232</v>
      </c>
      <c r="T424" s="11" t="s">
        <v>320</v>
      </c>
      <c r="U424" s="12" t="n">
        <v>420</v>
      </c>
      <c r="W424" s="12" t="n">
        <v>0</v>
      </c>
      <c r="X424" s="11" t="s">
        <v>527</v>
      </c>
      <c r="Z424" s="0" t="str">
        <f aca="false">IF($T424="","",IFERROR(INDEX('Resumo Grupos'!$AC$3:$AC$200,MATCH($T424,'Resumo Grupos'!$AB$3:$AB$200,0)),"n/d"))</f>
        <v>Despesa</v>
      </c>
      <c r="AA424" s="0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9" t="n">
        <v>2</v>
      </c>
      <c r="B425" s="10" t="n">
        <v>46205</v>
      </c>
      <c r="C425" s="10" t="n">
        <v>46195</v>
      </c>
      <c r="D425" s="9" t="n">
        <v>10006</v>
      </c>
      <c r="E425" s="11" t="s">
        <v>206</v>
      </c>
      <c r="F425" s="9" t="n">
        <v>34</v>
      </c>
      <c r="G425" s="11" t="s">
        <v>55</v>
      </c>
      <c r="H425" s="9" t="n">
        <v>4210227</v>
      </c>
      <c r="I425" s="11" t="s">
        <v>68</v>
      </c>
      <c r="J425" s="9" t="n">
        <v>1290710</v>
      </c>
      <c r="L425" s="9" t="n">
        <v>172606</v>
      </c>
      <c r="M425" s="11" t="s">
        <v>44</v>
      </c>
      <c r="N425" s="11" t="s">
        <v>45</v>
      </c>
      <c r="P425" s="9" t="n">
        <v>102</v>
      </c>
      <c r="Q425" s="11" t="s">
        <v>308</v>
      </c>
      <c r="R425" s="11" t="s">
        <v>39</v>
      </c>
      <c r="S425" s="9" t="n">
        <v>4210232</v>
      </c>
      <c r="T425" s="11" t="s">
        <v>320</v>
      </c>
      <c r="U425" s="12" t="n">
        <v>420</v>
      </c>
      <c r="W425" s="12" t="n">
        <v>0</v>
      </c>
      <c r="X425" s="11" t="s">
        <v>528</v>
      </c>
      <c r="Z425" s="0" t="str">
        <f aca="false">IF($T425="","",IFERROR(INDEX('Resumo Grupos'!$AC$3:$AC$200,MATCH($T425,'Resumo Grupos'!$AB$3:$AB$200,0)),"n/d"))</f>
        <v>Despesa</v>
      </c>
      <c r="AA425" s="0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9" t="n">
        <v>2</v>
      </c>
      <c r="B426" s="10" t="n">
        <v>46195</v>
      </c>
      <c r="C426" s="10" t="n">
        <v>46195</v>
      </c>
      <c r="D426" s="9" t="n">
        <v>0</v>
      </c>
      <c r="E426" s="11" t="s">
        <v>109</v>
      </c>
      <c r="F426" s="9" t="n">
        <v>17</v>
      </c>
      <c r="G426" s="11" t="s">
        <v>110</v>
      </c>
      <c r="H426" s="9" t="n">
        <v>1110101</v>
      </c>
      <c r="I426" s="11" t="s">
        <v>111</v>
      </c>
      <c r="J426" s="9" t="n">
        <v>1361232</v>
      </c>
      <c r="L426" s="9" t="n">
        <v>1361232</v>
      </c>
      <c r="M426" s="11" t="s">
        <v>52</v>
      </c>
      <c r="N426" s="11" t="s">
        <v>112</v>
      </c>
      <c r="P426" s="9" t="n">
        <v>113</v>
      </c>
      <c r="Q426" s="11" t="s">
        <v>46</v>
      </c>
      <c r="R426" s="11" t="s">
        <v>116</v>
      </c>
      <c r="S426" s="9" t="n">
        <v>1110203</v>
      </c>
      <c r="T426" s="11" t="s">
        <v>117</v>
      </c>
      <c r="U426" s="12" t="n">
        <v>2000</v>
      </c>
      <c r="W426" s="12" t="n">
        <v>2000</v>
      </c>
      <c r="X426" s="11" t="s">
        <v>529</v>
      </c>
      <c r="Z426" s="0" t="str">
        <f aca="false">IF($T426="","",IFERROR(INDEX('Resumo Grupos'!$AC$3:$AC$200,MATCH($T426,'Resumo Grupos'!$AB$3:$AB$200,0)),"n/d"))</f>
        <v>Despesa</v>
      </c>
      <c r="AA426" s="0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9" t="n">
        <v>2</v>
      </c>
      <c r="B427" s="10" t="n">
        <v>46183</v>
      </c>
      <c r="C427" s="10" t="n">
        <v>46195</v>
      </c>
      <c r="D427" s="9" t="n">
        <v>1666</v>
      </c>
      <c r="E427" s="11" t="s">
        <v>266</v>
      </c>
      <c r="F427" s="9" t="n">
        <v>24</v>
      </c>
      <c r="G427" s="11" t="s">
        <v>51</v>
      </c>
      <c r="H427" s="9" t="n">
        <v>2110101</v>
      </c>
      <c r="I427" s="11" t="s">
        <v>43</v>
      </c>
      <c r="J427" s="9" t="n">
        <v>1231220</v>
      </c>
      <c r="L427" s="9" t="n">
        <v>163837</v>
      </c>
      <c r="M427" s="11" t="s">
        <v>52</v>
      </c>
      <c r="N427" s="11" t="s">
        <v>45</v>
      </c>
      <c r="P427" s="9" t="n">
        <v>113</v>
      </c>
      <c r="Q427" s="11" t="s">
        <v>46</v>
      </c>
      <c r="R427" s="11" t="s">
        <v>47</v>
      </c>
      <c r="S427" s="9" t="n">
        <v>1130101</v>
      </c>
      <c r="T427" s="11" t="s">
        <v>48</v>
      </c>
      <c r="U427" s="12" t="n">
        <v>5244.24</v>
      </c>
      <c r="W427" s="12" t="n">
        <v>0</v>
      </c>
      <c r="X427" s="11" t="s">
        <v>433</v>
      </c>
      <c r="Z427" s="0" t="str">
        <f aca="false">IF($T427="","",IFERROR(INDEX('Resumo Grupos'!$AC$3:$AC$200,MATCH($T427,'Resumo Grupos'!$AB$3:$AB$200,0)),"n/d"))</f>
        <v>Mercadoria</v>
      </c>
      <c r="AA427" s="0" t="str">
        <f aca="false">IF($T427="","",IF(COUNTIF('Resumo Grupos'!$AE$3:$AE$40,$T427)&gt;0,"NAO","SIM"))</f>
        <v>SIM</v>
      </c>
      <c r="AB427" s="0" t="str">
        <f aca="false">IFERROR(INDEX('Mov Entradas (Rel 10497)'!$L:$L,MATCH(AC427,'Mov Entradas (Rel 10497)'!$I:$I,0)),"nao encontrado")</f>
        <v>AP BARBE BIC PELE SE</v>
      </c>
      <c r="AC427" s="0" t="n">
        <v>562635</v>
      </c>
    </row>
    <row r="428" customFormat="false" ht="45.75" hidden="false" customHeight="true" outlineLevel="0" collapsed="false">
      <c r="A428" s="9" t="n">
        <v>2</v>
      </c>
      <c r="B428" s="10" t="n">
        <v>46164</v>
      </c>
      <c r="C428" s="10" t="n">
        <v>46195</v>
      </c>
      <c r="D428" s="9" t="n">
        <v>1671</v>
      </c>
      <c r="E428" s="11" t="s">
        <v>119</v>
      </c>
      <c r="F428" s="9" t="n">
        <v>24</v>
      </c>
      <c r="G428" s="11" t="s">
        <v>51</v>
      </c>
      <c r="H428" s="9" t="n">
        <v>2110101</v>
      </c>
      <c r="I428" s="11" t="s">
        <v>43</v>
      </c>
      <c r="J428" s="9" t="n">
        <v>1138305</v>
      </c>
      <c r="L428" s="9" t="n">
        <v>151113</v>
      </c>
      <c r="M428" s="11" t="s">
        <v>52</v>
      </c>
      <c r="N428" s="11" t="s">
        <v>45</v>
      </c>
      <c r="P428" s="9" t="n">
        <v>113</v>
      </c>
      <c r="Q428" s="11" t="s">
        <v>46</v>
      </c>
      <c r="R428" s="11" t="s">
        <v>47</v>
      </c>
      <c r="S428" s="9" t="n">
        <v>1130101</v>
      </c>
      <c r="T428" s="11" t="s">
        <v>48</v>
      </c>
      <c r="U428" s="12" t="n">
        <v>1095.36</v>
      </c>
      <c r="W428" s="12" t="n">
        <v>0</v>
      </c>
      <c r="X428" s="11" t="s">
        <v>120</v>
      </c>
      <c r="Z428" s="0" t="str">
        <f aca="false">IF($T428="","",IFERROR(INDEX('Resumo Grupos'!$AC$3:$AC$200,MATCH($T428,'Resumo Grupos'!$AB$3:$AB$200,0)),"n/d"))</f>
        <v>Mercadoria</v>
      </c>
      <c r="AA428" s="0" t="str">
        <f aca="false">IF($T428="","",IF(COUNTIF('Resumo Grupos'!$AE$3:$AE$40,$T428)&gt;0,"NAO","SIM"))</f>
        <v>SIM</v>
      </c>
      <c r="AB428" s="0" t="str">
        <f aca="false">IFERROR(INDEX('Mov Entradas (Rel 10497)'!$L:$L,MATCH(AC428,'Mov Entradas (Rel 10497)'!$I:$I,0)),"nao encontrado")</f>
        <v>nao encontrado</v>
      </c>
      <c r="AC428" s="0" t="n">
        <v>569925</v>
      </c>
    </row>
    <row r="429" customFormat="false" ht="36.75" hidden="false" customHeight="true" outlineLevel="0" collapsed="false">
      <c r="A429" s="9" t="n">
        <v>2</v>
      </c>
      <c r="B429" s="10" t="n">
        <v>46195</v>
      </c>
      <c r="C429" s="10" t="n">
        <v>46196</v>
      </c>
      <c r="D429" s="9" t="n">
        <v>642</v>
      </c>
      <c r="E429" s="11" t="s">
        <v>123</v>
      </c>
      <c r="F429" s="9" t="n">
        <v>24</v>
      </c>
      <c r="G429" s="11" t="s">
        <v>51</v>
      </c>
      <c r="H429" s="9" t="n">
        <v>2110101</v>
      </c>
      <c r="I429" s="11" t="s">
        <v>43</v>
      </c>
      <c r="J429" s="9" t="n">
        <v>1289127</v>
      </c>
      <c r="L429" s="9" t="n">
        <v>504</v>
      </c>
      <c r="M429" s="11" t="s">
        <v>52</v>
      </c>
      <c r="N429" s="11" t="s">
        <v>37</v>
      </c>
      <c r="P429" s="9" t="n">
        <v>113</v>
      </c>
      <c r="Q429" s="11" t="s">
        <v>46</v>
      </c>
      <c r="R429" s="11" t="s">
        <v>47</v>
      </c>
      <c r="S429" s="9" t="n">
        <v>1130101</v>
      </c>
      <c r="T429" s="11" t="s">
        <v>48</v>
      </c>
      <c r="U429" s="12" t="n">
        <v>156</v>
      </c>
      <c r="W429" s="12" t="n">
        <v>0</v>
      </c>
      <c r="X429" s="11" t="s">
        <v>530</v>
      </c>
      <c r="Z429" s="0" t="str">
        <f aca="false">IF($T429="","",IFERROR(INDEX('Resumo Grupos'!$AC$3:$AC$200,MATCH($T429,'Resumo Grupos'!$AB$3:$AB$200,0)),"n/d"))</f>
        <v>Mercadoria</v>
      </c>
      <c r="AA429" s="0" t="str">
        <f aca="false">IF($T429="","",IF(COUNTIF('Resumo Grupos'!$AE$3:$AE$40,$T429)&gt;0,"NAO","SIM"))</f>
        <v>SIM</v>
      </c>
      <c r="AB429" s="0" t="str">
        <f aca="false">IFERROR(INDEX('Mov Entradas (Rel 10497)'!$L:$L,MATCH(AC429,'Mov Entradas (Rel 10497)'!$I:$I,0)),"nao encontrado")</f>
        <v>BOLO BLOOM 600G</v>
      </c>
      <c r="AC429" s="0" t="n">
        <v>504</v>
      </c>
    </row>
    <row r="430" customFormat="false" ht="45.75" hidden="false" customHeight="true" outlineLevel="0" collapsed="false">
      <c r="A430" s="9" t="n">
        <v>2</v>
      </c>
      <c r="B430" s="10" t="n">
        <v>46182</v>
      </c>
      <c r="C430" s="10" t="n">
        <v>46196</v>
      </c>
      <c r="D430" s="9" t="n">
        <v>1921</v>
      </c>
      <c r="E430" s="11" t="s">
        <v>167</v>
      </c>
      <c r="F430" s="9" t="n">
        <v>24</v>
      </c>
      <c r="G430" s="11" t="s">
        <v>51</v>
      </c>
      <c r="H430" s="9" t="n">
        <v>2110101</v>
      </c>
      <c r="I430" s="11" t="s">
        <v>43</v>
      </c>
      <c r="J430" s="9" t="n">
        <v>1227446</v>
      </c>
      <c r="L430" s="9" t="n">
        <v>20868</v>
      </c>
      <c r="M430" s="11" t="s">
        <v>52</v>
      </c>
      <c r="N430" s="11" t="s">
        <v>37</v>
      </c>
      <c r="P430" s="9" t="n">
        <v>113</v>
      </c>
      <c r="Q430" s="11" t="s">
        <v>46</v>
      </c>
      <c r="R430" s="11" t="s">
        <v>47</v>
      </c>
      <c r="S430" s="9" t="n">
        <v>1130101</v>
      </c>
      <c r="T430" s="11" t="s">
        <v>48</v>
      </c>
      <c r="U430" s="12" t="n">
        <v>303.19</v>
      </c>
      <c r="W430" s="12" t="n">
        <v>0</v>
      </c>
      <c r="X430" s="11" t="s">
        <v>531</v>
      </c>
      <c r="Z430" s="0" t="str">
        <f aca="false">IF($T430="","",IFERROR(INDEX('Resumo Grupos'!$AC$3:$AC$200,MATCH($T430,'Resumo Grupos'!$AB$3:$AB$200,0)),"n/d"))</f>
        <v>Mercadoria</v>
      </c>
      <c r="AA430" s="0" t="str">
        <f aca="false">IF($T430="","",IF(COUNTIF('Resumo Grupos'!$AE$3:$AE$40,$T430)&gt;0,"NAO","SIM"))</f>
        <v>SIM</v>
      </c>
      <c r="AB430" s="0" t="str">
        <f aca="false">IFERROR(INDEX('Mov Entradas (Rel 10497)'!$L:$L,MATCH(AC430,'Mov Entradas (Rel 10497)'!$I:$I,0)),"nao encontrado")</f>
        <v>MILHO PIPOCA 400G RAIZ</v>
      </c>
      <c r="AC430" s="0" t="n">
        <v>20868</v>
      </c>
    </row>
    <row r="431" customFormat="false" ht="45.75" hidden="false" customHeight="true" outlineLevel="0" collapsed="false">
      <c r="A431" s="9" t="n">
        <v>2</v>
      </c>
      <c r="B431" s="10" t="n">
        <v>46176</v>
      </c>
      <c r="C431" s="10" t="n">
        <v>46196</v>
      </c>
      <c r="D431" s="9" t="n">
        <v>1635</v>
      </c>
      <c r="E431" s="11" t="s">
        <v>128</v>
      </c>
      <c r="F431" s="9" t="n">
        <v>24</v>
      </c>
      <c r="G431" s="11" t="s">
        <v>51</v>
      </c>
      <c r="H431" s="9" t="n">
        <v>2110101</v>
      </c>
      <c r="I431" s="11" t="s">
        <v>43</v>
      </c>
      <c r="J431" s="9" t="n">
        <v>1197279</v>
      </c>
      <c r="L431" s="9" t="n">
        <v>517670</v>
      </c>
      <c r="M431" s="11" t="s">
        <v>52</v>
      </c>
      <c r="N431" s="11" t="s">
        <v>37</v>
      </c>
      <c r="P431" s="9" t="n">
        <v>113</v>
      </c>
      <c r="Q431" s="11" t="s">
        <v>46</v>
      </c>
      <c r="R431" s="11" t="s">
        <v>47</v>
      </c>
      <c r="S431" s="9" t="n">
        <v>1130101</v>
      </c>
      <c r="T431" s="11" t="s">
        <v>48</v>
      </c>
      <c r="U431" s="12" t="n">
        <v>431.22</v>
      </c>
      <c r="W431" s="12" t="n">
        <v>0</v>
      </c>
      <c r="X431" s="11" t="s">
        <v>532</v>
      </c>
      <c r="Z431" s="0" t="str">
        <f aca="false">IF($T431="","",IFERROR(INDEX('Resumo Grupos'!$AC$3:$AC$200,MATCH($T431,'Resumo Grupos'!$AB$3:$AB$200,0)),"n/d"))</f>
        <v>Mercadoria</v>
      </c>
      <c r="AA431" s="0" t="str">
        <f aca="false">IF($T431="","",IF(COUNTIF('Resumo Grupos'!$AE$3:$AE$40,$T431)&gt;0,"NAO","SIM"))</f>
        <v>SIM</v>
      </c>
      <c r="AB431" s="0" t="str">
        <f aca="false">IFERROR(INDEX('Mov Entradas (Rel 10497)'!$L:$L,MATCH(AC431,'Mov Entradas (Rel 10497)'!$I:$I,0)),"nao encontrado")</f>
        <v>BATATAS FRITAS LUTOS</v>
      </c>
      <c r="AC431" s="0" t="n">
        <v>517670</v>
      </c>
    </row>
    <row r="432" customFormat="false" ht="45.75" hidden="false" customHeight="true" outlineLevel="0" collapsed="false">
      <c r="A432" s="9" t="n">
        <v>2</v>
      </c>
      <c r="B432" s="10" t="n">
        <v>46183</v>
      </c>
      <c r="C432" s="10" t="n">
        <v>46196</v>
      </c>
      <c r="D432" s="9" t="n">
        <v>1635</v>
      </c>
      <c r="E432" s="11" t="s">
        <v>128</v>
      </c>
      <c r="F432" s="9" t="n">
        <v>24</v>
      </c>
      <c r="G432" s="11" t="s">
        <v>51</v>
      </c>
      <c r="H432" s="9" t="n">
        <v>2110101</v>
      </c>
      <c r="I432" s="11" t="s">
        <v>43</v>
      </c>
      <c r="J432" s="9" t="n">
        <v>1231128</v>
      </c>
      <c r="L432" s="9" t="n">
        <v>518105</v>
      </c>
      <c r="M432" s="11" t="s">
        <v>52</v>
      </c>
      <c r="N432" s="11" t="s">
        <v>37</v>
      </c>
      <c r="P432" s="9" t="n">
        <v>113</v>
      </c>
      <c r="Q432" s="11" t="s">
        <v>46</v>
      </c>
      <c r="R432" s="11" t="s">
        <v>47</v>
      </c>
      <c r="S432" s="9" t="n">
        <v>1130101</v>
      </c>
      <c r="T432" s="11" t="s">
        <v>48</v>
      </c>
      <c r="U432" s="12" t="n">
        <v>642.4</v>
      </c>
      <c r="W432" s="12" t="n">
        <v>0</v>
      </c>
      <c r="X432" s="11" t="s">
        <v>533</v>
      </c>
      <c r="Z432" s="0" t="str">
        <f aca="false">IF($T432="","",IFERROR(INDEX('Resumo Grupos'!$AC$3:$AC$200,MATCH($T432,'Resumo Grupos'!$AB$3:$AB$200,0)),"n/d"))</f>
        <v>Mercadoria</v>
      </c>
      <c r="AA432" s="0" t="str">
        <f aca="false">IF($T432="","",IF(COUNTIF('Resumo Grupos'!$AE$3:$AE$40,$T432)&gt;0,"NAO","SIM"))</f>
        <v>SIM</v>
      </c>
      <c r="AB432" s="0" t="str">
        <f aca="false">IFERROR(INDEX('Mov Entradas (Rel 10497)'!$L:$L,MATCH(AC432,'Mov Entradas (Rel 10497)'!$I:$I,0)),"nao encontrado")</f>
        <v>FILE PEITOA GRANEL</v>
      </c>
      <c r="AC432" s="0" t="n">
        <v>518105</v>
      </c>
    </row>
    <row r="433" customFormat="false" ht="45.75" hidden="false" customHeight="true" outlineLevel="0" collapsed="false">
      <c r="A433" s="9" t="n">
        <v>2</v>
      </c>
      <c r="B433" s="10" t="n">
        <v>46181</v>
      </c>
      <c r="C433" s="10" t="n">
        <v>46196</v>
      </c>
      <c r="D433" s="9" t="n">
        <v>1705</v>
      </c>
      <c r="E433" s="11" t="s">
        <v>130</v>
      </c>
      <c r="F433" s="9" t="n">
        <v>24</v>
      </c>
      <c r="G433" s="11" t="s">
        <v>51</v>
      </c>
      <c r="H433" s="9" t="n">
        <v>2110101</v>
      </c>
      <c r="I433" s="11" t="s">
        <v>43</v>
      </c>
      <c r="J433" s="9" t="n">
        <v>1222933</v>
      </c>
      <c r="L433" s="9" t="n">
        <v>162649</v>
      </c>
      <c r="M433" s="11" t="s">
        <v>52</v>
      </c>
      <c r="N433" s="11" t="s">
        <v>45</v>
      </c>
      <c r="P433" s="9" t="n">
        <v>113</v>
      </c>
      <c r="Q433" s="11" t="s">
        <v>46</v>
      </c>
      <c r="R433" s="11" t="s">
        <v>47</v>
      </c>
      <c r="S433" s="9" t="n">
        <v>1130101</v>
      </c>
      <c r="T433" s="11" t="s">
        <v>48</v>
      </c>
      <c r="U433" s="12" t="n">
        <v>224.17</v>
      </c>
      <c r="W433" s="12" t="n">
        <v>0</v>
      </c>
      <c r="X433" s="11" t="s">
        <v>534</v>
      </c>
      <c r="Z433" s="0" t="str">
        <f aca="false">IF($T433="","",IFERROR(INDEX('Resumo Grupos'!$AC$3:$AC$200,MATCH($T433,'Resumo Grupos'!$AB$3:$AB$200,0)),"n/d"))</f>
        <v>Mercadoria</v>
      </c>
      <c r="AA433" s="0" t="str">
        <f aca="false">IF($T433="","",IF(COUNTIF('Resumo Grupos'!$AE$3:$AE$40,$T433)&gt;0,"NAO","SIM"))</f>
        <v>SIM</v>
      </c>
      <c r="AB433" s="0" t="str">
        <f aca="false">IFERROR(INDEX('Mov Entradas (Rel 10497)'!$L:$L,MATCH(AC433,'Mov Entradas (Rel 10497)'!$I:$I,0)),"nao encontrado")</f>
        <v>REFRI. COCA COLA RETORNAVEL 2L</v>
      </c>
      <c r="AC433" s="0" t="n">
        <v>1867172</v>
      </c>
    </row>
    <row r="434" customFormat="false" ht="45.75" hidden="false" customHeight="true" outlineLevel="0" collapsed="false">
      <c r="A434" s="9" t="n">
        <v>2</v>
      </c>
      <c r="B434" s="10" t="n">
        <v>46181</v>
      </c>
      <c r="C434" s="10" t="n">
        <v>46196</v>
      </c>
      <c r="D434" s="9" t="n">
        <v>1705</v>
      </c>
      <c r="E434" s="11" t="s">
        <v>130</v>
      </c>
      <c r="F434" s="9" t="n">
        <v>24</v>
      </c>
      <c r="G434" s="11" t="s">
        <v>51</v>
      </c>
      <c r="H434" s="9" t="n">
        <v>2110101</v>
      </c>
      <c r="I434" s="11" t="s">
        <v>43</v>
      </c>
      <c r="J434" s="9" t="n">
        <v>1222988</v>
      </c>
      <c r="L434" s="9" t="n">
        <v>1868653</v>
      </c>
      <c r="M434" s="11" t="s">
        <v>52</v>
      </c>
      <c r="N434" s="11" t="s">
        <v>37</v>
      </c>
      <c r="P434" s="9" t="n">
        <v>113</v>
      </c>
      <c r="Q434" s="11" t="s">
        <v>46</v>
      </c>
      <c r="R434" s="11" t="s">
        <v>47</v>
      </c>
      <c r="S434" s="9" t="n">
        <v>1130101</v>
      </c>
      <c r="T434" s="11" t="s">
        <v>48</v>
      </c>
      <c r="U434" s="12" t="n">
        <v>1134.74</v>
      </c>
      <c r="W434" s="12" t="n">
        <v>0</v>
      </c>
      <c r="X434" s="11" t="s">
        <v>535</v>
      </c>
      <c r="Z434" s="0" t="str">
        <f aca="false">IF($T434="","",IFERROR(INDEX('Resumo Grupos'!$AC$3:$AC$200,MATCH($T434,'Resumo Grupos'!$AB$3:$AB$200,0)),"n/d"))</f>
        <v>Mercadoria</v>
      </c>
      <c r="AA434" s="0" t="str">
        <f aca="false">IF($T434="","",IF(COUNTIF('Resumo Grupos'!$AE$3:$AE$40,$T434)&gt;0,"NAO","SIM"))</f>
        <v>SIM</v>
      </c>
      <c r="AB434" s="0" t="str">
        <f aca="false">IFERROR(INDEX('Mov Entradas (Rel 10497)'!$L:$L,MATCH(AC434,'Mov Entradas (Rel 10497)'!$I:$I,0)),"nao encontrado")</f>
        <v>REFRI. FANTA UVA 1,5</v>
      </c>
      <c r="AC434" s="0" t="n">
        <v>1868653</v>
      </c>
    </row>
    <row r="435" customFormat="false" ht="36.75" hidden="false" customHeight="true" outlineLevel="0" collapsed="false">
      <c r="A435" s="9" t="n">
        <v>2</v>
      </c>
      <c r="B435" s="10" t="n">
        <v>46188</v>
      </c>
      <c r="C435" s="10" t="n">
        <v>46196</v>
      </c>
      <c r="D435" s="9" t="n">
        <v>1723</v>
      </c>
      <c r="E435" s="11" t="s">
        <v>371</v>
      </c>
      <c r="F435" s="9" t="n">
        <v>24</v>
      </c>
      <c r="G435" s="11" t="s">
        <v>51</v>
      </c>
      <c r="H435" s="9" t="n">
        <v>2110101</v>
      </c>
      <c r="I435" s="11" t="s">
        <v>43</v>
      </c>
      <c r="J435" s="9" t="n">
        <v>1257108</v>
      </c>
      <c r="L435" s="9" t="n">
        <v>171507</v>
      </c>
      <c r="M435" s="11" t="s">
        <v>52</v>
      </c>
      <c r="N435" s="11" t="s">
        <v>37</v>
      </c>
      <c r="P435" s="9" t="n">
        <v>113</v>
      </c>
      <c r="Q435" s="11" t="s">
        <v>46</v>
      </c>
      <c r="R435" s="11" t="s">
        <v>47</v>
      </c>
      <c r="S435" s="9" t="n">
        <v>1130101</v>
      </c>
      <c r="T435" s="11" t="s">
        <v>48</v>
      </c>
      <c r="U435" s="12" t="n">
        <v>4757.6</v>
      </c>
      <c r="W435" s="12" t="n">
        <v>0</v>
      </c>
      <c r="X435" s="11" t="s">
        <v>536</v>
      </c>
      <c r="Z435" s="0" t="str">
        <f aca="false">IF($T435="","",IFERROR(INDEX('Resumo Grupos'!$AC$3:$AC$200,MATCH($T435,'Resumo Grupos'!$AB$3:$AB$200,0)),"n/d"))</f>
        <v>Mercadoria</v>
      </c>
      <c r="AA435" s="0" t="str">
        <f aca="false">IF($T435="","",IF(COUNTIF('Resumo Grupos'!$AE$3:$AE$40,$T435)&gt;0,"NAO","SIM"))</f>
        <v>SIM</v>
      </c>
      <c r="AB435" s="0" t="str">
        <f aca="false">IFERROR(INDEX('Mov Entradas (Rel 10497)'!$L:$L,MATCH(AC435,'Mov Entradas (Rel 10497)'!$I:$I,0)),"nao encontrado")</f>
        <v>TRASEIRO DE BOI L1</v>
      </c>
      <c r="AC435" s="0" t="n">
        <v>171507</v>
      </c>
    </row>
    <row r="436" customFormat="false" ht="36.75" hidden="false" customHeight="true" outlineLevel="0" collapsed="false">
      <c r="A436" s="9" t="n">
        <v>2</v>
      </c>
      <c r="B436" s="10" t="n">
        <v>46196</v>
      </c>
      <c r="C436" s="10" t="n">
        <v>46196</v>
      </c>
      <c r="D436" s="9" t="n">
        <v>1037</v>
      </c>
      <c r="E436" s="11" t="s">
        <v>134</v>
      </c>
      <c r="F436" s="9" t="n">
        <v>34</v>
      </c>
      <c r="G436" s="11" t="s">
        <v>55</v>
      </c>
      <c r="H436" s="9" t="n">
        <v>2110101</v>
      </c>
      <c r="I436" s="11" t="s">
        <v>43</v>
      </c>
      <c r="J436" s="9" t="n">
        <v>1295656</v>
      </c>
      <c r="L436" s="9" t="n">
        <v>173461</v>
      </c>
      <c r="M436" s="11" t="s">
        <v>52</v>
      </c>
      <c r="N436" s="11" t="s">
        <v>45</v>
      </c>
      <c r="P436" s="9" t="n">
        <v>113</v>
      </c>
      <c r="Q436" s="11" t="s">
        <v>46</v>
      </c>
      <c r="R436" s="11" t="s">
        <v>47</v>
      </c>
      <c r="S436" s="9" t="n">
        <v>1130101</v>
      </c>
      <c r="T436" s="11" t="s">
        <v>48</v>
      </c>
      <c r="U436" s="12" t="n">
        <v>710</v>
      </c>
      <c r="W436" s="12" t="n">
        <v>0</v>
      </c>
      <c r="X436" s="11" t="s">
        <v>537</v>
      </c>
      <c r="Z436" s="0" t="str">
        <f aca="false">IF($T436="","",IFERROR(INDEX('Resumo Grupos'!$AC$3:$AC$200,MATCH($T436,'Resumo Grupos'!$AB$3:$AB$200,0)),"n/d"))</f>
        <v>Mercadoria</v>
      </c>
      <c r="AA436" s="0" t="str">
        <f aca="false">IF($T436="","",IF(COUNTIF('Resumo Grupos'!$AE$3:$AE$40,$T436)&gt;0,"NAO","SIM"))</f>
        <v>SIM</v>
      </c>
      <c r="AB436" s="0" t="str">
        <f aca="false">IFERROR(INDEX('Mov Entradas (Rel 10497)'!$L:$L,MATCH(AC436,'Mov Entradas (Rel 10497)'!$I:$I,0)),"nao encontrado")</f>
        <v>ABACATE KG</v>
      </c>
      <c r="AC436" s="0" t="n">
        <v>2507</v>
      </c>
    </row>
    <row r="437" customFormat="false" ht="36.75" hidden="false" customHeight="true" outlineLevel="0" collapsed="false">
      <c r="A437" s="9" t="n">
        <v>2</v>
      </c>
      <c r="B437" s="10" t="n">
        <v>46196</v>
      </c>
      <c r="C437" s="10" t="n">
        <v>46196</v>
      </c>
      <c r="D437" s="9" t="n">
        <v>515</v>
      </c>
      <c r="E437" s="11" t="s">
        <v>137</v>
      </c>
      <c r="F437" s="9" t="n">
        <v>34</v>
      </c>
      <c r="G437" s="11" t="s">
        <v>55</v>
      </c>
      <c r="H437" s="9" t="n">
        <v>2110405</v>
      </c>
      <c r="I437" s="11" t="s">
        <v>56</v>
      </c>
      <c r="J437" s="9" t="n">
        <v>1295567</v>
      </c>
      <c r="L437" s="9" t="n">
        <v>173441</v>
      </c>
      <c r="M437" s="11" t="s">
        <v>52</v>
      </c>
      <c r="N437" s="11" t="s">
        <v>45</v>
      </c>
      <c r="P437" s="9" t="n">
        <v>101</v>
      </c>
      <c r="Q437" s="11" t="s">
        <v>57</v>
      </c>
      <c r="R437" s="11" t="s">
        <v>516</v>
      </c>
      <c r="S437" s="9" t="n">
        <v>22103</v>
      </c>
      <c r="T437" s="11" t="s">
        <v>516</v>
      </c>
      <c r="U437" s="12" t="n">
        <v>7000</v>
      </c>
      <c r="W437" s="12" t="n">
        <v>0</v>
      </c>
      <c r="X437" s="11" t="s">
        <v>538</v>
      </c>
      <c r="Z437" s="0" t="str">
        <f aca="false">IF($T437="","",IFERROR(INDEX('Resumo Grupos'!$AC$3:$AC$200,MATCH($T437,'Resumo Grupos'!$AB$3:$AB$200,0)),"n/d"))</f>
        <v>Despesa</v>
      </c>
      <c r="AA437" s="0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9" t="n">
        <v>2</v>
      </c>
      <c r="B438" s="10" t="n">
        <v>46195</v>
      </c>
      <c r="C438" s="10" t="n">
        <v>46196</v>
      </c>
      <c r="D438" s="9" t="n">
        <v>10035</v>
      </c>
      <c r="E438" s="11" t="s">
        <v>86</v>
      </c>
      <c r="F438" s="9" t="n">
        <v>34</v>
      </c>
      <c r="G438" s="11" t="s">
        <v>55</v>
      </c>
      <c r="H438" s="9" t="n">
        <v>2110101</v>
      </c>
      <c r="I438" s="11" t="s">
        <v>43</v>
      </c>
      <c r="J438" s="9" t="n">
        <v>1289205</v>
      </c>
      <c r="L438" s="9" t="n">
        <v>315</v>
      </c>
      <c r="M438" s="11" t="s">
        <v>52</v>
      </c>
      <c r="N438" s="11" t="s">
        <v>37</v>
      </c>
      <c r="P438" s="9" t="n">
        <v>113</v>
      </c>
      <c r="Q438" s="11" t="s">
        <v>46</v>
      </c>
      <c r="R438" s="11" t="s">
        <v>47</v>
      </c>
      <c r="S438" s="9" t="n">
        <v>1130101</v>
      </c>
      <c r="T438" s="11" t="s">
        <v>48</v>
      </c>
      <c r="U438" s="12" t="n">
        <v>264</v>
      </c>
      <c r="W438" s="12" t="n">
        <v>0</v>
      </c>
      <c r="X438" s="11" t="s">
        <v>539</v>
      </c>
      <c r="Z438" s="0" t="str">
        <f aca="false">IF($T438="","",IFERROR(INDEX('Resumo Grupos'!$AC$3:$AC$200,MATCH($T438,'Resumo Grupos'!$AB$3:$AB$200,0)),"n/d"))</f>
        <v>Mercadoria</v>
      </c>
      <c r="AA438" s="0" t="str">
        <f aca="false">IF($T438="","",IF(COUNTIF('Resumo Grupos'!$AE$3:$AE$40,$T438)&gt;0,"NAO","SIM"))</f>
        <v>SIM</v>
      </c>
      <c r="AB438" s="0" t="str">
        <f aca="false">IFERROR(INDEX('Mov Entradas (Rel 10497)'!$L:$L,MATCH(AC438,'Mov Entradas (Rel 10497)'!$I:$I,0)),"nao encontrado")</f>
        <v>CARVAO VEGETAL 3KG</v>
      </c>
      <c r="AC438" s="0" t="n">
        <v>315</v>
      </c>
    </row>
    <row r="439" customFormat="false" ht="45.75" hidden="false" customHeight="true" outlineLevel="0" collapsed="false">
      <c r="A439" s="9" t="n">
        <v>2</v>
      </c>
      <c r="B439" s="10" t="n">
        <v>46191</v>
      </c>
      <c r="C439" s="10" t="n">
        <v>46196</v>
      </c>
      <c r="D439" s="9" t="n">
        <v>1668</v>
      </c>
      <c r="E439" s="11" t="s">
        <v>151</v>
      </c>
      <c r="F439" s="9" t="n">
        <v>24</v>
      </c>
      <c r="G439" s="11" t="s">
        <v>51</v>
      </c>
      <c r="H439" s="9" t="n">
        <v>2110101</v>
      </c>
      <c r="I439" s="11" t="s">
        <v>43</v>
      </c>
      <c r="J439" s="9" t="n">
        <v>1269061</v>
      </c>
      <c r="L439" s="9" t="n">
        <v>729265</v>
      </c>
      <c r="M439" s="11" t="s">
        <v>52</v>
      </c>
      <c r="N439" s="11" t="s">
        <v>37</v>
      </c>
      <c r="P439" s="9" t="n">
        <v>113</v>
      </c>
      <c r="Q439" s="11" t="s">
        <v>46</v>
      </c>
      <c r="R439" s="11" t="s">
        <v>47</v>
      </c>
      <c r="S439" s="9" t="n">
        <v>1130101</v>
      </c>
      <c r="T439" s="11" t="s">
        <v>48</v>
      </c>
      <c r="U439" s="12" t="n">
        <v>326.83</v>
      </c>
      <c r="W439" s="12" t="n">
        <v>0</v>
      </c>
      <c r="X439" s="11" t="s">
        <v>540</v>
      </c>
      <c r="Z439" s="0" t="str">
        <f aca="false">IF($T439="","",IFERROR(INDEX('Resumo Grupos'!$AC$3:$AC$200,MATCH($T439,'Resumo Grupos'!$AB$3:$AB$200,0)),"n/d"))</f>
        <v>Mercadoria</v>
      </c>
      <c r="AA439" s="0" t="str">
        <f aca="false">IF($T439="","",IF(COUNTIF('Resumo Grupos'!$AE$3:$AE$40,$T439)&gt;0,"NAO","SIM"))</f>
        <v>SIM</v>
      </c>
      <c r="AB439" s="0" t="str">
        <f aca="false">IFERROR(INDEX('Mov Entradas (Rel 10497)'!$L:$L,MATCH(AC439,'Mov Entradas (Rel 10497)'!$I:$I,0)),"nao encontrado")</f>
        <v>GOIABAD PALMEIR 250G</v>
      </c>
      <c r="AC439" s="0" t="n">
        <v>729265</v>
      </c>
    </row>
    <row r="440" customFormat="false" ht="36.75" hidden="false" customHeight="true" outlineLevel="0" collapsed="false">
      <c r="A440" s="9" t="n">
        <v>2</v>
      </c>
      <c r="B440" s="10" t="n">
        <v>46196</v>
      </c>
      <c r="C440" s="10" t="n">
        <v>46196</v>
      </c>
      <c r="D440" s="9" t="n">
        <v>48</v>
      </c>
      <c r="E440" s="11" t="s">
        <v>153</v>
      </c>
      <c r="F440" s="9" t="n">
        <v>34</v>
      </c>
      <c r="G440" s="11" t="s">
        <v>55</v>
      </c>
      <c r="H440" s="9" t="n">
        <v>2110101</v>
      </c>
      <c r="I440" s="11" t="s">
        <v>43</v>
      </c>
      <c r="J440" s="9" t="n">
        <v>1295652</v>
      </c>
      <c r="L440" s="9" t="n">
        <v>2507</v>
      </c>
      <c r="M440" s="11" t="s">
        <v>52</v>
      </c>
      <c r="N440" s="11" t="s">
        <v>37</v>
      </c>
      <c r="P440" s="9" t="n">
        <v>113</v>
      </c>
      <c r="Q440" s="11" t="s">
        <v>46</v>
      </c>
      <c r="R440" s="11" t="s">
        <v>47</v>
      </c>
      <c r="S440" s="9" t="n">
        <v>1130101</v>
      </c>
      <c r="T440" s="11" t="s">
        <v>48</v>
      </c>
      <c r="U440" s="12" t="n">
        <v>2140.44</v>
      </c>
      <c r="W440" s="12" t="n">
        <v>0</v>
      </c>
      <c r="X440" s="11" t="s">
        <v>252</v>
      </c>
      <c r="Z440" s="0" t="str">
        <f aca="false">IF($T440="","",IFERROR(INDEX('Resumo Grupos'!$AC$3:$AC$200,MATCH($T440,'Resumo Grupos'!$AB$3:$AB$200,0)),"n/d"))</f>
        <v>Mercadoria</v>
      </c>
      <c r="AA440" s="0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9" t="n">
        <v>2</v>
      </c>
      <c r="B441" s="10" t="n">
        <v>46190</v>
      </c>
      <c r="C441" s="10" t="n">
        <v>46196</v>
      </c>
      <c r="D441" s="9" t="n">
        <v>1899</v>
      </c>
      <c r="E441" s="11" t="s">
        <v>204</v>
      </c>
      <c r="F441" s="9" t="n">
        <v>24</v>
      </c>
      <c r="G441" s="11" t="s">
        <v>51</v>
      </c>
      <c r="H441" s="9" t="n">
        <v>2110101</v>
      </c>
      <c r="I441" s="11" t="s">
        <v>43</v>
      </c>
      <c r="J441" s="9" t="n">
        <v>1264871</v>
      </c>
      <c r="L441" s="9" t="n">
        <v>669</v>
      </c>
      <c r="M441" s="11" t="s">
        <v>52</v>
      </c>
      <c r="N441" s="11" t="s">
        <v>37</v>
      </c>
      <c r="P441" s="9" t="n">
        <v>113</v>
      </c>
      <c r="Q441" s="11" t="s">
        <v>46</v>
      </c>
      <c r="R441" s="11" t="s">
        <v>47</v>
      </c>
      <c r="S441" s="9" t="n">
        <v>1130101</v>
      </c>
      <c r="T441" s="11" t="s">
        <v>48</v>
      </c>
      <c r="U441" s="12" t="n">
        <v>304.75</v>
      </c>
      <c r="W441" s="12" t="n">
        <v>0</v>
      </c>
      <c r="X441" s="11" t="s">
        <v>541</v>
      </c>
      <c r="Z441" s="0" t="str">
        <f aca="false">IF($T441="","",IFERROR(INDEX('Resumo Grupos'!$AC$3:$AC$200,MATCH($T441,'Resumo Grupos'!$AB$3:$AB$200,0)),"n/d"))</f>
        <v>Mercadoria</v>
      </c>
      <c r="AA441" s="0" t="str">
        <f aca="false">IF($T441="","",IF(COUNTIF('Resumo Grupos'!$AE$3:$AE$40,$T441)&gt;0,"NAO","SIM"))</f>
        <v>SIM</v>
      </c>
      <c r="AB441" s="0" t="str">
        <f aca="false">IFERROR(INDEX('Mov Entradas (Rel 10497)'!$L:$L,MATCH(AC441,'Mov Entradas (Rel 10497)'!$I:$I,0)),"nao encontrado")</f>
        <v>PAO DE FORMA REAL MA</v>
      </c>
      <c r="AC441" s="0" t="n">
        <v>669</v>
      </c>
    </row>
    <row r="442" customFormat="false" ht="27.75" hidden="false" customHeight="true" outlineLevel="0" collapsed="false">
      <c r="A442" s="9" t="n">
        <v>2</v>
      </c>
      <c r="B442" s="10" t="n">
        <v>46196</v>
      </c>
      <c r="C442" s="10" t="n">
        <v>46196</v>
      </c>
      <c r="D442" s="9" t="n">
        <v>0</v>
      </c>
      <c r="E442" s="11" t="s">
        <v>109</v>
      </c>
      <c r="F442" s="9" t="n">
        <v>17</v>
      </c>
      <c r="G442" s="11" t="s">
        <v>110</v>
      </c>
      <c r="H442" s="9" t="n">
        <v>1110101</v>
      </c>
      <c r="I442" s="11" t="s">
        <v>111</v>
      </c>
      <c r="J442" s="9" t="n">
        <v>1300425</v>
      </c>
      <c r="L442" s="9" t="n">
        <v>1300425</v>
      </c>
      <c r="M442" s="11" t="s">
        <v>52</v>
      </c>
      <c r="N442" s="11" t="s">
        <v>112</v>
      </c>
      <c r="P442" s="9" t="n">
        <v>113</v>
      </c>
      <c r="Q442" s="11" t="s">
        <v>46</v>
      </c>
      <c r="R442" s="11" t="s">
        <v>71</v>
      </c>
      <c r="S442" s="9" t="n">
        <v>4210316</v>
      </c>
      <c r="T442" s="11" t="s">
        <v>159</v>
      </c>
      <c r="U442" s="12" t="n">
        <v>50</v>
      </c>
      <c r="W442" s="12" t="n">
        <v>50</v>
      </c>
      <c r="X442" s="11" t="s">
        <v>263</v>
      </c>
      <c r="Z442" s="0" t="str">
        <f aca="false">IF($T442="","",IFERROR(INDEX('Resumo Grupos'!$AC$3:$AC$200,MATCH($T442,'Resumo Grupos'!$AB$3:$AB$200,0)),"n/d"))</f>
        <v>Salários</v>
      </c>
      <c r="AA442" s="0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9" t="n">
        <v>2</v>
      </c>
      <c r="B443" s="10" t="n">
        <v>46196</v>
      </c>
      <c r="C443" s="10" t="n">
        <v>46196</v>
      </c>
      <c r="D443" s="9" t="n">
        <v>0</v>
      </c>
      <c r="E443" s="11" t="s">
        <v>109</v>
      </c>
      <c r="F443" s="9" t="n">
        <v>17</v>
      </c>
      <c r="G443" s="11" t="s">
        <v>110</v>
      </c>
      <c r="H443" s="9" t="n">
        <v>1110101</v>
      </c>
      <c r="I443" s="11" t="s">
        <v>111</v>
      </c>
      <c r="J443" s="9" t="n">
        <v>1300427</v>
      </c>
      <c r="L443" s="9" t="n">
        <v>1300427</v>
      </c>
      <c r="M443" s="11" t="s">
        <v>52</v>
      </c>
      <c r="N443" s="11" t="s">
        <v>112</v>
      </c>
      <c r="P443" s="9" t="n">
        <v>113</v>
      </c>
      <c r="Q443" s="11" t="s">
        <v>46</v>
      </c>
      <c r="R443" s="11" t="s">
        <v>71</v>
      </c>
      <c r="S443" s="9" t="n">
        <v>4210314</v>
      </c>
      <c r="T443" s="11" t="s">
        <v>113</v>
      </c>
      <c r="U443" s="12" t="n">
        <v>70</v>
      </c>
      <c r="W443" s="12" t="n">
        <v>70</v>
      </c>
      <c r="X443" s="11" t="s">
        <v>115</v>
      </c>
      <c r="Z443" s="0" t="str">
        <f aca="false">IF($T443="","",IFERROR(INDEX('Resumo Grupos'!$AC$3:$AC$200,MATCH($T443,'Resumo Grupos'!$AB$3:$AB$200,0)),"n/d"))</f>
        <v>Despesa</v>
      </c>
      <c r="AA443" s="0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9" t="n">
        <v>2</v>
      </c>
      <c r="B444" s="10" t="n">
        <v>46196</v>
      </c>
      <c r="C444" s="10" t="n">
        <v>46196</v>
      </c>
      <c r="D444" s="9" t="n">
        <v>0</v>
      </c>
      <c r="E444" s="11" t="s">
        <v>109</v>
      </c>
      <c r="F444" s="9" t="n">
        <v>17</v>
      </c>
      <c r="G444" s="11" t="s">
        <v>110</v>
      </c>
      <c r="H444" s="9" t="n">
        <v>1110101</v>
      </c>
      <c r="I444" s="11" t="s">
        <v>111</v>
      </c>
      <c r="J444" s="9" t="n">
        <v>1361233</v>
      </c>
      <c r="L444" s="9" t="n">
        <v>1361233</v>
      </c>
      <c r="M444" s="11" t="s">
        <v>52</v>
      </c>
      <c r="N444" s="11" t="s">
        <v>112</v>
      </c>
      <c r="P444" s="9" t="n">
        <v>113</v>
      </c>
      <c r="Q444" s="11" t="s">
        <v>46</v>
      </c>
      <c r="R444" s="11" t="s">
        <v>116</v>
      </c>
      <c r="S444" s="9" t="n">
        <v>1110203</v>
      </c>
      <c r="T444" s="11" t="s">
        <v>117</v>
      </c>
      <c r="U444" s="12" t="n">
        <v>2550</v>
      </c>
      <c r="W444" s="12" t="n">
        <v>2550</v>
      </c>
      <c r="X444" s="11" t="s">
        <v>542</v>
      </c>
      <c r="Z444" s="0" t="str">
        <f aca="false">IF($T444="","",IFERROR(INDEX('Resumo Grupos'!$AC$3:$AC$200,MATCH($T444,'Resumo Grupos'!$AB$3:$AB$200,0)),"n/d"))</f>
        <v>Despesa</v>
      </c>
      <c r="AA444" s="0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9" t="n">
        <v>2</v>
      </c>
      <c r="B445" s="10" t="n">
        <v>46197</v>
      </c>
      <c r="C445" s="10" t="n">
        <v>46197</v>
      </c>
      <c r="D445" s="9" t="n">
        <v>10086</v>
      </c>
      <c r="E445" s="11" t="s">
        <v>502</v>
      </c>
      <c r="F445" s="9" t="n">
        <v>13</v>
      </c>
      <c r="G445" s="11" t="s">
        <v>135</v>
      </c>
      <c r="H445" s="9" t="n">
        <v>2110101</v>
      </c>
      <c r="I445" s="11" t="s">
        <v>43</v>
      </c>
      <c r="J445" s="9" t="n">
        <v>1300876</v>
      </c>
      <c r="L445" s="9" t="n">
        <v>37</v>
      </c>
      <c r="M445" s="11" t="s">
        <v>52</v>
      </c>
      <c r="N445" s="11" t="s">
        <v>37</v>
      </c>
      <c r="P445" s="9" t="n">
        <v>113</v>
      </c>
      <c r="Q445" s="11" t="s">
        <v>46</v>
      </c>
      <c r="R445" s="11" t="s">
        <v>47</v>
      </c>
      <c r="S445" s="9" t="n">
        <v>1130101</v>
      </c>
      <c r="T445" s="11" t="s">
        <v>48</v>
      </c>
      <c r="U445" s="12" t="n">
        <v>120</v>
      </c>
      <c r="W445" s="12" t="n">
        <v>120</v>
      </c>
      <c r="X445" s="11" t="s">
        <v>543</v>
      </c>
      <c r="Z445" s="0" t="str">
        <f aca="false">IF($T445="","",IFERROR(INDEX('Resumo Grupos'!$AC$3:$AC$200,MATCH($T445,'Resumo Grupos'!$AB$3:$AB$200,0)),"n/d"))</f>
        <v>Mercadoria</v>
      </c>
      <c r="AA445" s="0" t="str">
        <f aca="false">IF($T445="","",IF(COUNTIF('Resumo Grupos'!$AE$3:$AE$40,$T445)&gt;0,"NAO","SIM"))</f>
        <v>SIM</v>
      </c>
      <c r="AB445" s="0" t="str">
        <f aca="false">IFERROR(INDEX('Mov Entradas (Rel 10497)'!$L:$L,MATCH(AC445,'Mov Entradas (Rel 10497)'!$I:$I,0)),"nao encontrado")</f>
        <v>BOLO MIYAZAKI GRANDE</v>
      </c>
      <c r="AC445" s="0" t="n">
        <v>37</v>
      </c>
    </row>
    <row r="446" customFormat="false" ht="36.75" hidden="false" customHeight="true" outlineLevel="0" collapsed="false">
      <c r="A446" s="9" t="n">
        <v>2</v>
      </c>
      <c r="B446" s="10" t="n">
        <v>46183</v>
      </c>
      <c r="C446" s="10" t="n">
        <v>46197</v>
      </c>
      <c r="D446" s="9" t="n">
        <v>1789</v>
      </c>
      <c r="E446" s="11" t="s">
        <v>544</v>
      </c>
      <c r="F446" s="9" t="n">
        <v>24</v>
      </c>
      <c r="G446" s="11" t="s">
        <v>51</v>
      </c>
      <c r="H446" s="9" t="n">
        <v>2110405</v>
      </c>
      <c r="I446" s="11" t="s">
        <v>56</v>
      </c>
      <c r="J446" s="9" t="n">
        <v>1232302</v>
      </c>
      <c r="L446" s="9" t="n">
        <v>164086</v>
      </c>
      <c r="M446" s="11" t="s">
        <v>52</v>
      </c>
      <c r="N446" s="11" t="s">
        <v>45</v>
      </c>
      <c r="P446" s="9" t="n">
        <v>113</v>
      </c>
      <c r="Q446" s="11" t="s">
        <v>46</v>
      </c>
      <c r="R446" s="11" t="s">
        <v>430</v>
      </c>
      <c r="S446" s="9" t="n">
        <v>4210112</v>
      </c>
      <c r="T446" s="11" t="s">
        <v>545</v>
      </c>
      <c r="U446" s="12" t="n">
        <v>92.06</v>
      </c>
      <c r="W446" s="12" t="n">
        <v>0</v>
      </c>
      <c r="X446" s="11" t="s">
        <v>546</v>
      </c>
      <c r="Z446" s="0" t="str">
        <f aca="false">IF($T446="","",IFERROR(INDEX('Resumo Grupos'!$AC$3:$AC$200,MATCH($T446,'Resumo Grupos'!$AB$3:$AB$200,0)),"n/d"))</f>
        <v>Despesa</v>
      </c>
      <c r="AA446" s="0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9" t="n">
        <v>2</v>
      </c>
      <c r="B447" s="10" t="n">
        <v>46183</v>
      </c>
      <c r="C447" s="10" t="n">
        <v>46197</v>
      </c>
      <c r="D447" s="9" t="n">
        <v>1789</v>
      </c>
      <c r="E447" s="11" t="s">
        <v>544</v>
      </c>
      <c r="F447" s="9" t="n">
        <v>24</v>
      </c>
      <c r="G447" s="11" t="s">
        <v>51</v>
      </c>
      <c r="H447" s="9" t="n">
        <v>2110405</v>
      </c>
      <c r="I447" s="11" t="s">
        <v>56</v>
      </c>
      <c r="J447" s="9" t="n">
        <v>1232306</v>
      </c>
      <c r="L447" s="9" t="n">
        <v>164088</v>
      </c>
      <c r="M447" s="11" t="s">
        <v>52</v>
      </c>
      <c r="N447" s="11" t="s">
        <v>45</v>
      </c>
      <c r="P447" s="9" t="n">
        <v>113</v>
      </c>
      <c r="Q447" s="11" t="s">
        <v>46</v>
      </c>
      <c r="R447" s="11" t="s">
        <v>430</v>
      </c>
      <c r="S447" s="9" t="n">
        <v>4210112</v>
      </c>
      <c r="T447" s="11" t="s">
        <v>545</v>
      </c>
      <c r="U447" s="12" t="n">
        <v>7996.9</v>
      </c>
      <c r="W447" s="12" t="n">
        <v>0</v>
      </c>
      <c r="X447" s="11" t="s">
        <v>547</v>
      </c>
      <c r="Z447" s="0" t="str">
        <f aca="false">IF($T447="","",IFERROR(INDEX('Resumo Grupos'!$AC$3:$AC$200,MATCH($T447,'Resumo Grupos'!$AB$3:$AB$200,0)),"n/d"))</f>
        <v>Despesa</v>
      </c>
      <c r="AA447" s="0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9" t="n">
        <v>2</v>
      </c>
      <c r="B448" s="10" t="n">
        <v>46170</v>
      </c>
      <c r="C448" s="10" t="n">
        <v>46197</v>
      </c>
      <c r="D448" s="9" t="n">
        <v>1635</v>
      </c>
      <c r="E448" s="11" t="s">
        <v>128</v>
      </c>
      <c r="F448" s="9" t="n">
        <v>24</v>
      </c>
      <c r="G448" s="11" t="s">
        <v>51</v>
      </c>
      <c r="H448" s="9" t="n">
        <v>2110101</v>
      </c>
      <c r="I448" s="11" t="s">
        <v>43</v>
      </c>
      <c r="J448" s="9" t="n">
        <v>1167024</v>
      </c>
      <c r="L448" s="9" t="n">
        <v>517177</v>
      </c>
      <c r="M448" s="11" t="s">
        <v>67</v>
      </c>
      <c r="N448" s="11" t="s">
        <v>37</v>
      </c>
      <c r="P448" s="9" t="n">
        <v>113</v>
      </c>
      <c r="Q448" s="11" t="s">
        <v>46</v>
      </c>
      <c r="R448" s="11" t="s">
        <v>47</v>
      </c>
      <c r="S448" s="9" t="n">
        <v>1130101</v>
      </c>
      <c r="T448" s="11" t="s">
        <v>48</v>
      </c>
      <c r="U448" s="12" t="n">
        <v>823.76</v>
      </c>
      <c r="W448" s="12" t="n">
        <v>0</v>
      </c>
      <c r="X448" s="11" t="s">
        <v>326</v>
      </c>
      <c r="Z448" s="0" t="str">
        <f aca="false">IF($T448="","",IFERROR(INDEX('Resumo Grupos'!$AC$3:$AC$200,MATCH($T448,'Resumo Grupos'!$AB$3:$AB$200,0)),"n/d"))</f>
        <v>Mercadoria</v>
      </c>
      <c r="AA448" s="0" t="str">
        <f aca="false">IF($T448="","",IF(COUNTIF('Resumo Grupos'!$AE$3:$AE$40,$T448)&gt;0,"NAO","SIM"))</f>
        <v>SIM</v>
      </c>
      <c r="AB448" s="0" t="str">
        <f aca="false">IFERROR(INDEX('Mov Entradas (Rel 10497)'!$L:$L,MATCH(AC448,'Mov Entradas (Rel 10497)'!$I:$I,0)),"nao encontrado")</f>
        <v>nao encontrado</v>
      </c>
      <c r="AC448" s="0" t="n">
        <v>517177</v>
      </c>
    </row>
    <row r="449" customFormat="false" ht="45.75" hidden="false" customHeight="true" outlineLevel="0" collapsed="false">
      <c r="A449" s="9" t="n">
        <v>2</v>
      </c>
      <c r="B449" s="10" t="n">
        <v>46185</v>
      </c>
      <c r="C449" s="10" t="n">
        <v>46197</v>
      </c>
      <c r="D449" s="9" t="n">
        <v>1613</v>
      </c>
      <c r="E449" s="11" t="s">
        <v>50</v>
      </c>
      <c r="F449" s="9" t="n">
        <v>24</v>
      </c>
      <c r="G449" s="11" t="s">
        <v>51</v>
      </c>
      <c r="H449" s="9" t="n">
        <v>2110101</v>
      </c>
      <c r="I449" s="11" t="s">
        <v>43</v>
      </c>
      <c r="J449" s="9" t="n">
        <v>1239822</v>
      </c>
      <c r="L449" s="9" t="n">
        <v>1595886</v>
      </c>
      <c r="M449" s="11" t="s">
        <v>52</v>
      </c>
      <c r="N449" s="11" t="s">
        <v>37</v>
      </c>
      <c r="P449" s="9" t="n">
        <v>113</v>
      </c>
      <c r="Q449" s="11" t="s">
        <v>46</v>
      </c>
      <c r="R449" s="11" t="s">
        <v>47</v>
      </c>
      <c r="S449" s="9" t="n">
        <v>1130101</v>
      </c>
      <c r="T449" s="11" t="s">
        <v>48</v>
      </c>
      <c r="U449" s="12" t="n">
        <v>1104.14</v>
      </c>
      <c r="W449" s="12" t="n">
        <v>0</v>
      </c>
      <c r="X449" s="11" t="s">
        <v>548</v>
      </c>
      <c r="Z449" s="0" t="str">
        <f aca="false">IF($T449="","",IFERROR(INDEX('Resumo Grupos'!$AC$3:$AC$200,MATCH($T449,'Resumo Grupos'!$AB$3:$AB$200,0)),"n/d"))</f>
        <v>Mercadoria</v>
      </c>
      <c r="AA449" s="0" t="str">
        <f aca="false">IF($T449="","",IF(COUNTIF('Resumo Grupos'!$AE$3:$AE$40,$T449)&gt;0,"NAO","SIM"))</f>
        <v>SIM</v>
      </c>
      <c r="AB449" s="0" t="str">
        <f aca="false">IFERROR(INDEX('Mov Entradas (Rel 10497)'!$L:$L,MATCH(AC449,'Mov Entradas (Rel 10497)'!$I:$I,0)),"nao encontrado")</f>
        <v>CORACAO DE FRANGO KG</v>
      </c>
      <c r="AC449" s="0" t="n">
        <v>1595886</v>
      </c>
    </row>
    <row r="450" customFormat="false" ht="54.75" hidden="false" customHeight="true" outlineLevel="0" collapsed="false">
      <c r="A450" s="9" t="n">
        <v>2</v>
      </c>
      <c r="B450" s="10" t="n">
        <v>46190</v>
      </c>
      <c r="C450" s="10" t="n">
        <v>46197</v>
      </c>
      <c r="D450" s="9" t="n">
        <v>1621</v>
      </c>
      <c r="E450" s="11" t="s">
        <v>232</v>
      </c>
      <c r="F450" s="9" t="n">
        <v>24</v>
      </c>
      <c r="G450" s="11" t="s">
        <v>51</v>
      </c>
      <c r="H450" s="9" t="n">
        <v>2110101</v>
      </c>
      <c r="I450" s="11" t="s">
        <v>43</v>
      </c>
      <c r="J450" s="9" t="n">
        <v>1265880</v>
      </c>
      <c r="L450" s="9" t="n">
        <v>860219</v>
      </c>
      <c r="M450" s="11" t="s">
        <v>52</v>
      </c>
      <c r="N450" s="11" t="s">
        <v>37</v>
      </c>
      <c r="P450" s="9" t="n">
        <v>113</v>
      </c>
      <c r="Q450" s="11" t="s">
        <v>46</v>
      </c>
      <c r="R450" s="11" t="s">
        <v>47</v>
      </c>
      <c r="S450" s="9" t="n">
        <v>1130101</v>
      </c>
      <c r="T450" s="11" t="s">
        <v>48</v>
      </c>
      <c r="U450" s="12" t="n">
        <v>614.97</v>
      </c>
      <c r="W450" s="12" t="n">
        <v>0</v>
      </c>
      <c r="X450" s="11" t="s">
        <v>549</v>
      </c>
      <c r="Z450" s="0" t="str">
        <f aca="false">IF($T450="","",IFERROR(INDEX('Resumo Grupos'!$AC$3:$AC$200,MATCH($T450,'Resumo Grupos'!$AB$3:$AB$200,0)),"n/d"))</f>
        <v>Mercadoria</v>
      </c>
      <c r="AA450" s="0" t="str">
        <f aca="false">IF($T450="","",IF(COUNTIF('Resumo Grupos'!$AE$3:$AE$40,$T450)&gt;0,"NAO","SIM"))</f>
        <v>SIM</v>
      </c>
      <c r="AB450" s="0" t="str">
        <f aca="false">IFERROR(INDEX('Mov Entradas (Rel 10497)'!$L:$L,MATCH(AC450,'Mov Entradas (Rel 10497)'!$I:$I,0)),"nao encontrado")</f>
        <v>BRAHMA CHOPP 269ML</v>
      </c>
      <c r="AC450" s="0" t="n">
        <v>860219</v>
      </c>
    </row>
    <row r="451" customFormat="false" ht="36.75" hidden="false" customHeight="true" outlineLevel="0" collapsed="false">
      <c r="A451" s="9" t="n">
        <v>2</v>
      </c>
      <c r="B451" s="10" t="n">
        <v>46190</v>
      </c>
      <c r="C451" s="10" t="n">
        <v>46197</v>
      </c>
      <c r="D451" s="9" t="n">
        <v>1621</v>
      </c>
      <c r="E451" s="11" t="s">
        <v>232</v>
      </c>
      <c r="F451" s="9" t="n">
        <v>24</v>
      </c>
      <c r="G451" s="11" t="s">
        <v>51</v>
      </c>
      <c r="H451" s="9" t="n">
        <v>2110101</v>
      </c>
      <c r="I451" s="11" t="s">
        <v>43</v>
      </c>
      <c r="J451" s="9" t="n">
        <v>1265894</v>
      </c>
      <c r="L451" s="9" t="n">
        <v>168786</v>
      </c>
      <c r="M451" s="11" t="s">
        <v>52</v>
      </c>
      <c r="N451" s="11" t="s">
        <v>45</v>
      </c>
      <c r="P451" s="9" t="n">
        <v>113</v>
      </c>
      <c r="Q451" s="11" t="s">
        <v>46</v>
      </c>
      <c r="R451" s="11" t="s">
        <v>47</v>
      </c>
      <c r="S451" s="9" t="n">
        <v>1130101</v>
      </c>
      <c r="T451" s="11" t="s">
        <v>48</v>
      </c>
      <c r="U451" s="12" t="n">
        <v>1.55</v>
      </c>
      <c r="W451" s="12" t="n">
        <v>0</v>
      </c>
      <c r="X451" s="11" t="s">
        <v>550</v>
      </c>
      <c r="Z451" s="0" t="str">
        <f aca="false">IF($T451="","",IFERROR(INDEX('Resumo Grupos'!$AC$3:$AC$200,MATCH($T451,'Resumo Grupos'!$AB$3:$AB$200,0)),"n/d"))</f>
        <v>Mercadoria</v>
      </c>
      <c r="AA451" s="0" t="str">
        <f aca="false">IF($T451="","",IF(COUNTIF('Resumo Grupos'!$AE$3:$AE$40,$T451)&gt;0,"NAO","SIM"))</f>
        <v>SIM</v>
      </c>
      <c r="AB451" s="0" t="str">
        <f aca="false">IFERROR(INDEX('Mov Entradas (Rel 10497)'!$L:$L,MATCH(AC451,'Mov Entradas (Rel 10497)'!$I:$I,0)),"nao encontrado")</f>
        <v>BRAHMA CHOPP 269ML</v>
      </c>
      <c r="AC451" s="0" t="n">
        <v>860219</v>
      </c>
    </row>
    <row r="452" customFormat="false" ht="54.75" hidden="false" customHeight="true" outlineLevel="0" collapsed="false">
      <c r="A452" s="9" t="n">
        <v>2</v>
      </c>
      <c r="B452" s="10" t="n">
        <v>46183</v>
      </c>
      <c r="C452" s="10" t="n">
        <v>46197</v>
      </c>
      <c r="D452" s="9" t="n">
        <v>10019</v>
      </c>
      <c r="E452" s="11" t="s">
        <v>268</v>
      </c>
      <c r="F452" s="9" t="n">
        <v>24</v>
      </c>
      <c r="G452" s="11" t="s">
        <v>51</v>
      </c>
      <c r="H452" s="9" t="n">
        <v>2110101</v>
      </c>
      <c r="I452" s="11" t="s">
        <v>43</v>
      </c>
      <c r="J452" s="9" t="n">
        <v>1231766</v>
      </c>
      <c r="L452" s="9" t="n">
        <v>34450</v>
      </c>
      <c r="M452" s="11" t="s">
        <v>52</v>
      </c>
      <c r="N452" s="11" t="s">
        <v>37</v>
      </c>
      <c r="P452" s="9" t="n">
        <v>113</v>
      </c>
      <c r="Q452" s="11" t="s">
        <v>46</v>
      </c>
      <c r="R452" s="11" t="s">
        <v>47</v>
      </c>
      <c r="S452" s="9" t="n">
        <v>1130101</v>
      </c>
      <c r="T452" s="11" t="s">
        <v>48</v>
      </c>
      <c r="U452" s="12" t="n">
        <v>922.08</v>
      </c>
      <c r="W452" s="12" t="n">
        <v>0</v>
      </c>
      <c r="X452" s="11" t="s">
        <v>551</v>
      </c>
      <c r="Z452" s="0" t="str">
        <f aca="false">IF($T452="","",IFERROR(INDEX('Resumo Grupos'!$AC$3:$AC$200,MATCH($T452,'Resumo Grupos'!$AB$3:$AB$200,0)),"n/d"))</f>
        <v>Mercadoria</v>
      </c>
      <c r="AA452" s="0" t="str">
        <f aca="false">IF($T452="","",IF(COUNTIF('Resumo Grupos'!$AE$3:$AE$40,$T452)&gt;0,"NAO","SIM"))</f>
        <v>SIM</v>
      </c>
      <c r="AB452" s="0" t="str">
        <f aca="false">IFERROR(INDEX('Mov Entradas (Rel 10497)'!$L:$L,MATCH(AC452,'Mov Entradas (Rel 10497)'!$I:$I,0)),"nao encontrado")</f>
        <v>PATINHO BOVINO KG</v>
      </c>
      <c r="AC452" s="0" t="n">
        <v>34450</v>
      </c>
    </row>
    <row r="453" customFormat="false" ht="54.75" hidden="false" customHeight="true" outlineLevel="0" collapsed="false">
      <c r="A453" s="9" t="n">
        <v>2</v>
      </c>
      <c r="B453" s="10" t="n">
        <v>46183</v>
      </c>
      <c r="C453" s="10" t="n">
        <v>46197</v>
      </c>
      <c r="D453" s="9" t="n">
        <v>10019</v>
      </c>
      <c r="E453" s="11" t="s">
        <v>268</v>
      </c>
      <c r="F453" s="9" t="n">
        <v>24</v>
      </c>
      <c r="G453" s="11" t="s">
        <v>51</v>
      </c>
      <c r="H453" s="9" t="n">
        <v>2110101</v>
      </c>
      <c r="I453" s="11" t="s">
        <v>43</v>
      </c>
      <c r="J453" s="9" t="n">
        <v>1231774</v>
      </c>
      <c r="L453" s="9" t="n">
        <v>30199</v>
      </c>
      <c r="M453" s="11" t="s">
        <v>52</v>
      </c>
      <c r="N453" s="11" t="s">
        <v>37</v>
      </c>
      <c r="P453" s="9" t="n">
        <v>113</v>
      </c>
      <c r="Q453" s="11" t="s">
        <v>46</v>
      </c>
      <c r="R453" s="11" t="s">
        <v>47</v>
      </c>
      <c r="S453" s="9" t="n">
        <v>1130101</v>
      </c>
      <c r="T453" s="11" t="s">
        <v>48</v>
      </c>
      <c r="U453" s="12" t="n">
        <v>550.99</v>
      </c>
      <c r="W453" s="12" t="n">
        <v>0</v>
      </c>
      <c r="X453" s="11" t="s">
        <v>552</v>
      </c>
      <c r="Z453" s="0" t="str">
        <f aca="false">IF($T453="","",IFERROR(INDEX('Resumo Grupos'!$AC$3:$AC$200,MATCH($T453,'Resumo Grupos'!$AB$3:$AB$200,0)),"n/d"))</f>
        <v>Mercadoria</v>
      </c>
      <c r="AA453" s="0" t="str">
        <f aca="false">IF($T453="","",IF(COUNTIF('Resumo Grupos'!$AE$3:$AE$40,$T453)&gt;0,"NAO","SIM"))</f>
        <v>SIM</v>
      </c>
      <c r="AB453" s="0" t="str">
        <f aca="false">IFERROR(INDEX('Mov Entradas (Rel 10497)'!$L:$L,MATCH(AC453,'Mov Entradas (Rel 10497)'!$I:$I,0)),"nao encontrado")</f>
        <v>ALCATRA BOVINA 1 KG</v>
      </c>
      <c r="AC453" s="0" t="n">
        <v>30199</v>
      </c>
    </row>
    <row r="454" customFormat="false" ht="54.75" hidden="false" customHeight="true" outlineLevel="0" collapsed="false">
      <c r="A454" s="9" t="n">
        <v>2</v>
      </c>
      <c r="B454" s="10" t="n">
        <v>46190</v>
      </c>
      <c r="C454" s="10" t="n">
        <v>46197</v>
      </c>
      <c r="D454" s="9" t="n">
        <v>10019</v>
      </c>
      <c r="E454" s="11" t="s">
        <v>268</v>
      </c>
      <c r="F454" s="9" t="n">
        <v>24</v>
      </c>
      <c r="G454" s="11" t="s">
        <v>51</v>
      </c>
      <c r="H454" s="9" t="n">
        <v>2110101</v>
      </c>
      <c r="I454" s="11" t="s">
        <v>43</v>
      </c>
      <c r="J454" s="9" t="n">
        <v>1265917</v>
      </c>
      <c r="L454" s="9" t="n">
        <v>168787</v>
      </c>
      <c r="M454" s="11" t="s">
        <v>52</v>
      </c>
      <c r="N454" s="11" t="s">
        <v>45</v>
      </c>
      <c r="P454" s="9" t="n">
        <v>113</v>
      </c>
      <c r="Q454" s="11" t="s">
        <v>46</v>
      </c>
      <c r="R454" s="11" t="s">
        <v>47</v>
      </c>
      <c r="S454" s="9" t="n">
        <v>1130101</v>
      </c>
      <c r="T454" s="11" t="s">
        <v>48</v>
      </c>
      <c r="U454" s="12" t="n">
        <v>551.89</v>
      </c>
      <c r="W454" s="12" t="n">
        <v>0</v>
      </c>
      <c r="X454" s="11" t="s">
        <v>553</v>
      </c>
      <c r="Z454" s="0" t="str">
        <f aca="false">IF($T454="","",IFERROR(INDEX('Resumo Grupos'!$AC$3:$AC$200,MATCH($T454,'Resumo Grupos'!$AB$3:$AB$200,0)),"n/d"))</f>
        <v>Mercadoria</v>
      </c>
      <c r="AA454" s="0" t="str">
        <f aca="false">IF($T454="","",IF(COUNTIF('Resumo Grupos'!$AE$3:$AE$40,$T454)&gt;0,"NAO","SIM"))</f>
        <v>SIM</v>
      </c>
      <c r="AB454" s="0" t="str">
        <f aca="false">IFERROR(INDEX('Mov Entradas (Rel 10497)'!$L:$L,MATCH(AC454,'Mov Entradas (Rel 10497)'!$I:$I,0)),"nao encontrado")</f>
        <v>FIGADO BOVINO KG</v>
      </c>
      <c r="AC454" s="0" t="n">
        <v>30415</v>
      </c>
    </row>
    <row r="455" customFormat="false" ht="54.75" hidden="false" customHeight="true" outlineLevel="0" collapsed="false">
      <c r="A455" s="9" t="n">
        <v>2</v>
      </c>
      <c r="B455" s="10" t="n">
        <v>46190</v>
      </c>
      <c r="C455" s="10" t="n">
        <v>46197</v>
      </c>
      <c r="D455" s="9" t="n">
        <v>1665</v>
      </c>
      <c r="E455" s="11" t="s">
        <v>554</v>
      </c>
      <c r="F455" s="9" t="n">
        <v>24</v>
      </c>
      <c r="G455" s="11" t="s">
        <v>51</v>
      </c>
      <c r="H455" s="9" t="n">
        <v>2110101</v>
      </c>
      <c r="I455" s="11" t="s">
        <v>43</v>
      </c>
      <c r="J455" s="9" t="n">
        <v>1264865</v>
      </c>
      <c r="L455" s="9" t="n">
        <v>132836</v>
      </c>
      <c r="M455" s="11" t="s">
        <v>52</v>
      </c>
      <c r="N455" s="11" t="s">
        <v>37</v>
      </c>
      <c r="P455" s="9" t="n">
        <v>113</v>
      </c>
      <c r="Q455" s="11" t="s">
        <v>46</v>
      </c>
      <c r="R455" s="11" t="s">
        <v>47</v>
      </c>
      <c r="S455" s="9" t="n">
        <v>1130101</v>
      </c>
      <c r="T455" s="11" t="s">
        <v>48</v>
      </c>
      <c r="U455" s="12" t="n">
        <v>194.4</v>
      </c>
      <c r="W455" s="12" t="n">
        <v>0</v>
      </c>
      <c r="X455" s="11" t="s">
        <v>555</v>
      </c>
      <c r="Z455" s="0" t="str">
        <f aca="false">IF($T455="","",IFERROR(INDEX('Resumo Grupos'!$AC$3:$AC$200,MATCH($T455,'Resumo Grupos'!$AB$3:$AB$200,0)),"n/d"))</f>
        <v>Mercadoria</v>
      </c>
      <c r="AA455" s="0" t="str">
        <f aca="false">IF($T455="","",IF(COUNTIF('Resumo Grupos'!$AE$3:$AE$40,$T455)&gt;0,"NAO","SIM"))</f>
        <v>SIM</v>
      </c>
      <c r="AB455" s="0" t="str">
        <f aca="false">IFERROR(INDEX('Mov Entradas (Rel 10497)'!$L:$L,MATCH(AC455,'Mov Entradas (Rel 10497)'!$I:$I,0)),"nao encontrado")</f>
        <v>REQUEIJÃO CATUPIRY C</v>
      </c>
      <c r="AC455" s="0" t="n">
        <v>132836</v>
      </c>
    </row>
    <row r="456" customFormat="false" ht="36.75" hidden="false" customHeight="true" outlineLevel="0" collapsed="false">
      <c r="A456" s="9" t="n">
        <v>2</v>
      </c>
      <c r="B456" s="10" t="n">
        <v>46197</v>
      </c>
      <c r="C456" s="10" t="n">
        <v>46197</v>
      </c>
      <c r="D456" s="9" t="n">
        <v>22</v>
      </c>
      <c r="E456" s="11" t="s">
        <v>245</v>
      </c>
      <c r="F456" s="9" t="n">
        <v>11</v>
      </c>
      <c r="G456" s="11" t="s">
        <v>556</v>
      </c>
      <c r="H456" s="9" t="n">
        <v>2110405</v>
      </c>
      <c r="I456" s="11" t="s">
        <v>56</v>
      </c>
      <c r="J456" s="9" t="n">
        <v>1370536</v>
      </c>
      <c r="L456" s="9" t="n">
        <v>184296</v>
      </c>
      <c r="M456" s="11" t="s">
        <v>52</v>
      </c>
      <c r="N456" s="11" t="s">
        <v>45</v>
      </c>
      <c r="P456" s="9" t="n">
        <v>113</v>
      </c>
      <c r="Q456" s="11" t="s">
        <v>46</v>
      </c>
      <c r="R456" s="11" t="s">
        <v>71</v>
      </c>
      <c r="S456" s="9" t="n">
        <v>4210301</v>
      </c>
      <c r="T456" s="11" t="s">
        <v>220</v>
      </c>
      <c r="U456" s="12" t="n">
        <v>50</v>
      </c>
      <c r="W456" s="12" t="n">
        <v>0</v>
      </c>
      <c r="X456" s="11" t="s">
        <v>557</v>
      </c>
      <c r="Z456" s="0" t="str">
        <f aca="false">IF($T456="","",IFERROR(INDEX('Resumo Grupos'!$AC$3:$AC$200,MATCH($T456,'Resumo Grupos'!$AB$3:$AB$200,0)),"n/d"))</f>
        <v>Salários</v>
      </c>
      <c r="AA456" s="0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9" t="n">
        <v>2</v>
      </c>
      <c r="B457" s="10" t="n">
        <v>46197</v>
      </c>
      <c r="C457" s="10" t="n">
        <v>46197</v>
      </c>
      <c r="D457" s="9" t="n">
        <v>515</v>
      </c>
      <c r="E457" s="11" t="s">
        <v>137</v>
      </c>
      <c r="F457" s="9" t="n">
        <v>34</v>
      </c>
      <c r="G457" s="11" t="s">
        <v>55</v>
      </c>
      <c r="H457" s="9" t="n">
        <v>2110405</v>
      </c>
      <c r="I457" s="11" t="s">
        <v>56</v>
      </c>
      <c r="J457" s="9" t="n">
        <v>1306305</v>
      </c>
      <c r="L457" s="9" t="n">
        <v>175071</v>
      </c>
      <c r="M457" s="11" t="s">
        <v>52</v>
      </c>
      <c r="N457" s="11" t="s">
        <v>45</v>
      </c>
      <c r="P457" s="9" t="n">
        <v>102</v>
      </c>
      <c r="Q457" s="11" t="s">
        <v>308</v>
      </c>
      <c r="R457" s="11" t="s">
        <v>138</v>
      </c>
      <c r="S457" s="9" t="n">
        <v>4210504</v>
      </c>
      <c r="T457" s="11" t="s">
        <v>143</v>
      </c>
      <c r="U457" s="12" t="n">
        <v>5423.3</v>
      </c>
      <c r="W457" s="12" t="n">
        <v>0</v>
      </c>
      <c r="X457" s="11" t="s">
        <v>558</v>
      </c>
      <c r="Z457" s="0" t="str">
        <f aca="false">IF($T457="","",IFERROR(INDEX('Resumo Grupos'!$AC$3:$AC$200,MATCH($T457,'Resumo Grupos'!$AB$3:$AB$200,0)),"n/d"))</f>
        <v>Despesa</v>
      </c>
      <c r="AA457" s="0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9" t="n">
        <v>2</v>
      </c>
      <c r="B458" s="10" t="n">
        <v>46183</v>
      </c>
      <c r="C458" s="10" t="n">
        <v>46197</v>
      </c>
      <c r="D458" s="9" t="n">
        <v>1815</v>
      </c>
      <c r="E458" s="11" t="s">
        <v>172</v>
      </c>
      <c r="F458" s="9" t="n">
        <v>24</v>
      </c>
      <c r="G458" s="11" t="s">
        <v>51</v>
      </c>
      <c r="H458" s="9" t="n">
        <v>2110101</v>
      </c>
      <c r="I458" s="11" t="s">
        <v>43</v>
      </c>
      <c r="J458" s="9" t="n">
        <v>1230947</v>
      </c>
      <c r="L458" s="9" t="n">
        <v>386175</v>
      </c>
      <c r="M458" s="11" t="s">
        <v>44</v>
      </c>
      <c r="N458" s="11" t="s">
        <v>37</v>
      </c>
      <c r="P458" s="9" t="n">
        <v>113</v>
      </c>
      <c r="Q458" s="11" t="s">
        <v>46</v>
      </c>
      <c r="R458" s="11" t="s">
        <v>47</v>
      </c>
      <c r="S458" s="9" t="n">
        <v>1130101</v>
      </c>
      <c r="T458" s="11" t="s">
        <v>48</v>
      </c>
      <c r="U458" s="12" t="n">
        <v>737.06</v>
      </c>
      <c r="W458" s="12" t="n">
        <v>0</v>
      </c>
      <c r="X458" s="11" t="s">
        <v>452</v>
      </c>
      <c r="Z458" s="0" t="str">
        <f aca="false">IF($T458="","",IFERROR(INDEX('Resumo Grupos'!$AC$3:$AC$200,MATCH($T458,'Resumo Grupos'!$AB$3:$AB$200,0)),"n/d"))</f>
        <v>Mercadoria</v>
      </c>
      <c r="AA458" s="0" t="str">
        <f aca="false">IF($T458="","",IF(COUNTIF('Resumo Grupos'!$AE$3:$AE$40,$T458)&gt;0,"NAO","SIM"))</f>
        <v>SIM</v>
      </c>
      <c r="AB458" s="0" t="str">
        <f aca="false">IFERROR(INDEX('Mov Entradas (Rel 10497)'!$L:$L,MATCH(AC458,'Mov Entradas (Rel 10497)'!$I:$I,0)),"nao encontrado")</f>
        <v>COXAO MOLE KG</v>
      </c>
      <c r="AC458" s="0" t="n">
        <v>386175</v>
      </c>
    </row>
    <row r="459" customFormat="false" ht="36.75" hidden="false" customHeight="true" outlineLevel="0" collapsed="false">
      <c r="A459" s="9" t="n">
        <v>2</v>
      </c>
      <c r="B459" s="10" t="n">
        <v>46167</v>
      </c>
      <c r="C459" s="10" t="n">
        <v>46197</v>
      </c>
      <c r="D459" s="9" t="n">
        <v>10011</v>
      </c>
      <c r="E459" s="11" t="s">
        <v>349</v>
      </c>
      <c r="F459" s="9" t="n">
        <v>24</v>
      </c>
      <c r="G459" s="11" t="s">
        <v>51</v>
      </c>
      <c r="H459" s="9" t="n">
        <v>2110101</v>
      </c>
      <c r="I459" s="11" t="s">
        <v>43</v>
      </c>
      <c r="J459" s="9" t="n">
        <v>1151538</v>
      </c>
      <c r="L459" s="9" t="n">
        <v>33745</v>
      </c>
      <c r="M459" s="11" t="s">
        <v>44</v>
      </c>
      <c r="N459" s="11" t="s">
        <v>37</v>
      </c>
      <c r="P459" s="9" t="n">
        <v>113</v>
      </c>
      <c r="Q459" s="11" t="s">
        <v>46</v>
      </c>
      <c r="R459" s="11" t="s">
        <v>47</v>
      </c>
      <c r="S459" s="9" t="n">
        <v>1130101</v>
      </c>
      <c r="T459" s="11" t="s">
        <v>48</v>
      </c>
      <c r="U459" s="12" t="n">
        <v>938.27</v>
      </c>
      <c r="W459" s="12" t="n">
        <v>0</v>
      </c>
      <c r="X459" s="11" t="s">
        <v>399</v>
      </c>
      <c r="Z459" s="0" t="str">
        <f aca="false">IF($T459="","",IFERROR(INDEX('Resumo Grupos'!$AC$3:$AC$200,MATCH($T459,'Resumo Grupos'!$AB$3:$AB$200,0)),"n/d"))</f>
        <v>Mercadoria</v>
      </c>
      <c r="AA459" s="0" t="str">
        <f aca="false">IF($T459="","",IF(COUNTIF('Resumo Grupos'!$AE$3:$AE$40,$T459)&gt;0,"NAO","SIM"))</f>
        <v>SIM</v>
      </c>
      <c r="AB459" s="0" t="str">
        <f aca="false">IFERROR(INDEX('Mov Entradas (Rel 10497)'!$L:$L,MATCH(AC459,'Mov Entradas (Rel 10497)'!$I:$I,0)),"nao encontrado")</f>
        <v>nao encontrado</v>
      </c>
      <c r="AC459" s="0" t="n">
        <v>33745</v>
      </c>
    </row>
    <row r="460" customFormat="false" ht="36.75" hidden="false" customHeight="true" outlineLevel="0" collapsed="false">
      <c r="A460" s="9" t="n">
        <v>2</v>
      </c>
      <c r="B460" s="10" t="n">
        <v>46168</v>
      </c>
      <c r="C460" s="10" t="n">
        <v>46197</v>
      </c>
      <c r="D460" s="9" t="n">
        <v>10011</v>
      </c>
      <c r="E460" s="11" t="s">
        <v>349</v>
      </c>
      <c r="F460" s="9" t="n">
        <v>24</v>
      </c>
      <c r="G460" s="11" t="s">
        <v>51</v>
      </c>
      <c r="H460" s="9" t="n">
        <v>2110101</v>
      </c>
      <c r="I460" s="11" t="s">
        <v>43</v>
      </c>
      <c r="J460" s="9" t="n">
        <v>1157286</v>
      </c>
      <c r="L460" s="9" t="n">
        <v>153717</v>
      </c>
      <c r="M460" s="11" t="s">
        <v>52</v>
      </c>
      <c r="N460" s="11" t="s">
        <v>45</v>
      </c>
      <c r="P460" s="9" t="n">
        <v>113</v>
      </c>
      <c r="Q460" s="11" t="s">
        <v>46</v>
      </c>
      <c r="R460" s="11" t="s">
        <v>47</v>
      </c>
      <c r="S460" s="9" t="n">
        <v>1130101</v>
      </c>
      <c r="T460" s="11" t="s">
        <v>48</v>
      </c>
      <c r="U460" s="12" t="n">
        <v>2718.34</v>
      </c>
      <c r="W460" s="12" t="n">
        <v>0</v>
      </c>
      <c r="X460" s="11" t="s">
        <v>559</v>
      </c>
      <c r="Z460" s="0" t="str">
        <f aca="false">IF($T460="","",IFERROR(INDEX('Resumo Grupos'!$AC$3:$AC$200,MATCH($T460,'Resumo Grupos'!$AB$3:$AB$200,0)),"n/d"))</f>
        <v>Mercadoria</v>
      </c>
      <c r="AA460" s="0" t="str">
        <f aca="false">IF($T460="","",IF(COUNTIF('Resumo Grupos'!$AE$3:$AE$40,$T460)&gt;0,"NAO","SIM"))</f>
        <v>SIM</v>
      </c>
      <c r="AB460" s="0" t="str">
        <f aca="false">IFERROR(INDEX('Mov Entradas (Rel 10497)'!$L:$L,MATCH(AC460,'Mov Entradas (Rel 10497)'!$I:$I,0)),"nao encontrado")</f>
        <v>nao encontrado</v>
      </c>
      <c r="AC460" s="0" t="n">
        <v>33746</v>
      </c>
    </row>
    <row r="461" customFormat="false" ht="36.75" hidden="false" customHeight="true" outlineLevel="0" collapsed="false">
      <c r="A461" s="9" t="n">
        <v>2</v>
      </c>
      <c r="B461" s="10" t="n">
        <v>46163</v>
      </c>
      <c r="C461" s="10" t="n">
        <v>46197</v>
      </c>
      <c r="D461" s="9" t="n">
        <v>1624</v>
      </c>
      <c r="E461" s="11" t="s">
        <v>351</v>
      </c>
      <c r="F461" s="9" t="n">
        <v>24</v>
      </c>
      <c r="G461" s="11" t="s">
        <v>51</v>
      </c>
      <c r="H461" s="9" t="n">
        <v>2110101</v>
      </c>
      <c r="I461" s="11" t="s">
        <v>43</v>
      </c>
      <c r="J461" s="9" t="n">
        <v>1133230</v>
      </c>
      <c r="L461" s="9" t="n">
        <v>654829</v>
      </c>
      <c r="M461" s="11" t="s">
        <v>67</v>
      </c>
      <c r="N461" s="11" t="s">
        <v>37</v>
      </c>
      <c r="P461" s="9" t="n">
        <v>113</v>
      </c>
      <c r="Q461" s="11" t="s">
        <v>46</v>
      </c>
      <c r="R461" s="11" t="s">
        <v>47</v>
      </c>
      <c r="S461" s="9" t="n">
        <v>1130101</v>
      </c>
      <c r="T461" s="11" t="s">
        <v>48</v>
      </c>
      <c r="U461" s="12" t="n">
        <v>650</v>
      </c>
      <c r="W461" s="12" t="n">
        <v>0</v>
      </c>
      <c r="X461" s="11" t="s">
        <v>352</v>
      </c>
      <c r="Z461" s="0" t="str">
        <f aca="false">IF($T461="","",IFERROR(INDEX('Resumo Grupos'!$AC$3:$AC$200,MATCH($T461,'Resumo Grupos'!$AB$3:$AB$200,0)),"n/d"))</f>
        <v>Mercadoria</v>
      </c>
      <c r="AA461" s="0" t="str">
        <f aca="false">IF($T461="","",IF(COUNTIF('Resumo Grupos'!$AE$3:$AE$40,$T461)&gt;0,"NAO","SIM"))</f>
        <v>SIM</v>
      </c>
      <c r="AB461" s="0" t="str">
        <f aca="false">IFERROR(INDEX('Mov Entradas (Rel 10497)'!$L:$L,MATCH(AC461,'Mov Entradas (Rel 10497)'!$I:$I,0)),"nao encontrado")</f>
        <v>nao encontrado</v>
      </c>
      <c r="AC461" s="0" t="n">
        <v>654829</v>
      </c>
    </row>
    <row r="462" customFormat="false" ht="36.75" hidden="false" customHeight="true" outlineLevel="0" collapsed="false">
      <c r="A462" s="9" t="n">
        <v>2</v>
      </c>
      <c r="B462" s="10" t="n">
        <v>46190</v>
      </c>
      <c r="C462" s="10" t="n">
        <v>46197</v>
      </c>
      <c r="D462" s="9" t="n">
        <v>1292</v>
      </c>
      <c r="E462" s="11" t="s">
        <v>209</v>
      </c>
      <c r="F462" s="9" t="n">
        <v>24</v>
      </c>
      <c r="G462" s="11" t="s">
        <v>51</v>
      </c>
      <c r="H462" s="9" t="n">
        <v>2110101</v>
      </c>
      <c r="I462" s="11" t="s">
        <v>43</v>
      </c>
      <c r="J462" s="9" t="n">
        <v>1265699</v>
      </c>
      <c r="L462" s="9" t="n">
        <v>3415</v>
      </c>
      <c r="M462" s="11" t="s">
        <v>52</v>
      </c>
      <c r="N462" s="11" t="s">
        <v>37</v>
      </c>
      <c r="P462" s="9" t="n">
        <v>113</v>
      </c>
      <c r="Q462" s="11" t="s">
        <v>46</v>
      </c>
      <c r="R462" s="11" t="s">
        <v>47</v>
      </c>
      <c r="S462" s="9" t="n">
        <v>1130101</v>
      </c>
      <c r="T462" s="11" t="s">
        <v>48</v>
      </c>
      <c r="U462" s="12" t="n">
        <v>274.85</v>
      </c>
      <c r="W462" s="12" t="n">
        <v>0</v>
      </c>
      <c r="X462" s="11" t="s">
        <v>560</v>
      </c>
      <c r="Z462" s="0" t="str">
        <f aca="false">IF($T462="","",IFERROR(INDEX('Resumo Grupos'!$AC$3:$AC$200,MATCH($T462,'Resumo Grupos'!$AB$3:$AB$200,0)),"n/d"))</f>
        <v>Mercadoria</v>
      </c>
      <c r="AA462" s="0" t="str">
        <f aca="false">IF($T462="","",IF(COUNTIF('Resumo Grupos'!$AE$3:$AE$40,$T462)&gt;0,"NAO","SIM"))</f>
        <v>SIM</v>
      </c>
      <c r="AB462" s="0" t="str">
        <f aca="false">IFERROR(INDEX('Mov Entradas (Rel 10497)'!$L:$L,MATCH(AC462,'Mov Entradas (Rel 10497)'!$I:$I,0)),"nao encontrado")</f>
        <v>PRESUNTO DELICE DE PERU 200G</v>
      </c>
      <c r="AC462" s="0" t="n">
        <v>3415</v>
      </c>
    </row>
    <row r="463" customFormat="false" ht="45.75" hidden="false" customHeight="true" outlineLevel="0" collapsed="false">
      <c r="A463" s="9" t="n">
        <v>2</v>
      </c>
      <c r="B463" s="10" t="n">
        <v>46158</v>
      </c>
      <c r="C463" s="10" t="n">
        <v>46197</v>
      </c>
      <c r="D463" s="9" t="n">
        <v>10012</v>
      </c>
      <c r="E463" s="11" t="s">
        <v>185</v>
      </c>
      <c r="F463" s="9" t="n">
        <v>24</v>
      </c>
      <c r="G463" s="11" t="s">
        <v>51</v>
      </c>
      <c r="H463" s="9" t="n">
        <v>2110101</v>
      </c>
      <c r="I463" s="11" t="s">
        <v>43</v>
      </c>
      <c r="J463" s="9" t="n">
        <v>1106692</v>
      </c>
      <c r="L463" s="9" t="n">
        <v>1952417</v>
      </c>
      <c r="M463" s="11" t="s">
        <v>89</v>
      </c>
      <c r="N463" s="11" t="s">
        <v>37</v>
      </c>
      <c r="P463" s="9" t="n">
        <v>113</v>
      </c>
      <c r="Q463" s="11" t="s">
        <v>46</v>
      </c>
      <c r="R463" s="11" t="s">
        <v>47</v>
      </c>
      <c r="S463" s="9" t="n">
        <v>1130101</v>
      </c>
      <c r="T463" s="11" t="s">
        <v>48</v>
      </c>
      <c r="U463" s="12" t="n">
        <v>1262.31</v>
      </c>
      <c r="W463" s="12" t="n">
        <v>0</v>
      </c>
      <c r="X463" s="11" t="s">
        <v>186</v>
      </c>
      <c r="Z463" s="0" t="str">
        <f aca="false">IF($T463="","",IFERROR(INDEX('Resumo Grupos'!$AC$3:$AC$200,MATCH($T463,'Resumo Grupos'!$AB$3:$AB$200,0)),"n/d"))</f>
        <v>Mercadoria</v>
      </c>
      <c r="AA463" s="0" t="str">
        <f aca="false">IF($T463="","",IF(COUNTIF('Resumo Grupos'!$AE$3:$AE$40,$T463)&gt;0,"NAO","SIM"))</f>
        <v>SIM</v>
      </c>
      <c r="AB463" s="0" t="str">
        <f aca="false">IFERROR(INDEX('Mov Entradas (Rel 10497)'!$L:$L,MATCH(AC463,'Mov Entradas (Rel 10497)'!$I:$I,0)),"nao encontrado")</f>
        <v>nao encontrado</v>
      </c>
      <c r="AC463" s="0" t="n">
        <v>1952417</v>
      </c>
    </row>
    <row r="464" customFormat="false" ht="45.75" hidden="false" customHeight="true" outlineLevel="0" collapsed="false">
      <c r="A464" s="9" t="n">
        <v>2</v>
      </c>
      <c r="B464" s="10" t="n">
        <v>46197</v>
      </c>
      <c r="C464" s="10" t="n">
        <v>46197</v>
      </c>
      <c r="D464" s="9" t="n">
        <v>0</v>
      </c>
      <c r="E464" s="11" t="s">
        <v>109</v>
      </c>
      <c r="F464" s="9" t="n">
        <v>17</v>
      </c>
      <c r="G464" s="11" t="s">
        <v>110</v>
      </c>
      <c r="H464" s="9" t="n">
        <v>1110101</v>
      </c>
      <c r="I464" s="11" t="s">
        <v>111</v>
      </c>
      <c r="J464" s="9" t="n">
        <v>1306227</v>
      </c>
      <c r="L464" s="9" t="n">
        <v>1306227</v>
      </c>
      <c r="M464" s="11" t="s">
        <v>52</v>
      </c>
      <c r="N464" s="11" t="s">
        <v>112</v>
      </c>
      <c r="P464" s="9" t="n">
        <v>113</v>
      </c>
      <c r="Q464" s="11" t="s">
        <v>46</v>
      </c>
      <c r="R464" s="11" t="s">
        <v>259</v>
      </c>
      <c r="S464" s="9" t="n">
        <v>2110101</v>
      </c>
      <c r="T464" s="11" t="s">
        <v>43</v>
      </c>
      <c r="U464" s="12" t="n">
        <v>120</v>
      </c>
      <c r="W464" s="12" t="n">
        <v>120</v>
      </c>
      <c r="X464" s="11" t="s">
        <v>561</v>
      </c>
      <c r="Z464" s="0" t="str">
        <f aca="false">IF($T464="","",IFERROR(INDEX('Resumo Grupos'!$AC$3:$AC$200,MATCH($T464,'Resumo Grupos'!$AB$3:$AB$200,0)),"n/d"))</f>
        <v>Despesa</v>
      </c>
      <c r="AA464" s="0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9" t="n">
        <v>2</v>
      </c>
      <c r="B465" s="10" t="n">
        <v>46197</v>
      </c>
      <c r="C465" s="10" t="n">
        <v>46197</v>
      </c>
      <c r="D465" s="9" t="n">
        <v>0</v>
      </c>
      <c r="E465" s="11" t="s">
        <v>109</v>
      </c>
      <c r="F465" s="9" t="n">
        <v>17</v>
      </c>
      <c r="G465" s="11" t="s">
        <v>110</v>
      </c>
      <c r="H465" s="9" t="n">
        <v>1110101</v>
      </c>
      <c r="I465" s="11" t="s">
        <v>111</v>
      </c>
      <c r="J465" s="9" t="n">
        <v>1306232</v>
      </c>
      <c r="L465" s="9" t="n">
        <v>1306232</v>
      </c>
      <c r="M465" s="11" t="s">
        <v>52</v>
      </c>
      <c r="N465" s="11" t="s">
        <v>112</v>
      </c>
      <c r="P465" s="9" t="n">
        <v>113</v>
      </c>
      <c r="Q465" s="11" t="s">
        <v>46</v>
      </c>
      <c r="R465" s="11" t="s">
        <v>71</v>
      </c>
      <c r="S465" s="9" t="n">
        <v>4210316</v>
      </c>
      <c r="T465" s="11" t="s">
        <v>159</v>
      </c>
      <c r="U465" s="12" t="n">
        <v>50</v>
      </c>
      <c r="W465" s="12" t="n">
        <v>50</v>
      </c>
      <c r="X465" s="11" t="s">
        <v>263</v>
      </c>
      <c r="Z465" s="0" t="str">
        <f aca="false">IF($T465="","",IFERROR(INDEX('Resumo Grupos'!$AC$3:$AC$200,MATCH($T465,'Resumo Grupos'!$AB$3:$AB$200,0)),"n/d"))</f>
        <v>Salários</v>
      </c>
      <c r="AA465" s="0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9" t="n">
        <v>2</v>
      </c>
      <c r="B466" s="10" t="n">
        <v>46197</v>
      </c>
      <c r="C466" s="10" t="n">
        <v>46197</v>
      </c>
      <c r="D466" s="9" t="n">
        <v>0</v>
      </c>
      <c r="E466" s="11" t="s">
        <v>109</v>
      </c>
      <c r="F466" s="9" t="n">
        <v>17</v>
      </c>
      <c r="G466" s="11" t="s">
        <v>110</v>
      </c>
      <c r="H466" s="9" t="n">
        <v>1110101</v>
      </c>
      <c r="I466" s="11" t="s">
        <v>111</v>
      </c>
      <c r="J466" s="9" t="n">
        <v>1306234</v>
      </c>
      <c r="L466" s="9" t="n">
        <v>1306234</v>
      </c>
      <c r="M466" s="11" t="s">
        <v>52</v>
      </c>
      <c r="N466" s="11" t="s">
        <v>112</v>
      </c>
      <c r="P466" s="9" t="n">
        <v>113</v>
      </c>
      <c r="Q466" s="11" t="s">
        <v>46</v>
      </c>
      <c r="R466" s="11" t="s">
        <v>71</v>
      </c>
      <c r="S466" s="9" t="n">
        <v>4210314</v>
      </c>
      <c r="T466" s="11" t="s">
        <v>113</v>
      </c>
      <c r="U466" s="12" t="n">
        <v>70</v>
      </c>
      <c r="W466" s="12" t="n">
        <v>70</v>
      </c>
      <c r="X466" s="11" t="s">
        <v>187</v>
      </c>
      <c r="Z466" s="0" t="str">
        <f aca="false">IF($T466="","",IFERROR(INDEX('Resumo Grupos'!$AC$3:$AC$200,MATCH($T466,'Resumo Grupos'!$AB$3:$AB$200,0)),"n/d"))</f>
        <v>Despesa</v>
      </c>
      <c r="AA466" s="0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9" t="n">
        <v>2</v>
      </c>
      <c r="B467" s="10" t="n">
        <v>46197</v>
      </c>
      <c r="C467" s="10" t="n">
        <v>46197</v>
      </c>
      <c r="D467" s="9" t="n">
        <v>0</v>
      </c>
      <c r="E467" s="11" t="s">
        <v>109</v>
      </c>
      <c r="F467" s="9" t="n">
        <v>17</v>
      </c>
      <c r="G467" s="11" t="s">
        <v>110</v>
      </c>
      <c r="H467" s="9" t="n">
        <v>1110101</v>
      </c>
      <c r="I467" s="11" t="s">
        <v>111</v>
      </c>
      <c r="J467" s="9" t="n">
        <v>1306242</v>
      </c>
      <c r="L467" s="9" t="n">
        <v>1306242</v>
      </c>
      <c r="M467" s="11" t="s">
        <v>52</v>
      </c>
      <c r="N467" s="11" t="s">
        <v>112</v>
      </c>
      <c r="P467" s="9" t="n">
        <v>113</v>
      </c>
      <c r="Q467" s="11" t="s">
        <v>46</v>
      </c>
      <c r="R467" s="11" t="s">
        <v>562</v>
      </c>
      <c r="S467" s="9" t="n">
        <v>1120602</v>
      </c>
      <c r="T467" s="11" t="s">
        <v>563</v>
      </c>
      <c r="U467" s="12" t="n">
        <v>50</v>
      </c>
      <c r="W467" s="12" t="n">
        <v>50</v>
      </c>
      <c r="X467" s="11" t="s">
        <v>564</v>
      </c>
      <c r="Z467" s="0" t="str">
        <f aca="false">IF($T467="","",IFERROR(INDEX('Resumo Grupos'!$AC$3:$AC$200,MATCH($T467,'Resumo Grupos'!$AB$3:$AB$200,0)),"n/d"))</f>
        <v>Salários</v>
      </c>
      <c r="AA467" s="0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9" t="n">
        <v>2</v>
      </c>
      <c r="B468" s="10" t="n">
        <v>46197</v>
      </c>
      <c r="C468" s="10" t="n">
        <v>46197</v>
      </c>
      <c r="D468" s="9" t="n">
        <v>0</v>
      </c>
      <c r="E468" s="11" t="s">
        <v>109</v>
      </c>
      <c r="F468" s="9" t="n">
        <v>17</v>
      </c>
      <c r="G468" s="11" t="s">
        <v>110</v>
      </c>
      <c r="H468" s="9" t="n">
        <v>1110101</v>
      </c>
      <c r="I468" s="11" t="s">
        <v>111</v>
      </c>
      <c r="J468" s="9" t="n">
        <v>1361237</v>
      </c>
      <c r="L468" s="9" t="n">
        <v>1361237</v>
      </c>
      <c r="M468" s="11" t="s">
        <v>52</v>
      </c>
      <c r="N468" s="11" t="s">
        <v>112</v>
      </c>
      <c r="P468" s="9" t="n">
        <v>113</v>
      </c>
      <c r="Q468" s="11" t="s">
        <v>46</v>
      </c>
      <c r="R468" s="11" t="s">
        <v>116</v>
      </c>
      <c r="S468" s="9" t="n">
        <v>1110203</v>
      </c>
      <c r="T468" s="11" t="s">
        <v>117</v>
      </c>
      <c r="U468" s="12" t="n">
        <v>1650</v>
      </c>
      <c r="W468" s="12" t="n">
        <v>1650</v>
      </c>
      <c r="X468" s="11" t="s">
        <v>565</v>
      </c>
      <c r="Z468" s="0" t="str">
        <f aca="false">IF($T468="","",IFERROR(INDEX('Resumo Grupos'!$AC$3:$AC$200,MATCH($T468,'Resumo Grupos'!$AB$3:$AB$200,0)),"n/d"))</f>
        <v>Despesa</v>
      </c>
      <c r="AA468" s="0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9" t="n">
        <v>2</v>
      </c>
      <c r="B469" s="10" t="n">
        <v>46168</v>
      </c>
      <c r="C469" s="10" t="n">
        <v>46197</v>
      </c>
      <c r="D469" s="9" t="n">
        <v>1671</v>
      </c>
      <c r="E469" s="11" t="s">
        <v>119</v>
      </c>
      <c r="F469" s="9" t="n">
        <v>24</v>
      </c>
      <c r="G469" s="11" t="s">
        <v>51</v>
      </c>
      <c r="H469" s="9" t="n">
        <v>2110101</v>
      </c>
      <c r="I469" s="11" t="s">
        <v>43</v>
      </c>
      <c r="J469" s="9" t="n">
        <v>1157205</v>
      </c>
      <c r="L469" s="9" t="n">
        <v>153709</v>
      </c>
      <c r="M469" s="11" t="s">
        <v>52</v>
      </c>
      <c r="N469" s="11" t="s">
        <v>45</v>
      </c>
      <c r="P469" s="9" t="n">
        <v>113</v>
      </c>
      <c r="Q469" s="11" t="s">
        <v>46</v>
      </c>
      <c r="R469" s="11" t="s">
        <v>47</v>
      </c>
      <c r="S469" s="9" t="n">
        <v>1130101</v>
      </c>
      <c r="T469" s="11" t="s">
        <v>48</v>
      </c>
      <c r="U469" s="12" t="n">
        <v>635.45</v>
      </c>
      <c r="W469" s="12" t="n">
        <v>0</v>
      </c>
      <c r="X469" s="11" t="s">
        <v>361</v>
      </c>
      <c r="Z469" s="0" t="str">
        <f aca="false">IF($T469="","",IFERROR(INDEX('Resumo Grupos'!$AC$3:$AC$200,MATCH($T469,'Resumo Grupos'!$AB$3:$AB$200,0)),"n/d"))</f>
        <v>Mercadoria</v>
      </c>
      <c r="AA469" s="0" t="str">
        <f aca="false">IF($T469="","",IF(COUNTIF('Resumo Grupos'!$AE$3:$AE$40,$T469)&gt;0,"NAO","SIM"))</f>
        <v>SIM</v>
      </c>
      <c r="AB469" s="0" t="str">
        <f aca="false">IFERROR(INDEX('Mov Entradas (Rel 10497)'!$L:$L,MATCH(AC469,'Mov Entradas (Rel 10497)'!$I:$I,0)),"nao encontrado")</f>
        <v>nao encontrado</v>
      </c>
      <c r="AC469" s="0" t="n">
        <v>571363</v>
      </c>
    </row>
    <row r="470" customFormat="false" ht="36.75" hidden="false" customHeight="true" outlineLevel="0" collapsed="false">
      <c r="A470" s="9" t="n">
        <v>2</v>
      </c>
      <c r="B470" s="10" t="n">
        <v>46184</v>
      </c>
      <c r="C470" s="10" t="n">
        <v>46197</v>
      </c>
      <c r="D470" s="9" t="n">
        <v>1734</v>
      </c>
      <c r="E470" s="11" t="s">
        <v>566</v>
      </c>
      <c r="F470" s="9" t="n">
        <v>24</v>
      </c>
      <c r="G470" s="11" t="s">
        <v>51</v>
      </c>
      <c r="H470" s="9" t="n">
        <v>2110101</v>
      </c>
      <c r="I470" s="11" t="s">
        <v>43</v>
      </c>
      <c r="J470" s="9" t="n">
        <v>1236653</v>
      </c>
      <c r="L470" s="9" t="n">
        <v>253249</v>
      </c>
      <c r="M470" s="11" t="s">
        <v>52</v>
      </c>
      <c r="N470" s="11" t="s">
        <v>37</v>
      </c>
      <c r="P470" s="9" t="n">
        <v>113</v>
      </c>
      <c r="Q470" s="11" t="s">
        <v>46</v>
      </c>
      <c r="R470" s="11" t="s">
        <v>47</v>
      </c>
      <c r="S470" s="9" t="n">
        <v>1130101</v>
      </c>
      <c r="T470" s="11" t="s">
        <v>48</v>
      </c>
      <c r="U470" s="12" t="n">
        <v>734.33</v>
      </c>
      <c r="W470" s="12" t="n">
        <v>0</v>
      </c>
      <c r="X470" s="11" t="s">
        <v>567</v>
      </c>
      <c r="Z470" s="0" t="str">
        <f aca="false">IF($T470="","",IFERROR(INDEX('Resumo Grupos'!$AC$3:$AC$200,MATCH($T470,'Resumo Grupos'!$AB$3:$AB$200,0)),"n/d"))</f>
        <v>Mercadoria</v>
      </c>
      <c r="AA470" s="0" t="str">
        <f aca="false">IF($T470="","",IF(COUNTIF('Resumo Grupos'!$AE$3:$AE$40,$T470)&gt;0,"NAO","SIM"))</f>
        <v>SIM</v>
      </c>
      <c r="AB470" s="0" t="str">
        <f aca="false">IFERROR(INDEX('Mov Entradas (Rel 10497)'!$L:$L,MATCH(AC470,'Mov Entradas (Rel 10497)'!$I:$I,0)),"nao encontrado")</f>
        <v>SORVETE 2 LTS CHOCOL</v>
      </c>
      <c r="AC470" s="0" t="n">
        <v>253249</v>
      </c>
    </row>
    <row r="471" customFormat="false" ht="36.75" hidden="false" customHeight="true" outlineLevel="0" collapsed="false">
      <c r="A471" s="9" t="n">
        <v>2</v>
      </c>
      <c r="B471" s="10" t="n">
        <v>46190</v>
      </c>
      <c r="C471" s="10" t="n">
        <v>46197</v>
      </c>
      <c r="D471" s="9" t="n">
        <v>1745</v>
      </c>
      <c r="E471" s="11" t="s">
        <v>189</v>
      </c>
      <c r="F471" s="9" t="n">
        <v>24</v>
      </c>
      <c r="G471" s="11" t="s">
        <v>51</v>
      </c>
      <c r="H471" s="9" t="n">
        <v>2110101</v>
      </c>
      <c r="I471" s="11" t="s">
        <v>43</v>
      </c>
      <c r="J471" s="9" t="n">
        <v>1266289</v>
      </c>
      <c r="L471" s="9" t="n">
        <v>346452</v>
      </c>
      <c r="M471" s="11" t="s">
        <v>52</v>
      </c>
      <c r="N471" s="11" t="s">
        <v>37</v>
      </c>
      <c r="P471" s="9" t="n">
        <v>113</v>
      </c>
      <c r="Q471" s="11" t="s">
        <v>46</v>
      </c>
      <c r="R471" s="11" t="s">
        <v>47</v>
      </c>
      <c r="S471" s="9" t="n">
        <v>1130101</v>
      </c>
      <c r="T471" s="11" t="s">
        <v>48</v>
      </c>
      <c r="U471" s="12" t="n">
        <v>877.26</v>
      </c>
      <c r="W471" s="12" t="n">
        <v>0</v>
      </c>
      <c r="X471" s="11" t="s">
        <v>568</v>
      </c>
      <c r="Z471" s="0" t="str">
        <f aca="false">IF($T471="","",IFERROR(INDEX('Resumo Grupos'!$AC$3:$AC$200,MATCH($T471,'Resumo Grupos'!$AB$3:$AB$200,0)),"n/d"))</f>
        <v>Mercadoria</v>
      </c>
      <c r="AA471" s="0" t="str">
        <f aca="false">IF($T471="","",IF(COUNTIF('Resumo Grupos'!$AE$3:$AE$40,$T471)&gt;0,"NAO","SIM"))</f>
        <v>SIM</v>
      </c>
      <c r="AB471" s="0" t="str">
        <f aca="false">IFERROR(INDEX('Mov Entradas (Rel 10497)'!$L:$L,MATCH(AC471,'Mov Entradas (Rel 10497)'!$I:$I,0)),"nao encontrado")</f>
        <v>CAFE MANAUS 100G</v>
      </c>
      <c r="AC471" s="0" t="n">
        <v>346452</v>
      </c>
    </row>
    <row r="472" customFormat="false" ht="36.75" hidden="false" customHeight="true" outlineLevel="0" collapsed="false">
      <c r="A472" s="9" t="n">
        <v>2</v>
      </c>
      <c r="B472" s="10" t="n">
        <v>46198</v>
      </c>
      <c r="C472" s="10" t="n">
        <v>46198</v>
      </c>
      <c r="D472" s="9" t="n">
        <v>10086</v>
      </c>
      <c r="E472" s="11" t="s">
        <v>502</v>
      </c>
      <c r="F472" s="9" t="n">
        <v>13</v>
      </c>
      <c r="G472" s="11" t="s">
        <v>135</v>
      </c>
      <c r="H472" s="9" t="n">
        <v>2110101</v>
      </c>
      <c r="I472" s="11" t="s">
        <v>43</v>
      </c>
      <c r="J472" s="9" t="n">
        <v>1309637</v>
      </c>
      <c r="L472" s="9" t="n">
        <v>44</v>
      </c>
      <c r="M472" s="11" t="s">
        <v>52</v>
      </c>
      <c r="N472" s="11" t="s">
        <v>37</v>
      </c>
      <c r="P472" s="9" t="n">
        <v>113</v>
      </c>
      <c r="Q472" s="11" t="s">
        <v>46</v>
      </c>
      <c r="R472" s="11" t="s">
        <v>47</v>
      </c>
      <c r="S472" s="9" t="n">
        <v>1130101</v>
      </c>
      <c r="T472" s="11" t="s">
        <v>48</v>
      </c>
      <c r="U472" s="12" t="n">
        <v>180</v>
      </c>
      <c r="W472" s="12" t="n">
        <v>180</v>
      </c>
      <c r="X472" s="11" t="s">
        <v>569</v>
      </c>
      <c r="Z472" s="0" t="str">
        <f aca="false">IF($T472="","",IFERROR(INDEX('Resumo Grupos'!$AC$3:$AC$200,MATCH($T472,'Resumo Grupos'!$AB$3:$AB$200,0)),"n/d"))</f>
        <v>Mercadoria</v>
      </c>
      <c r="AA472" s="0" t="str">
        <f aca="false">IF($T472="","",IF(COUNTIF('Resumo Grupos'!$AE$3:$AE$40,$T472)&gt;0,"NAO","SIM"))</f>
        <v>SIM</v>
      </c>
      <c r="AB472" s="0" t="str">
        <f aca="false">IFERROR(INDEX('Mov Entradas (Rel 10497)'!$L:$L,MATCH(AC472,'Mov Entradas (Rel 10497)'!$I:$I,0)),"nao encontrado")</f>
        <v>BOLO MIYAZAKI GRANDE</v>
      </c>
      <c r="AC472" s="0" t="n">
        <v>44</v>
      </c>
    </row>
    <row r="473" customFormat="false" ht="45.75" hidden="false" customHeight="true" outlineLevel="0" collapsed="false">
      <c r="A473" s="9" t="n">
        <v>2</v>
      </c>
      <c r="B473" s="10" t="n">
        <v>46196</v>
      </c>
      <c r="C473" s="10" t="n">
        <v>46198</v>
      </c>
      <c r="D473" s="9" t="n">
        <v>642</v>
      </c>
      <c r="E473" s="11" t="s">
        <v>123</v>
      </c>
      <c r="F473" s="9" t="n">
        <v>24</v>
      </c>
      <c r="G473" s="11" t="s">
        <v>51</v>
      </c>
      <c r="H473" s="9" t="n">
        <v>2110101</v>
      </c>
      <c r="I473" s="11" t="s">
        <v>43</v>
      </c>
      <c r="J473" s="9" t="n">
        <v>1294252</v>
      </c>
      <c r="L473" s="9" t="n">
        <v>509</v>
      </c>
      <c r="M473" s="11" t="s">
        <v>52</v>
      </c>
      <c r="N473" s="11" t="s">
        <v>37</v>
      </c>
      <c r="P473" s="9" t="n">
        <v>113</v>
      </c>
      <c r="Q473" s="11" t="s">
        <v>46</v>
      </c>
      <c r="R473" s="11" t="s">
        <v>47</v>
      </c>
      <c r="S473" s="9" t="n">
        <v>1130101</v>
      </c>
      <c r="T473" s="11" t="s">
        <v>48</v>
      </c>
      <c r="U473" s="12" t="n">
        <v>180</v>
      </c>
      <c r="W473" s="12" t="n">
        <v>0</v>
      </c>
      <c r="X473" s="11" t="s">
        <v>570</v>
      </c>
      <c r="Z473" s="0" t="str">
        <f aca="false">IF($T473="","",IFERROR(INDEX('Resumo Grupos'!$AC$3:$AC$200,MATCH($T473,'Resumo Grupos'!$AB$3:$AB$200,0)),"n/d"))</f>
        <v>Mercadoria</v>
      </c>
      <c r="AA473" s="0" t="str">
        <f aca="false">IF($T473="","",IF(COUNTIF('Resumo Grupos'!$AE$3:$AE$40,$T473)&gt;0,"NAO","SIM"))</f>
        <v>SIM</v>
      </c>
      <c r="AB473" s="0" t="str">
        <f aca="false">IFERROR(INDEX('Mov Entradas (Rel 10497)'!$L:$L,MATCH(AC473,'Mov Entradas (Rel 10497)'!$I:$I,0)),"nao encontrado")</f>
        <v>BOLO BLOOM 600G</v>
      </c>
      <c r="AC473" s="0" t="n">
        <v>509</v>
      </c>
    </row>
    <row r="474" customFormat="false" ht="36.75" hidden="false" customHeight="true" outlineLevel="0" collapsed="false">
      <c r="A474" s="9" t="n">
        <v>2</v>
      </c>
      <c r="B474" s="10" t="n">
        <v>46184</v>
      </c>
      <c r="C474" s="10" t="n">
        <v>46198</v>
      </c>
      <c r="D474" s="9" t="n">
        <v>1601</v>
      </c>
      <c r="E474" s="11" t="s">
        <v>193</v>
      </c>
      <c r="F474" s="9" t="n">
        <v>24</v>
      </c>
      <c r="G474" s="11" t="s">
        <v>51</v>
      </c>
      <c r="H474" s="9" t="n">
        <v>2110101</v>
      </c>
      <c r="I474" s="11" t="s">
        <v>43</v>
      </c>
      <c r="J474" s="9" t="n">
        <v>1236541</v>
      </c>
      <c r="L474" s="9" t="n">
        <v>843146</v>
      </c>
      <c r="M474" s="11" t="s">
        <v>52</v>
      </c>
      <c r="N474" s="11" t="s">
        <v>37</v>
      </c>
      <c r="P474" s="9" t="n">
        <v>113</v>
      </c>
      <c r="Q474" s="11" t="s">
        <v>46</v>
      </c>
      <c r="R474" s="11" t="s">
        <v>47</v>
      </c>
      <c r="S474" s="9" t="n">
        <v>1130101</v>
      </c>
      <c r="T474" s="11" t="s">
        <v>48</v>
      </c>
      <c r="U474" s="12" t="n">
        <v>433.35</v>
      </c>
      <c r="W474" s="12" t="n">
        <v>0</v>
      </c>
      <c r="X474" s="11" t="s">
        <v>571</v>
      </c>
      <c r="Z474" s="0" t="str">
        <f aca="false">IF($T474="","",IFERROR(INDEX('Resumo Grupos'!$AC$3:$AC$200,MATCH($T474,'Resumo Grupos'!$AB$3:$AB$200,0)),"n/d"))</f>
        <v>Mercadoria</v>
      </c>
      <c r="AA474" s="0" t="str">
        <f aca="false">IF($T474="","",IF(COUNTIF('Resumo Grupos'!$AE$3:$AE$40,$T474)&gt;0,"NAO","SIM"))</f>
        <v>SIM</v>
      </c>
      <c r="AB474" s="0" t="str">
        <f aca="false">IFERROR(INDEX('Mov Entradas (Rel 10497)'!$L:$L,MATCH(AC474,'Mov Entradas (Rel 10497)'!$I:$I,0)),"nao encontrado")</f>
        <v>BATATA PALH MARIZA</v>
      </c>
      <c r="AC474" s="0" t="n">
        <v>843146</v>
      </c>
    </row>
    <row r="475" customFormat="false" ht="36.75" hidden="false" customHeight="true" outlineLevel="0" collapsed="false">
      <c r="A475" s="9" t="n">
        <v>2</v>
      </c>
      <c r="B475" s="10" t="n">
        <v>46184</v>
      </c>
      <c r="C475" s="10" t="n">
        <v>46198</v>
      </c>
      <c r="D475" s="9" t="n">
        <v>1601</v>
      </c>
      <c r="E475" s="11" t="s">
        <v>193</v>
      </c>
      <c r="F475" s="9" t="n">
        <v>24</v>
      </c>
      <c r="G475" s="11" t="s">
        <v>51</v>
      </c>
      <c r="H475" s="9" t="n">
        <v>2110101</v>
      </c>
      <c r="I475" s="11" t="s">
        <v>43</v>
      </c>
      <c r="J475" s="9" t="n">
        <v>1236598</v>
      </c>
      <c r="L475" s="9" t="n">
        <v>843147</v>
      </c>
      <c r="M475" s="11" t="s">
        <v>52</v>
      </c>
      <c r="N475" s="11" t="s">
        <v>37</v>
      </c>
      <c r="P475" s="9" t="n">
        <v>113</v>
      </c>
      <c r="Q475" s="11" t="s">
        <v>46</v>
      </c>
      <c r="R475" s="11" t="s">
        <v>47</v>
      </c>
      <c r="S475" s="9" t="n">
        <v>1130101</v>
      </c>
      <c r="T475" s="11" t="s">
        <v>48</v>
      </c>
      <c r="U475" s="12" t="n">
        <v>844.75</v>
      </c>
      <c r="W475" s="12" t="n">
        <v>0</v>
      </c>
      <c r="X475" s="11" t="s">
        <v>572</v>
      </c>
      <c r="Z475" s="0" t="str">
        <f aca="false">IF($T475="","",IFERROR(INDEX('Resumo Grupos'!$AC$3:$AC$200,MATCH($T475,'Resumo Grupos'!$AB$3:$AB$200,0)),"n/d"))</f>
        <v>Mercadoria</v>
      </c>
      <c r="AA475" s="0" t="str">
        <f aca="false">IF($T475="","",IF(COUNTIF('Resumo Grupos'!$AE$3:$AE$40,$T475)&gt;0,"NAO","SIM"))</f>
        <v>SIM</v>
      </c>
      <c r="AB475" s="0" t="str">
        <f aca="false">IFERROR(INDEX('Mov Entradas (Rel 10497)'!$L:$L,MATCH(AC475,'Mov Entradas (Rel 10497)'!$I:$I,0)),"nao encontrado")</f>
        <v>HEINZ YELLOW MUSTARD</v>
      </c>
      <c r="AC475" s="0" t="n">
        <v>843147</v>
      </c>
    </row>
    <row r="476" customFormat="false" ht="36.75" hidden="false" customHeight="true" outlineLevel="0" collapsed="false">
      <c r="A476" s="9" t="n">
        <v>2</v>
      </c>
      <c r="B476" s="10" t="n">
        <v>46170</v>
      </c>
      <c r="C476" s="10" t="n">
        <v>46198</v>
      </c>
      <c r="D476" s="9" t="n">
        <v>1608</v>
      </c>
      <c r="E476" s="11" t="s">
        <v>240</v>
      </c>
      <c r="F476" s="9" t="n">
        <v>24</v>
      </c>
      <c r="G476" s="11" t="s">
        <v>51</v>
      </c>
      <c r="H476" s="9" t="n">
        <v>2110101</v>
      </c>
      <c r="I476" s="11" t="s">
        <v>43</v>
      </c>
      <c r="J476" s="9" t="n">
        <v>1167416</v>
      </c>
      <c r="L476" s="9" t="n">
        <v>1663000</v>
      </c>
      <c r="M476" s="11" t="s">
        <v>52</v>
      </c>
      <c r="N476" s="11" t="s">
        <v>37</v>
      </c>
      <c r="P476" s="9" t="n">
        <v>113</v>
      </c>
      <c r="Q476" s="11" t="s">
        <v>46</v>
      </c>
      <c r="R476" s="11" t="s">
        <v>47</v>
      </c>
      <c r="S476" s="9" t="n">
        <v>1130101</v>
      </c>
      <c r="T476" s="11" t="s">
        <v>48</v>
      </c>
      <c r="U476" s="12" t="n">
        <v>464.4</v>
      </c>
      <c r="W476" s="12" t="n">
        <v>0</v>
      </c>
      <c r="X476" s="11" t="s">
        <v>573</v>
      </c>
      <c r="Z476" s="0" t="str">
        <f aca="false">IF($T476="","",IFERROR(INDEX('Resumo Grupos'!$AC$3:$AC$200,MATCH($T476,'Resumo Grupos'!$AB$3:$AB$200,0)),"n/d"))</f>
        <v>Mercadoria</v>
      </c>
      <c r="AA476" s="0" t="str">
        <f aca="false">IF($T476="","",IF(COUNTIF('Resumo Grupos'!$AE$3:$AE$40,$T476)&gt;0,"NAO","SIM"))</f>
        <v>SIM</v>
      </c>
      <c r="AB476" s="0" t="str">
        <f aca="false">IFERROR(INDEX('Mov Entradas (Rel 10497)'!$L:$L,MATCH(AC476,'Mov Entradas (Rel 10497)'!$I:$I,0)),"nao encontrado")</f>
        <v>nao encontrado</v>
      </c>
      <c r="AC476" s="0" t="n">
        <v>1663000</v>
      </c>
    </row>
    <row r="477" customFormat="false" ht="36.75" hidden="false" customHeight="true" outlineLevel="0" collapsed="false">
      <c r="A477" s="9" t="n">
        <v>2</v>
      </c>
      <c r="B477" s="10" t="n">
        <v>46184</v>
      </c>
      <c r="C477" s="10" t="n">
        <v>46198</v>
      </c>
      <c r="D477" s="9" t="n">
        <v>1636</v>
      </c>
      <c r="E477" s="11" t="s">
        <v>61</v>
      </c>
      <c r="F477" s="9" t="n">
        <v>24</v>
      </c>
      <c r="G477" s="11" t="s">
        <v>51</v>
      </c>
      <c r="H477" s="9" t="n">
        <v>2110101</v>
      </c>
      <c r="I477" s="11" t="s">
        <v>43</v>
      </c>
      <c r="J477" s="9" t="n">
        <v>1236922</v>
      </c>
      <c r="L477" s="9" t="n">
        <v>164792</v>
      </c>
      <c r="M477" s="11" t="s">
        <v>52</v>
      </c>
      <c r="N477" s="11" t="s">
        <v>45</v>
      </c>
      <c r="P477" s="9" t="n">
        <v>113</v>
      </c>
      <c r="Q477" s="11" t="s">
        <v>46</v>
      </c>
      <c r="R477" s="11" t="s">
        <v>47</v>
      </c>
      <c r="S477" s="9" t="n">
        <v>1130101</v>
      </c>
      <c r="T477" s="11" t="s">
        <v>48</v>
      </c>
      <c r="U477" s="12" t="n">
        <v>1104.06</v>
      </c>
      <c r="W477" s="12" t="n">
        <v>0</v>
      </c>
      <c r="X477" s="11" t="s">
        <v>574</v>
      </c>
      <c r="Z477" s="0" t="str">
        <f aca="false">IF($T477="","",IFERROR(INDEX('Resumo Grupos'!$AC$3:$AC$200,MATCH($T477,'Resumo Grupos'!$AB$3:$AB$200,0)),"n/d"))</f>
        <v>Mercadoria</v>
      </c>
      <c r="AA477" s="0" t="str">
        <f aca="false">IF($T477="","",IF(COUNTIF('Resumo Grupos'!$AE$3:$AE$40,$T477)&gt;0,"NAO","SIM"))</f>
        <v>SIM</v>
      </c>
      <c r="AB477" s="0" t="str">
        <f aca="false">IFERROR(INDEX('Mov Entradas (Rel 10497)'!$L:$L,MATCH(AC477,'Mov Entradas (Rel 10497)'!$I:$I,0)),"nao encontrado")</f>
        <v>ADOC ADOCYL SACARINA 100ML</v>
      </c>
      <c r="AC477" s="0" t="n">
        <v>3201284</v>
      </c>
    </row>
    <row r="478" customFormat="false" ht="36.75" hidden="false" customHeight="true" outlineLevel="0" collapsed="false">
      <c r="A478" s="9" t="n">
        <v>2</v>
      </c>
      <c r="B478" s="10" t="n">
        <v>46185</v>
      </c>
      <c r="C478" s="10" t="n">
        <v>46198</v>
      </c>
      <c r="D478" s="9" t="n">
        <v>1616</v>
      </c>
      <c r="E478" s="11" t="s">
        <v>64</v>
      </c>
      <c r="F478" s="9" t="n">
        <v>24</v>
      </c>
      <c r="G478" s="11" t="s">
        <v>51</v>
      </c>
      <c r="H478" s="9" t="n">
        <v>2110101</v>
      </c>
      <c r="I478" s="11" t="s">
        <v>43</v>
      </c>
      <c r="J478" s="9" t="n">
        <v>1241897</v>
      </c>
      <c r="L478" s="9" t="n">
        <v>645628</v>
      </c>
      <c r="M478" s="11" t="s">
        <v>52</v>
      </c>
      <c r="N478" s="11" t="s">
        <v>37</v>
      </c>
      <c r="P478" s="9" t="n">
        <v>113</v>
      </c>
      <c r="Q478" s="11" t="s">
        <v>46</v>
      </c>
      <c r="R478" s="11" t="s">
        <v>47</v>
      </c>
      <c r="S478" s="9" t="n">
        <v>1130101</v>
      </c>
      <c r="T478" s="11" t="s">
        <v>48</v>
      </c>
      <c r="U478" s="12" t="n">
        <v>383.46</v>
      </c>
      <c r="W478" s="12" t="n">
        <v>0</v>
      </c>
      <c r="X478" s="11" t="s">
        <v>575</v>
      </c>
      <c r="Z478" s="0" t="str">
        <f aca="false">IF($T478="","",IFERROR(INDEX('Resumo Grupos'!$AC$3:$AC$200,MATCH($T478,'Resumo Grupos'!$AB$3:$AB$200,0)),"n/d"))</f>
        <v>Mercadoria</v>
      </c>
      <c r="AA478" s="0" t="str">
        <f aca="false">IF($T478="","",IF(COUNTIF('Resumo Grupos'!$AE$3:$AE$40,$T478)&gt;0,"NAO","SIM"))</f>
        <v>SIM</v>
      </c>
      <c r="AB478" s="0" t="str">
        <f aca="false">IFERROR(INDEX('Mov Entradas (Rel 10497)'!$L:$L,MATCH(AC478,'Mov Entradas (Rel 10497)'!$I:$I,0)),"nao encontrado")</f>
        <v>ESPONJA BRILHUS 1UNI</v>
      </c>
      <c r="AC478" s="0" t="n">
        <v>645628</v>
      </c>
    </row>
    <row r="479" customFormat="false" ht="36.75" hidden="false" customHeight="true" outlineLevel="0" collapsed="false">
      <c r="A479" s="9" t="n">
        <v>2</v>
      </c>
      <c r="B479" s="10" t="n">
        <v>46198</v>
      </c>
      <c r="C479" s="10" t="n">
        <v>46198</v>
      </c>
      <c r="D479" s="9" t="n">
        <v>515</v>
      </c>
      <c r="E479" s="11" t="s">
        <v>137</v>
      </c>
      <c r="F479" s="9" t="n">
        <v>34</v>
      </c>
      <c r="G479" s="11" t="s">
        <v>55</v>
      </c>
      <c r="H479" s="9" t="n">
        <v>2110405</v>
      </c>
      <c r="I479" s="11" t="s">
        <v>56</v>
      </c>
      <c r="J479" s="9" t="n">
        <v>1449408</v>
      </c>
      <c r="L479" s="9" t="n">
        <v>196231</v>
      </c>
      <c r="M479" s="11" t="s">
        <v>52</v>
      </c>
      <c r="N479" s="11" t="s">
        <v>45</v>
      </c>
      <c r="P479" s="9" t="n">
        <v>102</v>
      </c>
      <c r="Q479" s="11" t="s">
        <v>308</v>
      </c>
      <c r="R479" s="11" t="s">
        <v>138</v>
      </c>
      <c r="S479" s="9" t="n">
        <v>4210504</v>
      </c>
      <c r="T479" s="11" t="s">
        <v>143</v>
      </c>
      <c r="U479" s="12" t="n">
        <v>165</v>
      </c>
      <c r="W479" s="12" t="n">
        <v>0</v>
      </c>
      <c r="X479" s="11" t="s">
        <v>576</v>
      </c>
      <c r="Z479" s="0" t="str">
        <f aca="false">IF($T479="","",IFERROR(INDEX('Resumo Grupos'!$AC$3:$AC$200,MATCH($T479,'Resumo Grupos'!$AB$3:$AB$200,0)),"n/d"))</f>
        <v>Despesa</v>
      </c>
      <c r="AA479" s="0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9" t="n">
        <v>2</v>
      </c>
      <c r="B480" s="10" t="n">
        <v>46191</v>
      </c>
      <c r="C480" s="10" t="n">
        <v>46198</v>
      </c>
      <c r="D480" s="9" t="n">
        <v>1815</v>
      </c>
      <c r="E480" s="11" t="s">
        <v>172</v>
      </c>
      <c r="F480" s="9" t="n">
        <v>24</v>
      </c>
      <c r="G480" s="11" t="s">
        <v>51</v>
      </c>
      <c r="H480" s="9" t="n">
        <v>2110101</v>
      </c>
      <c r="I480" s="11" t="s">
        <v>43</v>
      </c>
      <c r="J480" s="9" t="n">
        <v>1269162</v>
      </c>
      <c r="L480" s="9" t="n">
        <v>387833</v>
      </c>
      <c r="M480" s="11" t="s">
        <v>52</v>
      </c>
      <c r="N480" s="11" t="s">
        <v>37</v>
      </c>
      <c r="P480" s="9" t="n">
        <v>113</v>
      </c>
      <c r="Q480" s="11" t="s">
        <v>46</v>
      </c>
      <c r="R480" s="11" t="s">
        <v>47</v>
      </c>
      <c r="S480" s="9" t="n">
        <v>1130101</v>
      </c>
      <c r="T480" s="11" t="s">
        <v>48</v>
      </c>
      <c r="U480" s="12" t="n">
        <v>2664.53</v>
      </c>
      <c r="W480" s="12" t="n">
        <v>0</v>
      </c>
      <c r="X480" s="11" t="s">
        <v>577</v>
      </c>
      <c r="Z480" s="0" t="str">
        <f aca="false">IF($T480="","",IFERROR(INDEX('Resumo Grupos'!$AC$3:$AC$200,MATCH($T480,'Resumo Grupos'!$AB$3:$AB$200,0)),"n/d"))</f>
        <v>Mercadoria</v>
      </c>
      <c r="AA480" s="0" t="str">
        <f aca="false">IF($T480="","",IF(COUNTIF('Resumo Grupos'!$AE$3:$AE$40,$T480)&gt;0,"NAO","SIM"))</f>
        <v>SIM</v>
      </c>
      <c r="AB480" s="0" t="str">
        <f aca="false">IFERROR(INDEX('Mov Entradas (Rel 10497)'!$L:$L,MATCH(AC480,'Mov Entradas (Rel 10497)'!$I:$I,0)),"nao encontrado")</f>
        <v>PATINHO BOVINO KG</v>
      </c>
      <c r="AC480" s="0" t="n">
        <v>387833</v>
      </c>
    </row>
    <row r="481" customFormat="false" ht="45.75" hidden="false" customHeight="true" outlineLevel="0" collapsed="false">
      <c r="A481" s="9" t="n">
        <v>2</v>
      </c>
      <c r="B481" s="10" t="n">
        <v>46191</v>
      </c>
      <c r="C481" s="10" t="n">
        <v>46198</v>
      </c>
      <c r="D481" s="9" t="n">
        <v>581</v>
      </c>
      <c r="E481" s="11" t="s">
        <v>147</v>
      </c>
      <c r="F481" s="9" t="n">
        <v>24</v>
      </c>
      <c r="G481" s="11" t="s">
        <v>51</v>
      </c>
      <c r="H481" s="9" t="n">
        <v>2110101</v>
      </c>
      <c r="I481" s="11" t="s">
        <v>43</v>
      </c>
      <c r="J481" s="9" t="n">
        <v>1269843</v>
      </c>
      <c r="L481" s="9" t="n">
        <v>31025</v>
      </c>
      <c r="M481" s="11" t="s">
        <v>52</v>
      </c>
      <c r="N481" s="11" t="s">
        <v>37</v>
      </c>
      <c r="P481" s="9" t="n">
        <v>113</v>
      </c>
      <c r="Q481" s="11" t="s">
        <v>46</v>
      </c>
      <c r="R481" s="11" t="s">
        <v>47</v>
      </c>
      <c r="S481" s="9" t="n">
        <v>1130101</v>
      </c>
      <c r="T481" s="11" t="s">
        <v>48</v>
      </c>
      <c r="U481" s="12" t="n">
        <v>199</v>
      </c>
      <c r="W481" s="12" t="n">
        <v>0</v>
      </c>
      <c r="X481" s="11" t="s">
        <v>578</v>
      </c>
      <c r="Z481" s="0" t="str">
        <f aca="false">IF($T481="","",IFERROR(INDEX('Resumo Grupos'!$AC$3:$AC$200,MATCH($T481,'Resumo Grupos'!$AB$3:$AB$200,0)),"n/d"))</f>
        <v>Mercadoria</v>
      </c>
      <c r="AA481" s="0" t="str">
        <f aca="false">IF($T481="","",IF(COUNTIF('Resumo Grupos'!$AE$3:$AE$40,$T481)&gt;0,"NAO","SIM"))</f>
        <v>SIM</v>
      </c>
      <c r="AB481" s="0" t="str">
        <f aca="false">IFERROR(INDEX('Mov Entradas (Rel 10497)'!$L:$L,MATCH(AC481,'Mov Entradas (Rel 10497)'!$I:$I,0)),"nao encontrado")</f>
        <v>GOMA DE MANDIOCA AMA</v>
      </c>
      <c r="AC481" s="0" t="n">
        <v>31025</v>
      </c>
    </row>
    <row r="482" customFormat="false" ht="36.75" hidden="false" customHeight="true" outlineLevel="0" collapsed="false">
      <c r="A482" s="9" t="n">
        <v>2</v>
      </c>
      <c r="B482" s="10" t="n">
        <v>46188</v>
      </c>
      <c r="C482" s="10" t="n">
        <v>46198</v>
      </c>
      <c r="D482" s="9" t="n">
        <v>1611</v>
      </c>
      <c r="E482" s="11" t="s">
        <v>178</v>
      </c>
      <c r="F482" s="9" t="n">
        <v>24</v>
      </c>
      <c r="G482" s="11" t="s">
        <v>51</v>
      </c>
      <c r="H482" s="9" t="n">
        <v>2110101</v>
      </c>
      <c r="I482" s="11" t="s">
        <v>43</v>
      </c>
      <c r="J482" s="9" t="n">
        <v>1255460</v>
      </c>
      <c r="L482" s="9" t="n">
        <v>1771887</v>
      </c>
      <c r="M482" s="11" t="s">
        <v>52</v>
      </c>
      <c r="N482" s="11" t="s">
        <v>37</v>
      </c>
      <c r="P482" s="9" t="n">
        <v>113</v>
      </c>
      <c r="Q482" s="11" t="s">
        <v>46</v>
      </c>
      <c r="R482" s="11" t="s">
        <v>47</v>
      </c>
      <c r="S482" s="9" t="n">
        <v>1130101</v>
      </c>
      <c r="T482" s="11" t="s">
        <v>48</v>
      </c>
      <c r="U482" s="12" t="n">
        <v>613.33</v>
      </c>
      <c r="W482" s="12" t="n">
        <v>0</v>
      </c>
      <c r="X482" s="11" t="s">
        <v>579</v>
      </c>
      <c r="Z482" s="0" t="str">
        <f aca="false">IF($T482="","",IFERROR(INDEX('Resumo Grupos'!$AC$3:$AC$200,MATCH($T482,'Resumo Grupos'!$AB$3:$AB$200,0)),"n/d"))</f>
        <v>Mercadoria</v>
      </c>
      <c r="AA482" s="0" t="str">
        <f aca="false">IF($T482="","",IF(COUNTIF('Resumo Grupos'!$AE$3:$AE$40,$T482)&gt;0,"NAO","SIM"))</f>
        <v>SIM</v>
      </c>
      <c r="AB482" s="0" t="str">
        <f aca="false">IFERROR(INDEX('Mov Entradas (Rel 10497)'!$L:$L,MATCH(AC482,'Mov Entradas (Rel 10497)'!$I:$I,0)),"nao encontrado")</f>
        <v>FIGURINHAS COPA MUNDIAL PC 7UN</v>
      </c>
      <c r="AC482" s="0" t="n">
        <v>1771887</v>
      </c>
    </row>
    <row r="483" customFormat="false" ht="27.75" hidden="false" customHeight="true" outlineLevel="0" collapsed="false">
      <c r="A483" s="9" t="n">
        <v>2</v>
      </c>
      <c r="B483" s="10" t="n">
        <v>46191</v>
      </c>
      <c r="C483" s="10" t="n">
        <v>46198</v>
      </c>
      <c r="D483" s="9" t="n">
        <v>1625</v>
      </c>
      <c r="E483" s="11" t="s">
        <v>270</v>
      </c>
      <c r="F483" s="9" t="n">
        <v>24</v>
      </c>
      <c r="G483" s="11" t="s">
        <v>51</v>
      </c>
      <c r="H483" s="9" t="n">
        <v>2110101</v>
      </c>
      <c r="I483" s="11" t="s">
        <v>43</v>
      </c>
      <c r="J483" s="9" t="n">
        <v>1270055</v>
      </c>
      <c r="L483" s="9" t="n">
        <v>14505</v>
      </c>
      <c r="M483" s="11" t="s">
        <v>52</v>
      </c>
      <c r="N483" s="11" t="s">
        <v>37</v>
      </c>
      <c r="P483" s="9" t="n">
        <v>113</v>
      </c>
      <c r="Q483" s="11" t="s">
        <v>46</v>
      </c>
      <c r="R483" s="11" t="s">
        <v>47</v>
      </c>
      <c r="S483" s="9" t="n">
        <v>1130101</v>
      </c>
      <c r="T483" s="11" t="s">
        <v>48</v>
      </c>
      <c r="U483" s="12" t="n">
        <v>5018.15</v>
      </c>
      <c r="W483" s="12" t="n">
        <v>0</v>
      </c>
      <c r="X483" s="11" t="s">
        <v>580</v>
      </c>
      <c r="Z483" s="0" t="str">
        <f aca="false">IF($T483="","",IFERROR(INDEX('Resumo Grupos'!$AC$3:$AC$200,MATCH($T483,'Resumo Grupos'!$AB$3:$AB$200,0)),"n/d"))</f>
        <v>Mercadoria</v>
      </c>
      <c r="AA483" s="0" t="str">
        <f aca="false">IF($T483="","",IF(COUNTIF('Resumo Grupos'!$AE$3:$AE$40,$T483)&gt;0,"NAO","SIM"))</f>
        <v>SIM</v>
      </c>
      <c r="AB483" s="0" t="str">
        <f aca="false">IFERROR(INDEX('Mov Entradas (Rel 10497)'!$L:$L,MATCH(AC483,'Mov Entradas (Rel 10497)'!$I:$I,0)),"nao encontrado")</f>
        <v>TRASEIRO DE BOI L1</v>
      </c>
      <c r="AC483" s="0" t="n">
        <v>14505</v>
      </c>
    </row>
    <row r="484" customFormat="false" ht="27.75" hidden="false" customHeight="true" outlineLevel="0" collapsed="false">
      <c r="A484" s="9" t="n">
        <v>2</v>
      </c>
      <c r="B484" s="10" t="n">
        <v>46186</v>
      </c>
      <c r="C484" s="10" t="n">
        <v>46198</v>
      </c>
      <c r="D484" s="9" t="n">
        <v>10009</v>
      </c>
      <c r="E484" s="11" t="s">
        <v>464</v>
      </c>
      <c r="F484" s="9" t="n">
        <v>24</v>
      </c>
      <c r="G484" s="11" t="s">
        <v>51</v>
      </c>
      <c r="H484" s="9" t="n">
        <v>2110101</v>
      </c>
      <c r="I484" s="11" t="s">
        <v>43</v>
      </c>
      <c r="J484" s="9" t="n">
        <v>1244221</v>
      </c>
      <c r="L484" s="9" t="n">
        <v>1415530</v>
      </c>
      <c r="M484" s="11" t="s">
        <v>44</v>
      </c>
      <c r="N484" s="11" t="s">
        <v>37</v>
      </c>
      <c r="P484" s="9" t="n">
        <v>113</v>
      </c>
      <c r="Q484" s="11" t="s">
        <v>46</v>
      </c>
      <c r="R484" s="11" t="s">
        <v>47</v>
      </c>
      <c r="S484" s="9" t="n">
        <v>1130101</v>
      </c>
      <c r="T484" s="11" t="s">
        <v>48</v>
      </c>
      <c r="U484" s="12" t="n">
        <v>731.24</v>
      </c>
      <c r="W484" s="12" t="n">
        <v>0</v>
      </c>
      <c r="X484" s="11" t="s">
        <v>465</v>
      </c>
      <c r="Z484" s="0" t="str">
        <f aca="false">IF($T484="","",IFERROR(INDEX('Resumo Grupos'!$AC$3:$AC$200,MATCH($T484,'Resumo Grupos'!$AB$3:$AB$200,0)),"n/d"))</f>
        <v>Mercadoria</v>
      </c>
      <c r="AA484" s="0" t="str">
        <f aca="false">IF($T484="","",IF(COUNTIF('Resumo Grupos'!$AE$3:$AE$40,$T484)&gt;0,"NAO","SIM"))</f>
        <v>SIM</v>
      </c>
      <c r="AB484" s="0" t="str">
        <f aca="false">IFERROR(INDEX('Mov Entradas (Rel 10497)'!$L:$L,MATCH(AC484,'Mov Entradas (Rel 10497)'!$I:$I,0)),"nao encontrado")</f>
        <v>TALENTO CSTN 85G</v>
      </c>
      <c r="AC484" s="0" t="n">
        <v>1415530</v>
      </c>
    </row>
    <row r="485" customFormat="false" ht="45.75" hidden="false" customHeight="true" outlineLevel="0" collapsed="false">
      <c r="A485" s="9" t="n">
        <v>2</v>
      </c>
      <c r="B485" s="10" t="n">
        <v>46188</v>
      </c>
      <c r="C485" s="10" t="n">
        <v>46198</v>
      </c>
      <c r="D485" s="9" t="n">
        <v>10009</v>
      </c>
      <c r="E485" s="11" t="s">
        <v>464</v>
      </c>
      <c r="F485" s="9" t="n">
        <v>24</v>
      </c>
      <c r="G485" s="11" t="s">
        <v>51</v>
      </c>
      <c r="H485" s="9" t="n">
        <v>2110101</v>
      </c>
      <c r="I485" s="11" t="s">
        <v>43</v>
      </c>
      <c r="J485" s="9" t="n">
        <v>1255250</v>
      </c>
      <c r="L485" s="9" t="n">
        <v>1415529</v>
      </c>
      <c r="M485" s="11" t="s">
        <v>44</v>
      </c>
      <c r="N485" s="11" t="s">
        <v>37</v>
      </c>
      <c r="P485" s="9" t="n">
        <v>113</v>
      </c>
      <c r="Q485" s="11" t="s">
        <v>46</v>
      </c>
      <c r="R485" s="11" t="s">
        <v>47</v>
      </c>
      <c r="S485" s="9" t="n">
        <v>1130101</v>
      </c>
      <c r="T485" s="11" t="s">
        <v>48</v>
      </c>
      <c r="U485" s="12" t="n">
        <v>1484.52</v>
      </c>
      <c r="W485" s="12" t="n">
        <v>0</v>
      </c>
      <c r="X485" s="11" t="s">
        <v>466</v>
      </c>
      <c r="Z485" s="0" t="str">
        <f aca="false">IF($T485="","",IFERROR(INDEX('Resumo Grupos'!$AC$3:$AC$200,MATCH($T485,'Resumo Grupos'!$AB$3:$AB$200,0)),"n/d"))</f>
        <v>Mercadoria</v>
      </c>
      <c r="AA485" s="0" t="str">
        <f aca="false">IF($T485="","",IF(COUNTIF('Resumo Grupos'!$AE$3:$AE$40,$T485)&gt;0,"NAO","SIM"))</f>
        <v>SIM</v>
      </c>
      <c r="AB485" s="0" t="str">
        <f aca="false">IFERROR(INDEX('Mov Entradas (Rel 10497)'!$L:$L,MATCH(AC485,'Mov Entradas (Rel 10497)'!$I:$I,0)),"nao encontrado")</f>
        <v>SOPAO MAGGI COST 200</v>
      </c>
      <c r="AC485" s="0" t="n">
        <v>1415529</v>
      </c>
    </row>
    <row r="486" customFormat="false" ht="36.75" hidden="false" customHeight="true" outlineLevel="0" collapsed="false">
      <c r="A486" s="9" t="n">
        <v>2</v>
      </c>
      <c r="B486" s="10" t="n">
        <v>46185</v>
      </c>
      <c r="C486" s="10" t="n">
        <v>46198</v>
      </c>
      <c r="D486" s="9" t="n">
        <v>17</v>
      </c>
      <c r="E486" s="11" t="s">
        <v>489</v>
      </c>
      <c r="F486" s="9" t="n">
        <v>48</v>
      </c>
      <c r="G486" s="11" t="s">
        <v>581</v>
      </c>
      <c r="H486" s="9" t="n">
        <v>2110405</v>
      </c>
      <c r="I486" s="11" t="s">
        <v>56</v>
      </c>
      <c r="J486" s="9" t="n">
        <v>1241390</v>
      </c>
      <c r="L486" s="9" t="n">
        <v>165525</v>
      </c>
      <c r="M486" s="11" t="s">
        <v>52</v>
      </c>
      <c r="N486" s="11" t="s">
        <v>45</v>
      </c>
      <c r="P486" s="9" t="n">
        <v>101</v>
      </c>
      <c r="Q486" s="11" t="s">
        <v>57</v>
      </c>
      <c r="R486" s="11" t="s">
        <v>81</v>
      </c>
      <c r="S486" s="9" t="n">
        <v>4220199</v>
      </c>
      <c r="T486" s="11" t="s">
        <v>82</v>
      </c>
      <c r="U486" s="12" t="n">
        <v>673.84</v>
      </c>
      <c r="W486" s="12" t="n">
        <v>0</v>
      </c>
      <c r="X486" s="11" t="s">
        <v>582</v>
      </c>
      <c r="Z486" s="0" t="str">
        <f aca="false">IF($T486="","",IFERROR(INDEX('Resumo Grupos'!$AC$3:$AC$200,MATCH($T486,'Resumo Grupos'!$AB$3:$AB$200,0)),"n/d"))</f>
        <v>Pagamentos outros não operacionais</v>
      </c>
      <c r="AA486" s="0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9" t="n">
        <v>2</v>
      </c>
      <c r="B487" s="10" t="n">
        <v>46029</v>
      </c>
      <c r="C487" s="10" t="n">
        <v>46198</v>
      </c>
      <c r="D487" s="9" t="n">
        <v>17</v>
      </c>
      <c r="E487" s="11" t="s">
        <v>489</v>
      </c>
      <c r="F487" s="9" t="n">
        <v>48</v>
      </c>
      <c r="G487" s="11" t="s">
        <v>581</v>
      </c>
      <c r="H487" s="9" t="n">
        <v>2110405</v>
      </c>
      <c r="I487" s="11" t="s">
        <v>56</v>
      </c>
      <c r="J487" s="9" t="n">
        <v>660305</v>
      </c>
      <c r="L487" s="9" t="n">
        <v>86116</v>
      </c>
      <c r="M487" s="11" t="s">
        <v>102</v>
      </c>
      <c r="N487" s="11" t="s">
        <v>45</v>
      </c>
      <c r="P487" s="9" t="n">
        <v>101</v>
      </c>
      <c r="Q487" s="11" t="s">
        <v>57</v>
      </c>
      <c r="R487" s="11" t="s">
        <v>81</v>
      </c>
      <c r="S487" s="9" t="n">
        <v>4220199</v>
      </c>
      <c r="T487" s="11" t="s">
        <v>82</v>
      </c>
      <c r="U487" s="12" t="n">
        <v>84.03</v>
      </c>
      <c r="W487" s="12" t="n">
        <v>0</v>
      </c>
      <c r="X487" s="11" t="s">
        <v>583</v>
      </c>
      <c r="Z487" s="0" t="str">
        <f aca="false">IF($T487="","",IFERROR(INDEX('Resumo Grupos'!$AC$3:$AC$200,MATCH($T487,'Resumo Grupos'!$AB$3:$AB$200,0)),"n/d"))</f>
        <v>Pagamentos outros não operacionais</v>
      </c>
      <c r="AA487" s="0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9" t="n">
        <v>2</v>
      </c>
      <c r="B488" s="10" t="n">
        <v>46013</v>
      </c>
      <c r="C488" s="10" t="n">
        <v>46198</v>
      </c>
      <c r="D488" s="9" t="n">
        <v>17</v>
      </c>
      <c r="E488" s="11" t="s">
        <v>489</v>
      </c>
      <c r="F488" s="9" t="n">
        <v>48</v>
      </c>
      <c r="G488" s="11" t="s">
        <v>581</v>
      </c>
      <c r="H488" s="9" t="n">
        <v>2110405</v>
      </c>
      <c r="I488" s="11" t="s">
        <v>56</v>
      </c>
      <c r="J488" s="9" t="n">
        <v>660421</v>
      </c>
      <c r="L488" s="9" t="n">
        <v>86128</v>
      </c>
      <c r="M488" s="11" t="s">
        <v>102</v>
      </c>
      <c r="N488" s="11" t="s">
        <v>45</v>
      </c>
      <c r="P488" s="9" t="n">
        <v>101</v>
      </c>
      <c r="Q488" s="11" t="s">
        <v>57</v>
      </c>
      <c r="R488" s="11" t="s">
        <v>81</v>
      </c>
      <c r="S488" s="9" t="n">
        <v>4220199</v>
      </c>
      <c r="T488" s="11" t="s">
        <v>82</v>
      </c>
      <c r="U488" s="12" t="n">
        <v>362.14</v>
      </c>
      <c r="W488" s="12" t="n">
        <v>0</v>
      </c>
      <c r="X488" s="11" t="s">
        <v>584</v>
      </c>
      <c r="Z488" s="0" t="str">
        <f aca="false">IF($T488="","",IFERROR(INDEX('Resumo Grupos'!$AC$3:$AC$200,MATCH($T488,'Resumo Grupos'!$AB$3:$AB$200,0)),"n/d"))</f>
        <v>Pagamentos outros não operacionais</v>
      </c>
      <c r="AA488" s="0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9" t="n">
        <v>2</v>
      </c>
      <c r="B489" s="10" t="n">
        <v>46186</v>
      </c>
      <c r="C489" s="10" t="n">
        <v>46198</v>
      </c>
      <c r="D489" s="9" t="n">
        <v>1749</v>
      </c>
      <c r="E489" s="11" t="s">
        <v>585</v>
      </c>
      <c r="F489" s="9" t="n">
        <v>24</v>
      </c>
      <c r="G489" s="11" t="s">
        <v>51</v>
      </c>
      <c r="H489" s="9" t="n">
        <v>2110101</v>
      </c>
      <c r="I489" s="11" t="s">
        <v>43</v>
      </c>
      <c r="J489" s="9" t="n">
        <v>1244274</v>
      </c>
      <c r="L489" s="9" t="n">
        <v>1601</v>
      </c>
      <c r="M489" s="11" t="s">
        <v>52</v>
      </c>
      <c r="N489" s="11" t="s">
        <v>37</v>
      </c>
      <c r="P489" s="9" t="n">
        <v>113</v>
      </c>
      <c r="Q489" s="11" t="s">
        <v>46</v>
      </c>
      <c r="R489" s="11" t="s">
        <v>47</v>
      </c>
      <c r="S489" s="9" t="n">
        <v>1130101</v>
      </c>
      <c r="T489" s="11" t="s">
        <v>48</v>
      </c>
      <c r="U489" s="12" t="n">
        <v>1783.9</v>
      </c>
      <c r="W489" s="12" t="n">
        <v>0</v>
      </c>
      <c r="X489" s="11" t="s">
        <v>586</v>
      </c>
      <c r="Z489" s="0" t="str">
        <f aca="false">IF($T489="","",IFERROR(INDEX('Resumo Grupos'!$AC$3:$AC$200,MATCH($T489,'Resumo Grupos'!$AB$3:$AB$200,0)),"n/d"))</f>
        <v>Mercadoria</v>
      </c>
      <c r="AA489" s="0" t="str">
        <f aca="false">IF($T489="","",IF(COUNTIF('Resumo Grupos'!$AE$3:$AE$40,$T489)&gt;0,"NAO","SIM"))</f>
        <v>SIM</v>
      </c>
      <c r="AB489" s="0" t="str">
        <f aca="false">IFERROR(INDEX('Mov Entradas (Rel 10497)'!$L:$L,MATCH(AC489,'Mov Entradas (Rel 10497)'!$I:$I,0)),"nao encontrado")</f>
        <v>AGUA SANITARIA ECONOMICA 1LT</v>
      </c>
      <c r="AC489" s="0" t="n">
        <v>1601</v>
      </c>
    </row>
    <row r="490" customFormat="false" ht="36.75" hidden="false" customHeight="true" outlineLevel="0" collapsed="false">
      <c r="A490" s="9" t="n">
        <v>2</v>
      </c>
      <c r="B490" s="10" t="n">
        <v>46197</v>
      </c>
      <c r="C490" s="10" t="n">
        <v>46198</v>
      </c>
      <c r="D490" s="9" t="n">
        <v>1899</v>
      </c>
      <c r="E490" s="11" t="s">
        <v>204</v>
      </c>
      <c r="F490" s="9" t="n">
        <v>24</v>
      </c>
      <c r="G490" s="11" t="s">
        <v>51</v>
      </c>
      <c r="H490" s="9" t="n">
        <v>2110101</v>
      </c>
      <c r="I490" s="11" t="s">
        <v>43</v>
      </c>
      <c r="J490" s="9" t="n">
        <v>1299215</v>
      </c>
      <c r="L490" s="9" t="n">
        <v>678</v>
      </c>
      <c r="M490" s="11" t="s">
        <v>52</v>
      </c>
      <c r="N490" s="11" t="s">
        <v>37</v>
      </c>
      <c r="P490" s="9" t="n">
        <v>113</v>
      </c>
      <c r="Q490" s="11" t="s">
        <v>46</v>
      </c>
      <c r="R490" s="11" t="s">
        <v>47</v>
      </c>
      <c r="S490" s="9" t="n">
        <v>1130101</v>
      </c>
      <c r="T490" s="11" t="s">
        <v>48</v>
      </c>
      <c r="U490" s="12" t="n">
        <v>234.8</v>
      </c>
      <c r="W490" s="12" t="n">
        <v>0</v>
      </c>
      <c r="X490" s="11" t="s">
        <v>587</v>
      </c>
      <c r="Z490" s="0" t="str">
        <f aca="false">IF($T490="","",IFERROR(INDEX('Resumo Grupos'!$AC$3:$AC$200,MATCH($T490,'Resumo Grupos'!$AB$3:$AB$200,0)),"n/d"))</f>
        <v>Mercadoria</v>
      </c>
      <c r="AA490" s="0" t="str">
        <f aca="false">IF($T490="","",IF(COUNTIF('Resumo Grupos'!$AE$3:$AE$40,$T490)&gt;0,"NAO","SIM"))</f>
        <v>SIM</v>
      </c>
      <c r="AB490" s="0" t="str">
        <f aca="false">IFERROR(INDEX('Mov Entradas (Rel 10497)'!$L:$L,MATCH(AC490,'Mov Entradas (Rel 10497)'!$I:$I,0)),"nao encontrado")</f>
        <v>PAO DE FORMA REAL MA</v>
      </c>
      <c r="AC490" s="0" t="n">
        <v>678</v>
      </c>
    </row>
    <row r="491" customFormat="false" ht="36.75" hidden="false" customHeight="true" outlineLevel="0" collapsed="false">
      <c r="A491" s="9" t="n">
        <v>2</v>
      </c>
      <c r="B491" s="10" t="n">
        <v>46195</v>
      </c>
      <c r="C491" s="10" t="n">
        <v>46198</v>
      </c>
      <c r="D491" s="9" t="n">
        <v>10084</v>
      </c>
      <c r="E491" s="11" t="s">
        <v>588</v>
      </c>
      <c r="F491" s="9" t="n">
        <v>24</v>
      </c>
      <c r="G491" s="11" t="s">
        <v>51</v>
      </c>
      <c r="H491" s="9" t="n">
        <v>2110101</v>
      </c>
      <c r="I491" s="11" t="s">
        <v>43</v>
      </c>
      <c r="J491" s="9" t="n">
        <v>1289354</v>
      </c>
      <c r="L491" s="9" t="n">
        <v>721</v>
      </c>
      <c r="M491" s="11" t="s">
        <v>52</v>
      </c>
      <c r="N491" s="11" t="s">
        <v>37</v>
      </c>
      <c r="P491" s="9" t="n">
        <v>113</v>
      </c>
      <c r="Q491" s="11" t="s">
        <v>46</v>
      </c>
      <c r="R491" s="11" t="s">
        <v>47</v>
      </c>
      <c r="S491" s="9" t="n">
        <v>1130101</v>
      </c>
      <c r="T491" s="11" t="s">
        <v>48</v>
      </c>
      <c r="U491" s="12" t="n">
        <v>480.78</v>
      </c>
      <c r="W491" s="12" t="n">
        <v>0</v>
      </c>
      <c r="X491" s="11" t="s">
        <v>589</v>
      </c>
      <c r="Z491" s="0" t="str">
        <f aca="false">IF($T491="","",IFERROR(INDEX('Resumo Grupos'!$AC$3:$AC$200,MATCH($T491,'Resumo Grupos'!$AB$3:$AB$200,0)),"n/d"))</f>
        <v>Mercadoria</v>
      </c>
      <c r="AA491" s="0" t="str">
        <f aca="false">IF($T491="","",IF(COUNTIF('Resumo Grupos'!$AE$3:$AE$40,$T491)&gt;0,"NAO","SIM"))</f>
        <v>SIM</v>
      </c>
      <c r="AB491" s="0" t="str">
        <f aca="false">IFERROR(INDEX('Mov Entradas (Rel 10497)'!$L:$L,MATCH(AC491,'Mov Entradas (Rel 10497)'!$I:$I,0)),"nao encontrado")</f>
        <v>ETANIZ TINTA UG PRETO BRILHANTE 210G/400</v>
      </c>
      <c r="AC491" s="0" t="n">
        <v>721</v>
      </c>
    </row>
    <row r="492" customFormat="false" ht="36.75" hidden="false" customHeight="true" outlineLevel="0" collapsed="false">
      <c r="A492" s="9" t="n">
        <v>2</v>
      </c>
      <c r="B492" s="10" t="n">
        <v>46198</v>
      </c>
      <c r="C492" s="10" t="n">
        <v>46198</v>
      </c>
      <c r="D492" s="9" t="n">
        <v>0</v>
      </c>
      <c r="E492" s="11" t="s">
        <v>109</v>
      </c>
      <c r="F492" s="9" t="n">
        <v>17</v>
      </c>
      <c r="G492" s="11" t="s">
        <v>110</v>
      </c>
      <c r="H492" s="9" t="n">
        <v>1110101</v>
      </c>
      <c r="I492" s="11" t="s">
        <v>111</v>
      </c>
      <c r="J492" s="9" t="n">
        <v>1328911</v>
      </c>
      <c r="L492" s="9" t="n">
        <v>1328911</v>
      </c>
      <c r="M492" s="11" t="s">
        <v>52</v>
      </c>
      <c r="N492" s="11" t="s">
        <v>112</v>
      </c>
      <c r="P492" s="9" t="n">
        <v>113</v>
      </c>
      <c r="Q492" s="11" t="s">
        <v>46</v>
      </c>
      <c r="R492" s="11" t="s">
        <v>259</v>
      </c>
      <c r="S492" s="9" t="n">
        <v>2110101</v>
      </c>
      <c r="T492" s="11" t="s">
        <v>43</v>
      </c>
      <c r="U492" s="12" t="n">
        <v>180</v>
      </c>
      <c r="W492" s="12" t="n">
        <v>180</v>
      </c>
      <c r="X492" s="11" t="s">
        <v>590</v>
      </c>
      <c r="Z492" s="0" t="str">
        <f aca="false">IF($T492="","",IFERROR(INDEX('Resumo Grupos'!$AC$3:$AC$200,MATCH($T492,'Resumo Grupos'!$AB$3:$AB$200,0)),"n/d"))</f>
        <v>Despesa</v>
      </c>
      <c r="AA492" s="0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9" t="n">
        <v>2</v>
      </c>
      <c r="B493" s="10" t="n">
        <v>46198</v>
      </c>
      <c r="C493" s="10" t="n">
        <v>46198</v>
      </c>
      <c r="D493" s="9" t="n">
        <v>0</v>
      </c>
      <c r="E493" s="11" t="s">
        <v>109</v>
      </c>
      <c r="F493" s="9" t="n">
        <v>17</v>
      </c>
      <c r="G493" s="11" t="s">
        <v>110</v>
      </c>
      <c r="H493" s="9" t="n">
        <v>1110101</v>
      </c>
      <c r="I493" s="11" t="s">
        <v>111</v>
      </c>
      <c r="J493" s="9" t="n">
        <v>1361238</v>
      </c>
      <c r="L493" s="9" t="n">
        <v>1361238</v>
      </c>
      <c r="M493" s="11" t="s">
        <v>52</v>
      </c>
      <c r="N493" s="11" t="s">
        <v>112</v>
      </c>
      <c r="P493" s="9" t="n">
        <v>113</v>
      </c>
      <c r="Q493" s="11" t="s">
        <v>46</v>
      </c>
      <c r="R493" s="11" t="s">
        <v>116</v>
      </c>
      <c r="S493" s="9" t="n">
        <v>1110203</v>
      </c>
      <c r="T493" s="11" t="s">
        <v>117</v>
      </c>
      <c r="U493" s="12" t="n">
        <v>1550</v>
      </c>
      <c r="W493" s="12" t="n">
        <v>1550</v>
      </c>
      <c r="X493" s="11" t="s">
        <v>591</v>
      </c>
      <c r="Z493" s="0" t="str">
        <f aca="false">IF($T493="","",IFERROR(INDEX('Resumo Grupos'!$AC$3:$AC$200,MATCH($T493,'Resumo Grupos'!$AB$3:$AB$200,0)),"n/d"))</f>
        <v>Despesa</v>
      </c>
      <c r="AA493" s="0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9" t="n">
        <v>2</v>
      </c>
      <c r="B494" s="10" t="n">
        <v>46195</v>
      </c>
      <c r="C494" s="10" t="n">
        <v>46199</v>
      </c>
      <c r="D494" s="9" t="n">
        <v>1695</v>
      </c>
      <c r="E494" s="11" t="s">
        <v>390</v>
      </c>
      <c r="F494" s="9" t="n">
        <v>24</v>
      </c>
      <c r="G494" s="11" t="s">
        <v>51</v>
      </c>
      <c r="H494" s="9" t="n">
        <v>2110101</v>
      </c>
      <c r="I494" s="11" t="s">
        <v>43</v>
      </c>
      <c r="J494" s="9" t="n">
        <v>1289973</v>
      </c>
      <c r="L494" s="9" t="n">
        <v>18762</v>
      </c>
      <c r="M494" s="11" t="s">
        <v>52</v>
      </c>
      <c r="N494" s="11" t="s">
        <v>37</v>
      </c>
      <c r="P494" s="9" t="n">
        <v>113</v>
      </c>
      <c r="Q494" s="11" t="s">
        <v>46</v>
      </c>
      <c r="R494" s="11" t="s">
        <v>47</v>
      </c>
      <c r="S494" s="9" t="n">
        <v>1130101</v>
      </c>
      <c r="T494" s="11" t="s">
        <v>48</v>
      </c>
      <c r="U494" s="12" t="n">
        <v>1433.64</v>
      </c>
      <c r="W494" s="12" t="n">
        <v>0</v>
      </c>
      <c r="X494" s="11" t="s">
        <v>592</v>
      </c>
      <c r="Z494" s="0" t="str">
        <f aca="false">IF($T494="","",IFERROR(INDEX('Resumo Grupos'!$AC$3:$AC$200,MATCH($T494,'Resumo Grupos'!$AB$3:$AB$200,0)),"n/d"))</f>
        <v>Mercadoria</v>
      </c>
      <c r="AA494" s="0" t="str">
        <f aca="false">IF($T494="","",IF(COUNTIF('Resumo Grupos'!$AE$3:$AE$40,$T494)&gt;0,"NAO","SIM"))</f>
        <v>SIM</v>
      </c>
      <c r="AB494" s="0" t="str">
        <f aca="false">IFERROR(INDEX('Mov Entradas (Rel 10497)'!$L:$L,MATCH(AC494,'Mov Entradas (Rel 10497)'!$I:$I,0)),"nao encontrado")</f>
        <v>AGUA SANI BRILUX1L</v>
      </c>
      <c r="AC494" s="0" t="n">
        <v>18762</v>
      </c>
    </row>
    <row r="495" customFormat="false" ht="36.75" hidden="false" customHeight="true" outlineLevel="0" collapsed="false">
      <c r="A495" s="9" t="n">
        <v>2</v>
      </c>
      <c r="B495" s="10" t="n">
        <v>46196</v>
      </c>
      <c r="C495" s="10" t="n">
        <v>46199</v>
      </c>
      <c r="D495" s="9" t="n">
        <v>1695</v>
      </c>
      <c r="E495" s="11" t="s">
        <v>390</v>
      </c>
      <c r="F495" s="9" t="n">
        <v>34</v>
      </c>
      <c r="G495" s="11" t="s">
        <v>55</v>
      </c>
      <c r="H495" s="9" t="n">
        <v>2110101</v>
      </c>
      <c r="I495" s="11" t="s">
        <v>43</v>
      </c>
      <c r="J495" s="9" t="n">
        <v>1295585</v>
      </c>
      <c r="L495" s="9" t="n">
        <v>173443</v>
      </c>
      <c r="M495" s="11" t="s">
        <v>52</v>
      </c>
      <c r="N495" s="11" t="s">
        <v>45</v>
      </c>
      <c r="P495" s="9" t="n">
        <v>113</v>
      </c>
      <c r="Q495" s="11" t="s">
        <v>46</v>
      </c>
      <c r="R495" s="11" t="s">
        <v>47</v>
      </c>
      <c r="S495" s="9" t="n">
        <v>1130101</v>
      </c>
      <c r="T495" s="11" t="s">
        <v>48</v>
      </c>
      <c r="U495" s="12" t="n">
        <v>1037.02</v>
      </c>
      <c r="W495" s="12" t="n">
        <v>0</v>
      </c>
      <c r="X495" s="11" t="s">
        <v>593</v>
      </c>
      <c r="Z495" s="0" t="str">
        <f aca="false">IF($T495="","",IFERROR(INDEX('Resumo Grupos'!$AC$3:$AC$200,MATCH($T495,'Resumo Grupos'!$AB$3:$AB$200,0)),"n/d"))</f>
        <v>Mercadoria</v>
      </c>
      <c r="AA495" s="0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9" t="n">
        <v>2</v>
      </c>
      <c r="B496" s="10" t="n">
        <v>46195</v>
      </c>
      <c r="C496" s="10" t="n">
        <v>46199</v>
      </c>
      <c r="D496" s="9" t="n">
        <v>1642</v>
      </c>
      <c r="E496" s="11" t="s">
        <v>228</v>
      </c>
      <c r="F496" s="9" t="n">
        <v>24</v>
      </c>
      <c r="G496" s="11" t="s">
        <v>51</v>
      </c>
      <c r="H496" s="9" t="n">
        <v>2110101</v>
      </c>
      <c r="I496" s="11" t="s">
        <v>43</v>
      </c>
      <c r="J496" s="9" t="n">
        <v>1289139</v>
      </c>
      <c r="L496" s="9" t="n">
        <v>1027913</v>
      </c>
      <c r="M496" s="11" t="s">
        <v>52</v>
      </c>
      <c r="N496" s="11" t="s">
        <v>37</v>
      </c>
      <c r="P496" s="9" t="n">
        <v>113</v>
      </c>
      <c r="Q496" s="11" t="s">
        <v>46</v>
      </c>
      <c r="R496" s="11" t="s">
        <v>47</v>
      </c>
      <c r="S496" s="9" t="n">
        <v>1130101</v>
      </c>
      <c r="T496" s="11" t="s">
        <v>48</v>
      </c>
      <c r="U496" s="12" t="n">
        <v>370.84</v>
      </c>
      <c r="W496" s="12" t="n">
        <v>0</v>
      </c>
      <c r="X496" s="11" t="s">
        <v>594</v>
      </c>
      <c r="Z496" s="0" t="str">
        <f aca="false">IF($T496="","",IFERROR(INDEX('Resumo Grupos'!$AC$3:$AC$200,MATCH($T496,'Resumo Grupos'!$AB$3:$AB$200,0)),"n/d"))</f>
        <v>Mercadoria</v>
      </c>
      <c r="AA496" s="0" t="str">
        <f aca="false">IF($T496="","",IF(COUNTIF('Resumo Grupos'!$AE$3:$AE$40,$T496)&gt;0,"NAO","SIM"))</f>
        <v>SIM</v>
      </c>
      <c r="AB496" s="0" t="str">
        <f aca="false">IFERROR(INDEX('Mov Entradas (Rel 10497)'!$L:$L,MATCH(AC496,'Mov Entradas (Rel 10497)'!$I:$I,0)),"nao encontrado")</f>
        <v>PAO DE FORMA BROTHER</v>
      </c>
      <c r="AC496" s="0" t="n">
        <v>1027913</v>
      </c>
    </row>
    <row r="497" customFormat="false" ht="36.75" hidden="false" customHeight="true" outlineLevel="0" collapsed="false">
      <c r="A497" s="9" t="n">
        <v>2</v>
      </c>
      <c r="B497" s="10" t="n">
        <v>46195</v>
      </c>
      <c r="C497" s="10" t="n">
        <v>46199</v>
      </c>
      <c r="D497" s="9" t="n">
        <v>1608</v>
      </c>
      <c r="E497" s="11" t="s">
        <v>240</v>
      </c>
      <c r="F497" s="9" t="n">
        <v>24</v>
      </c>
      <c r="G497" s="11" t="s">
        <v>51</v>
      </c>
      <c r="H497" s="9" t="n">
        <v>2110101</v>
      </c>
      <c r="I497" s="11" t="s">
        <v>43</v>
      </c>
      <c r="J497" s="9" t="n">
        <v>1289156</v>
      </c>
      <c r="L497" s="9" t="n">
        <v>1676964</v>
      </c>
      <c r="M497" s="11" t="s">
        <v>52</v>
      </c>
      <c r="N497" s="11" t="s">
        <v>37</v>
      </c>
      <c r="P497" s="9" t="n">
        <v>113</v>
      </c>
      <c r="Q497" s="11" t="s">
        <v>46</v>
      </c>
      <c r="R497" s="11" t="s">
        <v>47</v>
      </c>
      <c r="S497" s="9" t="n">
        <v>1130101</v>
      </c>
      <c r="T497" s="11" t="s">
        <v>48</v>
      </c>
      <c r="U497" s="12" t="n">
        <v>334.45</v>
      </c>
      <c r="W497" s="12" t="n">
        <v>0</v>
      </c>
      <c r="X497" s="11" t="s">
        <v>595</v>
      </c>
      <c r="Z497" s="0" t="str">
        <f aca="false">IF($T497="","",IFERROR(INDEX('Resumo Grupos'!$AC$3:$AC$200,MATCH($T497,'Resumo Grupos'!$AB$3:$AB$200,0)),"n/d"))</f>
        <v>Mercadoria</v>
      </c>
      <c r="AA497" s="0" t="str">
        <f aca="false">IF($T497="","",IF(COUNTIF('Resumo Grupos'!$AE$3:$AE$40,$T497)&gt;0,"NAO","SIM"))</f>
        <v>SIM</v>
      </c>
      <c r="AB497" s="0" t="str">
        <f aca="false">IFERROR(INDEX('Mov Entradas (Rel 10497)'!$L:$L,MATCH(AC497,'Mov Entradas (Rel 10497)'!$I:$I,0)),"nao encontrado")</f>
        <v>DANONINHO MORAN 100G</v>
      </c>
      <c r="AC497" s="0" t="n">
        <v>1676964</v>
      </c>
    </row>
    <row r="498" customFormat="false" ht="63.75" hidden="false" customHeight="true" outlineLevel="0" collapsed="false">
      <c r="A498" s="9" t="n">
        <v>2</v>
      </c>
      <c r="B498" s="10" t="n">
        <v>46199</v>
      </c>
      <c r="C498" s="10" t="n">
        <v>46199</v>
      </c>
      <c r="D498" s="9" t="n">
        <v>1037</v>
      </c>
      <c r="E498" s="11" t="s">
        <v>134</v>
      </c>
      <c r="F498" s="9" t="n">
        <v>34</v>
      </c>
      <c r="G498" s="11" t="s">
        <v>55</v>
      </c>
      <c r="H498" s="9" t="n">
        <v>2110405</v>
      </c>
      <c r="I498" s="11" t="s">
        <v>56</v>
      </c>
      <c r="J498" s="9" t="n">
        <v>1441434</v>
      </c>
      <c r="L498" s="9" t="n">
        <v>194981</v>
      </c>
      <c r="M498" s="11" t="s">
        <v>52</v>
      </c>
      <c r="N498" s="11" t="s">
        <v>45</v>
      </c>
      <c r="P498" s="9" t="n">
        <v>101</v>
      </c>
      <c r="Q498" s="11" t="s">
        <v>57</v>
      </c>
      <c r="R498" s="11" t="s">
        <v>81</v>
      </c>
      <c r="S498" s="9" t="n">
        <v>4220199</v>
      </c>
      <c r="T498" s="11" t="s">
        <v>82</v>
      </c>
      <c r="U498" s="12" t="n">
        <v>4252</v>
      </c>
      <c r="W498" s="12" t="n">
        <v>0</v>
      </c>
      <c r="X498" s="11" t="s">
        <v>596</v>
      </c>
      <c r="Z498" s="0" t="str">
        <f aca="false">IF($T498="","",IFERROR(INDEX('Resumo Grupos'!$AC$3:$AC$200,MATCH($T498,'Resumo Grupos'!$AB$3:$AB$200,0)),"n/d"))</f>
        <v>Pagamentos outros não operacionais</v>
      </c>
      <c r="AA498" s="0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9" t="n">
        <v>2</v>
      </c>
      <c r="B499" s="10" t="n">
        <v>46178</v>
      </c>
      <c r="C499" s="10" t="n">
        <v>46199</v>
      </c>
      <c r="D499" s="9" t="n">
        <v>1626</v>
      </c>
      <c r="E499" s="11" t="s">
        <v>77</v>
      </c>
      <c r="F499" s="9" t="n">
        <v>24</v>
      </c>
      <c r="G499" s="11" t="s">
        <v>51</v>
      </c>
      <c r="H499" s="9" t="n">
        <v>2110101</v>
      </c>
      <c r="I499" s="11" t="s">
        <v>43</v>
      </c>
      <c r="J499" s="9" t="n">
        <v>1206566</v>
      </c>
      <c r="L499" s="9" t="n">
        <v>160684</v>
      </c>
      <c r="M499" s="11" t="s">
        <v>52</v>
      </c>
      <c r="N499" s="11" t="s">
        <v>45</v>
      </c>
      <c r="P499" s="9" t="n">
        <v>113</v>
      </c>
      <c r="Q499" s="11" t="s">
        <v>46</v>
      </c>
      <c r="R499" s="11" t="s">
        <v>47</v>
      </c>
      <c r="S499" s="9" t="n">
        <v>1130101</v>
      </c>
      <c r="T499" s="11" t="s">
        <v>48</v>
      </c>
      <c r="U499" s="12" t="n">
        <v>392.24</v>
      </c>
      <c r="W499" s="12" t="n">
        <v>0</v>
      </c>
      <c r="X499" s="11" t="s">
        <v>377</v>
      </c>
      <c r="Z499" s="0" t="str">
        <f aca="false">IF($T499="","",IFERROR(INDEX('Resumo Grupos'!$AC$3:$AC$200,MATCH($T499,'Resumo Grupos'!$AB$3:$AB$200,0)),"n/d"))</f>
        <v>Mercadoria</v>
      </c>
      <c r="AA499" s="0" t="str">
        <f aca="false">IF($T499="","",IF(COUNTIF('Resumo Grupos'!$AE$3:$AE$40,$T499)&gt;0,"NAO","SIM"))</f>
        <v>SIM</v>
      </c>
      <c r="AB499" s="0" t="str">
        <f aca="false">IFERROR(INDEX('Mov Entradas (Rel 10497)'!$L:$L,MATCH(AC499,'Mov Entradas (Rel 10497)'!$I:$I,0)),"nao encontrado")</f>
        <v>TEKITOS TRAD 300G</v>
      </c>
      <c r="AC499" s="0" t="n">
        <v>308379</v>
      </c>
    </row>
    <row r="500" customFormat="false" ht="63.75" hidden="false" customHeight="true" outlineLevel="0" collapsed="false">
      <c r="A500" s="9" t="n">
        <v>2</v>
      </c>
      <c r="B500" s="10" t="n">
        <v>46185</v>
      </c>
      <c r="C500" s="10" t="n">
        <v>46199</v>
      </c>
      <c r="D500" s="9" t="n">
        <v>1667</v>
      </c>
      <c r="E500" s="11" t="s">
        <v>77</v>
      </c>
      <c r="F500" s="9" t="n">
        <v>24</v>
      </c>
      <c r="G500" s="11" t="s">
        <v>51</v>
      </c>
      <c r="H500" s="9" t="n">
        <v>2110101</v>
      </c>
      <c r="I500" s="11" t="s">
        <v>43</v>
      </c>
      <c r="J500" s="9" t="n">
        <v>1240606</v>
      </c>
      <c r="L500" s="9" t="n">
        <v>165330</v>
      </c>
      <c r="M500" s="11" t="s">
        <v>52</v>
      </c>
      <c r="N500" s="11" t="s">
        <v>45</v>
      </c>
      <c r="P500" s="9" t="n">
        <v>113</v>
      </c>
      <c r="Q500" s="11" t="s">
        <v>46</v>
      </c>
      <c r="R500" s="11" t="s">
        <v>47</v>
      </c>
      <c r="S500" s="9" t="n">
        <v>1130101</v>
      </c>
      <c r="T500" s="11" t="s">
        <v>48</v>
      </c>
      <c r="U500" s="12" t="n">
        <v>866.35</v>
      </c>
      <c r="W500" s="12" t="n">
        <v>0</v>
      </c>
      <c r="X500" s="11" t="s">
        <v>597</v>
      </c>
      <c r="Z500" s="0" t="str">
        <f aca="false">IF($T500="","",IFERROR(INDEX('Resumo Grupos'!$AC$3:$AC$200,MATCH($T500,'Resumo Grupos'!$AB$3:$AB$200,0)),"n/d"))</f>
        <v>Mercadoria</v>
      </c>
      <c r="AA500" s="0" t="str">
        <f aca="false">IF($T500="","",IF(COUNTIF('Resumo Grupos'!$AE$3:$AE$40,$T500)&gt;0,"NAO","SIM"))</f>
        <v>SIM</v>
      </c>
      <c r="AB500" s="0" t="str">
        <f aca="false">IFERROR(INDEX('Mov Entradas (Rel 10497)'!$L:$L,MATCH(AC500,'Mov Entradas (Rel 10497)'!$I:$I,0)),"nao encontrado")</f>
        <v>MINGUAL D AVEIA ALL</v>
      </c>
      <c r="AC500" s="0" t="n">
        <v>394904</v>
      </c>
    </row>
    <row r="501" customFormat="false" ht="36.75" hidden="false" customHeight="true" outlineLevel="0" collapsed="false">
      <c r="A501" s="9" t="n">
        <v>2</v>
      </c>
      <c r="B501" s="10" t="n">
        <v>46195</v>
      </c>
      <c r="C501" s="10" t="n">
        <v>46199</v>
      </c>
      <c r="D501" s="9" t="n">
        <v>1609</v>
      </c>
      <c r="E501" s="11" t="s">
        <v>84</v>
      </c>
      <c r="F501" s="9" t="n">
        <v>24</v>
      </c>
      <c r="G501" s="11" t="s">
        <v>51</v>
      </c>
      <c r="H501" s="9" t="n">
        <v>2110101</v>
      </c>
      <c r="I501" s="11" t="s">
        <v>43</v>
      </c>
      <c r="J501" s="9" t="n">
        <v>1289146</v>
      </c>
      <c r="L501" s="9" t="n">
        <v>5679</v>
      </c>
      <c r="M501" s="11" t="s">
        <v>52</v>
      </c>
      <c r="N501" s="11" t="s">
        <v>37</v>
      </c>
      <c r="P501" s="9" t="n">
        <v>113</v>
      </c>
      <c r="Q501" s="11" t="s">
        <v>46</v>
      </c>
      <c r="R501" s="11" t="s">
        <v>47</v>
      </c>
      <c r="S501" s="9" t="n">
        <v>1130101</v>
      </c>
      <c r="T501" s="11" t="s">
        <v>48</v>
      </c>
      <c r="U501" s="12" t="n">
        <v>306</v>
      </c>
      <c r="W501" s="12" t="n">
        <v>0</v>
      </c>
      <c r="X501" s="11" t="s">
        <v>598</v>
      </c>
      <c r="Z501" s="0" t="str">
        <f aca="false">IF($T501="","",IFERROR(INDEX('Resumo Grupos'!$AC$3:$AC$200,MATCH($T501,'Resumo Grupos'!$AB$3:$AB$200,0)),"n/d"))</f>
        <v>Mercadoria</v>
      </c>
      <c r="AA501" s="0" t="str">
        <f aca="false">IF($T501="","",IF(COUNTIF('Resumo Grupos'!$AE$3:$AE$40,$T501)&gt;0,"NAO","SIM"))</f>
        <v>SIM</v>
      </c>
      <c r="AB501" s="0" t="str">
        <f aca="false">IFERROR(INDEX('Mov Entradas (Rel 10497)'!$L:$L,MATCH(AC501,'Mov Entradas (Rel 10497)'!$I:$I,0)),"nao encontrado")</f>
        <v>SUCO YOFRUT COPO 300</v>
      </c>
      <c r="AC501" s="0" t="n">
        <v>5679</v>
      </c>
    </row>
    <row r="502" customFormat="false" ht="45.75" hidden="false" customHeight="true" outlineLevel="0" collapsed="false">
      <c r="A502" s="9" t="n">
        <v>2</v>
      </c>
      <c r="B502" s="10" t="n">
        <v>46023</v>
      </c>
      <c r="C502" s="10" t="n">
        <v>46199</v>
      </c>
      <c r="D502" s="9" t="n">
        <v>515</v>
      </c>
      <c r="E502" s="11" t="s">
        <v>137</v>
      </c>
      <c r="F502" s="9" t="n">
        <v>34</v>
      </c>
      <c r="G502" s="11" t="s">
        <v>55</v>
      </c>
      <c r="H502" s="9" t="n">
        <v>2110405</v>
      </c>
      <c r="I502" s="11" t="s">
        <v>56</v>
      </c>
      <c r="J502" s="9" t="n">
        <v>1012266</v>
      </c>
      <c r="L502" s="9" t="n">
        <v>133812</v>
      </c>
      <c r="M502" s="11" t="s">
        <v>102</v>
      </c>
      <c r="N502" s="11" t="s">
        <v>45</v>
      </c>
      <c r="P502" s="9" t="n">
        <v>101</v>
      </c>
      <c r="Q502" s="11" t="s">
        <v>57</v>
      </c>
      <c r="R502" s="11" t="s">
        <v>323</v>
      </c>
      <c r="S502" s="9" t="n">
        <v>2110901</v>
      </c>
      <c r="T502" s="11" t="s">
        <v>324</v>
      </c>
      <c r="U502" s="12" t="n">
        <v>4168.41</v>
      </c>
      <c r="W502" s="12" t="n">
        <v>0</v>
      </c>
      <c r="X502" s="11" t="s">
        <v>599</v>
      </c>
      <c r="Z502" s="0" t="str">
        <f aca="false">IF($T502="","",IFERROR(INDEX('Resumo Grupos'!$AC$3:$AC$200,MATCH($T502,'Resumo Grupos'!$AB$3:$AB$200,0)),"n/d"))</f>
        <v>Empréstimo</v>
      </c>
      <c r="AA502" s="0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9" t="n">
        <v>2</v>
      </c>
      <c r="B503" s="10" t="n">
        <v>46199</v>
      </c>
      <c r="C503" s="10" t="n">
        <v>46199</v>
      </c>
      <c r="D503" s="9" t="n">
        <v>515</v>
      </c>
      <c r="E503" s="11" t="s">
        <v>137</v>
      </c>
      <c r="F503" s="9" t="n">
        <v>34</v>
      </c>
      <c r="G503" s="11" t="s">
        <v>55</v>
      </c>
      <c r="H503" s="9" t="n">
        <v>2110405</v>
      </c>
      <c r="I503" s="11" t="s">
        <v>56</v>
      </c>
      <c r="J503" s="9" t="n">
        <v>1444171</v>
      </c>
      <c r="L503" s="9" t="n">
        <v>195337</v>
      </c>
      <c r="M503" s="11" t="s">
        <v>52</v>
      </c>
      <c r="N503" s="11" t="s">
        <v>45</v>
      </c>
      <c r="P503" s="9" t="n">
        <v>104</v>
      </c>
      <c r="Q503" s="11" t="s">
        <v>38</v>
      </c>
      <c r="R503" s="11" t="s">
        <v>138</v>
      </c>
      <c r="S503" s="9" t="n">
        <v>4210502</v>
      </c>
      <c r="T503" s="11" t="s">
        <v>246</v>
      </c>
      <c r="U503" s="12" t="n">
        <v>1603.6</v>
      </c>
      <c r="W503" s="12" t="n">
        <v>0</v>
      </c>
      <c r="X503" s="11" t="s">
        <v>600</v>
      </c>
      <c r="Z503" s="0" t="str">
        <f aca="false">IF($T503="","",IFERROR(INDEX('Resumo Grupos'!$AC$3:$AC$200,MATCH($T503,'Resumo Grupos'!$AB$3:$AB$200,0)),"n/d"))</f>
        <v>Empréstimo</v>
      </c>
      <c r="AA503" s="0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9" t="n">
        <v>2</v>
      </c>
      <c r="B504" s="10" t="n">
        <v>46195</v>
      </c>
      <c r="C504" s="10" t="n">
        <v>46199</v>
      </c>
      <c r="D504" s="9" t="n">
        <v>1363</v>
      </c>
      <c r="E504" s="11" t="s">
        <v>174</v>
      </c>
      <c r="F504" s="9" t="n">
        <v>24</v>
      </c>
      <c r="G504" s="11" t="s">
        <v>51</v>
      </c>
      <c r="H504" s="9" t="n">
        <v>2110101</v>
      </c>
      <c r="I504" s="11" t="s">
        <v>43</v>
      </c>
      <c r="J504" s="9" t="n">
        <v>1289327</v>
      </c>
      <c r="L504" s="9" t="n">
        <v>3407</v>
      </c>
      <c r="M504" s="11" t="s">
        <v>52</v>
      </c>
      <c r="N504" s="11" t="s">
        <v>37</v>
      </c>
      <c r="P504" s="9" t="n">
        <v>113</v>
      </c>
      <c r="Q504" s="11" t="s">
        <v>46</v>
      </c>
      <c r="R504" s="11" t="s">
        <v>47</v>
      </c>
      <c r="S504" s="9" t="n">
        <v>1130101</v>
      </c>
      <c r="T504" s="11" t="s">
        <v>48</v>
      </c>
      <c r="U504" s="12" t="n">
        <v>110</v>
      </c>
      <c r="W504" s="12" t="n">
        <v>0</v>
      </c>
      <c r="X504" s="11" t="s">
        <v>601</v>
      </c>
      <c r="Z504" s="0" t="str">
        <f aca="false">IF($T504="","",IFERROR(INDEX('Resumo Grupos'!$AC$3:$AC$200,MATCH($T504,'Resumo Grupos'!$AB$3:$AB$200,0)),"n/d"))</f>
        <v>Mercadoria</v>
      </c>
      <c r="AA504" s="0" t="str">
        <f aca="false">IF($T504="","",IF(COUNTIF('Resumo Grupos'!$AE$3:$AE$40,$T504)&gt;0,"NAO","SIM"))</f>
        <v>SIM</v>
      </c>
      <c r="AB504" s="0" t="str">
        <f aca="false">IFERROR(INDEX('Mov Entradas (Rel 10497)'!$L:$L,MATCH(AC504,'Mov Entradas (Rel 10497)'!$I:$I,0)),"nao encontrado")</f>
        <v>PAO HAMBURGUER SANTO PAO</v>
      </c>
      <c r="AC504" s="0" t="n">
        <v>3407</v>
      </c>
    </row>
    <row r="505" customFormat="false" ht="36.75" hidden="false" customHeight="true" outlineLevel="0" collapsed="false">
      <c r="A505" s="9" t="n">
        <v>2</v>
      </c>
      <c r="B505" s="10" t="n">
        <v>46199</v>
      </c>
      <c r="C505" s="10" t="n">
        <v>46199</v>
      </c>
      <c r="D505" s="9" t="n">
        <v>48</v>
      </c>
      <c r="E505" s="11" t="s">
        <v>153</v>
      </c>
      <c r="F505" s="9" t="n">
        <v>13</v>
      </c>
      <c r="G505" s="11" t="s">
        <v>135</v>
      </c>
      <c r="H505" s="9" t="n">
        <v>2110101</v>
      </c>
      <c r="I505" s="11" t="s">
        <v>43</v>
      </c>
      <c r="J505" s="9" t="n">
        <v>1310128</v>
      </c>
      <c r="L505" s="9" t="n">
        <v>2510</v>
      </c>
      <c r="M505" s="11" t="s">
        <v>52</v>
      </c>
      <c r="N505" s="11" t="s">
        <v>37</v>
      </c>
      <c r="P505" s="9" t="n">
        <v>113</v>
      </c>
      <c r="Q505" s="11" t="s">
        <v>46</v>
      </c>
      <c r="R505" s="11" t="s">
        <v>47</v>
      </c>
      <c r="S505" s="9" t="n">
        <v>1130101</v>
      </c>
      <c r="T505" s="11" t="s">
        <v>48</v>
      </c>
      <c r="U505" s="12" t="n">
        <v>210</v>
      </c>
      <c r="W505" s="12" t="n">
        <v>210</v>
      </c>
      <c r="X505" s="11" t="s">
        <v>602</v>
      </c>
      <c r="Z505" s="0" t="str">
        <f aca="false">IF($T505="","",IFERROR(INDEX('Resumo Grupos'!$AC$3:$AC$200,MATCH($T505,'Resumo Grupos'!$AB$3:$AB$200,0)),"n/d"))</f>
        <v>Mercadoria</v>
      </c>
      <c r="AA505" s="0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9" t="n">
        <v>2</v>
      </c>
      <c r="B506" s="10" t="n">
        <v>46199</v>
      </c>
      <c r="C506" s="10" t="n">
        <v>46199</v>
      </c>
      <c r="D506" s="9" t="n">
        <v>48</v>
      </c>
      <c r="E506" s="11" t="s">
        <v>153</v>
      </c>
      <c r="F506" s="9" t="n">
        <v>13</v>
      </c>
      <c r="G506" s="11" t="s">
        <v>135</v>
      </c>
      <c r="H506" s="9" t="n">
        <v>2110101</v>
      </c>
      <c r="I506" s="11" t="s">
        <v>43</v>
      </c>
      <c r="J506" s="9" t="n">
        <v>1310262</v>
      </c>
      <c r="L506" s="9" t="n">
        <v>2511</v>
      </c>
      <c r="M506" s="11" t="s">
        <v>52</v>
      </c>
      <c r="N506" s="11" t="s">
        <v>37</v>
      </c>
      <c r="P506" s="9" t="n">
        <v>113</v>
      </c>
      <c r="Q506" s="11" t="s">
        <v>46</v>
      </c>
      <c r="R506" s="11" t="s">
        <v>47</v>
      </c>
      <c r="S506" s="9" t="n">
        <v>1130101</v>
      </c>
      <c r="T506" s="11" t="s">
        <v>48</v>
      </c>
      <c r="U506" s="12" t="n">
        <v>1401.82</v>
      </c>
      <c r="W506" s="12" t="n">
        <v>0</v>
      </c>
      <c r="X506" s="11" t="s">
        <v>603</v>
      </c>
      <c r="Z506" s="0" t="str">
        <f aca="false">IF($T506="","",IFERROR(INDEX('Resumo Grupos'!$AC$3:$AC$200,MATCH($T506,'Resumo Grupos'!$AB$3:$AB$200,0)),"n/d"))</f>
        <v>Mercadoria</v>
      </c>
      <c r="AA506" s="0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9" t="n">
        <v>2</v>
      </c>
      <c r="B507" s="10" t="n">
        <v>46186</v>
      </c>
      <c r="C507" s="10" t="n">
        <v>46199</v>
      </c>
      <c r="D507" s="9" t="n">
        <v>10017</v>
      </c>
      <c r="E507" s="11" t="s">
        <v>183</v>
      </c>
      <c r="F507" s="9" t="n">
        <v>24</v>
      </c>
      <c r="G507" s="11" t="s">
        <v>51</v>
      </c>
      <c r="H507" s="9" t="n">
        <v>2110101</v>
      </c>
      <c r="I507" s="11" t="s">
        <v>43</v>
      </c>
      <c r="J507" s="9" t="n">
        <v>1244256</v>
      </c>
      <c r="L507" s="9" t="n">
        <v>193355</v>
      </c>
      <c r="M507" s="11" t="s">
        <v>52</v>
      </c>
      <c r="N507" s="11" t="s">
        <v>37</v>
      </c>
      <c r="P507" s="9" t="n">
        <v>113</v>
      </c>
      <c r="Q507" s="11" t="s">
        <v>46</v>
      </c>
      <c r="R507" s="11" t="s">
        <v>47</v>
      </c>
      <c r="S507" s="9" t="n">
        <v>1130101</v>
      </c>
      <c r="T507" s="11" t="s">
        <v>48</v>
      </c>
      <c r="U507" s="12" t="n">
        <v>540.3</v>
      </c>
      <c r="W507" s="12" t="n">
        <v>0</v>
      </c>
      <c r="X507" s="11" t="s">
        <v>604</v>
      </c>
      <c r="Z507" s="0" t="str">
        <f aca="false">IF($T507="","",IFERROR(INDEX('Resumo Grupos'!$AC$3:$AC$200,MATCH($T507,'Resumo Grupos'!$AB$3:$AB$200,0)),"n/d"))</f>
        <v>Mercadoria</v>
      </c>
      <c r="AA507" s="0" t="str">
        <f aca="false">IF($T507="","",IF(COUNTIF('Resumo Grupos'!$AE$3:$AE$40,$T507)&gt;0,"NAO","SIM"))</f>
        <v>SIM</v>
      </c>
      <c r="AB507" s="0" t="str">
        <f aca="false">IFERROR(INDEX('Mov Entradas (Rel 10497)'!$L:$L,MATCH(AC507,'Mov Entradas (Rel 10497)'!$I:$I,0)),"nao encontrado")</f>
        <v>COMPOSTO OLIVA SINHA COMPOSTO 250ML</v>
      </c>
      <c r="AC507" s="0" t="n">
        <v>193355</v>
      </c>
    </row>
    <row r="508" customFormat="false" ht="36.75" hidden="false" customHeight="true" outlineLevel="0" collapsed="false">
      <c r="A508" s="9" t="n">
        <v>2</v>
      </c>
      <c r="B508" s="10" t="n">
        <v>46198</v>
      </c>
      <c r="C508" s="10" t="n">
        <v>46199</v>
      </c>
      <c r="D508" s="9" t="n">
        <v>33</v>
      </c>
      <c r="E508" s="11" t="s">
        <v>313</v>
      </c>
      <c r="F508" s="9" t="n">
        <v>34</v>
      </c>
      <c r="G508" s="11" t="s">
        <v>55</v>
      </c>
      <c r="H508" s="9" t="n">
        <v>2110405</v>
      </c>
      <c r="I508" s="11" t="s">
        <v>56</v>
      </c>
      <c r="J508" s="9" t="n">
        <v>1306081</v>
      </c>
      <c r="L508" s="9" t="n">
        <v>175037</v>
      </c>
      <c r="M508" s="11" t="s">
        <v>52</v>
      </c>
      <c r="N508" s="11" t="s">
        <v>45</v>
      </c>
      <c r="P508" s="9" t="n">
        <v>101</v>
      </c>
      <c r="Q508" s="11" t="s">
        <v>57</v>
      </c>
      <c r="R508" s="11" t="s">
        <v>39</v>
      </c>
      <c r="S508" s="9" t="n">
        <v>4210234</v>
      </c>
      <c r="T508" s="11" t="s">
        <v>605</v>
      </c>
      <c r="U508" s="12" t="n">
        <v>31.57</v>
      </c>
      <c r="W508" s="12" t="n">
        <v>0</v>
      </c>
      <c r="X508" s="11" t="s">
        <v>606</v>
      </c>
      <c r="Z508" s="0" t="str">
        <f aca="false">IF($T508="","",IFERROR(INDEX('Resumo Grupos'!$AC$3:$AC$200,MATCH($T508,'Resumo Grupos'!$AB$3:$AB$200,0)),"n/d"))</f>
        <v>Despesa</v>
      </c>
      <c r="AA508" s="0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9" t="n">
        <v>2</v>
      </c>
      <c r="B509" s="10" t="n">
        <v>46199</v>
      </c>
      <c r="C509" s="10" t="n">
        <v>46199</v>
      </c>
      <c r="D509" s="9" t="n">
        <v>33</v>
      </c>
      <c r="E509" s="11" t="s">
        <v>313</v>
      </c>
      <c r="F509" s="9" t="n">
        <v>34</v>
      </c>
      <c r="G509" s="11" t="s">
        <v>55</v>
      </c>
      <c r="H509" s="9" t="n">
        <v>2110405</v>
      </c>
      <c r="I509" s="11" t="s">
        <v>56</v>
      </c>
      <c r="J509" s="9" t="n">
        <v>1309386</v>
      </c>
      <c r="L509" s="9" t="n">
        <v>175245</v>
      </c>
      <c r="M509" s="11" t="s">
        <v>52</v>
      </c>
      <c r="N509" s="11" t="s">
        <v>45</v>
      </c>
      <c r="P509" s="9" t="n">
        <v>102</v>
      </c>
      <c r="Q509" s="11" t="s">
        <v>308</v>
      </c>
      <c r="R509" s="11" t="s">
        <v>607</v>
      </c>
      <c r="S509" s="9" t="n">
        <v>1140101</v>
      </c>
      <c r="T509" s="11" t="s">
        <v>608</v>
      </c>
      <c r="U509" s="12" t="n">
        <v>50.91</v>
      </c>
      <c r="W509" s="12" t="n">
        <v>0</v>
      </c>
      <c r="X509" s="11" t="s">
        <v>609</v>
      </c>
      <c r="Z509" s="0" t="str">
        <f aca="false">IF($T509="","",IFERROR(INDEX('Resumo Grupos'!$AC$3:$AC$200,MATCH($T509,'Resumo Grupos'!$AB$3:$AB$200,0)),"n/d"))</f>
        <v>Despesa</v>
      </c>
      <c r="AA509" s="0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9" t="n">
        <v>2</v>
      </c>
      <c r="B510" s="10" t="n">
        <v>46199</v>
      </c>
      <c r="C510" s="10" t="n">
        <v>46199</v>
      </c>
      <c r="D510" s="9" t="n">
        <v>0</v>
      </c>
      <c r="E510" s="11" t="s">
        <v>109</v>
      </c>
      <c r="F510" s="9" t="n">
        <v>17</v>
      </c>
      <c r="G510" s="11" t="s">
        <v>110</v>
      </c>
      <c r="H510" s="9" t="n">
        <v>1110101</v>
      </c>
      <c r="I510" s="11" t="s">
        <v>111</v>
      </c>
      <c r="J510" s="9" t="n">
        <v>1329041</v>
      </c>
      <c r="L510" s="9" t="n">
        <v>1329041</v>
      </c>
      <c r="M510" s="11" t="s">
        <v>52</v>
      </c>
      <c r="N510" s="11" t="s">
        <v>112</v>
      </c>
      <c r="P510" s="9" t="n">
        <v>113</v>
      </c>
      <c r="Q510" s="11" t="s">
        <v>46</v>
      </c>
      <c r="R510" s="11" t="s">
        <v>259</v>
      </c>
      <c r="S510" s="9" t="n">
        <v>2110101</v>
      </c>
      <c r="T510" s="11" t="s">
        <v>43</v>
      </c>
      <c r="U510" s="12" t="n">
        <v>210</v>
      </c>
      <c r="W510" s="12" t="n">
        <v>210</v>
      </c>
      <c r="X510" s="11" t="s">
        <v>610</v>
      </c>
      <c r="Z510" s="0" t="str">
        <f aca="false">IF($T510="","",IFERROR(INDEX('Resumo Grupos'!$AC$3:$AC$200,MATCH($T510,'Resumo Grupos'!$AB$3:$AB$200,0)),"n/d"))</f>
        <v>Despesa</v>
      </c>
      <c r="AA510" s="0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9" t="n">
        <v>2</v>
      </c>
      <c r="B511" s="10" t="n">
        <v>46199</v>
      </c>
      <c r="C511" s="10" t="n">
        <v>46199</v>
      </c>
      <c r="D511" s="9" t="n">
        <v>0</v>
      </c>
      <c r="E511" s="11" t="s">
        <v>109</v>
      </c>
      <c r="F511" s="9" t="n">
        <v>17</v>
      </c>
      <c r="G511" s="11" t="s">
        <v>110</v>
      </c>
      <c r="H511" s="9" t="n">
        <v>1110101</v>
      </c>
      <c r="I511" s="11" t="s">
        <v>111</v>
      </c>
      <c r="J511" s="9" t="n">
        <v>1329080</v>
      </c>
      <c r="L511" s="9" t="n">
        <v>1329080</v>
      </c>
      <c r="M511" s="11" t="s">
        <v>52</v>
      </c>
      <c r="N511" s="11" t="s">
        <v>112</v>
      </c>
      <c r="P511" s="9" t="n">
        <v>113</v>
      </c>
      <c r="Q511" s="11" t="s">
        <v>46</v>
      </c>
      <c r="R511" s="11" t="s">
        <v>47</v>
      </c>
      <c r="S511" s="9" t="n">
        <v>1130101</v>
      </c>
      <c r="T511" s="11" t="s">
        <v>48</v>
      </c>
      <c r="U511" s="12" t="n">
        <v>130</v>
      </c>
      <c r="W511" s="12" t="n">
        <v>130</v>
      </c>
      <c r="X511" s="11" t="s">
        <v>611</v>
      </c>
      <c r="Z511" s="0" t="str">
        <f aca="false">IF($T511="","",IFERROR(INDEX('Resumo Grupos'!$AC$3:$AC$200,MATCH($T511,'Resumo Grupos'!$AB$3:$AB$200,0)),"n/d"))</f>
        <v>Mercadoria</v>
      </c>
      <c r="AA511" s="0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9" t="n">
        <v>2</v>
      </c>
      <c r="B512" s="10" t="n">
        <v>46199</v>
      </c>
      <c r="C512" s="10" t="n">
        <v>46199</v>
      </c>
      <c r="D512" s="9" t="n">
        <v>0</v>
      </c>
      <c r="E512" s="11" t="s">
        <v>109</v>
      </c>
      <c r="F512" s="9" t="n">
        <v>17</v>
      </c>
      <c r="G512" s="11" t="s">
        <v>110</v>
      </c>
      <c r="H512" s="9" t="n">
        <v>1110101</v>
      </c>
      <c r="I512" s="11" t="s">
        <v>111</v>
      </c>
      <c r="J512" s="9" t="n">
        <v>1329086</v>
      </c>
      <c r="L512" s="9" t="n">
        <v>1329086</v>
      </c>
      <c r="M512" s="11" t="s">
        <v>52</v>
      </c>
      <c r="N512" s="11" t="s">
        <v>112</v>
      </c>
      <c r="P512" s="9" t="n">
        <v>113</v>
      </c>
      <c r="Q512" s="11" t="s">
        <v>46</v>
      </c>
      <c r="R512" s="11" t="s">
        <v>47</v>
      </c>
      <c r="S512" s="9" t="n">
        <v>1130101</v>
      </c>
      <c r="T512" s="11" t="s">
        <v>48</v>
      </c>
      <c r="U512" s="12" t="n">
        <v>75</v>
      </c>
      <c r="W512" s="12" t="n">
        <v>75</v>
      </c>
      <c r="X512" s="11" t="s">
        <v>612</v>
      </c>
      <c r="Z512" s="0" t="str">
        <f aca="false">IF($T512="","",IFERROR(INDEX('Resumo Grupos'!$AC$3:$AC$200,MATCH($T512,'Resumo Grupos'!$AB$3:$AB$200,0)),"n/d"))</f>
        <v>Mercadoria</v>
      </c>
      <c r="AA512" s="0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9" t="n">
        <v>2</v>
      </c>
      <c r="B513" s="10" t="n">
        <v>46199</v>
      </c>
      <c r="C513" s="10" t="n">
        <v>46199</v>
      </c>
      <c r="D513" s="9" t="n">
        <v>0</v>
      </c>
      <c r="E513" s="11" t="s">
        <v>109</v>
      </c>
      <c r="F513" s="9" t="n">
        <v>17</v>
      </c>
      <c r="G513" s="11" t="s">
        <v>110</v>
      </c>
      <c r="H513" s="9" t="n">
        <v>1110101</v>
      </c>
      <c r="I513" s="11" t="s">
        <v>111</v>
      </c>
      <c r="J513" s="9" t="n">
        <v>1329091</v>
      </c>
      <c r="L513" s="9" t="n">
        <v>1329091</v>
      </c>
      <c r="M513" s="11" t="s">
        <v>52</v>
      </c>
      <c r="N513" s="11" t="s">
        <v>112</v>
      </c>
      <c r="P513" s="9" t="n">
        <v>113</v>
      </c>
      <c r="Q513" s="11" t="s">
        <v>46</v>
      </c>
      <c r="R513" s="11" t="s">
        <v>71</v>
      </c>
      <c r="S513" s="9" t="n">
        <v>4210316</v>
      </c>
      <c r="T513" s="11" t="s">
        <v>159</v>
      </c>
      <c r="U513" s="12" t="n">
        <v>50</v>
      </c>
      <c r="W513" s="12" t="n">
        <v>50</v>
      </c>
      <c r="X513" s="11" t="s">
        <v>613</v>
      </c>
      <c r="Z513" s="0" t="str">
        <f aca="false">IF($T513="","",IFERROR(INDEX('Resumo Grupos'!$AC$3:$AC$200,MATCH($T513,'Resumo Grupos'!$AB$3:$AB$200,0)),"n/d"))</f>
        <v>Salários</v>
      </c>
      <c r="AA513" s="0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9" t="n">
        <v>2</v>
      </c>
      <c r="B514" s="10" t="n">
        <v>46199</v>
      </c>
      <c r="C514" s="10" t="n">
        <v>46199</v>
      </c>
      <c r="D514" s="9" t="n">
        <v>0</v>
      </c>
      <c r="E514" s="11" t="s">
        <v>109</v>
      </c>
      <c r="F514" s="9" t="n">
        <v>17</v>
      </c>
      <c r="G514" s="11" t="s">
        <v>110</v>
      </c>
      <c r="H514" s="9" t="n">
        <v>1110101</v>
      </c>
      <c r="I514" s="11" t="s">
        <v>111</v>
      </c>
      <c r="J514" s="9" t="n">
        <v>1361240</v>
      </c>
      <c r="L514" s="9" t="n">
        <v>1361240</v>
      </c>
      <c r="M514" s="11" t="s">
        <v>52</v>
      </c>
      <c r="N514" s="11" t="s">
        <v>112</v>
      </c>
      <c r="P514" s="9" t="n">
        <v>113</v>
      </c>
      <c r="Q514" s="11" t="s">
        <v>46</v>
      </c>
      <c r="R514" s="11" t="s">
        <v>116</v>
      </c>
      <c r="S514" s="9" t="n">
        <v>1110203</v>
      </c>
      <c r="T514" s="11" t="s">
        <v>117</v>
      </c>
      <c r="U514" s="12" t="n">
        <v>2000</v>
      </c>
      <c r="W514" s="12" t="n">
        <v>2000</v>
      </c>
      <c r="X514" s="11" t="s">
        <v>614</v>
      </c>
      <c r="Z514" s="0" t="str">
        <f aca="false">IF($T514="","",IFERROR(INDEX('Resumo Grupos'!$AC$3:$AC$200,MATCH($T514,'Resumo Grupos'!$AB$3:$AB$200,0)),"n/d"))</f>
        <v>Despesa</v>
      </c>
      <c r="AA514" s="0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9" t="n">
        <v>2</v>
      </c>
      <c r="B515" s="10" t="n">
        <v>46186</v>
      </c>
      <c r="C515" s="10" t="n">
        <v>46199</v>
      </c>
      <c r="D515" s="9" t="n">
        <v>1666</v>
      </c>
      <c r="E515" s="11" t="s">
        <v>266</v>
      </c>
      <c r="F515" s="9" t="n">
        <v>24</v>
      </c>
      <c r="G515" s="11" t="s">
        <v>51</v>
      </c>
      <c r="H515" s="9" t="n">
        <v>2110101</v>
      </c>
      <c r="I515" s="11" t="s">
        <v>43</v>
      </c>
      <c r="J515" s="9" t="n">
        <v>1244689</v>
      </c>
      <c r="L515" s="9" t="n">
        <v>563269</v>
      </c>
      <c r="M515" s="11" t="s">
        <v>52</v>
      </c>
      <c r="N515" s="11" t="s">
        <v>37</v>
      </c>
      <c r="P515" s="9" t="n">
        <v>113</v>
      </c>
      <c r="Q515" s="11" t="s">
        <v>46</v>
      </c>
      <c r="R515" s="11" t="s">
        <v>47</v>
      </c>
      <c r="S515" s="9" t="n">
        <v>1130101</v>
      </c>
      <c r="T515" s="11" t="s">
        <v>48</v>
      </c>
      <c r="U515" s="12" t="n">
        <v>3138.67</v>
      </c>
      <c r="W515" s="12" t="n">
        <v>0</v>
      </c>
      <c r="X515" s="11" t="s">
        <v>615</v>
      </c>
      <c r="Z515" s="0" t="str">
        <f aca="false">IF($T515="","",IFERROR(INDEX('Resumo Grupos'!$AC$3:$AC$200,MATCH($T515,'Resumo Grupos'!$AB$3:$AB$200,0)),"n/d"))</f>
        <v>Mercadoria</v>
      </c>
      <c r="AA515" s="0" t="str">
        <f aca="false">IF($T515="","",IF(COUNTIF('Resumo Grupos'!$AE$3:$AE$40,$T515)&gt;0,"NAO","SIM"))</f>
        <v>SIM</v>
      </c>
      <c r="AB515" s="0" t="str">
        <f aca="false">IFERROR(INDEX('Mov Entradas (Rel 10497)'!$L:$L,MATCH(AC515,'Mov Entradas (Rel 10497)'!$I:$I,0)),"nao encontrado")</f>
        <v>LUCKY  STRIKE DOUBLE ICE</v>
      </c>
      <c r="AC515" s="0" t="n">
        <v>563269</v>
      </c>
    </row>
    <row r="516" customFormat="false" ht="36.75" hidden="false" customHeight="true" outlineLevel="0" collapsed="false">
      <c r="A516" s="9" t="n">
        <v>2</v>
      </c>
      <c r="B516" s="10" t="n">
        <v>46189</v>
      </c>
      <c r="C516" s="10" t="n">
        <v>46199</v>
      </c>
      <c r="D516" s="9" t="n">
        <v>1708</v>
      </c>
      <c r="E516" s="11" t="s">
        <v>275</v>
      </c>
      <c r="F516" s="9" t="n">
        <v>24</v>
      </c>
      <c r="G516" s="11" t="s">
        <v>51</v>
      </c>
      <c r="H516" s="9" t="n">
        <v>2110101</v>
      </c>
      <c r="I516" s="11" t="s">
        <v>43</v>
      </c>
      <c r="J516" s="9" t="n">
        <v>1260710</v>
      </c>
      <c r="L516" s="9" t="n">
        <v>260896</v>
      </c>
      <c r="M516" s="11" t="s">
        <v>52</v>
      </c>
      <c r="N516" s="11" t="s">
        <v>37</v>
      </c>
      <c r="P516" s="9" t="n">
        <v>113</v>
      </c>
      <c r="Q516" s="11" t="s">
        <v>46</v>
      </c>
      <c r="R516" s="11" t="s">
        <v>47</v>
      </c>
      <c r="S516" s="9" t="n">
        <v>1130101</v>
      </c>
      <c r="T516" s="11" t="s">
        <v>48</v>
      </c>
      <c r="U516" s="12" t="n">
        <v>482.36</v>
      </c>
      <c r="W516" s="12" t="n">
        <v>0</v>
      </c>
      <c r="X516" s="11" t="s">
        <v>616</v>
      </c>
      <c r="Z516" s="0" t="str">
        <f aca="false">IF($T516="","",IFERROR(INDEX('Resumo Grupos'!$AC$3:$AC$200,MATCH($T516,'Resumo Grupos'!$AB$3:$AB$200,0)),"n/d"))</f>
        <v>Mercadoria</v>
      </c>
      <c r="AA516" s="0" t="str">
        <f aca="false">IF($T516="","",IF(COUNTIF('Resumo Grupos'!$AE$3:$AE$40,$T516)&gt;0,"NAO","SIM"))</f>
        <v>SIM</v>
      </c>
      <c r="AB516" s="0" t="str">
        <f aca="false">IFERROR(INDEX('Mov Entradas (Rel 10497)'!$L:$L,MATCH(AC516,'Mov Entradas (Rel 10497)'!$I:$I,0)),"nao encontrado")</f>
        <v>AMENDOIM JAPONES DORI 30G</v>
      </c>
      <c r="AC516" s="0" t="n">
        <v>260896</v>
      </c>
    </row>
    <row r="517" customFormat="false" ht="45.75" hidden="false" customHeight="true" outlineLevel="0" collapsed="false">
      <c r="A517" s="9" t="n">
        <v>2</v>
      </c>
      <c r="B517" s="10" t="n">
        <v>46195</v>
      </c>
      <c r="C517" s="10" t="n">
        <v>46200</v>
      </c>
      <c r="D517" s="9" t="n">
        <v>10018</v>
      </c>
      <c r="E517" s="11" t="s">
        <v>216</v>
      </c>
      <c r="F517" s="9" t="n">
        <v>34</v>
      </c>
      <c r="G517" s="11" t="s">
        <v>55</v>
      </c>
      <c r="H517" s="9" t="n">
        <v>2110101</v>
      </c>
      <c r="I517" s="11" t="s">
        <v>43</v>
      </c>
      <c r="J517" s="9" t="n">
        <v>1289610</v>
      </c>
      <c r="L517" s="9" t="n">
        <v>313</v>
      </c>
      <c r="M517" s="11" t="s">
        <v>52</v>
      </c>
      <c r="N517" s="11" t="s">
        <v>37</v>
      </c>
      <c r="P517" s="9" t="n">
        <v>113</v>
      </c>
      <c r="Q517" s="11" t="s">
        <v>46</v>
      </c>
      <c r="R517" s="11" t="s">
        <v>47</v>
      </c>
      <c r="S517" s="9" t="n">
        <v>1130101</v>
      </c>
      <c r="T517" s="11" t="s">
        <v>48</v>
      </c>
      <c r="U517" s="12" t="n">
        <v>260</v>
      </c>
      <c r="W517" s="12" t="n">
        <v>0</v>
      </c>
      <c r="X517" s="11" t="s">
        <v>617</v>
      </c>
      <c r="Z517" s="0" t="str">
        <f aca="false">IF($T517="","",IFERROR(INDEX('Resumo Grupos'!$AC$3:$AC$200,MATCH($T517,'Resumo Grupos'!$AB$3:$AB$200,0)),"n/d"))</f>
        <v>Mercadoria</v>
      </c>
      <c r="AA517" s="0" t="str">
        <f aca="false">IF($T517="","",IF(COUNTIF('Resumo Grupos'!$AE$3:$AE$40,$T517)&gt;0,"NAO","SIM"))</f>
        <v>SIM</v>
      </c>
      <c r="AB517" s="0" t="str">
        <f aca="false">IFERROR(INDEX('Mov Entradas (Rel 10497)'!$L:$L,MATCH(AC517,'Mov Entradas (Rel 10497)'!$I:$I,0)),"nao encontrado")</f>
        <v>CAFE MARATA 100G</v>
      </c>
      <c r="AC517" s="0" t="n">
        <v>313</v>
      </c>
    </row>
    <row r="518" customFormat="false" ht="54.75" hidden="false" customHeight="true" outlineLevel="0" collapsed="false">
      <c r="A518" s="9" t="n">
        <v>2</v>
      </c>
      <c r="B518" s="10" t="n">
        <v>46184</v>
      </c>
      <c r="C518" s="10" t="n">
        <v>46200</v>
      </c>
      <c r="D518" s="9" t="n">
        <v>1695</v>
      </c>
      <c r="E518" s="11" t="s">
        <v>390</v>
      </c>
      <c r="F518" s="9" t="n">
        <v>24</v>
      </c>
      <c r="G518" s="11" t="s">
        <v>51</v>
      </c>
      <c r="H518" s="9" t="n">
        <v>2110101</v>
      </c>
      <c r="I518" s="11" t="s">
        <v>43</v>
      </c>
      <c r="J518" s="9" t="n">
        <v>1236453</v>
      </c>
      <c r="L518" s="9" t="n">
        <v>18534</v>
      </c>
      <c r="M518" s="11" t="s">
        <v>67</v>
      </c>
      <c r="N518" s="11" t="s">
        <v>37</v>
      </c>
      <c r="P518" s="9" t="n">
        <v>113</v>
      </c>
      <c r="Q518" s="11" t="s">
        <v>46</v>
      </c>
      <c r="R518" s="11" t="s">
        <v>47</v>
      </c>
      <c r="S518" s="9" t="n">
        <v>1130101</v>
      </c>
      <c r="T518" s="11" t="s">
        <v>48</v>
      </c>
      <c r="U518" s="12" t="n">
        <v>837.48</v>
      </c>
      <c r="W518" s="12" t="n">
        <v>0</v>
      </c>
      <c r="X518" s="11" t="s">
        <v>391</v>
      </c>
      <c r="Z518" s="0" t="str">
        <f aca="false">IF($T518="","",IFERROR(INDEX('Resumo Grupos'!$AC$3:$AC$200,MATCH($T518,'Resumo Grupos'!$AB$3:$AB$200,0)),"n/d"))</f>
        <v>Mercadoria</v>
      </c>
      <c r="AA518" s="0" t="str">
        <f aca="false">IF($T518="","",IF(COUNTIF('Resumo Grupos'!$AE$3:$AE$40,$T518)&gt;0,"NAO","SIM"))</f>
        <v>SIM</v>
      </c>
      <c r="AB518" s="0" t="str">
        <f aca="false">IFERROR(INDEX('Mov Entradas (Rel 10497)'!$L:$L,MATCH(AC518,'Mov Entradas (Rel 10497)'!$I:$I,0)),"nao encontrado")</f>
        <v>DETER LIMPOL MACA 500ML</v>
      </c>
      <c r="AC518" s="0" t="n">
        <v>18534</v>
      </c>
    </row>
    <row r="519" customFormat="false" ht="36.75" hidden="false" customHeight="true" outlineLevel="0" collapsed="false">
      <c r="A519" s="9" t="n">
        <v>2</v>
      </c>
      <c r="B519" s="10" t="n">
        <v>46185</v>
      </c>
      <c r="C519" s="10" t="n">
        <v>46200</v>
      </c>
      <c r="D519" s="9" t="n">
        <v>1705</v>
      </c>
      <c r="E519" s="11" t="s">
        <v>130</v>
      </c>
      <c r="F519" s="9" t="n">
        <v>24</v>
      </c>
      <c r="G519" s="11" t="s">
        <v>51</v>
      </c>
      <c r="H519" s="9" t="n">
        <v>2110101</v>
      </c>
      <c r="I519" s="11" t="s">
        <v>43</v>
      </c>
      <c r="J519" s="9" t="n">
        <v>1241783</v>
      </c>
      <c r="L519" s="9" t="n">
        <v>1877756</v>
      </c>
      <c r="M519" s="11" t="s">
        <v>52</v>
      </c>
      <c r="N519" s="11" t="s">
        <v>37</v>
      </c>
      <c r="P519" s="9" t="n">
        <v>113</v>
      </c>
      <c r="Q519" s="11" t="s">
        <v>46</v>
      </c>
      <c r="R519" s="11" t="s">
        <v>47</v>
      </c>
      <c r="S519" s="9" t="n">
        <v>1130101</v>
      </c>
      <c r="T519" s="11" t="s">
        <v>48</v>
      </c>
      <c r="U519" s="12" t="n">
        <v>16.61</v>
      </c>
      <c r="W519" s="12" t="n">
        <v>0</v>
      </c>
      <c r="X519" s="11" t="s">
        <v>618</v>
      </c>
      <c r="Z519" s="0" t="str">
        <f aca="false">IF($T519="","",IFERROR(INDEX('Resumo Grupos'!$AC$3:$AC$200,MATCH($T519,'Resumo Grupos'!$AB$3:$AB$200,0)),"n/d"))</f>
        <v>Mercadoria</v>
      </c>
      <c r="AA519" s="0" t="str">
        <f aca="false">IF($T519="","",IF(COUNTIF('Resumo Grupos'!$AE$3:$AE$40,$T519)&gt;0,"NAO","SIM"))</f>
        <v>SIM</v>
      </c>
      <c r="AB519" s="0" t="str">
        <f aca="false">IFERROR(INDEX('Mov Entradas (Rel 10497)'!$L:$L,MATCH(AC519,'Mov Entradas (Rel 10497)'!$I:$I,0)),"nao encontrado")</f>
        <v>FANTA LARANJA LT 350ML</v>
      </c>
      <c r="AC519" s="0" t="n">
        <v>1877756</v>
      </c>
    </row>
    <row r="520" customFormat="false" ht="36.75" hidden="false" customHeight="true" outlineLevel="0" collapsed="false">
      <c r="A520" s="9" t="n">
        <v>2</v>
      </c>
      <c r="B520" s="10" t="n">
        <v>46185</v>
      </c>
      <c r="C520" s="10" t="n">
        <v>46200</v>
      </c>
      <c r="D520" s="9" t="n">
        <v>1705</v>
      </c>
      <c r="E520" s="11" t="s">
        <v>130</v>
      </c>
      <c r="F520" s="9" t="n">
        <v>24</v>
      </c>
      <c r="G520" s="11" t="s">
        <v>51</v>
      </c>
      <c r="H520" s="9" t="n">
        <v>2110101</v>
      </c>
      <c r="I520" s="11" t="s">
        <v>43</v>
      </c>
      <c r="J520" s="9" t="n">
        <v>1241797</v>
      </c>
      <c r="L520" s="9" t="n">
        <v>1159468</v>
      </c>
      <c r="M520" s="11" t="s">
        <v>52</v>
      </c>
      <c r="N520" s="11" t="s">
        <v>37</v>
      </c>
      <c r="P520" s="9" t="n">
        <v>113</v>
      </c>
      <c r="Q520" s="11" t="s">
        <v>46</v>
      </c>
      <c r="R520" s="11" t="s">
        <v>47</v>
      </c>
      <c r="S520" s="9" t="n">
        <v>1130101</v>
      </c>
      <c r="T520" s="11" t="s">
        <v>48</v>
      </c>
      <c r="U520" s="12" t="n">
        <v>192.43</v>
      </c>
      <c r="W520" s="12" t="n">
        <v>0</v>
      </c>
      <c r="X520" s="11" t="s">
        <v>619</v>
      </c>
      <c r="Z520" s="0" t="str">
        <f aca="false">IF($T520="","",IFERROR(INDEX('Resumo Grupos'!$AC$3:$AC$200,MATCH($T520,'Resumo Grupos'!$AB$3:$AB$200,0)),"n/d"))</f>
        <v>Mercadoria</v>
      </c>
      <c r="AA520" s="0" t="str">
        <f aca="false">IF($T520="","",IF(COUNTIF('Resumo Grupos'!$AE$3:$AE$40,$T520)&gt;0,"NAO","SIM"))</f>
        <v>SIM</v>
      </c>
      <c r="AB520" s="0" t="str">
        <f aca="false">IFERROR(INDEX('Mov Entradas (Rel 10497)'!$L:$L,MATCH(AC520,'Mov Entradas (Rel 10497)'!$I:$I,0)),"nao encontrado")</f>
        <v>KAPO UVA 200ML</v>
      </c>
      <c r="AC520" s="0" t="n">
        <v>1159468</v>
      </c>
    </row>
    <row r="521" customFormat="false" ht="36.75" hidden="false" customHeight="true" outlineLevel="0" collapsed="false">
      <c r="A521" s="9" t="n">
        <v>2</v>
      </c>
      <c r="B521" s="10" t="n">
        <v>46185</v>
      </c>
      <c r="C521" s="10" t="n">
        <v>46200</v>
      </c>
      <c r="D521" s="9" t="n">
        <v>1705</v>
      </c>
      <c r="E521" s="11" t="s">
        <v>130</v>
      </c>
      <c r="F521" s="9" t="n">
        <v>24</v>
      </c>
      <c r="G521" s="11" t="s">
        <v>51</v>
      </c>
      <c r="H521" s="9" t="n">
        <v>2110101</v>
      </c>
      <c r="I521" s="11" t="s">
        <v>43</v>
      </c>
      <c r="J521" s="9" t="n">
        <v>1241801</v>
      </c>
      <c r="L521" s="9" t="n">
        <v>1159469</v>
      </c>
      <c r="M521" s="11" t="s">
        <v>52</v>
      </c>
      <c r="N521" s="11" t="s">
        <v>37</v>
      </c>
      <c r="P521" s="9" t="n">
        <v>113</v>
      </c>
      <c r="Q521" s="11" t="s">
        <v>46</v>
      </c>
      <c r="R521" s="11" t="s">
        <v>47</v>
      </c>
      <c r="S521" s="9" t="n">
        <v>1130101</v>
      </c>
      <c r="T521" s="11" t="s">
        <v>48</v>
      </c>
      <c r="U521" s="12" t="n">
        <v>544.32</v>
      </c>
      <c r="W521" s="12" t="n">
        <v>0</v>
      </c>
      <c r="X521" s="11" t="s">
        <v>620</v>
      </c>
      <c r="Z521" s="0" t="str">
        <f aca="false">IF($T521="","",IFERROR(INDEX('Resumo Grupos'!$AC$3:$AC$200,MATCH($T521,'Resumo Grupos'!$AB$3:$AB$200,0)),"n/d"))</f>
        <v>Mercadoria</v>
      </c>
      <c r="AA521" s="0" t="str">
        <f aca="false">IF($T521="","",IF(COUNTIF('Resumo Grupos'!$AE$3:$AE$40,$T521)&gt;0,"NAO","SIM"))</f>
        <v>SIM</v>
      </c>
      <c r="AB521" s="0" t="str">
        <f aca="false">IFERROR(INDEX('Mov Entradas (Rel 10497)'!$L:$L,MATCH(AC521,'Mov Entradas (Rel 10497)'!$I:$I,0)),"nao encontrado")</f>
        <v>CERV. AMSTEL SLEEK LT 350ML</v>
      </c>
      <c r="AC521" s="0" t="n">
        <v>1159469</v>
      </c>
    </row>
    <row r="522" customFormat="false" ht="45.75" hidden="false" customHeight="true" outlineLevel="0" collapsed="false">
      <c r="A522" s="9" t="n">
        <v>2</v>
      </c>
      <c r="B522" s="10" t="n">
        <v>46185</v>
      </c>
      <c r="C522" s="10" t="n">
        <v>46200</v>
      </c>
      <c r="D522" s="9" t="n">
        <v>1705</v>
      </c>
      <c r="E522" s="11" t="s">
        <v>130</v>
      </c>
      <c r="F522" s="9" t="n">
        <v>24</v>
      </c>
      <c r="G522" s="11" t="s">
        <v>51</v>
      </c>
      <c r="H522" s="9" t="n">
        <v>2110101</v>
      </c>
      <c r="I522" s="11" t="s">
        <v>43</v>
      </c>
      <c r="J522" s="9" t="n">
        <v>1241857</v>
      </c>
      <c r="L522" s="9" t="n">
        <v>1877757</v>
      </c>
      <c r="M522" s="11" t="s">
        <v>52</v>
      </c>
      <c r="N522" s="11" t="s">
        <v>37</v>
      </c>
      <c r="P522" s="9" t="n">
        <v>113</v>
      </c>
      <c r="Q522" s="11" t="s">
        <v>46</v>
      </c>
      <c r="R522" s="11" t="s">
        <v>47</v>
      </c>
      <c r="S522" s="9" t="n">
        <v>1130101</v>
      </c>
      <c r="T522" s="11" t="s">
        <v>48</v>
      </c>
      <c r="U522" s="12" t="n">
        <v>1081.08</v>
      </c>
      <c r="W522" s="12" t="n">
        <v>0</v>
      </c>
      <c r="X522" s="11" t="s">
        <v>621</v>
      </c>
      <c r="Z522" s="0" t="str">
        <f aca="false">IF($T522="","",IFERROR(INDEX('Resumo Grupos'!$AC$3:$AC$200,MATCH($T522,'Resumo Grupos'!$AB$3:$AB$200,0)),"n/d"))</f>
        <v>Mercadoria</v>
      </c>
      <c r="AA522" s="0" t="str">
        <f aca="false">IF($T522="","",IF(COUNTIF('Resumo Grupos'!$AE$3:$AE$40,$T522)&gt;0,"NAO","SIM"))</f>
        <v>SIM</v>
      </c>
      <c r="AB522" s="0" t="str">
        <f aca="false">IFERROR(INDEX('Mov Entradas (Rel 10497)'!$L:$L,MATCH(AC522,'Mov Entradas (Rel 10497)'!$I:$I,0)),"nao encontrado")</f>
        <v>REFRI. FANTA UVA 1,5</v>
      </c>
      <c r="AC522" s="0" t="n">
        <v>1877757</v>
      </c>
    </row>
    <row r="523" customFormat="false" ht="45.75" hidden="false" customHeight="true" outlineLevel="0" collapsed="false">
      <c r="A523" s="9" t="n">
        <v>2</v>
      </c>
      <c r="B523" s="10" t="n">
        <v>46200</v>
      </c>
      <c r="C523" s="10" t="n">
        <v>46200</v>
      </c>
      <c r="D523" s="9" t="n">
        <v>10096</v>
      </c>
      <c r="E523" s="11" t="s">
        <v>622</v>
      </c>
      <c r="F523" s="9" t="n">
        <v>13</v>
      </c>
      <c r="G523" s="11" t="s">
        <v>135</v>
      </c>
      <c r="H523" s="9" t="n">
        <v>2110405</v>
      </c>
      <c r="I523" s="11" t="s">
        <v>56</v>
      </c>
      <c r="J523" s="9" t="n">
        <v>1428671</v>
      </c>
      <c r="L523" s="9" t="n">
        <v>191272</v>
      </c>
      <c r="M523" s="11" t="s">
        <v>52</v>
      </c>
      <c r="N523" s="11" t="s">
        <v>45</v>
      </c>
      <c r="P523" s="9" t="n">
        <v>113</v>
      </c>
      <c r="Q523" s="11" t="s">
        <v>46</v>
      </c>
      <c r="R523" s="11" t="s">
        <v>47</v>
      </c>
      <c r="S523" s="9" t="n">
        <v>1130101</v>
      </c>
      <c r="T523" s="11" t="s">
        <v>48</v>
      </c>
      <c r="U523" s="12" t="n">
        <v>120</v>
      </c>
      <c r="W523" s="12" t="n">
        <v>0</v>
      </c>
      <c r="X523" s="11" t="s">
        <v>623</v>
      </c>
      <c r="Z523" s="0" t="str">
        <f aca="false">IF($T523="","",IFERROR(INDEX('Resumo Grupos'!$AC$3:$AC$200,MATCH($T523,'Resumo Grupos'!$AB$3:$AB$200,0)),"n/d"))</f>
        <v>Mercadoria</v>
      </c>
      <c r="AA523" s="0" t="str">
        <f aca="false">IF($T523="","",IF(COUNTIF('Resumo Grupos'!$AE$3:$AE$40,$T523)&gt;0,"NAO","SIM"))</f>
        <v>SIM</v>
      </c>
      <c r="AB523" s="0" t="str">
        <f aca="false">IFERROR(INDEX('Mov Entradas (Rel 10497)'!$L:$L,MATCH(AC523,'Mov Entradas (Rel 10497)'!$I:$I,0)),"nao encontrado")</f>
        <v>BOLO MIYAZAKI GRANDE</v>
      </c>
      <c r="AC523" s="0" t="n">
        <v>15</v>
      </c>
    </row>
    <row r="524" customFormat="false" ht="45.75" hidden="false" customHeight="true" outlineLevel="0" collapsed="false">
      <c r="A524" s="9" t="n">
        <v>2</v>
      </c>
      <c r="B524" s="10" t="n">
        <v>46183</v>
      </c>
      <c r="C524" s="10" t="n">
        <v>46200</v>
      </c>
      <c r="D524" s="9" t="n">
        <v>1672</v>
      </c>
      <c r="E524" s="11" t="s">
        <v>343</v>
      </c>
      <c r="F524" s="9" t="n">
        <v>24</v>
      </c>
      <c r="G524" s="11" t="s">
        <v>51</v>
      </c>
      <c r="H524" s="9" t="n">
        <v>2110101</v>
      </c>
      <c r="I524" s="11" t="s">
        <v>43</v>
      </c>
      <c r="J524" s="9" t="n">
        <v>1232476</v>
      </c>
      <c r="L524" s="9" t="n">
        <v>1366479</v>
      </c>
      <c r="M524" s="11" t="s">
        <v>52</v>
      </c>
      <c r="N524" s="11" t="s">
        <v>37</v>
      </c>
      <c r="P524" s="9" t="n">
        <v>113</v>
      </c>
      <c r="Q524" s="11" t="s">
        <v>46</v>
      </c>
      <c r="R524" s="11" t="s">
        <v>47</v>
      </c>
      <c r="S524" s="9" t="n">
        <v>1130101</v>
      </c>
      <c r="T524" s="11" t="s">
        <v>48</v>
      </c>
      <c r="U524" s="12" t="n">
        <v>1837.1</v>
      </c>
      <c r="W524" s="12" t="n">
        <v>0</v>
      </c>
      <c r="X524" s="11" t="s">
        <v>624</v>
      </c>
      <c r="Z524" s="0" t="str">
        <f aca="false">IF($T524="","",IFERROR(INDEX('Resumo Grupos'!$AC$3:$AC$200,MATCH($T524,'Resumo Grupos'!$AB$3:$AB$200,0)),"n/d"))</f>
        <v>Mercadoria</v>
      </c>
      <c r="AA524" s="0" t="str">
        <f aca="false">IF($T524="","",IF(COUNTIF('Resumo Grupos'!$AE$3:$AE$40,$T524)&gt;0,"NAO","SIM"))</f>
        <v>SIM</v>
      </c>
      <c r="AB524" s="0" t="str">
        <f aca="false">IFERROR(INDEX('Mov Entradas (Rel 10497)'!$L:$L,MATCH(AC524,'Mov Entradas (Rel 10497)'!$I:$I,0)),"nao encontrado")</f>
        <v>AGUA MINE YARA 350ML</v>
      </c>
      <c r="AC524" s="0" t="n">
        <v>1366479</v>
      </c>
    </row>
    <row r="525" customFormat="false" ht="63.75" hidden="false" customHeight="true" outlineLevel="0" collapsed="false">
      <c r="A525" s="9" t="n">
        <v>2</v>
      </c>
      <c r="B525" s="10" t="n">
        <v>46200</v>
      </c>
      <c r="C525" s="10" t="n">
        <v>46200</v>
      </c>
      <c r="D525" s="9" t="n">
        <v>0</v>
      </c>
      <c r="E525" s="11" t="s">
        <v>109</v>
      </c>
      <c r="F525" s="9" t="n">
        <v>17</v>
      </c>
      <c r="G525" s="11" t="s">
        <v>110</v>
      </c>
      <c r="H525" s="9" t="n">
        <v>1110101</v>
      </c>
      <c r="I525" s="11" t="s">
        <v>111</v>
      </c>
      <c r="J525" s="9" t="n">
        <v>1329125</v>
      </c>
      <c r="L525" s="9" t="n">
        <v>1329125</v>
      </c>
      <c r="M525" s="11" t="s">
        <v>52</v>
      </c>
      <c r="N525" s="11" t="s">
        <v>112</v>
      </c>
      <c r="P525" s="9" t="n">
        <v>113</v>
      </c>
      <c r="Q525" s="11" t="s">
        <v>46</v>
      </c>
      <c r="R525" s="11" t="s">
        <v>71</v>
      </c>
      <c r="S525" s="9" t="n">
        <v>4210316</v>
      </c>
      <c r="T525" s="11" t="s">
        <v>159</v>
      </c>
      <c r="U525" s="12" t="n">
        <v>50</v>
      </c>
      <c r="W525" s="12" t="n">
        <v>50</v>
      </c>
      <c r="X525" s="11" t="s">
        <v>263</v>
      </c>
      <c r="Z525" s="0" t="str">
        <f aca="false">IF($T525="","",IFERROR(INDEX('Resumo Grupos'!$AC$3:$AC$200,MATCH($T525,'Resumo Grupos'!$AB$3:$AB$200,0)),"n/d"))</f>
        <v>Salários</v>
      </c>
      <c r="AA525" s="0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9" t="n">
        <v>2</v>
      </c>
      <c r="B526" s="10" t="n">
        <v>46200</v>
      </c>
      <c r="C526" s="10" t="n">
        <v>46200</v>
      </c>
      <c r="D526" s="9" t="n">
        <v>0</v>
      </c>
      <c r="E526" s="11" t="s">
        <v>109</v>
      </c>
      <c r="F526" s="9" t="n">
        <v>17</v>
      </c>
      <c r="G526" s="11" t="s">
        <v>110</v>
      </c>
      <c r="H526" s="9" t="n">
        <v>1110101</v>
      </c>
      <c r="I526" s="11" t="s">
        <v>111</v>
      </c>
      <c r="J526" s="9" t="n">
        <v>1361243</v>
      </c>
      <c r="L526" s="9" t="n">
        <v>1361243</v>
      </c>
      <c r="M526" s="11" t="s">
        <v>52</v>
      </c>
      <c r="N526" s="11" t="s">
        <v>112</v>
      </c>
      <c r="P526" s="9" t="n">
        <v>113</v>
      </c>
      <c r="Q526" s="11" t="s">
        <v>46</v>
      </c>
      <c r="R526" s="11" t="s">
        <v>116</v>
      </c>
      <c r="S526" s="9" t="n">
        <v>1110203</v>
      </c>
      <c r="T526" s="11" t="s">
        <v>117</v>
      </c>
      <c r="U526" s="12" t="n">
        <v>2600</v>
      </c>
      <c r="W526" s="12" t="n">
        <v>2600</v>
      </c>
      <c r="X526" s="11" t="s">
        <v>625</v>
      </c>
      <c r="Z526" s="0" t="str">
        <f aca="false">IF($T526="","",IFERROR(INDEX('Resumo Grupos'!$AC$3:$AC$200,MATCH($T526,'Resumo Grupos'!$AB$3:$AB$200,0)),"n/d"))</f>
        <v>Despesa</v>
      </c>
      <c r="AA526" s="0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9" t="n">
        <v>2</v>
      </c>
      <c r="B527" s="10" t="n">
        <v>46195</v>
      </c>
      <c r="C527" s="10" t="n">
        <v>46200</v>
      </c>
      <c r="D527" s="9" t="n">
        <v>754</v>
      </c>
      <c r="E527" s="11" t="s">
        <v>162</v>
      </c>
      <c r="F527" s="9" t="n">
        <v>24</v>
      </c>
      <c r="G527" s="11" t="s">
        <v>51</v>
      </c>
      <c r="H527" s="9" t="n">
        <v>2110101</v>
      </c>
      <c r="I527" s="11" t="s">
        <v>43</v>
      </c>
      <c r="J527" s="9" t="n">
        <v>1289585</v>
      </c>
      <c r="L527" s="9" t="n">
        <v>31246</v>
      </c>
      <c r="M527" s="11" t="s">
        <v>52</v>
      </c>
      <c r="N527" s="11" t="s">
        <v>37</v>
      </c>
      <c r="P527" s="9" t="n">
        <v>113</v>
      </c>
      <c r="Q527" s="11" t="s">
        <v>46</v>
      </c>
      <c r="R527" s="11" t="s">
        <v>47</v>
      </c>
      <c r="S527" s="9" t="n">
        <v>1130101</v>
      </c>
      <c r="T527" s="11" t="s">
        <v>48</v>
      </c>
      <c r="U527" s="12" t="n">
        <v>920</v>
      </c>
      <c r="W527" s="12" t="n">
        <v>0</v>
      </c>
      <c r="X527" s="11" t="s">
        <v>626</v>
      </c>
      <c r="Z527" s="0" t="str">
        <f aca="false">IF($T527="","",IFERROR(INDEX('Resumo Grupos'!$AC$3:$AC$200,MATCH($T527,'Resumo Grupos'!$AB$3:$AB$200,0)),"n/d"))</f>
        <v>Mercadoria</v>
      </c>
      <c r="AA527" s="0" t="str">
        <f aca="false">IF($T527="","",IF(COUNTIF('Resumo Grupos'!$AE$3:$AE$40,$T527)&gt;0,"NAO","SIM"))</f>
        <v>SIM</v>
      </c>
      <c r="AB527" s="0" t="str">
        <f aca="false">IFERROR(INDEX('Mov Entradas (Rel 10497)'!$L:$L,MATCH(AC527,'Mov Entradas (Rel 10497)'!$I:$I,0)),"nao encontrado")</f>
        <v>FRANGO MARINGA KG</v>
      </c>
      <c r="AC527" s="0" t="n">
        <v>31246</v>
      </c>
    </row>
    <row r="528" customFormat="false" ht="63.75" hidden="false" customHeight="true" outlineLevel="0" collapsed="false">
      <c r="A528" s="9" t="n">
        <v>2</v>
      </c>
      <c r="B528" s="10" t="n">
        <v>46195</v>
      </c>
      <c r="C528" s="10" t="n">
        <v>46200</v>
      </c>
      <c r="D528" s="9" t="n">
        <v>754</v>
      </c>
      <c r="E528" s="11" t="s">
        <v>162</v>
      </c>
      <c r="F528" s="9" t="n">
        <v>24</v>
      </c>
      <c r="G528" s="11" t="s">
        <v>51</v>
      </c>
      <c r="H528" s="9" t="n">
        <v>2110101</v>
      </c>
      <c r="I528" s="11" t="s">
        <v>43</v>
      </c>
      <c r="J528" s="9" t="n">
        <v>1290342</v>
      </c>
      <c r="L528" s="9" t="n">
        <v>31247</v>
      </c>
      <c r="M528" s="11" t="s">
        <v>52</v>
      </c>
      <c r="N528" s="11" t="s">
        <v>37</v>
      </c>
      <c r="P528" s="9" t="n">
        <v>113</v>
      </c>
      <c r="Q528" s="11" t="s">
        <v>46</v>
      </c>
      <c r="R528" s="11" t="s">
        <v>47</v>
      </c>
      <c r="S528" s="9" t="n">
        <v>1130101</v>
      </c>
      <c r="T528" s="11" t="s">
        <v>48</v>
      </c>
      <c r="U528" s="12" t="n">
        <v>1538.7</v>
      </c>
      <c r="W528" s="12" t="n">
        <v>0</v>
      </c>
      <c r="X528" s="11" t="s">
        <v>627</v>
      </c>
      <c r="Z528" s="0" t="str">
        <f aca="false">IF($T528="","",IFERROR(INDEX('Resumo Grupos'!$AC$3:$AC$200,MATCH($T528,'Resumo Grupos'!$AB$3:$AB$200,0)),"n/d"))</f>
        <v>Mercadoria</v>
      </c>
      <c r="AA528" s="0" t="str">
        <f aca="false">IF($T528="","",IF(COUNTIF('Resumo Grupos'!$AE$3:$AE$40,$T528)&gt;0,"NAO","SIM"))</f>
        <v>SIM</v>
      </c>
      <c r="AB528" s="0" t="str">
        <f aca="false">IFERROR(INDEX('Mov Entradas (Rel 10497)'!$L:$L,MATCH(AC528,'Mov Entradas (Rel 10497)'!$I:$I,0)),"nao encontrado")</f>
        <v>DIANTEIRO DE BOI L</v>
      </c>
      <c r="AC528" s="0" t="n">
        <v>31247</v>
      </c>
    </row>
    <row r="529" customFormat="false" ht="63.75" hidden="false" customHeight="true" outlineLevel="0" collapsed="false">
      <c r="A529" s="9" t="n">
        <v>2</v>
      </c>
      <c r="B529" s="10" t="n">
        <v>46189</v>
      </c>
      <c r="C529" s="10" t="n">
        <v>46201</v>
      </c>
      <c r="D529" s="9" t="n">
        <v>957</v>
      </c>
      <c r="E529" s="11" t="s">
        <v>628</v>
      </c>
      <c r="F529" s="9" t="n">
        <v>24</v>
      </c>
      <c r="G529" s="11" t="s">
        <v>51</v>
      </c>
      <c r="H529" s="9" t="n">
        <v>2110101</v>
      </c>
      <c r="I529" s="11" t="s">
        <v>43</v>
      </c>
      <c r="J529" s="9" t="n">
        <v>1261052</v>
      </c>
      <c r="L529" s="9" t="n">
        <v>20499</v>
      </c>
      <c r="M529" s="11" t="s">
        <v>52</v>
      </c>
      <c r="N529" s="11" t="s">
        <v>37</v>
      </c>
      <c r="P529" s="9" t="n">
        <v>113</v>
      </c>
      <c r="Q529" s="11" t="s">
        <v>46</v>
      </c>
      <c r="R529" s="11" t="s">
        <v>47</v>
      </c>
      <c r="S529" s="9" t="n">
        <v>1130101</v>
      </c>
      <c r="T529" s="11" t="s">
        <v>48</v>
      </c>
      <c r="U529" s="12" t="n">
        <v>1589.28</v>
      </c>
      <c r="W529" s="12" t="n">
        <v>0</v>
      </c>
      <c r="X529" s="11" t="s">
        <v>629</v>
      </c>
      <c r="Z529" s="0" t="str">
        <f aca="false">IF($T529="","",IFERROR(INDEX('Resumo Grupos'!$AC$3:$AC$200,MATCH($T529,'Resumo Grupos'!$AB$3:$AB$200,0)),"n/d"))</f>
        <v>Mercadoria</v>
      </c>
      <c r="AA529" s="0" t="str">
        <f aca="false">IF($T529="","",IF(COUNTIF('Resumo Grupos'!$AE$3:$AE$40,$T529)&gt;0,"NAO","SIM"))</f>
        <v>SIM</v>
      </c>
      <c r="AB529" s="0" t="str">
        <f aca="false">IFERROR(INDEX('Mov Entradas (Rel 10497)'!$L:$L,MATCH(AC529,'Mov Entradas (Rel 10497)'!$I:$I,0)),"nao encontrado")</f>
        <v>PEDIGREE SACHE FILHO</v>
      </c>
      <c r="AC529" s="0" t="n">
        <v>20499</v>
      </c>
    </row>
    <row r="530" customFormat="false" ht="63.75" hidden="false" customHeight="true" outlineLevel="0" collapsed="false">
      <c r="A530" s="9" t="n">
        <v>2</v>
      </c>
      <c r="B530" s="10" t="n">
        <v>46201</v>
      </c>
      <c r="C530" s="10" t="n">
        <v>46201</v>
      </c>
      <c r="D530" s="9" t="n">
        <v>0</v>
      </c>
      <c r="E530" s="11" t="s">
        <v>109</v>
      </c>
      <c r="F530" s="9" t="n">
        <v>17</v>
      </c>
      <c r="G530" s="11" t="s">
        <v>110</v>
      </c>
      <c r="H530" s="9" t="n">
        <v>1110101</v>
      </c>
      <c r="I530" s="11" t="s">
        <v>111</v>
      </c>
      <c r="J530" s="9" t="n">
        <v>1329159</v>
      </c>
      <c r="L530" s="9" t="n">
        <v>1329159</v>
      </c>
      <c r="M530" s="11" t="s">
        <v>52</v>
      </c>
      <c r="N530" s="11" t="s">
        <v>112</v>
      </c>
      <c r="P530" s="9" t="n">
        <v>113</v>
      </c>
      <c r="Q530" s="11" t="s">
        <v>46</v>
      </c>
      <c r="R530" s="11" t="s">
        <v>71</v>
      </c>
      <c r="S530" s="9" t="n">
        <v>4210310</v>
      </c>
      <c r="T530" s="11" t="s">
        <v>126</v>
      </c>
      <c r="U530" s="12" t="n">
        <v>74</v>
      </c>
      <c r="W530" s="12" t="n">
        <v>74</v>
      </c>
      <c r="X530" s="11" t="s">
        <v>630</v>
      </c>
      <c r="Z530" s="0" t="str">
        <f aca="false">IF($T530="","",IFERROR(INDEX('Resumo Grupos'!$AC$3:$AC$200,MATCH($T530,'Resumo Grupos'!$AB$3:$AB$200,0)),"n/d"))</f>
        <v>Despesa</v>
      </c>
      <c r="AA530" s="0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9" t="n">
        <v>2</v>
      </c>
      <c r="B531" s="10" t="n">
        <v>46201</v>
      </c>
      <c r="C531" s="10" t="n">
        <v>46201</v>
      </c>
      <c r="D531" s="9" t="n">
        <v>0</v>
      </c>
      <c r="E531" s="11" t="s">
        <v>109</v>
      </c>
      <c r="F531" s="9" t="n">
        <v>17</v>
      </c>
      <c r="G531" s="11" t="s">
        <v>110</v>
      </c>
      <c r="H531" s="9" t="n">
        <v>1110101</v>
      </c>
      <c r="I531" s="11" t="s">
        <v>111</v>
      </c>
      <c r="J531" s="9" t="n">
        <v>1329162</v>
      </c>
      <c r="L531" s="9" t="n">
        <v>1329162</v>
      </c>
      <c r="M531" s="11" t="s">
        <v>52</v>
      </c>
      <c r="N531" s="11" t="s">
        <v>112</v>
      </c>
      <c r="P531" s="9" t="n">
        <v>113</v>
      </c>
      <c r="Q531" s="11" t="s">
        <v>46</v>
      </c>
      <c r="R531" s="11" t="s">
        <v>71</v>
      </c>
      <c r="S531" s="9" t="n">
        <v>4210314</v>
      </c>
      <c r="T531" s="11" t="s">
        <v>113</v>
      </c>
      <c r="U531" s="12" t="n">
        <v>70</v>
      </c>
      <c r="W531" s="12" t="n">
        <v>70</v>
      </c>
      <c r="X531" s="11" t="s">
        <v>368</v>
      </c>
      <c r="Z531" s="0" t="str">
        <f aca="false">IF($T531="","",IFERROR(INDEX('Resumo Grupos'!$AC$3:$AC$200,MATCH($T531,'Resumo Grupos'!$AB$3:$AB$200,0)),"n/d"))</f>
        <v>Despesa</v>
      </c>
      <c r="AA531" s="0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9" t="n">
        <v>2</v>
      </c>
      <c r="B532" s="10" t="n">
        <v>46201</v>
      </c>
      <c r="C532" s="10" t="n">
        <v>46201</v>
      </c>
      <c r="D532" s="9" t="n">
        <v>0</v>
      </c>
      <c r="E532" s="11" t="s">
        <v>109</v>
      </c>
      <c r="F532" s="9" t="n">
        <v>17</v>
      </c>
      <c r="G532" s="11" t="s">
        <v>110</v>
      </c>
      <c r="H532" s="9" t="n">
        <v>1110101</v>
      </c>
      <c r="I532" s="11" t="s">
        <v>111</v>
      </c>
      <c r="J532" s="9" t="n">
        <v>1361246</v>
      </c>
      <c r="L532" s="9" t="n">
        <v>1361246</v>
      </c>
      <c r="M532" s="11" t="s">
        <v>52</v>
      </c>
      <c r="N532" s="11" t="s">
        <v>112</v>
      </c>
      <c r="P532" s="9" t="n">
        <v>113</v>
      </c>
      <c r="Q532" s="11" t="s">
        <v>46</v>
      </c>
      <c r="R532" s="11" t="s">
        <v>116</v>
      </c>
      <c r="S532" s="9" t="n">
        <v>1110203</v>
      </c>
      <c r="T532" s="11" t="s">
        <v>117</v>
      </c>
      <c r="U532" s="12" t="n">
        <v>1550</v>
      </c>
      <c r="W532" s="12" t="n">
        <v>1550</v>
      </c>
      <c r="X532" s="11" t="s">
        <v>631</v>
      </c>
      <c r="Z532" s="0" t="str">
        <f aca="false">IF($T532="","",IFERROR(INDEX('Resumo Grupos'!$AC$3:$AC$200,MATCH($T532,'Resumo Grupos'!$AB$3:$AB$200,0)),"n/d"))</f>
        <v>Despesa</v>
      </c>
      <c r="AA532" s="0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9" t="n">
        <v>2</v>
      </c>
      <c r="B533" s="10" t="n">
        <v>46188</v>
      </c>
      <c r="C533" s="10" t="n">
        <v>46202</v>
      </c>
      <c r="D533" s="9" t="n">
        <v>1659</v>
      </c>
      <c r="E533" s="11" t="s">
        <v>214</v>
      </c>
      <c r="F533" s="9" t="n">
        <v>24</v>
      </c>
      <c r="G533" s="11" t="s">
        <v>51</v>
      </c>
      <c r="H533" s="9" t="n">
        <v>2110101</v>
      </c>
      <c r="I533" s="11" t="s">
        <v>43</v>
      </c>
      <c r="J533" s="9" t="n">
        <v>1255113</v>
      </c>
      <c r="L533" s="9" t="n">
        <v>878392</v>
      </c>
      <c r="M533" s="11" t="s">
        <v>52</v>
      </c>
      <c r="N533" s="11" t="s">
        <v>37</v>
      </c>
      <c r="P533" s="9" t="n">
        <v>113</v>
      </c>
      <c r="Q533" s="11" t="s">
        <v>46</v>
      </c>
      <c r="R533" s="11" t="s">
        <v>47</v>
      </c>
      <c r="S533" s="9" t="n">
        <v>1130101</v>
      </c>
      <c r="T533" s="11" t="s">
        <v>48</v>
      </c>
      <c r="U533" s="12" t="n">
        <v>791.32</v>
      </c>
      <c r="W533" s="12" t="n">
        <v>0</v>
      </c>
      <c r="X533" s="11" t="s">
        <v>632</v>
      </c>
      <c r="Z533" s="0" t="str">
        <f aca="false">IF($T533="","",IFERROR(INDEX('Resumo Grupos'!$AC$3:$AC$200,MATCH($T533,'Resumo Grupos'!$AB$3:$AB$200,0)),"n/d"))</f>
        <v>Mercadoria</v>
      </c>
      <c r="AA533" s="0" t="str">
        <f aca="false">IF($T533="","",IF(COUNTIF('Resumo Grupos'!$AE$3:$AE$40,$T533)&gt;0,"NAO","SIM"))</f>
        <v>SIM</v>
      </c>
      <c r="AB533" s="0" t="str">
        <f aca="false">IFERROR(INDEX('Mov Entradas (Rel 10497)'!$L:$L,MATCH(AC533,'Mov Entradas (Rel 10497)'!$I:$I,0)),"nao encontrado")</f>
        <v>GOIABAD PALMEIR 250G</v>
      </c>
      <c r="AC533" s="0" t="n">
        <v>878392</v>
      </c>
    </row>
    <row r="534" customFormat="false" ht="36.75" hidden="false" customHeight="true" outlineLevel="0" collapsed="false">
      <c r="A534" s="9" t="n">
        <v>2</v>
      </c>
      <c r="B534" s="10" t="n">
        <v>46196</v>
      </c>
      <c r="C534" s="10" t="n">
        <v>46202</v>
      </c>
      <c r="D534" s="9" t="n">
        <v>1621</v>
      </c>
      <c r="E534" s="11" t="s">
        <v>232</v>
      </c>
      <c r="F534" s="9" t="n">
        <v>24</v>
      </c>
      <c r="G534" s="11" t="s">
        <v>51</v>
      </c>
      <c r="H534" s="9" t="n">
        <v>2110101</v>
      </c>
      <c r="I534" s="11" t="s">
        <v>43</v>
      </c>
      <c r="J534" s="9" t="n">
        <v>1294209</v>
      </c>
      <c r="L534" s="9" t="n">
        <v>869753</v>
      </c>
      <c r="M534" s="11" t="s">
        <v>52</v>
      </c>
      <c r="N534" s="11" t="s">
        <v>37</v>
      </c>
      <c r="P534" s="9" t="n">
        <v>113</v>
      </c>
      <c r="Q534" s="11" t="s">
        <v>46</v>
      </c>
      <c r="R534" s="11" t="s">
        <v>47</v>
      </c>
      <c r="S534" s="9" t="n">
        <v>1130101</v>
      </c>
      <c r="T534" s="11" t="s">
        <v>48</v>
      </c>
      <c r="U534" s="12" t="n">
        <v>1062.39</v>
      </c>
      <c r="W534" s="12" t="n">
        <v>0</v>
      </c>
      <c r="X534" s="11" t="s">
        <v>633</v>
      </c>
      <c r="Z534" s="0" t="str">
        <f aca="false">IF($T534="","",IFERROR(INDEX('Resumo Grupos'!$AC$3:$AC$200,MATCH($T534,'Resumo Grupos'!$AB$3:$AB$200,0)),"n/d"))</f>
        <v>Mercadoria</v>
      </c>
      <c r="AA534" s="0" t="str">
        <f aca="false">IF($T534="","",IF(COUNTIF('Resumo Grupos'!$AE$3:$AE$40,$T534)&gt;0,"NAO","SIM"))</f>
        <v>SIM</v>
      </c>
      <c r="AB534" s="0" t="str">
        <f aca="false">IFERROR(INDEX('Mov Entradas (Rel 10497)'!$L:$L,MATCH(AC534,'Mov Entradas (Rel 10497)'!$I:$I,0)),"nao encontrado")</f>
        <v>CERV. ANTARTLT350ML</v>
      </c>
      <c r="AC534" s="0" t="n">
        <v>869753</v>
      </c>
    </row>
    <row r="535" customFormat="false" ht="36.75" hidden="false" customHeight="true" outlineLevel="0" collapsed="false">
      <c r="A535" s="9" t="n">
        <v>2</v>
      </c>
      <c r="B535" s="10" t="n">
        <v>46196</v>
      </c>
      <c r="C535" s="10" t="n">
        <v>46202</v>
      </c>
      <c r="D535" s="9" t="n">
        <v>1621</v>
      </c>
      <c r="E535" s="11" t="s">
        <v>232</v>
      </c>
      <c r="F535" s="9" t="n">
        <v>24</v>
      </c>
      <c r="G535" s="11" t="s">
        <v>51</v>
      </c>
      <c r="H535" s="9" t="n">
        <v>2110101</v>
      </c>
      <c r="I535" s="11" t="s">
        <v>43</v>
      </c>
      <c r="J535" s="9" t="n">
        <v>1294219</v>
      </c>
      <c r="L535" s="9" t="n">
        <v>173106</v>
      </c>
      <c r="M535" s="11" t="s">
        <v>52</v>
      </c>
      <c r="N535" s="11" t="s">
        <v>45</v>
      </c>
      <c r="P535" s="9" t="n">
        <v>113</v>
      </c>
      <c r="Q535" s="11" t="s">
        <v>46</v>
      </c>
      <c r="R535" s="11" t="s">
        <v>47</v>
      </c>
      <c r="S535" s="9" t="n">
        <v>1130101</v>
      </c>
      <c r="T535" s="11" t="s">
        <v>48</v>
      </c>
      <c r="U535" s="12" t="n">
        <v>1.55</v>
      </c>
      <c r="W535" s="12" t="n">
        <v>0</v>
      </c>
      <c r="X535" s="11" t="s">
        <v>634</v>
      </c>
      <c r="Z535" s="0" t="str">
        <f aca="false">IF($T535="","",IFERROR(INDEX('Resumo Grupos'!$AC$3:$AC$200,MATCH($T535,'Resumo Grupos'!$AB$3:$AB$200,0)),"n/d"))</f>
        <v>Mercadoria</v>
      </c>
      <c r="AA535" s="0" t="str">
        <f aca="false">IF($T535="","",IF(COUNTIF('Resumo Grupos'!$AE$3:$AE$40,$T535)&gt;0,"NAO","SIM"))</f>
        <v>SIM</v>
      </c>
      <c r="AB535" s="0" t="str">
        <f aca="false">IFERROR(INDEX('Mov Entradas (Rel 10497)'!$L:$L,MATCH(AC535,'Mov Entradas (Rel 10497)'!$I:$I,0)),"nao encontrado")</f>
        <v>CERV. ANTARTLT350ML</v>
      </c>
      <c r="AC535" s="0" t="n">
        <v>869753</v>
      </c>
    </row>
    <row r="536" customFormat="false" ht="36.75" hidden="false" customHeight="true" outlineLevel="0" collapsed="false">
      <c r="A536" s="9" t="n">
        <v>2</v>
      </c>
      <c r="B536" s="10" t="n">
        <v>46189</v>
      </c>
      <c r="C536" s="10" t="n">
        <v>46202</v>
      </c>
      <c r="D536" s="9" t="n">
        <v>1636</v>
      </c>
      <c r="E536" s="11" t="s">
        <v>61</v>
      </c>
      <c r="F536" s="9" t="n">
        <v>24</v>
      </c>
      <c r="G536" s="11" t="s">
        <v>51</v>
      </c>
      <c r="H536" s="9" t="n">
        <v>2110101</v>
      </c>
      <c r="I536" s="11" t="s">
        <v>43</v>
      </c>
      <c r="J536" s="9" t="n">
        <v>1260899</v>
      </c>
      <c r="L536" s="9" t="n">
        <v>168208</v>
      </c>
      <c r="M536" s="11" t="s">
        <v>52</v>
      </c>
      <c r="N536" s="11" t="s">
        <v>45</v>
      </c>
      <c r="P536" s="9" t="n">
        <v>113</v>
      </c>
      <c r="Q536" s="11" t="s">
        <v>46</v>
      </c>
      <c r="R536" s="11" t="s">
        <v>47</v>
      </c>
      <c r="S536" s="9" t="n">
        <v>1130101</v>
      </c>
      <c r="T536" s="11" t="s">
        <v>48</v>
      </c>
      <c r="U536" s="12" t="n">
        <v>641.14</v>
      </c>
      <c r="W536" s="12" t="n">
        <v>0</v>
      </c>
      <c r="X536" s="11" t="s">
        <v>635</v>
      </c>
      <c r="Z536" s="0" t="str">
        <f aca="false">IF($T536="","",IFERROR(INDEX('Resumo Grupos'!$AC$3:$AC$200,MATCH($T536,'Resumo Grupos'!$AB$3:$AB$200,0)),"n/d"))</f>
        <v>Mercadoria</v>
      </c>
      <c r="AA536" s="0" t="str">
        <f aca="false">IF($T536="","",IF(COUNTIF('Resumo Grupos'!$AE$3:$AE$40,$T536)&gt;0,"NAO","SIM"))</f>
        <v>SIM</v>
      </c>
      <c r="AB536" s="0" t="str">
        <f aca="false">IFERROR(INDEX('Mov Entradas (Rel 10497)'!$L:$L,MATCH(AC536,'Mov Entradas (Rel 10497)'!$I:$I,0)),"nao encontrado")</f>
        <v>SARDINHA GOMES DA COSTA C/ OLEO 125G</v>
      </c>
      <c r="AC536" s="0" t="n">
        <v>3202460</v>
      </c>
    </row>
    <row r="537" customFormat="false" ht="27.75" hidden="false" customHeight="true" outlineLevel="0" collapsed="false">
      <c r="A537" s="9" t="n">
        <v>2</v>
      </c>
      <c r="B537" s="10" t="n">
        <v>46195</v>
      </c>
      <c r="C537" s="10" t="n">
        <v>46202</v>
      </c>
      <c r="D537" s="9" t="n">
        <v>1626</v>
      </c>
      <c r="E537" s="11" t="s">
        <v>77</v>
      </c>
      <c r="F537" s="9" t="n">
        <v>24</v>
      </c>
      <c r="G537" s="11" t="s">
        <v>51</v>
      </c>
      <c r="H537" s="9" t="n">
        <v>2110101</v>
      </c>
      <c r="I537" s="11" t="s">
        <v>43</v>
      </c>
      <c r="J537" s="9" t="n">
        <v>1290919</v>
      </c>
      <c r="L537" s="9" t="n">
        <v>172705</v>
      </c>
      <c r="M537" s="11" t="s">
        <v>52</v>
      </c>
      <c r="N537" s="11" t="s">
        <v>45</v>
      </c>
      <c r="P537" s="9" t="n">
        <v>113</v>
      </c>
      <c r="Q537" s="11" t="s">
        <v>46</v>
      </c>
      <c r="R537" s="11" t="s">
        <v>47</v>
      </c>
      <c r="S537" s="9" t="n">
        <v>1130101</v>
      </c>
      <c r="T537" s="11" t="s">
        <v>48</v>
      </c>
      <c r="U537" s="12" t="n">
        <v>675.34</v>
      </c>
      <c r="W537" s="12" t="n">
        <v>0</v>
      </c>
      <c r="X537" s="11"/>
      <c r="Z537" s="0" t="str">
        <f aca="false">IF($T537="","",IFERROR(INDEX('Resumo Grupos'!$AC$3:$AC$200,MATCH($T537,'Resumo Grupos'!$AB$3:$AB$200,0)),"n/d"))</f>
        <v>Mercadoria</v>
      </c>
      <c r="AA537" s="0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9" t="n">
        <v>2</v>
      </c>
      <c r="B538" s="10" t="n">
        <v>46202</v>
      </c>
      <c r="C538" s="10" t="n">
        <v>46202</v>
      </c>
      <c r="D538" s="9" t="n">
        <v>515</v>
      </c>
      <c r="E538" s="11" t="s">
        <v>137</v>
      </c>
      <c r="F538" s="9" t="n">
        <v>34</v>
      </c>
      <c r="G538" s="11" t="s">
        <v>55</v>
      </c>
      <c r="H538" s="9" t="n">
        <v>2110405</v>
      </c>
      <c r="I538" s="11" t="s">
        <v>56</v>
      </c>
      <c r="J538" s="9" t="n">
        <v>1435949</v>
      </c>
      <c r="L538" s="9" t="n">
        <v>194015</v>
      </c>
      <c r="M538" s="11" t="s">
        <v>52</v>
      </c>
      <c r="N538" s="11" t="s">
        <v>45</v>
      </c>
      <c r="P538" s="9" t="n">
        <v>101</v>
      </c>
      <c r="Q538" s="11" t="s">
        <v>57</v>
      </c>
      <c r="R538" s="11" t="s">
        <v>516</v>
      </c>
      <c r="S538" s="9" t="n">
        <v>22103</v>
      </c>
      <c r="T538" s="11" t="s">
        <v>516</v>
      </c>
      <c r="U538" s="12" t="n">
        <v>165</v>
      </c>
      <c r="W538" s="12" t="n">
        <v>0</v>
      </c>
      <c r="X538" s="11" t="s">
        <v>636</v>
      </c>
      <c r="Z538" s="0" t="str">
        <f aca="false">IF($T538="","",IFERROR(INDEX('Resumo Grupos'!$AC$3:$AC$200,MATCH($T538,'Resumo Grupos'!$AB$3:$AB$200,0)),"n/d"))</f>
        <v>Despesa</v>
      </c>
      <c r="AA538" s="0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9" t="n">
        <v>2</v>
      </c>
      <c r="B539" s="10" t="n">
        <v>46200</v>
      </c>
      <c r="C539" s="10" t="n">
        <v>46202</v>
      </c>
      <c r="D539" s="9" t="n">
        <v>10035</v>
      </c>
      <c r="E539" s="11" t="s">
        <v>86</v>
      </c>
      <c r="F539" s="9" t="n">
        <v>34</v>
      </c>
      <c r="G539" s="11" t="s">
        <v>55</v>
      </c>
      <c r="H539" s="9" t="n">
        <v>2110101</v>
      </c>
      <c r="I539" s="11" t="s">
        <v>43</v>
      </c>
      <c r="J539" s="9" t="n">
        <v>1312808</v>
      </c>
      <c r="L539" s="9" t="n">
        <v>305</v>
      </c>
      <c r="M539" s="11" t="s">
        <v>52</v>
      </c>
      <c r="N539" s="11" t="s">
        <v>37</v>
      </c>
      <c r="P539" s="9" t="n">
        <v>113</v>
      </c>
      <c r="Q539" s="11" t="s">
        <v>46</v>
      </c>
      <c r="R539" s="11" t="s">
        <v>47</v>
      </c>
      <c r="S539" s="9" t="n">
        <v>1130101</v>
      </c>
      <c r="T539" s="11" t="s">
        <v>48</v>
      </c>
      <c r="U539" s="12" t="n">
        <v>212</v>
      </c>
      <c r="W539" s="12" t="n">
        <v>0</v>
      </c>
      <c r="X539" s="11" t="s">
        <v>637</v>
      </c>
      <c r="Z539" s="0" t="str">
        <f aca="false">IF($T539="","",IFERROR(INDEX('Resumo Grupos'!$AC$3:$AC$200,MATCH($T539,'Resumo Grupos'!$AB$3:$AB$200,0)),"n/d"))</f>
        <v>Mercadoria</v>
      </c>
      <c r="AA539" s="0" t="str">
        <f aca="false">IF($T539="","",IF(COUNTIF('Resumo Grupos'!$AE$3:$AE$40,$T539)&gt;0,"NAO","SIM"))</f>
        <v>SIM</v>
      </c>
      <c r="AB539" s="0" t="str">
        <f aca="false">IFERROR(INDEX('Mov Entradas (Rel 10497)'!$L:$L,MATCH(AC539,'Mov Entradas (Rel 10497)'!$I:$I,0)),"nao encontrado")</f>
        <v>CARVAO VEGETAL 3KG</v>
      </c>
      <c r="AC539" s="0" t="n">
        <v>305</v>
      </c>
    </row>
    <row r="540" customFormat="false" ht="45.75" hidden="false" customHeight="true" outlineLevel="0" collapsed="false">
      <c r="A540" s="9" t="n">
        <v>2</v>
      </c>
      <c r="B540" s="10" t="n">
        <v>46181</v>
      </c>
      <c r="C540" s="10" t="n">
        <v>46202</v>
      </c>
      <c r="D540" s="9" t="n">
        <v>1699</v>
      </c>
      <c r="E540" s="11" t="s">
        <v>248</v>
      </c>
      <c r="F540" s="9" t="n">
        <v>24</v>
      </c>
      <c r="G540" s="11" t="s">
        <v>51</v>
      </c>
      <c r="H540" s="9" t="n">
        <v>2110101</v>
      </c>
      <c r="I540" s="11" t="s">
        <v>43</v>
      </c>
      <c r="J540" s="9" t="n">
        <v>1222609</v>
      </c>
      <c r="L540" s="9" t="n">
        <v>303660</v>
      </c>
      <c r="M540" s="11" t="s">
        <v>67</v>
      </c>
      <c r="N540" s="11" t="s">
        <v>37</v>
      </c>
      <c r="P540" s="9" t="n">
        <v>113</v>
      </c>
      <c r="Q540" s="11" t="s">
        <v>46</v>
      </c>
      <c r="R540" s="11" t="s">
        <v>47</v>
      </c>
      <c r="S540" s="9" t="n">
        <v>1130101</v>
      </c>
      <c r="T540" s="11" t="s">
        <v>48</v>
      </c>
      <c r="U540" s="12" t="n">
        <v>1909.5</v>
      </c>
      <c r="W540" s="12" t="n">
        <v>0</v>
      </c>
      <c r="X540" s="11" t="s">
        <v>414</v>
      </c>
      <c r="Z540" s="0" t="str">
        <f aca="false">IF($T540="","",IFERROR(INDEX('Resumo Grupos'!$AC$3:$AC$200,MATCH($T540,'Resumo Grupos'!$AB$3:$AB$200,0)),"n/d"))</f>
        <v>Mercadoria</v>
      </c>
      <c r="AA540" s="0" t="str">
        <f aca="false">IF($T540="","",IF(COUNTIF('Resumo Grupos'!$AE$3:$AE$40,$T540)&gt;0,"NAO","SIM"))</f>
        <v>SIM</v>
      </c>
      <c r="AB540" s="0" t="str">
        <f aca="false">IFERROR(INDEX('Mov Entradas (Rel 10497)'!$L:$L,MATCH(AC540,'Mov Entradas (Rel 10497)'!$I:$I,0)),"nao encontrado")</f>
        <v>SALSICHA PERDIGÃO KG</v>
      </c>
      <c r="AC540" s="0" t="n">
        <v>303660</v>
      </c>
    </row>
    <row r="541" customFormat="false" ht="36.75" hidden="false" customHeight="true" outlineLevel="0" collapsed="false">
      <c r="A541" s="9" t="n">
        <v>2</v>
      </c>
      <c r="B541" s="10" t="n">
        <v>46188</v>
      </c>
      <c r="C541" s="10" t="n">
        <v>46202</v>
      </c>
      <c r="D541" s="9" t="n">
        <v>10009</v>
      </c>
      <c r="E541" s="11" t="s">
        <v>464</v>
      </c>
      <c r="F541" s="9" t="n">
        <v>24</v>
      </c>
      <c r="G541" s="11" t="s">
        <v>51</v>
      </c>
      <c r="H541" s="9" t="n">
        <v>2110101</v>
      </c>
      <c r="I541" s="11" t="s">
        <v>43</v>
      </c>
      <c r="J541" s="9" t="n">
        <v>1257189</v>
      </c>
      <c r="L541" s="9" t="n">
        <v>1416973</v>
      </c>
      <c r="M541" s="11" t="s">
        <v>52</v>
      </c>
      <c r="N541" s="11" t="s">
        <v>37</v>
      </c>
      <c r="P541" s="9" t="n">
        <v>113</v>
      </c>
      <c r="Q541" s="11" t="s">
        <v>46</v>
      </c>
      <c r="R541" s="11" t="s">
        <v>47</v>
      </c>
      <c r="S541" s="9" t="n">
        <v>1130101</v>
      </c>
      <c r="T541" s="11" t="s">
        <v>48</v>
      </c>
      <c r="U541" s="12" t="n">
        <v>1537.8</v>
      </c>
      <c r="W541" s="12" t="n">
        <v>0</v>
      </c>
      <c r="X541" s="11" t="s">
        <v>638</v>
      </c>
      <c r="Z541" s="0" t="str">
        <f aca="false">IF($T541="","",IFERROR(INDEX('Resumo Grupos'!$AC$3:$AC$200,MATCH($T541,'Resumo Grupos'!$AB$3:$AB$200,0)),"n/d"))</f>
        <v>Mercadoria</v>
      </c>
      <c r="AA541" s="0" t="str">
        <f aca="false">IF($T541="","",IF(COUNTIF('Resumo Grupos'!$AE$3:$AE$40,$T541)&gt;0,"NAO","SIM"))</f>
        <v>SIM</v>
      </c>
      <c r="AB541" s="0" t="str">
        <f aca="false">IFERROR(INDEX('Mov Entradas (Rel 10497)'!$L:$L,MATCH(AC541,'Mov Entradas (Rel 10497)'!$I:$I,0)),"nao encontrado")</f>
        <v>PRESTIGIO 33G</v>
      </c>
      <c r="AC541" s="0" t="n">
        <v>1416973</v>
      </c>
    </row>
    <row r="542" customFormat="false" ht="45.75" hidden="false" customHeight="true" outlineLevel="0" collapsed="false">
      <c r="A542" s="9" t="n">
        <v>2</v>
      </c>
      <c r="B542" s="10" t="n">
        <v>46202</v>
      </c>
      <c r="C542" s="10" t="n">
        <v>46202</v>
      </c>
      <c r="D542" s="9" t="n">
        <v>48</v>
      </c>
      <c r="E542" s="11" t="s">
        <v>153</v>
      </c>
      <c r="F542" s="9" t="n">
        <v>13</v>
      </c>
      <c r="G542" s="11" t="s">
        <v>135</v>
      </c>
      <c r="H542" s="9" t="n">
        <v>2110101</v>
      </c>
      <c r="I542" s="11" t="s">
        <v>43</v>
      </c>
      <c r="J542" s="9" t="n">
        <v>1324941</v>
      </c>
      <c r="L542" s="9" t="n">
        <v>2516</v>
      </c>
      <c r="M542" s="11" t="s">
        <v>52</v>
      </c>
      <c r="N542" s="11" t="s">
        <v>37</v>
      </c>
      <c r="P542" s="9" t="n">
        <v>113</v>
      </c>
      <c r="Q542" s="11" t="s">
        <v>46</v>
      </c>
      <c r="R542" s="11" t="s">
        <v>47</v>
      </c>
      <c r="S542" s="9" t="n">
        <v>1130101</v>
      </c>
      <c r="T542" s="11" t="s">
        <v>48</v>
      </c>
      <c r="U542" s="12" t="n">
        <v>210</v>
      </c>
      <c r="W542" s="12" t="n">
        <v>210</v>
      </c>
      <c r="X542" s="11" t="s">
        <v>639</v>
      </c>
      <c r="Z542" s="0" t="str">
        <f aca="false">IF($T542="","",IFERROR(INDEX('Resumo Grupos'!$AC$3:$AC$200,MATCH($T542,'Resumo Grupos'!$AB$3:$AB$200,0)),"n/d"))</f>
        <v>Mercadoria</v>
      </c>
      <c r="AA542" s="0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9" t="n">
        <v>2</v>
      </c>
      <c r="B543" s="10" t="n">
        <v>46196</v>
      </c>
      <c r="C543" s="10" t="n">
        <v>46202</v>
      </c>
      <c r="D543" s="9" t="n">
        <v>1328</v>
      </c>
      <c r="E543" s="11" t="s">
        <v>95</v>
      </c>
      <c r="F543" s="9" t="n">
        <v>24</v>
      </c>
      <c r="G543" s="11" t="s">
        <v>51</v>
      </c>
      <c r="H543" s="9" t="n">
        <v>2110101</v>
      </c>
      <c r="I543" s="11" t="s">
        <v>43</v>
      </c>
      <c r="J543" s="9" t="n">
        <v>1295747</v>
      </c>
      <c r="L543" s="9" t="n">
        <v>3858</v>
      </c>
      <c r="M543" s="11" t="s">
        <v>52</v>
      </c>
      <c r="N543" s="11" t="s">
        <v>37</v>
      </c>
      <c r="P543" s="9" t="n">
        <v>113</v>
      </c>
      <c r="Q543" s="11" t="s">
        <v>46</v>
      </c>
      <c r="R543" s="11" t="s">
        <v>47</v>
      </c>
      <c r="S543" s="9" t="n">
        <v>1130101</v>
      </c>
      <c r="T543" s="11" t="s">
        <v>48</v>
      </c>
      <c r="U543" s="12" t="n">
        <v>162.56</v>
      </c>
      <c r="W543" s="12" t="n">
        <v>0</v>
      </c>
      <c r="X543" s="11" t="s">
        <v>640</v>
      </c>
      <c r="Z543" s="0" t="str">
        <f aca="false">IF($T543="","",IFERROR(INDEX('Resumo Grupos'!$AC$3:$AC$200,MATCH($T543,'Resumo Grupos'!$AB$3:$AB$200,0)),"n/d"))</f>
        <v>Mercadoria</v>
      </c>
      <c r="AA543" s="0" t="str">
        <f aca="false">IF($T543="","",IF(COUNTIF('Resumo Grupos'!$AE$3:$AE$40,$T543)&gt;0,"NAO","SIM"))</f>
        <v>SIM</v>
      </c>
      <c r="AB543" s="0" t="str">
        <f aca="false">IFERROR(INDEX('Mov Entradas (Rel 10497)'!$L:$L,MATCH(AC543,'Mov Entradas (Rel 10497)'!$I:$I,0)),"nao encontrado")</f>
        <v>PAO DE KIKAO 10</v>
      </c>
      <c r="AC543" s="0" t="n">
        <v>3858</v>
      </c>
    </row>
    <row r="544" customFormat="false" ht="36.75" hidden="false" customHeight="true" outlineLevel="0" collapsed="false">
      <c r="A544" s="9" t="n">
        <v>2</v>
      </c>
      <c r="B544" s="10" t="n">
        <v>46185</v>
      </c>
      <c r="C544" s="10" t="n">
        <v>46202</v>
      </c>
      <c r="D544" s="9" t="n">
        <v>666</v>
      </c>
      <c r="E544" s="11" t="s">
        <v>417</v>
      </c>
      <c r="F544" s="9" t="n">
        <v>24</v>
      </c>
      <c r="G544" s="11" t="s">
        <v>51</v>
      </c>
      <c r="H544" s="9" t="n">
        <v>2110101</v>
      </c>
      <c r="I544" s="11" t="s">
        <v>43</v>
      </c>
      <c r="J544" s="9" t="n">
        <v>1241755</v>
      </c>
      <c r="L544" s="9" t="n">
        <v>165605</v>
      </c>
      <c r="M544" s="11" t="s">
        <v>52</v>
      </c>
      <c r="N544" s="11" t="s">
        <v>45</v>
      </c>
      <c r="P544" s="9" t="n">
        <v>113</v>
      </c>
      <c r="Q544" s="11" t="s">
        <v>46</v>
      </c>
      <c r="R544" s="11" t="s">
        <v>47</v>
      </c>
      <c r="S544" s="9" t="n">
        <v>1130101</v>
      </c>
      <c r="T544" s="11" t="s">
        <v>48</v>
      </c>
      <c r="U544" s="12" t="n">
        <v>383.24</v>
      </c>
      <c r="W544" s="12" t="n">
        <v>0</v>
      </c>
      <c r="X544" s="11" t="s">
        <v>418</v>
      </c>
      <c r="Z544" s="0" t="str">
        <f aca="false">IF($T544="","",IFERROR(INDEX('Resumo Grupos'!$AC$3:$AC$200,MATCH($T544,'Resumo Grupos'!$AB$3:$AB$200,0)),"n/d"))</f>
        <v>Mercadoria</v>
      </c>
      <c r="AA544" s="0" t="str">
        <f aca="false">IF($T544="","",IF(COUNTIF('Resumo Grupos'!$AE$3:$AE$40,$T544)&gt;0,"NAO","SIM"))</f>
        <v>SIM</v>
      </c>
      <c r="AB544" s="0" t="str">
        <f aca="false">IFERROR(INDEX('Mov Entradas (Rel 10497)'!$L:$L,MATCH(AC544,'Mov Entradas (Rel 10497)'!$I:$I,0)),"nao encontrado")</f>
        <v>RACAO SABOR CAT KG</v>
      </c>
      <c r="AC544" s="0" t="n">
        <v>7725</v>
      </c>
    </row>
    <row r="545" customFormat="false" ht="36.75" hidden="false" customHeight="true" outlineLevel="0" collapsed="false">
      <c r="A545" s="9" t="n">
        <v>2</v>
      </c>
      <c r="B545" s="10" t="n">
        <v>46197</v>
      </c>
      <c r="C545" s="10" t="n">
        <v>46202</v>
      </c>
      <c r="D545" s="9" t="n">
        <v>1899</v>
      </c>
      <c r="E545" s="11" t="s">
        <v>204</v>
      </c>
      <c r="F545" s="9" t="n">
        <v>24</v>
      </c>
      <c r="G545" s="11" t="s">
        <v>51</v>
      </c>
      <c r="H545" s="9" t="n">
        <v>2110101</v>
      </c>
      <c r="I545" s="11" t="s">
        <v>43</v>
      </c>
      <c r="J545" s="9" t="n">
        <v>1299227</v>
      </c>
      <c r="L545" s="9" t="n">
        <v>679</v>
      </c>
      <c r="M545" s="11" t="s">
        <v>52</v>
      </c>
      <c r="N545" s="11" t="s">
        <v>37</v>
      </c>
      <c r="P545" s="9" t="n">
        <v>113</v>
      </c>
      <c r="Q545" s="11" t="s">
        <v>46</v>
      </c>
      <c r="R545" s="11" t="s">
        <v>47</v>
      </c>
      <c r="S545" s="9" t="n">
        <v>1130101</v>
      </c>
      <c r="T545" s="11" t="s">
        <v>48</v>
      </c>
      <c r="U545" s="12" t="n">
        <v>307.2</v>
      </c>
      <c r="W545" s="12" t="n">
        <v>0</v>
      </c>
      <c r="X545" s="11" t="s">
        <v>641</v>
      </c>
      <c r="Z545" s="0" t="str">
        <f aca="false">IF($T545="","",IFERROR(INDEX('Resumo Grupos'!$AC$3:$AC$200,MATCH($T545,'Resumo Grupos'!$AB$3:$AB$200,0)),"n/d"))</f>
        <v>Mercadoria</v>
      </c>
      <c r="AA545" s="0" t="str">
        <f aca="false">IF($T545="","",IF(COUNTIF('Resumo Grupos'!$AE$3:$AE$40,$T545)&gt;0,"NAO","SIM"))</f>
        <v>SIM</v>
      </c>
      <c r="AB545" s="0" t="str">
        <f aca="false">IFERROR(INDEX('Mov Entradas (Rel 10497)'!$L:$L,MATCH(AC545,'Mov Entradas (Rel 10497)'!$I:$I,0)),"nao encontrado")</f>
        <v>PAO DE FORMA REAL MA</v>
      </c>
      <c r="AC545" s="0" t="n">
        <v>679</v>
      </c>
    </row>
    <row r="546" customFormat="false" ht="36.75" hidden="false" customHeight="true" outlineLevel="0" collapsed="false">
      <c r="A546" s="9" t="n">
        <v>2</v>
      </c>
      <c r="B546" s="10" t="n">
        <v>46202</v>
      </c>
      <c r="C546" s="10" t="n">
        <v>46202</v>
      </c>
      <c r="D546" s="9" t="n">
        <v>10006</v>
      </c>
      <c r="E546" s="11" t="s">
        <v>206</v>
      </c>
      <c r="F546" s="9" t="n">
        <v>34</v>
      </c>
      <c r="G546" s="11" t="s">
        <v>55</v>
      </c>
      <c r="H546" s="9" t="n">
        <v>2110405</v>
      </c>
      <c r="I546" s="11" t="s">
        <v>56</v>
      </c>
      <c r="J546" s="9" t="n">
        <v>1325465</v>
      </c>
      <c r="L546" s="9" t="n">
        <v>176833</v>
      </c>
      <c r="M546" s="11" t="s">
        <v>52</v>
      </c>
      <c r="N546" s="11" t="s">
        <v>45</v>
      </c>
      <c r="P546" s="9" t="n">
        <v>101</v>
      </c>
      <c r="Q546" s="11" t="s">
        <v>57</v>
      </c>
      <c r="R546" s="11" t="s">
        <v>39</v>
      </c>
      <c r="S546" s="9" t="n">
        <v>4210232</v>
      </c>
      <c r="T546" s="11" t="s">
        <v>320</v>
      </c>
      <c r="U546" s="12" t="n">
        <v>1140</v>
      </c>
      <c r="W546" s="12" t="n">
        <v>0</v>
      </c>
      <c r="X546" s="11" t="s">
        <v>642</v>
      </c>
      <c r="Z546" s="0" t="str">
        <f aca="false">IF($T546="","",IFERROR(INDEX('Resumo Grupos'!$AC$3:$AC$200,MATCH($T546,'Resumo Grupos'!$AB$3:$AB$200,0)),"n/d"))</f>
        <v>Despesa</v>
      </c>
      <c r="AA546" s="0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9" t="n">
        <v>2</v>
      </c>
      <c r="B547" s="10" t="n">
        <v>46195</v>
      </c>
      <c r="C547" s="10" t="n">
        <v>46202</v>
      </c>
      <c r="D547" s="9" t="n">
        <v>1292</v>
      </c>
      <c r="E547" s="11" t="s">
        <v>209</v>
      </c>
      <c r="F547" s="9" t="n">
        <v>24</v>
      </c>
      <c r="G547" s="11" t="s">
        <v>51</v>
      </c>
      <c r="H547" s="9" t="n">
        <v>2110101</v>
      </c>
      <c r="I547" s="11" t="s">
        <v>43</v>
      </c>
      <c r="J547" s="9" t="n">
        <v>1291003</v>
      </c>
      <c r="L547" s="9" t="n">
        <v>3457</v>
      </c>
      <c r="M547" s="11" t="s">
        <v>52</v>
      </c>
      <c r="N547" s="11" t="s">
        <v>37</v>
      </c>
      <c r="P547" s="9" t="n">
        <v>113</v>
      </c>
      <c r="Q547" s="11" t="s">
        <v>46</v>
      </c>
      <c r="R547" s="11" t="s">
        <v>47</v>
      </c>
      <c r="S547" s="9" t="n">
        <v>1130101</v>
      </c>
      <c r="T547" s="11" t="s">
        <v>48</v>
      </c>
      <c r="U547" s="12" t="n">
        <v>454.65</v>
      </c>
      <c r="W547" s="12" t="n">
        <v>0</v>
      </c>
      <c r="X547" s="11" t="s">
        <v>643</v>
      </c>
      <c r="Z547" s="0" t="str">
        <f aca="false">IF($T547="","",IFERROR(INDEX('Resumo Grupos'!$AC$3:$AC$200,MATCH($T547,'Resumo Grupos'!$AB$3:$AB$200,0)),"n/d"))</f>
        <v>Mercadoria</v>
      </c>
      <c r="AA547" s="0" t="str">
        <f aca="false">IF($T547="","",IF(COUNTIF('Resumo Grupos'!$AE$3:$AE$40,$T547)&gt;0,"NAO","SIM"))</f>
        <v>SIM</v>
      </c>
      <c r="AB547" s="0" t="str">
        <f aca="false">IFERROR(INDEX('Mov Entradas (Rel 10497)'!$L:$L,MATCH(AC547,'Mov Entradas (Rel 10497)'!$I:$I,0)),"nao encontrado")</f>
        <v>PRESUNTO DELICE DE PERU 200G</v>
      </c>
      <c r="AC547" s="0" t="n">
        <v>3457</v>
      </c>
    </row>
    <row r="548" customFormat="false" ht="36.75" hidden="false" customHeight="true" outlineLevel="0" collapsed="false">
      <c r="A548" s="9" t="n">
        <v>2</v>
      </c>
      <c r="B548" s="10" t="n">
        <v>46202</v>
      </c>
      <c r="C548" s="10" t="n">
        <v>46202</v>
      </c>
      <c r="D548" s="9" t="n">
        <v>0</v>
      </c>
      <c r="E548" s="11" t="s">
        <v>109</v>
      </c>
      <c r="F548" s="9" t="n">
        <v>17</v>
      </c>
      <c r="G548" s="11" t="s">
        <v>110</v>
      </c>
      <c r="H548" s="9" t="n">
        <v>1110101</v>
      </c>
      <c r="I548" s="11" t="s">
        <v>111</v>
      </c>
      <c r="J548" s="9" t="n">
        <v>1329219</v>
      </c>
      <c r="L548" s="9" t="n">
        <v>1329219</v>
      </c>
      <c r="M548" s="11" t="s">
        <v>52</v>
      </c>
      <c r="N548" s="11" t="s">
        <v>112</v>
      </c>
      <c r="P548" s="9" t="n">
        <v>113</v>
      </c>
      <c r="Q548" s="11" t="s">
        <v>46</v>
      </c>
      <c r="R548" s="11" t="s">
        <v>259</v>
      </c>
      <c r="S548" s="9" t="n">
        <v>2110101</v>
      </c>
      <c r="T548" s="11" t="s">
        <v>43</v>
      </c>
      <c r="U548" s="12" t="n">
        <v>210</v>
      </c>
      <c r="W548" s="12" t="n">
        <v>210</v>
      </c>
      <c r="X548" s="11" t="s">
        <v>644</v>
      </c>
      <c r="Z548" s="0" t="str">
        <f aca="false">IF($T548="","",IFERROR(INDEX('Resumo Grupos'!$AC$3:$AC$200,MATCH($T548,'Resumo Grupos'!$AB$3:$AB$200,0)),"n/d"))</f>
        <v>Despesa</v>
      </c>
      <c r="AA548" s="0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9" t="n">
        <v>2</v>
      </c>
      <c r="B549" s="10" t="n">
        <v>46202</v>
      </c>
      <c r="C549" s="10" t="n">
        <v>46202</v>
      </c>
      <c r="D549" s="9" t="n">
        <v>0</v>
      </c>
      <c r="E549" s="11" t="s">
        <v>109</v>
      </c>
      <c r="F549" s="9" t="n">
        <v>17</v>
      </c>
      <c r="G549" s="11" t="s">
        <v>110</v>
      </c>
      <c r="H549" s="9" t="n">
        <v>1110101</v>
      </c>
      <c r="I549" s="11" t="s">
        <v>111</v>
      </c>
      <c r="J549" s="9" t="n">
        <v>1329223</v>
      </c>
      <c r="L549" s="9" t="n">
        <v>1329223</v>
      </c>
      <c r="M549" s="11" t="s">
        <v>52</v>
      </c>
      <c r="N549" s="11" t="s">
        <v>112</v>
      </c>
      <c r="P549" s="9" t="n">
        <v>113</v>
      </c>
      <c r="Q549" s="11" t="s">
        <v>46</v>
      </c>
      <c r="R549" s="11" t="s">
        <v>71</v>
      </c>
      <c r="S549" s="9" t="n">
        <v>4210314</v>
      </c>
      <c r="T549" s="11" t="s">
        <v>113</v>
      </c>
      <c r="U549" s="12" t="n">
        <v>70</v>
      </c>
      <c r="W549" s="12" t="n">
        <v>70</v>
      </c>
      <c r="X549" s="11" t="s">
        <v>114</v>
      </c>
      <c r="Z549" s="0" t="str">
        <f aca="false">IF($T549="","",IFERROR(INDEX('Resumo Grupos'!$AC$3:$AC$200,MATCH($T549,'Resumo Grupos'!$AB$3:$AB$200,0)),"n/d"))</f>
        <v>Despesa</v>
      </c>
      <c r="AA549" s="0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9" t="n">
        <v>2</v>
      </c>
      <c r="B550" s="10" t="n">
        <v>46202</v>
      </c>
      <c r="C550" s="10" t="n">
        <v>46202</v>
      </c>
      <c r="D550" s="9" t="n">
        <v>0</v>
      </c>
      <c r="E550" s="11" t="s">
        <v>109</v>
      </c>
      <c r="F550" s="9" t="n">
        <v>17</v>
      </c>
      <c r="G550" s="11" t="s">
        <v>110</v>
      </c>
      <c r="H550" s="9" t="n">
        <v>1110101</v>
      </c>
      <c r="I550" s="11" t="s">
        <v>111</v>
      </c>
      <c r="J550" s="9" t="n">
        <v>1329226</v>
      </c>
      <c r="L550" s="9" t="n">
        <v>1329226</v>
      </c>
      <c r="M550" s="11" t="s">
        <v>52</v>
      </c>
      <c r="N550" s="11" t="s">
        <v>112</v>
      </c>
      <c r="P550" s="9" t="n">
        <v>113</v>
      </c>
      <c r="Q550" s="11" t="s">
        <v>46</v>
      </c>
      <c r="R550" s="11" t="s">
        <v>71</v>
      </c>
      <c r="S550" s="9" t="n">
        <v>4210314</v>
      </c>
      <c r="T550" s="11" t="s">
        <v>113</v>
      </c>
      <c r="U550" s="12" t="n">
        <v>70</v>
      </c>
      <c r="W550" s="12" t="n">
        <v>70</v>
      </c>
      <c r="X550" s="11" t="s">
        <v>115</v>
      </c>
      <c r="Z550" s="0" t="str">
        <f aca="false">IF($T550="","",IFERROR(INDEX('Resumo Grupos'!$AC$3:$AC$200,MATCH($T550,'Resumo Grupos'!$AB$3:$AB$200,0)),"n/d"))</f>
        <v>Despesa</v>
      </c>
      <c r="AA550" s="0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9" t="n">
        <v>2</v>
      </c>
      <c r="B551" s="10" t="n">
        <v>46202</v>
      </c>
      <c r="C551" s="10" t="n">
        <v>46202</v>
      </c>
      <c r="D551" s="9" t="n">
        <v>0</v>
      </c>
      <c r="E551" s="11" t="s">
        <v>109</v>
      </c>
      <c r="F551" s="9" t="n">
        <v>17</v>
      </c>
      <c r="G551" s="11" t="s">
        <v>110</v>
      </c>
      <c r="H551" s="9" t="n">
        <v>1110101</v>
      </c>
      <c r="I551" s="11" t="s">
        <v>111</v>
      </c>
      <c r="J551" s="9" t="n">
        <v>1361248</v>
      </c>
      <c r="L551" s="9" t="n">
        <v>1361248</v>
      </c>
      <c r="M551" s="11" t="s">
        <v>52</v>
      </c>
      <c r="N551" s="11" t="s">
        <v>112</v>
      </c>
      <c r="P551" s="9" t="n">
        <v>113</v>
      </c>
      <c r="Q551" s="11" t="s">
        <v>46</v>
      </c>
      <c r="R551" s="11" t="s">
        <v>116</v>
      </c>
      <c r="S551" s="9" t="n">
        <v>1110203</v>
      </c>
      <c r="T551" s="11" t="s">
        <v>117</v>
      </c>
      <c r="U551" s="12" t="n">
        <v>2200</v>
      </c>
      <c r="W551" s="12" t="n">
        <v>2200</v>
      </c>
      <c r="X551" s="11" t="s">
        <v>645</v>
      </c>
      <c r="Z551" s="0" t="str">
        <f aca="false">IF($T551="","",IFERROR(INDEX('Resumo Grupos'!$AC$3:$AC$200,MATCH($T551,'Resumo Grupos'!$AB$3:$AB$200,0)),"n/d"))</f>
        <v>Despesa</v>
      </c>
      <c r="AA551" s="0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9" t="n">
        <v>2</v>
      </c>
      <c r="B552" s="10" t="n">
        <v>46183</v>
      </c>
      <c r="C552" s="10" t="n">
        <v>46202</v>
      </c>
      <c r="D552" s="9" t="n">
        <v>1666</v>
      </c>
      <c r="E552" s="11" t="s">
        <v>266</v>
      </c>
      <c r="F552" s="9" t="n">
        <v>24</v>
      </c>
      <c r="G552" s="11" t="s">
        <v>51</v>
      </c>
      <c r="H552" s="9" t="n">
        <v>2110101</v>
      </c>
      <c r="I552" s="11" t="s">
        <v>43</v>
      </c>
      <c r="J552" s="9" t="n">
        <v>1231221</v>
      </c>
      <c r="L552" s="9" t="n">
        <v>163838</v>
      </c>
      <c r="M552" s="11" t="s">
        <v>52</v>
      </c>
      <c r="N552" s="11" t="s">
        <v>45</v>
      </c>
      <c r="P552" s="9" t="n">
        <v>113</v>
      </c>
      <c r="Q552" s="11" t="s">
        <v>46</v>
      </c>
      <c r="R552" s="11" t="s">
        <v>47</v>
      </c>
      <c r="S552" s="9" t="n">
        <v>1130101</v>
      </c>
      <c r="T552" s="11" t="s">
        <v>48</v>
      </c>
      <c r="U552" s="12" t="n">
        <v>5403.15</v>
      </c>
      <c r="W552" s="12" t="n">
        <v>0</v>
      </c>
      <c r="X552" s="11" t="s">
        <v>433</v>
      </c>
      <c r="Z552" s="0" t="str">
        <f aca="false">IF($T552="","",IFERROR(INDEX('Resumo Grupos'!$AC$3:$AC$200,MATCH($T552,'Resumo Grupos'!$AB$3:$AB$200,0)),"n/d"))</f>
        <v>Mercadoria</v>
      </c>
      <c r="AA552" s="0" t="str">
        <f aca="false">IF($T552="","",IF(COUNTIF('Resumo Grupos'!$AE$3:$AE$40,$T552)&gt;0,"NAO","SIM"))</f>
        <v>SIM</v>
      </c>
      <c r="AB552" s="0" t="str">
        <f aca="false">IFERROR(INDEX('Mov Entradas (Rel 10497)'!$L:$L,MATCH(AC552,'Mov Entradas (Rel 10497)'!$I:$I,0)),"nao encontrado")</f>
        <v>AP BARBE BIC PELE SE</v>
      </c>
      <c r="AC552" s="0" t="n">
        <v>562635</v>
      </c>
    </row>
    <row r="553" customFormat="false" ht="36.75" hidden="false" customHeight="true" outlineLevel="0" collapsed="false">
      <c r="A553" s="9" t="n">
        <v>2</v>
      </c>
      <c r="B553" s="10" t="n">
        <v>46195</v>
      </c>
      <c r="C553" s="10" t="n">
        <v>46202</v>
      </c>
      <c r="D553" s="9" t="n">
        <v>1631</v>
      </c>
      <c r="E553" s="11" t="s">
        <v>299</v>
      </c>
      <c r="F553" s="9" t="n">
        <v>24</v>
      </c>
      <c r="G553" s="11" t="s">
        <v>51</v>
      </c>
      <c r="H553" s="9" t="n">
        <v>2110101</v>
      </c>
      <c r="I553" s="11" t="s">
        <v>43</v>
      </c>
      <c r="J553" s="9" t="n">
        <v>1289836</v>
      </c>
      <c r="L553" s="9" t="n">
        <v>15043</v>
      </c>
      <c r="M553" s="11" t="s">
        <v>52</v>
      </c>
      <c r="N553" s="11" t="s">
        <v>37</v>
      </c>
      <c r="P553" s="9" t="n">
        <v>113</v>
      </c>
      <c r="Q553" s="11" t="s">
        <v>46</v>
      </c>
      <c r="R553" s="11" t="s">
        <v>47</v>
      </c>
      <c r="S553" s="9" t="n">
        <v>1130101</v>
      </c>
      <c r="T553" s="11" t="s">
        <v>48</v>
      </c>
      <c r="U553" s="12" t="n">
        <v>298.83</v>
      </c>
      <c r="W553" s="12" t="n">
        <v>0</v>
      </c>
      <c r="X553" s="11" t="s">
        <v>646</v>
      </c>
      <c r="Z553" s="0" t="str">
        <f aca="false">IF($T553="","",IFERROR(INDEX('Resumo Grupos'!$AC$3:$AC$200,MATCH($T553,'Resumo Grupos'!$AB$3:$AB$200,0)),"n/d"))</f>
        <v>Mercadoria</v>
      </c>
      <c r="AA553" s="0" t="str">
        <f aca="false">IF($T553="","",IF(COUNTIF('Resumo Grupos'!$AE$3:$AE$40,$T553)&gt;0,"NAO","SIM"))</f>
        <v>SIM</v>
      </c>
      <c r="AB553" s="0" t="str">
        <f aca="false">IFERROR(INDEX('Mov Entradas (Rel 10497)'!$L:$L,MATCH(AC553,'Mov Entradas (Rel 10497)'!$I:$I,0)),"nao encontrado")</f>
        <v>IOGURTE AMAZONGURT D</v>
      </c>
      <c r="AC553" s="0" t="n">
        <v>15043</v>
      </c>
    </row>
    <row r="554" customFormat="false" ht="63.75" hidden="false" customHeight="true" outlineLevel="0" collapsed="false">
      <c r="A554" s="9" t="n">
        <v>2</v>
      </c>
      <c r="B554" s="10" t="n">
        <v>46202</v>
      </c>
      <c r="C554" s="10" t="n">
        <v>46203</v>
      </c>
      <c r="D554" s="9" t="n">
        <v>642</v>
      </c>
      <c r="E554" s="11" t="s">
        <v>123</v>
      </c>
      <c r="F554" s="9" t="n">
        <v>24</v>
      </c>
      <c r="G554" s="11" t="s">
        <v>51</v>
      </c>
      <c r="H554" s="9" t="n">
        <v>2110101</v>
      </c>
      <c r="I554" s="11" t="s">
        <v>43</v>
      </c>
      <c r="J554" s="9" t="n">
        <v>1321674</v>
      </c>
      <c r="L554" s="9" t="n">
        <v>513</v>
      </c>
      <c r="M554" s="11" t="s">
        <v>52</v>
      </c>
      <c r="N554" s="11" t="s">
        <v>37</v>
      </c>
      <c r="P554" s="9" t="n">
        <v>113</v>
      </c>
      <c r="Q554" s="11" t="s">
        <v>46</v>
      </c>
      <c r="R554" s="11" t="s">
        <v>47</v>
      </c>
      <c r="S554" s="9" t="n">
        <v>1130101</v>
      </c>
      <c r="T554" s="11" t="s">
        <v>48</v>
      </c>
      <c r="U554" s="12" t="n">
        <v>180</v>
      </c>
      <c r="W554" s="12" t="n">
        <v>0</v>
      </c>
      <c r="X554" s="11" t="s">
        <v>647</v>
      </c>
      <c r="Z554" s="0" t="str">
        <f aca="false">IF($T554="","",IFERROR(INDEX('Resumo Grupos'!$AC$3:$AC$200,MATCH($T554,'Resumo Grupos'!$AB$3:$AB$200,0)),"n/d"))</f>
        <v>Mercadoria</v>
      </c>
      <c r="AA554" s="0" t="str">
        <f aca="false">IF($T554="","",IF(COUNTIF('Resumo Grupos'!$AE$3:$AE$40,$T554)&gt;0,"NAO","SIM"))</f>
        <v>SIM</v>
      </c>
      <c r="AB554" s="0" t="str">
        <f aca="false">IFERROR(INDEX('Mov Entradas (Rel 10497)'!$L:$L,MATCH(AC554,'Mov Entradas (Rel 10497)'!$I:$I,0)),"nao encontrado")</f>
        <v>BOLO BLOOM 600G</v>
      </c>
      <c r="AC554" s="0" t="n">
        <v>513</v>
      </c>
    </row>
    <row r="555" customFormat="false" ht="45.75" hidden="false" customHeight="true" outlineLevel="0" collapsed="false">
      <c r="A555" s="9" t="n">
        <v>2</v>
      </c>
      <c r="B555" s="10" t="n">
        <v>46200</v>
      </c>
      <c r="C555" s="10" t="n">
        <v>46203</v>
      </c>
      <c r="D555" s="9" t="n">
        <v>10018</v>
      </c>
      <c r="E555" s="11" t="s">
        <v>216</v>
      </c>
      <c r="F555" s="9" t="n">
        <v>34</v>
      </c>
      <c r="G555" s="11" t="s">
        <v>55</v>
      </c>
      <c r="H555" s="9" t="n">
        <v>2110101</v>
      </c>
      <c r="I555" s="11" t="s">
        <v>43</v>
      </c>
      <c r="J555" s="9" t="n">
        <v>1312574</v>
      </c>
      <c r="L555" s="9" t="n">
        <v>316</v>
      </c>
      <c r="M555" s="11" t="s">
        <v>52</v>
      </c>
      <c r="N555" s="11" t="s">
        <v>37</v>
      </c>
      <c r="P555" s="9" t="n">
        <v>113</v>
      </c>
      <c r="Q555" s="11" t="s">
        <v>46</v>
      </c>
      <c r="R555" s="11" t="s">
        <v>47</v>
      </c>
      <c r="S555" s="9" t="n">
        <v>1130101</v>
      </c>
      <c r="T555" s="11" t="s">
        <v>48</v>
      </c>
      <c r="U555" s="12" t="n">
        <v>899.95</v>
      </c>
      <c r="W555" s="12" t="n">
        <v>0</v>
      </c>
      <c r="X555" s="11" t="s">
        <v>648</v>
      </c>
      <c r="Z555" s="0" t="str">
        <f aca="false">IF($T555="","",IFERROR(INDEX('Resumo Grupos'!$AC$3:$AC$200,MATCH($T555,'Resumo Grupos'!$AB$3:$AB$200,0)),"n/d"))</f>
        <v>Mercadoria</v>
      </c>
      <c r="AA555" s="0" t="str">
        <f aca="false">IF($T555="","",IF(COUNTIF('Resumo Grupos'!$AE$3:$AE$40,$T555)&gt;0,"NAO","SIM"))</f>
        <v>SIM</v>
      </c>
      <c r="AB555" s="0" t="str">
        <f aca="false">IFERROR(INDEX('Mov Entradas (Rel 10497)'!$L:$L,MATCH(AC555,'Mov Entradas (Rel 10497)'!$I:$I,0)),"nao encontrado")</f>
        <v>OVOS BRANCO UNID</v>
      </c>
      <c r="AC555" s="0" t="n">
        <v>316</v>
      </c>
    </row>
    <row r="556" customFormat="false" ht="36.75" hidden="false" customHeight="true" outlineLevel="0" collapsed="false">
      <c r="A556" s="9" t="n">
        <v>2</v>
      </c>
      <c r="B556" s="10" t="n">
        <v>46203</v>
      </c>
      <c r="C556" s="10" t="n">
        <v>46203</v>
      </c>
      <c r="D556" s="9" t="n">
        <v>1961</v>
      </c>
      <c r="E556" s="11" t="s">
        <v>125</v>
      </c>
      <c r="F556" s="9" t="n">
        <v>34</v>
      </c>
      <c r="G556" s="11" t="s">
        <v>55</v>
      </c>
      <c r="H556" s="9" t="n">
        <v>2110405</v>
      </c>
      <c r="I556" s="11" t="s">
        <v>56</v>
      </c>
      <c r="J556" s="9" t="n">
        <v>1341331</v>
      </c>
      <c r="L556" s="9" t="n">
        <v>180044</v>
      </c>
      <c r="M556" s="11" t="s">
        <v>52</v>
      </c>
      <c r="N556" s="11" t="s">
        <v>45</v>
      </c>
      <c r="P556" s="9" t="n">
        <v>102</v>
      </c>
      <c r="Q556" s="11" t="s">
        <v>308</v>
      </c>
      <c r="R556" s="11" t="s">
        <v>71</v>
      </c>
      <c r="S556" s="9" t="n">
        <v>4210310</v>
      </c>
      <c r="T556" s="11" t="s">
        <v>126</v>
      </c>
      <c r="U556" s="12" t="n">
        <v>120</v>
      </c>
      <c r="W556" s="12" t="n">
        <v>0</v>
      </c>
      <c r="X556" s="11" t="s">
        <v>649</v>
      </c>
      <c r="Z556" s="0" t="str">
        <f aca="false">IF($T556="","",IFERROR(INDEX('Resumo Grupos'!$AC$3:$AC$200,MATCH($T556,'Resumo Grupos'!$AB$3:$AB$200,0)),"n/d"))</f>
        <v>Despesa</v>
      </c>
      <c r="AA556" s="0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9" t="n">
        <v>2</v>
      </c>
      <c r="B557" s="10" t="n">
        <v>46203</v>
      </c>
      <c r="C557" s="10" t="n">
        <v>46203</v>
      </c>
      <c r="D557" s="9" t="n">
        <v>1961</v>
      </c>
      <c r="E557" s="11" t="s">
        <v>125</v>
      </c>
      <c r="F557" s="9" t="n">
        <v>13</v>
      </c>
      <c r="G557" s="11" t="s">
        <v>135</v>
      </c>
      <c r="H557" s="9" t="n">
        <v>1110102</v>
      </c>
      <c r="I557" s="11" t="s">
        <v>650</v>
      </c>
      <c r="J557" s="9" t="n">
        <v>1438654</v>
      </c>
      <c r="L557" s="9" t="n">
        <v>194371</v>
      </c>
      <c r="M557" s="11" t="s">
        <v>52</v>
      </c>
      <c r="N557" s="11" t="s">
        <v>45</v>
      </c>
      <c r="P557" s="9" t="n">
        <v>101</v>
      </c>
      <c r="Q557" s="11" t="s">
        <v>57</v>
      </c>
      <c r="R557" s="11" t="s">
        <v>71</v>
      </c>
      <c r="S557" s="9" t="n">
        <v>4210310</v>
      </c>
      <c r="T557" s="11" t="s">
        <v>126</v>
      </c>
      <c r="U557" s="12" t="n">
        <v>411</v>
      </c>
      <c r="W557" s="12" t="n">
        <v>0</v>
      </c>
      <c r="X557" s="11" t="s">
        <v>651</v>
      </c>
      <c r="Z557" s="0" t="str">
        <f aca="false">IF($T557="","",IFERROR(INDEX('Resumo Grupos'!$AC$3:$AC$200,MATCH($T557,'Resumo Grupos'!$AB$3:$AB$200,0)),"n/d"))</f>
        <v>Despesa</v>
      </c>
      <c r="AA557" s="0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9" t="n">
        <v>2</v>
      </c>
      <c r="B558" s="10" t="n">
        <v>46182</v>
      </c>
      <c r="C558" s="10" t="n">
        <v>46203</v>
      </c>
      <c r="D558" s="9" t="n">
        <v>1921</v>
      </c>
      <c r="E558" s="11" t="s">
        <v>167</v>
      </c>
      <c r="F558" s="9" t="n">
        <v>24</v>
      </c>
      <c r="G558" s="11" t="s">
        <v>51</v>
      </c>
      <c r="H558" s="9" t="n">
        <v>2110101</v>
      </c>
      <c r="I558" s="11" t="s">
        <v>43</v>
      </c>
      <c r="J558" s="9" t="n">
        <v>1227446</v>
      </c>
      <c r="L558" s="9" t="n">
        <v>20868</v>
      </c>
      <c r="M558" s="11" t="s">
        <v>44</v>
      </c>
      <c r="N558" s="11" t="s">
        <v>37</v>
      </c>
      <c r="P558" s="9" t="n">
        <v>113</v>
      </c>
      <c r="Q558" s="11" t="s">
        <v>46</v>
      </c>
      <c r="R558" s="11" t="s">
        <v>47</v>
      </c>
      <c r="S558" s="9" t="n">
        <v>1130101</v>
      </c>
      <c r="T558" s="11" t="s">
        <v>48</v>
      </c>
      <c r="U558" s="12" t="n">
        <v>303.19</v>
      </c>
      <c r="W558" s="12" t="n">
        <v>0</v>
      </c>
      <c r="X558" s="11" t="s">
        <v>531</v>
      </c>
      <c r="Z558" s="0" t="str">
        <f aca="false">IF($T558="","",IFERROR(INDEX('Resumo Grupos'!$AC$3:$AC$200,MATCH($T558,'Resumo Grupos'!$AB$3:$AB$200,0)),"n/d"))</f>
        <v>Mercadoria</v>
      </c>
      <c r="AA558" s="0" t="str">
        <f aca="false">IF($T558="","",IF(COUNTIF('Resumo Grupos'!$AE$3:$AE$40,$T558)&gt;0,"NAO","SIM"))</f>
        <v>SIM</v>
      </c>
      <c r="AB558" s="0" t="str">
        <f aca="false">IFERROR(INDEX('Mov Entradas (Rel 10497)'!$L:$L,MATCH(AC558,'Mov Entradas (Rel 10497)'!$I:$I,0)),"nao encontrado")</f>
        <v>MILHO PIPOCA 400G RAIZ</v>
      </c>
      <c r="AC558" s="0" t="n">
        <v>20868</v>
      </c>
    </row>
    <row r="559" customFormat="false" ht="54.75" hidden="false" customHeight="true" outlineLevel="0" collapsed="false">
      <c r="A559" s="9" t="n">
        <v>2</v>
      </c>
      <c r="B559" s="10" t="n">
        <v>46183</v>
      </c>
      <c r="C559" s="10" t="n">
        <v>46203</v>
      </c>
      <c r="D559" s="9" t="n">
        <v>1635</v>
      </c>
      <c r="E559" s="11" t="s">
        <v>128</v>
      </c>
      <c r="F559" s="9" t="n">
        <v>24</v>
      </c>
      <c r="G559" s="11" t="s">
        <v>51</v>
      </c>
      <c r="H559" s="9" t="n">
        <v>2110101</v>
      </c>
      <c r="I559" s="11" t="s">
        <v>43</v>
      </c>
      <c r="J559" s="9" t="n">
        <v>1231128</v>
      </c>
      <c r="L559" s="9" t="n">
        <v>518105</v>
      </c>
      <c r="M559" s="11" t="s">
        <v>44</v>
      </c>
      <c r="N559" s="11" t="s">
        <v>37</v>
      </c>
      <c r="P559" s="9" t="n">
        <v>113</v>
      </c>
      <c r="Q559" s="11" t="s">
        <v>46</v>
      </c>
      <c r="R559" s="11" t="s">
        <v>47</v>
      </c>
      <c r="S559" s="9" t="n">
        <v>1130101</v>
      </c>
      <c r="T559" s="11" t="s">
        <v>48</v>
      </c>
      <c r="U559" s="12" t="n">
        <v>642.4</v>
      </c>
      <c r="W559" s="12" t="n">
        <v>0</v>
      </c>
      <c r="X559" s="11" t="s">
        <v>533</v>
      </c>
      <c r="Z559" s="0" t="str">
        <f aca="false">IF($T559="","",IFERROR(INDEX('Resumo Grupos'!$AC$3:$AC$200,MATCH($T559,'Resumo Grupos'!$AB$3:$AB$200,0)),"n/d"))</f>
        <v>Mercadoria</v>
      </c>
      <c r="AA559" s="0" t="str">
        <f aca="false">IF($T559="","",IF(COUNTIF('Resumo Grupos'!$AE$3:$AE$40,$T559)&gt;0,"NAO","SIM"))</f>
        <v>SIM</v>
      </c>
      <c r="AB559" s="0" t="str">
        <f aca="false">IFERROR(INDEX('Mov Entradas (Rel 10497)'!$L:$L,MATCH(AC559,'Mov Entradas (Rel 10497)'!$I:$I,0)),"nao encontrado")</f>
        <v>FILE PEITOA GRANEL</v>
      </c>
      <c r="AC559" s="0" t="n">
        <v>518105</v>
      </c>
    </row>
    <row r="560" customFormat="false" ht="54.75" hidden="false" customHeight="true" outlineLevel="0" collapsed="false">
      <c r="A560" s="9" t="n">
        <v>2</v>
      </c>
      <c r="B560" s="10" t="n">
        <v>46189</v>
      </c>
      <c r="C560" s="10" t="n">
        <v>46203</v>
      </c>
      <c r="D560" s="9" t="n">
        <v>1705</v>
      </c>
      <c r="E560" s="11" t="s">
        <v>130</v>
      </c>
      <c r="F560" s="9" t="n">
        <v>24</v>
      </c>
      <c r="G560" s="11" t="s">
        <v>51</v>
      </c>
      <c r="H560" s="9" t="n">
        <v>2110101</v>
      </c>
      <c r="I560" s="11" t="s">
        <v>43</v>
      </c>
      <c r="J560" s="9" t="n">
        <v>1261488</v>
      </c>
      <c r="L560" s="9" t="n">
        <v>1161723</v>
      </c>
      <c r="M560" s="11" t="s">
        <v>52</v>
      </c>
      <c r="N560" s="11" t="s">
        <v>37</v>
      </c>
      <c r="P560" s="9" t="n">
        <v>113</v>
      </c>
      <c r="Q560" s="11" t="s">
        <v>46</v>
      </c>
      <c r="R560" s="11" t="s">
        <v>47</v>
      </c>
      <c r="S560" s="9" t="n">
        <v>1130101</v>
      </c>
      <c r="T560" s="11" t="s">
        <v>48</v>
      </c>
      <c r="U560" s="12" t="n">
        <v>203.42</v>
      </c>
      <c r="W560" s="12" t="n">
        <v>0</v>
      </c>
      <c r="X560" s="11" t="s">
        <v>652</v>
      </c>
      <c r="Z560" s="0" t="str">
        <f aca="false">IF($T560="","",IFERROR(INDEX('Resumo Grupos'!$AC$3:$AC$200,MATCH($T560,'Resumo Grupos'!$AB$3:$AB$200,0)),"n/d"))</f>
        <v>Mercadoria</v>
      </c>
      <c r="AA560" s="0" t="str">
        <f aca="false">IF($T560="","",IF(COUNTIF('Resumo Grupos'!$AE$3:$AE$40,$T560)&gt;0,"NAO","SIM"))</f>
        <v>SIM</v>
      </c>
      <c r="AB560" s="0" t="str">
        <f aca="false">IFERROR(INDEX('Mov Entradas (Rel 10497)'!$L:$L,MATCH(AC560,'Mov Entradas (Rel 10497)'!$I:$I,0)),"nao encontrado")</f>
        <v>MONSTER ENERGY 473ML</v>
      </c>
      <c r="AC560" s="0" t="n">
        <v>1161723</v>
      </c>
    </row>
    <row r="561" customFormat="false" ht="54.75" hidden="false" customHeight="true" outlineLevel="0" collapsed="false">
      <c r="A561" s="9" t="n">
        <v>2</v>
      </c>
      <c r="B561" s="10" t="n">
        <v>46189</v>
      </c>
      <c r="C561" s="10" t="n">
        <v>46203</v>
      </c>
      <c r="D561" s="9" t="n">
        <v>1705</v>
      </c>
      <c r="E561" s="11" t="s">
        <v>130</v>
      </c>
      <c r="F561" s="9" t="n">
        <v>24</v>
      </c>
      <c r="G561" s="11" t="s">
        <v>51</v>
      </c>
      <c r="H561" s="9" t="n">
        <v>2110101</v>
      </c>
      <c r="I561" s="11" t="s">
        <v>43</v>
      </c>
      <c r="J561" s="9" t="n">
        <v>1261495</v>
      </c>
      <c r="L561" s="9" t="n">
        <v>1162362</v>
      </c>
      <c r="M561" s="11" t="s">
        <v>52</v>
      </c>
      <c r="N561" s="11" t="s">
        <v>37</v>
      </c>
      <c r="P561" s="9" t="n">
        <v>113</v>
      </c>
      <c r="Q561" s="11" t="s">
        <v>46</v>
      </c>
      <c r="R561" s="11" t="s">
        <v>47</v>
      </c>
      <c r="S561" s="9" t="n">
        <v>1130101</v>
      </c>
      <c r="T561" s="11" t="s">
        <v>48</v>
      </c>
      <c r="U561" s="12" t="n">
        <v>639.86</v>
      </c>
      <c r="W561" s="12" t="n">
        <v>0</v>
      </c>
      <c r="X561" s="11" t="s">
        <v>653</v>
      </c>
      <c r="Z561" s="0" t="str">
        <f aca="false">IF($T561="","",IFERROR(INDEX('Resumo Grupos'!$AC$3:$AC$200,MATCH($T561,'Resumo Grupos'!$AB$3:$AB$200,0)),"n/d"))</f>
        <v>Mercadoria</v>
      </c>
      <c r="AA561" s="0" t="str">
        <f aca="false">IF($T561="","",IF(COUNTIF('Resumo Grupos'!$AE$3:$AE$40,$T561)&gt;0,"NAO","SIM"))</f>
        <v>SIM</v>
      </c>
      <c r="AB561" s="0" t="str">
        <f aca="false">IFERROR(INDEX('Mov Entradas (Rel 10497)'!$L:$L,MATCH(AC561,'Mov Entradas (Rel 10497)'!$I:$I,0)),"nao encontrado")</f>
        <v>KAPO MORANGO 200ML</v>
      </c>
      <c r="AC561" s="0" t="n">
        <v>1162362</v>
      </c>
    </row>
    <row r="562" customFormat="false" ht="36.75" hidden="false" customHeight="true" outlineLevel="0" collapsed="false">
      <c r="A562" s="9" t="n">
        <v>2</v>
      </c>
      <c r="B562" s="10" t="n">
        <v>46189</v>
      </c>
      <c r="C562" s="10" t="n">
        <v>46203</v>
      </c>
      <c r="D562" s="9" t="n">
        <v>1705</v>
      </c>
      <c r="E562" s="11" t="s">
        <v>130</v>
      </c>
      <c r="F562" s="9" t="n">
        <v>24</v>
      </c>
      <c r="G562" s="11" t="s">
        <v>51</v>
      </c>
      <c r="H562" s="9" t="n">
        <v>2110101</v>
      </c>
      <c r="I562" s="11" t="s">
        <v>43</v>
      </c>
      <c r="J562" s="9" t="n">
        <v>1261504</v>
      </c>
      <c r="L562" s="9" t="n">
        <v>1880950</v>
      </c>
      <c r="M562" s="11" t="s">
        <v>52</v>
      </c>
      <c r="N562" s="11" t="s">
        <v>37</v>
      </c>
      <c r="P562" s="9" t="n">
        <v>113</v>
      </c>
      <c r="Q562" s="11" t="s">
        <v>46</v>
      </c>
      <c r="R562" s="11" t="s">
        <v>47</v>
      </c>
      <c r="S562" s="9" t="n">
        <v>1130101</v>
      </c>
      <c r="T562" s="11" t="s">
        <v>48</v>
      </c>
      <c r="U562" s="12" t="n">
        <v>2177.76</v>
      </c>
      <c r="W562" s="12" t="n">
        <v>0</v>
      </c>
      <c r="X562" s="11" t="s">
        <v>654</v>
      </c>
      <c r="Z562" s="0" t="str">
        <f aca="false">IF($T562="","",IFERROR(INDEX('Resumo Grupos'!$AC$3:$AC$200,MATCH($T562,'Resumo Grupos'!$AB$3:$AB$200,0)),"n/d"))</f>
        <v>Mercadoria</v>
      </c>
      <c r="AA562" s="0" t="str">
        <f aca="false">IF($T562="","",IF(COUNTIF('Resumo Grupos'!$AE$3:$AE$40,$T562)&gt;0,"NAO","SIM"))</f>
        <v>SIM</v>
      </c>
      <c r="AB562" s="0" t="str">
        <f aca="false">IFERROR(INDEX('Mov Entradas (Rel 10497)'!$L:$L,MATCH(AC562,'Mov Entradas (Rel 10497)'!$I:$I,0)),"nao encontrado")</f>
        <v>REFRI. COCA COLA ORI</v>
      </c>
      <c r="AC562" s="0" t="n">
        <v>1880950</v>
      </c>
    </row>
    <row r="563" customFormat="false" ht="54.75" hidden="false" customHeight="true" outlineLevel="0" collapsed="false">
      <c r="A563" s="9" t="n">
        <v>2</v>
      </c>
      <c r="B563" s="10" t="n">
        <v>46189</v>
      </c>
      <c r="C563" s="10" t="n">
        <v>46203</v>
      </c>
      <c r="D563" s="9" t="n">
        <v>1705</v>
      </c>
      <c r="E563" s="11" t="s">
        <v>130</v>
      </c>
      <c r="F563" s="9" t="n">
        <v>24</v>
      </c>
      <c r="G563" s="11" t="s">
        <v>51</v>
      </c>
      <c r="H563" s="9" t="n">
        <v>2110101</v>
      </c>
      <c r="I563" s="11" t="s">
        <v>43</v>
      </c>
      <c r="J563" s="9" t="n">
        <v>1261524</v>
      </c>
      <c r="L563" s="9" t="n">
        <v>168342</v>
      </c>
      <c r="M563" s="11" t="s">
        <v>52</v>
      </c>
      <c r="N563" s="11" t="s">
        <v>45</v>
      </c>
      <c r="P563" s="9" t="n">
        <v>113</v>
      </c>
      <c r="Q563" s="11" t="s">
        <v>46</v>
      </c>
      <c r="R563" s="11" t="s">
        <v>47</v>
      </c>
      <c r="S563" s="9" t="n">
        <v>1130101</v>
      </c>
      <c r="T563" s="11" t="s">
        <v>48</v>
      </c>
      <c r="U563" s="12" t="n">
        <v>1014.01</v>
      </c>
      <c r="W563" s="12" t="n">
        <v>0</v>
      </c>
      <c r="X563" s="11" t="s">
        <v>655</v>
      </c>
      <c r="Z563" s="0" t="str">
        <f aca="false">IF($T563="","",IFERROR(INDEX('Resumo Grupos'!$AC$3:$AC$200,MATCH($T563,'Resumo Grupos'!$AB$3:$AB$200,0)),"n/d"))</f>
        <v>Mercadoria</v>
      </c>
      <c r="AA563" s="0" t="str">
        <f aca="false">IF($T563="","",IF(COUNTIF('Resumo Grupos'!$AE$3:$AE$40,$T563)&gt;0,"NAO","SIM"))</f>
        <v>SIM</v>
      </c>
      <c r="AB563" s="0" t="str">
        <f aca="false">IFERROR(INDEX('Mov Entradas (Rel 10497)'!$L:$L,MATCH(AC563,'Mov Entradas (Rel 10497)'!$I:$I,0)),"nao encontrado")</f>
        <v>TRIDENT MORANGO</v>
      </c>
      <c r="AC563" s="0" t="n">
        <v>1161721</v>
      </c>
    </row>
    <row r="564" customFormat="false" ht="36.75" hidden="false" customHeight="true" outlineLevel="0" collapsed="false">
      <c r="A564" s="9" t="n">
        <v>2</v>
      </c>
      <c r="B564" s="10" t="n">
        <v>46203</v>
      </c>
      <c r="C564" s="10" t="n">
        <v>46203</v>
      </c>
      <c r="D564" s="9" t="n">
        <v>489</v>
      </c>
      <c r="E564" s="11" t="s">
        <v>656</v>
      </c>
      <c r="F564" s="9" t="n">
        <v>13</v>
      </c>
      <c r="G564" s="11" t="s">
        <v>135</v>
      </c>
      <c r="H564" s="9" t="n">
        <v>1110102</v>
      </c>
      <c r="I564" s="11" t="s">
        <v>650</v>
      </c>
      <c r="J564" s="9" t="n">
        <v>1438664</v>
      </c>
      <c r="L564" s="9" t="n">
        <v>194373</v>
      </c>
      <c r="M564" s="11" t="s">
        <v>52</v>
      </c>
      <c r="N564" s="11" t="s">
        <v>45</v>
      </c>
      <c r="P564" s="9" t="n">
        <v>101</v>
      </c>
      <c r="Q564" s="11" t="s">
        <v>57</v>
      </c>
      <c r="R564" s="11" t="s">
        <v>47</v>
      </c>
      <c r="S564" s="9" t="n">
        <v>1130101</v>
      </c>
      <c r="T564" s="11" t="s">
        <v>48</v>
      </c>
      <c r="U564" s="12" t="n">
        <v>961</v>
      </c>
      <c r="W564" s="12" t="n">
        <v>0</v>
      </c>
      <c r="X564" s="11" t="s">
        <v>657</v>
      </c>
      <c r="Z564" s="0" t="str">
        <f aca="false">IF($T564="","",IFERROR(INDEX('Resumo Grupos'!$AC$3:$AC$200,MATCH($T564,'Resumo Grupos'!$AB$3:$AB$200,0)),"n/d"))</f>
        <v>Mercadoria</v>
      </c>
      <c r="AA564" s="0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9" t="n">
        <v>2</v>
      </c>
      <c r="B565" s="10" t="n">
        <v>46203</v>
      </c>
      <c r="C565" s="10" t="n">
        <v>46203</v>
      </c>
      <c r="D565" s="9" t="n">
        <v>1758</v>
      </c>
      <c r="E565" s="11" t="s">
        <v>478</v>
      </c>
      <c r="F565" s="9" t="n">
        <v>13</v>
      </c>
      <c r="G565" s="11" t="s">
        <v>135</v>
      </c>
      <c r="H565" s="9" t="n">
        <v>1110102</v>
      </c>
      <c r="I565" s="11" t="s">
        <v>650</v>
      </c>
      <c r="J565" s="9" t="n">
        <v>1438650</v>
      </c>
      <c r="L565" s="9" t="n">
        <v>194370</v>
      </c>
      <c r="M565" s="11" t="s">
        <v>52</v>
      </c>
      <c r="N565" s="11" t="s">
        <v>45</v>
      </c>
      <c r="P565" s="9" t="n">
        <v>101</v>
      </c>
      <c r="Q565" s="11" t="s">
        <v>57</v>
      </c>
      <c r="R565" s="11" t="s">
        <v>39</v>
      </c>
      <c r="S565" s="9" t="n">
        <v>4210227</v>
      </c>
      <c r="T565" s="11" t="s">
        <v>68</v>
      </c>
      <c r="U565" s="12" t="n">
        <v>549.5</v>
      </c>
      <c r="W565" s="12" t="n">
        <v>0</v>
      </c>
      <c r="X565" s="11" t="s">
        <v>658</v>
      </c>
      <c r="Z565" s="0" t="str">
        <f aca="false">IF($T565="","",IFERROR(INDEX('Resumo Grupos'!$AC$3:$AC$200,MATCH($T565,'Resumo Grupos'!$AB$3:$AB$200,0)),"n/d"))</f>
        <v>Despesa</v>
      </c>
      <c r="AA565" s="0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9" t="n">
        <v>2</v>
      </c>
      <c r="B566" s="10" t="n">
        <v>46198</v>
      </c>
      <c r="C566" s="10" t="n">
        <v>46203</v>
      </c>
      <c r="D566" s="9" t="n">
        <v>1218</v>
      </c>
      <c r="E566" s="11" t="s">
        <v>659</v>
      </c>
      <c r="F566" s="9" t="n">
        <v>24</v>
      </c>
      <c r="G566" s="11" t="s">
        <v>51</v>
      </c>
      <c r="H566" s="9" t="n">
        <v>2110101</v>
      </c>
      <c r="I566" s="11" t="s">
        <v>43</v>
      </c>
      <c r="J566" s="9" t="n">
        <v>1305945</v>
      </c>
      <c r="L566" s="9" t="n">
        <v>9495</v>
      </c>
      <c r="M566" s="11" t="s">
        <v>52</v>
      </c>
      <c r="N566" s="11" t="s">
        <v>37</v>
      </c>
      <c r="P566" s="9" t="n">
        <v>113</v>
      </c>
      <c r="Q566" s="11" t="s">
        <v>46</v>
      </c>
      <c r="R566" s="11" t="s">
        <v>47</v>
      </c>
      <c r="S566" s="9" t="n">
        <v>1130101</v>
      </c>
      <c r="T566" s="11" t="s">
        <v>48</v>
      </c>
      <c r="U566" s="12" t="n">
        <v>531.18</v>
      </c>
      <c r="W566" s="12" t="n">
        <v>0</v>
      </c>
      <c r="X566" s="11" t="s">
        <v>660</v>
      </c>
      <c r="Z566" s="0" t="str">
        <f aca="false">IF($T566="","",IFERROR(INDEX('Resumo Grupos'!$AC$3:$AC$200,MATCH($T566,'Resumo Grupos'!$AB$3:$AB$200,0)),"n/d"))</f>
        <v>Mercadoria</v>
      </c>
      <c r="AA566" s="0" t="str">
        <f aca="false">IF($T566="","",IF(COUNTIF('Resumo Grupos'!$AE$3:$AE$40,$T566)&gt;0,"NAO","SIM"))</f>
        <v>SIM</v>
      </c>
      <c r="AB566" s="0" t="str">
        <f aca="false">IFERROR(INDEX('Mov Entradas (Rel 10497)'!$L:$L,MATCH(AC566,'Mov Entradas (Rel 10497)'!$I:$I,0)),"nao encontrado")</f>
        <v>ANTIFER LUBFAS 300ML</v>
      </c>
      <c r="AC566" s="0" t="n">
        <v>9495</v>
      </c>
    </row>
    <row r="567" customFormat="false" ht="36.75" hidden="false" customHeight="true" outlineLevel="0" collapsed="false">
      <c r="A567" s="9" t="n">
        <v>2</v>
      </c>
      <c r="B567" s="10" t="n">
        <v>46190</v>
      </c>
      <c r="C567" s="10" t="n">
        <v>46203</v>
      </c>
      <c r="D567" s="9" t="n">
        <v>1683</v>
      </c>
      <c r="E567" s="11" t="s">
        <v>406</v>
      </c>
      <c r="F567" s="9" t="n">
        <v>34</v>
      </c>
      <c r="G567" s="11" t="s">
        <v>55</v>
      </c>
      <c r="H567" s="9" t="n">
        <v>2110101</v>
      </c>
      <c r="I567" s="11" t="s">
        <v>43</v>
      </c>
      <c r="J567" s="9" t="n">
        <v>1265907</v>
      </c>
      <c r="L567" s="9" t="n">
        <v>1633308</v>
      </c>
      <c r="M567" s="11" t="s">
        <v>52</v>
      </c>
      <c r="N567" s="11" t="s">
        <v>37</v>
      </c>
      <c r="P567" s="9" t="n">
        <v>113</v>
      </c>
      <c r="Q567" s="11" t="s">
        <v>46</v>
      </c>
      <c r="R567" s="11" t="s">
        <v>47</v>
      </c>
      <c r="S567" s="9" t="n">
        <v>1130101</v>
      </c>
      <c r="T567" s="11" t="s">
        <v>48</v>
      </c>
      <c r="U567" s="12" t="n">
        <v>190.5</v>
      </c>
      <c r="W567" s="12" t="n">
        <v>0</v>
      </c>
      <c r="X567" s="11" t="s">
        <v>408</v>
      </c>
      <c r="Z567" s="0" t="str">
        <f aca="false">IF($T567="","",IFERROR(INDEX('Resumo Grupos'!$AC$3:$AC$200,MATCH($T567,'Resumo Grupos'!$AB$3:$AB$200,0)),"n/d"))</f>
        <v>Mercadoria</v>
      </c>
      <c r="AA567" s="0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9" t="n">
        <v>2</v>
      </c>
      <c r="B568" s="10" t="n">
        <v>46196</v>
      </c>
      <c r="C568" s="10" t="n">
        <v>46203</v>
      </c>
      <c r="D568" s="9" t="n">
        <v>1683</v>
      </c>
      <c r="E568" s="11" t="s">
        <v>406</v>
      </c>
      <c r="F568" s="9" t="n">
        <v>34</v>
      </c>
      <c r="G568" s="11" t="s">
        <v>55</v>
      </c>
      <c r="H568" s="9" t="n">
        <v>2110101</v>
      </c>
      <c r="I568" s="11" t="s">
        <v>43</v>
      </c>
      <c r="J568" s="9" t="n">
        <v>1293925</v>
      </c>
      <c r="L568" s="9" t="n">
        <v>1635978</v>
      </c>
      <c r="M568" s="11" t="s">
        <v>52</v>
      </c>
      <c r="N568" s="11" t="s">
        <v>37</v>
      </c>
      <c r="P568" s="9" t="n">
        <v>113</v>
      </c>
      <c r="Q568" s="11" t="s">
        <v>46</v>
      </c>
      <c r="R568" s="11" t="s">
        <v>47</v>
      </c>
      <c r="S568" s="9" t="n">
        <v>1130101</v>
      </c>
      <c r="T568" s="11" t="s">
        <v>48</v>
      </c>
      <c r="U568" s="12" t="n">
        <v>183</v>
      </c>
      <c r="W568" s="12" t="n">
        <v>0</v>
      </c>
      <c r="X568" s="11" t="s">
        <v>408</v>
      </c>
      <c r="Z568" s="0" t="str">
        <f aca="false">IF($T568="","",IFERROR(INDEX('Resumo Grupos'!$AC$3:$AC$200,MATCH($T568,'Resumo Grupos'!$AB$3:$AB$200,0)),"n/d"))</f>
        <v>Mercadoria</v>
      </c>
      <c r="AA568" s="0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9" t="n">
        <v>2</v>
      </c>
      <c r="B569" s="10" t="n">
        <v>46196</v>
      </c>
      <c r="C569" s="10" t="n">
        <v>46203</v>
      </c>
      <c r="D569" s="9" t="n">
        <v>1683</v>
      </c>
      <c r="E569" s="11" t="s">
        <v>406</v>
      </c>
      <c r="F569" s="9" t="n">
        <v>34</v>
      </c>
      <c r="G569" s="11" t="s">
        <v>55</v>
      </c>
      <c r="H569" s="9" t="n">
        <v>2110101</v>
      </c>
      <c r="I569" s="11" t="s">
        <v>43</v>
      </c>
      <c r="J569" s="9" t="n">
        <v>1293930</v>
      </c>
      <c r="L569" s="9" t="n">
        <v>1635976</v>
      </c>
      <c r="M569" s="11" t="s">
        <v>52</v>
      </c>
      <c r="N569" s="11" t="s">
        <v>37</v>
      </c>
      <c r="P569" s="9" t="n">
        <v>113</v>
      </c>
      <c r="Q569" s="11" t="s">
        <v>46</v>
      </c>
      <c r="R569" s="11" t="s">
        <v>47</v>
      </c>
      <c r="S569" s="9" t="n">
        <v>1130101</v>
      </c>
      <c r="T569" s="11" t="s">
        <v>48</v>
      </c>
      <c r="U569" s="12" t="n">
        <v>105</v>
      </c>
      <c r="W569" s="12" t="n">
        <v>0</v>
      </c>
      <c r="X569" s="11" t="s">
        <v>408</v>
      </c>
      <c r="Z569" s="0" t="str">
        <f aca="false">IF($T569="","",IFERROR(INDEX('Resumo Grupos'!$AC$3:$AC$200,MATCH($T569,'Resumo Grupos'!$AB$3:$AB$200,0)),"n/d"))</f>
        <v>Mercadoria</v>
      </c>
      <c r="AA569" s="0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9" t="n">
        <v>2</v>
      </c>
      <c r="B570" s="10" t="n">
        <v>46196</v>
      </c>
      <c r="C570" s="10" t="n">
        <v>46203</v>
      </c>
      <c r="D570" s="9" t="n">
        <v>1683</v>
      </c>
      <c r="E570" s="11" t="s">
        <v>406</v>
      </c>
      <c r="F570" s="9" t="n">
        <v>34</v>
      </c>
      <c r="G570" s="11" t="s">
        <v>55</v>
      </c>
      <c r="H570" s="9" t="n">
        <v>2110101</v>
      </c>
      <c r="I570" s="11" t="s">
        <v>43</v>
      </c>
      <c r="J570" s="9" t="n">
        <v>1293939</v>
      </c>
      <c r="L570" s="9" t="n">
        <v>1635973</v>
      </c>
      <c r="M570" s="11" t="s">
        <v>52</v>
      </c>
      <c r="N570" s="11" t="s">
        <v>37</v>
      </c>
      <c r="P570" s="9" t="n">
        <v>113</v>
      </c>
      <c r="Q570" s="11" t="s">
        <v>46</v>
      </c>
      <c r="R570" s="11" t="s">
        <v>47</v>
      </c>
      <c r="S570" s="9" t="n">
        <v>1130101</v>
      </c>
      <c r="T570" s="11" t="s">
        <v>48</v>
      </c>
      <c r="U570" s="12" t="n">
        <v>97</v>
      </c>
      <c r="W570" s="12" t="n">
        <v>0</v>
      </c>
      <c r="X570" s="11" t="s">
        <v>408</v>
      </c>
      <c r="Z570" s="0" t="str">
        <f aca="false">IF($T570="","",IFERROR(INDEX('Resumo Grupos'!$AC$3:$AC$200,MATCH($T570,'Resumo Grupos'!$AB$3:$AB$200,0)),"n/d"))</f>
        <v>Mercadoria</v>
      </c>
      <c r="AA570" s="0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9" t="n">
        <v>2</v>
      </c>
      <c r="B571" s="10" t="n">
        <v>46198</v>
      </c>
      <c r="C571" s="10" t="n">
        <v>46203</v>
      </c>
      <c r="D571" s="9" t="n">
        <v>1683</v>
      </c>
      <c r="E571" s="11" t="s">
        <v>406</v>
      </c>
      <c r="F571" s="9" t="n">
        <v>34</v>
      </c>
      <c r="G571" s="11" t="s">
        <v>55</v>
      </c>
      <c r="H571" s="9" t="n">
        <v>2110101</v>
      </c>
      <c r="I571" s="11" t="s">
        <v>43</v>
      </c>
      <c r="J571" s="9" t="n">
        <v>1304633</v>
      </c>
      <c r="L571" s="9" t="n">
        <v>1637144</v>
      </c>
      <c r="M571" s="11" t="s">
        <v>52</v>
      </c>
      <c r="N571" s="11" t="s">
        <v>37</v>
      </c>
      <c r="P571" s="9" t="n">
        <v>113</v>
      </c>
      <c r="Q571" s="11" t="s">
        <v>46</v>
      </c>
      <c r="R571" s="11" t="s">
        <v>47</v>
      </c>
      <c r="S571" s="9" t="n">
        <v>1130101</v>
      </c>
      <c r="T571" s="11" t="s">
        <v>48</v>
      </c>
      <c r="U571" s="12" t="n">
        <v>141</v>
      </c>
      <c r="W571" s="12" t="n">
        <v>0</v>
      </c>
      <c r="X571" s="11" t="s">
        <v>408</v>
      </c>
      <c r="Z571" s="0" t="str">
        <f aca="false">IF($T571="","",IFERROR(INDEX('Resumo Grupos'!$AC$3:$AC$200,MATCH($T571,'Resumo Grupos'!$AB$3:$AB$200,0)),"n/d"))</f>
        <v>Mercadoria</v>
      </c>
      <c r="AA571" s="0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9" t="n">
        <v>2</v>
      </c>
      <c r="B572" s="10" t="n">
        <v>46200</v>
      </c>
      <c r="C572" s="10" t="n">
        <v>46203</v>
      </c>
      <c r="D572" s="9" t="n">
        <v>1683</v>
      </c>
      <c r="E572" s="11" t="s">
        <v>406</v>
      </c>
      <c r="F572" s="9" t="n">
        <v>34</v>
      </c>
      <c r="G572" s="11" t="s">
        <v>55</v>
      </c>
      <c r="H572" s="9" t="n">
        <v>2110101</v>
      </c>
      <c r="I572" s="11" t="s">
        <v>43</v>
      </c>
      <c r="J572" s="9" t="n">
        <v>1312567</v>
      </c>
      <c r="L572" s="9" t="n">
        <v>1638704</v>
      </c>
      <c r="M572" s="11" t="s">
        <v>52</v>
      </c>
      <c r="N572" s="11" t="s">
        <v>37</v>
      </c>
      <c r="P572" s="9" t="n">
        <v>113</v>
      </c>
      <c r="Q572" s="11" t="s">
        <v>46</v>
      </c>
      <c r="R572" s="11" t="s">
        <v>47</v>
      </c>
      <c r="S572" s="9" t="n">
        <v>1130101</v>
      </c>
      <c r="T572" s="11" t="s">
        <v>48</v>
      </c>
      <c r="U572" s="12" t="n">
        <v>54</v>
      </c>
      <c r="W572" s="12" t="n">
        <v>0</v>
      </c>
      <c r="X572" s="11" t="s">
        <v>408</v>
      </c>
      <c r="Z572" s="0" t="str">
        <f aca="false">IF($T572="","",IFERROR(INDEX('Resumo Grupos'!$AC$3:$AC$200,MATCH($T572,'Resumo Grupos'!$AB$3:$AB$200,0)),"n/d"))</f>
        <v>Mercadoria</v>
      </c>
      <c r="AA572" s="0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9" t="n">
        <v>2</v>
      </c>
      <c r="B573" s="10" t="n">
        <v>46202</v>
      </c>
      <c r="C573" s="10" t="n">
        <v>46203</v>
      </c>
      <c r="D573" s="9" t="n">
        <v>1683</v>
      </c>
      <c r="E573" s="11" t="s">
        <v>406</v>
      </c>
      <c r="F573" s="9" t="n">
        <v>34</v>
      </c>
      <c r="G573" s="11" t="s">
        <v>55</v>
      </c>
      <c r="H573" s="9" t="n">
        <v>2110101</v>
      </c>
      <c r="I573" s="11" t="s">
        <v>43</v>
      </c>
      <c r="J573" s="9" t="n">
        <v>1321679</v>
      </c>
      <c r="L573" s="9" t="n">
        <v>1638958</v>
      </c>
      <c r="M573" s="11" t="s">
        <v>52</v>
      </c>
      <c r="N573" s="11" t="s">
        <v>37</v>
      </c>
      <c r="P573" s="9" t="n">
        <v>113</v>
      </c>
      <c r="Q573" s="11" t="s">
        <v>46</v>
      </c>
      <c r="R573" s="11" t="s">
        <v>47</v>
      </c>
      <c r="S573" s="9" t="n">
        <v>1130101</v>
      </c>
      <c r="T573" s="11" t="s">
        <v>48</v>
      </c>
      <c r="U573" s="12" t="n">
        <v>115.5</v>
      </c>
      <c r="W573" s="12" t="n">
        <v>0</v>
      </c>
      <c r="X573" s="11" t="s">
        <v>408</v>
      </c>
      <c r="Z573" s="0" t="str">
        <f aca="false">IF($T573="","",IFERROR(INDEX('Resumo Grupos'!$AC$3:$AC$200,MATCH($T573,'Resumo Grupos'!$AB$3:$AB$200,0)),"n/d"))</f>
        <v>Mercadoria</v>
      </c>
      <c r="AA573" s="0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9" t="n">
        <v>2</v>
      </c>
      <c r="B574" s="10" t="n">
        <v>46203</v>
      </c>
      <c r="C574" s="10" t="n">
        <v>46203</v>
      </c>
      <c r="D574" s="9" t="n">
        <v>1683</v>
      </c>
      <c r="E574" s="11" t="s">
        <v>406</v>
      </c>
      <c r="F574" s="9" t="n">
        <v>34</v>
      </c>
      <c r="G574" s="11" t="s">
        <v>55</v>
      </c>
      <c r="H574" s="9" t="n">
        <v>2110101</v>
      </c>
      <c r="I574" s="11" t="s">
        <v>43</v>
      </c>
      <c r="J574" s="9" t="n">
        <v>1329534</v>
      </c>
      <c r="L574" s="9" t="n">
        <v>1639400</v>
      </c>
      <c r="M574" s="11" t="s">
        <v>52</v>
      </c>
      <c r="N574" s="11" t="s">
        <v>37</v>
      </c>
      <c r="P574" s="9" t="n">
        <v>113</v>
      </c>
      <c r="Q574" s="11" t="s">
        <v>46</v>
      </c>
      <c r="R574" s="11" t="s">
        <v>47</v>
      </c>
      <c r="S574" s="9" t="n">
        <v>1130101</v>
      </c>
      <c r="T574" s="11" t="s">
        <v>48</v>
      </c>
      <c r="U574" s="12" t="n">
        <v>130</v>
      </c>
      <c r="W574" s="12" t="n">
        <v>0</v>
      </c>
      <c r="X574" s="11" t="s">
        <v>408</v>
      </c>
      <c r="Z574" s="0" t="str">
        <f aca="false">IF($T574="","",IFERROR(INDEX('Resumo Grupos'!$AC$3:$AC$200,MATCH($T574,'Resumo Grupos'!$AB$3:$AB$200,0)),"n/d"))</f>
        <v>Mercadoria</v>
      </c>
      <c r="AA574" s="0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9" t="n">
        <v>2</v>
      </c>
      <c r="B575" s="10" t="n">
        <v>46203</v>
      </c>
      <c r="C575" s="10" t="n">
        <v>46203</v>
      </c>
      <c r="D575" s="9" t="n">
        <v>1037</v>
      </c>
      <c r="E575" s="11" t="s">
        <v>134</v>
      </c>
      <c r="F575" s="9" t="n">
        <v>34</v>
      </c>
      <c r="G575" s="11" t="s">
        <v>55</v>
      </c>
      <c r="H575" s="9" t="n">
        <v>2110101</v>
      </c>
      <c r="I575" s="11" t="s">
        <v>43</v>
      </c>
      <c r="J575" s="9" t="n">
        <v>1330491</v>
      </c>
      <c r="L575" s="9" t="n">
        <v>178178</v>
      </c>
      <c r="M575" s="11" t="s">
        <v>52</v>
      </c>
      <c r="N575" s="11" t="s">
        <v>45</v>
      </c>
      <c r="P575" s="9" t="n">
        <v>113</v>
      </c>
      <c r="Q575" s="11" t="s">
        <v>46</v>
      </c>
      <c r="R575" s="11" t="s">
        <v>47</v>
      </c>
      <c r="S575" s="9" t="n">
        <v>1130101</v>
      </c>
      <c r="T575" s="11" t="s">
        <v>48</v>
      </c>
      <c r="U575" s="12" t="n">
        <v>390</v>
      </c>
      <c r="W575" s="12" t="n">
        <v>0</v>
      </c>
      <c r="X575" s="11" t="s">
        <v>661</v>
      </c>
      <c r="Z575" s="0" t="str">
        <f aca="false">IF($T575="","",IFERROR(INDEX('Resumo Grupos'!$AC$3:$AC$200,MATCH($T575,'Resumo Grupos'!$AB$3:$AB$200,0)),"n/d"))</f>
        <v>Mercadoria</v>
      </c>
      <c r="AA575" s="0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9" t="n">
        <v>2</v>
      </c>
      <c r="B576" s="10" t="n">
        <v>46203</v>
      </c>
      <c r="C576" s="10" t="n">
        <v>46203</v>
      </c>
      <c r="D576" s="9" t="n">
        <v>1137</v>
      </c>
      <c r="E576" s="11" t="s">
        <v>662</v>
      </c>
      <c r="F576" s="9" t="n">
        <v>13</v>
      </c>
      <c r="G576" s="11" t="s">
        <v>135</v>
      </c>
      <c r="H576" s="9" t="n">
        <v>1110102</v>
      </c>
      <c r="I576" s="11" t="s">
        <v>650</v>
      </c>
      <c r="J576" s="9" t="n">
        <v>1438647</v>
      </c>
      <c r="L576" s="9" t="n">
        <v>194369</v>
      </c>
      <c r="M576" s="11" t="s">
        <v>52</v>
      </c>
      <c r="N576" s="11" t="s">
        <v>45</v>
      </c>
      <c r="P576" s="9" t="n">
        <v>101</v>
      </c>
      <c r="Q576" s="11" t="s">
        <v>57</v>
      </c>
      <c r="R576" s="11" t="s">
        <v>71</v>
      </c>
      <c r="S576" s="9" t="n">
        <v>4210316</v>
      </c>
      <c r="T576" s="11" t="s">
        <v>159</v>
      </c>
      <c r="U576" s="12" t="n">
        <v>2790</v>
      </c>
      <c r="W576" s="12" t="n">
        <v>0</v>
      </c>
      <c r="X576" s="11" t="s">
        <v>663</v>
      </c>
      <c r="Z576" s="0" t="str">
        <f aca="false">IF($T576="","",IFERROR(INDEX('Resumo Grupos'!$AC$3:$AC$200,MATCH($T576,'Resumo Grupos'!$AB$3:$AB$200,0)),"n/d"))</f>
        <v>Salários</v>
      </c>
      <c r="AA576" s="0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9" t="n">
        <v>2</v>
      </c>
      <c r="B577" s="10" t="n">
        <v>46203</v>
      </c>
      <c r="C577" s="10" t="n">
        <v>46203</v>
      </c>
      <c r="D577" s="9" t="n">
        <v>12</v>
      </c>
      <c r="E577" s="11" t="s">
        <v>79</v>
      </c>
      <c r="F577" s="9" t="n">
        <v>34</v>
      </c>
      <c r="G577" s="11" t="s">
        <v>55</v>
      </c>
      <c r="H577" s="9" t="n">
        <v>2110405</v>
      </c>
      <c r="I577" s="11" t="s">
        <v>56</v>
      </c>
      <c r="J577" s="9" t="n">
        <v>1341297</v>
      </c>
      <c r="L577" s="9" t="n">
        <v>180039</v>
      </c>
      <c r="M577" s="11" t="s">
        <v>52</v>
      </c>
      <c r="N577" s="11" t="s">
        <v>45</v>
      </c>
      <c r="P577" s="9" t="n">
        <v>102</v>
      </c>
      <c r="Q577" s="11" t="s">
        <v>308</v>
      </c>
      <c r="R577" s="11" t="s">
        <v>71</v>
      </c>
      <c r="S577" s="9" t="n">
        <v>4210301</v>
      </c>
      <c r="T577" s="11" t="s">
        <v>220</v>
      </c>
      <c r="U577" s="12" t="n">
        <v>600</v>
      </c>
      <c r="W577" s="12" t="n">
        <v>0</v>
      </c>
      <c r="X577" s="11" t="s">
        <v>664</v>
      </c>
      <c r="Z577" s="0" t="str">
        <f aca="false">IF($T577="","",IFERROR(INDEX('Resumo Grupos'!$AC$3:$AC$200,MATCH($T577,'Resumo Grupos'!$AB$3:$AB$200,0)),"n/d"))</f>
        <v>Salários</v>
      </c>
      <c r="AA577" s="0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9" t="n">
        <v>2</v>
      </c>
      <c r="B578" s="10" t="n">
        <v>46203</v>
      </c>
      <c r="C578" s="10" t="n">
        <v>46203</v>
      </c>
      <c r="D578" s="9" t="n">
        <v>10096</v>
      </c>
      <c r="E578" s="11" t="s">
        <v>622</v>
      </c>
      <c r="F578" s="9" t="n">
        <v>13</v>
      </c>
      <c r="G578" s="11" t="s">
        <v>135</v>
      </c>
      <c r="H578" s="9" t="n">
        <v>2110405</v>
      </c>
      <c r="I578" s="11" t="s">
        <v>56</v>
      </c>
      <c r="J578" s="9" t="n">
        <v>1428680</v>
      </c>
      <c r="L578" s="9" t="n">
        <v>191295</v>
      </c>
      <c r="M578" s="11" t="s">
        <v>52</v>
      </c>
      <c r="N578" s="11" t="s">
        <v>45</v>
      </c>
      <c r="P578" s="9" t="n">
        <v>113</v>
      </c>
      <c r="Q578" s="11" t="s">
        <v>46</v>
      </c>
      <c r="R578" s="11" t="s">
        <v>47</v>
      </c>
      <c r="S578" s="9" t="n">
        <v>1130101</v>
      </c>
      <c r="T578" s="11" t="s">
        <v>48</v>
      </c>
      <c r="U578" s="12" t="n">
        <v>140</v>
      </c>
      <c r="W578" s="12" t="n">
        <v>0</v>
      </c>
      <c r="X578" s="11" t="s">
        <v>665</v>
      </c>
      <c r="Z578" s="0" t="str">
        <f aca="false">IF($T578="","",IFERROR(INDEX('Resumo Grupos'!$AC$3:$AC$200,MATCH($T578,'Resumo Grupos'!$AB$3:$AB$200,0)),"n/d"))</f>
        <v>Mercadoria</v>
      </c>
      <c r="AA578" s="0" t="str">
        <f aca="false">IF($T578="","",IF(COUNTIF('Resumo Grupos'!$AE$3:$AE$40,$T578)&gt;0,"NAO","SIM"))</f>
        <v>SIM</v>
      </c>
      <c r="AB578" s="0" t="str">
        <f aca="false">IFERROR(INDEX('Mov Entradas (Rel 10497)'!$L:$L,MATCH(AC578,'Mov Entradas (Rel 10497)'!$I:$I,0)),"nao encontrado")</f>
        <v>BOLO MIYAZAKI GRANDE</v>
      </c>
      <c r="AC578" s="0" t="n">
        <v>16</v>
      </c>
    </row>
    <row r="579" customFormat="false" ht="36.75" hidden="false" customHeight="true" outlineLevel="0" collapsed="false">
      <c r="A579" s="9" t="n">
        <v>2</v>
      </c>
      <c r="B579" s="10" t="n">
        <v>46198</v>
      </c>
      <c r="C579" s="10" t="n">
        <v>46203</v>
      </c>
      <c r="D579" s="9" t="n">
        <v>1263</v>
      </c>
      <c r="E579" s="11" t="s">
        <v>666</v>
      </c>
      <c r="F579" s="9" t="n">
        <v>24</v>
      </c>
      <c r="G579" s="11" t="s">
        <v>51</v>
      </c>
      <c r="H579" s="9" t="n">
        <v>2110101</v>
      </c>
      <c r="I579" s="11" t="s">
        <v>43</v>
      </c>
      <c r="J579" s="9" t="n">
        <v>1304773</v>
      </c>
      <c r="L579" s="9" t="n">
        <v>847</v>
      </c>
      <c r="M579" s="11" t="s">
        <v>52</v>
      </c>
      <c r="N579" s="11" t="s">
        <v>37</v>
      </c>
      <c r="P579" s="9" t="n">
        <v>113</v>
      </c>
      <c r="Q579" s="11" t="s">
        <v>46</v>
      </c>
      <c r="R579" s="11" t="s">
        <v>47</v>
      </c>
      <c r="S579" s="9" t="n">
        <v>1130101</v>
      </c>
      <c r="T579" s="11" t="s">
        <v>48</v>
      </c>
      <c r="U579" s="12" t="n">
        <v>338.79</v>
      </c>
      <c r="W579" s="12" t="n">
        <v>0</v>
      </c>
      <c r="X579" s="11" t="s">
        <v>667</v>
      </c>
      <c r="Z579" s="0" t="str">
        <f aca="false">IF($T579="","",IFERROR(INDEX('Resumo Grupos'!$AC$3:$AC$200,MATCH($T579,'Resumo Grupos'!$AB$3:$AB$200,0)),"n/d"))</f>
        <v>Mercadoria</v>
      </c>
      <c r="AA579" s="0" t="str">
        <f aca="false">IF($T579="","",IF(COUNTIF('Resumo Grupos'!$AE$3:$AE$40,$T579)&gt;0,"NAO","SIM"))</f>
        <v>SIM</v>
      </c>
      <c r="AB579" s="0" t="str">
        <f aca="false">IFERROR(INDEX('Mov Entradas (Rel 10497)'!$L:$L,MATCH(AC579,'Mov Entradas (Rel 10497)'!$I:$I,0)),"nao encontrado")</f>
        <v>FITA ISOLANTE IMPERI</v>
      </c>
      <c r="AC579" s="0" t="n">
        <v>847</v>
      </c>
    </row>
    <row r="580" customFormat="false" ht="36.75" hidden="false" customHeight="true" outlineLevel="0" collapsed="false">
      <c r="A580" s="9" t="n">
        <v>2</v>
      </c>
      <c r="B580" s="10" t="n">
        <v>46189</v>
      </c>
      <c r="C580" s="10" t="n">
        <v>46203</v>
      </c>
      <c r="D580" s="9" t="n">
        <v>10033</v>
      </c>
      <c r="E580" s="11" t="s">
        <v>668</v>
      </c>
      <c r="F580" s="9" t="n">
        <v>24</v>
      </c>
      <c r="G580" s="11" t="s">
        <v>51</v>
      </c>
      <c r="H580" s="9" t="n">
        <v>2110101</v>
      </c>
      <c r="I580" s="11" t="s">
        <v>43</v>
      </c>
      <c r="J580" s="9" t="n">
        <v>1260463</v>
      </c>
      <c r="L580" s="9" t="n">
        <v>102727</v>
      </c>
      <c r="M580" s="11" t="s">
        <v>52</v>
      </c>
      <c r="N580" s="11" t="s">
        <v>37</v>
      </c>
      <c r="P580" s="9" t="n">
        <v>113</v>
      </c>
      <c r="Q580" s="11" t="s">
        <v>46</v>
      </c>
      <c r="R580" s="11" t="s">
        <v>47</v>
      </c>
      <c r="S580" s="9" t="n">
        <v>1130101</v>
      </c>
      <c r="T580" s="11" t="s">
        <v>48</v>
      </c>
      <c r="U580" s="12" t="n">
        <v>360.24</v>
      </c>
      <c r="W580" s="12" t="n">
        <v>0</v>
      </c>
      <c r="X580" s="11" t="s">
        <v>669</v>
      </c>
      <c r="Z580" s="0" t="str">
        <f aca="false">IF($T580="","",IFERROR(INDEX('Resumo Grupos'!$AC$3:$AC$200,MATCH($T580,'Resumo Grupos'!$AB$3:$AB$200,0)),"n/d"))</f>
        <v>Mercadoria</v>
      </c>
      <c r="AA580" s="0" t="str">
        <f aca="false">IF($T580="","",IF(COUNTIF('Resumo Grupos'!$AE$3:$AE$40,$T580)&gt;0,"NAO","SIM"))</f>
        <v>SIM</v>
      </c>
      <c r="AB580" s="0" t="str">
        <f aca="false">IFERROR(INDEX('Mov Entradas (Rel 10497)'!$L:$L,MATCH(AC580,'Mov Entradas (Rel 10497)'!$I:$I,0)),"nao encontrado")</f>
        <v>ALICATE MERHEJE BASI</v>
      </c>
      <c r="AC580" s="0" t="n">
        <v>102727</v>
      </c>
    </row>
    <row r="581" customFormat="false" ht="54.75" hidden="false" customHeight="true" outlineLevel="0" collapsed="false">
      <c r="A581" s="9" t="n">
        <v>2</v>
      </c>
      <c r="B581" s="10" t="n">
        <v>46190</v>
      </c>
      <c r="C581" s="10" t="n">
        <v>46203</v>
      </c>
      <c r="D581" s="9" t="n">
        <v>1078</v>
      </c>
      <c r="E581" s="11" t="s">
        <v>151</v>
      </c>
      <c r="F581" s="9" t="n">
        <v>24</v>
      </c>
      <c r="G581" s="11" t="s">
        <v>51</v>
      </c>
      <c r="H581" s="9" t="n">
        <v>2110101</v>
      </c>
      <c r="I581" s="11" t="s">
        <v>43</v>
      </c>
      <c r="J581" s="9" t="n">
        <v>1265426</v>
      </c>
      <c r="L581" s="9" t="n">
        <v>27994</v>
      </c>
      <c r="M581" s="11" t="s">
        <v>52</v>
      </c>
      <c r="N581" s="11" t="s">
        <v>37</v>
      </c>
      <c r="P581" s="9" t="n">
        <v>113</v>
      </c>
      <c r="Q581" s="11" t="s">
        <v>46</v>
      </c>
      <c r="R581" s="11" t="s">
        <v>47</v>
      </c>
      <c r="S581" s="9" t="n">
        <v>1130101</v>
      </c>
      <c r="T581" s="11" t="s">
        <v>48</v>
      </c>
      <c r="U581" s="12" t="n">
        <v>212.4</v>
      </c>
      <c r="W581" s="12" t="n">
        <v>0</v>
      </c>
      <c r="X581" s="11" t="s">
        <v>670</v>
      </c>
      <c r="Z581" s="0" t="str">
        <f aca="false">IF($T581="","",IFERROR(INDEX('Resumo Grupos'!$AC$3:$AC$200,MATCH($T581,'Resumo Grupos'!$AB$3:$AB$200,0)),"n/d"))</f>
        <v>Mercadoria</v>
      </c>
      <c r="AA581" s="0" t="str">
        <f aca="false">IF($T581="","",IF(COUNTIF('Resumo Grupos'!$AE$3:$AE$40,$T581)&gt;0,"NAO","SIM"))</f>
        <v>SIM</v>
      </c>
      <c r="AB581" s="0" t="str">
        <f aca="false">IFERROR(INDEX('Mov Entradas (Rel 10497)'!$L:$L,MATCH(AC581,'Mov Entradas (Rel 10497)'!$I:$I,0)),"nao encontrado")</f>
        <v>HAMBURGUER FRIBOI BOVINO 56G</v>
      </c>
      <c r="AC581" s="0" t="n">
        <v>27994</v>
      </c>
    </row>
    <row r="582" customFormat="false" ht="36.75" hidden="false" customHeight="true" outlineLevel="0" collapsed="false">
      <c r="A582" s="9" t="n">
        <v>2</v>
      </c>
      <c r="B582" s="10" t="n">
        <v>46191</v>
      </c>
      <c r="C582" s="10" t="n">
        <v>46203</v>
      </c>
      <c r="D582" s="9" t="n">
        <v>1668</v>
      </c>
      <c r="E582" s="11" t="s">
        <v>151</v>
      </c>
      <c r="F582" s="9" t="n">
        <v>24</v>
      </c>
      <c r="G582" s="11" t="s">
        <v>51</v>
      </c>
      <c r="H582" s="9" t="n">
        <v>2110101</v>
      </c>
      <c r="I582" s="11" t="s">
        <v>43</v>
      </c>
      <c r="J582" s="9" t="n">
        <v>1269061</v>
      </c>
      <c r="L582" s="9" t="n">
        <v>729265</v>
      </c>
      <c r="M582" s="11" t="s">
        <v>44</v>
      </c>
      <c r="N582" s="11" t="s">
        <v>37</v>
      </c>
      <c r="P582" s="9" t="n">
        <v>113</v>
      </c>
      <c r="Q582" s="11" t="s">
        <v>46</v>
      </c>
      <c r="R582" s="11" t="s">
        <v>47</v>
      </c>
      <c r="S582" s="9" t="n">
        <v>1130101</v>
      </c>
      <c r="T582" s="11" t="s">
        <v>48</v>
      </c>
      <c r="U582" s="12" t="n">
        <v>326.83</v>
      </c>
      <c r="W582" s="12" t="n">
        <v>0</v>
      </c>
      <c r="X582" s="11" t="s">
        <v>540</v>
      </c>
      <c r="Z582" s="0" t="str">
        <f aca="false">IF($T582="","",IFERROR(INDEX('Resumo Grupos'!$AC$3:$AC$200,MATCH($T582,'Resumo Grupos'!$AB$3:$AB$200,0)),"n/d"))</f>
        <v>Mercadoria</v>
      </c>
      <c r="AA582" s="0" t="str">
        <f aca="false">IF($T582="","",IF(COUNTIF('Resumo Grupos'!$AE$3:$AE$40,$T582)&gt;0,"NAO","SIM"))</f>
        <v>SIM</v>
      </c>
      <c r="AB582" s="0" t="str">
        <f aca="false">IFERROR(INDEX('Mov Entradas (Rel 10497)'!$L:$L,MATCH(AC582,'Mov Entradas (Rel 10497)'!$I:$I,0)),"nao encontrado")</f>
        <v>GOIABAD PALMEIR 250G</v>
      </c>
      <c r="AC582" s="0" t="n">
        <v>729265</v>
      </c>
    </row>
    <row r="583" customFormat="false" ht="36.75" hidden="false" customHeight="true" outlineLevel="0" collapsed="false">
      <c r="A583" s="9" t="n">
        <v>2</v>
      </c>
      <c r="B583" s="10" t="n">
        <v>46203</v>
      </c>
      <c r="C583" s="10" t="n">
        <v>46203</v>
      </c>
      <c r="D583" s="9" t="n">
        <v>48</v>
      </c>
      <c r="E583" s="11" t="s">
        <v>153</v>
      </c>
      <c r="F583" s="9" t="n">
        <v>34</v>
      </c>
      <c r="G583" s="11" t="s">
        <v>55</v>
      </c>
      <c r="H583" s="9" t="n">
        <v>2110101</v>
      </c>
      <c r="I583" s="11" t="s">
        <v>43</v>
      </c>
      <c r="J583" s="9" t="n">
        <v>1330477</v>
      </c>
      <c r="L583" s="9" t="n">
        <v>2517</v>
      </c>
      <c r="M583" s="11" t="s">
        <v>52</v>
      </c>
      <c r="N583" s="11" t="s">
        <v>37</v>
      </c>
      <c r="P583" s="9" t="n">
        <v>113</v>
      </c>
      <c r="Q583" s="11" t="s">
        <v>46</v>
      </c>
      <c r="R583" s="11" t="s">
        <v>47</v>
      </c>
      <c r="S583" s="9" t="n">
        <v>1130101</v>
      </c>
      <c r="T583" s="11" t="s">
        <v>48</v>
      </c>
      <c r="U583" s="12" t="n">
        <v>1748.86</v>
      </c>
      <c r="W583" s="12" t="n">
        <v>0</v>
      </c>
      <c r="X583" s="11" t="s">
        <v>671</v>
      </c>
      <c r="Z583" s="0" t="str">
        <f aca="false">IF($T583="","",IFERROR(INDEX('Resumo Grupos'!$AC$3:$AC$200,MATCH($T583,'Resumo Grupos'!$AB$3:$AB$200,0)),"n/d"))</f>
        <v>Mercadoria</v>
      </c>
      <c r="AA583" s="0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9" t="n">
        <v>2</v>
      </c>
      <c r="B584" s="10" t="n">
        <v>46190</v>
      </c>
      <c r="C584" s="10" t="n">
        <v>46203</v>
      </c>
      <c r="D584" s="9" t="n">
        <v>1749</v>
      </c>
      <c r="E584" s="11" t="s">
        <v>585</v>
      </c>
      <c r="F584" s="9" t="n">
        <v>24</v>
      </c>
      <c r="G584" s="11" t="s">
        <v>51</v>
      </c>
      <c r="H584" s="9" t="n">
        <v>2110101</v>
      </c>
      <c r="I584" s="11" t="s">
        <v>43</v>
      </c>
      <c r="J584" s="9" t="n">
        <v>1264875</v>
      </c>
      <c r="L584" s="9" t="n">
        <v>1773</v>
      </c>
      <c r="M584" s="11" t="s">
        <v>52</v>
      </c>
      <c r="N584" s="11" t="s">
        <v>37</v>
      </c>
      <c r="P584" s="9" t="n">
        <v>113</v>
      </c>
      <c r="Q584" s="11" t="s">
        <v>46</v>
      </c>
      <c r="R584" s="11" t="s">
        <v>47</v>
      </c>
      <c r="S584" s="9" t="n">
        <v>1130101</v>
      </c>
      <c r="T584" s="11" t="s">
        <v>48</v>
      </c>
      <c r="U584" s="12" t="n">
        <v>1834</v>
      </c>
      <c r="W584" s="12" t="n">
        <v>0</v>
      </c>
      <c r="X584" s="11" t="s">
        <v>672</v>
      </c>
      <c r="Z584" s="0" t="str">
        <f aca="false">IF($T584="","",IFERROR(INDEX('Resumo Grupos'!$AC$3:$AC$200,MATCH($T584,'Resumo Grupos'!$AB$3:$AB$200,0)),"n/d"))</f>
        <v>Mercadoria</v>
      </c>
      <c r="AA584" s="0" t="str">
        <f aca="false">IF($T584="","",IF(COUNTIF('Resumo Grupos'!$AE$3:$AE$40,$T584)&gt;0,"NAO","SIM"))</f>
        <v>SIM</v>
      </c>
      <c r="AB584" s="0" t="str">
        <f aca="false">IFERROR(INDEX('Mov Entradas (Rel 10497)'!$L:$L,MATCH(AC584,'Mov Entradas (Rel 10497)'!$I:$I,0)),"nao encontrado")</f>
        <v>OLEO DE SOJA CONCORD</v>
      </c>
      <c r="AC584" s="0" t="n">
        <v>1773</v>
      </c>
    </row>
    <row r="585" customFormat="false" ht="36.75" hidden="false" customHeight="true" outlineLevel="0" collapsed="false">
      <c r="A585" s="9" t="n">
        <v>2</v>
      </c>
      <c r="B585" s="10" t="n">
        <v>46203</v>
      </c>
      <c r="C585" s="10" t="n">
        <v>46203</v>
      </c>
      <c r="D585" s="9" t="n">
        <v>0</v>
      </c>
      <c r="E585" s="11" t="s">
        <v>109</v>
      </c>
      <c r="F585" s="9" t="n">
        <v>17</v>
      </c>
      <c r="G585" s="11" t="s">
        <v>110</v>
      </c>
      <c r="H585" s="9" t="n">
        <v>1110101</v>
      </c>
      <c r="I585" s="11" t="s">
        <v>111</v>
      </c>
      <c r="J585" s="9" t="n">
        <v>1333825</v>
      </c>
      <c r="L585" s="9" t="n">
        <v>1333825</v>
      </c>
      <c r="M585" s="11" t="s">
        <v>52</v>
      </c>
      <c r="N585" s="11" t="s">
        <v>112</v>
      </c>
      <c r="P585" s="9" t="n">
        <v>113</v>
      </c>
      <c r="Q585" s="11" t="s">
        <v>46</v>
      </c>
      <c r="R585" s="11" t="s">
        <v>47</v>
      </c>
      <c r="S585" s="9" t="n">
        <v>1130101</v>
      </c>
      <c r="T585" s="11" t="s">
        <v>48</v>
      </c>
      <c r="U585" s="12" t="n">
        <v>72</v>
      </c>
      <c r="W585" s="12" t="n">
        <v>72</v>
      </c>
      <c r="X585" s="11" t="s">
        <v>673</v>
      </c>
      <c r="Z585" s="0" t="str">
        <f aca="false">IF($T585="","",IFERROR(INDEX('Resumo Grupos'!$AC$3:$AC$200,MATCH($T585,'Resumo Grupos'!$AB$3:$AB$200,0)),"n/d"))</f>
        <v>Mercadoria</v>
      </c>
      <c r="AA585" s="0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9" t="n">
        <v>2</v>
      </c>
      <c r="B586" s="10" t="n">
        <v>46203</v>
      </c>
      <c r="C586" s="10" t="n">
        <v>46203</v>
      </c>
      <c r="D586" s="9" t="n">
        <v>0</v>
      </c>
      <c r="E586" s="11" t="s">
        <v>109</v>
      </c>
      <c r="F586" s="9" t="n">
        <v>17</v>
      </c>
      <c r="G586" s="11" t="s">
        <v>110</v>
      </c>
      <c r="H586" s="9" t="n">
        <v>1110101</v>
      </c>
      <c r="I586" s="11" t="s">
        <v>111</v>
      </c>
      <c r="J586" s="9" t="n">
        <v>1333827</v>
      </c>
      <c r="L586" s="9" t="n">
        <v>1333827</v>
      </c>
      <c r="M586" s="11" t="s">
        <v>52</v>
      </c>
      <c r="N586" s="11" t="s">
        <v>112</v>
      </c>
      <c r="P586" s="9" t="n">
        <v>113</v>
      </c>
      <c r="Q586" s="11" t="s">
        <v>46</v>
      </c>
      <c r="R586" s="11" t="s">
        <v>39</v>
      </c>
      <c r="S586" s="9" t="n">
        <v>4210227</v>
      </c>
      <c r="T586" s="11" t="s">
        <v>68</v>
      </c>
      <c r="U586" s="12" t="n">
        <v>135</v>
      </c>
      <c r="W586" s="12" t="n">
        <v>135</v>
      </c>
      <c r="X586" s="11" t="s">
        <v>674</v>
      </c>
      <c r="Z586" s="0" t="str">
        <f aca="false">IF($T586="","",IFERROR(INDEX('Resumo Grupos'!$AC$3:$AC$200,MATCH($T586,'Resumo Grupos'!$AB$3:$AB$200,0)),"n/d"))</f>
        <v>Despesa</v>
      </c>
      <c r="AA586" s="0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9" t="n">
        <v>2</v>
      </c>
      <c r="B587" s="10" t="n">
        <v>46203</v>
      </c>
      <c r="C587" s="10" t="n">
        <v>46203</v>
      </c>
      <c r="D587" s="9" t="n">
        <v>0</v>
      </c>
      <c r="E587" s="11" t="s">
        <v>109</v>
      </c>
      <c r="F587" s="9" t="n">
        <v>17</v>
      </c>
      <c r="G587" s="11" t="s">
        <v>110</v>
      </c>
      <c r="H587" s="9" t="n">
        <v>1110101</v>
      </c>
      <c r="I587" s="11" t="s">
        <v>111</v>
      </c>
      <c r="J587" s="9" t="n">
        <v>1333829</v>
      </c>
      <c r="L587" s="9" t="n">
        <v>1333829</v>
      </c>
      <c r="M587" s="11" t="s">
        <v>52</v>
      </c>
      <c r="N587" s="11" t="s">
        <v>112</v>
      </c>
      <c r="P587" s="9" t="n">
        <v>113</v>
      </c>
      <c r="Q587" s="11" t="s">
        <v>46</v>
      </c>
      <c r="R587" s="11" t="s">
        <v>47</v>
      </c>
      <c r="S587" s="9" t="n">
        <v>1130101</v>
      </c>
      <c r="T587" s="11" t="s">
        <v>48</v>
      </c>
      <c r="U587" s="12" t="n">
        <v>90</v>
      </c>
      <c r="W587" s="12" t="n">
        <v>90</v>
      </c>
      <c r="X587" s="11" t="s">
        <v>675</v>
      </c>
      <c r="Z587" s="0" t="str">
        <f aca="false">IF($T587="","",IFERROR(INDEX('Resumo Grupos'!$AC$3:$AC$200,MATCH($T587,'Resumo Grupos'!$AB$3:$AB$200,0)),"n/d"))</f>
        <v>Mercadoria</v>
      </c>
      <c r="AA587" s="0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9" t="n">
        <v>2</v>
      </c>
      <c r="B588" s="10" t="n">
        <v>46203</v>
      </c>
      <c r="C588" s="10" t="n">
        <v>46203</v>
      </c>
      <c r="D588" s="9" t="n">
        <v>0</v>
      </c>
      <c r="E588" s="11" t="s">
        <v>109</v>
      </c>
      <c r="F588" s="9" t="n">
        <v>17</v>
      </c>
      <c r="G588" s="11" t="s">
        <v>110</v>
      </c>
      <c r="H588" s="9" t="n">
        <v>1110101</v>
      </c>
      <c r="I588" s="11" t="s">
        <v>111</v>
      </c>
      <c r="J588" s="9" t="n">
        <v>1333832</v>
      </c>
      <c r="L588" s="9" t="n">
        <v>1333832</v>
      </c>
      <c r="M588" s="11" t="s">
        <v>52</v>
      </c>
      <c r="N588" s="11" t="s">
        <v>112</v>
      </c>
      <c r="P588" s="9" t="n">
        <v>113</v>
      </c>
      <c r="Q588" s="11" t="s">
        <v>46</v>
      </c>
      <c r="R588" s="11" t="s">
        <v>71</v>
      </c>
      <c r="S588" s="9" t="n">
        <v>4210314</v>
      </c>
      <c r="T588" s="11" t="s">
        <v>113</v>
      </c>
      <c r="U588" s="12" t="n">
        <v>70</v>
      </c>
      <c r="W588" s="12" t="n">
        <v>70</v>
      </c>
      <c r="X588" s="11" t="s">
        <v>115</v>
      </c>
      <c r="Z588" s="0" t="str">
        <f aca="false">IF($T588="","",IFERROR(INDEX('Resumo Grupos'!$AC$3:$AC$200,MATCH($T588,'Resumo Grupos'!$AB$3:$AB$200,0)),"n/d"))</f>
        <v>Despesa</v>
      </c>
      <c r="AA588" s="0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9" t="n">
        <v>2</v>
      </c>
      <c r="B589" s="10" t="n">
        <v>46203</v>
      </c>
      <c r="C589" s="10" t="n">
        <v>46203</v>
      </c>
      <c r="D589" s="9" t="n">
        <v>0</v>
      </c>
      <c r="E589" s="11" t="s">
        <v>109</v>
      </c>
      <c r="F589" s="9" t="n">
        <v>17</v>
      </c>
      <c r="G589" s="11" t="s">
        <v>110</v>
      </c>
      <c r="H589" s="9" t="n">
        <v>1110101</v>
      </c>
      <c r="I589" s="11" t="s">
        <v>111</v>
      </c>
      <c r="J589" s="9" t="n">
        <v>1333833</v>
      </c>
      <c r="L589" s="9" t="n">
        <v>1333833</v>
      </c>
      <c r="M589" s="11" t="s">
        <v>52</v>
      </c>
      <c r="N589" s="11" t="s">
        <v>112</v>
      </c>
      <c r="P589" s="9" t="n">
        <v>113</v>
      </c>
      <c r="Q589" s="11" t="s">
        <v>46</v>
      </c>
      <c r="R589" s="11" t="s">
        <v>71</v>
      </c>
      <c r="S589" s="9" t="n">
        <v>4210314</v>
      </c>
      <c r="T589" s="11" t="s">
        <v>113</v>
      </c>
      <c r="U589" s="12" t="n">
        <v>70</v>
      </c>
      <c r="W589" s="12" t="n">
        <v>70</v>
      </c>
      <c r="X589" s="11" t="s">
        <v>114</v>
      </c>
      <c r="Z589" s="0" t="str">
        <f aca="false">IF($T589="","",IFERROR(INDEX('Resumo Grupos'!$AC$3:$AC$200,MATCH($T589,'Resumo Grupos'!$AB$3:$AB$200,0)),"n/d"))</f>
        <v>Despesa</v>
      </c>
      <c r="AA589" s="0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9" t="n">
        <v>2</v>
      </c>
      <c r="B590" s="10" t="n">
        <v>46203</v>
      </c>
      <c r="C590" s="10" t="n">
        <v>46203</v>
      </c>
      <c r="D590" s="9" t="n">
        <v>0</v>
      </c>
      <c r="E590" s="11" t="s">
        <v>109</v>
      </c>
      <c r="F590" s="9" t="n">
        <v>17</v>
      </c>
      <c r="G590" s="11" t="s">
        <v>110</v>
      </c>
      <c r="H590" s="9" t="n">
        <v>1110101</v>
      </c>
      <c r="I590" s="11" t="s">
        <v>111</v>
      </c>
      <c r="J590" s="9" t="n">
        <v>1361251</v>
      </c>
      <c r="L590" s="9" t="n">
        <v>1361251</v>
      </c>
      <c r="M590" s="11" t="s">
        <v>52</v>
      </c>
      <c r="N590" s="11" t="s">
        <v>112</v>
      </c>
      <c r="P590" s="9" t="n">
        <v>113</v>
      </c>
      <c r="Q590" s="11" t="s">
        <v>46</v>
      </c>
      <c r="R590" s="11" t="s">
        <v>116</v>
      </c>
      <c r="S590" s="9" t="n">
        <v>1110203</v>
      </c>
      <c r="T590" s="11" t="s">
        <v>117</v>
      </c>
      <c r="U590" s="12" t="n">
        <v>2000</v>
      </c>
      <c r="W590" s="12" t="n">
        <v>2000</v>
      </c>
      <c r="X590" s="11" t="s">
        <v>676</v>
      </c>
      <c r="Z590" s="0" t="str">
        <f aca="false">IF($T590="","",IFERROR(INDEX('Resumo Grupos'!$AC$3:$AC$200,MATCH($T590,'Resumo Grupos'!$AB$3:$AB$200,0)),"n/d"))</f>
        <v>Despesa</v>
      </c>
      <c r="AA590" s="0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9" t="n">
        <v>2</v>
      </c>
      <c r="B591" s="10" t="n">
        <v>46048</v>
      </c>
      <c r="C591" s="10" t="n">
        <v>46204</v>
      </c>
      <c r="D591" s="9" t="n">
        <v>438</v>
      </c>
      <c r="E591" s="11" t="s">
        <v>33</v>
      </c>
      <c r="F591" s="9" t="n">
        <v>47</v>
      </c>
      <c r="G591" s="11" t="s">
        <v>34</v>
      </c>
      <c r="H591" s="9" t="n">
        <v>2110102</v>
      </c>
      <c r="I591" s="11" t="s">
        <v>35</v>
      </c>
      <c r="J591" s="9" t="n">
        <v>584704</v>
      </c>
      <c r="L591" s="9" t="n">
        <v>6278</v>
      </c>
      <c r="M591" s="11" t="s">
        <v>102</v>
      </c>
      <c r="N591" s="11" t="s">
        <v>37</v>
      </c>
      <c r="P591" s="9" t="n">
        <v>104</v>
      </c>
      <c r="Q591" s="11" t="s">
        <v>38</v>
      </c>
      <c r="R591" s="11" t="s">
        <v>39</v>
      </c>
      <c r="S591" s="9" t="n">
        <v>4210204</v>
      </c>
      <c r="T591" s="11" t="s">
        <v>40</v>
      </c>
      <c r="U591" s="12" t="n">
        <v>666.65</v>
      </c>
      <c r="W591" s="12" t="n">
        <v>0</v>
      </c>
      <c r="X591" s="11" t="s">
        <v>41</v>
      </c>
      <c r="Z591" s="0" t="str">
        <f aca="false">IF($T591="","",IFERROR(INDEX('Resumo Grupos'!$AC$3:$AC$200,MATCH($T591,'Resumo Grupos'!$AB$3:$AB$200,0)),"n/d"))</f>
        <v>Despesa</v>
      </c>
      <c r="AA591" s="0" t="str">
        <f aca="false">IF($T591="","",IF(COUNTIF('Resumo Grupos'!$AE$3:$AE$40,$T591)&gt;0,"NAO","SIM"))</f>
        <v>SIM</v>
      </c>
      <c r="AB591" s="0" t="str">
        <f aca="false">IFERROR(INDEX('Mov Entradas (Rel 10497)'!$L:$L,MATCH(AC591,'Mov Entradas (Rel 10497)'!$I:$I,0)),"nao encontrado")</f>
        <v>nao encontrado</v>
      </c>
      <c r="AC591" s="0" t="n">
        <v>6278</v>
      </c>
    </row>
    <row r="592" customFormat="false" ht="36.75" hidden="false" customHeight="true" outlineLevel="0" collapsed="false">
      <c r="A592" s="9" t="n">
        <v>2</v>
      </c>
      <c r="B592" s="10" t="n">
        <v>46196</v>
      </c>
      <c r="C592" s="10" t="n">
        <v>46204</v>
      </c>
      <c r="D592" s="9" t="n">
        <v>875</v>
      </c>
      <c r="E592" s="11" t="s">
        <v>42</v>
      </c>
      <c r="F592" s="9" t="n">
        <v>47</v>
      </c>
      <c r="G592" s="11" t="s">
        <v>34</v>
      </c>
      <c r="H592" s="9" t="n">
        <v>2110101</v>
      </c>
      <c r="I592" s="11" t="s">
        <v>43</v>
      </c>
      <c r="J592" s="9" t="n">
        <v>1295066</v>
      </c>
      <c r="L592" s="9" t="n">
        <v>173322</v>
      </c>
      <c r="M592" s="11" t="s">
        <v>52</v>
      </c>
      <c r="N592" s="11" t="s">
        <v>45</v>
      </c>
      <c r="P592" s="9" t="n">
        <v>113</v>
      </c>
      <c r="Q592" s="11" t="s">
        <v>46</v>
      </c>
      <c r="R592" s="11" t="s">
        <v>47</v>
      </c>
      <c r="S592" s="9" t="n">
        <v>1130101</v>
      </c>
      <c r="T592" s="11" t="s">
        <v>48</v>
      </c>
      <c r="U592" s="12" t="n">
        <v>1290.17</v>
      </c>
      <c r="W592" s="12" t="n">
        <v>0</v>
      </c>
      <c r="X592" s="11" t="s">
        <v>677</v>
      </c>
      <c r="Z592" s="0" t="str">
        <f aca="false">IF($T592="","",IFERROR(INDEX('Resumo Grupos'!$AC$3:$AC$200,MATCH($T592,'Resumo Grupos'!$AB$3:$AB$200,0)),"n/d"))</f>
        <v>Mercadoria</v>
      </c>
      <c r="AA592" s="0" t="str">
        <f aca="false">IF($T592="","",IF(COUNTIF('Resumo Grupos'!$AE$3:$AE$40,$T592)&gt;0,"NAO","SIM"))</f>
        <v>SIM</v>
      </c>
      <c r="AB592" s="0" t="str">
        <f aca="false">IFERROR(INDEX('Mov Entradas (Rel 10497)'!$L:$L,MATCH(AC592,'Mov Entradas (Rel 10497)'!$I:$I,0)),"nao encontrado")</f>
        <v>SUPORTE DE TV CANAA</v>
      </c>
      <c r="AC592" s="0" t="n">
        <v>1829</v>
      </c>
    </row>
    <row r="593" customFormat="false" ht="36.75" hidden="false" customHeight="true" outlineLevel="0" collapsed="false">
      <c r="A593" s="9" t="n">
        <v>2</v>
      </c>
      <c r="B593" s="10" t="n">
        <v>46188</v>
      </c>
      <c r="C593" s="10" t="n">
        <v>46204</v>
      </c>
      <c r="D593" s="9" t="n">
        <v>1659</v>
      </c>
      <c r="E593" s="11" t="s">
        <v>214</v>
      </c>
      <c r="F593" s="9" t="n">
        <v>24</v>
      </c>
      <c r="G593" s="11" t="s">
        <v>51</v>
      </c>
      <c r="H593" s="9" t="n">
        <v>2110101</v>
      </c>
      <c r="I593" s="11" t="s">
        <v>43</v>
      </c>
      <c r="J593" s="9" t="n">
        <v>1257254</v>
      </c>
      <c r="L593" s="9" t="n">
        <v>878758</v>
      </c>
      <c r="M593" s="11" t="s">
        <v>52</v>
      </c>
      <c r="N593" s="11" t="s">
        <v>37</v>
      </c>
      <c r="P593" s="9" t="n">
        <v>113</v>
      </c>
      <c r="Q593" s="11" t="s">
        <v>46</v>
      </c>
      <c r="R593" s="11" t="s">
        <v>47</v>
      </c>
      <c r="S593" s="9" t="n">
        <v>1130101</v>
      </c>
      <c r="T593" s="11" t="s">
        <v>48</v>
      </c>
      <c r="U593" s="12" t="n">
        <v>589.08</v>
      </c>
      <c r="W593" s="12" t="n">
        <v>0</v>
      </c>
      <c r="X593" s="11" t="s">
        <v>678</v>
      </c>
      <c r="Z593" s="0" t="str">
        <f aca="false">IF($T593="","",IFERROR(INDEX('Resumo Grupos'!$AC$3:$AC$200,MATCH($T593,'Resumo Grupos'!$AB$3:$AB$200,0)),"n/d"))</f>
        <v>Mercadoria</v>
      </c>
      <c r="AA593" s="0" t="str">
        <f aca="false">IF($T593="","",IF(COUNTIF('Resumo Grupos'!$AE$3:$AE$40,$T593)&gt;0,"NAO","SIM"))</f>
        <v>SIM</v>
      </c>
      <c r="AB593" s="0" t="str">
        <f aca="false">IFERROR(INDEX('Mov Entradas (Rel 10497)'!$L:$L,MATCH(AC593,'Mov Entradas (Rel 10497)'!$I:$I,0)),"nao encontrado")</f>
        <v>QUEIJO RALADO MOCOCA</v>
      </c>
      <c r="AC593" s="0" t="n">
        <v>878758</v>
      </c>
    </row>
    <row r="594" customFormat="false" ht="36.75" hidden="false" customHeight="true" outlineLevel="0" collapsed="false">
      <c r="A594" s="9" t="n">
        <v>2</v>
      </c>
      <c r="B594" s="10" t="n">
        <v>46191</v>
      </c>
      <c r="C594" s="10" t="n">
        <v>46204</v>
      </c>
      <c r="D594" s="9" t="n">
        <v>10029</v>
      </c>
      <c r="E594" s="11" t="s">
        <v>679</v>
      </c>
      <c r="F594" s="9" t="n">
        <v>24</v>
      </c>
      <c r="G594" s="11" t="s">
        <v>51</v>
      </c>
      <c r="H594" s="9" t="n">
        <v>2110405</v>
      </c>
      <c r="I594" s="11" t="s">
        <v>56</v>
      </c>
      <c r="J594" s="9" t="n">
        <v>1268812</v>
      </c>
      <c r="L594" s="9" t="n">
        <v>168790</v>
      </c>
      <c r="M594" s="11" t="s">
        <v>52</v>
      </c>
      <c r="N594" s="11" t="s">
        <v>45</v>
      </c>
      <c r="P594" s="9" t="n">
        <v>113</v>
      </c>
      <c r="Q594" s="11" t="s">
        <v>46</v>
      </c>
      <c r="R594" s="11" t="s">
        <v>39</v>
      </c>
      <c r="S594" s="9" t="n">
        <v>4210227</v>
      </c>
      <c r="T594" s="11" t="s">
        <v>68</v>
      </c>
      <c r="U594" s="12" t="n">
        <v>920</v>
      </c>
      <c r="W594" s="12" t="n">
        <v>0</v>
      </c>
      <c r="X594" s="11" t="s">
        <v>680</v>
      </c>
      <c r="Z594" s="0" t="str">
        <f aca="false">IF($T594="","",IFERROR(INDEX('Resumo Grupos'!$AC$3:$AC$200,MATCH($T594,'Resumo Grupos'!$AB$3:$AB$200,0)),"n/d"))</f>
        <v>Despesa</v>
      </c>
      <c r="AA594" s="0" t="str">
        <f aca="false">IF($T594="","",IF(COUNTIF('Resumo Grupos'!$AE$3:$AE$40,$T594)&gt;0,"NAO","SIM"))</f>
        <v>SIM</v>
      </c>
      <c r="AB594" s="0" t="str">
        <f aca="false">IFERROR(INDEX('Mov Entradas (Rel 10497)'!$L:$L,MATCH(AC594,'Mov Entradas (Rel 10497)'!$I:$I,0)),"nao encontrado")</f>
        <v>BOBINA TERMICA PDV 4</v>
      </c>
      <c r="AC594" s="0" t="n">
        <v>184</v>
      </c>
    </row>
    <row r="595" customFormat="false" ht="36.75" hidden="false" customHeight="true" outlineLevel="0" collapsed="false">
      <c r="A595" s="9" t="n">
        <v>2</v>
      </c>
      <c r="B595" s="10" t="n">
        <v>46186</v>
      </c>
      <c r="C595" s="10" t="n">
        <v>46204</v>
      </c>
      <c r="D595" s="9" t="n">
        <v>1974</v>
      </c>
      <c r="E595" s="11" t="s">
        <v>681</v>
      </c>
      <c r="F595" s="9" t="n">
        <v>47</v>
      </c>
      <c r="G595" s="11" t="s">
        <v>34</v>
      </c>
      <c r="H595" s="9" t="n">
        <v>2110405</v>
      </c>
      <c r="I595" s="11" t="s">
        <v>56</v>
      </c>
      <c r="J595" s="9" t="n">
        <v>1273147</v>
      </c>
      <c r="L595" s="9" t="n">
        <v>168792</v>
      </c>
      <c r="M595" s="11" t="s">
        <v>52</v>
      </c>
      <c r="N595" s="11" t="s">
        <v>45</v>
      </c>
      <c r="P595" s="9" t="n">
        <v>101</v>
      </c>
      <c r="Q595" s="11" t="s">
        <v>57</v>
      </c>
      <c r="R595" s="11" t="s">
        <v>39</v>
      </c>
      <c r="S595" s="9" t="n">
        <v>4210209</v>
      </c>
      <c r="T595" s="11" t="s">
        <v>682</v>
      </c>
      <c r="U595" s="12" t="n">
        <v>200</v>
      </c>
      <c r="W595" s="12" t="n">
        <v>0</v>
      </c>
      <c r="X595" s="11" t="s">
        <v>683</v>
      </c>
      <c r="Z595" s="0" t="str">
        <f aca="false">IF($T595="","",IFERROR(INDEX('Resumo Grupos'!$AC$3:$AC$200,MATCH($T595,'Resumo Grupos'!$AB$3:$AB$200,0)),"n/d"))</f>
        <v>Despesa</v>
      </c>
      <c r="AA595" s="0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9" t="n">
        <v>2</v>
      </c>
      <c r="B596" s="10" t="n">
        <v>46185</v>
      </c>
      <c r="C596" s="10" t="n">
        <v>46204</v>
      </c>
      <c r="D596" s="9" t="n">
        <v>1613</v>
      </c>
      <c r="E596" s="11" t="s">
        <v>50</v>
      </c>
      <c r="F596" s="9" t="n">
        <v>24</v>
      </c>
      <c r="G596" s="11" t="s">
        <v>51</v>
      </c>
      <c r="H596" s="9" t="n">
        <v>2110101</v>
      </c>
      <c r="I596" s="11" t="s">
        <v>43</v>
      </c>
      <c r="J596" s="9" t="n">
        <v>1239822</v>
      </c>
      <c r="L596" s="9" t="n">
        <v>1595886</v>
      </c>
      <c r="M596" s="11" t="s">
        <v>44</v>
      </c>
      <c r="N596" s="11" t="s">
        <v>37</v>
      </c>
      <c r="P596" s="9" t="n">
        <v>113</v>
      </c>
      <c r="Q596" s="11" t="s">
        <v>46</v>
      </c>
      <c r="R596" s="11" t="s">
        <v>47</v>
      </c>
      <c r="S596" s="9" t="n">
        <v>1130101</v>
      </c>
      <c r="T596" s="11" t="s">
        <v>48</v>
      </c>
      <c r="U596" s="12" t="n">
        <v>1104.14</v>
      </c>
      <c r="W596" s="12" t="n">
        <v>0</v>
      </c>
      <c r="X596" s="11" t="s">
        <v>548</v>
      </c>
      <c r="Z596" s="0" t="str">
        <f aca="false">IF($T596="","",IFERROR(INDEX('Resumo Grupos'!$AC$3:$AC$200,MATCH($T596,'Resumo Grupos'!$AB$3:$AB$200,0)),"n/d"))</f>
        <v>Mercadoria</v>
      </c>
      <c r="AA596" s="0" t="str">
        <f aca="false">IF($T596="","",IF(COUNTIF('Resumo Grupos'!$AE$3:$AE$40,$T596)&gt;0,"NAO","SIM"))</f>
        <v>SIM</v>
      </c>
      <c r="AB596" s="0" t="str">
        <f aca="false">IFERROR(INDEX('Mov Entradas (Rel 10497)'!$L:$L,MATCH(AC596,'Mov Entradas (Rel 10497)'!$I:$I,0)),"nao encontrado")</f>
        <v>CORACAO DE FRANGO KG</v>
      </c>
      <c r="AC596" s="0" t="n">
        <v>1595886</v>
      </c>
    </row>
    <row r="597" customFormat="false" ht="36.75" hidden="false" customHeight="true" outlineLevel="0" collapsed="false">
      <c r="A597" s="9" t="n">
        <v>2</v>
      </c>
      <c r="B597" s="10" t="n">
        <v>46195</v>
      </c>
      <c r="C597" s="10" t="n">
        <v>46204</v>
      </c>
      <c r="D597" s="9" t="n">
        <v>1613</v>
      </c>
      <c r="E597" s="11" t="s">
        <v>50</v>
      </c>
      <c r="F597" s="9" t="n">
        <v>24</v>
      </c>
      <c r="G597" s="11" t="s">
        <v>51</v>
      </c>
      <c r="H597" s="9" t="n">
        <v>2110101</v>
      </c>
      <c r="I597" s="11" t="s">
        <v>43</v>
      </c>
      <c r="J597" s="9" t="n">
        <v>1289535</v>
      </c>
      <c r="L597" s="9" t="n">
        <v>1598763</v>
      </c>
      <c r="M597" s="11" t="s">
        <v>52</v>
      </c>
      <c r="N597" s="11" t="s">
        <v>37</v>
      </c>
      <c r="P597" s="9" t="n">
        <v>113</v>
      </c>
      <c r="Q597" s="11" t="s">
        <v>46</v>
      </c>
      <c r="R597" s="11" t="s">
        <v>47</v>
      </c>
      <c r="S597" s="9" t="n">
        <v>1130101</v>
      </c>
      <c r="T597" s="11" t="s">
        <v>48</v>
      </c>
      <c r="U597" s="12" t="n">
        <v>671.16</v>
      </c>
      <c r="W597" s="12" t="n">
        <v>0</v>
      </c>
      <c r="X597" s="11" t="s">
        <v>684</v>
      </c>
      <c r="Z597" s="0" t="str">
        <f aca="false">IF($T597="","",IFERROR(INDEX('Resumo Grupos'!$AC$3:$AC$200,MATCH($T597,'Resumo Grupos'!$AB$3:$AB$200,0)),"n/d"))</f>
        <v>Mercadoria</v>
      </c>
      <c r="AA597" s="0" t="str">
        <f aca="false">IF($T597="","",IF(COUNTIF('Resumo Grupos'!$AE$3:$AE$40,$T597)&gt;0,"NAO","SIM"))</f>
        <v>SIM</v>
      </c>
      <c r="AB597" s="0" t="str">
        <f aca="false">IFERROR(INDEX('Mov Entradas (Rel 10497)'!$L:$L,MATCH(AC597,'Mov Entradas (Rel 10497)'!$I:$I,0)),"nao encontrado")</f>
        <v>FRANGO A PASSARINHO </v>
      </c>
      <c r="AC597" s="0" t="n">
        <v>1598763</v>
      </c>
    </row>
    <row r="598" customFormat="false" ht="36.75" hidden="false" customHeight="true" outlineLevel="0" collapsed="false">
      <c r="A598" s="9" t="n">
        <v>2</v>
      </c>
      <c r="B598" s="10" t="n">
        <v>46195</v>
      </c>
      <c r="C598" s="10" t="n">
        <v>46204</v>
      </c>
      <c r="D598" s="9" t="n">
        <v>1792</v>
      </c>
      <c r="E598" s="11" t="s">
        <v>54</v>
      </c>
      <c r="F598" s="9" t="n">
        <v>24</v>
      </c>
      <c r="G598" s="11" t="s">
        <v>51</v>
      </c>
      <c r="H598" s="9" t="n">
        <v>2110405</v>
      </c>
      <c r="I598" s="11" t="s">
        <v>56</v>
      </c>
      <c r="J598" s="9" t="n">
        <v>1290183</v>
      </c>
      <c r="L598" s="9" t="n">
        <v>172328</v>
      </c>
      <c r="M598" s="11" t="s">
        <v>52</v>
      </c>
      <c r="N598" s="11" t="s">
        <v>45</v>
      </c>
      <c r="P598" s="9" t="n">
        <v>101</v>
      </c>
      <c r="Q598" s="11" t="s">
        <v>57</v>
      </c>
      <c r="R598" s="11" t="s">
        <v>58</v>
      </c>
      <c r="S598" s="9" t="n">
        <v>1240203</v>
      </c>
      <c r="T598" s="11" t="s">
        <v>59</v>
      </c>
      <c r="U598" s="12" t="n">
        <v>404.78</v>
      </c>
      <c r="W598" s="12" t="n">
        <v>0</v>
      </c>
      <c r="X598" s="11" t="s">
        <v>685</v>
      </c>
      <c r="Z598" s="0" t="str">
        <f aca="false">IF($T598="","",IFERROR(INDEX('Resumo Grupos'!$AC$3:$AC$200,MATCH($T598,'Resumo Grupos'!$AB$3:$AB$200,0)),"n/d"))</f>
        <v>Despesa</v>
      </c>
      <c r="AA598" s="0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9" t="n">
        <v>2</v>
      </c>
      <c r="B599" s="10" t="n">
        <v>46204</v>
      </c>
      <c r="C599" s="10" t="n">
        <v>46204</v>
      </c>
      <c r="D599" s="9" t="n">
        <v>73</v>
      </c>
      <c r="E599" s="11" t="s">
        <v>70</v>
      </c>
      <c r="F599" s="9" t="n">
        <v>34</v>
      </c>
      <c r="G599" s="11" t="s">
        <v>55</v>
      </c>
      <c r="H599" s="9" t="n">
        <v>2110405</v>
      </c>
      <c r="I599" s="11" t="s">
        <v>56</v>
      </c>
      <c r="J599" s="9" t="n">
        <v>1340183</v>
      </c>
      <c r="L599" s="9" t="n">
        <v>179826</v>
      </c>
      <c r="M599" s="11" t="s">
        <v>52</v>
      </c>
      <c r="N599" s="11" t="s">
        <v>45</v>
      </c>
      <c r="P599" s="9" t="n">
        <v>113</v>
      </c>
      <c r="Q599" s="11" t="s">
        <v>46</v>
      </c>
      <c r="R599" s="11" t="s">
        <v>71</v>
      </c>
      <c r="S599" s="9" t="n">
        <v>4210309</v>
      </c>
      <c r="T599" s="11" t="s">
        <v>72</v>
      </c>
      <c r="U599" s="12" t="n">
        <v>270</v>
      </c>
      <c r="W599" s="12" t="n">
        <v>0</v>
      </c>
      <c r="X599" s="11" t="s">
        <v>686</v>
      </c>
      <c r="Z599" s="0" t="str">
        <f aca="false">IF($T599="","",IFERROR(INDEX('Resumo Grupos'!$AC$3:$AC$200,MATCH($T599,'Resumo Grupos'!$AB$3:$AB$200,0)),"n/d"))</f>
        <v>Salários</v>
      </c>
      <c r="AA599" s="0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9" t="n">
        <v>2</v>
      </c>
      <c r="B600" s="10" t="n">
        <v>46183</v>
      </c>
      <c r="C600" s="10" t="n">
        <v>46204</v>
      </c>
      <c r="D600" s="9" t="n">
        <v>10019</v>
      </c>
      <c r="E600" s="11" t="s">
        <v>268</v>
      </c>
      <c r="F600" s="9" t="n">
        <v>24</v>
      </c>
      <c r="G600" s="11" t="s">
        <v>51</v>
      </c>
      <c r="H600" s="9" t="n">
        <v>2110101</v>
      </c>
      <c r="I600" s="11" t="s">
        <v>43</v>
      </c>
      <c r="J600" s="9" t="n">
        <v>1231766</v>
      </c>
      <c r="L600" s="9" t="n">
        <v>34450</v>
      </c>
      <c r="M600" s="11" t="s">
        <v>44</v>
      </c>
      <c r="N600" s="11" t="s">
        <v>37</v>
      </c>
      <c r="P600" s="9" t="n">
        <v>113</v>
      </c>
      <c r="Q600" s="11" t="s">
        <v>46</v>
      </c>
      <c r="R600" s="11" t="s">
        <v>47</v>
      </c>
      <c r="S600" s="9" t="n">
        <v>1130101</v>
      </c>
      <c r="T600" s="11" t="s">
        <v>48</v>
      </c>
      <c r="U600" s="12" t="n">
        <v>922.07</v>
      </c>
      <c r="W600" s="12" t="n">
        <v>0</v>
      </c>
      <c r="X600" s="11" t="s">
        <v>551</v>
      </c>
      <c r="Z600" s="0" t="str">
        <f aca="false">IF($T600="","",IFERROR(INDEX('Resumo Grupos'!$AC$3:$AC$200,MATCH($T600,'Resumo Grupos'!$AB$3:$AB$200,0)),"n/d"))</f>
        <v>Mercadoria</v>
      </c>
      <c r="AA600" s="0" t="str">
        <f aca="false">IF($T600="","",IF(COUNTIF('Resumo Grupos'!$AE$3:$AE$40,$T600)&gt;0,"NAO","SIM"))</f>
        <v>SIM</v>
      </c>
      <c r="AB600" s="0" t="str">
        <f aca="false">IFERROR(INDEX('Mov Entradas (Rel 10497)'!$L:$L,MATCH(AC600,'Mov Entradas (Rel 10497)'!$I:$I,0)),"nao encontrado")</f>
        <v>PATINHO BOVINO KG</v>
      </c>
      <c r="AC600" s="0" t="n">
        <v>34450</v>
      </c>
    </row>
    <row r="601" customFormat="false" ht="36.75" hidden="false" customHeight="true" outlineLevel="0" collapsed="false">
      <c r="A601" s="9" t="n">
        <v>2</v>
      </c>
      <c r="B601" s="10" t="n">
        <v>46183</v>
      </c>
      <c r="C601" s="10" t="n">
        <v>46204</v>
      </c>
      <c r="D601" s="9" t="n">
        <v>10019</v>
      </c>
      <c r="E601" s="11" t="s">
        <v>268</v>
      </c>
      <c r="F601" s="9" t="n">
        <v>24</v>
      </c>
      <c r="G601" s="11" t="s">
        <v>51</v>
      </c>
      <c r="H601" s="9" t="n">
        <v>2110101</v>
      </c>
      <c r="I601" s="11" t="s">
        <v>43</v>
      </c>
      <c r="J601" s="9" t="n">
        <v>1231774</v>
      </c>
      <c r="L601" s="9" t="n">
        <v>30199</v>
      </c>
      <c r="M601" s="11" t="s">
        <v>44</v>
      </c>
      <c r="N601" s="11" t="s">
        <v>37</v>
      </c>
      <c r="P601" s="9" t="n">
        <v>113</v>
      </c>
      <c r="Q601" s="11" t="s">
        <v>46</v>
      </c>
      <c r="R601" s="11" t="s">
        <v>47</v>
      </c>
      <c r="S601" s="9" t="n">
        <v>1130101</v>
      </c>
      <c r="T601" s="11" t="s">
        <v>48</v>
      </c>
      <c r="U601" s="12" t="n">
        <v>550.99</v>
      </c>
      <c r="W601" s="12" t="n">
        <v>0</v>
      </c>
      <c r="X601" s="11" t="s">
        <v>552</v>
      </c>
      <c r="Z601" s="0" t="str">
        <f aca="false">IF($T601="","",IFERROR(INDEX('Resumo Grupos'!$AC$3:$AC$200,MATCH($T601,'Resumo Grupos'!$AB$3:$AB$200,0)),"n/d"))</f>
        <v>Mercadoria</v>
      </c>
      <c r="AA601" s="0" t="str">
        <f aca="false">IF($T601="","",IF(COUNTIF('Resumo Grupos'!$AE$3:$AE$40,$T601)&gt;0,"NAO","SIM"))</f>
        <v>SIM</v>
      </c>
      <c r="AB601" s="0" t="str">
        <f aca="false">IFERROR(INDEX('Mov Entradas (Rel 10497)'!$L:$L,MATCH(AC601,'Mov Entradas (Rel 10497)'!$I:$I,0)),"nao encontrado")</f>
        <v>ALCATRA BOVINA 1 KG</v>
      </c>
      <c r="AC601" s="0" t="n">
        <v>30199</v>
      </c>
    </row>
    <row r="602" customFormat="false" ht="36.75" hidden="false" customHeight="true" outlineLevel="0" collapsed="false">
      <c r="A602" s="9" t="n">
        <v>2</v>
      </c>
      <c r="B602" s="10" t="n">
        <v>46190</v>
      </c>
      <c r="C602" s="10" t="n">
        <v>46204</v>
      </c>
      <c r="D602" s="9" t="n">
        <v>10019</v>
      </c>
      <c r="E602" s="11" t="s">
        <v>268</v>
      </c>
      <c r="F602" s="9" t="n">
        <v>24</v>
      </c>
      <c r="G602" s="11" t="s">
        <v>51</v>
      </c>
      <c r="H602" s="9" t="n">
        <v>2110101</v>
      </c>
      <c r="I602" s="11" t="s">
        <v>43</v>
      </c>
      <c r="J602" s="9" t="n">
        <v>1265922</v>
      </c>
      <c r="L602" s="9" t="n">
        <v>168788</v>
      </c>
      <c r="M602" s="11" t="s">
        <v>52</v>
      </c>
      <c r="N602" s="11" t="s">
        <v>45</v>
      </c>
      <c r="P602" s="9" t="n">
        <v>113</v>
      </c>
      <c r="Q602" s="11" t="s">
        <v>46</v>
      </c>
      <c r="R602" s="11" t="s">
        <v>47</v>
      </c>
      <c r="S602" s="9" t="n">
        <v>1130101</v>
      </c>
      <c r="T602" s="11" t="s">
        <v>48</v>
      </c>
      <c r="U602" s="12" t="n">
        <v>551.88</v>
      </c>
      <c r="W602" s="12" t="n">
        <v>0</v>
      </c>
      <c r="X602" s="11" t="s">
        <v>553</v>
      </c>
      <c r="Z602" s="0" t="str">
        <f aca="false">IF($T602="","",IFERROR(INDEX('Resumo Grupos'!$AC$3:$AC$200,MATCH($T602,'Resumo Grupos'!$AB$3:$AB$200,0)),"n/d"))</f>
        <v>Mercadoria</v>
      </c>
      <c r="AA602" s="0" t="str">
        <f aca="false">IF($T602="","",IF(COUNTIF('Resumo Grupos'!$AE$3:$AE$40,$T602)&gt;0,"NAO","SIM"))</f>
        <v>SIM</v>
      </c>
      <c r="AB602" s="0" t="str">
        <f aca="false">IFERROR(INDEX('Mov Entradas (Rel 10497)'!$L:$L,MATCH(AC602,'Mov Entradas (Rel 10497)'!$I:$I,0)),"nao encontrado")</f>
        <v>FIGADO BOVINO KG</v>
      </c>
      <c r="AC602" s="0" t="n">
        <v>30415</v>
      </c>
    </row>
    <row r="603" customFormat="false" ht="36.75" hidden="false" customHeight="true" outlineLevel="0" collapsed="false">
      <c r="A603" s="9" t="n">
        <v>2</v>
      </c>
      <c r="B603" s="10" t="n">
        <v>46196</v>
      </c>
      <c r="C603" s="10" t="n">
        <v>46204</v>
      </c>
      <c r="D603" s="9" t="n">
        <v>937</v>
      </c>
      <c r="E603" s="11" t="s">
        <v>687</v>
      </c>
      <c r="F603" s="9" t="n">
        <v>47</v>
      </c>
      <c r="G603" s="11" t="s">
        <v>34</v>
      </c>
      <c r="H603" s="9" t="n">
        <v>2110101</v>
      </c>
      <c r="I603" s="11" t="s">
        <v>43</v>
      </c>
      <c r="J603" s="9" t="n">
        <v>1295077</v>
      </c>
      <c r="L603" s="9" t="n">
        <v>173329</v>
      </c>
      <c r="M603" s="11" t="s">
        <v>52</v>
      </c>
      <c r="N603" s="11" t="s">
        <v>45</v>
      </c>
      <c r="P603" s="9" t="n">
        <v>113</v>
      </c>
      <c r="Q603" s="11" t="s">
        <v>46</v>
      </c>
      <c r="R603" s="11" t="s">
        <v>47</v>
      </c>
      <c r="S603" s="9" t="n">
        <v>1130101</v>
      </c>
      <c r="T603" s="11" t="s">
        <v>48</v>
      </c>
      <c r="U603" s="12" t="n">
        <v>1195</v>
      </c>
      <c r="W603" s="12" t="n">
        <v>0</v>
      </c>
      <c r="X603" s="11" t="s">
        <v>688</v>
      </c>
      <c r="Z603" s="0" t="str">
        <f aca="false">IF($T603="","",IFERROR(INDEX('Resumo Grupos'!$AC$3:$AC$200,MATCH($T603,'Resumo Grupos'!$AB$3:$AB$200,0)),"n/d"))</f>
        <v>Mercadoria</v>
      </c>
      <c r="AA603" s="0" t="str">
        <f aca="false">IF($T603="","",IF(COUNTIF('Resumo Grupos'!$AE$3:$AE$40,$T603)&gt;0,"NAO","SIM"))</f>
        <v>SIM</v>
      </c>
      <c r="AB603" s="0" t="str">
        <f aca="false">IFERROR(INDEX('Mov Entradas (Rel 10497)'!$L:$L,MATCH(AC603,'Mov Entradas (Rel 10497)'!$I:$I,0)),"nao encontrado")</f>
        <v>ALBUM DA COPA 2026</v>
      </c>
      <c r="AC603" s="0" t="n">
        <v>2316</v>
      </c>
    </row>
    <row r="604" customFormat="false" ht="36.75" hidden="false" customHeight="true" outlineLevel="0" collapsed="false">
      <c r="A604" s="9" t="n">
        <v>2</v>
      </c>
      <c r="B604" s="10" t="n">
        <v>46197</v>
      </c>
      <c r="C604" s="10" t="n">
        <v>46204</v>
      </c>
      <c r="D604" s="9" t="n">
        <v>1815</v>
      </c>
      <c r="E604" s="11" t="s">
        <v>172</v>
      </c>
      <c r="F604" s="9" t="n">
        <v>24</v>
      </c>
      <c r="G604" s="11" t="s">
        <v>51</v>
      </c>
      <c r="H604" s="9" t="n">
        <v>2110101</v>
      </c>
      <c r="I604" s="11" t="s">
        <v>43</v>
      </c>
      <c r="J604" s="9" t="n">
        <v>1300169</v>
      </c>
      <c r="L604" s="9" t="n">
        <v>388857</v>
      </c>
      <c r="M604" s="11" t="s">
        <v>52</v>
      </c>
      <c r="N604" s="11" t="s">
        <v>37</v>
      </c>
      <c r="P604" s="9" t="n">
        <v>113</v>
      </c>
      <c r="Q604" s="11" t="s">
        <v>46</v>
      </c>
      <c r="R604" s="11" t="s">
        <v>47</v>
      </c>
      <c r="S604" s="9" t="n">
        <v>1130101</v>
      </c>
      <c r="T604" s="11" t="s">
        <v>48</v>
      </c>
      <c r="U604" s="12" t="n">
        <v>314.44</v>
      </c>
      <c r="W604" s="12" t="n">
        <v>0</v>
      </c>
      <c r="X604" s="11" t="s">
        <v>689</v>
      </c>
      <c r="Z604" s="0" t="str">
        <f aca="false">IF($T604="","",IFERROR(INDEX('Resumo Grupos'!$AC$3:$AC$200,MATCH($T604,'Resumo Grupos'!$AB$3:$AB$200,0)),"n/d"))</f>
        <v>Mercadoria</v>
      </c>
      <c r="AA604" s="0" t="str">
        <f aca="false">IF($T604="","",IF(COUNTIF('Resumo Grupos'!$AE$3:$AE$40,$T604)&gt;0,"NAO","SIM"))</f>
        <v>SIM</v>
      </c>
      <c r="AB604" s="0" t="str">
        <f aca="false">IFERROR(INDEX('Mov Entradas (Rel 10497)'!$L:$L,MATCH(AC604,'Mov Entradas (Rel 10497)'!$I:$I,0)),"nao encontrado")</f>
        <v>BISTECA SUINA KG</v>
      </c>
      <c r="AC604" s="0" t="n">
        <v>388857</v>
      </c>
    </row>
    <row r="605" customFormat="false" ht="36.75" hidden="false" customHeight="true" outlineLevel="0" collapsed="false">
      <c r="A605" s="9" t="n">
        <v>2</v>
      </c>
      <c r="B605" s="10" t="n">
        <v>46200</v>
      </c>
      <c r="C605" s="10" t="n">
        <v>46204</v>
      </c>
      <c r="D605" s="9" t="n">
        <v>10035</v>
      </c>
      <c r="E605" s="11" t="s">
        <v>86</v>
      </c>
      <c r="F605" s="9" t="n">
        <v>34</v>
      </c>
      <c r="G605" s="11" t="s">
        <v>55</v>
      </c>
      <c r="H605" s="9" t="n">
        <v>2110101</v>
      </c>
      <c r="I605" s="11" t="s">
        <v>43</v>
      </c>
      <c r="J605" s="9" t="n">
        <v>1312818</v>
      </c>
      <c r="L605" s="9" t="n">
        <v>325</v>
      </c>
      <c r="M605" s="11" t="s">
        <v>52</v>
      </c>
      <c r="N605" s="11" t="s">
        <v>37</v>
      </c>
      <c r="P605" s="9" t="n">
        <v>113</v>
      </c>
      <c r="Q605" s="11" t="s">
        <v>46</v>
      </c>
      <c r="R605" s="11" t="s">
        <v>47</v>
      </c>
      <c r="S605" s="9" t="n">
        <v>1130101</v>
      </c>
      <c r="T605" s="11" t="s">
        <v>48</v>
      </c>
      <c r="U605" s="12" t="n">
        <v>310</v>
      </c>
      <c r="W605" s="12" t="n">
        <v>0</v>
      </c>
      <c r="X605" s="11" t="s">
        <v>690</v>
      </c>
      <c r="Z605" s="0" t="str">
        <f aca="false">IF($T605="","",IFERROR(INDEX('Resumo Grupos'!$AC$3:$AC$200,MATCH($T605,'Resumo Grupos'!$AB$3:$AB$200,0)),"n/d"))</f>
        <v>Mercadoria</v>
      </c>
      <c r="AA605" s="0" t="str">
        <f aca="false">IF($T605="","",IF(COUNTIF('Resumo Grupos'!$AE$3:$AE$40,$T605)&gt;0,"NAO","SIM"))</f>
        <v>SIM</v>
      </c>
      <c r="AB605" s="0" t="str">
        <f aca="false">IFERROR(INDEX('Mov Entradas (Rel 10497)'!$L:$L,MATCH(AC605,'Mov Entradas (Rel 10497)'!$I:$I,0)),"nao encontrado")</f>
        <v>CARVAO VEGETAL 3KG</v>
      </c>
      <c r="AC605" s="0" t="n">
        <v>325</v>
      </c>
    </row>
    <row r="606" customFormat="false" ht="27.75" hidden="false" customHeight="true" outlineLevel="0" collapsed="false">
      <c r="A606" s="9" t="n">
        <v>2</v>
      </c>
      <c r="B606" s="10" t="n">
        <v>46204</v>
      </c>
      <c r="C606" s="10" t="n">
        <v>46204</v>
      </c>
      <c r="D606" s="9" t="n">
        <v>10047</v>
      </c>
      <c r="E606" s="11" t="s">
        <v>691</v>
      </c>
      <c r="F606" s="9" t="n">
        <v>24</v>
      </c>
      <c r="G606" s="11" t="s">
        <v>51</v>
      </c>
      <c r="H606" s="9" t="n">
        <v>2110405</v>
      </c>
      <c r="I606" s="11" t="s">
        <v>56</v>
      </c>
      <c r="J606" s="9" t="n">
        <v>1345064</v>
      </c>
      <c r="L606" s="9" t="n">
        <v>180636</v>
      </c>
      <c r="M606" s="11" t="s">
        <v>52</v>
      </c>
      <c r="N606" s="11" t="s">
        <v>45</v>
      </c>
      <c r="P606" s="9" t="n">
        <v>102</v>
      </c>
      <c r="Q606" s="11" t="s">
        <v>308</v>
      </c>
      <c r="R606" s="11" t="s">
        <v>47</v>
      </c>
      <c r="S606" s="9" t="n">
        <v>1130101</v>
      </c>
      <c r="T606" s="11" t="s">
        <v>48</v>
      </c>
      <c r="U606" s="12" t="n">
        <v>70.33</v>
      </c>
      <c r="W606" s="12" t="n">
        <v>0</v>
      </c>
      <c r="X606" s="11" t="s">
        <v>692</v>
      </c>
      <c r="Z606" s="0" t="str">
        <f aca="false">IF($T606="","",IFERROR(INDEX('Resumo Grupos'!$AC$3:$AC$200,MATCH($T606,'Resumo Grupos'!$AB$3:$AB$200,0)),"n/d"))</f>
        <v>Mercadoria</v>
      </c>
      <c r="AA606" s="0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9" t="n">
        <v>2</v>
      </c>
      <c r="B607" s="10" t="n">
        <v>46055</v>
      </c>
      <c r="C607" s="10" t="n">
        <v>46204</v>
      </c>
      <c r="D607" s="9" t="n">
        <v>10039</v>
      </c>
      <c r="E607" s="11" t="s">
        <v>88</v>
      </c>
      <c r="F607" s="9" t="n">
        <v>47</v>
      </c>
      <c r="G607" s="11" t="s">
        <v>34</v>
      </c>
      <c r="H607" s="9" t="n">
        <v>2110405</v>
      </c>
      <c r="I607" s="11" t="s">
        <v>56</v>
      </c>
      <c r="J607" s="9" t="n">
        <v>846832</v>
      </c>
      <c r="L607" s="9" t="n">
        <v>111506</v>
      </c>
      <c r="M607" s="11" t="s">
        <v>36</v>
      </c>
      <c r="N607" s="11" t="s">
        <v>45</v>
      </c>
      <c r="P607" s="9" t="n">
        <v>113</v>
      </c>
      <c r="Q607" s="11" t="s">
        <v>46</v>
      </c>
      <c r="R607" s="11" t="s">
        <v>39</v>
      </c>
      <c r="S607" s="9" t="n">
        <v>4210227</v>
      </c>
      <c r="T607" s="11" t="s">
        <v>68</v>
      </c>
      <c r="U607" s="12" t="n">
        <v>378.82</v>
      </c>
      <c r="W607" s="12" t="n">
        <v>0</v>
      </c>
      <c r="X607" s="11" t="s">
        <v>693</v>
      </c>
      <c r="Z607" s="0" t="str">
        <f aca="false">IF($T607="","",IFERROR(INDEX('Resumo Grupos'!$AC$3:$AC$200,MATCH($T607,'Resumo Grupos'!$AB$3:$AB$200,0)),"n/d"))</f>
        <v>Despesa</v>
      </c>
      <c r="AA607" s="0" t="str">
        <f aca="false">IF($T607="","",IF(COUNTIF('Resumo Grupos'!$AE$3:$AE$40,$T607)&gt;0,"NAO","SIM"))</f>
        <v>SIM</v>
      </c>
      <c r="AB607" s="0" t="str">
        <f aca="false">IFERROR(INDEX('Mov Entradas (Rel 10497)'!$L:$L,MATCH(AC607,'Mov Entradas (Rel 10497)'!$I:$I,0)),"nao encontrado")</f>
        <v>nao encontrado</v>
      </c>
      <c r="AC607" s="0" t="n">
        <v>258</v>
      </c>
    </row>
    <row r="608" customFormat="false" ht="36.75" hidden="false" customHeight="true" outlineLevel="0" collapsed="false">
      <c r="A608" s="9" t="n">
        <v>2</v>
      </c>
      <c r="B608" s="10" t="n">
        <v>46196</v>
      </c>
      <c r="C608" s="10" t="n">
        <v>46204</v>
      </c>
      <c r="D608" s="9" t="n">
        <v>943</v>
      </c>
      <c r="E608" s="11" t="s">
        <v>694</v>
      </c>
      <c r="F608" s="9" t="n">
        <v>47</v>
      </c>
      <c r="G608" s="11" t="s">
        <v>34</v>
      </c>
      <c r="H608" s="9" t="n">
        <v>2110101</v>
      </c>
      <c r="I608" s="11" t="s">
        <v>43</v>
      </c>
      <c r="J608" s="9" t="n">
        <v>1295052</v>
      </c>
      <c r="L608" s="9" t="n">
        <v>173314</v>
      </c>
      <c r="M608" s="11" t="s">
        <v>52</v>
      </c>
      <c r="N608" s="11" t="s">
        <v>45</v>
      </c>
      <c r="P608" s="9" t="n">
        <v>113</v>
      </c>
      <c r="Q608" s="11" t="s">
        <v>46</v>
      </c>
      <c r="R608" s="11" t="s">
        <v>47</v>
      </c>
      <c r="S608" s="9" t="n">
        <v>1130101</v>
      </c>
      <c r="T608" s="11" t="s">
        <v>48</v>
      </c>
      <c r="U608" s="12" t="n">
        <v>2913</v>
      </c>
      <c r="W608" s="12" t="n">
        <v>0</v>
      </c>
      <c r="X608" s="11" t="s">
        <v>695</v>
      </c>
      <c r="Z608" s="0" t="str">
        <f aca="false">IF($T608="","",IFERROR(INDEX('Resumo Grupos'!$AC$3:$AC$200,MATCH($T608,'Resumo Grupos'!$AB$3:$AB$200,0)),"n/d"))</f>
        <v>Mercadoria</v>
      </c>
      <c r="AA608" s="0" t="str">
        <f aca="false">IF($T608="","",IF(COUNTIF('Resumo Grupos'!$AE$3:$AE$40,$T608)&gt;0,"NAO","SIM"))</f>
        <v>SIM</v>
      </c>
      <c r="AB608" s="0" t="str">
        <f aca="false">IFERROR(INDEX('Mov Entradas (Rel 10497)'!$L:$L,MATCH(AC608,'Mov Entradas (Rel 10497)'!$I:$I,0)),"nao encontrado")</f>
        <v>BRINQ CARRINHO D</v>
      </c>
      <c r="AC608" s="0" t="n">
        <v>596</v>
      </c>
    </row>
    <row r="609" customFormat="false" ht="36.75" hidden="false" customHeight="true" outlineLevel="0" collapsed="false">
      <c r="A609" s="9" t="n">
        <v>2</v>
      </c>
      <c r="B609" s="10" t="n">
        <v>46196</v>
      </c>
      <c r="C609" s="10" t="n">
        <v>46204</v>
      </c>
      <c r="D609" s="9" t="n">
        <v>10080</v>
      </c>
      <c r="E609" s="11" t="s">
        <v>696</v>
      </c>
      <c r="F609" s="9" t="n">
        <v>47</v>
      </c>
      <c r="G609" s="11" t="s">
        <v>34</v>
      </c>
      <c r="H609" s="9" t="n">
        <v>2110101</v>
      </c>
      <c r="I609" s="11" t="s">
        <v>43</v>
      </c>
      <c r="J609" s="9" t="n">
        <v>1295126</v>
      </c>
      <c r="L609" s="9" t="n">
        <v>173344</v>
      </c>
      <c r="M609" s="11" t="s">
        <v>52</v>
      </c>
      <c r="N609" s="11" t="s">
        <v>45</v>
      </c>
      <c r="P609" s="9" t="n">
        <v>113</v>
      </c>
      <c r="Q609" s="11" t="s">
        <v>46</v>
      </c>
      <c r="R609" s="11" t="s">
        <v>47</v>
      </c>
      <c r="S609" s="9" t="n">
        <v>1130101</v>
      </c>
      <c r="T609" s="11" t="s">
        <v>48</v>
      </c>
      <c r="U609" s="12" t="n">
        <v>351.53</v>
      </c>
      <c r="W609" s="12" t="n">
        <v>0</v>
      </c>
      <c r="X609" s="11" t="s">
        <v>697</v>
      </c>
      <c r="Z609" s="0" t="str">
        <f aca="false">IF($T609="","",IFERROR(INDEX('Resumo Grupos'!$AC$3:$AC$200,MATCH($T609,'Resumo Grupos'!$AB$3:$AB$200,0)),"n/d"))</f>
        <v>Mercadoria</v>
      </c>
      <c r="AA609" s="0" t="str">
        <f aca="false">IF($T609="","",IF(COUNTIF('Resumo Grupos'!$AE$3:$AE$40,$T609)&gt;0,"NAO","SIM"))</f>
        <v>SIM</v>
      </c>
      <c r="AB609" s="0" t="str">
        <f aca="false">IFERROR(INDEX('Mov Entradas (Rel 10497)'!$L:$L,MATCH(AC609,'Mov Entradas (Rel 10497)'!$I:$I,0)),"nao encontrado")</f>
        <v>nao encontrado</v>
      </c>
      <c r="AC609" s="0" t="n">
        <v>1948</v>
      </c>
    </row>
    <row r="610" customFormat="false" ht="36.75" hidden="false" customHeight="true" outlineLevel="0" collapsed="false">
      <c r="A610" s="9" t="n">
        <v>2</v>
      </c>
      <c r="B610" s="10" t="n">
        <v>46048</v>
      </c>
      <c r="C610" s="10" t="n">
        <v>46204</v>
      </c>
      <c r="D610" s="9" t="n">
        <v>925</v>
      </c>
      <c r="E610" s="11" t="s">
        <v>91</v>
      </c>
      <c r="F610" s="9" t="n">
        <v>47</v>
      </c>
      <c r="G610" s="11" t="s">
        <v>34</v>
      </c>
      <c r="H610" s="9" t="n">
        <v>2110102</v>
      </c>
      <c r="I610" s="11" t="s">
        <v>35</v>
      </c>
      <c r="J610" s="9" t="n">
        <v>584985</v>
      </c>
      <c r="L610" s="9" t="n">
        <v>7267</v>
      </c>
      <c r="M610" s="11" t="s">
        <v>102</v>
      </c>
      <c r="N610" s="11" t="s">
        <v>37</v>
      </c>
      <c r="P610" s="9" t="n">
        <v>104</v>
      </c>
      <c r="Q610" s="11" t="s">
        <v>38</v>
      </c>
      <c r="R610" s="11" t="s">
        <v>39</v>
      </c>
      <c r="S610" s="9" t="n">
        <v>4210204</v>
      </c>
      <c r="T610" s="11" t="s">
        <v>40</v>
      </c>
      <c r="U610" s="12" t="n">
        <v>165</v>
      </c>
      <c r="W610" s="12" t="n">
        <v>0</v>
      </c>
      <c r="X610" s="11" t="s">
        <v>92</v>
      </c>
      <c r="Z610" s="0" t="str">
        <f aca="false">IF($T610="","",IFERROR(INDEX('Resumo Grupos'!$AC$3:$AC$200,MATCH($T610,'Resumo Grupos'!$AB$3:$AB$200,0)),"n/d"))</f>
        <v>Despesa</v>
      </c>
      <c r="AA610" s="0" t="str">
        <f aca="false">IF($T610="","",IF(COUNTIF('Resumo Grupos'!$AE$3:$AE$40,$T610)&gt;0,"NAO","SIM"))</f>
        <v>SIM</v>
      </c>
      <c r="AB610" s="0" t="str">
        <f aca="false">IFERROR(INDEX('Mov Entradas (Rel 10497)'!$L:$L,MATCH(AC610,'Mov Entradas (Rel 10497)'!$I:$I,0)),"nao encontrado")</f>
        <v>nao encontrado</v>
      </c>
      <c r="AC610" s="0" t="n">
        <v>7267</v>
      </c>
    </row>
    <row r="611" customFormat="false" ht="36.75" hidden="false" customHeight="true" outlineLevel="0" collapsed="false">
      <c r="A611" s="9" t="n">
        <v>2</v>
      </c>
      <c r="B611" s="10" t="n">
        <v>46105</v>
      </c>
      <c r="C611" s="10" t="n">
        <v>46204</v>
      </c>
      <c r="D611" s="9" t="n">
        <v>1960</v>
      </c>
      <c r="E611" s="11" t="s">
        <v>93</v>
      </c>
      <c r="F611" s="9" t="n">
        <v>47</v>
      </c>
      <c r="G611" s="11" t="s">
        <v>34</v>
      </c>
      <c r="H611" s="9" t="n">
        <v>2110405</v>
      </c>
      <c r="I611" s="11" t="s">
        <v>56</v>
      </c>
      <c r="J611" s="9" t="n">
        <v>846762</v>
      </c>
      <c r="L611" s="9" t="n">
        <v>111500</v>
      </c>
      <c r="M611" s="11" t="s">
        <v>89</v>
      </c>
      <c r="N611" s="11" t="s">
        <v>45</v>
      </c>
      <c r="P611" s="9" t="n">
        <v>113</v>
      </c>
      <c r="Q611" s="11" t="s">
        <v>46</v>
      </c>
      <c r="R611" s="11" t="s">
        <v>39</v>
      </c>
      <c r="S611" s="9" t="n">
        <v>4210227</v>
      </c>
      <c r="T611" s="11" t="s">
        <v>68</v>
      </c>
      <c r="U611" s="12" t="n">
        <v>1630</v>
      </c>
      <c r="W611" s="12" t="n">
        <v>0</v>
      </c>
      <c r="X611" s="11" t="s">
        <v>698</v>
      </c>
      <c r="Z611" s="0" t="str">
        <f aca="false">IF($T611="","",IFERROR(INDEX('Resumo Grupos'!$AC$3:$AC$200,MATCH($T611,'Resumo Grupos'!$AB$3:$AB$200,0)),"n/d"))</f>
        <v>Despesa</v>
      </c>
      <c r="AA611" s="0" t="str">
        <f aca="false">IF($T611="","",IF(COUNTIF('Resumo Grupos'!$AE$3:$AE$40,$T611)&gt;0,"NAO","SIM"))</f>
        <v>SIM</v>
      </c>
      <c r="AB611" s="0" t="str">
        <f aca="false">IFERROR(INDEX('Mov Entradas (Rel 10497)'!$L:$L,MATCH(AC611,'Mov Entradas (Rel 10497)'!$I:$I,0)),"nao encontrado")</f>
        <v>nao encontrado</v>
      </c>
      <c r="AC611" s="0" t="n">
        <v>439164</v>
      </c>
    </row>
    <row r="612" customFormat="false" ht="36.75" hidden="false" customHeight="true" outlineLevel="0" collapsed="false">
      <c r="A612" s="9" t="n">
        <v>2</v>
      </c>
      <c r="B612" s="10" t="n">
        <v>46204</v>
      </c>
      <c r="C612" s="10" t="n">
        <v>46204</v>
      </c>
      <c r="D612" s="9" t="n">
        <v>48</v>
      </c>
      <c r="E612" s="11" t="s">
        <v>153</v>
      </c>
      <c r="F612" s="9" t="n">
        <v>13</v>
      </c>
      <c r="G612" s="11" t="s">
        <v>135</v>
      </c>
      <c r="H612" s="9" t="n">
        <v>2110101</v>
      </c>
      <c r="I612" s="11" t="s">
        <v>43</v>
      </c>
      <c r="J612" s="9" t="n">
        <v>1334970</v>
      </c>
      <c r="L612" s="9" t="n">
        <v>2520</v>
      </c>
      <c r="M612" s="11" t="s">
        <v>52</v>
      </c>
      <c r="N612" s="11" t="s">
        <v>37</v>
      </c>
      <c r="P612" s="9" t="n">
        <v>113</v>
      </c>
      <c r="Q612" s="11" t="s">
        <v>46</v>
      </c>
      <c r="R612" s="11" t="s">
        <v>47</v>
      </c>
      <c r="S612" s="9" t="n">
        <v>1130101</v>
      </c>
      <c r="T612" s="11" t="s">
        <v>48</v>
      </c>
      <c r="U612" s="12" t="n">
        <v>210</v>
      </c>
      <c r="W612" s="12" t="n">
        <v>210</v>
      </c>
      <c r="X612" s="11" t="s">
        <v>699</v>
      </c>
      <c r="Z612" s="0" t="str">
        <f aca="false">IF($T612="","",IFERROR(INDEX('Resumo Grupos'!$AC$3:$AC$200,MATCH($T612,'Resumo Grupos'!$AB$3:$AB$200,0)),"n/d"))</f>
        <v>Mercadoria</v>
      </c>
      <c r="AA612" s="0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9" t="n">
        <v>2</v>
      </c>
      <c r="B613" s="10" t="n">
        <v>46190</v>
      </c>
      <c r="C613" s="10" t="n">
        <v>46204</v>
      </c>
      <c r="D613" s="9" t="n">
        <v>1107</v>
      </c>
      <c r="E613" s="11" t="s">
        <v>254</v>
      </c>
      <c r="F613" s="9" t="n">
        <v>24</v>
      </c>
      <c r="G613" s="11" t="s">
        <v>51</v>
      </c>
      <c r="H613" s="9" t="n">
        <v>2110101</v>
      </c>
      <c r="I613" s="11" t="s">
        <v>43</v>
      </c>
      <c r="J613" s="9" t="n">
        <v>1265709</v>
      </c>
      <c r="L613" s="9" t="n">
        <v>416678</v>
      </c>
      <c r="M613" s="11" t="s">
        <v>52</v>
      </c>
      <c r="N613" s="11" t="s">
        <v>37</v>
      </c>
      <c r="P613" s="9" t="n">
        <v>113</v>
      </c>
      <c r="Q613" s="11" t="s">
        <v>46</v>
      </c>
      <c r="R613" s="11" t="s">
        <v>47</v>
      </c>
      <c r="S613" s="9" t="n">
        <v>1130101</v>
      </c>
      <c r="T613" s="11" t="s">
        <v>48</v>
      </c>
      <c r="U613" s="12" t="n">
        <v>61.57</v>
      </c>
      <c r="W613" s="12" t="n">
        <v>0</v>
      </c>
      <c r="X613" s="11" t="s">
        <v>700</v>
      </c>
      <c r="Z613" s="0" t="str">
        <f aca="false">IF($T613="","",IFERROR(INDEX('Resumo Grupos'!$AC$3:$AC$200,MATCH($T613,'Resumo Grupos'!$AB$3:$AB$200,0)),"n/d"))</f>
        <v>Mercadoria</v>
      </c>
      <c r="AA613" s="0" t="str">
        <f aca="false">IF($T613="","",IF(COUNTIF('Resumo Grupos'!$AE$3:$AE$40,$T613)&gt;0,"NAO","SIM"))</f>
        <v>SIM</v>
      </c>
      <c r="AB613" s="0" t="str">
        <f aca="false">IFERROR(INDEX('Mov Entradas (Rel 10497)'!$L:$L,MATCH(AC613,'Mov Entradas (Rel 10497)'!$I:$I,0)),"nao encontrado")</f>
        <v>MENTOS TUTTI FRUTTI</v>
      </c>
      <c r="AC613" s="0" t="n">
        <v>416678</v>
      </c>
    </row>
    <row r="614" customFormat="false" ht="72.75" hidden="false" customHeight="true" outlineLevel="0" collapsed="false">
      <c r="A614" s="9" t="n">
        <v>2</v>
      </c>
      <c r="B614" s="10" t="n">
        <v>45992</v>
      </c>
      <c r="C614" s="10" t="n">
        <v>46204</v>
      </c>
      <c r="D614" s="9" t="n">
        <v>983</v>
      </c>
      <c r="E614" s="11" t="s">
        <v>97</v>
      </c>
      <c r="F614" s="9" t="n">
        <v>47</v>
      </c>
      <c r="G614" s="11" t="s">
        <v>34</v>
      </c>
      <c r="H614" s="9" t="n">
        <v>2110101</v>
      </c>
      <c r="I614" s="11" t="s">
        <v>43</v>
      </c>
      <c r="J614" s="9" t="n">
        <v>361903</v>
      </c>
      <c r="L614" s="9" t="n">
        <v>47174</v>
      </c>
      <c r="M614" s="11" t="s">
        <v>701</v>
      </c>
      <c r="N614" s="11" t="s">
        <v>45</v>
      </c>
      <c r="P614" s="9" t="n">
        <v>113</v>
      </c>
      <c r="Q614" s="11" t="s">
        <v>46</v>
      </c>
      <c r="R614" s="11" t="s">
        <v>98</v>
      </c>
      <c r="S614" s="9" t="n">
        <v>1240103</v>
      </c>
      <c r="T614" s="11" t="s">
        <v>99</v>
      </c>
      <c r="U614" s="12" t="n">
        <v>1898</v>
      </c>
      <c r="W614" s="12" t="n">
        <v>0</v>
      </c>
      <c r="X614" s="11" t="s">
        <v>702</v>
      </c>
      <c r="Z614" s="0" t="str">
        <f aca="false">IF($T614="","",IFERROR(INDEX('Resumo Grupos'!$AC$3:$AC$200,MATCH($T614,'Resumo Grupos'!$AB$3:$AB$200,0)),"n/d"))</f>
        <v>Despesa</v>
      </c>
      <c r="AA614" s="0" t="str">
        <f aca="false">IF($T614="","",IF(COUNTIF('Resumo Grupos'!$AE$3:$AE$40,$T614)&gt;0,"NAO","SIM"))</f>
        <v>SIM</v>
      </c>
      <c r="AB614" s="0" t="str">
        <f aca="false">IFERROR(INDEX('Mov Entradas (Rel 10497)'!$L:$L,MATCH(AC614,'Mov Entradas (Rel 10497)'!$I:$I,0)),"nao encontrado")</f>
        <v>nao encontrado</v>
      </c>
      <c r="AC614" s="0" t="n">
        <v>17382</v>
      </c>
    </row>
    <row r="615" customFormat="false" ht="54.75" hidden="false" customHeight="true" outlineLevel="0" collapsed="false">
      <c r="A615" s="9" t="n">
        <v>2</v>
      </c>
      <c r="B615" s="10" t="n">
        <v>46199</v>
      </c>
      <c r="C615" s="10" t="n">
        <v>46204</v>
      </c>
      <c r="D615" s="9" t="n">
        <v>1899</v>
      </c>
      <c r="E615" s="11" t="s">
        <v>204</v>
      </c>
      <c r="F615" s="9" t="n">
        <v>24</v>
      </c>
      <c r="G615" s="11" t="s">
        <v>51</v>
      </c>
      <c r="H615" s="9" t="n">
        <v>2110101</v>
      </c>
      <c r="I615" s="11" t="s">
        <v>43</v>
      </c>
      <c r="J615" s="9" t="n">
        <v>1310299</v>
      </c>
      <c r="L615" s="9" t="n">
        <v>685</v>
      </c>
      <c r="M615" s="11" t="s">
        <v>52</v>
      </c>
      <c r="N615" s="11" t="s">
        <v>37</v>
      </c>
      <c r="P615" s="9" t="n">
        <v>113</v>
      </c>
      <c r="Q615" s="11" t="s">
        <v>46</v>
      </c>
      <c r="R615" s="11" t="s">
        <v>47</v>
      </c>
      <c r="S615" s="9" t="n">
        <v>1130101</v>
      </c>
      <c r="T615" s="11" t="s">
        <v>48</v>
      </c>
      <c r="U615" s="12" t="n">
        <v>345.65</v>
      </c>
      <c r="W615" s="12" t="n">
        <v>0</v>
      </c>
      <c r="X615" s="11" t="s">
        <v>703</v>
      </c>
      <c r="Z615" s="0" t="str">
        <f aca="false">IF($T615="","",IFERROR(INDEX('Resumo Grupos'!$AC$3:$AC$200,MATCH($T615,'Resumo Grupos'!$AB$3:$AB$200,0)),"n/d"))</f>
        <v>Mercadoria</v>
      </c>
      <c r="AA615" s="0" t="str">
        <f aca="false">IF($T615="","",IF(COUNTIF('Resumo Grupos'!$AE$3:$AE$40,$T615)&gt;0,"NAO","SIM"))</f>
        <v>SIM</v>
      </c>
      <c r="AB615" s="0" t="str">
        <f aca="false">IFERROR(INDEX('Mov Entradas (Rel 10497)'!$L:$L,MATCH(AC615,'Mov Entradas (Rel 10497)'!$I:$I,0)),"nao encontrado")</f>
        <v>PAO DE FORMA REAL MA</v>
      </c>
      <c r="AC615" s="0" t="n">
        <v>685</v>
      </c>
    </row>
    <row r="616" customFormat="false" ht="36.75" hidden="false" customHeight="true" outlineLevel="0" collapsed="false">
      <c r="A616" s="9" t="n">
        <v>2</v>
      </c>
      <c r="B616" s="10" t="n">
        <v>46188</v>
      </c>
      <c r="C616" s="10" t="n">
        <v>46204</v>
      </c>
      <c r="D616" s="9" t="n">
        <v>954</v>
      </c>
      <c r="E616" s="11" t="s">
        <v>704</v>
      </c>
      <c r="F616" s="9" t="n">
        <v>47</v>
      </c>
      <c r="G616" s="11" t="s">
        <v>34</v>
      </c>
      <c r="H616" s="9" t="n">
        <v>2110405</v>
      </c>
      <c r="I616" s="11" t="s">
        <v>56</v>
      </c>
      <c r="J616" s="9" t="n">
        <v>1273154</v>
      </c>
      <c r="L616" s="9" t="n">
        <v>168793</v>
      </c>
      <c r="M616" s="11" t="s">
        <v>52</v>
      </c>
      <c r="N616" s="11" t="s">
        <v>45</v>
      </c>
      <c r="P616" s="9" t="n">
        <v>101</v>
      </c>
      <c r="Q616" s="11" t="s">
        <v>57</v>
      </c>
      <c r="R616" s="11" t="s">
        <v>39</v>
      </c>
      <c r="S616" s="9" t="n">
        <v>4210209</v>
      </c>
      <c r="T616" s="11" t="s">
        <v>682</v>
      </c>
      <c r="U616" s="12" t="n">
        <v>527.8</v>
      </c>
      <c r="W616" s="12" t="n">
        <v>0</v>
      </c>
      <c r="X616" s="11" t="s">
        <v>705</v>
      </c>
      <c r="Z616" s="0" t="str">
        <f aca="false">IF($T616="","",IFERROR(INDEX('Resumo Grupos'!$AC$3:$AC$200,MATCH($T616,'Resumo Grupos'!$AB$3:$AB$200,0)),"n/d"))</f>
        <v>Despesa</v>
      </c>
      <c r="AA616" s="0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9" t="n">
        <v>2</v>
      </c>
      <c r="B617" s="10" t="n">
        <v>46204</v>
      </c>
      <c r="C617" s="10" t="n">
        <v>46204</v>
      </c>
      <c r="D617" s="9" t="n">
        <v>21</v>
      </c>
      <c r="E617" s="11" t="s">
        <v>107</v>
      </c>
      <c r="F617" s="9" t="n">
        <v>34</v>
      </c>
      <c r="G617" s="11" t="s">
        <v>55</v>
      </c>
      <c r="H617" s="9" t="n">
        <v>2110405</v>
      </c>
      <c r="I617" s="11" t="s">
        <v>56</v>
      </c>
      <c r="J617" s="9" t="n">
        <v>1340186</v>
      </c>
      <c r="L617" s="9" t="n">
        <v>179827</v>
      </c>
      <c r="M617" s="11" t="s">
        <v>52</v>
      </c>
      <c r="N617" s="11" t="s">
        <v>45</v>
      </c>
      <c r="P617" s="9" t="n">
        <v>113</v>
      </c>
      <c r="Q617" s="11" t="s">
        <v>46</v>
      </c>
      <c r="R617" s="11" t="s">
        <v>71</v>
      </c>
      <c r="S617" s="9" t="n">
        <v>4210309</v>
      </c>
      <c r="T617" s="11" t="s">
        <v>72</v>
      </c>
      <c r="U617" s="12" t="n">
        <v>270</v>
      </c>
      <c r="W617" s="12" t="n">
        <v>0</v>
      </c>
      <c r="X617" s="11" t="s">
        <v>686</v>
      </c>
      <c r="Z617" s="0" t="str">
        <f aca="false">IF($T617="","",IFERROR(INDEX('Resumo Grupos'!$AC$3:$AC$200,MATCH($T617,'Resumo Grupos'!$AB$3:$AB$200,0)),"n/d"))</f>
        <v>Salários</v>
      </c>
      <c r="AA617" s="0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9" t="n">
        <v>2</v>
      </c>
      <c r="B618" s="10" t="n">
        <v>46204</v>
      </c>
      <c r="C618" s="10" t="n">
        <v>46204</v>
      </c>
      <c r="D618" s="9" t="n">
        <v>0</v>
      </c>
      <c r="E618" s="11" t="s">
        <v>109</v>
      </c>
      <c r="F618" s="9" t="n">
        <v>17</v>
      </c>
      <c r="G618" s="11" t="s">
        <v>110</v>
      </c>
      <c r="H618" s="9" t="n">
        <v>1110101</v>
      </c>
      <c r="I618" s="11" t="s">
        <v>111</v>
      </c>
      <c r="J618" s="9" t="n">
        <v>1375162</v>
      </c>
      <c r="L618" s="9" t="n">
        <v>1375162</v>
      </c>
      <c r="M618" s="11" t="s">
        <v>52</v>
      </c>
      <c r="N618" s="11" t="s">
        <v>112</v>
      </c>
      <c r="P618" s="9" t="n">
        <v>113</v>
      </c>
      <c r="Q618" s="11" t="s">
        <v>46</v>
      </c>
      <c r="R618" s="11" t="s">
        <v>259</v>
      </c>
      <c r="S618" s="9" t="n">
        <v>2110101</v>
      </c>
      <c r="T618" s="11" t="s">
        <v>43</v>
      </c>
      <c r="U618" s="12" t="n">
        <v>210</v>
      </c>
      <c r="W618" s="12" t="n">
        <v>210</v>
      </c>
      <c r="X618" s="11" t="s">
        <v>706</v>
      </c>
      <c r="Z618" s="0" t="str">
        <f aca="false">IF($T618="","",IFERROR(INDEX('Resumo Grupos'!$AC$3:$AC$200,MATCH($T618,'Resumo Grupos'!$AB$3:$AB$200,0)),"n/d"))</f>
        <v>Despesa</v>
      </c>
      <c r="AA618" s="0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9" t="n">
        <v>2</v>
      </c>
      <c r="B619" s="10" t="n">
        <v>46204</v>
      </c>
      <c r="C619" s="10" t="n">
        <v>46204</v>
      </c>
      <c r="D619" s="9" t="n">
        <v>0</v>
      </c>
      <c r="E619" s="11" t="s">
        <v>109</v>
      </c>
      <c r="F619" s="9" t="n">
        <v>17</v>
      </c>
      <c r="G619" s="11" t="s">
        <v>110</v>
      </c>
      <c r="H619" s="9" t="n">
        <v>1110101</v>
      </c>
      <c r="I619" s="11" t="s">
        <v>111</v>
      </c>
      <c r="J619" s="9" t="n">
        <v>1375167</v>
      </c>
      <c r="L619" s="9" t="n">
        <v>1375167</v>
      </c>
      <c r="M619" s="11" t="s">
        <v>52</v>
      </c>
      <c r="N619" s="11" t="s">
        <v>112</v>
      </c>
      <c r="P619" s="9" t="n">
        <v>113</v>
      </c>
      <c r="Q619" s="11" t="s">
        <v>46</v>
      </c>
      <c r="R619" s="11" t="s">
        <v>47</v>
      </c>
      <c r="S619" s="9" t="n">
        <v>1130101</v>
      </c>
      <c r="T619" s="11" t="s">
        <v>48</v>
      </c>
      <c r="U619" s="12" t="n">
        <v>60</v>
      </c>
      <c r="W619" s="12" t="n">
        <v>60</v>
      </c>
      <c r="X619" s="11" t="s">
        <v>707</v>
      </c>
      <c r="Z619" s="0" t="str">
        <f aca="false">IF($T619="","",IFERROR(INDEX('Resumo Grupos'!$AC$3:$AC$200,MATCH($T619,'Resumo Grupos'!$AB$3:$AB$200,0)),"n/d"))</f>
        <v>Mercadoria</v>
      </c>
      <c r="AA619" s="0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9" t="n">
        <v>2</v>
      </c>
      <c r="B620" s="10" t="n">
        <v>46204</v>
      </c>
      <c r="C620" s="10" t="n">
        <v>46204</v>
      </c>
      <c r="D620" s="9" t="n">
        <v>0</v>
      </c>
      <c r="E620" s="11" t="s">
        <v>109</v>
      </c>
      <c r="F620" s="9" t="n">
        <v>17</v>
      </c>
      <c r="G620" s="11" t="s">
        <v>110</v>
      </c>
      <c r="H620" s="9" t="n">
        <v>1110101</v>
      </c>
      <c r="I620" s="11" t="s">
        <v>111</v>
      </c>
      <c r="J620" s="9" t="n">
        <v>1375168</v>
      </c>
      <c r="L620" s="9" t="n">
        <v>1375168</v>
      </c>
      <c r="M620" s="11" t="s">
        <v>52</v>
      </c>
      <c r="N620" s="11" t="s">
        <v>112</v>
      </c>
      <c r="P620" s="9" t="n">
        <v>113</v>
      </c>
      <c r="Q620" s="11" t="s">
        <v>46</v>
      </c>
      <c r="R620" s="11" t="s">
        <v>71</v>
      </c>
      <c r="S620" s="9" t="n">
        <v>4210314</v>
      </c>
      <c r="T620" s="11" t="s">
        <v>113</v>
      </c>
      <c r="U620" s="12" t="n">
        <v>70</v>
      </c>
      <c r="W620" s="12" t="n">
        <v>70</v>
      </c>
      <c r="X620" s="11" t="s">
        <v>187</v>
      </c>
      <c r="Z620" s="0" t="str">
        <f aca="false">IF($T620="","",IFERROR(INDEX('Resumo Grupos'!$AC$3:$AC$200,MATCH($T620,'Resumo Grupos'!$AB$3:$AB$200,0)),"n/d"))</f>
        <v>Despesa</v>
      </c>
      <c r="AA620" s="0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9" t="n">
        <v>2</v>
      </c>
      <c r="B621" s="10" t="n">
        <v>46204</v>
      </c>
      <c r="C621" s="10" t="n">
        <v>46204</v>
      </c>
      <c r="D621" s="9" t="n">
        <v>0</v>
      </c>
      <c r="E621" s="11" t="s">
        <v>109</v>
      </c>
      <c r="F621" s="9" t="n">
        <v>17</v>
      </c>
      <c r="G621" s="11" t="s">
        <v>110</v>
      </c>
      <c r="H621" s="9" t="n">
        <v>1110101</v>
      </c>
      <c r="I621" s="11" t="s">
        <v>111</v>
      </c>
      <c r="J621" s="9" t="n">
        <v>1469057</v>
      </c>
      <c r="L621" s="9" t="n">
        <v>1469057</v>
      </c>
      <c r="M621" s="11" t="s">
        <v>52</v>
      </c>
      <c r="N621" s="11" t="s">
        <v>112</v>
      </c>
      <c r="P621" s="9" t="n">
        <v>113</v>
      </c>
      <c r="Q621" s="11" t="s">
        <v>46</v>
      </c>
      <c r="R621" s="11" t="s">
        <v>116</v>
      </c>
      <c r="S621" s="9" t="n">
        <v>1110203</v>
      </c>
      <c r="T621" s="11" t="s">
        <v>117</v>
      </c>
      <c r="U621" s="12" t="n">
        <v>3050</v>
      </c>
      <c r="W621" s="12" t="n">
        <v>3050</v>
      </c>
      <c r="X621" s="11" t="s">
        <v>708</v>
      </c>
      <c r="Z621" s="0" t="str">
        <f aca="false">IF($T621="","",IFERROR(INDEX('Resumo Grupos'!$AC$3:$AC$200,MATCH($T621,'Resumo Grupos'!$AB$3:$AB$200,0)),"n/d"))</f>
        <v>Despesa</v>
      </c>
      <c r="AA621" s="0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9" t="n">
        <v>2</v>
      </c>
      <c r="B622" s="10" t="n">
        <v>46196</v>
      </c>
      <c r="C622" s="10" t="n">
        <v>46204</v>
      </c>
      <c r="D622" s="9" t="n">
        <v>974</v>
      </c>
      <c r="E622" s="11" t="s">
        <v>709</v>
      </c>
      <c r="F622" s="9" t="n">
        <v>47</v>
      </c>
      <c r="G622" s="11" t="s">
        <v>34</v>
      </c>
      <c r="H622" s="9" t="n">
        <v>2110101</v>
      </c>
      <c r="I622" s="11" t="s">
        <v>43</v>
      </c>
      <c r="J622" s="9" t="n">
        <v>1295068</v>
      </c>
      <c r="L622" s="9" t="n">
        <v>173326</v>
      </c>
      <c r="M622" s="11" t="s">
        <v>52</v>
      </c>
      <c r="N622" s="11" t="s">
        <v>45</v>
      </c>
      <c r="P622" s="9" t="n">
        <v>113</v>
      </c>
      <c r="Q622" s="11" t="s">
        <v>46</v>
      </c>
      <c r="R622" s="11" t="s">
        <v>47</v>
      </c>
      <c r="S622" s="9" t="n">
        <v>1130101</v>
      </c>
      <c r="T622" s="11" t="s">
        <v>48</v>
      </c>
      <c r="U622" s="12" t="n">
        <v>1377</v>
      </c>
      <c r="W622" s="12" t="n">
        <v>0</v>
      </c>
      <c r="X622" s="11" t="s">
        <v>710</v>
      </c>
      <c r="Z622" s="0" t="str">
        <f aca="false">IF($T622="","",IFERROR(INDEX('Resumo Grupos'!$AC$3:$AC$200,MATCH($T622,'Resumo Grupos'!$AB$3:$AB$200,0)),"n/d"))</f>
        <v>Mercadoria</v>
      </c>
      <c r="AA622" s="0" t="str">
        <f aca="false">IF($T622="","",IF(COUNTIF('Resumo Grupos'!$AE$3:$AE$40,$T622)&gt;0,"NAO","SIM"))</f>
        <v>SIM</v>
      </c>
      <c r="AB622" s="0" t="str">
        <f aca="false">IFERROR(INDEX('Mov Entradas (Rel 10497)'!$L:$L,MATCH(AC622,'Mov Entradas (Rel 10497)'!$I:$I,0)),"nao encontrado")</f>
        <v>CHAVEIRO 8-5</v>
      </c>
      <c r="AC622" s="0" t="n">
        <v>420</v>
      </c>
    </row>
    <row r="623" customFormat="false" ht="45.75" hidden="false" customHeight="true" outlineLevel="0" collapsed="false">
      <c r="A623" s="9" t="n">
        <v>2</v>
      </c>
      <c r="B623" s="10" t="n">
        <v>46204</v>
      </c>
      <c r="C623" s="10" t="n">
        <v>46204</v>
      </c>
      <c r="D623" s="9" t="n">
        <v>18</v>
      </c>
      <c r="E623" s="11" t="s">
        <v>121</v>
      </c>
      <c r="F623" s="9" t="n">
        <v>34</v>
      </c>
      <c r="G623" s="11" t="s">
        <v>55</v>
      </c>
      <c r="H623" s="9" t="n">
        <v>2110405</v>
      </c>
      <c r="I623" s="11" t="s">
        <v>56</v>
      </c>
      <c r="J623" s="9" t="n">
        <v>1340190</v>
      </c>
      <c r="L623" s="9" t="n">
        <v>179828</v>
      </c>
      <c r="M623" s="11" t="s">
        <v>52</v>
      </c>
      <c r="N623" s="11" t="s">
        <v>45</v>
      </c>
      <c r="P623" s="9" t="n">
        <v>113</v>
      </c>
      <c r="Q623" s="11" t="s">
        <v>46</v>
      </c>
      <c r="R623" s="11" t="s">
        <v>71</v>
      </c>
      <c r="S623" s="9" t="n">
        <v>4210309</v>
      </c>
      <c r="T623" s="11" t="s">
        <v>72</v>
      </c>
      <c r="U623" s="12" t="n">
        <v>270</v>
      </c>
      <c r="W623" s="12" t="n">
        <v>0</v>
      </c>
      <c r="X623" s="11" t="s">
        <v>686</v>
      </c>
      <c r="Z623" s="0" t="str">
        <f aca="false">IF($T623="","",IFERROR(INDEX('Resumo Grupos'!$AC$3:$AC$200,MATCH($T623,'Resumo Grupos'!$AB$3:$AB$200,0)),"n/d"))</f>
        <v>Salários</v>
      </c>
      <c r="AA623" s="0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9" t="n">
        <v>2</v>
      </c>
      <c r="B624" s="10" t="n">
        <v>46190</v>
      </c>
      <c r="C624" s="10" t="n">
        <v>46204</v>
      </c>
      <c r="D624" s="9" t="n">
        <v>1745</v>
      </c>
      <c r="E624" s="11" t="s">
        <v>189</v>
      </c>
      <c r="F624" s="9" t="n">
        <v>24</v>
      </c>
      <c r="G624" s="11" t="s">
        <v>51</v>
      </c>
      <c r="H624" s="9" t="n">
        <v>2110101</v>
      </c>
      <c r="I624" s="11" t="s">
        <v>43</v>
      </c>
      <c r="J624" s="9" t="n">
        <v>1266289</v>
      </c>
      <c r="L624" s="9" t="n">
        <v>346452</v>
      </c>
      <c r="M624" s="11" t="s">
        <v>44</v>
      </c>
      <c r="N624" s="11" t="s">
        <v>37</v>
      </c>
      <c r="P624" s="9" t="n">
        <v>113</v>
      </c>
      <c r="Q624" s="11" t="s">
        <v>46</v>
      </c>
      <c r="R624" s="11" t="s">
        <v>47</v>
      </c>
      <c r="S624" s="9" t="n">
        <v>1130101</v>
      </c>
      <c r="T624" s="11" t="s">
        <v>48</v>
      </c>
      <c r="U624" s="12" t="n">
        <v>877.26</v>
      </c>
      <c r="W624" s="12" t="n">
        <v>0</v>
      </c>
      <c r="X624" s="11" t="s">
        <v>568</v>
      </c>
      <c r="Z624" s="0" t="str">
        <f aca="false">IF($T624="","",IFERROR(INDEX('Resumo Grupos'!$AC$3:$AC$200,MATCH($T624,'Resumo Grupos'!$AB$3:$AB$200,0)),"n/d"))</f>
        <v>Mercadoria</v>
      </c>
      <c r="AA624" s="0" t="str">
        <f aca="false">IF($T624="","",IF(COUNTIF('Resumo Grupos'!$AE$3:$AE$40,$T624)&gt;0,"NAO","SIM"))</f>
        <v>SIM</v>
      </c>
      <c r="AB624" s="0" t="str">
        <f aca="false">IFERROR(INDEX('Mov Entradas (Rel 10497)'!$L:$L,MATCH(AC624,'Mov Entradas (Rel 10497)'!$I:$I,0)),"nao encontrado")</f>
        <v>CAFE MANAUS 100G</v>
      </c>
      <c r="AC624" s="0" t="n">
        <v>346452</v>
      </c>
    </row>
    <row r="625" customFormat="false" ht="27.75" hidden="false" customHeight="true" outlineLevel="0" collapsed="false">
      <c r="A625" s="9" t="n">
        <v>2</v>
      </c>
      <c r="B625" s="10" t="n">
        <v>46196</v>
      </c>
      <c r="C625" s="10" t="n">
        <v>46204</v>
      </c>
      <c r="D625" s="9" t="n">
        <v>796</v>
      </c>
      <c r="E625" s="11" t="s">
        <v>711</v>
      </c>
      <c r="F625" s="9" t="n">
        <v>47</v>
      </c>
      <c r="G625" s="11" t="s">
        <v>34</v>
      </c>
      <c r="H625" s="9" t="n">
        <v>2110101</v>
      </c>
      <c r="I625" s="11" t="s">
        <v>43</v>
      </c>
      <c r="J625" s="9" t="n">
        <v>1295074</v>
      </c>
      <c r="L625" s="9" t="n">
        <v>173327</v>
      </c>
      <c r="M625" s="11" t="s">
        <v>52</v>
      </c>
      <c r="N625" s="11" t="s">
        <v>45</v>
      </c>
      <c r="P625" s="9" t="n">
        <v>113</v>
      </c>
      <c r="Q625" s="11" t="s">
        <v>46</v>
      </c>
      <c r="R625" s="11" t="s">
        <v>47</v>
      </c>
      <c r="S625" s="9" t="n">
        <v>1130101</v>
      </c>
      <c r="T625" s="11" t="s">
        <v>48</v>
      </c>
      <c r="U625" s="12" t="n">
        <v>683.06</v>
      </c>
      <c r="W625" s="12" t="n">
        <v>0</v>
      </c>
      <c r="X625" s="11" t="s">
        <v>712</v>
      </c>
      <c r="Z625" s="0" t="str">
        <f aca="false">IF($T625="","",IFERROR(INDEX('Resumo Grupos'!$AC$3:$AC$200,MATCH($T625,'Resumo Grupos'!$AB$3:$AB$200,0)),"n/d"))</f>
        <v>Mercadoria</v>
      </c>
      <c r="AA625" s="0" t="str">
        <f aca="false">IF($T625="","",IF(COUNTIF('Resumo Grupos'!$AE$3:$AE$40,$T625)&gt;0,"NAO","SIM"))</f>
        <v>SIM</v>
      </c>
      <c r="AB625" s="0" t="str">
        <f aca="false">IFERROR(INDEX('Mov Entradas (Rel 10497)'!$L:$L,MATCH(AC625,'Mov Entradas (Rel 10497)'!$I:$I,0)),"nao encontrado")</f>
        <v>ABRACADEIRA 3X150 AR</v>
      </c>
      <c r="AC625" s="0" t="n">
        <v>1006</v>
      </c>
    </row>
    <row r="626" customFormat="false" ht="27.75" hidden="false" customHeight="true" outlineLevel="0" collapsed="false">
      <c r="A626" s="9" t="n">
        <v>2</v>
      </c>
      <c r="B626" s="10" t="n">
        <v>46203</v>
      </c>
      <c r="C626" s="10" t="n">
        <v>46205</v>
      </c>
      <c r="D626" s="9" t="n">
        <v>642</v>
      </c>
      <c r="E626" s="11" t="s">
        <v>123</v>
      </c>
      <c r="F626" s="9" t="n">
        <v>24</v>
      </c>
      <c r="G626" s="11" t="s">
        <v>51</v>
      </c>
      <c r="H626" s="9" t="n">
        <v>2110101</v>
      </c>
      <c r="I626" s="11" t="s">
        <v>43</v>
      </c>
      <c r="J626" s="9" t="n">
        <v>1330382</v>
      </c>
      <c r="L626" s="9" t="n">
        <v>515</v>
      </c>
      <c r="M626" s="11" t="s">
        <v>52</v>
      </c>
      <c r="N626" s="11" t="s">
        <v>37</v>
      </c>
      <c r="P626" s="9" t="n">
        <v>113</v>
      </c>
      <c r="Q626" s="11" t="s">
        <v>46</v>
      </c>
      <c r="R626" s="11" t="s">
        <v>47</v>
      </c>
      <c r="S626" s="9" t="n">
        <v>1130101</v>
      </c>
      <c r="T626" s="11" t="s">
        <v>48</v>
      </c>
      <c r="U626" s="12" t="n">
        <v>180</v>
      </c>
      <c r="W626" s="12" t="n">
        <v>0</v>
      </c>
      <c r="X626" s="11" t="s">
        <v>713</v>
      </c>
      <c r="Z626" s="0" t="str">
        <f aca="false">IF($T626="","",IFERROR(INDEX('Resumo Grupos'!$AC$3:$AC$200,MATCH($T626,'Resumo Grupos'!$AB$3:$AB$200,0)),"n/d"))</f>
        <v>Mercadoria</v>
      </c>
      <c r="AA626" s="0" t="str">
        <f aca="false">IF($T626="","",IF(COUNTIF('Resumo Grupos'!$AE$3:$AE$40,$T626)&gt;0,"NAO","SIM"))</f>
        <v>SIM</v>
      </c>
      <c r="AB626" s="0" t="str">
        <f aca="false">IFERROR(INDEX('Mov Entradas (Rel 10497)'!$L:$L,MATCH(AC626,'Mov Entradas (Rel 10497)'!$I:$I,0)),"nao encontrado")</f>
        <v>BOLO BLOOM 600G</v>
      </c>
      <c r="AC626" s="0" t="n">
        <v>515</v>
      </c>
    </row>
    <row r="627" customFormat="false" ht="36.75" hidden="false" customHeight="true" outlineLevel="0" collapsed="false">
      <c r="A627" s="9" t="n">
        <v>2</v>
      </c>
      <c r="B627" s="10" t="n">
        <v>46191</v>
      </c>
      <c r="C627" s="10" t="n">
        <v>46205</v>
      </c>
      <c r="D627" s="9" t="n">
        <v>1705</v>
      </c>
      <c r="E627" s="11" t="s">
        <v>130</v>
      </c>
      <c r="F627" s="9" t="n">
        <v>24</v>
      </c>
      <c r="G627" s="11" t="s">
        <v>51</v>
      </c>
      <c r="H627" s="9" t="n">
        <v>2110101</v>
      </c>
      <c r="I627" s="11" t="s">
        <v>43</v>
      </c>
      <c r="J627" s="9" t="n">
        <v>1268754</v>
      </c>
      <c r="L627" s="9" t="n">
        <v>1887053</v>
      </c>
      <c r="M627" s="11" t="s">
        <v>52</v>
      </c>
      <c r="N627" s="11" t="s">
        <v>37</v>
      </c>
      <c r="P627" s="9" t="n">
        <v>113</v>
      </c>
      <c r="Q627" s="11" t="s">
        <v>46</v>
      </c>
      <c r="R627" s="11" t="s">
        <v>47</v>
      </c>
      <c r="S627" s="9" t="n">
        <v>1130101</v>
      </c>
      <c r="T627" s="11" t="s">
        <v>48</v>
      </c>
      <c r="U627" s="12" t="n">
        <v>1579.97</v>
      </c>
      <c r="W627" s="12" t="n">
        <v>0</v>
      </c>
      <c r="X627" s="11" t="s">
        <v>714</v>
      </c>
      <c r="Z627" s="0" t="str">
        <f aca="false">IF($T627="","",IFERROR(INDEX('Resumo Grupos'!$AC$3:$AC$200,MATCH($T627,'Resumo Grupos'!$AB$3:$AB$200,0)),"n/d"))</f>
        <v>Mercadoria</v>
      </c>
      <c r="AA627" s="0" t="str">
        <f aca="false">IF($T627="","",IF(COUNTIF('Resumo Grupos'!$AE$3:$AE$40,$T627)&gt;0,"NAO","SIM"))</f>
        <v>SIM</v>
      </c>
      <c r="AB627" s="0" t="str">
        <f aca="false">IFERROR(INDEX('Mov Entradas (Rel 10497)'!$L:$L,MATCH(AC627,'Mov Entradas (Rel 10497)'!$I:$I,0)),"nao encontrado")</f>
        <v>REFR FANTA UVA 2L</v>
      </c>
      <c r="AC627" s="0" t="n">
        <v>1887053</v>
      </c>
    </row>
    <row r="628" customFormat="false" ht="36.75" hidden="false" customHeight="true" outlineLevel="0" collapsed="false">
      <c r="A628" s="9" t="n">
        <v>2</v>
      </c>
      <c r="B628" s="10" t="n">
        <v>46191</v>
      </c>
      <c r="C628" s="10" t="n">
        <v>46205</v>
      </c>
      <c r="D628" s="9" t="n">
        <v>1705</v>
      </c>
      <c r="E628" s="11" t="s">
        <v>130</v>
      </c>
      <c r="F628" s="9" t="n">
        <v>24</v>
      </c>
      <c r="G628" s="11" t="s">
        <v>51</v>
      </c>
      <c r="H628" s="9" t="n">
        <v>2110101</v>
      </c>
      <c r="I628" s="11" t="s">
        <v>43</v>
      </c>
      <c r="J628" s="9" t="n">
        <v>1268786</v>
      </c>
      <c r="L628" s="9" t="n">
        <v>168789</v>
      </c>
      <c r="M628" s="11" t="s">
        <v>52</v>
      </c>
      <c r="N628" s="11" t="s">
        <v>45</v>
      </c>
      <c r="P628" s="9" t="n">
        <v>113</v>
      </c>
      <c r="Q628" s="11" t="s">
        <v>46</v>
      </c>
      <c r="R628" s="11" t="s">
        <v>47</v>
      </c>
      <c r="S628" s="9" t="n">
        <v>1130101</v>
      </c>
      <c r="T628" s="11" t="s">
        <v>48</v>
      </c>
      <c r="U628" s="12" t="n">
        <v>105.91</v>
      </c>
      <c r="W628" s="12" t="n">
        <v>0</v>
      </c>
      <c r="X628" s="11" t="s">
        <v>715</v>
      </c>
      <c r="Z628" s="0" t="str">
        <f aca="false">IF($T628="","",IFERROR(INDEX('Resumo Grupos'!$AC$3:$AC$200,MATCH($T628,'Resumo Grupos'!$AB$3:$AB$200,0)),"n/d"))</f>
        <v>Mercadoria</v>
      </c>
      <c r="AA628" s="0" t="str">
        <f aca="false">IF($T628="","",IF(COUNTIF('Resumo Grupos'!$AE$3:$AE$40,$T628)&gt;0,"NAO","SIM"))</f>
        <v>SIM</v>
      </c>
      <c r="AB628" s="0" t="str">
        <f aca="false">IFERROR(INDEX('Mov Entradas (Rel 10497)'!$L:$L,MATCH(AC628,'Mov Entradas (Rel 10497)'!$I:$I,0)),"nao encontrado")</f>
        <v>MONST ZERO SUGAR LT</v>
      </c>
      <c r="AC628" s="0" t="n">
        <v>1165748</v>
      </c>
    </row>
    <row r="629" customFormat="false" ht="45.75" hidden="false" customHeight="true" outlineLevel="0" collapsed="false">
      <c r="A629" s="9" t="n">
        <v>2</v>
      </c>
      <c r="B629" s="10" t="n">
        <v>46184</v>
      </c>
      <c r="C629" s="10" t="n">
        <v>46205</v>
      </c>
      <c r="D629" s="9" t="n">
        <v>1601</v>
      </c>
      <c r="E629" s="11" t="s">
        <v>193</v>
      </c>
      <c r="F629" s="9" t="n">
        <v>24</v>
      </c>
      <c r="G629" s="11" t="s">
        <v>51</v>
      </c>
      <c r="H629" s="9" t="n">
        <v>2110101</v>
      </c>
      <c r="I629" s="11" t="s">
        <v>43</v>
      </c>
      <c r="J629" s="9" t="n">
        <v>1236598</v>
      </c>
      <c r="L629" s="9" t="n">
        <v>843147</v>
      </c>
      <c r="M629" s="11" t="s">
        <v>44</v>
      </c>
      <c r="N629" s="11" t="s">
        <v>37</v>
      </c>
      <c r="P629" s="9" t="n">
        <v>113</v>
      </c>
      <c r="Q629" s="11" t="s">
        <v>46</v>
      </c>
      <c r="R629" s="11" t="s">
        <v>47</v>
      </c>
      <c r="S629" s="9" t="n">
        <v>1130101</v>
      </c>
      <c r="T629" s="11" t="s">
        <v>48</v>
      </c>
      <c r="U629" s="12" t="n">
        <v>844.74</v>
      </c>
      <c r="W629" s="12" t="n">
        <v>0</v>
      </c>
      <c r="X629" s="11" t="s">
        <v>572</v>
      </c>
      <c r="Z629" s="0" t="str">
        <f aca="false">IF($T629="","",IFERROR(INDEX('Resumo Grupos'!$AC$3:$AC$200,MATCH($T629,'Resumo Grupos'!$AB$3:$AB$200,0)),"n/d"))</f>
        <v>Mercadoria</v>
      </c>
      <c r="AA629" s="0" t="str">
        <f aca="false">IF($T629="","",IF(COUNTIF('Resumo Grupos'!$AE$3:$AE$40,$T629)&gt;0,"NAO","SIM"))</f>
        <v>SIM</v>
      </c>
      <c r="AB629" s="0" t="str">
        <f aca="false">IFERROR(INDEX('Mov Entradas (Rel 10497)'!$L:$L,MATCH(AC629,'Mov Entradas (Rel 10497)'!$I:$I,0)),"nao encontrado")</f>
        <v>HEINZ YELLOW MUSTARD</v>
      </c>
      <c r="AC629" s="0" t="n">
        <v>843147</v>
      </c>
    </row>
    <row r="630" customFormat="false" ht="45.75" hidden="false" customHeight="true" outlineLevel="0" collapsed="false">
      <c r="A630" s="9" t="n">
        <v>2</v>
      </c>
      <c r="B630" s="10" t="n">
        <v>46184</v>
      </c>
      <c r="C630" s="10" t="n">
        <v>46205</v>
      </c>
      <c r="D630" s="9" t="n">
        <v>1636</v>
      </c>
      <c r="E630" s="11" t="s">
        <v>61</v>
      </c>
      <c r="F630" s="9" t="n">
        <v>24</v>
      </c>
      <c r="G630" s="11" t="s">
        <v>51</v>
      </c>
      <c r="H630" s="9" t="n">
        <v>2110101</v>
      </c>
      <c r="I630" s="11" t="s">
        <v>43</v>
      </c>
      <c r="J630" s="9" t="n">
        <v>1236926</v>
      </c>
      <c r="L630" s="9" t="n">
        <v>164815</v>
      </c>
      <c r="M630" s="11" t="s">
        <v>52</v>
      </c>
      <c r="N630" s="11" t="s">
        <v>45</v>
      </c>
      <c r="P630" s="9" t="n">
        <v>113</v>
      </c>
      <c r="Q630" s="11" t="s">
        <v>46</v>
      </c>
      <c r="R630" s="11" t="s">
        <v>47</v>
      </c>
      <c r="S630" s="9" t="n">
        <v>1130101</v>
      </c>
      <c r="T630" s="11" t="s">
        <v>48</v>
      </c>
      <c r="U630" s="12" t="n">
        <v>1105.95</v>
      </c>
      <c r="W630" s="12" t="n">
        <v>0</v>
      </c>
      <c r="X630" s="11" t="s">
        <v>574</v>
      </c>
      <c r="Z630" s="0" t="str">
        <f aca="false">IF($T630="","",IFERROR(INDEX('Resumo Grupos'!$AC$3:$AC$200,MATCH($T630,'Resumo Grupos'!$AB$3:$AB$200,0)),"n/d"))</f>
        <v>Mercadoria</v>
      </c>
      <c r="AA630" s="0" t="str">
        <f aca="false">IF($T630="","",IF(COUNTIF('Resumo Grupos'!$AE$3:$AE$40,$T630)&gt;0,"NAO","SIM"))</f>
        <v>SIM</v>
      </c>
      <c r="AB630" s="0" t="str">
        <f aca="false">IFERROR(INDEX('Mov Entradas (Rel 10497)'!$L:$L,MATCH(AC630,'Mov Entradas (Rel 10497)'!$I:$I,0)),"nao encontrado")</f>
        <v>ADOC ADOCYL SACARINA 100ML</v>
      </c>
      <c r="AC630" s="0" t="n">
        <v>3201284</v>
      </c>
    </row>
    <row r="631" customFormat="false" ht="45.75" hidden="false" customHeight="true" outlineLevel="0" collapsed="false">
      <c r="A631" s="9" t="n">
        <v>2</v>
      </c>
      <c r="B631" s="10" t="n">
        <v>46185</v>
      </c>
      <c r="C631" s="10" t="n">
        <v>46205</v>
      </c>
      <c r="D631" s="9" t="n">
        <v>1616</v>
      </c>
      <c r="E631" s="11" t="s">
        <v>64</v>
      </c>
      <c r="F631" s="9" t="n">
        <v>24</v>
      </c>
      <c r="G631" s="11" t="s">
        <v>51</v>
      </c>
      <c r="H631" s="9" t="n">
        <v>2110101</v>
      </c>
      <c r="I631" s="11" t="s">
        <v>43</v>
      </c>
      <c r="J631" s="9" t="n">
        <v>1241897</v>
      </c>
      <c r="L631" s="9" t="n">
        <v>645628</v>
      </c>
      <c r="M631" s="11" t="s">
        <v>44</v>
      </c>
      <c r="N631" s="11" t="s">
        <v>37</v>
      </c>
      <c r="P631" s="9" t="n">
        <v>113</v>
      </c>
      <c r="Q631" s="11" t="s">
        <v>46</v>
      </c>
      <c r="R631" s="11" t="s">
        <v>47</v>
      </c>
      <c r="S631" s="9" t="n">
        <v>1130101</v>
      </c>
      <c r="T631" s="11" t="s">
        <v>48</v>
      </c>
      <c r="U631" s="12" t="n">
        <v>383.47</v>
      </c>
      <c r="W631" s="12" t="n">
        <v>0</v>
      </c>
      <c r="X631" s="11" t="s">
        <v>575</v>
      </c>
      <c r="Z631" s="0" t="str">
        <f aca="false">IF($T631="","",IFERROR(INDEX('Resumo Grupos'!$AC$3:$AC$200,MATCH($T631,'Resumo Grupos'!$AB$3:$AB$200,0)),"n/d"))</f>
        <v>Mercadoria</v>
      </c>
      <c r="AA631" s="0" t="str">
        <f aca="false">IF($T631="","",IF(COUNTIF('Resumo Grupos'!$AE$3:$AE$40,$T631)&gt;0,"NAO","SIM"))</f>
        <v>SIM</v>
      </c>
      <c r="AB631" s="0" t="str">
        <f aca="false">IFERROR(INDEX('Mov Entradas (Rel 10497)'!$L:$L,MATCH(AC631,'Mov Entradas (Rel 10497)'!$I:$I,0)),"nao encontrado")</f>
        <v>ESPONJA BRILHUS 1UNI</v>
      </c>
      <c r="AC631" s="0" t="n">
        <v>645628</v>
      </c>
    </row>
    <row r="632" customFormat="false" ht="45.75" hidden="false" customHeight="true" outlineLevel="0" collapsed="false">
      <c r="A632" s="9" t="n">
        <v>2</v>
      </c>
      <c r="B632" s="10" t="n">
        <v>46191</v>
      </c>
      <c r="C632" s="10" t="n">
        <v>46205</v>
      </c>
      <c r="D632" s="9" t="n">
        <v>1634</v>
      </c>
      <c r="E632" s="11" t="s">
        <v>285</v>
      </c>
      <c r="F632" s="9" t="n">
        <v>24</v>
      </c>
      <c r="G632" s="11" t="s">
        <v>51</v>
      </c>
      <c r="H632" s="9" t="n">
        <v>2110101</v>
      </c>
      <c r="I632" s="11" t="s">
        <v>43</v>
      </c>
      <c r="J632" s="9" t="n">
        <v>1268848</v>
      </c>
      <c r="L632" s="9" t="n">
        <v>326863</v>
      </c>
      <c r="M632" s="11" t="s">
        <v>52</v>
      </c>
      <c r="N632" s="11" t="s">
        <v>37</v>
      </c>
      <c r="P632" s="9" t="n">
        <v>113</v>
      </c>
      <c r="Q632" s="11" t="s">
        <v>46</v>
      </c>
      <c r="R632" s="11" t="s">
        <v>47</v>
      </c>
      <c r="S632" s="9" t="n">
        <v>1130101</v>
      </c>
      <c r="T632" s="11" t="s">
        <v>48</v>
      </c>
      <c r="U632" s="12" t="n">
        <v>496.2</v>
      </c>
      <c r="W632" s="12" t="n">
        <v>0</v>
      </c>
      <c r="X632" s="11" t="s">
        <v>716</v>
      </c>
      <c r="Z632" s="0" t="str">
        <f aca="false">IF($T632="","",IFERROR(INDEX('Resumo Grupos'!$AC$3:$AC$200,MATCH($T632,'Resumo Grupos'!$AB$3:$AB$200,0)),"n/d"))</f>
        <v>Mercadoria</v>
      </c>
      <c r="AA632" s="0" t="str">
        <f aca="false">IF($T632="","",IF(COUNTIF('Resumo Grupos'!$AE$3:$AE$40,$T632)&gt;0,"NAO","SIM"))</f>
        <v>SIM</v>
      </c>
      <c r="AB632" s="0" t="str">
        <f aca="false">IFERROR(INDEX('Mov Entradas (Rel 10497)'!$L:$L,MATCH(AC632,'Mov Entradas (Rel 10497)'!$I:$I,0)),"nao encontrado")</f>
        <v>ALMONDEGAS ANGLO 420</v>
      </c>
      <c r="AC632" s="0" t="n">
        <v>326863</v>
      </c>
    </row>
    <row r="633" customFormat="false" ht="54.75" hidden="false" customHeight="true" outlineLevel="0" collapsed="false">
      <c r="A633" s="9" t="n">
        <v>2</v>
      </c>
      <c r="B633" s="10" t="n">
        <v>46205</v>
      </c>
      <c r="C633" s="10" t="n">
        <v>46205</v>
      </c>
      <c r="D633" s="9" t="n">
        <v>10096</v>
      </c>
      <c r="E633" s="11" t="s">
        <v>622</v>
      </c>
      <c r="F633" s="9" t="n">
        <v>13</v>
      </c>
      <c r="G633" s="11" t="s">
        <v>135</v>
      </c>
      <c r="H633" s="9" t="n">
        <v>2110405</v>
      </c>
      <c r="I633" s="11" t="s">
        <v>56</v>
      </c>
      <c r="J633" s="9" t="n">
        <v>1439468</v>
      </c>
      <c r="L633" s="9" t="n">
        <v>194564</v>
      </c>
      <c r="M633" s="11" t="s">
        <v>52</v>
      </c>
      <c r="N633" s="11" t="s">
        <v>45</v>
      </c>
      <c r="P633" s="9" t="n">
        <v>113</v>
      </c>
      <c r="Q633" s="11" t="s">
        <v>46</v>
      </c>
      <c r="R633" s="11" t="s">
        <v>47</v>
      </c>
      <c r="S633" s="9" t="n">
        <v>1130101</v>
      </c>
      <c r="T633" s="11" t="s">
        <v>48</v>
      </c>
      <c r="U633" s="12" t="n">
        <v>140</v>
      </c>
      <c r="W633" s="12" t="n">
        <v>0</v>
      </c>
      <c r="X633" s="11" t="s">
        <v>717</v>
      </c>
      <c r="Z633" s="0" t="str">
        <f aca="false">IF($T633="","",IFERROR(INDEX('Resumo Grupos'!$AC$3:$AC$200,MATCH($T633,'Resumo Grupos'!$AB$3:$AB$200,0)),"n/d"))</f>
        <v>Mercadoria</v>
      </c>
      <c r="AA633" s="0" t="str">
        <f aca="false">IF($T633="","",IF(COUNTIF('Resumo Grupos'!$AE$3:$AE$40,$T633)&gt;0,"NAO","SIM"))</f>
        <v>SIM</v>
      </c>
      <c r="AB633" s="0" t="str">
        <f aca="false">IFERROR(INDEX('Mov Entradas (Rel 10497)'!$L:$L,MATCH(AC633,'Mov Entradas (Rel 10497)'!$I:$I,0)),"nao encontrado")</f>
        <v>BOLO MIYAZAKI GRANDE</v>
      </c>
      <c r="AC633" s="0" t="n">
        <v>64</v>
      </c>
    </row>
    <row r="634" customFormat="false" ht="54.75" hidden="false" customHeight="true" outlineLevel="0" collapsed="false">
      <c r="A634" s="9" t="n">
        <v>2</v>
      </c>
      <c r="B634" s="10" t="n">
        <v>46205</v>
      </c>
      <c r="C634" s="10" t="n">
        <v>46205</v>
      </c>
      <c r="D634" s="9" t="n">
        <v>515</v>
      </c>
      <c r="E634" s="11" t="s">
        <v>137</v>
      </c>
      <c r="F634" s="9" t="n">
        <v>34</v>
      </c>
      <c r="G634" s="11" t="s">
        <v>55</v>
      </c>
      <c r="H634" s="9" t="n">
        <v>2110405</v>
      </c>
      <c r="I634" s="11" t="s">
        <v>56</v>
      </c>
      <c r="J634" s="9" t="n">
        <v>1345207</v>
      </c>
      <c r="L634" s="9" t="n">
        <v>180658</v>
      </c>
      <c r="M634" s="11" t="s">
        <v>52</v>
      </c>
      <c r="N634" s="11" t="s">
        <v>45</v>
      </c>
      <c r="P634" s="9" t="n">
        <v>102</v>
      </c>
      <c r="Q634" s="11" t="s">
        <v>308</v>
      </c>
      <c r="R634" s="11" t="s">
        <v>138</v>
      </c>
      <c r="S634" s="9" t="n">
        <v>4210504</v>
      </c>
      <c r="T634" s="11" t="s">
        <v>143</v>
      </c>
      <c r="U634" s="12" t="n">
        <v>0.85</v>
      </c>
      <c r="W634" s="12" t="n">
        <v>0</v>
      </c>
      <c r="X634" s="11" t="s">
        <v>718</v>
      </c>
      <c r="Z634" s="0" t="str">
        <f aca="false">IF($T634="","",IFERROR(INDEX('Resumo Grupos'!$AC$3:$AC$200,MATCH($T634,'Resumo Grupos'!$AB$3:$AB$200,0)),"n/d"))</f>
        <v>Despesa</v>
      </c>
      <c r="AA634" s="0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9" t="n">
        <v>2</v>
      </c>
      <c r="B635" s="10" t="n">
        <v>46205</v>
      </c>
      <c r="C635" s="10" t="n">
        <v>46205</v>
      </c>
      <c r="D635" s="9" t="n">
        <v>515</v>
      </c>
      <c r="E635" s="11" t="s">
        <v>137</v>
      </c>
      <c r="F635" s="9" t="n">
        <v>34</v>
      </c>
      <c r="G635" s="11" t="s">
        <v>55</v>
      </c>
      <c r="H635" s="9" t="n">
        <v>2110405</v>
      </c>
      <c r="I635" s="11" t="s">
        <v>56</v>
      </c>
      <c r="J635" s="9" t="n">
        <v>1345224</v>
      </c>
      <c r="L635" s="9" t="n">
        <v>180661</v>
      </c>
      <c r="M635" s="11" t="s">
        <v>52</v>
      </c>
      <c r="N635" s="11" t="s">
        <v>45</v>
      </c>
      <c r="P635" s="9" t="n">
        <v>102</v>
      </c>
      <c r="Q635" s="11" t="s">
        <v>308</v>
      </c>
      <c r="R635" s="11" t="s">
        <v>138</v>
      </c>
      <c r="S635" s="9" t="n">
        <v>4210505</v>
      </c>
      <c r="T635" s="11" t="s">
        <v>139</v>
      </c>
      <c r="U635" s="12" t="n">
        <v>135.43</v>
      </c>
      <c r="W635" s="12" t="n">
        <v>0</v>
      </c>
      <c r="X635" s="11" t="s">
        <v>719</v>
      </c>
      <c r="Z635" s="0" t="str">
        <f aca="false">IF($T635="","",IFERROR(INDEX('Resumo Grupos'!$AC$3:$AC$200,MATCH($T635,'Resumo Grupos'!$AB$3:$AB$200,0)),"n/d"))</f>
        <v>Despesa</v>
      </c>
      <c r="AA635" s="0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9" t="n">
        <v>2</v>
      </c>
      <c r="B636" s="10" t="n">
        <v>46205</v>
      </c>
      <c r="C636" s="10" t="n">
        <v>46205</v>
      </c>
      <c r="D636" s="9" t="n">
        <v>515</v>
      </c>
      <c r="E636" s="11" t="s">
        <v>137</v>
      </c>
      <c r="F636" s="9" t="n">
        <v>34</v>
      </c>
      <c r="G636" s="11" t="s">
        <v>55</v>
      </c>
      <c r="H636" s="9" t="n">
        <v>2110405</v>
      </c>
      <c r="I636" s="11" t="s">
        <v>56</v>
      </c>
      <c r="J636" s="9" t="n">
        <v>1345255</v>
      </c>
      <c r="L636" s="9" t="n">
        <v>180668</v>
      </c>
      <c r="M636" s="11" t="s">
        <v>52</v>
      </c>
      <c r="N636" s="11" t="s">
        <v>45</v>
      </c>
      <c r="P636" s="9" t="n">
        <v>102</v>
      </c>
      <c r="Q636" s="11" t="s">
        <v>308</v>
      </c>
      <c r="R636" s="11" t="s">
        <v>138</v>
      </c>
      <c r="S636" s="9" t="n">
        <v>4210505</v>
      </c>
      <c r="T636" s="11" t="s">
        <v>139</v>
      </c>
      <c r="U636" s="12" t="n">
        <v>103.81</v>
      </c>
      <c r="W636" s="12" t="n">
        <v>0</v>
      </c>
      <c r="X636" s="11" t="s">
        <v>720</v>
      </c>
      <c r="Z636" s="0" t="str">
        <f aca="false">IF($T636="","",IFERROR(INDEX('Resumo Grupos'!$AC$3:$AC$200,MATCH($T636,'Resumo Grupos'!$AB$3:$AB$200,0)),"n/d"))</f>
        <v>Despesa</v>
      </c>
      <c r="AA636" s="0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9" t="n">
        <v>2</v>
      </c>
      <c r="B637" s="10" t="n">
        <v>46205</v>
      </c>
      <c r="C637" s="10" t="n">
        <v>46205</v>
      </c>
      <c r="D637" s="9" t="n">
        <v>515</v>
      </c>
      <c r="E637" s="11" t="s">
        <v>137</v>
      </c>
      <c r="F637" s="9" t="n">
        <v>34</v>
      </c>
      <c r="G637" s="11" t="s">
        <v>55</v>
      </c>
      <c r="H637" s="9" t="n">
        <v>2110405</v>
      </c>
      <c r="I637" s="11" t="s">
        <v>56</v>
      </c>
      <c r="J637" s="9" t="n">
        <v>1345267</v>
      </c>
      <c r="L637" s="9" t="n">
        <v>180674</v>
      </c>
      <c r="M637" s="11" t="s">
        <v>52</v>
      </c>
      <c r="N637" s="11" t="s">
        <v>45</v>
      </c>
      <c r="P637" s="9" t="n">
        <v>102</v>
      </c>
      <c r="Q637" s="11" t="s">
        <v>308</v>
      </c>
      <c r="R637" s="11" t="s">
        <v>138</v>
      </c>
      <c r="S637" s="9" t="n">
        <v>4210504</v>
      </c>
      <c r="T637" s="11" t="s">
        <v>143</v>
      </c>
      <c r="U637" s="12" t="n">
        <v>156.86</v>
      </c>
      <c r="W637" s="12" t="n">
        <v>0</v>
      </c>
      <c r="X637" s="11" t="s">
        <v>721</v>
      </c>
      <c r="Z637" s="0" t="str">
        <f aca="false">IF($T637="","",IFERROR(INDEX('Resumo Grupos'!$AC$3:$AC$200,MATCH($T637,'Resumo Grupos'!$AB$3:$AB$200,0)),"n/d"))</f>
        <v>Despesa</v>
      </c>
      <c r="AA637" s="0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9" t="n">
        <v>2</v>
      </c>
      <c r="B638" s="10" t="n">
        <v>46205</v>
      </c>
      <c r="C638" s="10" t="n">
        <v>46205</v>
      </c>
      <c r="D638" s="9" t="n">
        <v>515</v>
      </c>
      <c r="E638" s="11" t="s">
        <v>137</v>
      </c>
      <c r="F638" s="9" t="n">
        <v>34</v>
      </c>
      <c r="G638" s="11" t="s">
        <v>55</v>
      </c>
      <c r="H638" s="9" t="n">
        <v>2110405</v>
      </c>
      <c r="I638" s="11" t="s">
        <v>56</v>
      </c>
      <c r="J638" s="9" t="n">
        <v>1345425</v>
      </c>
      <c r="L638" s="9" t="n">
        <v>180715</v>
      </c>
      <c r="M638" s="11" t="s">
        <v>52</v>
      </c>
      <c r="N638" s="11" t="s">
        <v>45</v>
      </c>
      <c r="P638" s="9" t="n">
        <v>102</v>
      </c>
      <c r="Q638" s="11" t="s">
        <v>308</v>
      </c>
      <c r="R638" s="11" t="s">
        <v>138</v>
      </c>
      <c r="S638" s="9" t="n">
        <v>4210504</v>
      </c>
      <c r="T638" s="11" t="s">
        <v>143</v>
      </c>
      <c r="U638" s="12" t="n">
        <v>370.75</v>
      </c>
      <c r="W638" s="12" t="n">
        <v>0</v>
      </c>
      <c r="X638" s="11" t="s">
        <v>722</v>
      </c>
      <c r="Z638" s="0" t="str">
        <f aca="false">IF($T638="","",IFERROR(INDEX('Resumo Grupos'!$AC$3:$AC$200,MATCH($T638,'Resumo Grupos'!$AB$3:$AB$200,0)),"n/d"))</f>
        <v>Despesa</v>
      </c>
      <c r="AA638" s="0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9" t="n">
        <v>2</v>
      </c>
      <c r="B639" s="10" t="n">
        <v>46205</v>
      </c>
      <c r="C639" s="10" t="n">
        <v>46205</v>
      </c>
      <c r="D639" s="9" t="n">
        <v>515</v>
      </c>
      <c r="E639" s="11" t="s">
        <v>137</v>
      </c>
      <c r="F639" s="9" t="n">
        <v>34</v>
      </c>
      <c r="G639" s="11" t="s">
        <v>55</v>
      </c>
      <c r="H639" s="9" t="n">
        <v>2110405</v>
      </c>
      <c r="I639" s="11" t="s">
        <v>56</v>
      </c>
      <c r="J639" s="9" t="n">
        <v>1345429</v>
      </c>
      <c r="L639" s="9" t="n">
        <v>180716</v>
      </c>
      <c r="M639" s="11" t="s">
        <v>52</v>
      </c>
      <c r="N639" s="11" t="s">
        <v>45</v>
      </c>
      <c r="P639" s="9" t="n">
        <v>102</v>
      </c>
      <c r="Q639" s="11" t="s">
        <v>308</v>
      </c>
      <c r="R639" s="11" t="s">
        <v>138</v>
      </c>
      <c r="S639" s="9" t="n">
        <v>4210504</v>
      </c>
      <c r="T639" s="11" t="s">
        <v>143</v>
      </c>
      <c r="U639" s="12" t="n">
        <v>487.31</v>
      </c>
      <c r="W639" s="12" t="n">
        <v>0</v>
      </c>
      <c r="X639" s="11" t="s">
        <v>723</v>
      </c>
      <c r="Z639" s="0" t="str">
        <f aca="false">IF($T639="","",IFERROR(INDEX('Resumo Grupos'!$AC$3:$AC$200,MATCH($T639,'Resumo Grupos'!$AB$3:$AB$200,0)),"n/d"))</f>
        <v>Despesa</v>
      </c>
      <c r="AA639" s="0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9" t="n">
        <v>2</v>
      </c>
      <c r="B640" s="10" t="n">
        <v>46191</v>
      </c>
      <c r="C640" s="10" t="n">
        <v>46205</v>
      </c>
      <c r="D640" s="9" t="n">
        <v>1815</v>
      </c>
      <c r="E640" s="11" t="s">
        <v>172</v>
      </c>
      <c r="F640" s="9" t="n">
        <v>24</v>
      </c>
      <c r="G640" s="11" t="s">
        <v>51</v>
      </c>
      <c r="H640" s="9" t="n">
        <v>2110101</v>
      </c>
      <c r="I640" s="11" t="s">
        <v>43</v>
      </c>
      <c r="J640" s="9" t="n">
        <v>1269162</v>
      </c>
      <c r="L640" s="9" t="n">
        <v>387833</v>
      </c>
      <c r="M640" s="11" t="s">
        <v>44</v>
      </c>
      <c r="N640" s="11" t="s">
        <v>37</v>
      </c>
      <c r="P640" s="9" t="n">
        <v>113</v>
      </c>
      <c r="Q640" s="11" t="s">
        <v>46</v>
      </c>
      <c r="R640" s="11" t="s">
        <v>47</v>
      </c>
      <c r="S640" s="9" t="n">
        <v>1130101</v>
      </c>
      <c r="T640" s="11" t="s">
        <v>48</v>
      </c>
      <c r="U640" s="12" t="n">
        <v>2664.53</v>
      </c>
      <c r="W640" s="12" t="n">
        <v>0</v>
      </c>
      <c r="X640" s="11" t="s">
        <v>577</v>
      </c>
      <c r="Z640" s="0" t="str">
        <f aca="false">IF($T640="","",IFERROR(INDEX('Resumo Grupos'!$AC$3:$AC$200,MATCH($T640,'Resumo Grupos'!$AB$3:$AB$200,0)),"n/d"))</f>
        <v>Mercadoria</v>
      </c>
      <c r="AA640" s="0" t="str">
        <f aca="false">IF($T640="","",IF(COUNTIF('Resumo Grupos'!$AE$3:$AE$40,$T640)&gt;0,"NAO","SIM"))</f>
        <v>SIM</v>
      </c>
      <c r="AB640" s="0" t="str">
        <f aca="false">IFERROR(INDEX('Mov Entradas (Rel 10497)'!$L:$L,MATCH(AC640,'Mov Entradas (Rel 10497)'!$I:$I,0)),"nao encontrado")</f>
        <v>PATINHO BOVINO KG</v>
      </c>
      <c r="AC640" s="0" t="n">
        <v>387833</v>
      </c>
    </row>
    <row r="641" customFormat="false" ht="45.75" hidden="false" customHeight="true" outlineLevel="0" collapsed="false">
      <c r="A641" s="9" t="n">
        <v>2</v>
      </c>
      <c r="B641" s="10" t="n">
        <v>46199</v>
      </c>
      <c r="C641" s="10" t="n">
        <v>46205</v>
      </c>
      <c r="D641" s="9" t="n">
        <v>581</v>
      </c>
      <c r="E641" s="11" t="s">
        <v>147</v>
      </c>
      <c r="F641" s="9" t="n">
        <v>24</v>
      </c>
      <c r="G641" s="11" t="s">
        <v>51</v>
      </c>
      <c r="H641" s="9" t="n">
        <v>2110101</v>
      </c>
      <c r="I641" s="11" t="s">
        <v>43</v>
      </c>
      <c r="J641" s="9" t="n">
        <v>1309632</v>
      </c>
      <c r="L641" s="9" t="n">
        <v>31144</v>
      </c>
      <c r="M641" s="11" t="s">
        <v>52</v>
      </c>
      <c r="N641" s="11" t="s">
        <v>37</v>
      </c>
      <c r="P641" s="9" t="n">
        <v>113</v>
      </c>
      <c r="Q641" s="11" t="s">
        <v>46</v>
      </c>
      <c r="R641" s="11" t="s">
        <v>47</v>
      </c>
      <c r="S641" s="9" t="n">
        <v>1130101</v>
      </c>
      <c r="T641" s="11" t="s">
        <v>48</v>
      </c>
      <c r="U641" s="12" t="n">
        <v>199</v>
      </c>
      <c r="W641" s="12" t="n">
        <v>0</v>
      </c>
      <c r="X641" s="11" t="s">
        <v>724</v>
      </c>
      <c r="Z641" s="0" t="str">
        <f aca="false">IF($T641="","",IFERROR(INDEX('Resumo Grupos'!$AC$3:$AC$200,MATCH($T641,'Resumo Grupos'!$AB$3:$AB$200,0)),"n/d"))</f>
        <v>Mercadoria</v>
      </c>
      <c r="AA641" s="0" t="str">
        <f aca="false">IF($T641="","",IF(COUNTIF('Resumo Grupos'!$AE$3:$AE$40,$T641)&gt;0,"NAO","SIM"))</f>
        <v>SIM</v>
      </c>
      <c r="AB641" s="0" t="str">
        <f aca="false">IFERROR(INDEX('Mov Entradas (Rel 10497)'!$L:$L,MATCH(AC641,'Mov Entradas (Rel 10497)'!$I:$I,0)),"nao encontrado")</f>
        <v>GOMA DE MANDIOCA AMA</v>
      </c>
      <c r="AC641" s="0" t="n">
        <v>31144</v>
      </c>
    </row>
    <row r="642" customFormat="false" ht="45.75" hidden="false" customHeight="true" outlineLevel="0" collapsed="false">
      <c r="A642" s="9" t="n">
        <v>2</v>
      </c>
      <c r="B642" s="10" t="n">
        <v>46188</v>
      </c>
      <c r="C642" s="10" t="n">
        <v>46205</v>
      </c>
      <c r="D642" s="9" t="n">
        <v>1611</v>
      </c>
      <c r="E642" s="11" t="s">
        <v>178</v>
      </c>
      <c r="F642" s="9" t="n">
        <v>24</v>
      </c>
      <c r="G642" s="11" t="s">
        <v>51</v>
      </c>
      <c r="H642" s="9" t="n">
        <v>2110101</v>
      </c>
      <c r="I642" s="11" t="s">
        <v>43</v>
      </c>
      <c r="J642" s="9" t="n">
        <v>1255460</v>
      </c>
      <c r="L642" s="9" t="n">
        <v>1771887</v>
      </c>
      <c r="M642" s="11" t="s">
        <v>44</v>
      </c>
      <c r="N642" s="11" t="s">
        <v>37</v>
      </c>
      <c r="P642" s="9" t="n">
        <v>113</v>
      </c>
      <c r="Q642" s="11" t="s">
        <v>46</v>
      </c>
      <c r="R642" s="11" t="s">
        <v>47</v>
      </c>
      <c r="S642" s="9" t="n">
        <v>1130101</v>
      </c>
      <c r="T642" s="11" t="s">
        <v>48</v>
      </c>
      <c r="U642" s="12" t="n">
        <v>613.33</v>
      </c>
      <c r="W642" s="12" t="n">
        <v>0</v>
      </c>
      <c r="X642" s="11" t="s">
        <v>579</v>
      </c>
      <c r="Z642" s="0" t="str">
        <f aca="false">IF($T642="","",IFERROR(INDEX('Resumo Grupos'!$AC$3:$AC$200,MATCH($T642,'Resumo Grupos'!$AB$3:$AB$200,0)),"n/d"))</f>
        <v>Mercadoria</v>
      </c>
      <c r="AA642" s="0" t="str">
        <f aca="false">IF($T642="","",IF(COUNTIF('Resumo Grupos'!$AE$3:$AE$40,$T642)&gt;0,"NAO","SIM"))</f>
        <v>SIM</v>
      </c>
      <c r="AB642" s="0" t="str">
        <f aca="false">IFERROR(INDEX('Mov Entradas (Rel 10497)'!$L:$L,MATCH(AC642,'Mov Entradas (Rel 10497)'!$I:$I,0)),"nao encontrado")</f>
        <v>FIGURINHAS COPA MUNDIAL PC 7UN</v>
      </c>
      <c r="AC642" s="0" t="n">
        <v>1771887</v>
      </c>
    </row>
    <row r="643" customFormat="false" ht="45.75" hidden="false" customHeight="true" outlineLevel="0" collapsed="false">
      <c r="A643" s="9" t="n">
        <v>2</v>
      </c>
      <c r="B643" s="10" t="n">
        <v>46186</v>
      </c>
      <c r="C643" s="10" t="n">
        <v>46205</v>
      </c>
      <c r="D643" s="9" t="n">
        <v>10009</v>
      </c>
      <c r="E643" s="11" t="s">
        <v>464</v>
      </c>
      <c r="F643" s="9" t="n">
        <v>24</v>
      </c>
      <c r="G643" s="11" t="s">
        <v>51</v>
      </c>
      <c r="H643" s="9" t="n">
        <v>2110101</v>
      </c>
      <c r="I643" s="11" t="s">
        <v>43</v>
      </c>
      <c r="J643" s="9" t="n">
        <v>1244221</v>
      </c>
      <c r="L643" s="9" t="n">
        <v>1415530</v>
      </c>
      <c r="M643" s="11" t="s">
        <v>67</v>
      </c>
      <c r="N643" s="11" t="s">
        <v>37</v>
      </c>
      <c r="P643" s="9" t="n">
        <v>113</v>
      </c>
      <c r="Q643" s="11" t="s">
        <v>46</v>
      </c>
      <c r="R643" s="11" t="s">
        <v>47</v>
      </c>
      <c r="S643" s="9" t="n">
        <v>1130101</v>
      </c>
      <c r="T643" s="11" t="s">
        <v>48</v>
      </c>
      <c r="U643" s="12" t="n">
        <v>731.24</v>
      </c>
      <c r="W643" s="12" t="n">
        <v>0</v>
      </c>
      <c r="X643" s="11" t="s">
        <v>465</v>
      </c>
      <c r="Z643" s="0" t="str">
        <f aca="false">IF($T643="","",IFERROR(INDEX('Resumo Grupos'!$AC$3:$AC$200,MATCH($T643,'Resumo Grupos'!$AB$3:$AB$200,0)),"n/d"))</f>
        <v>Mercadoria</v>
      </c>
      <c r="AA643" s="0" t="str">
        <f aca="false">IF($T643="","",IF(COUNTIF('Resumo Grupos'!$AE$3:$AE$40,$T643)&gt;0,"NAO","SIM"))</f>
        <v>SIM</v>
      </c>
      <c r="AB643" s="0" t="str">
        <f aca="false">IFERROR(INDEX('Mov Entradas (Rel 10497)'!$L:$L,MATCH(AC643,'Mov Entradas (Rel 10497)'!$I:$I,0)),"nao encontrado")</f>
        <v>TALENTO CSTN 85G</v>
      </c>
      <c r="AC643" s="0" t="n">
        <v>1415530</v>
      </c>
    </row>
    <row r="644" customFormat="false" ht="36.75" hidden="false" customHeight="true" outlineLevel="0" collapsed="false">
      <c r="A644" s="9" t="n">
        <v>2</v>
      </c>
      <c r="B644" s="10" t="n">
        <v>46188</v>
      </c>
      <c r="C644" s="10" t="n">
        <v>46205</v>
      </c>
      <c r="D644" s="9" t="n">
        <v>10009</v>
      </c>
      <c r="E644" s="11" t="s">
        <v>464</v>
      </c>
      <c r="F644" s="9" t="n">
        <v>24</v>
      </c>
      <c r="G644" s="11" t="s">
        <v>51</v>
      </c>
      <c r="H644" s="9" t="n">
        <v>2110101</v>
      </c>
      <c r="I644" s="11" t="s">
        <v>43</v>
      </c>
      <c r="J644" s="9" t="n">
        <v>1255250</v>
      </c>
      <c r="L644" s="9" t="n">
        <v>1415529</v>
      </c>
      <c r="M644" s="11" t="s">
        <v>67</v>
      </c>
      <c r="N644" s="11" t="s">
        <v>37</v>
      </c>
      <c r="P644" s="9" t="n">
        <v>113</v>
      </c>
      <c r="Q644" s="11" t="s">
        <v>46</v>
      </c>
      <c r="R644" s="11" t="s">
        <v>47</v>
      </c>
      <c r="S644" s="9" t="n">
        <v>1130101</v>
      </c>
      <c r="T644" s="11" t="s">
        <v>48</v>
      </c>
      <c r="U644" s="12" t="n">
        <v>1484.53</v>
      </c>
      <c r="W644" s="12" t="n">
        <v>0</v>
      </c>
      <c r="X644" s="11" t="s">
        <v>466</v>
      </c>
      <c r="Z644" s="0" t="str">
        <f aca="false">IF($T644="","",IFERROR(INDEX('Resumo Grupos'!$AC$3:$AC$200,MATCH($T644,'Resumo Grupos'!$AB$3:$AB$200,0)),"n/d"))</f>
        <v>Mercadoria</v>
      </c>
      <c r="AA644" s="0" t="str">
        <f aca="false">IF($T644="","",IF(COUNTIF('Resumo Grupos'!$AE$3:$AE$40,$T644)&gt;0,"NAO","SIM"))</f>
        <v>SIM</v>
      </c>
      <c r="AB644" s="0" t="str">
        <f aca="false">IFERROR(INDEX('Mov Entradas (Rel 10497)'!$L:$L,MATCH(AC644,'Mov Entradas (Rel 10497)'!$I:$I,0)),"nao encontrado")</f>
        <v>SOPAO MAGGI COST 200</v>
      </c>
      <c r="AC644" s="0" t="n">
        <v>1415529</v>
      </c>
    </row>
    <row r="645" customFormat="false" ht="36.75" hidden="false" customHeight="true" outlineLevel="0" collapsed="false">
      <c r="A645" s="9" t="n">
        <v>2</v>
      </c>
      <c r="B645" s="10" t="n">
        <v>46198</v>
      </c>
      <c r="C645" s="10" t="n">
        <v>46205</v>
      </c>
      <c r="D645" s="9" t="n">
        <v>1024</v>
      </c>
      <c r="E645" s="11" t="s">
        <v>471</v>
      </c>
      <c r="F645" s="9" t="n">
        <v>24</v>
      </c>
      <c r="G645" s="11" t="s">
        <v>51</v>
      </c>
      <c r="H645" s="9" t="n">
        <v>2110101</v>
      </c>
      <c r="I645" s="11" t="s">
        <v>43</v>
      </c>
      <c r="J645" s="9" t="n">
        <v>1306154</v>
      </c>
      <c r="L645" s="9" t="n">
        <v>590547</v>
      </c>
      <c r="M645" s="11" t="s">
        <v>52</v>
      </c>
      <c r="N645" s="11" t="s">
        <v>37</v>
      </c>
      <c r="P645" s="9" t="n">
        <v>113</v>
      </c>
      <c r="Q645" s="11" t="s">
        <v>46</v>
      </c>
      <c r="R645" s="11" t="s">
        <v>47</v>
      </c>
      <c r="S645" s="9" t="n">
        <v>1130101</v>
      </c>
      <c r="T645" s="11" t="s">
        <v>48</v>
      </c>
      <c r="U645" s="12" t="n">
        <v>262</v>
      </c>
      <c r="W645" s="12" t="n">
        <v>0</v>
      </c>
      <c r="X645" s="11" t="s">
        <v>725</v>
      </c>
      <c r="Z645" s="0" t="str">
        <f aca="false">IF($T645="","",IFERROR(INDEX('Resumo Grupos'!$AC$3:$AC$200,MATCH($T645,'Resumo Grupos'!$AB$3:$AB$200,0)),"n/d"))</f>
        <v>Mercadoria</v>
      </c>
      <c r="AA645" s="0" t="str">
        <f aca="false">IF($T645="","",IF(COUNTIF('Resumo Grupos'!$AE$3:$AE$40,$T645)&gt;0,"NAO","SIM"))</f>
        <v>SIM</v>
      </c>
      <c r="AB645" s="0" t="str">
        <f aca="false">IFERROR(INDEX('Mov Entradas (Rel 10497)'!$L:$L,MATCH(AC645,'Mov Entradas (Rel 10497)'!$I:$I,0)),"nao encontrado")</f>
        <v>REAL GOLD 250ML PET</v>
      </c>
      <c r="AC645" s="0" t="n">
        <v>590547</v>
      </c>
    </row>
    <row r="646" customFormat="false" ht="36.75" hidden="false" customHeight="true" outlineLevel="0" collapsed="false">
      <c r="A646" s="9" t="n">
        <v>2</v>
      </c>
      <c r="B646" s="10" t="n">
        <v>46189</v>
      </c>
      <c r="C646" s="10" t="n">
        <v>46205</v>
      </c>
      <c r="D646" s="9" t="n">
        <v>1624</v>
      </c>
      <c r="E646" s="11" t="s">
        <v>351</v>
      </c>
      <c r="F646" s="9" t="n">
        <v>24</v>
      </c>
      <c r="G646" s="11" t="s">
        <v>51</v>
      </c>
      <c r="H646" s="9" t="n">
        <v>2110101</v>
      </c>
      <c r="I646" s="11" t="s">
        <v>43</v>
      </c>
      <c r="J646" s="9" t="n">
        <v>1261007</v>
      </c>
      <c r="L646" s="9" t="n">
        <v>658429</v>
      </c>
      <c r="M646" s="11" t="s">
        <v>52</v>
      </c>
      <c r="N646" s="11" t="s">
        <v>37</v>
      </c>
      <c r="P646" s="9" t="n">
        <v>113</v>
      </c>
      <c r="Q646" s="11" t="s">
        <v>46</v>
      </c>
      <c r="R646" s="11" t="s">
        <v>47</v>
      </c>
      <c r="S646" s="9" t="n">
        <v>1130101</v>
      </c>
      <c r="T646" s="11" t="s">
        <v>48</v>
      </c>
      <c r="U646" s="12" t="n">
        <v>550.4</v>
      </c>
      <c r="W646" s="12" t="n">
        <v>0</v>
      </c>
      <c r="X646" s="11" t="s">
        <v>726</v>
      </c>
      <c r="Z646" s="0" t="str">
        <f aca="false">IF($T646="","",IFERROR(INDEX('Resumo Grupos'!$AC$3:$AC$200,MATCH($T646,'Resumo Grupos'!$AB$3:$AB$200,0)),"n/d"))</f>
        <v>Mercadoria</v>
      </c>
      <c r="AA646" s="0" t="str">
        <f aca="false">IF($T646="","",IF(COUNTIF('Resumo Grupos'!$AE$3:$AE$40,$T646)&gt;0,"NAO","SIM"))</f>
        <v>SIM</v>
      </c>
      <c r="AB646" s="0" t="str">
        <f aca="false">IFERROR(INDEX('Mov Entradas (Rel 10497)'!$L:$L,MATCH(AC646,'Mov Entradas (Rel 10497)'!$I:$I,0)),"nao encontrado")</f>
        <v>FUNNY BUNNY 500G</v>
      </c>
      <c r="AC646" s="0" t="n">
        <v>658429</v>
      </c>
    </row>
    <row r="647" customFormat="false" ht="45.75" hidden="false" customHeight="true" outlineLevel="0" collapsed="false">
      <c r="A647" s="9" t="n">
        <v>2</v>
      </c>
      <c r="B647" s="10" t="n">
        <v>46205</v>
      </c>
      <c r="C647" s="10" t="n">
        <v>46205</v>
      </c>
      <c r="D647" s="9" t="n">
        <v>0</v>
      </c>
      <c r="E647" s="11" t="s">
        <v>109</v>
      </c>
      <c r="F647" s="9" t="n">
        <v>17</v>
      </c>
      <c r="G647" s="11" t="s">
        <v>110</v>
      </c>
      <c r="H647" s="9" t="n">
        <v>1110101</v>
      </c>
      <c r="I647" s="11" t="s">
        <v>111</v>
      </c>
      <c r="J647" s="9" t="n">
        <v>1375264</v>
      </c>
      <c r="L647" s="9" t="n">
        <v>1375264</v>
      </c>
      <c r="M647" s="11" t="s">
        <v>52</v>
      </c>
      <c r="N647" s="11" t="s">
        <v>112</v>
      </c>
      <c r="P647" s="9" t="n">
        <v>113</v>
      </c>
      <c r="Q647" s="11" t="s">
        <v>46</v>
      </c>
      <c r="R647" s="11" t="s">
        <v>47</v>
      </c>
      <c r="S647" s="9" t="n">
        <v>1130101</v>
      </c>
      <c r="T647" s="11" t="s">
        <v>48</v>
      </c>
      <c r="U647" s="12" t="n">
        <v>193</v>
      </c>
      <c r="W647" s="12" t="n">
        <v>193</v>
      </c>
      <c r="X647" s="11" t="s">
        <v>727</v>
      </c>
      <c r="Z647" s="0" t="str">
        <f aca="false">IF($T647="","",IFERROR(INDEX('Resumo Grupos'!$AC$3:$AC$200,MATCH($T647,'Resumo Grupos'!$AB$3:$AB$200,0)),"n/d"))</f>
        <v>Mercadoria</v>
      </c>
      <c r="AA647" s="0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9" t="n">
        <v>2</v>
      </c>
      <c r="B648" s="10" t="n">
        <v>46205</v>
      </c>
      <c r="C648" s="10" t="n">
        <v>46205</v>
      </c>
      <c r="D648" s="9" t="n">
        <v>0</v>
      </c>
      <c r="E648" s="11" t="s">
        <v>109</v>
      </c>
      <c r="F648" s="9" t="n">
        <v>17</v>
      </c>
      <c r="G648" s="11" t="s">
        <v>110</v>
      </c>
      <c r="H648" s="9" t="n">
        <v>1110101</v>
      </c>
      <c r="I648" s="11" t="s">
        <v>111</v>
      </c>
      <c r="J648" s="9" t="n">
        <v>1469058</v>
      </c>
      <c r="L648" s="9" t="n">
        <v>1469058</v>
      </c>
      <c r="M648" s="11" t="s">
        <v>52</v>
      </c>
      <c r="N648" s="11" t="s">
        <v>112</v>
      </c>
      <c r="P648" s="9" t="n">
        <v>113</v>
      </c>
      <c r="Q648" s="11" t="s">
        <v>46</v>
      </c>
      <c r="R648" s="11" t="s">
        <v>116</v>
      </c>
      <c r="S648" s="9" t="n">
        <v>1110203</v>
      </c>
      <c r="T648" s="11" t="s">
        <v>117</v>
      </c>
      <c r="U648" s="12" t="n">
        <v>1850</v>
      </c>
      <c r="W648" s="12" t="n">
        <v>1850</v>
      </c>
      <c r="X648" s="11" t="s">
        <v>728</v>
      </c>
      <c r="Z648" s="0" t="str">
        <f aca="false">IF($T648="","",IFERROR(INDEX('Resumo Grupos'!$AC$3:$AC$200,MATCH($T648,'Resumo Grupos'!$AB$3:$AB$200,0)),"n/d"))</f>
        <v>Despesa</v>
      </c>
      <c r="AA648" s="0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9" t="n">
        <v>2</v>
      </c>
      <c r="B649" s="10" t="n">
        <v>46191</v>
      </c>
      <c r="C649" s="10" t="n">
        <v>46205</v>
      </c>
      <c r="D649" s="9" t="n">
        <v>1676</v>
      </c>
      <c r="E649" s="11" t="s">
        <v>729</v>
      </c>
      <c r="F649" s="9" t="n">
        <v>24</v>
      </c>
      <c r="G649" s="11" t="s">
        <v>51</v>
      </c>
      <c r="H649" s="9" t="n">
        <v>2110101</v>
      </c>
      <c r="I649" s="11" t="s">
        <v>43</v>
      </c>
      <c r="J649" s="9" t="n">
        <v>1270149</v>
      </c>
      <c r="L649" s="9" t="n">
        <v>10423</v>
      </c>
      <c r="M649" s="11" t="s">
        <v>52</v>
      </c>
      <c r="N649" s="11" t="s">
        <v>37</v>
      </c>
      <c r="P649" s="9" t="n">
        <v>113</v>
      </c>
      <c r="Q649" s="11" t="s">
        <v>46</v>
      </c>
      <c r="R649" s="11" t="s">
        <v>47</v>
      </c>
      <c r="S649" s="9" t="n">
        <v>1130101</v>
      </c>
      <c r="T649" s="11" t="s">
        <v>48</v>
      </c>
      <c r="U649" s="12" t="n">
        <v>552.38</v>
      </c>
      <c r="W649" s="12" t="n">
        <v>0</v>
      </c>
      <c r="X649" s="11" t="s">
        <v>730</v>
      </c>
      <c r="Z649" s="0" t="str">
        <f aca="false">IF($T649="","",IFERROR(INDEX('Resumo Grupos'!$AC$3:$AC$200,MATCH($T649,'Resumo Grupos'!$AB$3:$AB$200,0)),"n/d"))</f>
        <v>Mercadoria</v>
      </c>
      <c r="AA649" s="0" t="str">
        <f aca="false">IF($T649="","",IF(COUNTIF('Resumo Grupos'!$AE$3:$AE$40,$T649)&gt;0,"NAO","SIM"))</f>
        <v>SIM</v>
      </c>
      <c r="AB649" s="0" t="str">
        <f aca="false">IFERROR(INDEX('Mov Entradas (Rel 10497)'!$L:$L,MATCH(AC649,'Mov Entradas (Rel 10497)'!$I:$I,0)),"nao encontrado")</f>
        <v>QUEIJO RAL SANTIN50G</v>
      </c>
      <c r="AC649" s="0" t="n">
        <v>10423</v>
      </c>
    </row>
    <row r="650" customFormat="false" ht="36.75" hidden="false" customHeight="true" outlineLevel="0" collapsed="false">
      <c r="A650" s="9" t="n">
        <v>2</v>
      </c>
      <c r="B650" s="10" t="n">
        <v>46195</v>
      </c>
      <c r="C650" s="10" t="n">
        <v>46205</v>
      </c>
      <c r="D650" s="9" t="n">
        <v>1643</v>
      </c>
      <c r="E650" s="11" t="s">
        <v>212</v>
      </c>
      <c r="F650" s="9" t="n">
        <v>24</v>
      </c>
      <c r="G650" s="11" t="s">
        <v>51</v>
      </c>
      <c r="H650" s="9" t="n">
        <v>2110101</v>
      </c>
      <c r="I650" s="11" t="s">
        <v>43</v>
      </c>
      <c r="J650" s="9" t="n">
        <v>1289129</v>
      </c>
      <c r="L650" s="9" t="n">
        <v>10605</v>
      </c>
      <c r="M650" s="11" t="s">
        <v>52</v>
      </c>
      <c r="N650" s="11" t="s">
        <v>37</v>
      </c>
      <c r="P650" s="9" t="n">
        <v>113</v>
      </c>
      <c r="Q650" s="11" t="s">
        <v>46</v>
      </c>
      <c r="R650" s="11" t="s">
        <v>47</v>
      </c>
      <c r="S650" s="9" t="n">
        <v>1130101</v>
      </c>
      <c r="T650" s="11" t="s">
        <v>48</v>
      </c>
      <c r="U650" s="12" t="n">
        <v>228</v>
      </c>
      <c r="W650" s="12" t="n">
        <v>0</v>
      </c>
      <c r="X650" s="11" t="s">
        <v>731</v>
      </c>
      <c r="Z650" s="0" t="str">
        <f aca="false">IF($T650="","",IFERROR(INDEX('Resumo Grupos'!$AC$3:$AC$200,MATCH($T650,'Resumo Grupos'!$AB$3:$AB$200,0)),"n/d"))</f>
        <v>Mercadoria</v>
      </c>
      <c r="AA650" s="0" t="str">
        <f aca="false">IF($T650="","",IF(COUNTIF('Resumo Grupos'!$AE$3:$AE$40,$T650)&gt;0,"NAO","SIM"))</f>
        <v>SIM</v>
      </c>
      <c r="AB650" s="0" t="str">
        <f aca="false">IFERROR(INDEX('Mov Entradas (Rel 10497)'!$L:$L,MATCH(AC650,'Mov Entradas (Rel 10497)'!$I:$I,0)),"nao encontrado")</f>
        <v>COCADA CASMORENINH</v>
      </c>
      <c r="AC650" s="0" t="n">
        <v>10605</v>
      </c>
    </row>
    <row r="651" customFormat="false" ht="36.75" hidden="false" customHeight="true" outlineLevel="0" collapsed="false">
      <c r="A651" s="9" t="n">
        <v>2</v>
      </c>
      <c r="B651" s="10" t="n">
        <v>46206</v>
      </c>
      <c r="C651" s="10" t="n">
        <v>46206</v>
      </c>
      <c r="D651" s="9" t="n">
        <v>52</v>
      </c>
      <c r="E651" s="11" t="s">
        <v>219</v>
      </c>
      <c r="F651" s="9" t="n">
        <v>34</v>
      </c>
      <c r="G651" s="11" t="s">
        <v>55</v>
      </c>
      <c r="H651" s="9" t="n">
        <v>2110405</v>
      </c>
      <c r="I651" s="11" t="s">
        <v>56</v>
      </c>
      <c r="J651" s="9" t="n">
        <v>1370446</v>
      </c>
      <c r="L651" s="9" t="n">
        <v>184273</v>
      </c>
      <c r="M651" s="11" t="s">
        <v>52</v>
      </c>
      <c r="N651" s="11" t="s">
        <v>45</v>
      </c>
      <c r="P651" s="9" t="n">
        <v>113</v>
      </c>
      <c r="Q651" s="11" t="s">
        <v>46</v>
      </c>
      <c r="R651" s="11" t="s">
        <v>71</v>
      </c>
      <c r="S651" s="9" t="n">
        <v>4210301</v>
      </c>
      <c r="T651" s="11" t="s">
        <v>220</v>
      </c>
      <c r="U651" s="12" t="n">
        <v>609.34</v>
      </c>
      <c r="W651" s="12" t="n">
        <v>0</v>
      </c>
      <c r="X651" s="11" t="s">
        <v>732</v>
      </c>
      <c r="Z651" s="0" t="str">
        <f aca="false">IF($T651="","",IFERROR(INDEX('Resumo Grupos'!$AC$3:$AC$200,MATCH($T651,'Resumo Grupos'!$AB$3:$AB$200,0)),"n/d"))</f>
        <v>Salários</v>
      </c>
      <c r="AA651" s="0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9" t="n">
        <v>2</v>
      </c>
      <c r="B652" s="10" t="n">
        <v>46206</v>
      </c>
      <c r="C652" s="10" t="n">
        <v>46206</v>
      </c>
      <c r="D652" s="9" t="n">
        <v>52</v>
      </c>
      <c r="E652" s="11" t="s">
        <v>219</v>
      </c>
      <c r="F652" s="9" t="n">
        <v>7</v>
      </c>
      <c r="G652" s="11" t="s">
        <v>222</v>
      </c>
      <c r="H652" s="9" t="n">
        <v>2110405</v>
      </c>
      <c r="I652" s="11" t="s">
        <v>56</v>
      </c>
      <c r="J652" s="9" t="n">
        <v>1370448</v>
      </c>
      <c r="L652" s="9" t="n">
        <v>184274</v>
      </c>
      <c r="M652" s="11" t="s">
        <v>52</v>
      </c>
      <c r="N652" s="11" t="s">
        <v>45</v>
      </c>
      <c r="P652" s="9" t="n">
        <v>113</v>
      </c>
      <c r="Q652" s="11" t="s">
        <v>46</v>
      </c>
      <c r="R652" s="11" t="s">
        <v>71</v>
      </c>
      <c r="S652" s="9" t="n">
        <v>4210301</v>
      </c>
      <c r="T652" s="11" t="s">
        <v>220</v>
      </c>
      <c r="U652" s="12" t="n">
        <v>399.37</v>
      </c>
      <c r="W652" s="12" t="n">
        <v>0</v>
      </c>
      <c r="X652" s="11" t="s">
        <v>733</v>
      </c>
      <c r="Z652" s="0" t="str">
        <f aca="false">IF($T652="","",IFERROR(INDEX('Resumo Grupos'!$AC$3:$AC$200,MATCH($T652,'Resumo Grupos'!$AB$3:$AB$200,0)),"n/d"))</f>
        <v>Salários</v>
      </c>
      <c r="AA652" s="0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9" t="n">
        <v>2</v>
      </c>
      <c r="B653" s="10" t="n">
        <v>46195</v>
      </c>
      <c r="C653" s="10" t="n">
        <v>46206</v>
      </c>
      <c r="D653" s="9" t="n">
        <v>1695</v>
      </c>
      <c r="E653" s="11" t="s">
        <v>390</v>
      </c>
      <c r="F653" s="9" t="n">
        <v>24</v>
      </c>
      <c r="G653" s="11" t="s">
        <v>51</v>
      </c>
      <c r="H653" s="9" t="n">
        <v>2110101</v>
      </c>
      <c r="I653" s="11" t="s">
        <v>43</v>
      </c>
      <c r="J653" s="9" t="n">
        <v>1289973</v>
      </c>
      <c r="L653" s="9" t="n">
        <v>18762</v>
      </c>
      <c r="M653" s="11" t="s">
        <v>44</v>
      </c>
      <c r="N653" s="11" t="s">
        <v>37</v>
      </c>
      <c r="P653" s="9" t="n">
        <v>113</v>
      </c>
      <c r="Q653" s="11" t="s">
        <v>46</v>
      </c>
      <c r="R653" s="11" t="s">
        <v>47</v>
      </c>
      <c r="S653" s="9" t="n">
        <v>1130101</v>
      </c>
      <c r="T653" s="11" t="s">
        <v>48</v>
      </c>
      <c r="U653" s="12" t="n">
        <v>1433.64</v>
      </c>
      <c r="W653" s="12" t="n">
        <v>0</v>
      </c>
      <c r="X653" s="11" t="s">
        <v>592</v>
      </c>
      <c r="Z653" s="0" t="str">
        <f aca="false">IF($T653="","",IFERROR(INDEX('Resumo Grupos'!$AC$3:$AC$200,MATCH($T653,'Resumo Grupos'!$AB$3:$AB$200,0)),"n/d"))</f>
        <v>Mercadoria</v>
      </c>
      <c r="AA653" s="0" t="str">
        <f aca="false">IF($T653="","",IF(COUNTIF('Resumo Grupos'!$AE$3:$AE$40,$T653)&gt;0,"NAO","SIM"))</f>
        <v>SIM</v>
      </c>
      <c r="AB653" s="0" t="str">
        <f aca="false">IFERROR(INDEX('Mov Entradas (Rel 10497)'!$L:$L,MATCH(AC653,'Mov Entradas (Rel 10497)'!$I:$I,0)),"nao encontrado")</f>
        <v>AGUA SANI BRILUX1L</v>
      </c>
      <c r="AC653" s="0" t="n">
        <v>18762</v>
      </c>
    </row>
    <row r="654" customFormat="false" ht="36.75" hidden="false" customHeight="true" outlineLevel="0" collapsed="false">
      <c r="A654" s="9" t="n">
        <v>2</v>
      </c>
      <c r="B654" s="10" t="n">
        <v>46200</v>
      </c>
      <c r="C654" s="10" t="n">
        <v>46206</v>
      </c>
      <c r="D654" s="9" t="n">
        <v>1695</v>
      </c>
      <c r="E654" s="11" t="s">
        <v>390</v>
      </c>
      <c r="F654" s="9" t="n">
        <v>24</v>
      </c>
      <c r="G654" s="11" t="s">
        <v>51</v>
      </c>
      <c r="H654" s="9" t="n">
        <v>2110101</v>
      </c>
      <c r="I654" s="11" t="s">
        <v>43</v>
      </c>
      <c r="J654" s="9" t="n">
        <v>1312835</v>
      </c>
      <c r="L654" s="9" t="n">
        <v>18889</v>
      </c>
      <c r="M654" s="11" t="s">
        <v>52</v>
      </c>
      <c r="N654" s="11" t="s">
        <v>37</v>
      </c>
      <c r="P654" s="9" t="n">
        <v>113</v>
      </c>
      <c r="Q654" s="11" t="s">
        <v>46</v>
      </c>
      <c r="R654" s="11" t="s">
        <v>47</v>
      </c>
      <c r="S654" s="9" t="n">
        <v>1130101</v>
      </c>
      <c r="T654" s="11" t="s">
        <v>48</v>
      </c>
      <c r="U654" s="12" t="n">
        <v>796.74</v>
      </c>
      <c r="W654" s="12" t="n">
        <v>0</v>
      </c>
      <c r="X654" s="11" t="s">
        <v>734</v>
      </c>
      <c r="Z654" s="0" t="str">
        <f aca="false">IF($T654="","",IFERROR(INDEX('Resumo Grupos'!$AC$3:$AC$200,MATCH($T654,'Resumo Grupos'!$AB$3:$AB$200,0)),"n/d"))</f>
        <v>Mercadoria</v>
      </c>
      <c r="AA654" s="0" t="str">
        <f aca="false">IF($T654="","",IF(COUNTIF('Resumo Grupos'!$AE$3:$AE$40,$T654)&gt;0,"NAO","SIM"))</f>
        <v>SIM</v>
      </c>
      <c r="AB654" s="0" t="str">
        <f aca="false">IFERROR(INDEX('Mov Entradas (Rel 10497)'!$L:$L,MATCH(AC654,'Mov Entradas (Rel 10497)'!$I:$I,0)),"nao encontrado")</f>
        <v>FAR DONA CLARA FLOC</v>
      </c>
      <c r="AC654" s="0" t="n">
        <v>18889</v>
      </c>
    </row>
    <row r="655" customFormat="false" ht="36.75" hidden="false" customHeight="true" outlineLevel="0" collapsed="false">
      <c r="A655" s="9" t="n">
        <v>2</v>
      </c>
      <c r="B655" s="10" t="n">
        <v>46203</v>
      </c>
      <c r="C655" s="10" t="n">
        <v>46206</v>
      </c>
      <c r="D655" s="9" t="n">
        <v>1695</v>
      </c>
      <c r="E655" s="11" t="s">
        <v>390</v>
      </c>
      <c r="F655" s="9" t="n">
        <v>34</v>
      </c>
      <c r="G655" s="11" t="s">
        <v>55</v>
      </c>
      <c r="H655" s="9" t="n">
        <v>2110101</v>
      </c>
      <c r="I655" s="11" t="s">
        <v>43</v>
      </c>
      <c r="J655" s="9" t="n">
        <v>1330221</v>
      </c>
      <c r="L655" s="9" t="n">
        <v>178148</v>
      </c>
      <c r="M655" s="11" t="s">
        <v>52</v>
      </c>
      <c r="N655" s="11" t="s">
        <v>45</v>
      </c>
      <c r="P655" s="9" t="n">
        <v>113</v>
      </c>
      <c r="Q655" s="11" t="s">
        <v>46</v>
      </c>
      <c r="R655" s="11" t="s">
        <v>47</v>
      </c>
      <c r="S655" s="9" t="n">
        <v>1130101</v>
      </c>
      <c r="T655" s="11" t="s">
        <v>48</v>
      </c>
      <c r="U655" s="12" t="n">
        <v>534.44</v>
      </c>
      <c r="W655" s="12" t="n">
        <v>0</v>
      </c>
      <c r="X655" s="11" t="s">
        <v>735</v>
      </c>
      <c r="Z655" s="0" t="str">
        <f aca="false">IF($T655="","",IFERROR(INDEX('Resumo Grupos'!$AC$3:$AC$200,MATCH($T655,'Resumo Grupos'!$AB$3:$AB$200,0)),"n/d"))</f>
        <v>Mercadoria</v>
      </c>
      <c r="AA655" s="0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9" t="n">
        <v>2</v>
      </c>
      <c r="B656" s="10" t="n">
        <v>46199</v>
      </c>
      <c r="C656" s="10" t="n">
        <v>46206</v>
      </c>
      <c r="D656" s="9" t="n">
        <v>1642</v>
      </c>
      <c r="E656" s="11" t="s">
        <v>228</v>
      </c>
      <c r="F656" s="9" t="n">
        <v>24</v>
      </c>
      <c r="G656" s="11" t="s">
        <v>51</v>
      </c>
      <c r="H656" s="9" t="n">
        <v>2110101</v>
      </c>
      <c r="I656" s="11" t="s">
        <v>43</v>
      </c>
      <c r="J656" s="9" t="n">
        <v>1309652</v>
      </c>
      <c r="L656" s="9" t="n">
        <v>1029069</v>
      </c>
      <c r="M656" s="11" t="s">
        <v>52</v>
      </c>
      <c r="N656" s="11" t="s">
        <v>37</v>
      </c>
      <c r="P656" s="9" t="n">
        <v>113</v>
      </c>
      <c r="Q656" s="11" t="s">
        <v>46</v>
      </c>
      <c r="R656" s="11" t="s">
        <v>47</v>
      </c>
      <c r="S656" s="9" t="n">
        <v>1130101</v>
      </c>
      <c r="T656" s="11" t="s">
        <v>48</v>
      </c>
      <c r="U656" s="12" t="n">
        <v>305.38</v>
      </c>
      <c r="W656" s="12" t="n">
        <v>0</v>
      </c>
      <c r="X656" s="11" t="s">
        <v>736</v>
      </c>
      <c r="Z656" s="0" t="str">
        <f aca="false">IF($T656="","",IFERROR(INDEX('Resumo Grupos'!$AC$3:$AC$200,MATCH($T656,'Resumo Grupos'!$AB$3:$AB$200,0)),"n/d"))</f>
        <v>Mercadoria</v>
      </c>
      <c r="AA656" s="0" t="str">
        <f aca="false">IF($T656="","",IF(COUNTIF('Resumo Grupos'!$AE$3:$AE$40,$T656)&gt;0,"NAO","SIM"))</f>
        <v>SIM</v>
      </c>
      <c r="AB656" s="0" t="str">
        <f aca="false">IFERROR(INDEX('Mov Entradas (Rel 10497)'!$L:$L,MATCH(AC656,'Mov Entradas (Rel 10497)'!$I:$I,0)),"nao encontrado")</f>
        <v>nao encontrado</v>
      </c>
      <c r="AC656" s="0" t="n">
        <v>102906</v>
      </c>
    </row>
    <row r="657" customFormat="false" ht="54.75" hidden="false" customHeight="true" outlineLevel="0" collapsed="false">
      <c r="A657" s="9" t="n">
        <v>2</v>
      </c>
      <c r="B657" s="10" t="n">
        <v>46206</v>
      </c>
      <c r="C657" s="10" t="n">
        <v>46206</v>
      </c>
      <c r="D657" s="9" t="n">
        <v>34</v>
      </c>
      <c r="E657" s="11" t="s">
        <v>230</v>
      </c>
      <c r="F657" s="9" t="n">
        <v>11</v>
      </c>
      <c r="G657" s="11" t="s">
        <v>556</v>
      </c>
      <c r="H657" s="9" t="n">
        <v>2110405</v>
      </c>
      <c r="I657" s="11" t="s">
        <v>56</v>
      </c>
      <c r="J657" s="9" t="n">
        <v>1344469</v>
      </c>
      <c r="L657" s="9" t="n">
        <v>180481</v>
      </c>
      <c r="M657" s="11" t="s">
        <v>52</v>
      </c>
      <c r="N657" s="11" t="s">
        <v>45</v>
      </c>
      <c r="P657" s="9" t="n">
        <v>101</v>
      </c>
      <c r="Q657" s="11" t="s">
        <v>57</v>
      </c>
      <c r="R657" s="11" t="s">
        <v>39</v>
      </c>
      <c r="S657" s="9" t="n">
        <v>4210231</v>
      </c>
      <c r="T657" s="11" t="s">
        <v>737</v>
      </c>
      <c r="U657" s="12" t="n">
        <v>1217.33</v>
      </c>
      <c r="W657" s="12" t="n">
        <v>0</v>
      </c>
      <c r="X657" s="11" t="s">
        <v>738</v>
      </c>
      <c r="Z657" s="0" t="str">
        <f aca="false">IF($T657="","",IFERROR(INDEX('Resumo Grupos'!$AC$3:$AC$200,MATCH($T657,'Resumo Grupos'!$AB$3:$AB$200,0)),"n/d"))</f>
        <v>Despesa</v>
      </c>
      <c r="AA657" s="0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9" t="n">
        <v>2</v>
      </c>
      <c r="B658" s="10" t="n">
        <v>46206</v>
      </c>
      <c r="C658" s="10" t="n">
        <v>46206</v>
      </c>
      <c r="D658" s="9" t="n">
        <v>34</v>
      </c>
      <c r="E658" s="11" t="s">
        <v>230</v>
      </c>
      <c r="F658" s="9" t="n">
        <v>7</v>
      </c>
      <c r="G658" s="11" t="s">
        <v>222</v>
      </c>
      <c r="H658" s="9" t="n">
        <v>2110405</v>
      </c>
      <c r="I658" s="11" t="s">
        <v>56</v>
      </c>
      <c r="J658" s="9" t="n">
        <v>1370577</v>
      </c>
      <c r="L658" s="9" t="n">
        <v>184313</v>
      </c>
      <c r="M658" s="11" t="s">
        <v>52</v>
      </c>
      <c r="N658" s="11" t="s">
        <v>45</v>
      </c>
      <c r="P658" s="9" t="n">
        <v>113</v>
      </c>
      <c r="Q658" s="11" t="s">
        <v>46</v>
      </c>
      <c r="R658" s="11" t="s">
        <v>71</v>
      </c>
      <c r="S658" s="9" t="n">
        <v>4210301</v>
      </c>
      <c r="T658" s="11" t="s">
        <v>220</v>
      </c>
      <c r="U658" s="12" t="n">
        <v>1217.33</v>
      </c>
      <c r="W658" s="12" t="n">
        <v>0</v>
      </c>
      <c r="X658" s="11" t="s">
        <v>733</v>
      </c>
      <c r="Z658" s="0" t="str">
        <f aca="false">IF($T658="","",IFERROR(INDEX('Resumo Grupos'!$AC$3:$AC$200,MATCH($T658,'Resumo Grupos'!$AB$3:$AB$200,0)),"n/d"))</f>
        <v>Salários</v>
      </c>
      <c r="AA658" s="0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9" t="n">
        <v>2</v>
      </c>
      <c r="B659" s="10" t="n">
        <v>46202</v>
      </c>
      <c r="C659" s="10" t="n">
        <v>46206</v>
      </c>
      <c r="D659" s="9" t="n">
        <v>1621</v>
      </c>
      <c r="E659" s="11" t="s">
        <v>232</v>
      </c>
      <c r="F659" s="9" t="n">
        <v>24</v>
      </c>
      <c r="G659" s="11" t="s">
        <v>51</v>
      </c>
      <c r="H659" s="9" t="n">
        <v>2110101</v>
      </c>
      <c r="I659" s="11" t="s">
        <v>43</v>
      </c>
      <c r="J659" s="9" t="n">
        <v>1321849</v>
      </c>
      <c r="L659" s="9" t="n">
        <v>877177</v>
      </c>
      <c r="M659" s="11" t="s">
        <v>52</v>
      </c>
      <c r="N659" s="11" t="s">
        <v>37</v>
      </c>
      <c r="P659" s="9" t="n">
        <v>113</v>
      </c>
      <c r="Q659" s="11" t="s">
        <v>46</v>
      </c>
      <c r="R659" s="11" t="s">
        <v>47</v>
      </c>
      <c r="S659" s="9" t="n">
        <v>1130101</v>
      </c>
      <c r="T659" s="11" t="s">
        <v>48</v>
      </c>
      <c r="U659" s="12" t="n">
        <v>2177.83</v>
      </c>
      <c r="W659" s="12" t="n">
        <v>0</v>
      </c>
      <c r="X659" s="11" t="s">
        <v>739</v>
      </c>
      <c r="Z659" s="0" t="str">
        <f aca="false">IF($T659="","",IFERROR(INDEX('Resumo Grupos'!$AC$3:$AC$200,MATCH($T659,'Resumo Grupos'!$AB$3:$AB$200,0)),"n/d"))</f>
        <v>Mercadoria</v>
      </c>
      <c r="AA659" s="0" t="str">
        <f aca="false">IF($T659="","",IF(COUNTIF('Resumo Grupos'!$AE$3:$AE$40,$T659)&gt;0,"NAO","SIM"))</f>
        <v>SIM</v>
      </c>
      <c r="AB659" s="0" t="str">
        <f aca="false">IFERROR(INDEX('Mov Entradas (Rel 10497)'!$L:$L,MATCH(AC659,'Mov Entradas (Rel 10497)'!$I:$I,0)),"nao encontrado")</f>
        <v>CERV BRAHMA ZERO 350ML</v>
      </c>
      <c r="AC659" s="0" t="n">
        <v>877177</v>
      </c>
    </row>
    <row r="660" customFormat="false" ht="36.75" hidden="false" customHeight="true" outlineLevel="0" collapsed="false">
      <c r="A660" s="9" t="n">
        <v>2</v>
      </c>
      <c r="B660" s="10" t="n">
        <v>46202</v>
      </c>
      <c r="C660" s="10" t="n">
        <v>46206</v>
      </c>
      <c r="D660" s="9" t="n">
        <v>1621</v>
      </c>
      <c r="E660" s="11" t="s">
        <v>232</v>
      </c>
      <c r="F660" s="9" t="n">
        <v>24</v>
      </c>
      <c r="G660" s="11" t="s">
        <v>51</v>
      </c>
      <c r="H660" s="9" t="n">
        <v>2110101</v>
      </c>
      <c r="I660" s="11" t="s">
        <v>43</v>
      </c>
      <c r="J660" s="9" t="n">
        <v>1321861</v>
      </c>
      <c r="L660" s="9" t="n">
        <v>175257</v>
      </c>
      <c r="M660" s="11" t="s">
        <v>52</v>
      </c>
      <c r="N660" s="11" t="s">
        <v>45</v>
      </c>
      <c r="P660" s="9" t="n">
        <v>113</v>
      </c>
      <c r="Q660" s="11" t="s">
        <v>46</v>
      </c>
      <c r="R660" s="11" t="s">
        <v>47</v>
      </c>
      <c r="S660" s="9" t="n">
        <v>1130101</v>
      </c>
      <c r="T660" s="11" t="s">
        <v>48</v>
      </c>
      <c r="U660" s="12" t="n">
        <v>1.55</v>
      </c>
      <c r="W660" s="12" t="n">
        <v>0</v>
      </c>
      <c r="X660" s="11" t="s">
        <v>740</v>
      </c>
      <c r="Z660" s="0" t="str">
        <f aca="false">IF($T660="","",IFERROR(INDEX('Resumo Grupos'!$AC$3:$AC$200,MATCH($T660,'Resumo Grupos'!$AB$3:$AB$200,0)),"n/d"))</f>
        <v>Mercadoria</v>
      </c>
      <c r="AA660" s="0" t="str">
        <f aca="false">IF($T660="","",IF(COUNTIF('Resumo Grupos'!$AE$3:$AE$40,$T660)&gt;0,"NAO","SIM"))</f>
        <v>SIM</v>
      </c>
      <c r="AB660" s="0" t="str">
        <f aca="false">IFERROR(INDEX('Mov Entradas (Rel 10497)'!$L:$L,MATCH(AC660,'Mov Entradas (Rel 10497)'!$I:$I,0)),"nao encontrado")</f>
        <v>CERV BRAHMA ZERO 350ML</v>
      </c>
      <c r="AC660" s="0" t="n">
        <v>877177</v>
      </c>
    </row>
    <row r="661" customFormat="false" ht="27.75" hidden="false" customHeight="true" outlineLevel="0" collapsed="false">
      <c r="A661" s="9" t="n">
        <v>2</v>
      </c>
      <c r="B661" s="10" t="n">
        <v>46206</v>
      </c>
      <c r="C661" s="10" t="n">
        <v>46206</v>
      </c>
      <c r="D661" s="9" t="n">
        <v>340</v>
      </c>
      <c r="E661" s="11" t="s">
        <v>235</v>
      </c>
      <c r="F661" s="9" t="n">
        <v>34</v>
      </c>
      <c r="G661" s="11" t="s">
        <v>55</v>
      </c>
      <c r="H661" s="9" t="n">
        <v>2110405</v>
      </c>
      <c r="I661" s="11" t="s">
        <v>56</v>
      </c>
      <c r="J661" s="9" t="n">
        <v>1370455</v>
      </c>
      <c r="L661" s="9" t="n">
        <v>184276</v>
      </c>
      <c r="M661" s="11" t="s">
        <v>52</v>
      </c>
      <c r="N661" s="11" t="s">
        <v>45</v>
      </c>
      <c r="P661" s="9" t="n">
        <v>113</v>
      </c>
      <c r="Q661" s="11" t="s">
        <v>46</v>
      </c>
      <c r="R661" s="11" t="s">
        <v>71</v>
      </c>
      <c r="S661" s="9" t="n">
        <v>4210301</v>
      </c>
      <c r="T661" s="11" t="s">
        <v>220</v>
      </c>
      <c r="U661" s="12" t="n">
        <v>1514.86</v>
      </c>
      <c r="W661" s="12" t="n">
        <v>0</v>
      </c>
      <c r="X661" s="11" t="s">
        <v>732</v>
      </c>
      <c r="Z661" s="0" t="str">
        <f aca="false">IF($T661="","",IFERROR(INDEX('Resumo Grupos'!$AC$3:$AC$200,MATCH($T661,'Resumo Grupos'!$AB$3:$AB$200,0)),"n/d"))</f>
        <v>Salários</v>
      </c>
      <c r="AA661" s="0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9" t="n">
        <v>2</v>
      </c>
      <c r="B662" s="10" t="n">
        <v>46206</v>
      </c>
      <c r="C662" s="10" t="n">
        <v>46206</v>
      </c>
      <c r="D662" s="9" t="n">
        <v>340</v>
      </c>
      <c r="E662" s="11" t="s">
        <v>235</v>
      </c>
      <c r="F662" s="9" t="n">
        <v>7</v>
      </c>
      <c r="G662" s="11" t="s">
        <v>222</v>
      </c>
      <c r="H662" s="9" t="n">
        <v>2110405</v>
      </c>
      <c r="I662" s="11" t="s">
        <v>56</v>
      </c>
      <c r="J662" s="9" t="n">
        <v>1370456</v>
      </c>
      <c r="L662" s="9" t="n">
        <v>184277</v>
      </c>
      <c r="M662" s="11" t="s">
        <v>52</v>
      </c>
      <c r="N662" s="11" t="s">
        <v>45</v>
      </c>
      <c r="P662" s="9" t="n">
        <v>113</v>
      </c>
      <c r="Q662" s="11" t="s">
        <v>46</v>
      </c>
      <c r="R662" s="11" t="s">
        <v>71</v>
      </c>
      <c r="S662" s="9" t="n">
        <v>4210301</v>
      </c>
      <c r="T662" s="11" t="s">
        <v>220</v>
      </c>
      <c r="U662" s="12" t="n">
        <v>93.06</v>
      </c>
      <c r="W662" s="12" t="n">
        <v>0</v>
      </c>
      <c r="X662" s="11" t="s">
        <v>733</v>
      </c>
      <c r="Z662" s="0" t="str">
        <f aca="false">IF($T662="","",IFERROR(INDEX('Resumo Grupos'!$AC$3:$AC$200,MATCH($T662,'Resumo Grupos'!$AB$3:$AB$200,0)),"n/d"))</f>
        <v>Salários</v>
      </c>
      <c r="AA662" s="0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9" t="n">
        <v>2</v>
      </c>
      <c r="B663" s="10" t="n">
        <v>46191</v>
      </c>
      <c r="C663" s="10" t="n">
        <v>46206</v>
      </c>
      <c r="D663" s="9" t="n">
        <v>1718</v>
      </c>
      <c r="E663" s="11" t="s">
        <v>236</v>
      </c>
      <c r="F663" s="9" t="n">
        <v>24</v>
      </c>
      <c r="G663" s="11" t="s">
        <v>51</v>
      </c>
      <c r="H663" s="9" t="n">
        <v>2110101</v>
      </c>
      <c r="I663" s="11" t="s">
        <v>43</v>
      </c>
      <c r="J663" s="9" t="n">
        <v>1269265</v>
      </c>
      <c r="L663" s="9" t="n">
        <v>674938</v>
      </c>
      <c r="M663" s="11" t="s">
        <v>52</v>
      </c>
      <c r="N663" s="11" t="s">
        <v>37</v>
      </c>
      <c r="P663" s="9" t="n">
        <v>113</v>
      </c>
      <c r="Q663" s="11" t="s">
        <v>46</v>
      </c>
      <c r="R663" s="11" t="s">
        <v>47</v>
      </c>
      <c r="S663" s="9" t="n">
        <v>1130101</v>
      </c>
      <c r="T663" s="11" t="s">
        <v>48</v>
      </c>
      <c r="U663" s="12" t="n">
        <v>658.25</v>
      </c>
      <c r="W663" s="12" t="n">
        <v>0</v>
      </c>
      <c r="X663" s="11" t="s">
        <v>741</v>
      </c>
      <c r="Z663" s="0" t="str">
        <f aca="false">IF($T663="","",IFERROR(INDEX('Resumo Grupos'!$AC$3:$AC$200,MATCH($T663,'Resumo Grupos'!$AB$3:$AB$200,0)),"n/d"))</f>
        <v>Mercadoria</v>
      </c>
      <c r="AA663" s="0" t="str">
        <f aca="false">IF($T663="","",IF(COUNTIF('Resumo Grupos'!$AE$3:$AE$40,$T663)&gt;0,"NAO","SIM"))</f>
        <v>SIM</v>
      </c>
      <c r="AB663" s="0" t="str">
        <f aca="false">IFERROR(INDEX('Mov Entradas (Rel 10497)'!$L:$L,MATCH(AC663,'Mov Entradas (Rel 10497)'!$I:$I,0)),"nao encontrado")</f>
        <v>LAMINA BIC C5</v>
      </c>
      <c r="AC663" s="0" t="n">
        <v>674938</v>
      </c>
    </row>
    <row r="664" customFormat="false" ht="36.75" hidden="false" customHeight="true" outlineLevel="0" collapsed="false">
      <c r="A664" s="9" t="n">
        <v>2</v>
      </c>
      <c r="B664" s="10" t="n">
        <v>46191</v>
      </c>
      <c r="C664" s="10" t="n">
        <v>46206</v>
      </c>
      <c r="D664" s="9" t="n">
        <v>1718</v>
      </c>
      <c r="E664" s="11" t="s">
        <v>236</v>
      </c>
      <c r="F664" s="9" t="n">
        <v>24</v>
      </c>
      <c r="G664" s="11" t="s">
        <v>51</v>
      </c>
      <c r="H664" s="9" t="n">
        <v>2110101</v>
      </c>
      <c r="I664" s="11" t="s">
        <v>43</v>
      </c>
      <c r="J664" s="9" t="n">
        <v>1269305</v>
      </c>
      <c r="L664" s="9" t="n">
        <v>674937</v>
      </c>
      <c r="M664" s="11" t="s">
        <v>52</v>
      </c>
      <c r="N664" s="11" t="s">
        <v>37</v>
      </c>
      <c r="P664" s="9" t="n">
        <v>113</v>
      </c>
      <c r="Q664" s="11" t="s">
        <v>46</v>
      </c>
      <c r="R664" s="11" t="s">
        <v>47</v>
      </c>
      <c r="S664" s="9" t="n">
        <v>1130101</v>
      </c>
      <c r="T664" s="11" t="s">
        <v>48</v>
      </c>
      <c r="U664" s="12" t="n">
        <v>1055.34</v>
      </c>
      <c r="W664" s="12" t="n">
        <v>0</v>
      </c>
      <c r="X664" s="11" t="s">
        <v>742</v>
      </c>
      <c r="Z664" s="0" t="str">
        <f aca="false">IF($T664="","",IFERROR(INDEX('Resumo Grupos'!$AC$3:$AC$200,MATCH($T664,'Resumo Grupos'!$AB$3:$AB$200,0)),"n/d"))</f>
        <v>Mercadoria</v>
      </c>
      <c r="AA664" s="0" t="str">
        <f aca="false">IF($T664="","",IF(COUNTIF('Resumo Grupos'!$AE$3:$AE$40,$T664)&gt;0,"NAO","SIM"))</f>
        <v>SIM</v>
      </c>
      <c r="AB664" s="0" t="str">
        <f aca="false">IFERROR(INDEX('Mov Entradas (Rel 10497)'!$L:$L,MATCH(AC664,'Mov Entradas (Rel 10497)'!$I:$I,0)),"nao encontrado")</f>
        <v>BISCOITO OREO 36G</v>
      </c>
      <c r="AC664" s="0" t="n">
        <v>674937</v>
      </c>
    </row>
    <row r="665" customFormat="false" ht="36.75" hidden="false" customHeight="true" outlineLevel="0" collapsed="false">
      <c r="A665" s="9" t="n">
        <v>2</v>
      </c>
      <c r="B665" s="10" t="n">
        <v>46195</v>
      </c>
      <c r="C665" s="10" t="n">
        <v>46206</v>
      </c>
      <c r="D665" s="9" t="n">
        <v>1608</v>
      </c>
      <c r="E665" s="11" t="s">
        <v>240</v>
      </c>
      <c r="F665" s="9" t="n">
        <v>24</v>
      </c>
      <c r="G665" s="11" t="s">
        <v>51</v>
      </c>
      <c r="H665" s="9" t="n">
        <v>2110101</v>
      </c>
      <c r="I665" s="11" t="s">
        <v>43</v>
      </c>
      <c r="J665" s="9" t="n">
        <v>1289449</v>
      </c>
      <c r="L665" s="9" t="n">
        <v>1676804</v>
      </c>
      <c r="M665" s="11" t="s">
        <v>52</v>
      </c>
      <c r="N665" s="11" t="s">
        <v>37</v>
      </c>
      <c r="P665" s="9" t="n">
        <v>113</v>
      </c>
      <c r="Q665" s="11" t="s">
        <v>46</v>
      </c>
      <c r="R665" s="11" t="s">
        <v>47</v>
      </c>
      <c r="S665" s="9" t="n">
        <v>1130101</v>
      </c>
      <c r="T665" s="11" t="s">
        <v>48</v>
      </c>
      <c r="U665" s="12" t="n">
        <v>1154.89</v>
      </c>
      <c r="W665" s="12" t="n">
        <v>0</v>
      </c>
      <c r="X665" s="11" t="s">
        <v>743</v>
      </c>
      <c r="Z665" s="0" t="str">
        <f aca="false">IF($T665="","",IFERROR(INDEX('Resumo Grupos'!$AC$3:$AC$200,MATCH($T665,'Resumo Grupos'!$AB$3:$AB$200,0)),"n/d"))</f>
        <v>Mercadoria</v>
      </c>
      <c r="AA665" s="0" t="str">
        <f aca="false">IF($T665="","",IF(COUNTIF('Resumo Grupos'!$AE$3:$AE$40,$T665)&gt;0,"NAO","SIM"))</f>
        <v>SIM</v>
      </c>
      <c r="AB665" s="0" t="str">
        <f aca="false">IFERROR(INDEX('Mov Entradas (Rel 10497)'!$L:$L,MATCH(AC665,'Mov Entradas (Rel 10497)'!$I:$I,0)),"nao encontrado")</f>
        <v>TODDYNHO CHOCOLATE</v>
      </c>
      <c r="AC665" s="0" t="n">
        <v>1676804</v>
      </c>
    </row>
    <row r="666" customFormat="false" ht="36.75" hidden="false" customHeight="true" outlineLevel="0" collapsed="false">
      <c r="A666" s="9" t="n">
        <v>2</v>
      </c>
      <c r="B666" s="10" t="n">
        <v>46186</v>
      </c>
      <c r="C666" s="10" t="n">
        <v>46206</v>
      </c>
      <c r="D666" s="9" t="n">
        <v>1636</v>
      </c>
      <c r="E666" s="11" t="s">
        <v>61</v>
      </c>
      <c r="F666" s="9" t="n">
        <v>24</v>
      </c>
      <c r="G666" s="11" t="s">
        <v>51</v>
      </c>
      <c r="H666" s="9" t="n">
        <v>2110101</v>
      </c>
      <c r="I666" s="11" t="s">
        <v>43</v>
      </c>
      <c r="J666" s="9" t="n">
        <v>1244627</v>
      </c>
      <c r="L666" s="9" t="n">
        <v>3201857</v>
      </c>
      <c r="M666" s="11" t="s">
        <v>52</v>
      </c>
      <c r="N666" s="11" t="s">
        <v>37</v>
      </c>
      <c r="P666" s="9" t="n">
        <v>113</v>
      </c>
      <c r="Q666" s="11" t="s">
        <v>46</v>
      </c>
      <c r="R666" s="11" t="s">
        <v>47</v>
      </c>
      <c r="S666" s="9" t="n">
        <v>1130101</v>
      </c>
      <c r="T666" s="11" t="s">
        <v>48</v>
      </c>
      <c r="U666" s="12" t="n">
        <v>892.08</v>
      </c>
      <c r="W666" s="12" t="n">
        <v>0</v>
      </c>
      <c r="X666" s="11" t="s">
        <v>744</v>
      </c>
      <c r="Z666" s="0" t="str">
        <f aca="false">IF($T666="","",IFERROR(INDEX('Resumo Grupos'!$AC$3:$AC$200,MATCH($T666,'Resumo Grupos'!$AB$3:$AB$200,0)),"n/d"))</f>
        <v>Mercadoria</v>
      </c>
      <c r="AA666" s="0" t="str">
        <f aca="false">IF($T666="","",IF(COUNTIF('Resumo Grupos'!$AE$3:$AE$40,$T666)&gt;0,"NAO","SIM"))</f>
        <v>SIM</v>
      </c>
      <c r="AB666" s="0" t="str">
        <f aca="false">IFERROR(INDEX('Mov Entradas (Rel 10497)'!$L:$L,MATCH(AC666,'Mov Entradas (Rel 10497)'!$I:$I,0)),"nao encontrado")</f>
        <v>INSETIC BAYGON ACAO EUCALI 360ML</v>
      </c>
      <c r="AC666" s="0" t="n">
        <v>3201857</v>
      </c>
    </row>
    <row r="667" customFormat="false" ht="36.75" hidden="false" customHeight="true" outlineLevel="0" collapsed="false">
      <c r="A667" s="9" t="n">
        <v>2</v>
      </c>
      <c r="B667" s="10" t="n">
        <v>46206</v>
      </c>
      <c r="C667" s="10" t="n">
        <v>46206</v>
      </c>
      <c r="D667" s="9" t="n">
        <v>23</v>
      </c>
      <c r="E667" s="11" t="s">
        <v>243</v>
      </c>
      <c r="F667" s="9" t="n">
        <v>7</v>
      </c>
      <c r="G667" s="11" t="s">
        <v>222</v>
      </c>
      <c r="H667" s="9" t="n">
        <v>2110405</v>
      </c>
      <c r="I667" s="11" t="s">
        <v>56</v>
      </c>
      <c r="J667" s="9" t="n">
        <v>1370463</v>
      </c>
      <c r="L667" s="9" t="n">
        <v>184279</v>
      </c>
      <c r="M667" s="11" t="s">
        <v>52</v>
      </c>
      <c r="N667" s="11" t="s">
        <v>45</v>
      </c>
      <c r="P667" s="9" t="n">
        <v>113</v>
      </c>
      <c r="Q667" s="11" t="s">
        <v>46</v>
      </c>
      <c r="R667" s="11" t="s">
        <v>71</v>
      </c>
      <c r="S667" s="9" t="n">
        <v>4210301</v>
      </c>
      <c r="T667" s="11" t="s">
        <v>220</v>
      </c>
      <c r="U667" s="12" t="n">
        <v>999.58</v>
      </c>
      <c r="W667" s="12" t="n">
        <v>0</v>
      </c>
      <c r="X667" s="11" t="s">
        <v>745</v>
      </c>
      <c r="Z667" s="0" t="str">
        <f aca="false">IF($T667="","",IFERROR(INDEX('Resumo Grupos'!$AC$3:$AC$200,MATCH($T667,'Resumo Grupos'!$AB$3:$AB$200,0)),"n/d"))</f>
        <v>Salários</v>
      </c>
      <c r="AA667" s="0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9" t="n">
        <v>2</v>
      </c>
      <c r="B668" s="10" t="n">
        <v>46206</v>
      </c>
      <c r="C668" s="10" t="n">
        <v>46206</v>
      </c>
      <c r="D668" s="9" t="n">
        <v>23</v>
      </c>
      <c r="E668" s="11" t="s">
        <v>243</v>
      </c>
      <c r="F668" s="9" t="n">
        <v>34</v>
      </c>
      <c r="G668" s="11" t="s">
        <v>55</v>
      </c>
      <c r="H668" s="9" t="n">
        <v>2110405</v>
      </c>
      <c r="I668" s="11" t="s">
        <v>56</v>
      </c>
      <c r="J668" s="9" t="n">
        <v>1370482</v>
      </c>
      <c r="L668" s="9" t="n">
        <v>184280</v>
      </c>
      <c r="M668" s="11" t="s">
        <v>52</v>
      </c>
      <c r="N668" s="11" t="s">
        <v>45</v>
      </c>
      <c r="P668" s="9" t="n">
        <v>113</v>
      </c>
      <c r="Q668" s="11" t="s">
        <v>46</v>
      </c>
      <c r="R668" s="11" t="s">
        <v>71</v>
      </c>
      <c r="S668" s="9" t="n">
        <v>4210301</v>
      </c>
      <c r="T668" s="11" t="s">
        <v>220</v>
      </c>
      <c r="U668" s="12" t="n">
        <v>350.42</v>
      </c>
      <c r="W668" s="12" t="n">
        <v>0</v>
      </c>
      <c r="X668" s="11" t="s">
        <v>732</v>
      </c>
      <c r="Z668" s="0" t="str">
        <f aca="false">IF($T668="","",IFERROR(INDEX('Resumo Grupos'!$AC$3:$AC$200,MATCH($T668,'Resumo Grupos'!$AB$3:$AB$200,0)),"n/d"))</f>
        <v>Salários</v>
      </c>
      <c r="AA668" s="0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9" t="n">
        <v>2</v>
      </c>
      <c r="B669" s="10" t="n">
        <v>46206</v>
      </c>
      <c r="C669" s="10" t="n">
        <v>46206</v>
      </c>
      <c r="D669" s="9" t="n">
        <v>73</v>
      </c>
      <c r="E669" s="11" t="s">
        <v>70</v>
      </c>
      <c r="F669" s="9" t="n">
        <v>34</v>
      </c>
      <c r="G669" s="11" t="s">
        <v>55</v>
      </c>
      <c r="H669" s="9" t="n">
        <v>2110405</v>
      </c>
      <c r="I669" s="11" t="s">
        <v>56</v>
      </c>
      <c r="J669" s="9" t="n">
        <v>1370496</v>
      </c>
      <c r="L669" s="9" t="n">
        <v>184281</v>
      </c>
      <c r="M669" s="11" t="s">
        <v>52</v>
      </c>
      <c r="N669" s="11" t="s">
        <v>45</v>
      </c>
      <c r="P669" s="9" t="n">
        <v>113</v>
      </c>
      <c r="Q669" s="11" t="s">
        <v>46</v>
      </c>
      <c r="R669" s="11" t="s">
        <v>71</v>
      </c>
      <c r="S669" s="9" t="n">
        <v>4210301</v>
      </c>
      <c r="T669" s="11" t="s">
        <v>220</v>
      </c>
      <c r="U669" s="12" t="n">
        <v>1122.72</v>
      </c>
      <c r="W669" s="12" t="n">
        <v>0</v>
      </c>
      <c r="X669" s="11" t="s">
        <v>732</v>
      </c>
      <c r="Z669" s="0" t="str">
        <f aca="false">IF($T669="","",IFERROR(INDEX('Resumo Grupos'!$AC$3:$AC$200,MATCH($T669,'Resumo Grupos'!$AB$3:$AB$200,0)),"n/d"))</f>
        <v>Salários</v>
      </c>
      <c r="AA669" s="0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9" t="n">
        <v>2</v>
      </c>
      <c r="B670" s="10" t="n">
        <v>46206</v>
      </c>
      <c r="C670" s="10" t="n">
        <v>46206</v>
      </c>
      <c r="D670" s="9" t="n">
        <v>73</v>
      </c>
      <c r="E670" s="11" t="s">
        <v>70</v>
      </c>
      <c r="F670" s="9" t="n">
        <v>7</v>
      </c>
      <c r="G670" s="11" t="s">
        <v>222</v>
      </c>
      <c r="H670" s="9" t="n">
        <v>2110405</v>
      </c>
      <c r="I670" s="11" t="s">
        <v>56</v>
      </c>
      <c r="J670" s="9" t="n">
        <v>1370502</v>
      </c>
      <c r="L670" s="9" t="n">
        <v>184282</v>
      </c>
      <c r="M670" s="11" t="s">
        <v>52</v>
      </c>
      <c r="N670" s="11" t="s">
        <v>45</v>
      </c>
      <c r="P670" s="9" t="n">
        <v>113</v>
      </c>
      <c r="Q670" s="11" t="s">
        <v>46</v>
      </c>
      <c r="R670" s="11" t="s">
        <v>71</v>
      </c>
      <c r="S670" s="9" t="n">
        <v>4210301</v>
      </c>
      <c r="T670" s="11" t="s">
        <v>220</v>
      </c>
      <c r="U670" s="12" t="n">
        <v>48.67</v>
      </c>
      <c r="W670" s="12" t="n">
        <v>0</v>
      </c>
      <c r="X670" s="11" t="s">
        <v>733</v>
      </c>
      <c r="Z670" s="0" t="str">
        <f aca="false">IF($T670="","",IFERROR(INDEX('Resumo Grupos'!$AC$3:$AC$200,MATCH($T670,'Resumo Grupos'!$AB$3:$AB$200,0)),"n/d"))</f>
        <v>Salários</v>
      </c>
      <c r="AA670" s="0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9" t="n">
        <v>2</v>
      </c>
      <c r="B671" s="10" t="n">
        <v>46206</v>
      </c>
      <c r="C671" s="10" t="n">
        <v>46206</v>
      </c>
      <c r="D671" s="9" t="n">
        <v>1037</v>
      </c>
      <c r="E671" s="11" t="s">
        <v>134</v>
      </c>
      <c r="F671" s="9" t="n">
        <v>34</v>
      </c>
      <c r="G671" s="11" t="s">
        <v>55</v>
      </c>
      <c r="H671" s="9" t="n">
        <v>2110405</v>
      </c>
      <c r="I671" s="11" t="s">
        <v>56</v>
      </c>
      <c r="J671" s="9" t="n">
        <v>1345240</v>
      </c>
      <c r="L671" s="9" t="n">
        <v>180664</v>
      </c>
      <c r="M671" s="11" t="s">
        <v>52</v>
      </c>
      <c r="N671" s="11" t="s">
        <v>45</v>
      </c>
      <c r="P671" s="9" t="n">
        <v>102</v>
      </c>
      <c r="Q671" s="11" t="s">
        <v>308</v>
      </c>
      <c r="R671" s="11" t="s">
        <v>81</v>
      </c>
      <c r="S671" s="9" t="n">
        <v>4220199</v>
      </c>
      <c r="T671" s="11" t="s">
        <v>82</v>
      </c>
      <c r="U671" s="12" t="n">
        <v>2875</v>
      </c>
      <c r="W671" s="12" t="n">
        <v>0</v>
      </c>
      <c r="X671" s="11" t="s">
        <v>746</v>
      </c>
      <c r="Z671" s="0" t="str">
        <f aca="false">IF($T671="","",IFERROR(INDEX('Resumo Grupos'!$AC$3:$AC$200,MATCH($T671,'Resumo Grupos'!$AB$3:$AB$200,0)),"n/d"))</f>
        <v>Pagamentos outros não operacionais</v>
      </c>
      <c r="AA671" s="0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9" t="n">
        <v>2</v>
      </c>
      <c r="B672" s="10" t="n">
        <v>46206</v>
      </c>
      <c r="C672" s="10" t="n">
        <v>46206</v>
      </c>
      <c r="D672" s="9" t="n">
        <v>1037</v>
      </c>
      <c r="E672" s="11" t="s">
        <v>134</v>
      </c>
      <c r="F672" s="9" t="n">
        <v>13</v>
      </c>
      <c r="G672" s="11" t="s">
        <v>135</v>
      </c>
      <c r="H672" s="9" t="n">
        <v>2110101</v>
      </c>
      <c r="I672" s="11" t="s">
        <v>43</v>
      </c>
      <c r="J672" s="9" t="n">
        <v>1345399</v>
      </c>
      <c r="L672" s="9" t="n">
        <v>180710</v>
      </c>
      <c r="M672" s="11" t="s">
        <v>52</v>
      </c>
      <c r="N672" s="11" t="s">
        <v>45</v>
      </c>
      <c r="P672" s="9" t="n">
        <v>113</v>
      </c>
      <c r="Q672" s="11" t="s">
        <v>46</v>
      </c>
      <c r="R672" s="11" t="s">
        <v>47</v>
      </c>
      <c r="S672" s="9" t="n">
        <v>1130101</v>
      </c>
      <c r="T672" s="11" t="s">
        <v>48</v>
      </c>
      <c r="U672" s="12" t="n">
        <v>280</v>
      </c>
      <c r="W672" s="12" t="n">
        <v>0</v>
      </c>
      <c r="X672" s="11" t="s">
        <v>747</v>
      </c>
      <c r="Z672" s="0" t="str">
        <f aca="false">IF($T672="","",IFERROR(INDEX('Resumo Grupos'!$AC$3:$AC$200,MATCH($T672,'Resumo Grupos'!$AB$3:$AB$200,0)),"n/d"))</f>
        <v>Mercadoria</v>
      </c>
      <c r="AA672" s="0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9" t="n">
        <v>2</v>
      </c>
      <c r="B673" s="10" t="n">
        <v>46185</v>
      </c>
      <c r="C673" s="10" t="n">
        <v>46206</v>
      </c>
      <c r="D673" s="9" t="n">
        <v>1667</v>
      </c>
      <c r="E673" s="11" t="s">
        <v>77</v>
      </c>
      <c r="F673" s="9" t="n">
        <v>24</v>
      </c>
      <c r="G673" s="11" t="s">
        <v>51</v>
      </c>
      <c r="H673" s="9" t="n">
        <v>2110101</v>
      </c>
      <c r="I673" s="11" t="s">
        <v>43</v>
      </c>
      <c r="J673" s="9" t="n">
        <v>1240610</v>
      </c>
      <c r="L673" s="9" t="n">
        <v>165331</v>
      </c>
      <c r="M673" s="11" t="s">
        <v>52</v>
      </c>
      <c r="N673" s="11" t="s">
        <v>45</v>
      </c>
      <c r="P673" s="9" t="n">
        <v>113</v>
      </c>
      <c r="Q673" s="11" t="s">
        <v>46</v>
      </c>
      <c r="R673" s="11" t="s">
        <v>47</v>
      </c>
      <c r="S673" s="9" t="n">
        <v>1130101</v>
      </c>
      <c r="T673" s="11" t="s">
        <v>48</v>
      </c>
      <c r="U673" s="12" t="n">
        <v>866.36</v>
      </c>
      <c r="W673" s="12" t="n">
        <v>0</v>
      </c>
      <c r="X673" s="11" t="s">
        <v>597</v>
      </c>
      <c r="Z673" s="0" t="str">
        <f aca="false">IF($T673="","",IFERROR(INDEX('Resumo Grupos'!$AC$3:$AC$200,MATCH($T673,'Resumo Grupos'!$AB$3:$AB$200,0)),"n/d"))</f>
        <v>Mercadoria</v>
      </c>
      <c r="AA673" s="0" t="str">
        <f aca="false">IF($T673="","",IF(COUNTIF('Resumo Grupos'!$AE$3:$AE$40,$T673)&gt;0,"NAO","SIM"))</f>
        <v>SIM</v>
      </c>
      <c r="AB673" s="0" t="str">
        <f aca="false">IFERROR(INDEX('Mov Entradas (Rel 10497)'!$L:$L,MATCH(AC673,'Mov Entradas (Rel 10497)'!$I:$I,0)),"nao encontrado")</f>
        <v>MINGUAL D AVEIA ALL</v>
      </c>
      <c r="AC673" s="0" t="n">
        <v>394904</v>
      </c>
    </row>
    <row r="674" customFormat="false" ht="36.75" hidden="false" customHeight="true" outlineLevel="0" collapsed="false">
      <c r="A674" s="9" t="n">
        <v>2</v>
      </c>
      <c r="B674" s="10" t="n">
        <v>46206</v>
      </c>
      <c r="C674" s="10" t="n">
        <v>46206</v>
      </c>
      <c r="D674" s="9" t="n">
        <v>12</v>
      </c>
      <c r="E674" s="11" t="s">
        <v>79</v>
      </c>
      <c r="F674" s="9" t="n">
        <v>34</v>
      </c>
      <c r="G674" s="11" t="s">
        <v>55</v>
      </c>
      <c r="H674" s="9" t="n">
        <v>2110405</v>
      </c>
      <c r="I674" s="11" t="s">
        <v>56</v>
      </c>
      <c r="J674" s="9" t="n">
        <v>1370507</v>
      </c>
      <c r="L674" s="9" t="n">
        <v>184284</v>
      </c>
      <c r="M674" s="11" t="s">
        <v>52</v>
      </c>
      <c r="N674" s="11" t="s">
        <v>45</v>
      </c>
      <c r="P674" s="9" t="n">
        <v>113</v>
      </c>
      <c r="Q674" s="11" t="s">
        <v>46</v>
      </c>
      <c r="R674" s="11" t="s">
        <v>71</v>
      </c>
      <c r="S674" s="9" t="n">
        <v>4210301</v>
      </c>
      <c r="T674" s="11" t="s">
        <v>220</v>
      </c>
      <c r="U674" s="12" t="n">
        <v>753.77</v>
      </c>
      <c r="W674" s="12" t="n">
        <v>0</v>
      </c>
      <c r="X674" s="11" t="s">
        <v>732</v>
      </c>
      <c r="Z674" s="0" t="str">
        <f aca="false">IF($T674="","",IFERROR(INDEX('Resumo Grupos'!$AC$3:$AC$200,MATCH($T674,'Resumo Grupos'!$AB$3:$AB$200,0)),"n/d"))</f>
        <v>Salários</v>
      </c>
      <c r="AA674" s="0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9" t="n">
        <v>2</v>
      </c>
      <c r="B675" s="10" t="n">
        <v>46206</v>
      </c>
      <c r="C675" s="10" t="n">
        <v>46206</v>
      </c>
      <c r="D675" s="9" t="n">
        <v>12</v>
      </c>
      <c r="E675" s="11" t="s">
        <v>79</v>
      </c>
      <c r="F675" s="9" t="n">
        <v>7</v>
      </c>
      <c r="G675" s="11" t="s">
        <v>222</v>
      </c>
      <c r="H675" s="9" t="n">
        <v>2110405</v>
      </c>
      <c r="I675" s="11" t="s">
        <v>56</v>
      </c>
      <c r="J675" s="9" t="n">
        <v>1370511</v>
      </c>
      <c r="L675" s="9" t="n">
        <v>184286</v>
      </c>
      <c r="M675" s="11" t="s">
        <v>52</v>
      </c>
      <c r="N675" s="11" t="s">
        <v>45</v>
      </c>
      <c r="P675" s="9" t="n">
        <v>113</v>
      </c>
      <c r="Q675" s="11" t="s">
        <v>46</v>
      </c>
      <c r="R675" s="11" t="s">
        <v>71</v>
      </c>
      <c r="S675" s="9" t="n">
        <v>4210301</v>
      </c>
      <c r="T675" s="11" t="s">
        <v>220</v>
      </c>
      <c r="U675" s="12" t="n">
        <v>615.49</v>
      </c>
      <c r="W675" s="12" t="n">
        <v>0</v>
      </c>
      <c r="X675" s="11" t="s">
        <v>748</v>
      </c>
      <c r="Z675" s="0" t="str">
        <f aca="false">IF($T675="","",IFERROR(INDEX('Resumo Grupos'!$AC$3:$AC$200,MATCH($T675,'Resumo Grupos'!$AB$3:$AB$200,0)),"n/d"))</f>
        <v>Salários</v>
      </c>
      <c r="AA675" s="0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9" t="n">
        <v>2</v>
      </c>
      <c r="B676" s="10" t="n">
        <v>46206</v>
      </c>
      <c r="C676" s="10" t="n">
        <v>46206</v>
      </c>
      <c r="D676" s="9" t="n">
        <v>10096</v>
      </c>
      <c r="E676" s="11" t="s">
        <v>622</v>
      </c>
      <c r="F676" s="9" t="n">
        <v>13</v>
      </c>
      <c r="G676" s="11" t="s">
        <v>135</v>
      </c>
      <c r="H676" s="9" t="n">
        <v>2110405</v>
      </c>
      <c r="I676" s="11" t="s">
        <v>56</v>
      </c>
      <c r="J676" s="9" t="n">
        <v>1428689</v>
      </c>
      <c r="L676" s="9" t="n">
        <v>191305</v>
      </c>
      <c r="M676" s="11" t="s">
        <v>52</v>
      </c>
      <c r="N676" s="11" t="s">
        <v>45</v>
      </c>
      <c r="P676" s="9" t="n">
        <v>113</v>
      </c>
      <c r="Q676" s="11" t="s">
        <v>46</v>
      </c>
      <c r="R676" s="11" t="s">
        <v>47</v>
      </c>
      <c r="S676" s="9" t="n">
        <v>1130101</v>
      </c>
      <c r="T676" s="11" t="s">
        <v>48</v>
      </c>
      <c r="U676" s="12" t="n">
        <v>120</v>
      </c>
      <c r="W676" s="12" t="n">
        <v>0</v>
      </c>
      <c r="X676" s="11" t="s">
        <v>749</v>
      </c>
      <c r="Z676" s="0" t="str">
        <f aca="false">IF($T676="","",IFERROR(INDEX('Resumo Grupos'!$AC$3:$AC$200,MATCH($T676,'Resumo Grupos'!$AB$3:$AB$200,0)),"n/d"))</f>
        <v>Mercadoria</v>
      </c>
      <c r="AA676" s="0" t="str">
        <f aca="false">IF($T676="","",IF(COUNTIF('Resumo Grupos'!$AE$3:$AE$40,$T676)&gt;0,"NAO","SIM"))</f>
        <v>SIM</v>
      </c>
      <c r="AB676" s="0" t="str">
        <f aca="false">IFERROR(INDEX('Mov Entradas (Rel 10497)'!$L:$L,MATCH(AC676,'Mov Entradas (Rel 10497)'!$I:$I,0)),"nao encontrado")</f>
        <v>BOLO MIYAZAKI GRANDE</v>
      </c>
      <c r="AC676" s="0" t="n">
        <v>17</v>
      </c>
    </row>
    <row r="677" customFormat="false" ht="27.75" hidden="false" customHeight="true" outlineLevel="0" collapsed="false">
      <c r="A677" s="9" t="n">
        <v>2</v>
      </c>
      <c r="B677" s="10" t="n">
        <v>46206</v>
      </c>
      <c r="C677" s="10" t="n">
        <v>46206</v>
      </c>
      <c r="D677" s="9" t="n">
        <v>22</v>
      </c>
      <c r="E677" s="11" t="s">
        <v>245</v>
      </c>
      <c r="F677" s="9" t="n">
        <v>34</v>
      </c>
      <c r="G677" s="11" t="s">
        <v>55</v>
      </c>
      <c r="H677" s="9" t="n">
        <v>2110405</v>
      </c>
      <c r="I677" s="11" t="s">
        <v>56</v>
      </c>
      <c r="J677" s="9" t="n">
        <v>1370526</v>
      </c>
      <c r="L677" s="9" t="n">
        <v>184292</v>
      </c>
      <c r="M677" s="11" t="s">
        <v>52</v>
      </c>
      <c r="N677" s="11" t="s">
        <v>45</v>
      </c>
      <c r="P677" s="9" t="n">
        <v>113</v>
      </c>
      <c r="Q677" s="11" t="s">
        <v>46</v>
      </c>
      <c r="R677" s="11" t="s">
        <v>71</v>
      </c>
      <c r="S677" s="9" t="n">
        <v>4210301</v>
      </c>
      <c r="T677" s="11" t="s">
        <v>220</v>
      </c>
      <c r="U677" s="12" t="n">
        <v>988.46</v>
      </c>
      <c r="W677" s="12" t="n">
        <v>0</v>
      </c>
      <c r="X677" s="11" t="s">
        <v>732</v>
      </c>
      <c r="Z677" s="0" t="str">
        <f aca="false">IF($T677="","",IFERROR(INDEX('Resumo Grupos'!$AC$3:$AC$200,MATCH($T677,'Resumo Grupos'!$AB$3:$AB$200,0)),"n/d"))</f>
        <v>Salários</v>
      </c>
      <c r="AA677" s="0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9" t="n">
        <v>2</v>
      </c>
      <c r="B678" s="10" t="n">
        <v>46206</v>
      </c>
      <c r="C678" s="10" t="n">
        <v>46206</v>
      </c>
      <c r="D678" s="9" t="n">
        <v>22</v>
      </c>
      <c r="E678" s="11" t="s">
        <v>245</v>
      </c>
      <c r="F678" s="9" t="n">
        <v>7</v>
      </c>
      <c r="G678" s="11" t="s">
        <v>222</v>
      </c>
      <c r="H678" s="9" t="n">
        <v>2110405</v>
      </c>
      <c r="I678" s="11" t="s">
        <v>56</v>
      </c>
      <c r="J678" s="9" t="n">
        <v>1370530</v>
      </c>
      <c r="L678" s="9" t="n">
        <v>184295</v>
      </c>
      <c r="M678" s="11" t="s">
        <v>52</v>
      </c>
      <c r="N678" s="11" t="s">
        <v>45</v>
      </c>
      <c r="P678" s="9" t="n">
        <v>113</v>
      </c>
      <c r="Q678" s="11" t="s">
        <v>46</v>
      </c>
      <c r="R678" s="11" t="s">
        <v>71</v>
      </c>
      <c r="S678" s="9" t="n">
        <v>4210301</v>
      </c>
      <c r="T678" s="11" t="s">
        <v>220</v>
      </c>
      <c r="U678" s="12" t="n">
        <v>369.07</v>
      </c>
      <c r="W678" s="12" t="n">
        <v>0</v>
      </c>
      <c r="X678" s="11" t="s">
        <v>750</v>
      </c>
      <c r="Z678" s="0" t="str">
        <f aca="false">IF($T678="","",IFERROR(INDEX('Resumo Grupos'!$AC$3:$AC$200,MATCH($T678,'Resumo Grupos'!$AB$3:$AB$200,0)),"n/d"))</f>
        <v>Salários</v>
      </c>
      <c r="AA678" s="0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9" t="n">
        <v>2</v>
      </c>
      <c r="B679" s="10" t="n">
        <v>46202</v>
      </c>
      <c r="C679" s="10" t="n">
        <v>46206</v>
      </c>
      <c r="D679" s="9" t="n">
        <v>1815</v>
      </c>
      <c r="E679" s="11" t="s">
        <v>172</v>
      </c>
      <c r="F679" s="9" t="n">
        <v>24</v>
      </c>
      <c r="G679" s="11" t="s">
        <v>51</v>
      </c>
      <c r="H679" s="9" t="n">
        <v>2110101</v>
      </c>
      <c r="I679" s="11" t="s">
        <v>43</v>
      </c>
      <c r="J679" s="9" t="n">
        <v>1321695</v>
      </c>
      <c r="L679" s="9" t="n">
        <v>175255</v>
      </c>
      <c r="M679" s="11" t="s">
        <v>52</v>
      </c>
      <c r="N679" s="11" t="s">
        <v>45</v>
      </c>
      <c r="P679" s="9" t="n">
        <v>113</v>
      </c>
      <c r="Q679" s="11" t="s">
        <v>46</v>
      </c>
      <c r="R679" s="11" t="s">
        <v>47</v>
      </c>
      <c r="S679" s="9" t="n">
        <v>1130101</v>
      </c>
      <c r="T679" s="11" t="s">
        <v>48</v>
      </c>
      <c r="U679" s="12" t="n">
        <v>371.88</v>
      </c>
      <c r="W679" s="12" t="n">
        <v>0</v>
      </c>
      <c r="X679" s="11" t="s">
        <v>751</v>
      </c>
      <c r="Z679" s="0" t="str">
        <f aca="false">IF($T679="","",IFERROR(INDEX('Resumo Grupos'!$AC$3:$AC$200,MATCH($T679,'Resumo Grupos'!$AB$3:$AB$200,0)),"n/d"))</f>
        <v>Mercadoria</v>
      </c>
      <c r="AA679" s="0" t="str">
        <f aca="false">IF($T679="","",IF(COUNTIF('Resumo Grupos'!$AE$3:$AE$40,$T679)&gt;0,"NAO","SIM"))</f>
        <v>SIM</v>
      </c>
      <c r="AB679" s="0" t="str">
        <f aca="false">IFERROR(INDEX('Mov Entradas (Rel 10497)'!$L:$L,MATCH(AC679,'Mov Entradas (Rel 10497)'!$I:$I,0)),"nao encontrado")</f>
        <v>CORACAO DE FRANGO KG</v>
      </c>
      <c r="AC679" s="0" t="n">
        <v>389368</v>
      </c>
    </row>
    <row r="680" customFormat="false" ht="45.75" hidden="false" customHeight="true" outlineLevel="0" collapsed="false">
      <c r="A680" s="9" t="n">
        <v>2</v>
      </c>
      <c r="B680" s="10" t="n">
        <v>46199</v>
      </c>
      <c r="C680" s="10" t="n">
        <v>46206</v>
      </c>
      <c r="D680" s="9" t="n">
        <v>1699</v>
      </c>
      <c r="E680" s="11" t="s">
        <v>248</v>
      </c>
      <c r="F680" s="9" t="n">
        <v>24</v>
      </c>
      <c r="G680" s="11" t="s">
        <v>51</v>
      </c>
      <c r="H680" s="9" t="n">
        <v>2110101</v>
      </c>
      <c r="I680" s="11" t="s">
        <v>43</v>
      </c>
      <c r="J680" s="9" t="n">
        <v>1310401</v>
      </c>
      <c r="L680" s="9" t="n">
        <v>305929</v>
      </c>
      <c r="M680" s="11" t="s">
        <v>52</v>
      </c>
      <c r="N680" s="11" t="s">
        <v>37</v>
      </c>
      <c r="P680" s="9" t="n">
        <v>113</v>
      </c>
      <c r="Q680" s="11" t="s">
        <v>46</v>
      </c>
      <c r="R680" s="11" t="s">
        <v>47</v>
      </c>
      <c r="S680" s="9" t="n">
        <v>1130101</v>
      </c>
      <c r="T680" s="11" t="s">
        <v>48</v>
      </c>
      <c r="U680" s="12" t="n">
        <v>1184.07</v>
      </c>
      <c r="W680" s="12" t="n">
        <v>0</v>
      </c>
      <c r="X680" s="11" t="s">
        <v>752</v>
      </c>
      <c r="Z680" s="0" t="str">
        <f aca="false">IF($T680="","",IFERROR(INDEX('Resumo Grupos'!$AC$3:$AC$200,MATCH($T680,'Resumo Grupos'!$AB$3:$AB$200,0)),"n/d"))</f>
        <v>Mercadoria</v>
      </c>
      <c r="AA680" s="0" t="str">
        <f aca="false">IF($T680="","",IF(COUNTIF('Resumo Grupos'!$AE$3:$AE$40,$T680)&gt;0,"NAO","SIM"))</f>
        <v>SIM</v>
      </c>
      <c r="AB680" s="0" t="str">
        <f aca="false">IFERROR(INDEX('Mov Entradas (Rel 10497)'!$L:$L,MATCH(AC680,'Mov Entradas (Rel 10497)'!$I:$I,0)),"nao encontrado")</f>
        <v>LING CALABRESA PERD</v>
      </c>
      <c r="AC680" s="0" t="n">
        <v>305929</v>
      </c>
    </row>
    <row r="681" customFormat="false" ht="54.75" hidden="false" customHeight="true" outlineLevel="0" collapsed="false">
      <c r="A681" s="9" t="n">
        <v>2</v>
      </c>
      <c r="B681" s="10" t="n">
        <v>46206</v>
      </c>
      <c r="C681" s="10" t="n">
        <v>46206</v>
      </c>
      <c r="D681" s="9" t="n">
        <v>1979</v>
      </c>
      <c r="E681" s="11" t="s">
        <v>250</v>
      </c>
      <c r="F681" s="9" t="n">
        <v>34</v>
      </c>
      <c r="G681" s="11" t="s">
        <v>55</v>
      </c>
      <c r="H681" s="9" t="n">
        <v>2110405</v>
      </c>
      <c r="I681" s="11" t="s">
        <v>56</v>
      </c>
      <c r="J681" s="9" t="n">
        <v>1370543</v>
      </c>
      <c r="L681" s="9" t="n">
        <v>184299</v>
      </c>
      <c r="M681" s="11" t="s">
        <v>52</v>
      </c>
      <c r="N681" s="11" t="s">
        <v>45</v>
      </c>
      <c r="P681" s="9" t="n">
        <v>113</v>
      </c>
      <c r="Q681" s="11" t="s">
        <v>46</v>
      </c>
      <c r="R681" s="11" t="s">
        <v>71</v>
      </c>
      <c r="S681" s="9" t="n">
        <v>4210301</v>
      </c>
      <c r="T681" s="11" t="s">
        <v>220</v>
      </c>
      <c r="U681" s="12" t="n">
        <v>986.6</v>
      </c>
      <c r="W681" s="12" t="n">
        <v>0</v>
      </c>
      <c r="X681" s="11" t="s">
        <v>732</v>
      </c>
      <c r="Z681" s="0" t="str">
        <f aca="false">IF($T681="","",IFERROR(INDEX('Resumo Grupos'!$AC$3:$AC$200,MATCH($T681,'Resumo Grupos'!$AB$3:$AB$200,0)),"n/d"))</f>
        <v>Salários</v>
      </c>
      <c r="AA681" s="0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9" t="n">
        <v>2</v>
      </c>
      <c r="B682" s="10" t="n">
        <v>46206</v>
      </c>
      <c r="C682" s="10" t="n">
        <v>46206</v>
      </c>
      <c r="D682" s="9" t="n">
        <v>1979</v>
      </c>
      <c r="E682" s="11" t="s">
        <v>250</v>
      </c>
      <c r="F682" s="9" t="n">
        <v>7</v>
      </c>
      <c r="G682" s="11" t="s">
        <v>222</v>
      </c>
      <c r="H682" s="9" t="n">
        <v>2110405</v>
      </c>
      <c r="I682" s="11" t="s">
        <v>56</v>
      </c>
      <c r="J682" s="9" t="n">
        <v>1370547</v>
      </c>
      <c r="L682" s="9" t="n">
        <v>184300</v>
      </c>
      <c r="M682" s="11" t="s">
        <v>52</v>
      </c>
      <c r="N682" s="11" t="s">
        <v>45</v>
      </c>
      <c r="P682" s="9" t="n">
        <v>113</v>
      </c>
      <c r="Q682" s="11" t="s">
        <v>46</v>
      </c>
      <c r="R682" s="11" t="s">
        <v>71</v>
      </c>
      <c r="S682" s="9" t="n">
        <v>4210301</v>
      </c>
      <c r="T682" s="11" t="s">
        <v>220</v>
      </c>
      <c r="U682" s="12" t="n">
        <v>226.5</v>
      </c>
      <c r="W682" s="12" t="n">
        <v>0</v>
      </c>
      <c r="X682" s="11" t="s">
        <v>733</v>
      </c>
      <c r="Z682" s="0" t="str">
        <f aca="false">IF($T682="","",IFERROR(INDEX('Resumo Grupos'!$AC$3:$AC$200,MATCH($T682,'Resumo Grupos'!$AB$3:$AB$200,0)),"n/d"))</f>
        <v>Salários</v>
      </c>
      <c r="AA682" s="0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9" t="n">
        <v>2</v>
      </c>
      <c r="B683" s="10" t="n">
        <v>46200</v>
      </c>
      <c r="C683" s="10" t="n">
        <v>46206</v>
      </c>
      <c r="D683" s="9" t="n">
        <v>1625</v>
      </c>
      <c r="E683" s="11" t="s">
        <v>270</v>
      </c>
      <c r="F683" s="9" t="n">
        <v>24</v>
      </c>
      <c r="G683" s="11" t="s">
        <v>51</v>
      </c>
      <c r="H683" s="9" t="n">
        <v>2110101</v>
      </c>
      <c r="I683" s="11" t="s">
        <v>43</v>
      </c>
      <c r="J683" s="9" t="n">
        <v>1313051</v>
      </c>
      <c r="L683" s="9" t="n">
        <v>14560</v>
      </c>
      <c r="M683" s="11" t="s">
        <v>52</v>
      </c>
      <c r="N683" s="11" t="s">
        <v>37</v>
      </c>
      <c r="P683" s="9" t="n">
        <v>113</v>
      </c>
      <c r="Q683" s="11" t="s">
        <v>46</v>
      </c>
      <c r="R683" s="11" t="s">
        <v>47</v>
      </c>
      <c r="S683" s="9" t="n">
        <v>1130101</v>
      </c>
      <c r="T683" s="11" t="s">
        <v>48</v>
      </c>
      <c r="U683" s="12" t="n">
        <v>1997.03</v>
      </c>
      <c r="W683" s="12" t="n">
        <v>0</v>
      </c>
      <c r="X683" s="11" t="s">
        <v>753</v>
      </c>
      <c r="Z683" s="0" t="str">
        <f aca="false">IF($T683="","",IFERROR(INDEX('Resumo Grupos'!$AC$3:$AC$200,MATCH($T683,'Resumo Grupos'!$AB$3:$AB$200,0)),"n/d"))</f>
        <v>Mercadoria</v>
      </c>
      <c r="AA683" s="0" t="str">
        <f aca="false">IF($T683="","",IF(COUNTIF('Resumo Grupos'!$AE$3:$AE$40,$T683)&gt;0,"NAO","SIM"))</f>
        <v>SIM</v>
      </c>
      <c r="AB683" s="0" t="str">
        <f aca="false">IFERROR(INDEX('Mov Entradas (Rel 10497)'!$L:$L,MATCH(AC683,'Mov Entradas (Rel 10497)'!$I:$I,0)),"nao encontrado")</f>
        <v>TRASEIRO DE BOI - BISTECA</v>
      </c>
      <c r="AC683" s="0" t="n">
        <v>14560</v>
      </c>
    </row>
    <row r="684" customFormat="false" ht="27.75" hidden="false" customHeight="true" outlineLevel="0" collapsed="false">
      <c r="A684" s="9" t="n">
        <v>2</v>
      </c>
      <c r="B684" s="10" t="n">
        <v>46206</v>
      </c>
      <c r="C684" s="10" t="n">
        <v>46206</v>
      </c>
      <c r="D684" s="9" t="n">
        <v>48</v>
      </c>
      <c r="E684" s="11" t="s">
        <v>153</v>
      </c>
      <c r="F684" s="9" t="n">
        <v>13</v>
      </c>
      <c r="G684" s="11" t="s">
        <v>135</v>
      </c>
      <c r="H684" s="9" t="n">
        <v>2110101</v>
      </c>
      <c r="I684" s="11" t="s">
        <v>43</v>
      </c>
      <c r="J684" s="9" t="n">
        <v>1344644</v>
      </c>
      <c r="L684" s="9" t="n">
        <v>2521</v>
      </c>
      <c r="M684" s="11" t="s">
        <v>52</v>
      </c>
      <c r="N684" s="11" t="s">
        <v>37</v>
      </c>
      <c r="P684" s="9" t="n">
        <v>113</v>
      </c>
      <c r="Q684" s="11" t="s">
        <v>46</v>
      </c>
      <c r="R684" s="11" t="s">
        <v>47</v>
      </c>
      <c r="S684" s="9" t="n">
        <v>1130101</v>
      </c>
      <c r="T684" s="11" t="s">
        <v>48</v>
      </c>
      <c r="U684" s="12" t="n">
        <v>280</v>
      </c>
      <c r="W684" s="12" t="n">
        <v>280</v>
      </c>
      <c r="X684" s="11" t="s">
        <v>754</v>
      </c>
      <c r="Z684" s="0" t="str">
        <f aca="false">IF($T684="","",IFERROR(INDEX('Resumo Grupos'!$AC$3:$AC$200,MATCH($T684,'Resumo Grupos'!$AB$3:$AB$200,0)),"n/d"))</f>
        <v>Mercadoria</v>
      </c>
      <c r="AA684" s="0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9" t="n">
        <v>2</v>
      </c>
      <c r="B685" s="10" t="n">
        <v>46206</v>
      </c>
      <c r="C685" s="10" t="n">
        <v>46206</v>
      </c>
      <c r="D685" s="9" t="n">
        <v>48</v>
      </c>
      <c r="E685" s="11" t="s">
        <v>153</v>
      </c>
      <c r="F685" s="9" t="n">
        <v>13</v>
      </c>
      <c r="G685" s="11" t="s">
        <v>135</v>
      </c>
      <c r="H685" s="9" t="n">
        <v>2110101</v>
      </c>
      <c r="I685" s="11" t="s">
        <v>43</v>
      </c>
      <c r="J685" s="9" t="n">
        <v>1345376</v>
      </c>
      <c r="L685" s="9" t="n">
        <v>2522</v>
      </c>
      <c r="M685" s="11" t="s">
        <v>52</v>
      </c>
      <c r="N685" s="11" t="s">
        <v>37</v>
      </c>
      <c r="P685" s="9" t="n">
        <v>113</v>
      </c>
      <c r="Q685" s="11" t="s">
        <v>46</v>
      </c>
      <c r="R685" s="11" t="s">
        <v>47</v>
      </c>
      <c r="S685" s="9" t="n">
        <v>1130101</v>
      </c>
      <c r="T685" s="11" t="s">
        <v>48</v>
      </c>
      <c r="U685" s="12" t="n">
        <v>1082.6</v>
      </c>
      <c r="W685" s="12" t="n">
        <v>0</v>
      </c>
      <c r="X685" s="11" t="s">
        <v>755</v>
      </c>
      <c r="Z685" s="0" t="str">
        <f aca="false">IF($T685="","",IFERROR(INDEX('Resumo Grupos'!$AC$3:$AC$200,MATCH($T685,'Resumo Grupos'!$AB$3:$AB$200,0)),"n/d"))</f>
        <v>Mercadoria</v>
      </c>
      <c r="AA685" s="0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9" t="n">
        <v>2</v>
      </c>
      <c r="B686" s="10" t="n">
        <v>46206</v>
      </c>
      <c r="C686" s="10" t="n">
        <v>46206</v>
      </c>
      <c r="D686" s="9" t="n">
        <v>17</v>
      </c>
      <c r="E686" s="11" t="s">
        <v>489</v>
      </c>
      <c r="F686" s="9" t="n">
        <v>7</v>
      </c>
      <c r="G686" s="11" t="s">
        <v>222</v>
      </c>
      <c r="H686" s="9" t="n">
        <v>2110405</v>
      </c>
      <c r="I686" s="11" t="s">
        <v>56</v>
      </c>
      <c r="J686" s="9" t="n">
        <v>1370574</v>
      </c>
      <c r="L686" s="9" t="n">
        <v>184312</v>
      </c>
      <c r="M686" s="11" t="s">
        <v>52</v>
      </c>
      <c r="N686" s="11" t="s">
        <v>45</v>
      </c>
      <c r="P686" s="9" t="n">
        <v>113</v>
      </c>
      <c r="Q686" s="11" t="s">
        <v>46</v>
      </c>
      <c r="R686" s="11" t="s">
        <v>71</v>
      </c>
      <c r="S686" s="9" t="n">
        <v>4210301</v>
      </c>
      <c r="T686" s="11" t="s">
        <v>220</v>
      </c>
      <c r="U686" s="12" t="n">
        <v>6.99</v>
      </c>
      <c r="W686" s="12" t="n">
        <v>0</v>
      </c>
      <c r="X686" s="11"/>
      <c r="Z686" s="0" t="str">
        <f aca="false">IF($T686="","",IFERROR(INDEX('Resumo Grupos'!$AC$3:$AC$200,MATCH($T686,'Resumo Grupos'!$AB$3:$AB$200,0)),"n/d"))</f>
        <v>Salários</v>
      </c>
      <c r="AA686" s="0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9" t="n">
        <v>2</v>
      </c>
      <c r="B687" s="10" t="n">
        <v>46195</v>
      </c>
      <c r="C687" s="10" t="n">
        <v>46206</v>
      </c>
      <c r="D687" s="9" t="n">
        <v>1107</v>
      </c>
      <c r="E687" s="11" t="s">
        <v>254</v>
      </c>
      <c r="F687" s="9" t="n">
        <v>24</v>
      </c>
      <c r="G687" s="11" t="s">
        <v>51</v>
      </c>
      <c r="H687" s="9" t="n">
        <v>2110101</v>
      </c>
      <c r="I687" s="11" t="s">
        <v>43</v>
      </c>
      <c r="J687" s="9" t="n">
        <v>1289284</v>
      </c>
      <c r="L687" s="9" t="n">
        <v>419092</v>
      </c>
      <c r="M687" s="11" t="s">
        <v>52</v>
      </c>
      <c r="N687" s="11" t="s">
        <v>37</v>
      </c>
      <c r="P687" s="9" t="n">
        <v>113</v>
      </c>
      <c r="Q687" s="11" t="s">
        <v>46</v>
      </c>
      <c r="R687" s="11" t="s">
        <v>47</v>
      </c>
      <c r="S687" s="9" t="n">
        <v>1130101</v>
      </c>
      <c r="T687" s="11" t="s">
        <v>48</v>
      </c>
      <c r="U687" s="12" t="n">
        <v>619.99</v>
      </c>
      <c r="W687" s="12" t="n">
        <v>0</v>
      </c>
      <c r="X687" s="11" t="s">
        <v>756</v>
      </c>
      <c r="Z687" s="0" t="str">
        <f aca="false">IF($T687="","",IFERROR(INDEX('Resumo Grupos'!$AC$3:$AC$200,MATCH($T687,'Resumo Grupos'!$AB$3:$AB$200,0)),"n/d"))</f>
        <v>Mercadoria</v>
      </c>
      <c r="AA687" s="0" t="str">
        <f aca="false">IF($T687="","",IF(COUNTIF('Resumo Grupos'!$AE$3:$AE$40,$T687)&gt;0,"NAO","SIM"))</f>
        <v>SIM</v>
      </c>
      <c r="AB687" s="0" t="str">
        <f aca="false">IFERROR(INDEX('Mov Entradas (Rel 10497)'!$L:$L,MATCH(AC687,'Mov Entradas (Rel 10497)'!$I:$I,0)),"nao encontrado")</f>
        <v>BOLINHO MORANGO 7308</v>
      </c>
      <c r="AC687" s="0" t="n">
        <v>419092</v>
      </c>
    </row>
    <row r="688" customFormat="false" ht="45.75" hidden="false" customHeight="true" outlineLevel="0" collapsed="false">
      <c r="A688" s="9" t="n">
        <v>2</v>
      </c>
      <c r="B688" s="10" t="n">
        <v>46206</v>
      </c>
      <c r="C688" s="10" t="n">
        <v>46206</v>
      </c>
      <c r="D688" s="9" t="n">
        <v>33</v>
      </c>
      <c r="E688" s="11" t="s">
        <v>313</v>
      </c>
      <c r="F688" s="9" t="n">
        <v>34</v>
      </c>
      <c r="G688" s="11" t="s">
        <v>55</v>
      </c>
      <c r="H688" s="9" t="n">
        <v>2110405</v>
      </c>
      <c r="I688" s="11" t="s">
        <v>56</v>
      </c>
      <c r="J688" s="9" t="n">
        <v>1345306</v>
      </c>
      <c r="L688" s="9" t="n">
        <v>180688</v>
      </c>
      <c r="M688" s="11" t="s">
        <v>52</v>
      </c>
      <c r="N688" s="11" t="s">
        <v>45</v>
      </c>
      <c r="P688" s="9" t="n">
        <v>101</v>
      </c>
      <c r="Q688" s="11" t="s">
        <v>57</v>
      </c>
      <c r="R688" s="11" t="s">
        <v>39</v>
      </c>
      <c r="S688" s="9" t="n">
        <v>4210203</v>
      </c>
      <c r="T688" s="11" t="s">
        <v>757</v>
      </c>
      <c r="U688" s="12" t="n">
        <v>741.81</v>
      </c>
      <c r="W688" s="12" t="n">
        <v>0</v>
      </c>
      <c r="X688" s="11" t="s">
        <v>758</v>
      </c>
      <c r="Z688" s="0" t="str">
        <f aca="false">IF($T688="","",IFERROR(INDEX('Resumo Grupos'!$AC$3:$AC$200,MATCH($T688,'Resumo Grupos'!$AB$3:$AB$200,0)),"n/d"))</f>
        <v>Despesa</v>
      </c>
      <c r="AA688" s="0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9" t="n">
        <v>2</v>
      </c>
      <c r="B689" s="10" t="n">
        <v>46206</v>
      </c>
      <c r="C689" s="10" t="n">
        <v>46206</v>
      </c>
      <c r="D689" s="9" t="n">
        <v>16</v>
      </c>
      <c r="E689" s="11" t="s">
        <v>257</v>
      </c>
      <c r="F689" s="9" t="n">
        <v>7</v>
      </c>
      <c r="G689" s="11" t="s">
        <v>222</v>
      </c>
      <c r="H689" s="9" t="n">
        <v>2110405</v>
      </c>
      <c r="I689" s="11" t="s">
        <v>56</v>
      </c>
      <c r="J689" s="9" t="n">
        <v>1370572</v>
      </c>
      <c r="L689" s="9" t="n">
        <v>184311</v>
      </c>
      <c r="M689" s="11" t="s">
        <v>52</v>
      </c>
      <c r="N689" s="11" t="s">
        <v>45</v>
      </c>
      <c r="P689" s="9" t="n">
        <v>113</v>
      </c>
      <c r="Q689" s="11" t="s">
        <v>46</v>
      </c>
      <c r="R689" s="11" t="s">
        <v>71</v>
      </c>
      <c r="S689" s="9" t="n">
        <v>4210301</v>
      </c>
      <c r="T689" s="11" t="s">
        <v>220</v>
      </c>
      <c r="U689" s="12" t="n">
        <v>729.05</v>
      </c>
      <c r="W689" s="12" t="n">
        <v>0</v>
      </c>
      <c r="X689" s="11" t="s">
        <v>733</v>
      </c>
      <c r="Z689" s="0" t="str">
        <f aca="false">IF($T689="","",IFERROR(INDEX('Resumo Grupos'!$AC$3:$AC$200,MATCH($T689,'Resumo Grupos'!$AB$3:$AB$200,0)),"n/d"))</f>
        <v>Salários</v>
      </c>
      <c r="AA689" s="0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9" t="n">
        <v>2</v>
      </c>
      <c r="B690" s="10" t="n">
        <v>46206</v>
      </c>
      <c r="C690" s="10" t="n">
        <v>46206</v>
      </c>
      <c r="D690" s="9" t="n">
        <v>21</v>
      </c>
      <c r="E690" s="11" t="s">
        <v>107</v>
      </c>
      <c r="F690" s="9" t="n">
        <v>34</v>
      </c>
      <c r="G690" s="11" t="s">
        <v>55</v>
      </c>
      <c r="H690" s="9" t="n">
        <v>2110405</v>
      </c>
      <c r="I690" s="11" t="s">
        <v>56</v>
      </c>
      <c r="J690" s="9" t="n">
        <v>1370552</v>
      </c>
      <c r="L690" s="9" t="n">
        <v>184302</v>
      </c>
      <c r="M690" s="11" t="s">
        <v>52</v>
      </c>
      <c r="N690" s="11" t="s">
        <v>45</v>
      </c>
      <c r="P690" s="9" t="n">
        <v>113</v>
      </c>
      <c r="Q690" s="11" t="s">
        <v>46</v>
      </c>
      <c r="R690" s="11" t="s">
        <v>71</v>
      </c>
      <c r="S690" s="9" t="n">
        <v>4210301</v>
      </c>
      <c r="T690" s="11" t="s">
        <v>220</v>
      </c>
      <c r="U690" s="12" t="n">
        <v>451.03</v>
      </c>
      <c r="W690" s="12" t="n">
        <v>0</v>
      </c>
      <c r="X690" s="11" t="s">
        <v>732</v>
      </c>
      <c r="Z690" s="0" t="str">
        <f aca="false">IF($T690="","",IFERROR(INDEX('Resumo Grupos'!$AC$3:$AC$200,MATCH($T690,'Resumo Grupos'!$AB$3:$AB$200,0)),"n/d"))</f>
        <v>Salários</v>
      </c>
      <c r="AA690" s="0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9" t="n">
        <v>2</v>
      </c>
      <c r="B691" s="10" t="n">
        <v>46206</v>
      </c>
      <c r="C691" s="10" t="n">
        <v>46206</v>
      </c>
      <c r="D691" s="9" t="n">
        <v>21</v>
      </c>
      <c r="E691" s="11" t="s">
        <v>107</v>
      </c>
      <c r="F691" s="9" t="n">
        <v>7</v>
      </c>
      <c r="G691" s="11" t="s">
        <v>222</v>
      </c>
      <c r="H691" s="9" t="n">
        <v>2110405</v>
      </c>
      <c r="I691" s="11" t="s">
        <v>56</v>
      </c>
      <c r="J691" s="9" t="n">
        <v>1370555</v>
      </c>
      <c r="L691" s="9" t="n">
        <v>184304</v>
      </c>
      <c r="M691" s="11" t="s">
        <v>52</v>
      </c>
      <c r="N691" s="11" t="s">
        <v>45</v>
      </c>
      <c r="P691" s="9" t="n">
        <v>113</v>
      </c>
      <c r="Q691" s="11" t="s">
        <v>46</v>
      </c>
      <c r="R691" s="11" t="s">
        <v>71</v>
      </c>
      <c r="S691" s="9" t="n">
        <v>4210301</v>
      </c>
      <c r="T691" s="11" t="s">
        <v>220</v>
      </c>
      <c r="U691" s="12" t="n">
        <v>291.6</v>
      </c>
      <c r="W691" s="12" t="n">
        <v>0</v>
      </c>
      <c r="X691" s="11" t="s">
        <v>733</v>
      </c>
      <c r="Z691" s="0" t="str">
        <f aca="false">IF($T691="","",IFERROR(INDEX('Resumo Grupos'!$AC$3:$AC$200,MATCH($T691,'Resumo Grupos'!$AB$3:$AB$200,0)),"n/d"))</f>
        <v>Salários</v>
      </c>
      <c r="AA691" s="0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9" t="n">
        <v>2</v>
      </c>
      <c r="B692" s="10" t="n">
        <v>46206</v>
      </c>
      <c r="C692" s="10" t="n">
        <v>46206</v>
      </c>
      <c r="D692" s="9" t="n">
        <v>514</v>
      </c>
      <c r="E692" s="11" t="s">
        <v>759</v>
      </c>
      <c r="F692" s="9" t="n">
        <v>34</v>
      </c>
      <c r="G692" s="11" t="s">
        <v>55</v>
      </c>
      <c r="H692" s="9" t="n">
        <v>2110405</v>
      </c>
      <c r="I692" s="11" t="s">
        <v>56</v>
      </c>
      <c r="J692" s="9" t="n">
        <v>1374654</v>
      </c>
      <c r="L692" s="9" t="n">
        <v>184904</v>
      </c>
      <c r="M692" s="11" t="s">
        <v>52</v>
      </c>
      <c r="N692" s="11" t="s">
        <v>45</v>
      </c>
      <c r="P692" s="9" t="n">
        <v>102</v>
      </c>
      <c r="Q692" s="11" t="s">
        <v>308</v>
      </c>
      <c r="R692" s="11" t="s">
        <v>81</v>
      </c>
      <c r="S692" s="9" t="n">
        <v>4220199</v>
      </c>
      <c r="T692" s="11" t="s">
        <v>82</v>
      </c>
      <c r="U692" s="12" t="n">
        <v>110</v>
      </c>
      <c r="W692" s="12" t="n">
        <v>0</v>
      </c>
      <c r="X692" s="11" t="s">
        <v>760</v>
      </c>
      <c r="Z692" s="0" t="str">
        <f aca="false">IF($T692="","",IFERROR(INDEX('Resumo Grupos'!$AC$3:$AC$200,MATCH($T692,'Resumo Grupos'!$AB$3:$AB$200,0)),"n/d"))</f>
        <v>Pagamentos outros não operacionais</v>
      </c>
      <c r="AA692" s="0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9" t="n">
        <v>2</v>
      </c>
      <c r="B693" s="10" t="n">
        <v>46206</v>
      </c>
      <c r="C693" s="10" t="n">
        <v>46206</v>
      </c>
      <c r="D693" s="9" t="n">
        <v>0</v>
      </c>
      <c r="E693" s="11" t="s">
        <v>109</v>
      </c>
      <c r="F693" s="9" t="n">
        <v>17</v>
      </c>
      <c r="G693" s="11" t="s">
        <v>110</v>
      </c>
      <c r="H693" s="9" t="n">
        <v>1110101</v>
      </c>
      <c r="I693" s="11" t="s">
        <v>111</v>
      </c>
      <c r="J693" s="9" t="n">
        <v>1375300</v>
      </c>
      <c r="L693" s="9" t="n">
        <v>1375300</v>
      </c>
      <c r="M693" s="11" t="s">
        <v>52</v>
      </c>
      <c r="N693" s="11" t="s">
        <v>112</v>
      </c>
      <c r="P693" s="9" t="n">
        <v>113</v>
      </c>
      <c r="Q693" s="11" t="s">
        <v>46</v>
      </c>
      <c r="R693" s="11" t="s">
        <v>259</v>
      </c>
      <c r="S693" s="9" t="n">
        <v>2110101</v>
      </c>
      <c r="T693" s="11" t="s">
        <v>43</v>
      </c>
      <c r="U693" s="12" t="n">
        <v>280</v>
      </c>
      <c r="W693" s="12" t="n">
        <v>280</v>
      </c>
      <c r="X693" s="11" t="s">
        <v>761</v>
      </c>
      <c r="Z693" s="0" t="str">
        <f aca="false">IF($T693="","",IFERROR(INDEX('Resumo Grupos'!$AC$3:$AC$200,MATCH($T693,'Resumo Grupos'!$AB$3:$AB$200,0)),"n/d"))</f>
        <v>Despesa</v>
      </c>
      <c r="AA693" s="0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9" t="n">
        <v>2</v>
      </c>
      <c r="B694" s="10" t="n">
        <v>46206</v>
      </c>
      <c r="C694" s="10" t="n">
        <v>46206</v>
      </c>
      <c r="D694" s="9" t="n">
        <v>0</v>
      </c>
      <c r="E694" s="11" t="s">
        <v>109</v>
      </c>
      <c r="F694" s="9" t="n">
        <v>17</v>
      </c>
      <c r="G694" s="11" t="s">
        <v>110</v>
      </c>
      <c r="H694" s="9" t="n">
        <v>1110101</v>
      </c>
      <c r="I694" s="11" t="s">
        <v>111</v>
      </c>
      <c r="J694" s="9" t="n">
        <v>1375303</v>
      </c>
      <c r="L694" s="9" t="n">
        <v>1375303</v>
      </c>
      <c r="M694" s="11" t="s">
        <v>52</v>
      </c>
      <c r="N694" s="11" t="s">
        <v>112</v>
      </c>
      <c r="P694" s="9" t="n">
        <v>113</v>
      </c>
      <c r="Q694" s="11" t="s">
        <v>46</v>
      </c>
      <c r="R694" s="11" t="s">
        <v>71</v>
      </c>
      <c r="S694" s="9" t="n">
        <v>4210314</v>
      </c>
      <c r="T694" s="11" t="s">
        <v>113</v>
      </c>
      <c r="U694" s="12" t="n">
        <v>50</v>
      </c>
      <c r="W694" s="12" t="n">
        <v>50</v>
      </c>
      <c r="X694" s="11" t="s">
        <v>368</v>
      </c>
      <c r="Z694" s="0" t="str">
        <f aca="false">IF($T694="","",IFERROR(INDEX('Resumo Grupos'!$AC$3:$AC$200,MATCH($T694,'Resumo Grupos'!$AB$3:$AB$200,0)),"n/d"))</f>
        <v>Despesa</v>
      </c>
      <c r="AA694" s="0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9" t="n">
        <v>2</v>
      </c>
      <c r="B695" s="10" t="n">
        <v>46206</v>
      </c>
      <c r="C695" s="10" t="n">
        <v>46206</v>
      </c>
      <c r="D695" s="9" t="n">
        <v>0</v>
      </c>
      <c r="E695" s="11" t="s">
        <v>109</v>
      </c>
      <c r="F695" s="9" t="n">
        <v>17</v>
      </c>
      <c r="G695" s="11" t="s">
        <v>110</v>
      </c>
      <c r="H695" s="9" t="n">
        <v>1110101</v>
      </c>
      <c r="I695" s="11" t="s">
        <v>111</v>
      </c>
      <c r="J695" s="9" t="n">
        <v>1469059</v>
      </c>
      <c r="L695" s="9" t="n">
        <v>1469059</v>
      </c>
      <c r="M695" s="11" t="s">
        <v>52</v>
      </c>
      <c r="N695" s="11" t="s">
        <v>112</v>
      </c>
      <c r="P695" s="9" t="n">
        <v>113</v>
      </c>
      <c r="Q695" s="11" t="s">
        <v>46</v>
      </c>
      <c r="R695" s="11" t="s">
        <v>116</v>
      </c>
      <c r="S695" s="9" t="n">
        <v>1110203</v>
      </c>
      <c r="T695" s="11" t="s">
        <v>117</v>
      </c>
      <c r="U695" s="12" t="n">
        <v>2500</v>
      </c>
      <c r="W695" s="12" t="n">
        <v>2500</v>
      </c>
      <c r="X695" s="11" t="s">
        <v>762</v>
      </c>
      <c r="Z695" s="0" t="str">
        <f aca="false">IF($T695="","",IFERROR(INDEX('Resumo Grupos'!$AC$3:$AC$200,MATCH($T695,'Resumo Grupos'!$AB$3:$AB$200,0)),"n/d"))</f>
        <v>Despesa</v>
      </c>
      <c r="AA695" s="0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9" t="n">
        <v>2</v>
      </c>
      <c r="B696" s="10" t="n">
        <v>46200</v>
      </c>
      <c r="C696" s="10" t="n">
        <v>46206</v>
      </c>
      <c r="D696" s="9" t="n">
        <v>1666</v>
      </c>
      <c r="E696" s="11" t="s">
        <v>266</v>
      </c>
      <c r="F696" s="9" t="n">
        <v>24</v>
      </c>
      <c r="G696" s="11" t="s">
        <v>51</v>
      </c>
      <c r="H696" s="9" t="n">
        <v>2110101</v>
      </c>
      <c r="I696" s="11" t="s">
        <v>43</v>
      </c>
      <c r="J696" s="9" t="n">
        <v>1312641</v>
      </c>
      <c r="L696" s="9" t="n">
        <v>175251</v>
      </c>
      <c r="M696" s="11" t="s">
        <v>52</v>
      </c>
      <c r="N696" s="11" t="s">
        <v>45</v>
      </c>
      <c r="P696" s="9" t="n">
        <v>113</v>
      </c>
      <c r="Q696" s="11" t="s">
        <v>46</v>
      </c>
      <c r="R696" s="11" t="s">
        <v>47</v>
      </c>
      <c r="S696" s="9" t="n">
        <v>1130101</v>
      </c>
      <c r="T696" s="11" t="s">
        <v>48</v>
      </c>
      <c r="U696" s="12" t="n">
        <v>5761.35</v>
      </c>
      <c r="W696" s="12" t="n">
        <v>0</v>
      </c>
      <c r="X696" s="11" t="s">
        <v>763</v>
      </c>
      <c r="Z696" s="0" t="str">
        <f aca="false">IF($T696="","",IFERROR(INDEX('Resumo Grupos'!$AC$3:$AC$200,MATCH($T696,'Resumo Grupos'!$AB$3:$AB$200,0)),"n/d"))</f>
        <v>Mercadoria</v>
      </c>
      <c r="AA696" s="0" t="str">
        <f aca="false">IF($T696="","",IF(COUNTIF('Resumo Grupos'!$AE$3:$AE$40,$T696)&gt;0,"NAO","SIM"))</f>
        <v>SIM</v>
      </c>
      <c r="AB696" s="0" t="str">
        <f aca="false">IFERROR(INDEX('Mov Entradas (Rel 10497)'!$L:$L,MATCH(AC696,'Mov Entradas (Rel 10497)'!$I:$I,0)),"nao encontrado")</f>
        <v>DUNHILL CARLTON BLEN</v>
      </c>
      <c r="AC696" s="0" t="n">
        <v>564993</v>
      </c>
    </row>
    <row r="697" customFormat="false" ht="36.75" hidden="false" customHeight="true" outlineLevel="0" collapsed="false">
      <c r="A697" s="9" t="n">
        <v>2</v>
      </c>
      <c r="B697" s="10" t="n">
        <v>46206</v>
      </c>
      <c r="C697" s="10" t="n">
        <v>46206</v>
      </c>
      <c r="D697" s="9" t="n">
        <v>18</v>
      </c>
      <c r="E697" s="11" t="s">
        <v>121</v>
      </c>
      <c r="F697" s="9" t="n">
        <v>34</v>
      </c>
      <c r="G697" s="11" t="s">
        <v>55</v>
      </c>
      <c r="H697" s="9" t="n">
        <v>2110405</v>
      </c>
      <c r="I697" s="11" t="s">
        <v>56</v>
      </c>
      <c r="J697" s="9" t="n">
        <v>1370560</v>
      </c>
      <c r="L697" s="9" t="n">
        <v>184306</v>
      </c>
      <c r="M697" s="11" t="s">
        <v>52</v>
      </c>
      <c r="N697" s="11" t="s">
        <v>45</v>
      </c>
      <c r="P697" s="9" t="n">
        <v>113</v>
      </c>
      <c r="Q697" s="11" t="s">
        <v>46</v>
      </c>
      <c r="R697" s="11" t="s">
        <v>71</v>
      </c>
      <c r="S697" s="9" t="n">
        <v>4210301</v>
      </c>
      <c r="T697" s="11" t="s">
        <v>220</v>
      </c>
      <c r="U697" s="12" t="n">
        <v>272.38</v>
      </c>
      <c r="W697" s="12" t="n">
        <v>0</v>
      </c>
      <c r="X697" s="11" t="s">
        <v>732</v>
      </c>
      <c r="Z697" s="0" t="str">
        <f aca="false">IF($T697="","",IFERROR(INDEX('Resumo Grupos'!$AC$3:$AC$200,MATCH($T697,'Resumo Grupos'!$AB$3:$AB$200,0)),"n/d"))</f>
        <v>Salários</v>
      </c>
      <c r="AA697" s="0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9" t="n">
        <v>2</v>
      </c>
      <c r="B698" s="10" t="n">
        <v>46206</v>
      </c>
      <c r="C698" s="10" t="n">
        <v>46206</v>
      </c>
      <c r="D698" s="9" t="n">
        <v>18</v>
      </c>
      <c r="E698" s="11" t="s">
        <v>121</v>
      </c>
      <c r="F698" s="9" t="n">
        <v>7</v>
      </c>
      <c r="G698" s="11" t="s">
        <v>222</v>
      </c>
      <c r="H698" s="9" t="n">
        <v>2110405</v>
      </c>
      <c r="I698" s="11" t="s">
        <v>56</v>
      </c>
      <c r="J698" s="9" t="n">
        <v>1370570</v>
      </c>
      <c r="L698" s="9" t="n">
        <v>184307</v>
      </c>
      <c r="M698" s="11" t="s">
        <v>52</v>
      </c>
      <c r="N698" s="11" t="s">
        <v>45</v>
      </c>
      <c r="P698" s="9" t="n">
        <v>113</v>
      </c>
      <c r="Q698" s="11" t="s">
        <v>46</v>
      </c>
      <c r="R698" s="11" t="s">
        <v>71</v>
      </c>
      <c r="S698" s="9" t="n">
        <v>4210301</v>
      </c>
      <c r="T698" s="11" t="s">
        <v>220</v>
      </c>
      <c r="U698" s="12" t="n">
        <v>353.47</v>
      </c>
      <c r="W698" s="12" t="n">
        <v>0</v>
      </c>
      <c r="X698" s="11" t="s">
        <v>733</v>
      </c>
      <c r="Z698" s="0" t="str">
        <f aca="false">IF($T698="","",IFERROR(INDEX('Resumo Grupos'!$AC$3:$AC$200,MATCH($T698,'Resumo Grupos'!$AB$3:$AB$200,0)),"n/d"))</f>
        <v>Salários</v>
      </c>
      <c r="AA698" s="0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9" t="n">
        <v>2</v>
      </c>
      <c r="B699" s="10" t="n">
        <v>46195</v>
      </c>
      <c r="C699" s="10" t="n">
        <v>46207</v>
      </c>
      <c r="D699" s="9" t="n">
        <v>1705</v>
      </c>
      <c r="E699" s="11" t="s">
        <v>130</v>
      </c>
      <c r="F699" s="9" t="n">
        <v>24</v>
      </c>
      <c r="G699" s="11" t="s">
        <v>51</v>
      </c>
      <c r="H699" s="9" t="n">
        <v>2110101</v>
      </c>
      <c r="I699" s="11" t="s">
        <v>43</v>
      </c>
      <c r="J699" s="9" t="n">
        <v>1290006</v>
      </c>
      <c r="L699" s="9" t="n">
        <v>1169404</v>
      </c>
      <c r="M699" s="11" t="s">
        <v>52</v>
      </c>
      <c r="N699" s="11" t="s">
        <v>37</v>
      </c>
      <c r="P699" s="9" t="n">
        <v>113</v>
      </c>
      <c r="Q699" s="11" t="s">
        <v>46</v>
      </c>
      <c r="R699" s="11" t="s">
        <v>47</v>
      </c>
      <c r="S699" s="9" t="n">
        <v>1130101</v>
      </c>
      <c r="T699" s="11" t="s">
        <v>48</v>
      </c>
      <c r="U699" s="12" t="n">
        <v>50.85</v>
      </c>
      <c r="W699" s="12" t="n">
        <v>0</v>
      </c>
      <c r="X699" s="11" t="s">
        <v>764</v>
      </c>
      <c r="Z699" s="0" t="str">
        <f aca="false">IF($T699="","",IFERROR(INDEX('Resumo Grupos'!$AC$3:$AC$200,MATCH($T699,'Resumo Grupos'!$AB$3:$AB$200,0)),"n/d"))</f>
        <v>Mercadoria</v>
      </c>
      <c r="AA699" s="0" t="str">
        <f aca="false">IF($T699="","",IF(COUNTIF('Resumo Grupos'!$AE$3:$AE$40,$T699)&gt;0,"NAO","SIM"))</f>
        <v>SIM</v>
      </c>
      <c r="AB699" s="0" t="str">
        <f aca="false">IFERROR(INDEX('Mov Entradas (Rel 10497)'!$L:$L,MATCH(AC699,'Mov Entradas (Rel 10497)'!$I:$I,0)),"nao encontrado")</f>
        <v>MONSTER ENERGY ENERG</v>
      </c>
      <c r="AC699" s="0" t="n">
        <v>1169404</v>
      </c>
    </row>
    <row r="700" customFormat="false" ht="36.75" hidden="false" customHeight="true" outlineLevel="0" collapsed="false">
      <c r="A700" s="9" t="n">
        <v>2</v>
      </c>
      <c r="B700" s="10" t="n">
        <v>46195</v>
      </c>
      <c r="C700" s="10" t="n">
        <v>46207</v>
      </c>
      <c r="D700" s="9" t="n">
        <v>1705</v>
      </c>
      <c r="E700" s="11" t="s">
        <v>130</v>
      </c>
      <c r="F700" s="9" t="n">
        <v>24</v>
      </c>
      <c r="G700" s="11" t="s">
        <v>51</v>
      </c>
      <c r="H700" s="9" t="n">
        <v>2110101</v>
      </c>
      <c r="I700" s="11" t="s">
        <v>43</v>
      </c>
      <c r="J700" s="9" t="n">
        <v>1290023</v>
      </c>
      <c r="L700" s="9" t="n">
        <v>172326</v>
      </c>
      <c r="M700" s="11" t="s">
        <v>52</v>
      </c>
      <c r="N700" s="11" t="s">
        <v>45</v>
      </c>
      <c r="P700" s="9" t="n">
        <v>113</v>
      </c>
      <c r="Q700" s="11" t="s">
        <v>46</v>
      </c>
      <c r="R700" s="11" t="s">
        <v>47</v>
      </c>
      <c r="S700" s="9" t="n">
        <v>1130101</v>
      </c>
      <c r="T700" s="11" t="s">
        <v>48</v>
      </c>
      <c r="U700" s="12" t="n">
        <v>467.76</v>
      </c>
      <c r="W700" s="12" t="n">
        <v>0</v>
      </c>
      <c r="X700" s="11" t="s">
        <v>765</v>
      </c>
      <c r="Z700" s="0" t="str">
        <f aca="false">IF($T700="","",IFERROR(INDEX('Resumo Grupos'!$AC$3:$AC$200,MATCH($T700,'Resumo Grupos'!$AB$3:$AB$200,0)),"n/d"))</f>
        <v>Mercadoria</v>
      </c>
      <c r="AA700" s="0" t="str">
        <f aca="false">IF($T700="","",IF(COUNTIF('Resumo Grupos'!$AE$3:$AE$40,$T700)&gt;0,"NAO","SIM"))</f>
        <v>SIM</v>
      </c>
      <c r="AB700" s="0" t="str">
        <f aca="false">IFERROR(INDEX('Mov Entradas (Rel 10497)'!$L:$L,MATCH(AC700,'Mov Entradas (Rel 10497)'!$I:$I,0)),"nao encontrado")</f>
        <v>FANTA RETORNAVEL 2L</v>
      </c>
      <c r="AC700" s="0" t="n">
        <v>1890993</v>
      </c>
    </row>
    <row r="701" customFormat="false" ht="45.75" hidden="false" customHeight="true" outlineLevel="0" collapsed="false">
      <c r="A701" s="9" t="n">
        <v>2</v>
      </c>
      <c r="B701" s="10" t="n">
        <v>46198</v>
      </c>
      <c r="C701" s="10" t="n">
        <v>46207</v>
      </c>
      <c r="D701" s="9" t="n">
        <v>1723</v>
      </c>
      <c r="E701" s="11" t="s">
        <v>371</v>
      </c>
      <c r="F701" s="9" t="n">
        <v>24</v>
      </c>
      <c r="G701" s="11" t="s">
        <v>51</v>
      </c>
      <c r="H701" s="9" t="n">
        <v>2110101</v>
      </c>
      <c r="I701" s="11" t="s">
        <v>43</v>
      </c>
      <c r="J701" s="9" t="n">
        <v>1305206</v>
      </c>
      <c r="L701" s="9" t="n">
        <v>172089</v>
      </c>
      <c r="M701" s="11" t="s">
        <v>52</v>
      </c>
      <c r="N701" s="11" t="s">
        <v>37</v>
      </c>
      <c r="P701" s="9" t="n">
        <v>113</v>
      </c>
      <c r="Q701" s="11" t="s">
        <v>46</v>
      </c>
      <c r="R701" s="11" t="s">
        <v>47</v>
      </c>
      <c r="S701" s="9" t="n">
        <v>1130101</v>
      </c>
      <c r="T701" s="11" t="s">
        <v>48</v>
      </c>
      <c r="U701" s="12" t="n">
        <v>4001</v>
      </c>
      <c r="W701" s="12" t="n">
        <v>0</v>
      </c>
      <c r="X701" s="11" t="s">
        <v>766</v>
      </c>
      <c r="Z701" s="0" t="str">
        <f aca="false">IF($T701="","",IFERROR(INDEX('Resumo Grupos'!$AC$3:$AC$200,MATCH($T701,'Resumo Grupos'!$AB$3:$AB$200,0)),"n/d"))</f>
        <v>Mercadoria</v>
      </c>
      <c r="AA701" s="0" t="str">
        <f aca="false">IF($T701="","",IF(COUNTIF('Resumo Grupos'!$AE$3:$AE$40,$T701)&gt;0,"NAO","SIM"))</f>
        <v>SIM</v>
      </c>
      <c r="AB701" s="0" t="str">
        <f aca="false">IFERROR(INDEX('Mov Entradas (Rel 10497)'!$L:$L,MATCH(AC701,'Mov Entradas (Rel 10497)'!$I:$I,0)),"nao encontrado")</f>
        <v>TRASEIRO DE BOI L1</v>
      </c>
      <c r="AC701" s="0" t="n">
        <v>172089</v>
      </c>
    </row>
    <row r="702" customFormat="false" ht="36.75" hidden="false" customHeight="true" outlineLevel="0" collapsed="false">
      <c r="A702" s="9" t="n">
        <v>2</v>
      </c>
      <c r="B702" s="10" t="n">
        <v>46207</v>
      </c>
      <c r="C702" s="10" t="n">
        <v>46207</v>
      </c>
      <c r="D702" s="9" t="n">
        <v>10096</v>
      </c>
      <c r="E702" s="11" t="s">
        <v>622</v>
      </c>
      <c r="F702" s="9" t="n">
        <v>13</v>
      </c>
      <c r="G702" s="11" t="s">
        <v>135</v>
      </c>
      <c r="H702" s="9" t="n">
        <v>2110405</v>
      </c>
      <c r="I702" s="11" t="s">
        <v>56</v>
      </c>
      <c r="J702" s="9" t="n">
        <v>1439471</v>
      </c>
      <c r="L702" s="9" t="n">
        <v>194566</v>
      </c>
      <c r="M702" s="11" t="s">
        <v>52</v>
      </c>
      <c r="N702" s="11" t="s">
        <v>45</v>
      </c>
      <c r="P702" s="9" t="n">
        <v>113</v>
      </c>
      <c r="Q702" s="11" t="s">
        <v>46</v>
      </c>
      <c r="R702" s="11" t="s">
        <v>47</v>
      </c>
      <c r="S702" s="9" t="n">
        <v>1130101</v>
      </c>
      <c r="T702" s="11" t="s">
        <v>48</v>
      </c>
      <c r="U702" s="12" t="n">
        <v>140</v>
      </c>
      <c r="W702" s="12" t="n">
        <v>0</v>
      </c>
      <c r="X702" s="11" t="s">
        <v>767</v>
      </c>
      <c r="Z702" s="0" t="str">
        <f aca="false">IF($T702="","",IFERROR(INDEX('Resumo Grupos'!$AC$3:$AC$200,MATCH($T702,'Resumo Grupos'!$AB$3:$AB$200,0)),"n/d"))</f>
        <v>Mercadoria</v>
      </c>
      <c r="AA702" s="0" t="str">
        <f aca="false">IF($T702="","",IF(COUNTIF('Resumo Grupos'!$AE$3:$AE$40,$T702)&gt;0,"NAO","SIM"))</f>
        <v>SIM</v>
      </c>
      <c r="AB702" s="0" t="str">
        <f aca="false">IFERROR(INDEX('Mov Entradas (Rel 10497)'!$L:$L,MATCH(AC702,'Mov Entradas (Rel 10497)'!$I:$I,0)),"nao encontrado")</f>
        <v>BOLO MIYAZAKI GRANDE</v>
      </c>
      <c r="AC702" s="0" t="n">
        <v>65</v>
      </c>
    </row>
    <row r="703" customFormat="false" ht="36.75" hidden="false" customHeight="true" outlineLevel="0" collapsed="false">
      <c r="A703" s="9" t="n">
        <v>2</v>
      </c>
      <c r="B703" s="10" t="n">
        <v>46202</v>
      </c>
      <c r="C703" s="10" t="n">
        <v>46207</v>
      </c>
      <c r="D703" s="9" t="n">
        <v>1625</v>
      </c>
      <c r="E703" s="11" t="s">
        <v>270</v>
      </c>
      <c r="F703" s="9" t="n">
        <v>24</v>
      </c>
      <c r="G703" s="11" t="s">
        <v>51</v>
      </c>
      <c r="H703" s="9" t="n">
        <v>2110101</v>
      </c>
      <c r="I703" s="11" t="s">
        <v>43</v>
      </c>
      <c r="J703" s="9" t="n">
        <v>1322010</v>
      </c>
      <c r="L703" s="9" t="n">
        <v>14569</v>
      </c>
      <c r="M703" s="11" t="s">
        <v>52</v>
      </c>
      <c r="N703" s="11" t="s">
        <v>37</v>
      </c>
      <c r="P703" s="9" t="n">
        <v>113</v>
      </c>
      <c r="Q703" s="11" t="s">
        <v>46</v>
      </c>
      <c r="R703" s="11" t="s">
        <v>47</v>
      </c>
      <c r="S703" s="9" t="n">
        <v>1130101</v>
      </c>
      <c r="T703" s="11" t="s">
        <v>48</v>
      </c>
      <c r="U703" s="12" t="n">
        <v>2606.5</v>
      </c>
      <c r="W703" s="12" t="n">
        <v>0</v>
      </c>
      <c r="X703" s="11" t="s">
        <v>768</v>
      </c>
      <c r="Z703" s="0" t="str">
        <f aca="false">IF($T703="","",IFERROR(INDEX('Resumo Grupos'!$AC$3:$AC$200,MATCH($T703,'Resumo Grupos'!$AB$3:$AB$200,0)),"n/d"))</f>
        <v>Mercadoria</v>
      </c>
      <c r="AA703" s="0" t="str">
        <f aca="false">IF($T703="","",IF(COUNTIF('Resumo Grupos'!$AE$3:$AE$40,$T703)&gt;0,"NAO","SIM"))</f>
        <v>SIM</v>
      </c>
      <c r="AB703" s="0" t="str">
        <f aca="false">IFERROR(INDEX('Mov Entradas (Rel 10497)'!$L:$L,MATCH(AC703,'Mov Entradas (Rel 10497)'!$I:$I,0)),"nao encontrado")</f>
        <v>TRASEIRO DE BOI L1</v>
      </c>
      <c r="AC703" s="0" t="n">
        <v>14569</v>
      </c>
    </row>
    <row r="704" customFormat="false" ht="36.75" hidden="false" customHeight="true" outlineLevel="0" collapsed="false">
      <c r="A704" s="9" t="n">
        <v>2</v>
      </c>
      <c r="B704" s="10" t="n">
        <v>46167</v>
      </c>
      <c r="C704" s="10" t="n">
        <v>46207</v>
      </c>
      <c r="D704" s="9" t="n">
        <v>10011</v>
      </c>
      <c r="E704" s="11" t="s">
        <v>349</v>
      </c>
      <c r="F704" s="9" t="n">
        <v>24</v>
      </c>
      <c r="G704" s="11" t="s">
        <v>51</v>
      </c>
      <c r="H704" s="9" t="n">
        <v>2110101</v>
      </c>
      <c r="I704" s="11" t="s">
        <v>43</v>
      </c>
      <c r="J704" s="9" t="n">
        <v>1151538</v>
      </c>
      <c r="L704" s="9" t="n">
        <v>33745</v>
      </c>
      <c r="M704" s="11" t="s">
        <v>67</v>
      </c>
      <c r="N704" s="11" t="s">
        <v>37</v>
      </c>
      <c r="P704" s="9" t="n">
        <v>113</v>
      </c>
      <c r="Q704" s="11" t="s">
        <v>46</v>
      </c>
      <c r="R704" s="11" t="s">
        <v>47</v>
      </c>
      <c r="S704" s="9" t="n">
        <v>1130101</v>
      </c>
      <c r="T704" s="11" t="s">
        <v>48</v>
      </c>
      <c r="U704" s="12" t="n">
        <v>938.27</v>
      </c>
      <c r="W704" s="12" t="n">
        <v>0</v>
      </c>
      <c r="X704" s="11" t="s">
        <v>399</v>
      </c>
      <c r="Z704" s="0" t="str">
        <f aca="false">IF($T704="","",IFERROR(INDEX('Resumo Grupos'!$AC$3:$AC$200,MATCH($T704,'Resumo Grupos'!$AB$3:$AB$200,0)),"n/d"))</f>
        <v>Mercadoria</v>
      </c>
      <c r="AA704" s="0" t="str">
        <f aca="false">IF($T704="","",IF(COUNTIF('Resumo Grupos'!$AE$3:$AE$40,$T704)&gt;0,"NAO","SIM"))</f>
        <v>SIM</v>
      </c>
      <c r="AB704" s="0" t="str">
        <f aca="false">IFERROR(INDEX('Mov Entradas (Rel 10497)'!$L:$L,MATCH(AC704,'Mov Entradas (Rel 10497)'!$I:$I,0)),"nao encontrado")</f>
        <v>nao encontrado</v>
      </c>
      <c r="AC704" s="0" t="n">
        <v>33745</v>
      </c>
    </row>
    <row r="705" customFormat="false" ht="54.75" hidden="false" customHeight="true" outlineLevel="0" collapsed="false">
      <c r="A705" s="9" t="n">
        <v>2</v>
      </c>
      <c r="B705" s="10" t="n">
        <v>46200</v>
      </c>
      <c r="C705" s="10" t="n">
        <v>46207</v>
      </c>
      <c r="D705" s="9" t="n">
        <v>10006</v>
      </c>
      <c r="E705" s="11" t="s">
        <v>206</v>
      </c>
      <c r="F705" s="9" t="n">
        <v>24</v>
      </c>
      <c r="G705" s="11" t="s">
        <v>51</v>
      </c>
      <c r="H705" s="9" t="n">
        <v>2110405</v>
      </c>
      <c r="I705" s="11" t="s">
        <v>56</v>
      </c>
      <c r="J705" s="9" t="n">
        <v>1312832</v>
      </c>
      <c r="L705" s="9" t="n">
        <v>175254</v>
      </c>
      <c r="M705" s="11" t="s">
        <v>52</v>
      </c>
      <c r="N705" s="11" t="s">
        <v>45</v>
      </c>
      <c r="P705" s="9" t="n">
        <v>101</v>
      </c>
      <c r="Q705" s="11" t="s">
        <v>57</v>
      </c>
      <c r="R705" s="11" t="s">
        <v>39</v>
      </c>
      <c r="S705" s="9" t="n">
        <v>4210233</v>
      </c>
      <c r="T705" s="11" t="s">
        <v>207</v>
      </c>
      <c r="U705" s="12" t="n">
        <v>258</v>
      </c>
      <c r="W705" s="12" t="n">
        <v>0</v>
      </c>
      <c r="X705" s="11" t="s">
        <v>208</v>
      </c>
      <c r="Z705" s="0" t="str">
        <f aca="false">IF($T705="","",IFERROR(INDEX('Resumo Grupos'!$AC$3:$AC$200,MATCH($T705,'Resumo Grupos'!$AB$3:$AB$200,0)),"n/d"))</f>
        <v>Despesa</v>
      </c>
      <c r="AA705" s="0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9" t="n">
        <v>2</v>
      </c>
      <c r="B706" s="10" t="n">
        <v>46207</v>
      </c>
      <c r="C706" s="10" t="n">
        <v>46207</v>
      </c>
      <c r="D706" s="9" t="n">
        <v>0</v>
      </c>
      <c r="E706" s="11" t="s">
        <v>109</v>
      </c>
      <c r="F706" s="9" t="n">
        <v>17</v>
      </c>
      <c r="G706" s="11" t="s">
        <v>110</v>
      </c>
      <c r="H706" s="9" t="n">
        <v>1110101</v>
      </c>
      <c r="I706" s="11" t="s">
        <v>111</v>
      </c>
      <c r="J706" s="9" t="n">
        <v>1375330</v>
      </c>
      <c r="L706" s="9" t="n">
        <v>1375330</v>
      </c>
      <c r="M706" s="11" t="s">
        <v>52</v>
      </c>
      <c r="N706" s="11" t="s">
        <v>112</v>
      </c>
      <c r="P706" s="9" t="n">
        <v>113</v>
      </c>
      <c r="Q706" s="11" t="s">
        <v>46</v>
      </c>
      <c r="R706" s="11" t="s">
        <v>71</v>
      </c>
      <c r="S706" s="9" t="n">
        <v>4210314</v>
      </c>
      <c r="T706" s="11" t="s">
        <v>113</v>
      </c>
      <c r="U706" s="12" t="n">
        <v>50</v>
      </c>
      <c r="W706" s="12" t="n">
        <v>50</v>
      </c>
      <c r="X706" s="11" t="s">
        <v>368</v>
      </c>
      <c r="Z706" s="0" t="str">
        <f aca="false">IF($T706="","",IFERROR(INDEX('Resumo Grupos'!$AC$3:$AC$200,MATCH($T706,'Resumo Grupos'!$AB$3:$AB$200,0)),"n/d"))</f>
        <v>Despesa</v>
      </c>
      <c r="AA706" s="0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9" t="n">
        <v>2</v>
      </c>
      <c r="B707" s="10" t="n">
        <v>46207</v>
      </c>
      <c r="C707" s="10" t="n">
        <v>46207</v>
      </c>
      <c r="D707" s="9" t="n">
        <v>0</v>
      </c>
      <c r="E707" s="11" t="s">
        <v>109</v>
      </c>
      <c r="F707" s="9" t="n">
        <v>17</v>
      </c>
      <c r="G707" s="11" t="s">
        <v>110</v>
      </c>
      <c r="H707" s="9" t="n">
        <v>1110101</v>
      </c>
      <c r="I707" s="11" t="s">
        <v>111</v>
      </c>
      <c r="J707" s="9" t="n">
        <v>1469060</v>
      </c>
      <c r="L707" s="9" t="n">
        <v>1469060</v>
      </c>
      <c r="M707" s="11" t="s">
        <v>52</v>
      </c>
      <c r="N707" s="11" t="s">
        <v>112</v>
      </c>
      <c r="P707" s="9" t="n">
        <v>113</v>
      </c>
      <c r="Q707" s="11" t="s">
        <v>46</v>
      </c>
      <c r="R707" s="11" t="s">
        <v>116</v>
      </c>
      <c r="S707" s="9" t="n">
        <v>1110203</v>
      </c>
      <c r="T707" s="11" t="s">
        <v>117</v>
      </c>
      <c r="U707" s="12" t="n">
        <v>3150</v>
      </c>
      <c r="W707" s="12" t="n">
        <v>3150</v>
      </c>
      <c r="X707" s="11" t="s">
        <v>769</v>
      </c>
      <c r="Z707" s="0" t="str">
        <f aca="false">IF($T707="","",IFERROR(INDEX('Resumo Grupos'!$AC$3:$AC$200,MATCH($T707,'Resumo Grupos'!$AB$3:$AB$200,0)),"n/d"))</f>
        <v>Despesa</v>
      </c>
      <c r="AA707" s="0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9" t="n">
        <v>2</v>
      </c>
      <c r="B708" s="10" t="n">
        <v>46189</v>
      </c>
      <c r="C708" s="10" t="n">
        <v>46208</v>
      </c>
      <c r="D708" s="9" t="n">
        <v>530</v>
      </c>
      <c r="E708" s="11" t="s">
        <v>770</v>
      </c>
      <c r="F708" s="9" t="n">
        <v>24</v>
      </c>
      <c r="G708" s="11" t="s">
        <v>51</v>
      </c>
      <c r="H708" s="9" t="n">
        <v>2110405</v>
      </c>
      <c r="I708" s="11" t="s">
        <v>56</v>
      </c>
      <c r="J708" s="9" t="n">
        <v>1260994</v>
      </c>
      <c r="L708" s="9" t="n">
        <v>168220</v>
      </c>
      <c r="M708" s="11" t="s">
        <v>52</v>
      </c>
      <c r="N708" s="11" t="s">
        <v>45</v>
      </c>
      <c r="P708" s="9" t="n">
        <v>113</v>
      </c>
      <c r="Q708" s="11" t="s">
        <v>46</v>
      </c>
      <c r="R708" s="11" t="s">
        <v>509</v>
      </c>
      <c r="S708" s="9" t="n">
        <v>2110714</v>
      </c>
      <c r="T708" s="11" t="s">
        <v>771</v>
      </c>
      <c r="U708" s="12" t="n">
        <v>573.02</v>
      </c>
      <c r="W708" s="12" t="n">
        <v>0</v>
      </c>
      <c r="X708" s="11" t="s">
        <v>772</v>
      </c>
      <c r="Z708" s="0" t="str">
        <f aca="false">IF($T708="","",IFERROR(INDEX('Resumo Grupos'!$AC$3:$AC$200,MATCH($T708,'Resumo Grupos'!$AB$3:$AB$200,0)),"n/d"))</f>
        <v>Despesa</v>
      </c>
      <c r="AA708" s="0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9" t="n">
        <v>2</v>
      </c>
      <c r="B709" s="10" t="n">
        <v>46208</v>
      </c>
      <c r="C709" s="10" t="n">
        <v>46208</v>
      </c>
      <c r="D709" s="9" t="n">
        <v>0</v>
      </c>
      <c r="E709" s="11" t="s">
        <v>109</v>
      </c>
      <c r="F709" s="9" t="n">
        <v>17</v>
      </c>
      <c r="G709" s="11" t="s">
        <v>110</v>
      </c>
      <c r="H709" s="9" t="n">
        <v>1110101</v>
      </c>
      <c r="I709" s="11" t="s">
        <v>111</v>
      </c>
      <c r="J709" s="9" t="n">
        <v>1375345</v>
      </c>
      <c r="L709" s="9" t="n">
        <v>1375345</v>
      </c>
      <c r="M709" s="11" t="s">
        <v>52</v>
      </c>
      <c r="N709" s="11" t="s">
        <v>112</v>
      </c>
      <c r="P709" s="9" t="n">
        <v>113</v>
      </c>
      <c r="Q709" s="11" t="s">
        <v>46</v>
      </c>
      <c r="R709" s="11" t="s">
        <v>71</v>
      </c>
      <c r="S709" s="9" t="n">
        <v>4210310</v>
      </c>
      <c r="T709" s="11" t="s">
        <v>126</v>
      </c>
      <c r="U709" s="12" t="n">
        <v>91</v>
      </c>
      <c r="W709" s="12" t="n">
        <v>91</v>
      </c>
      <c r="X709" s="11" t="s">
        <v>283</v>
      </c>
      <c r="Z709" s="0" t="str">
        <f aca="false">IF($T709="","",IFERROR(INDEX('Resumo Grupos'!$AC$3:$AC$200,MATCH($T709,'Resumo Grupos'!$AB$3:$AB$200,0)),"n/d"))</f>
        <v>Despesa</v>
      </c>
      <c r="AA709" s="0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9" t="n">
        <v>2</v>
      </c>
      <c r="B710" s="10" t="n">
        <v>46208</v>
      </c>
      <c r="C710" s="10" t="n">
        <v>46208</v>
      </c>
      <c r="D710" s="9" t="n">
        <v>0</v>
      </c>
      <c r="E710" s="11" t="s">
        <v>109</v>
      </c>
      <c r="F710" s="9" t="n">
        <v>17</v>
      </c>
      <c r="G710" s="11" t="s">
        <v>110</v>
      </c>
      <c r="H710" s="9" t="n">
        <v>1110101</v>
      </c>
      <c r="I710" s="11" t="s">
        <v>111</v>
      </c>
      <c r="J710" s="9" t="n">
        <v>1375347</v>
      </c>
      <c r="L710" s="9" t="n">
        <v>1375347</v>
      </c>
      <c r="M710" s="11" t="s">
        <v>52</v>
      </c>
      <c r="N710" s="11" t="s">
        <v>112</v>
      </c>
      <c r="P710" s="9" t="n">
        <v>113</v>
      </c>
      <c r="Q710" s="11" t="s">
        <v>46</v>
      </c>
      <c r="R710" s="11" t="s">
        <v>71</v>
      </c>
      <c r="S710" s="9" t="n">
        <v>4210314</v>
      </c>
      <c r="T710" s="11" t="s">
        <v>113</v>
      </c>
      <c r="U710" s="12" t="n">
        <v>70</v>
      </c>
      <c r="W710" s="12" t="n">
        <v>70</v>
      </c>
      <c r="X710" s="11" t="s">
        <v>368</v>
      </c>
      <c r="Z710" s="0" t="str">
        <f aca="false">IF($T710="","",IFERROR(INDEX('Resumo Grupos'!$AC$3:$AC$200,MATCH($T710,'Resumo Grupos'!$AB$3:$AB$200,0)),"n/d"))</f>
        <v>Despesa</v>
      </c>
      <c r="AA710" s="0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9" t="n">
        <v>2</v>
      </c>
      <c r="B711" s="10" t="n">
        <v>46208</v>
      </c>
      <c r="C711" s="10" t="n">
        <v>46208</v>
      </c>
      <c r="D711" s="9" t="n">
        <v>0</v>
      </c>
      <c r="E711" s="11" t="s">
        <v>109</v>
      </c>
      <c r="F711" s="9" t="n">
        <v>17</v>
      </c>
      <c r="G711" s="11" t="s">
        <v>110</v>
      </c>
      <c r="H711" s="9" t="n">
        <v>1110101</v>
      </c>
      <c r="I711" s="11" t="s">
        <v>111</v>
      </c>
      <c r="J711" s="9" t="n">
        <v>1469064</v>
      </c>
      <c r="L711" s="9" t="n">
        <v>1469064</v>
      </c>
      <c r="M711" s="11" t="s">
        <v>52</v>
      </c>
      <c r="N711" s="11" t="s">
        <v>112</v>
      </c>
      <c r="P711" s="9" t="n">
        <v>113</v>
      </c>
      <c r="Q711" s="11" t="s">
        <v>46</v>
      </c>
      <c r="R711" s="11" t="s">
        <v>116</v>
      </c>
      <c r="S711" s="9" t="n">
        <v>1110203</v>
      </c>
      <c r="T711" s="11" t="s">
        <v>117</v>
      </c>
      <c r="U711" s="12" t="n">
        <v>1700</v>
      </c>
      <c r="W711" s="12" t="n">
        <v>1700</v>
      </c>
      <c r="X711" s="11" t="s">
        <v>773</v>
      </c>
      <c r="Z711" s="0" t="str">
        <f aca="false">IF($T711="","",IFERROR(INDEX('Resumo Grupos'!$AC$3:$AC$200,MATCH($T711,'Resumo Grupos'!$AB$3:$AB$200,0)),"n/d"))</f>
        <v>Despesa</v>
      </c>
      <c r="AA711" s="0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9" t="n">
        <v>2</v>
      </c>
      <c r="B712" s="10" t="n">
        <v>46188</v>
      </c>
      <c r="C712" s="10" t="n">
        <v>46209</v>
      </c>
      <c r="D712" s="9" t="n">
        <v>1659</v>
      </c>
      <c r="E712" s="11" t="s">
        <v>214</v>
      </c>
      <c r="F712" s="9" t="n">
        <v>24</v>
      </c>
      <c r="G712" s="11" t="s">
        <v>51</v>
      </c>
      <c r="H712" s="9" t="n">
        <v>2110101</v>
      </c>
      <c r="I712" s="11" t="s">
        <v>43</v>
      </c>
      <c r="J712" s="9" t="n">
        <v>1255113</v>
      </c>
      <c r="L712" s="9" t="n">
        <v>878392</v>
      </c>
      <c r="M712" s="11" t="s">
        <v>44</v>
      </c>
      <c r="N712" s="11" t="s">
        <v>37</v>
      </c>
      <c r="P712" s="9" t="n">
        <v>113</v>
      </c>
      <c r="Q712" s="11" t="s">
        <v>46</v>
      </c>
      <c r="R712" s="11" t="s">
        <v>47</v>
      </c>
      <c r="S712" s="9" t="n">
        <v>1130101</v>
      </c>
      <c r="T712" s="11" t="s">
        <v>48</v>
      </c>
      <c r="U712" s="12" t="n">
        <v>791.31</v>
      </c>
      <c r="W712" s="12" t="n">
        <v>0</v>
      </c>
      <c r="X712" s="11" t="s">
        <v>632</v>
      </c>
      <c r="Z712" s="0" t="str">
        <f aca="false">IF($T712="","",IFERROR(INDEX('Resumo Grupos'!$AC$3:$AC$200,MATCH($T712,'Resumo Grupos'!$AB$3:$AB$200,0)),"n/d"))</f>
        <v>Mercadoria</v>
      </c>
      <c r="AA712" s="0" t="str">
        <f aca="false">IF($T712="","",IF(COUNTIF('Resumo Grupos'!$AE$3:$AE$40,$T712)&gt;0,"NAO","SIM"))</f>
        <v>SIM</v>
      </c>
      <c r="AB712" s="0" t="str">
        <f aca="false">IFERROR(INDEX('Mov Entradas (Rel 10497)'!$L:$L,MATCH(AC712,'Mov Entradas (Rel 10497)'!$I:$I,0)),"nao encontrado")</f>
        <v>GOIABAD PALMEIR 250G</v>
      </c>
      <c r="AC712" s="0" t="n">
        <v>878392</v>
      </c>
    </row>
    <row r="713" customFormat="false" ht="36.75" hidden="false" customHeight="true" outlineLevel="0" collapsed="false">
      <c r="A713" s="9" t="n">
        <v>2</v>
      </c>
      <c r="B713" s="10" t="n">
        <v>46189</v>
      </c>
      <c r="C713" s="10" t="n">
        <v>46209</v>
      </c>
      <c r="D713" s="9" t="n">
        <v>1636</v>
      </c>
      <c r="E713" s="11" t="s">
        <v>61</v>
      </c>
      <c r="F713" s="9" t="n">
        <v>24</v>
      </c>
      <c r="G713" s="11" t="s">
        <v>51</v>
      </c>
      <c r="H713" s="9" t="n">
        <v>2110101</v>
      </c>
      <c r="I713" s="11" t="s">
        <v>43</v>
      </c>
      <c r="J713" s="9" t="n">
        <v>1260909</v>
      </c>
      <c r="L713" s="9" t="n">
        <v>168210</v>
      </c>
      <c r="M713" s="11" t="s">
        <v>52</v>
      </c>
      <c r="N713" s="11" t="s">
        <v>45</v>
      </c>
      <c r="P713" s="9" t="n">
        <v>113</v>
      </c>
      <c r="Q713" s="11" t="s">
        <v>46</v>
      </c>
      <c r="R713" s="11" t="s">
        <v>47</v>
      </c>
      <c r="S713" s="9" t="n">
        <v>1130101</v>
      </c>
      <c r="T713" s="11" t="s">
        <v>48</v>
      </c>
      <c r="U713" s="12" t="n">
        <v>643.05</v>
      </c>
      <c r="W713" s="12" t="n">
        <v>0</v>
      </c>
      <c r="X713" s="11" t="s">
        <v>635</v>
      </c>
      <c r="Z713" s="0" t="str">
        <f aca="false">IF($T713="","",IFERROR(INDEX('Resumo Grupos'!$AC$3:$AC$200,MATCH($T713,'Resumo Grupos'!$AB$3:$AB$200,0)),"n/d"))</f>
        <v>Mercadoria</v>
      </c>
      <c r="AA713" s="0" t="str">
        <f aca="false">IF($T713="","",IF(COUNTIF('Resumo Grupos'!$AE$3:$AE$40,$T713)&gt;0,"NAO","SIM"))</f>
        <v>SIM</v>
      </c>
      <c r="AB713" s="0" t="str">
        <f aca="false">IFERROR(INDEX('Mov Entradas (Rel 10497)'!$L:$L,MATCH(AC713,'Mov Entradas (Rel 10497)'!$I:$I,0)),"nao encontrado")</f>
        <v>SARDINHA GOMES DA COSTA C/ OLEO 125G</v>
      </c>
      <c r="AC713" s="0" t="n">
        <v>3202460</v>
      </c>
    </row>
    <row r="714" customFormat="false" ht="45.75" hidden="false" customHeight="true" outlineLevel="0" collapsed="false">
      <c r="A714" s="9" t="n">
        <v>2</v>
      </c>
      <c r="B714" s="10" t="n">
        <v>46196</v>
      </c>
      <c r="C714" s="10" t="n">
        <v>46209</v>
      </c>
      <c r="D714" s="9" t="n">
        <v>1616</v>
      </c>
      <c r="E714" s="11" t="s">
        <v>64</v>
      </c>
      <c r="F714" s="9" t="n">
        <v>24</v>
      </c>
      <c r="G714" s="11" t="s">
        <v>51</v>
      </c>
      <c r="H714" s="9" t="n">
        <v>2110101</v>
      </c>
      <c r="I714" s="11" t="s">
        <v>43</v>
      </c>
      <c r="J714" s="9" t="n">
        <v>1293976</v>
      </c>
      <c r="L714" s="9" t="n">
        <v>646732</v>
      </c>
      <c r="M714" s="11" t="s">
        <v>52</v>
      </c>
      <c r="N714" s="11" t="s">
        <v>37</v>
      </c>
      <c r="P714" s="9" t="n">
        <v>113</v>
      </c>
      <c r="Q714" s="11" t="s">
        <v>46</v>
      </c>
      <c r="R714" s="11" t="s">
        <v>47</v>
      </c>
      <c r="S714" s="9" t="n">
        <v>1130101</v>
      </c>
      <c r="T714" s="11" t="s">
        <v>48</v>
      </c>
      <c r="U714" s="12" t="n">
        <v>347.17</v>
      </c>
      <c r="W714" s="12" t="n">
        <v>0</v>
      </c>
      <c r="X714" s="11" t="s">
        <v>774</v>
      </c>
      <c r="Z714" s="0" t="str">
        <f aca="false">IF($T714="","",IFERROR(INDEX('Resumo Grupos'!$AC$3:$AC$200,MATCH($T714,'Resumo Grupos'!$AB$3:$AB$200,0)),"n/d"))</f>
        <v>Mercadoria</v>
      </c>
      <c r="AA714" s="0" t="str">
        <f aca="false">IF($T714="","",IF(COUNTIF('Resumo Grupos'!$AE$3:$AE$40,$T714)&gt;0,"NAO","SIM"))</f>
        <v>SIM</v>
      </c>
      <c r="AB714" s="0" t="str">
        <f aca="false">IFERROR(INDEX('Mov Entradas (Rel 10497)'!$L:$L,MATCH(AC714,'Mov Entradas (Rel 10497)'!$I:$I,0)),"nao encontrado")</f>
        <v>BIS TRIUNF TORT 90G</v>
      </c>
      <c r="AC714" s="0" t="n">
        <v>646732</v>
      </c>
    </row>
    <row r="715" customFormat="false" ht="36.75" hidden="false" customHeight="true" outlineLevel="0" collapsed="false">
      <c r="A715" s="9" t="n">
        <v>2</v>
      </c>
      <c r="B715" s="10" t="n">
        <v>46196</v>
      </c>
      <c r="C715" s="10" t="n">
        <v>46209</v>
      </c>
      <c r="D715" s="9" t="n">
        <v>794</v>
      </c>
      <c r="E715" s="11" t="s">
        <v>335</v>
      </c>
      <c r="F715" s="9" t="n">
        <v>24</v>
      </c>
      <c r="G715" s="11" t="s">
        <v>51</v>
      </c>
      <c r="H715" s="9" t="n">
        <v>2110405</v>
      </c>
      <c r="I715" s="11" t="s">
        <v>56</v>
      </c>
      <c r="J715" s="9" t="n">
        <v>1294326</v>
      </c>
      <c r="L715" s="9" t="n">
        <v>173122</v>
      </c>
      <c r="M715" s="11" t="s">
        <v>52</v>
      </c>
      <c r="N715" s="11" t="s">
        <v>45</v>
      </c>
      <c r="P715" s="9" t="n">
        <v>113</v>
      </c>
      <c r="Q715" s="11" t="s">
        <v>46</v>
      </c>
      <c r="R715" s="11" t="s">
        <v>39</v>
      </c>
      <c r="S715" s="9" t="n">
        <v>4210299</v>
      </c>
      <c r="T715" s="11" t="s">
        <v>165</v>
      </c>
      <c r="U715" s="12" t="n">
        <v>737.43</v>
      </c>
      <c r="W715" s="12" t="n">
        <v>0</v>
      </c>
      <c r="X715" s="11" t="s">
        <v>775</v>
      </c>
      <c r="Z715" s="0" t="str">
        <f aca="false">IF($T715="","",IFERROR(INDEX('Resumo Grupos'!$AC$3:$AC$200,MATCH($T715,'Resumo Grupos'!$AB$3:$AB$200,0)),"n/d"))</f>
        <v>Despesa</v>
      </c>
      <c r="AA715" s="0" t="str">
        <f aca="false">IF($T715="","",IF(COUNTIF('Resumo Grupos'!$AE$3:$AE$40,$T715)&gt;0,"NAO","SIM"))</f>
        <v>SIM</v>
      </c>
      <c r="AB715" s="0" t="str">
        <f aca="false">IFERROR(INDEX('Mov Entradas (Rel 10497)'!$L:$L,MATCH(AC715,'Mov Entradas (Rel 10497)'!$I:$I,0)),"nao encontrado")</f>
        <v>SACOLA BRC. L. ALIP.</v>
      </c>
      <c r="AC715" s="0" t="n">
        <v>8155</v>
      </c>
    </row>
    <row r="716" customFormat="false" ht="36.75" hidden="false" customHeight="true" outlineLevel="0" collapsed="false">
      <c r="A716" s="9" t="n">
        <v>2</v>
      </c>
      <c r="B716" s="10" t="n">
        <v>46205</v>
      </c>
      <c r="C716" s="10" t="n">
        <v>46209</v>
      </c>
      <c r="D716" s="9" t="n">
        <v>1217</v>
      </c>
      <c r="E716" s="11" t="s">
        <v>776</v>
      </c>
      <c r="F716" s="9" t="n">
        <v>24</v>
      </c>
      <c r="G716" s="11" t="s">
        <v>51</v>
      </c>
      <c r="H716" s="9" t="n">
        <v>2110101</v>
      </c>
      <c r="I716" s="11" t="s">
        <v>43</v>
      </c>
      <c r="J716" s="9" t="n">
        <v>1339965</v>
      </c>
      <c r="L716" s="9" t="n">
        <v>4467</v>
      </c>
      <c r="M716" s="11" t="s">
        <v>52</v>
      </c>
      <c r="N716" s="11" t="s">
        <v>37</v>
      </c>
      <c r="P716" s="9" t="n">
        <v>113</v>
      </c>
      <c r="Q716" s="11" t="s">
        <v>46</v>
      </c>
      <c r="R716" s="11" t="s">
        <v>47</v>
      </c>
      <c r="S716" s="9" t="n">
        <v>1130101</v>
      </c>
      <c r="T716" s="11" t="s">
        <v>48</v>
      </c>
      <c r="U716" s="12" t="n">
        <v>819.53</v>
      </c>
      <c r="W716" s="12" t="n">
        <v>0</v>
      </c>
      <c r="X716" s="11" t="s">
        <v>777</v>
      </c>
      <c r="Z716" s="0" t="str">
        <f aca="false">IF($T716="","",IFERROR(INDEX('Resumo Grupos'!$AC$3:$AC$200,MATCH($T716,'Resumo Grupos'!$AB$3:$AB$200,0)),"n/d"))</f>
        <v>Mercadoria</v>
      </c>
      <c r="AA716" s="0" t="str">
        <f aca="false">IF($T716="","",IF(COUNTIF('Resumo Grupos'!$AE$3:$AE$40,$T716)&gt;0,"NAO","SIM"))</f>
        <v>SIM</v>
      </c>
      <c r="AB716" s="0" t="str">
        <f aca="false">IFERROR(INDEX('Mov Entradas (Rel 10497)'!$L:$L,MATCH(AC716,'Mov Entradas (Rel 10497)'!$I:$I,0)),"nao encontrado")</f>
        <v>REGULADOR DE GAS ALI</v>
      </c>
      <c r="AC716" s="0" t="n">
        <v>4467</v>
      </c>
    </row>
    <row r="717" customFormat="false" ht="36.75" hidden="false" customHeight="true" outlineLevel="0" collapsed="false">
      <c r="A717" s="9" t="n">
        <v>2</v>
      </c>
      <c r="B717" s="10" t="n">
        <v>46195</v>
      </c>
      <c r="C717" s="10" t="n">
        <v>46209</v>
      </c>
      <c r="D717" s="9" t="n">
        <v>1626</v>
      </c>
      <c r="E717" s="11" t="s">
        <v>77</v>
      </c>
      <c r="F717" s="9" t="n">
        <v>24</v>
      </c>
      <c r="G717" s="11" t="s">
        <v>51</v>
      </c>
      <c r="H717" s="9" t="n">
        <v>2110101</v>
      </c>
      <c r="I717" s="11" t="s">
        <v>43</v>
      </c>
      <c r="J717" s="9" t="n">
        <v>1290923</v>
      </c>
      <c r="L717" s="9" t="n">
        <v>172706</v>
      </c>
      <c r="M717" s="11" t="s">
        <v>52</v>
      </c>
      <c r="N717" s="11" t="s">
        <v>45</v>
      </c>
      <c r="P717" s="9" t="n">
        <v>113</v>
      </c>
      <c r="Q717" s="11" t="s">
        <v>46</v>
      </c>
      <c r="R717" s="11" t="s">
        <v>47</v>
      </c>
      <c r="S717" s="9" t="n">
        <v>1130101</v>
      </c>
      <c r="T717" s="11" t="s">
        <v>48</v>
      </c>
      <c r="U717" s="12" t="n">
        <v>675.35</v>
      </c>
      <c r="W717" s="12" t="n">
        <v>0</v>
      </c>
      <c r="X717" s="11" t="s">
        <v>778</v>
      </c>
      <c r="Z717" s="0" t="str">
        <f aca="false">IF($T717="","",IFERROR(INDEX('Resumo Grupos'!$AC$3:$AC$200,MATCH($T717,'Resumo Grupos'!$AB$3:$AB$200,0)),"n/d"))</f>
        <v>Mercadoria</v>
      </c>
      <c r="AA717" s="0" t="str">
        <f aca="false">IF($T717="","",IF(COUNTIF('Resumo Grupos'!$AE$3:$AE$40,$T717)&gt;0,"NAO","SIM"))</f>
        <v>SIM</v>
      </c>
      <c r="AB717" s="0" t="str">
        <f aca="false">IFERROR(INDEX('Mov Entradas (Rel 10497)'!$L:$L,MATCH(AC717,'Mov Entradas (Rel 10497)'!$I:$I,0)),"nao encontrado")</f>
        <v>CALABRESA SEARA KG</v>
      </c>
      <c r="AC717" s="0" t="n">
        <v>310316</v>
      </c>
    </row>
    <row r="718" customFormat="false" ht="36.75" hidden="false" customHeight="true" outlineLevel="0" collapsed="false">
      <c r="A718" s="9" t="n">
        <v>2</v>
      </c>
      <c r="B718" s="10" t="n">
        <v>46209</v>
      </c>
      <c r="C718" s="10" t="n">
        <v>46209</v>
      </c>
      <c r="D718" s="9" t="n">
        <v>12</v>
      </c>
      <c r="E718" s="11" t="s">
        <v>79</v>
      </c>
      <c r="F718" s="9" t="n">
        <v>34</v>
      </c>
      <c r="G718" s="11" t="s">
        <v>55</v>
      </c>
      <c r="H718" s="9" t="n">
        <v>2110405</v>
      </c>
      <c r="I718" s="11" t="s">
        <v>56</v>
      </c>
      <c r="J718" s="9" t="n">
        <v>1402874</v>
      </c>
      <c r="L718" s="9" t="n">
        <v>188827</v>
      </c>
      <c r="M718" s="11" t="s">
        <v>52</v>
      </c>
      <c r="N718" s="11" t="s">
        <v>45</v>
      </c>
      <c r="P718" s="9" t="n">
        <v>113</v>
      </c>
      <c r="Q718" s="11" t="s">
        <v>46</v>
      </c>
      <c r="R718" s="11" t="s">
        <v>71</v>
      </c>
      <c r="S718" s="9" t="n">
        <v>4210301</v>
      </c>
      <c r="T718" s="11" t="s">
        <v>220</v>
      </c>
      <c r="U718" s="12" t="n">
        <v>600</v>
      </c>
      <c r="W718" s="12" t="n">
        <v>0</v>
      </c>
      <c r="X718" s="11" t="s">
        <v>779</v>
      </c>
      <c r="Z718" s="0" t="str">
        <f aca="false">IF($T718="","",IFERROR(INDEX('Resumo Grupos'!$AC$3:$AC$200,MATCH($T718,'Resumo Grupos'!$AB$3:$AB$200,0)),"n/d"))</f>
        <v>Salários</v>
      </c>
      <c r="AA718" s="0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9" t="n">
        <v>2</v>
      </c>
      <c r="B719" s="10" t="n">
        <v>46209</v>
      </c>
      <c r="C719" s="10" t="n">
        <v>46209</v>
      </c>
      <c r="D719" s="9" t="n">
        <v>1768</v>
      </c>
      <c r="E719" s="11" t="s">
        <v>378</v>
      </c>
      <c r="F719" s="9" t="n">
        <v>34</v>
      </c>
      <c r="G719" s="11" t="s">
        <v>55</v>
      </c>
      <c r="H719" s="9" t="n">
        <v>2110405</v>
      </c>
      <c r="I719" s="11" t="s">
        <v>56</v>
      </c>
      <c r="J719" s="9" t="n">
        <v>628286</v>
      </c>
      <c r="L719" s="9" t="n">
        <v>81552</v>
      </c>
      <c r="M719" s="11" t="s">
        <v>36</v>
      </c>
      <c r="N719" s="11" t="s">
        <v>45</v>
      </c>
      <c r="P719" s="9" t="n">
        <v>102</v>
      </c>
      <c r="Q719" s="11" t="s">
        <v>308</v>
      </c>
      <c r="R719" s="11" t="s">
        <v>39</v>
      </c>
      <c r="S719" s="9" t="n">
        <v>4210202</v>
      </c>
      <c r="T719" s="11" t="s">
        <v>379</v>
      </c>
      <c r="U719" s="12" t="n">
        <v>2431.5</v>
      </c>
      <c r="W719" s="12" t="n">
        <v>0</v>
      </c>
      <c r="X719" s="11" t="s">
        <v>380</v>
      </c>
      <c r="Z719" s="0" t="str">
        <f aca="false">IF($T719="","",IFERROR(INDEX('Resumo Grupos'!$AC$3:$AC$200,MATCH($T719,'Resumo Grupos'!$AB$3:$AB$200,0)),"n/d"))</f>
        <v>Despesa</v>
      </c>
      <c r="AA719" s="0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9" t="n">
        <v>2</v>
      </c>
      <c r="B720" s="10" t="n">
        <v>46209</v>
      </c>
      <c r="C720" s="10" t="n">
        <v>46209</v>
      </c>
      <c r="D720" s="9" t="n">
        <v>515</v>
      </c>
      <c r="E720" s="11" t="s">
        <v>137</v>
      </c>
      <c r="F720" s="9" t="n">
        <v>34</v>
      </c>
      <c r="G720" s="11" t="s">
        <v>55</v>
      </c>
      <c r="H720" s="9" t="n">
        <v>2110405</v>
      </c>
      <c r="I720" s="11" t="s">
        <v>56</v>
      </c>
      <c r="J720" s="9" t="n">
        <v>1374828</v>
      </c>
      <c r="L720" s="9" t="n">
        <v>184926</v>
      </c>
      <c r="M720" s="11" t="s">
        <v>52</v>
      </c>
      <c r="N720" s="11" t="s">
        <v>45</v>
      </c>
      <c r="P720" s="9" t="n">
        <v>102</v>
      </c>
      <c r="Q720" s="11" t="s">
        <v>308</v>
      </c>
      <c r="R720" s="11" t="s">
        <v>138</v>
      </c>
      <c r="S720" s="9" t="n">
        <v>4210504</v>
      </c>
      <c r="T720" s="11" t="s">
        <v>143</v>
      </c>
      <c r="U720" s="12" t="n">
        <v>839.14</v>
      </c>
      <c r="W720" s="12" t="n">
        <v>0</v>
      </c>
      <c r="X720" s="11" t="s">
        <v>780</v>
      </c>
      <c r="Z720" s="0" t="str">
        <f aca="false">IF($T720="","",IFERROR(INDEX('Resumo Grupos'!$AC$3:$AC$200,MATCH($T720,'Resumo Grupos'!$AB$3:$AB$200,0)),"n/d"))</f>
        <v>Despesa</v>
      </c>
      <c r="AA720" s="0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9" t="n">
        <v>2</v>
      </c>
      <c r="B721" s="10" t="n">
        <v>46206</v>
      </c>
      <c r="C721" s="10" t="n">
        <v>46209</v>
      </c>
      <c r="D721" s="9" t="n">
        <v>10035</v>
      </c>
      <c r="E721" s="11" t="s">
        <v>86</v>
      </c>
      <c r="F721" s="9" t="n">
        <v>34</v>
      </c>
      <c r="G721" s="11" t="s">
        <v>55</v>
      </c>
      <c r="H721" s="9" t="n">
        <v>2110101</v>
      </c>
      <c r="I721" s="11" t="s">
        <v>43</v>
      </c>
      <c r="J721" s="9" t="n">
        <v>1344684</v>
      </c>
      <c r="L721" s="9" t="n">
        <v>337</v>
      </c>
      <c r="M721" s="11" t="s">
        <v>52</v>
      </c>
      <c r="N721" s="11" t="s">
        <v>37</v>
      </c>
      <c r="P721" s="9" t="n">
        <v>113</v>
      </c>
      <c r="Q721" s="11" t="s">
        <v>46</v>
      </c>
      <c r="R721" s="11" t="s">
        <v>47</v>
      </c>
      <c r="S721" s="9" t="n">
        <v>1130101</v>
      </c>
      <c r="T721" s="11" t="s">
        <v>48</v>
      </c>
      <c r="U721" s="12" t="n">
        <v>398</v>
      </c>
      <c r="W721" s="12" t="n">
        <v>0</v>
      </c>
      <c r="X721" s="11" t="s">
        <v>781</v>
      </c>
      <c r="Z721" s="0" t="str">
        <f aca="false">IF($T721="","",IFERROR(INDEX('Resumo Grupos'!$AC$3:$AC$200,MATCH($T721,'Resumo Grupos'!$AB$3:$AB$200,0)),"n/d"))</f>
        <v>Mercadoria</v>
      </c>
      <c r="AA721" s="0" t="str">
        <f aca="false">IF($T721="","",IF(COUNTIF('Resumo Grupos'!$AE$3:$AE$40,$T721)&gt;0,"NAO","SIM"))</f>
        <v>SIM</v>
      </c>
      <c r="AB721" s="0" t="str">
        <f aca="false">IFERROR(INDEX('Mov Entradas (Rel 10497)'!$L:$L,MATCH(AC721,'Mov Entradas (Rel 10497)'!$I:$I,0)),"nao encontrado")</f>
        <v>CARVAO VEGETAL 3KG</v>
      </c>
      <c r="AC721" s="0" t="n">
        <v>337</v>
      </c>
    </row>
    <row r="722" customFormat="false" ht="45.75" hidden="false" customHeight="true" outlineLevel="0" collapsed="false">
      <c r="A722" s="9" t="n">
        <v>2</v>
      </c>
      <c r="B722" s="10" t="n">
        <v>46209</v>
      </c>
      <c r="C722" s="10" t="n">
        <v>46209</v>
      </c>
      <c r="D722" s="9" t="n">
        <v>1783</v>
      </c>
      <c r="E722" s="11" t="s">
        <v>340</v>
      </c>
      <c r="F722" s="9" t="n">
        <v>13</v>
      </c>
      <c r="G722" s="11" t="s">
        <v>135</v>
      </c>
      <c r="H722" s="9" t="n">
        <v>2110101</v>
      </c>
      <c r="I722" s="11" t="s">
        <v>43</v>
      </c>
      <c r="J722" s="9" t="n">
        <v>1365085</v>
      </c>
      <c r="L722" s="9" t="n">
        <v>512</v>
      </c>
      <c r="M722" s="11" t="s">
        <v>52</v>
      </c>
      <c r="N722" s="11" t="s">
        <v>37</v>
      </c>
      <c r="P722" s="9" t="n">
        <v>113</v>
      </c>
      <c r="Q722" s="11" t="s">
        <v>46</v>
      </c>
      <c r="R722" s="11" t="s">
        <v>47</v>
      </c>
      <c r="S722" s="9" t="n">
        <v>1130101</v>
      </c>
      <c r="T722" s="11" t="s">
        <v>48</v>
      </c>
      <c r="U722" s="12" t="n">
        <v>160.32</v>
      </c>
      <c r="W722" s="12" t="n">
        <v>160.32</v>
      </c>
      <c r="X722" s="11" t="s">
        <v>782</v>
      </c>
      <c r="Z722" s="0" t="str">
        <f aca="false">IF($T722="","",IFERROR(INDEX('Resumo Grupos'!$AC$3:$AC$200,MATCH($T722,'Resumo Grupos'!$AB$3:$AB$200,0)),"n/d"))</f>
        <v>Mercadoria</v>
      </c>
      <c r="AA722" s="0" t="str">
        <f aca="false">IF($T722="","",IF(COUNTIF('Resumo Grupos'!$AE$3:$AE$40,$T722)&gt;0,"NAO","SIM"))</f>
        <v>SIM</v>
      </c>
      <c r="AB722" s="0" t="str">
        <f aca="false">IFERROR(INDEX('Mov Entradas (Rel 10497)'!$L:$L,MATCH(AC722,'Mov Entradas (Rel 10497)'!$I:$I,0)),"nao encontrado")</f>
        <v>MARSHMALOW NO PALITO</v>
      </c>
      <c r="AC722" s="0" t="n">
        <v>512</v>
      </c>
    </row>
    <row r="723" customFormat="false" ht="45.75" hidden="false" customHeight="true" outlineLevel="0" collapsed="false">
      <c r="A723" s="9" t="n">
        <v>2</v>
      </c>
      <c r="B723" s="10" t="n">
        <v>46209</v>
      </c>
      <c r="C723" s="10" t="n">
        <v>46209</v>
      </c>
      <c r="D723" s="9" t="n">
        <v>48</v>
      </c>
      <c r="E723" s="11" t="s">
        <v>153</v>
      </c>
      <c r="F723" s="9" t="n">
        <v>13</v>
      </c>
      <c r="G723" s="11" t="s">
        <v>135</v>
      </c>
      <c r="H723" s="9" t="n">
        <v>2110101</v>
      </c>
      <c r="I723" s="11" t="s">
        <v>43</v>
      </c>
      <c r="J723" s="9" t="n">
        <v>1361277</v>
      </c>
      <c r="L723" s="9" t="n">
        <v>2527</v>
      </c>
      <c r="M723" s="11" t="s">
        <v>52</v>
      </c>
      <c r="N723" s="11" t="s">
        <v>37</v>
      </c>
      <c r="P723" s="9" t="n">
        <v>113</v>
      </c>
      <c r="Q723" s="11" t="s">
        <v>46</v>
      </c>
      <c r="R723" s="11" t="s">
        <v>47</v>
      </c>
      <c r="S723" s="9" t="n">
        <v>1130101</v>
      </c>
      <c r="T723" s="11" t="s">
        <v>48</v>
      </c>
      <c r="U723" s="12" t="n">
        <v>210</v>
      </c>
      <c r="W723" s="12" t="n">
        <v>210</v>
      </c>
      <c r="X723" s="11" t="s">
        <v>783</v>
      </c>
      <c r="Z723" s="0" t="str">
        <f aca="false">IF($T723="","",IFERROR(INDEX('Resumo Grupos'!$AC$3:$AC$200,MATCH($T723,'Resumo Grupos'!$AB$3:$AB$200,0)),"n/d"))</f>
        <v>Mercadoria</v>
      </c>
      <c r="AA723" s="0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9" t="n">
        <v>2</v>
      </c>
      <c r="B724" s="10" t="n">
        <v>46204</v>
      </c>
      <c r="C724" s="10" t="n">
        <v>46209</v>
      </c>
      <c r="D724" s="9" t="n">
        <v>1899</v>
      </c>
      <c r="E724" s="11" t="s">
        <v>204</v>
      </c>
      <c r="F724" s="9" t="n">
        <v>24</v>
      </c>
      <c r="G724" s="11" t="s">
        <v>51</v>
      </c>
      <c r="H724" s="9" t="n">
        <v>2110101</v>
      </c>
      <c r="I724" s="11" t="s">
        <v>43</v>
      </c>
      <c r="J724" s="9" t="n">
        <v>1333879</v>
      </c>
      <c r="L724" s="9" t="n">
        <v>690</v>
      </c>
      <c r="M724" s="11" t="s">
        <v>52</v>
      </c>
      <c r="N724" s="11" t="s">
        <v>37</v>
      </c>
      <c r="P724" s="9" t="n">
        <v>113</v>
      </c>
      <c r="Q724" s="11" t="s">
        <v>46</v>
      </c>
      <c r="R724" s="11" t="s">
        <v>47</v>
      </c>
      <c r="S724" s="9" t="n">
        <v>1130101</v>
      </c>
      <c r="T724" s="11" t="s">
        <v>48</v>
      </c>
      <c r="U724" s="12" t="n">
        <v>304.75</v>
      </c>
      <c r="W724" s="12" t="n">
        <v>0</v>
      </c>
      <c r="X724" s="11" t="s">
        <v>784</v>
      </c>
      <c r="Z724" s="0" t="str">
        <f aca="false">IF($T724="","",IFERROR(INDEX('Resumo Grupos'!$AC$3:$AC$200,MATCH($T724,'Resumo Grupos'!$AB$3:$AB$200,0)),"n/d"))</f>
        <v>Mercadoria</v>
      </c>
      <c r="AA724" s="0" t="str">
        <f aca="false">IF($T724="","",IF(COUNTIF('Resumo Grupos'!$AE$3:$AE$40,$T724)&gt;0,"NAO","SIM"))</f>
        <v>SIM</v>
      </c>
      <c r="AB724" s="0" t="str">
        <f aca="false">IFERROR(INDEX('Mov Entradas (Rel 10497)'!$L:$L,MATCH(AC724,'Mov Entradas (Rel 10497)'!$I:$I,0)),"nao encontrado")</f>
        <v>MASSA FINA</v>
      </c>
      <c r="AC724" s="0" t="n">
        <v>690</v>
      </c>
    </row>
    <row r="725" customFormat="false" ht="54.75" hidden="false" customHeight="true" outlineLevel="0" collapsed="false">
      <c r="A725" s="9" t="n">
        <v>2</v>
      </c>
      <c r="B725" s="10" t="n">
        <v>46212</v>
      </c>
      <c r="C725" s="10" t="n">
        <v>46209</v>
      </c>
      <c r="D725" s="9" t="n">
        <v>33</v>
      </c>
      <c r="E725" s="11" t="s">
        <v>313</v>
      </c>
      <c r="F725" s="9" t="n">
        <v>34</v>
      </c>
      <c r="G725" s="11" t="s">
        <v>55</v>
      </c>
      <c r="H725" s="9" t="n">
        <v>2110405</v>
      </c>
      <c r="I725" s="11" t="s">
        <v>56</v>
      </c>
      <c r="J725" s="9" t="n">
        <v>910921</v>
      </c>
      <c r="L725" s="9" t="n">
        <v>120198</v>
      </c>
      <c r="M725" s="11" t="s">
        <v>67</v>
      </c>
      <c r="N725" s="11" t="s">
        <v>45</v>
      </c>
      <c r="P725" s="9" t="n">
        <v>102</v>
      </c>
      <c r="Q725" s="11" t="s">
        <v>308</v>
      </c>
      <c r="R725" s="11" t="s">
        <v>71</v>
      </c>
      <c r="S725" s="9" t="n">
        <v>4210301</v>
      </c>
      <c r="T725" s="11" t="s">
        <v>220</v>
      </c>
      <c r="U725" s="12" t="n">
        <v>222.91</v>
      </c>
      <c r="W725" s="12" t="n">
        <v>0</v>
      </c>
      <c r="X725" s="11" t="s">
        <v>785</v>
      </c>
      <c r="Z725" s="0" t="str">
        <f aca="false">IF($T725="","",IFERROR(INDEX('Resumo Grupos'!$AC$3:$AC$200,MATCH($T725,'Resumo Grupos'!$AB$3:$AB$200,0)),"n/d"))</f>
        <v>Salários</v>
      </c>
      <c r="AA725" s="0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9" t="n">
        <v>2</v>
      </c>
      <c r="B726" s="10" t="n">
        <v>46209</v>
      </c>
      <c r="C726" s="10" t="n">
        <v>46209</v>
      </c>
      <c r="D726" s="9" t="n">
        <v>16</v>
      </c>
      <c r="E726" s="11" t="s">
        <v>257</v>
      </c>
      <c r="F726" s="9" t="n">
        <v>34</v>
      </c>
      <c r="G726" s="11" t="s">
        <v>55</v>
      </c>
      <c r="H726" s="9" t="n">
        <v>2110405</v>
      </c>
      <c r="I726" s="11" t="s">
        <v>56</v>
      </c>
      <c r="J726" s="9" t="n">
        <v>1374894</v>
      </c>
      <c r="L726" s="9" t="n">
        <v>184938</v>
      </c>
      <c r="M726" s="11" t="s">
        <v>52</v>
      </c>
      <c r="N726" s="11" t="s">
        <v>45</v>
      </c>
      <c r="P726" s="9" t="n">
        <v>102</v>
      </c>
      <c r="Q726" s="11" t="s">
        <v>308</v>
      </c>
      <c r="R726" s="11" t="s">
        <v>71</v>
      </c>
      <c r="S726" s="9" t="n">
        <v>4210301</v>
      </c>
      <c r="T726" s="11" t="s">
        <v>220</v>
      </c>
      <c r="U726" s="12" t="n">
        <v>500</v>
      </c>
      <c r="W726" s="12" t="n">
        <v>0</v>
      </c>
      <c r="X726" s="11" t="s">
        <v>786</v>
      </c>
      <c r="Z726" s="0" t="str">
        <f aca="false">IF($T726="","",IFERROR(INDEX('Resumo Grupos'!$AC$3:$AC$200,MATCH($T726,'Resumo Grupos'!$AB$3:$AB$200,0)),"n/d"))</f>
        <v>Salários</v>
      </c>
      <c r="AA726" s="0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9" t="n">
        <v>2</v>
      </c>
      <c r="B727" s="10" t="n">
        <v>46195</v>
      </c>
      <c r="C727" s="10" t="n">
        <v>46209</v>
      </c>
      <c r="D727" s="9" t="n">
        <v>1697</v>
      </c>
      <c r="E727" s="11" t="s">
        <v>787</v>
      </c>
      <c r="F727" s="9" t="n">
        <v>24</v>
      </c>
      <c r="G727" s="11" t="s">
        <v>51</v>
      </c>
      <c r="H727" s="9" t="n">
        <v>2110101</v>
      </c>
      <c r="I727" s="11" t="s">
        <v>43</v>
      </c>
      <c r="J727" s="9" t="n">
        <v>1289570</v>
      </c>
      <c r="L727" s="9" t="n">
        <v>207912</v>
      </c>
      <c r="M727" s="11" t="s">
        <v>52</v>
      </c>
      <c r="N727" s="11" t="s">
        <v>37</v>
      </c>
      <c r="P727" s="9" t="n">
        <v>113</v>
      </c>
      <c r="Q727" s="11" t="s">
        <v>46</v>
      </c>
      <c r="R727" s="11" t="s">
        <v>47</v>
      </c>
      <c r="S727" s="9" t="n">
        <v>1130101</v>
      </c>
      <c r="T727" s="11" t="s">
        <v>48</v>
      </c>
      <c r="U727" s="12" t="n">
        <v>591.51</v>
      </c>
      <c r="W727" s="12" t="n">
        <v>0</v>
      </c>
      <c r="X727" s="11" t="s">
        <v>788</v>
      </c>
      <c r="Z727" s="0" t="str">
        <f aca="false">IF($T727="","",IFERROR(INDEX('Resumo Grupos'!$AC$3:$AC$200,MATCH($T727,'Resumo Grupos'!$AB$3:$AB$200,0)),"n/d"))</f>
        <v>Mercadoria</v>
      </c>
      <c r="AA727" s="0" t="str">
        <f aca="false">IF($T727="","",IF(COUNTIF('Resumo Grupos'!$AE$3:$AE$40,$T727)&gt;0,"NAO","SIM"))</f>
        <v>SIM</v>
      </c>
      <c r="AB727" s="0" t="str">
        <f aca="false">IFERROR(INDEX('Mov Entradas (Rel 10497)'!$L:$L,MATCH(AC727,'Mov Entradas (Rel 10497)'!$I:$I,0)),"nao encontrado")</f>
        <v>LEITE ITALAC DESN 1L</v>
      </c>
      <c r="AC727" s="0" t="n">
        <v>207912</v>
      </c>
    </row>
    <row r="728" customFormat="false" ht="9.75" hidden="false" customHeight="true" outlineLevel="0" collapsed="false">
      <c r="A728" s="9" t="n">
        <v>2</v>
      </c>
      <c r="B728" s="10" t="n">
        <v>46209</v>
      </c>
      <c r="C728" s="10" t="n">
        <v>46209</v>
      </c>
      <c r="D728" s="9" t="n">
        <v>0</v>
      </c>
      <c r="E728" s="11" t="s">
        <v>109</v>
      </c>
      <c r="F728" s="9" t="n">
        <v>17</v>
      </c>
      <c r="G728" s="11" t="s">
        <v>110</v>
      </c>
      <c r="H728" s="9" t="n">
        <v>1110101</v>
      </c>
      <c r="I728" s="11" t="s">
        <v>111</v>
      </c>
      <c r="J728" s="9" t="n">
        <v>1375373</v>
      </c>
      <c r="L728" s="9" t="n">
        <v>1375373</v>
      </c>
      <c r="M728" s="11" t="s">
        <v>52</v>
      </c>
      <c r="N728" s="11" t="s">
        <v>112</v>
      </c>
      <c r="P728" s="9" t="n">
        <v>113</v>
      </c>
      <c r="Q728" s="11" t="s">
        <v>46</v>
      </c>
      <c r="R728" s="11" t="s">
        <v>259</v>
      </c>
      <c r="S728" s="9" t="n">
        <v>2110101</v>
      </c>
      <c r="T728" s="11" t="s">
        <v>43</v>
      </c>
      <c r="U728" s="12" t="n">
        <v>210</v>
      </c>
      <c r="W728" s="12" t="n">
        <v>210</v>
      </c>
      <c r="X728" s="11" t="s">
        <v>789</v>
      </c>
      <c r="Z728" s="0" t="str">
        <f aca="false">IF($T728="","",IFERROR(INDEX('Resumo Grupos'!$AC$3:$AC$200,MATCH($T728,'Resumo Grupos'!$AB$3:$AB$200,0)),"n/d"))</f>
        <v>Despesa</v>
      </c>
      <c r="AA728" s="0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9" t="n">
        <v>2</v>
      </c>
      <c r="B729" s="10" t="n">
        <v>46209</v>
      </c>
      <c r="C729" s="10" t="n">
        <v>46209</v>
      </c>
      <c r="D729" s="9" t="n">
        <v>0</v>
      </c>
      <c r="E729" s="11" t="s">
        <v>109</v>
      </c>
      <c r="F729" s="9" t="n">
        <v>17</v>
      </c>
      <c r="G729" s="11" t="s">
        <v>110</v>
      </c>
      <c r="H729" s="9" t="n">
        <v>1110101</v>
      </c>
      <c r="I729" s="11" t="s">
        <v>111</v>
      </c>
      <c r="J729" s="9" t="n">
        <v>1375382</v>
      </c>
      <c r="L729" s="9" t="n">
        <v>1375382</v>
      </c>
      <c r="M729" s="11" t="s">
        <v>52</v>
      </c>
      <c r="N729" s="11" t="s">
        <v>112</v>
      </c>
      <c r="P729" s="9" t="n">
        <v>113</v>
      </c>
      <c r="Q729" s="11" t="s">
        <v>46</v>
      </c>
      <c r="R729" s="11" t="s">
        <v>259</v>
      </c>
      <c r="S729" s="9" t="n">
        <v>2110101</v>
      </c>
      <c r="T729" s="11" t="s">
        <v>43</v>
      </c>
      <c r="U729" s="12" t="n">
        <v>160.32</v>
      </c>
      <c r="W729" s="12" t="n">
        <v>160.32</v>
      </c>
      <c r="X729" s="11" t="s">
        <v>790</v>
      </c>
      <c r="Z729" s="0" t="str">
        <f aca="false">IF($T729="","",IFERROR(INDEX('Resumo Grupos'!$AC$3:$AC$200,MATCH($T729,'Resumo Grupos'!$AB$3:$AB$200,0)),"n/d"))</f>
        <v>Despesa</v>
      </c>
      <c r="AA729" s="0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9" t="n">
        <v>2</v>
      </c>
      <c r="B730" s="10" t="n">
        <v>46209</v>
      </c>
      <c r="C730" s="10" t="n">
        <v>46209</v>
      </c>
      <c r="D730" s="9" t="n">
        <v>0</v>
      </c>
      <c r="E730" s="11" t="s">
        <v>109</v>
      </c>
      <c r="F730" s="9" t="n">
        <v>17</v>
      </c>
      <c r="G730" s="11" t="s">
        <v>110</v>
      </c>
      <c r="H730" s="9" t="n">
        <v>1110101</v>
      </c>
      <c r="I730" s="11" t="s">
        <v>111</v>
      </c>
      <c r="J730" s="9" t="n">
        <v>1375388</v>
      </c>
      <c r="L730" s="9" t="n">
        <v>1375388</v>
      </c>
      <c r="M730" s="11" t="s">
        <v>52</v>
      </c>
      <c r="N730" s="11" t="s">
        <v>112</v>
      </c>
      <c r="P730" s="9" t="n">
        <v>113</v>
      </c>
      <c r="Q730" s="11" t="s">
        <v>46</v>
      </c>
      <c r="R730" s="11" t="s">
        <v>71</v>
      </c>
      <c r="S730" s="9" t="n">
        <v>4210314</v>
      </c>
      <c r="T730" s="11" t="s">
        <v>113</v>
      </c>
      <c r="U730" s="12" t="n">
        <v>70</v>
      </c>
      <c r="W730" s="12" t="n">
        <v>70</v>
      </c>
      <c r="X730" s="11" t="s">
        <v>115</v>
      </c>
      <c r="Z730" s="0" t="str">
        <f aca="false">IF($T730="","",IFERROR(INDEX('Resumo Grupos'!$AC$3:$AC$200,MATCH($T730,'Resumo Grupos'!$AB$3:$AB$200,0)),"n/d"))</f>
        <v>Despesa</v>
      </c>
      <c r="AA730" s="0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9" t="n">
        <v>2</v>
      </c>
      <c r="B731" s="10" t="n">
        <v>46209</v>
      </c>
      <c r="C731" s="10" t="n">
        <v>46209</v>
      </c>
      <c r="D731" s="9" t="n">
        <v>0</v>
      </c>
      <c r="E731" s="11" t="s">
        <v>109</v>
      </c>
      <c r="F731" s="9" t="n">
        <v>17</v>
      </c>
      <c r="G731" s="11" t="s">
        <v>110</v>
      </c>
      <c r="H731" s="9" t="n">
        <v>1110101</v>
      </c>
      <c r="I731" s="11" t="s">
        <v>111</v>
      </c>
      <c r="J731" s="9" t="n">
        <v>1469070</v>
      </c>
      <c r="L731" s="9" t="n">
        <v>1469070</v>
      </c>
      <c r="M731" s="11" t="s">
        <v>52</v>
      </c>
      <c r="N731" s="11" t="s">
        <v>112</v>
      </c>
      <c r="P731" s="9" t="n">
        <v>113</v>
      </c>
      <c r="Q731" s="11" t="s">
        <v>46</v>
      </c>
      <c r="R731" s="11" t="s">
        <v>116</v>
      </c>
      <c r="S731" s="9" t="n">
        <v>1110203</v>
      </c>
      <c r="T731" s="11" t="s">
        <v>117</v>
      </c>
      <c r="U731" s="12" t="n">
        <v>2200</v>
      </c>
      <c r="W731" s="12" t="n">
        <v>2200</v>
      </c>
      <c r="X731" s="11" t="s">
        <v>791</v>
      </c>
      <c r="Z731" s="0" t="str">
        <f aca="false">IF($T731="","",IFERROR(INDEX('Resumo Grupos'!$AC$3:$AC$200,MATCH($T731,'Resumo Grupos'!$AB$3:$AB$200,0)),"n/d"))</f>
        <v>Despesa</v>
      </c>
      <c r="AA731" s="0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9" t="n">
        <v>2</v>
      </c>
      <c r="B732" s="10" t="n">
        <v>46207</v>
      </c>
      <c r="C732" s="10" t="n">
        <v>46210</v>
      </c>
      <c r="D732" s="9" t="n">
        <v>642</v>
      </c>
      <c r="E732" s="11" t="s">
        <v>123</v>
      </c>
      <c r="F732" s="9" t="n">
        <v>24</v>
      </c>
      <c r="G732" s="11" t="s">
        <v>51</v>
      </c>
      <c r="H732" s="9" t="n">
        <v>2110101</v>
      </c>
      <c r="I732" s="11" t="s">
        <v>43</v>
      </c>
      <c r="J732" s="9" t="n">
        <v>1348633</v>
      </c>
      <c r="L732" s="9" t="n">
        <v>520</v>
      </c>
      <c r="M732" s="11" t="s">
        <v>52</v>
      </c>
      <c r="N732" s="11" t="s">
        <v>37</v>
      </c>
      <c r="P732" s="9" t="n">
        <v>113</v>
      </c>
      <c r="Q732" s="11" t="s">
        <v>46</v>
      </c>
      <c r="R732" s="11" t="s">
        <v>47</v>
      </c>
      <c r="S732" s="9" t="n">
        <v>1130101</v>
      </c>
      <c r="T732" s="11" t="s">
        <v>48</v>
      </c>
      <c r="U732" s="12" t="n">
        <v>240</v>
      </c>
      <c r="W732" s="12" t="n">
        <v>0</v>
      </c>
      <c r="X732" s="11" t="s">
        <v>792</v>
      </c>
      <c r="Z732" s="0" t="str">
        <f aca="false">IF($T732="","",IFERROR(INDEX('Resumo Grupos'!$AC$3:$AC$200,MATCH($T732,'Resumo Grupos'!$AB$3:$AB$200,0)),"n/d"))</f>
        <v>Mercadoria</v>
      </c>
      <c r="AA732" s="0" t="str">
        <f aca="false">IF($T732="","",IF(COUNTIF('Resumo Grupos'!$AE$3:$AE$40,$T732)&gt;0,"NAO","SIM"))</f>
        <v>SIM</v>
      </c>
      <c r="AB732" s="0" t="str">
        <f aca="false">IFERROR(INDEX('Mov Entradas (Rel 10497)'!$L:$L,MATCH(AC732,'Mov Entradas (Rel 10497)'!$I:$I,0)),"nao encontrado")</f>
        <v>BOLO BLOOM 600G</v>
      </c>
      <c r="AC732" s="0" t="n">
        <v>520</v>
      </c>
    </row>
    <row r="733" customFormat="false" ht="12.75" hidden="false" customHeight="true" outlineLevel="0" collapsed="false">
      <c r="A733" s="9" t="n">
        <v>2</v>
      </c>
      <c r="B733" s="10" t="n">
        <v>46182</v>
      </c>
      <c r="C733" s="10" t="n">
        <v>46210</v>
      </c>
      <c r="D733" s="9" t="n">
        <v>1921</v>
      </c>
      <c r="E733" s="11" t="s">
        <v>167</v>
      </c>
      <c r="F733" s="9" t="n">
        <v>24</v>
      </c>
      <c r="G733" s="11" t="s">
        <v>51</v>
      </c>
      <c r="H733" s="9" t="n">
        <v>2110101</v>
      </c>
      <c r="I733" s="11" t="s">
        <v>43</v>
      </c>
      <c r="J733" s="9" t="n">
        <v>1227446</v>
      </c>
      <c r="L733" s="9" t="n">
        <v>20868</v>
      </c>
      <c r="M733" s="11" t="s">
        <v>67</v>
      </c>
      <c r="N733" s="11" t="s">
        <v>37</v>
      </c>
      <c r="P733" s="9" t="n">
        <v>113</v>
      </c>
      <c r="Q733" s="11" t="s">
        <v>46</v>
      </c>
      <c r="R733" s="11" t="s">
        <v>47</v>
      </c>
      <c r="S733" s="9" t="n">
        <v>1130101</v>
      </c>
      <c r="T733" s="11" t="s">
        <v>48</v>
      </c>
      <c r="U733" s="12" t="n">
        <v>303.19</v>
      </c>
      <c r="W733" s="12" t="n">
        <v>0</v>
      </c>
      <c r="X733" s="11" t="s">
        <v>531</v>
      </c>
      <c r="Z733" s="0" t="str">
        <f aca="false">IF($T733="","",IFERROR(INDEX('Resumo Grupos'!$AC$3:$AC$200,MATCH($T733,'Resumo Grupos'!$AB$3:$AB$200,0)),"n/d"))</f>
        <v>Mercadoria</v>
      </c>
      <c r="AA733" s="0" t="str">
        <f aca="false">IF($T733="","",IF(COUNTIF('Resumo Grupos'!$AE$3:$AE$40,$T733)&gt;0,"NAO","SIM"))</f>
        <v>SIM</v>
      </c>
      <c r="AB733" s="0" t="str">
        <f aca="false">IFERROR(INDEX('Mov Entradas (Rel 10497)'!$L:$L,MATCH(AC733,'Mov Entradas (Rel 10497)'!$I:$I,0)),"nao encontrado")</f>
        <v>MILHO PIPOCA 400G RAIZ</v>
      </c>
      <c r="AC733" s="0" t="n">
        <v>20868</v>
      </c>
    </row>
    <row r="734" customFormat="false" ht="12.75" hidden="false" customHeight="true" outlineLevel="0" collapsed="false">
      <c r="A734" s="9" t="n">
        <v>2</v>
      </c>
      <c r="B734" s="10" t="n">
        <v>46183</v>
      </c>
      <c r="C734" s="10" t="n">
        <v>46210</v>
      </c>
      <c r="D734" s="9" t="n">
        <v>1635</v>
      </c>
      <c r="E734" s="11" t="s">
        <v>128</v>
      </c>
      <c r="F734" s="9" t="n">
        <v>24</v>
      </c>
      <c r="G734" s="11" t="s">
        <v>51</v>
      </c>
      <c r="H734" s="9" t="n">
        <v>2110101</v>
      </c>
      <c r="I734" s="11" t="s">
        <v>43</v>
      </c>
      <c r="J734" s="9" t="n">
        <v>1231128</v>
      </c>
      <c r="L734" s="9" t="n">
        <v>518105</v>
      </c>
      <c r="M734" s="11" t="s">
        <v>67</v>
      </c>
      <c r="N734" s="11" t="s">
        <v>37</v>
      </c>
      <c r="P734" s="9" t="n">
        <v>113</v>
      </c>
      <c r="Q734" s="11" t="s">
        <v>46</v>
      </c>
      <c r="R734" s="11" t="s">
        <v>47</v>
      </c>
      <c r="S734" s="9" t="n">
        <v>1130101</v>
      </c>
      <c r="T734" s="11" t="s">
        <v>48</v>
      </c>
      <c r="U734" s="12" t="n">
        <v>642.4</v>
      </c>
      <c r="W734" s="12" t="n">
        <v>0</v>
      </c>
      <c r="X734" s="11" t="s">
        <v>533</v>
      </c>
      <c r="Z734" s="0" t="str">
        <f aca="false">IF($T734="","",IFERROR(INDEX('Resumo Grupos'!$AC$3:$AC$200,MATCH($T734,'Resumo Grupos'!$AB$3:$AB$200,0)),"n/d"))</f>
        <v>Mercadoria</v>
      </c>
      <c r="AA734" s="0" t="str">
        <f aca="false">IF($T734="","",IF(COUNTIF('Resumo Grupos'!$AE$3:$AE$40,$T734)&gt;0,"NAO","SIM"))</f>
        <v>SIM</v>
      </c>
      <c r="AB734" s="0" t="str">
        <f aca="false">IFERROR(INDEX('Mov Entradas (Rel 10497)'!$L:$L,MATCH(AC734,'Mov Entradas (Rel 10497)'!$I:$I,0)),"nao encontrado")</f>
        <v>FILE PEITOA GRANEL</v>
      </c>
      <c r="AC734" s="0" t="n">
        <v>518105</v>
      </c>
    </row>
    <row r="735" customFormat="false" ht="12.75" hidden="false" customHeight="true" outlineLevel="0" collapsed="false">
      <c r="A735" s="9" t="n">
        <v>2</v>
      </c>
      <c r="B735" s="10" t="n">
        <v>46190</v>
      </c>
      <c r="C735" s="10" t="n">
        <v>46210</v>
      </c>
      <c r="D735" s="9" t="n">
        <v>1635</v>
      </c>
      <c r="E735" s="11" t="s">
        <v>128</v>
      </c>
      <c r="F735" s="9" t="n">
        <v>24</v>
      </c>
      <c r="G735" s="11" t="s">
        <v>51</v>
      </c>
      <c r="H735" s="9" t="n">
        <v>2110101</v>
      </c>
      <c r="I735" s="11" t="s">
        <v>43</v>
      </c>
      <c r="J735" s="9" t="n">
        <v>1264969</v>
      </c>
      <c r="L735" s="9" t="n">
        <v>518753</v>
      </c>
      <c r="M735" s="11" t="s">
        <v>52</v>
      </c>
      <c r="N735" s="11" t="s">
        <v>37</v>
      </c>
      <c r="P735" s="9" t="n">
        <v>113</v>
      </c>
      <c r="Q735" s="11" t="s">
        <v>46</v>
      </c>
      <c r="R735" s="11" t="s">
        <v>47</v>
      </c>
      <c r="S735" s="9" t="n">
        <v>1130101</v>
      </c>
      <c r="T735" s="11" t="s">
        <v>48</v>
      </c>
      <c r="U735" s="12" t="n">
        <v>684</v>
      </c>
      <c r="W735" s="12" t="n">
        <v>0</v>
      </c>
      <c r="X735" s="11" t="s">
        <v>793</v>
      </c>
      <c r="Z735" s="0" t="str">
        <f aca="false">IF($T735="","",IFERROR(INDEX('Resumo Grupos'!$AC$3:$AC$200,MATCH($T735,'Resumo Grupos'!$AB$3:$AB$200,0)),"n/d"))</f>
        <v>Mercadoria</v>
      </c>
      <c r="AA735" s="0" t="str">
        <f aca="false">IF($T735="","",IF(COUNTIF('Resumo Grupos'!$AE$3:$AE$40,$T735)&gt;0,"NAO","SIM"))</f>
        <v>SIM</v>
      </c>
      <c r="AB735" s="0" t="str">
        <f aca="false">IFERROR(INDEX('Mov Entradas (Rel 10497)'!$L:$L,MATCH(AC735,'Mov Entradas (Rel 10497)'!$I:$I,0)),"nao encontrado")</f>
        <v>BATATA GRIGOS TRAD 100G</v>
      </c>
      <c r="AC735" s="0" t="n">
        <v>518753</v>
      </c>
    </row>
    <row r="736" customFormat="false" ht="12.75" hidden="false" customHeight="true" outlineLevel="0" collapsed="false">
      <c r="A736" s="9" t="n">
        <v>2</v>
      </c>
      <c r="B736" s="10" t="n">
        <v>46195</v>
      </c>
      <c r="C736" s="10" t="n">
        <v>46210</v>
      </c>
      <c r="D736" s="9" t="n">
        <v>1705</v>
      </c>
      <c r="E736" s="11" t="s">
        <v>130</v>
      </c>
      <c r="F736" s="9" t="n">
        <v>24</v>
      </c>
      <c r="G736" s="11" t="s">
        <v>51</v>
      </c>
      <c r="H736" s="9" t="n">
        <v>2110101</v>
      </c>
      <c r="I736" s="11" t="s">
        <v>43</v>
      </c>
      <c r="J736" s="9" t="n">
        <v>1290071</v>
      </c>
      <c r="L736" s="9" t="n">
        <v>1170564</v>
      </c>
      <c r="M736" s="11" t="s">
        <v>52</v>
      </c>
      <c r="N736" s="11" t="s">
        <v>37</v>
      </c>
      <c r="P736" s="9" t="n">
        <v>113</v>
      </c>
      <c r="Q736" s="11" t="s">
        <v>46</v>
      </c>
      <c r="R736" s="11" t="s">
        <v>47</v>
      </c>
      <c r="S736" s="9" t="n">
        <v>1130101</v>
      </c>
      <c r="T736" s="11" t="s">
        <v>48</v>
      </c>
      <c r="U736" s="12" t="n">
        <v>22.95</v>
      </c>
      <c r="W736" s="12" t="n">
        <v>0</v>
      </c>
      <c r="X736" s="11" t="s">
        <v>794</v>
      </c>
      <c r="Z736" s="0" t="str">
        <f aca="false">IF($T736="","",IFERROR(INDEX('Resumo Grupos'!$AC$3:$AC$200,MATCH($T736,'Resumo Grupos'!$AB$3:$AB$200,0)),"n/d"))</f>
        <v>Mercadoria</v>
      </c>
      <c r="AA736" s="0" t="str">
        <f aca="false">IF($T736="","",IF(COUNTIF('Resumo Grupos'!$AE$3:$AE$40,$T736)&gt;0,"NAO","SIM"))</f>
        <v>SIM</v>
      </c>
      <c r="AB736" s="0" t="str">
        <f aca="false">IFERROR(INDEX('Mov Entradas (Rel 10497)'!$L:$L,MATCH(AC736,'Mov Entradas (Rel 10497)'!$I:$I,0)),"nao encontrado")</f>
        <v>AM CRYS 500ML C/GAS</v>
      </c>
      <c r="AC736" s="0" t="n">
        <v>1170564</v>
      </c>
    </row>
    <row r="737" customFormat="false" ht="12.75" hidden="false" customHeight="true" outlineLevel="0" collapsed="false">
      <c r="A737" s="9" t="n">
        <v>2</v>
      </c>
      <c r="B737" s="10" t="n">
        <v>46195</v>
      </c>
      <c r="C737" s="10" t="n">
        <v>46210</v>
      </c>
      <c r="D737" s="9" t="n">
        <v>1705</v>
      </c>
      <c r="E737" s="11" t="s">
        <v>130</v>
      </c>
      <c r="F737" s="9" t="n">
        <v>24</v>
      </c>
      <c r="G737" s="11" t="s">
        <v>51</v>
      </c>
      <c r="H737" s="9" t="n">
        <v>2110101</v>
      </c>
      <c r="I737" s="11" t="s">
        <v>43</v>
      </c>
      <c r="J737" s="9" t="n">
        <v>1290089</v>
      </c>
      <c r="L737" s="9" t="n">
        <v>1893322</v>
      </c>
      <c r="M737" s="11" t="s">
        <v>52</v>
      </c>
      <c r="N737" s="11" t="s">
        <v>37</v>
      </c>
      <c r="P737" s="9" t="n">
        <v>113</v>
      </c>
      <c r="Q737" s="11" t="s">
        <v>46</v>
      </c>
      <c r="R737" s="11" t="s">
        <v>47</v>
      </c>
      <c r="S737" s="9" t="n">
        <v>1130101</v>
      </c>
      <c r="T737" s="11" t="s">
        <v>48</v>
      </c>
      <c r="U737" s="12" t="n">
        <v>840.06</v>
      </c>
      <c r="W737" s="12" t="n">
        <v>0</v>
      </c>
      <c r="X737" s="11" t="s">
        <v>795</v>
      </c>
      <c r="Z737" s="0" t="str">
        <f aca="false">IF($T737="","",IFERROR(INDEX('Resumo Grupos'!$AC$3:$AC$200,MATCH($T737,'Resumo Grupos'!$AB$3:$AB$200,0)),"n/d"))</f>
        <v>Mercadoria</v>
      </c>
      <c r="AA737" s="0" t="str">
        <f aca="false">IF($T737="","",IF(COUNTIF('Resumo Grupos'!$AE$3:$AE$40,$T737)&gt;0,"NAO","SIM"))</f>
        <v>SIM</v>
      </c>
      <c r="AB737" s="0" t="str">
        <f aca="false">IFERROR(INDEX('Mov Entradas (Rel 10497)'!$L:$L,MATCH(AC737,'Mov Entradas (Rel 10497)'!$I:$I,0)),"nao encontrado")</f>
        <v>FANTA UVA LATA 350ML</v>
      </c>
      <c r="AC737" s="0" t="n">
        <v>1893322</v>
      </c>
    </row>
    <row r="738" customFormat="false" ht="12.75" hidden="false" customHeight="true" outlineLevel="0" collapsed="false">
      <c r="A738" s="9" t="n">
        <v>2</v>
      </c>
      <c r="B738" s="10" t="n">
        <v>46195</v>
      </c>
      <c r="C738" s="10" t="n">
        <v>46210</v>
      </c>
      <c r="D738" s="9" t="n">
        <v>1705</v>
      </c>
      <c r="E738" s="11" t="s">
        <v>130</v>
      </c>
      <c r="F738" s="9" t="n">
        <v>24</v>
      </c>
      <c r="G738" s="11" t="s">
        <v>51</v>
      </c>
      <c r="H738" s="9" t="n">
        <v>2110101</v>
      </c>
      <c r="I738" s="11" t="s">
        <v>43</v>
      </c>
      <c r="J738" s="9" t="n">
        <v>1290102</v>
      </c>
      <c r="L738" s="9" t="n">
        <v>1171501</v>
      </c>
      <c r="M738" s="11" t="s">
        <v>52</v>
      </c>
      <c r="N738" s="11" t="s">
        <v>37</v>
      </c>
      <c r="P738" s="9" t="n">
        <v>113</v>
      </c>
      <c r="Q738" s="11" t="s">
        <v>46</v>
      </c>
      <c r="R738" s="11" t="s">
        <v>47</v>
      </c>
      <c r="S738" s="9" t="n">
        <v>1130101</v>
      </c>
      <c r="T738" s="11" t="s">
        <v>48</v>
      </c>
      <c r="U738" s="12" t="n">
        <v>2287.85</v>
      </c>
      <c r="W738" s="12" t="n">
        <v>0</v>
      </c>
      <c r="X738" s="11" t="s">
        <v>796</v>
      </c>
      <c r="Z738" s="0" t="str">
        <f aca="false">IF($T738="","",IFERROR(INDEX('Resumo Grupos'!$AC$3:$AC$200,MATCH($T738,'Resumo Grupos'!$AB$3:$AB$200,0)),"n/d"))</f>
        <v>Mercadoria</v>
      </c>
      <c r="AA738" s="0" t="str">
        <f aca="false">IF($T738="","",IF(COUNTIF('Resumo Grupos'!$AE$3:$AE$40,$T738)&gt;0,"NAO","SIM"))</f>
        <v>SIM</v>
      </c>
      <c r="AB738" s="0" t="str">
        <f aca="false">IFERROR(INDEX('Mov Entradas (Rel 10497)'!$L:$L,MATCH(AC738,'Mov Entradas (Rel 10497)'!$I:$I,0)),"nao encontrado")</f>
        <v>SUC DEL VALLE LAR 1L</v>
      </c>
      <c r="AC738" s="0" t="n">
        <v>1171501</v>
      </c>
    </row>
    <row r="739" customFormat="false" ht="12.75" hidden="false" customHeight="true" outlineLevel="0" collapsed="false">
      <c r="A739" s="9" t="n">
        <v>2</v>
      </c>
      <c r="B739" s="10" t="n">
        <v>46195</v>
      </c>
      <c r="C739" s="10" t="n">
        <v>46210</v>
      </c>
      <c r="D739" s="9" t="n">
        <v>1705</v>
      </c>
      <c r="E739" s="11" t="s">
        <v>130</v>
      </c>
      <c r="F739" s="9" t="n">
        <v>24</v>
      </c>
      <c r="G739" s="11" t="s">
        <v>51</v>
      </c>
      <c r="H739" s="9" t="n">
        <v>2110101</v>
      </c>
      <c r="I739" s="11" t="s">
        <v>43</v>
      </c>
      <c r="J739" s="9" t="n">
        <v>1290130</v>
      </c>
      <c r="L739" s="9" t="n">
        <v>172327</v>
      </c>
      <c r="M739" s="11" t="s">
        <v>52</v>
      </c>
      <c r="N739" s="11" t="s">
        <v>45</v>
      </c>
      <c r="P739" s="9" t="n">
        <v>113</v>
      </c>
      <c r="Q739" s="11" t="s">
        <v>46</v>
      </c>
      <c r="R739" s="11" t="s">
        <v>47</v>
      </c>
      <c r="S739" s="9" t="n">
        <v>1130101</v>
      </c>
      <c r="T739" s="11" t="s">
        <v>48</v>
      </c>
      <c r="U739" s="12" t="n">
        <v>97.97</v>
      </c>
      <c r="W739" s="12" t="n">
        <v>0</v>
      </c>
      <c r="X739" s="11"/>
      <c r="Z739" s="0" t="str">
        <f aca="false">IF($T739="","",IFERROR(INDEX('Resumo Grupos'!$AC$3:$AC$200,MATCH($T739,'Resumo Grupos'!$AB$3:$AB$200,0)),"n/d"))</f>
        <v>Mercadoria</v>
      </c>
      <c r="AA739" s="0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9" t="n">
        <v>2</v>
      </c>
      <c r="B740" s="10" t="n">
        <v>46210</v>
      </c>
      <c r="C740" s="10" t="n">
        <v>46210</v>
      </c>
      <c r="D740" s="9" t="n">
        <v>1037</v>
      </c>
      <c r="E740" s="11" t="s">
        <v>134</v>
      </c>
      <c r="F740" s="9" t="n">
        <v>34</v>
      </c>
      <c r="G740" s="11" t="s">
        <v>55</v>
      </c>
      <c r="H740" s="9" t="n">
        <v>2110101</v>
      </c>
      <c r="I740" s="11" t="s">
        <v>43</v>
      </c>
      <c r="J740" s="9" t="n">
        <v>1365898</v>
      </c>
      <c r="L740" s="9" t="n">
        <v>183595</v>
      </c>
      <c r="M740" s="11" t="s">
        <v>52</v>
      </c>
      <c r="N740" s="11" t="s">
        <v>45</v>
      </c>
      <c r="P740" s="9" t="n">
        <v>113</v>
      </c>
      <c r="Q740" s="11" t="s">
        <v>46</v>
      </c>
      <c r="R740" s="11" t="s">
        <v>47</v>
      </c>
      <c r="S740" s="9" t="n">
        <v>1130101</v>
      </c>
      <c r="T740" s="11" t="s">
        <v>48</v>
      </c>
      <c r="U740" s="12" t="n">
        <v>220</v>
      </c>
      <c r="W740" s="12" t="n">
        <v>0</v>
      </c>
      <c r="X740" s="11" t="s">
        <v>797</v>
      </c>
      <c r="Z740" s="0" t="str">
        <f aca="false">IF($T740="","",IFERROR(INDEX('Resumo Grupos'!$AC$3:$AC$200,MATCH($T740,'Resumo Grupos'!$AB$3:$AB$200,0)),"n/d"))</f>
        <v>Mercadoria</v>
      </c>
      <c r="AA740" s="0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9" t="n">
        <v>2</v>
      </c>
      <c r="B741" s="10" t="n">
        <v>46210</v>
      </c>
      <c r="C741" s="10" t="n">
        <v>46210</v>
      </c>
      <c r="D741" s="9" t="n">
        <v>10096</v>
      </c>
      <c r="E741" s="11" t="s">
        <v>622</v>
      </c>
      <c r="F741" s="9" t="n">
        <v>13</v>
      </c>
      <c r="G741" s="11" t="s">
        <v>135</v>
      </c>
      <c r="H741" s="9" t="n">
        <v>2110405</v>
      </c>
      <c r="I741" s="11" t="s">
        <v>56</v>
      </c>
      <c r="J741" s="9" t="n">
        <v>1428699</v>
      </c>
      <c r="L741" s="9" t="n">
        <v>191311</v>
      </c>
      <c r="M741" s="11" t="s">
        <v>52</v>
      </c>
      <c r="N741" s="11" t="s">
        <v>45</v>
      </c>
      <c r="P741" s="9" t="n">
        <v>113</v>
      </c>
      <c r="Q741" s="11" t="s">
        <v>46</v>
      </c>
      <c r="R741" s="11" t="s">
        <v>47</v>
      </c>
      <c r="S741" s="9" t="n">
        <v>1130101</v>
      </c>
      <c r="T741" s="11" t="s">
        <v>48</v>
      </c>
      <c r="U741" s="12" t="n">
        <v>120</v>
      </c>
      <c r="W741" s="12" t="n">
        <v>0</v>
      </c>
      <c r="X741" s="11" t="s">
        <v>798</v>
      </c>
      <c r="Z741" s="0" t="str">
        <f aca="false">IF($T741="","",IFERROR(INDEX('Resumo Grupos'!$AC$3:$AC$200,MATCH($T741,'Resumo Grupos'!$AB$3:$AB$200,0)),"n/d"))</f>
        <v>Mercadoria</v>
      </c>
      <c r="AA741" s="0" t="str">
        <f aca="false">IF($T741="","",IF(COUNTIF('Resumo Grupos'!$AE$3:$AE$40,$T741)&gt;0,"NAO","SIM"))</f>
        <v>SIM</v>
      </c>
      <c r="AB741" s="0" t="str">
        <f aca="false">IFERROR(INDEX('Mov Entradas (Rel 10497)'!$L:$L,MATCH(AC741,'Mov Entradas (Rel 10497)'!$I:$I,0)),"nao encontrado")</f>
        <v>BOLO MIYAZAKI GRANDE</v>
      </c>
      <c r="AC741" s="0" t="n">
        <v>18</v>
      </c>
    </row>
    <row r="742" customFormat="false" ht="12.75" hidden="false" customHeight="true" outlineLevel="0" collapsed="false">
      <c r="A742" s="9" t="n">
        <v>2</v>
      </c>
      <c r="B742" s="10" t="n">
        <v>46200</v>
      </c>
      <c r="C742" s="10" t="n">
        <v>46210</v>
      </c>
      <c r="D742" s="9" t="n">
        <v>1609</v>
      </c>
      <c r="E742" s="11" t="s">
        <v>84</v>
      </c>
      <c r="F742" s="9" t="n">
        <v>24</v>
      </c>
      <c r="G742" s="11" t="s">
        <v>51</v>
      </c>
      <c r="H742" s="9" t="n">
        <v>2110101</v>
      </c>
      <c r="I742" s="11" t="s">
        <v>43</v>
      </c>
      <c r="J742" s="9" t="n">
        <v>1312583</v>
      </c>
      <c r="L742" s="9" t="n">
        <v>5720</v>
      </c>
      <c r="M742" s="11" t="s">
        <v>52</v>
      </c>
      <c r="N742" s="11" t="s">
        <v>37</v>
      </c>
      <c r="P742" s="9" t="n">
        <v>113</v>
      </c>
      <c r="Q742" s="11" t="s">
        <v>46</v>
      </c>
      <c r="R742" s="11" t="s">
        <v>47</v>
      </c>
      <c r="S742" s="9" t="n">
        <v>1130101</v>
      </c>
      <c r="T742" s="11" t="s">
        <v>48</v>
      </c>
      <c r="U742" s="12" t="n">
        <v>358.65</v>
      </c>
      <c r="W742" s="12" t="n">
        <v>0</v>
      </c>
      <c r="X742" s="11" t="s">
        <v>799</v>
      </c>
      <c r="Z742" s="0" t="str">
        <f aca="false">IF($T742="","",IFERROR(INDEX('Resumo Grupos'!$AC$3:$AC$200,MATCH($T742,'Resumo Grupos'!$AB$3:$AB$200,0)),"n/d"))</f>
        <v>Mercadoria</v>
      </c>
      <c r="AA742" s="0" t="str">
        <f aca="false">IF($T742="","",IF(COUNTIF('Resumo Grupos'!$AE$3:$AE$40,$T742)&gt;0,"NAO","SIM"))</f>
        <v>SIM</v>
      </c>
      <c r="AB742" s="0" t="str">
        <f aca="false">IFERROR(INDEX('Mov Entradas (Rel 10497)'!$L:$L,MATCH(AC742,'Mov Entradas (Rel 10497)'!$I:$I,0)),"nao encontrado")</f>
        <v>SUCO FAZENDINHA CITRICO DE 2L</v>
      </c>
      <c r="AC742" s="0" t="n">
        <v>5720</v>
      </c>
    </row>
    <row r="743" customFormat="false" ht="12.75" hidden="false" customHeight="true" outlineLevel="0" collapsed="false">
      <c r="A743" s="9" t="n">
        <v>2</v>
      </c>
      <c r="B743" s="10" t="n">
        <v>46189</v>
      </c>
      <c r="C743" s="10" t="n">
        <v>46210</v>
      </c>
      <c r="D743" s="9" t="n">
        <v>10033</v>
      </c>
      <c r="E743" s="11" t="s">
        <v>668</v>
      </c>
      <c r="F743" s="9" t="n">
        <v>24</v>
      </c>
      <c r="G743" s="11" t="s">
        <v>51</v>
      </c>
      <c r="H743" s="9" t="n">
        <v>2110101</v>
      </c>
      <c r="I743" s="11" t="s">
        <v>43</v>
      </c>
      <c r="J743" s="9" t="n">
        <v>1260463</v>
      </c>
      <c r="L743" s="9" t="n">
        <v>102727</v>
      </c>
      <c r="M743" s="11" t="s">
        <v>44</v>
      </c>
      <c r="N743" s="11" t="s">
        <v>37</v>
      </c>
      <c r="P743" s="9" t="n">
        <v>113</v>
      </c>
      <c r="Q743" s="11" t="s">
        <v>46</v>
      </c>
      <c r="R743" s="11" t="s">
        <v>47</v>
      </c>
      <c r="S743" s="9" t="n">
        <v>1130101</v>
      </c>
      <c r="T743" s="11" t="s">
        <v>48</v>
      </c>
      <c r="U743" s="12" t="n">
        <v>360.24</v>
      </c>
      <c r="W743" s="12" t="n">
        <v>0</v>
      </c>
      <c r="X743" s="11" t="s">
        <v>669</v>
      </c>
      <c r="Z743" s="0" t="str">
        <f aca="false">IF($T743="","",IFERROR(INDEX('Resumo Grupos'!$AC$3:$AC$200,MATCH($T743,'Resumo Grupos'!$AB$3:$AB$200,0)),"n/d"))</f>
        <v>Mercadoria</v>
      </c>
      <c r="AA743" s="0" t="str">
        <f aca="false">IF($T743="","",IF(COUNTIF('Resumo Grupos'!$AE$3:$AE$40,$T743)&gt;0,"NAO","SIM"))</f>
        <v>SIM</v>
      </c>
      <c r="AB743" s="0" t="str">
        <f aca="false">IFERROR(INDEX('Mov Entradas (Rel 10497)'!$L:$L,MATCH(AC743,'Mov Entradas (Rel 10497)'!$I:$I,0)),"nao encontrado")</f>
        <v>ALICATE MERHEJE BASI</v>
      </c>
      <c r="AC743" s="0" t="n">
        <v>102727</v>
      </c>
    </row>
    <row r="744" customFormat="false" ht="12.75" hidden="false" customHeight="true" outlineLevel="0" collapsed="false">
      <c r="A744" s="9" t="n">
        <v>2</v>
      </c>
      <c r="B744" s="10" t="n">
        <v>46203</v>
      </c>
      <c r="C744" s="10" t="n">
        <v>46210</v>
      </c>
      <c r="D744" s="9" t="n">
        <v>1363</v>
      </c>
      <c r="E744" s="11" t="s">
        <v>174</v>
      </c>
      <c r="F744" s="9" t="n">
        <v>24</v>
      </c>
      <c r="G744" s="11" t="s">
        <v>51</v>
      </c>
      <c r="H744" s="9" t="n">
        <v>2110101</v>
      </c>
      <c r="I744" s="11" t="s">
        <v>43</v>
      </c>
      <c r="J744" s="9" t="n">
        <v>1330369</v>
      </c>
      <c r="L744" s="9" t="n">
        <v>3453</v>
      </c>
      <c r="M744" s="11" t="s">
        <v>52</v>
      </c>
      <c r="N744" s="11" t="s">
        <v>37</v>
      </c>
      <c r="P744" s="9" t="n">
        <v>113</v>
      </c>
      <c r="Q744" s="11" t="s">
        <v>46</v>
      </c>
      <c r="R744" s="11" t="s">
        <v>47</v>
      </c>
      <c r="S744" s="9" t="n">
        <v>1130101</v>
      </c>
      <c r="T744" s="11" t="s">
        <v>48</v>
      </c>
      <c r="U744" s="12" t="n">
        <v>122</v>
      </c>
      <c r="W744" s="12" t="n">
        <v>0</v>
      </c>
      <c r="X744" s="11" t="s">
        <v>800</v>
      </c>
      <c r="Z744" s="0" t="str">
        <f aca="false">IF($T744="","",IFERROR(INDEX('Resumo Grupos'!$AC$3:$AC$200,MATCH($T744,'Resumo Grupos'!$AB$3:$AB$200,0)),"n/d"))</f>
        <v>Mercadoria</v>
      </c>
      <c r="AA744" s="0" t="str">
        <f aca="false">IF($T744="","",IF(COUNTIF('Resumo Grupos'!$AE$3:$AE$40,$T744)&gt;0,"NAO","SIM"))</f>
        <v>SIM</v>
      </c>
      <c r="AB744" s="0" t="str">
        <f aca="false">IFERROR(INDEX('Mov Entradas (Rel 10497)'!$L:$L,MATCH(AC744,'Mov Entradas (Rel 10497)'!$I:$I,0)),"nao encontrado")</f>
        <v>PAO HAMBURGUER SANTO PAO</v>
      </c>
      <c r="AC744" s="0" t="n">
        <v>3453</v>
      </c>
    </row>
    <row r="745" customFormat="false" ht="12.75" hidden="false" customHeight="true" outlineLevel="0" collapsed="false">
      <c r="A745" s="9" t="n">
        <v>2</v>
      </c>
      <c r="B745" s="10" t="n">
        <v>46191</v>
      </c>
      <c r="C745" s="10" t="n">
        <v>46210</v>
      </c>
      <c r="D745" s="9" t="n">
        <v>1668</v>
      </c>
      <c r="E745" s="11" t="s">
        <v>151</v>
      </c>
      <c r="F745" s="9" t="n">
        <v>24</v>
      </c>
      <c r="G745" s="11" t="s">
        <v>51</v>
      </c>
      <c r="H745" s="9" t="n">
        <v>2110101</v>
      </c>
      <c r="I745" s="11" t="s">
        <v>43</v>
      </c>
      <c r="J745" s="9" t="n">
        <v>1269061</v>
      </c>
      <c r="L745" s="9" t="n">
        <v>729265</v>
      </c>
      <c r="M745" s="11" t="s">
        <v>67</v>
      </c>
      <c r="N745" s="11" t="s">
        <v>37</v>
      </c>
      <c r="P745" s="9" t="n">
        <v>113</v>
      </c>
      <c r="Q745" s="11" t="s">
        <v>46</v>
      </c>
      <c r="R745" s="11" t="s">
        <v>47</v>
      </c>
      <c r="S745" s="9" t="n">
        <v>1130101</v>
      </c>
      <c r="T745" s="11" t="s">
        <v>48</v>
      </c>
      <c r="U745" s="12" t="n">
        <v>326.84</v>
      </c>
      <c r="W745" s="12" t="n">
        <v>0</v>
      </c>
      <c r="X745" s="11" t="s">
        <v>540</v>
      </c>
      <c r="Z745" s="0" t="str">
        <f aca="false">IF($T745="","",IFERROR(INDEX('Resumo Grupos'!$AC$3:$AC$200,MATCH($T745,'Resumo Grupos'!$AB$3:$AB$200,0)),"n/d"))</f>
        <v>Mercadoria</v>
      </c>
      <c r="AA745" s="0" t="str">
        <f aca="false">IF($T745="","",IF(COUNTIF('Resumo Grupos'!$AE$3:$AE$40,$T745)&gt;0,"NAO","SIM"))</f>
        <v>SIM</v>
      </c>
      <c r="AB745" s="0" t="str">
        <f aca="false">IFERROR(INDEX('Mov Entradas (Rel 10497)'!$L:$L,MATCH(AC745,'Mov Entradas (Rel 10497)'!$I:$I,0)),"nao encontrado")</f>
        <v>GOIABAD PALMEIR 250G</v>
      </c>
      <c r="AC745" s="0" t="n">
        <v>729265</v>
      </c>
    </row>
    <row r="746" customFormat="false" ht="12.75" hidden="false" customHeight="true" outlineLevel="0" collapsed="false">
      <c r="A746" s="9" t="n">
        <v>2</v>
      </c>
      <c r="B746" s="10" t="n">
        <v>46199</v>
      </c>
      <c r="C746" s="10" t="n">
        <v>46210</v>
      </c>
      <c r="D746" s="9" t="n">
        <v>10009</v>
      </c>
      <c r="E746" s="11" t="s">
        <v>464</v>
      </c>
      <c r="F746" s="9" t="n">
        <v>24</v>
      </c>
      <c r="G746" s="11" t="s">
        <v>51</v>
      </c>
      <c r="H746" s="9" t="n">
        <v>2110101</v>
      </c>
      <c r="I746" s="11" t="s">
        <v>43</v>
      </c>
      <c r="J746" s="9" t="n">
        <v>1310309</v>
      </c>
      <c r="L746" s="9" t="n">
        <v>1420058</v>
      </c>
      <c r="M746" s="11" t="s">
        <v>52</v>
      </c>
      <c r="N746" s="11" t="s">
        <v>37</v>
      </c>
      <c r="P746" s="9" t="n">
        <v>113</v>
      </c>
      <c r="Q746" s="11" t="s">
        <v>46</v>
      </c>
      <c r="R746" s="11" t="s">
        <v>47</v>
      </c>
      <c r="S746" s="9" t="n">
        <v>1130101</v>
      </c>
      <c r="T746" s="11" t="s">
        <v>48</v>
      </c>
      <c r="U746" s="12" t="n">
        <v>418.83</v>
      </c>
      <c r="W746" s="12" t="n">
        <v>0</v>
      </c>
      <c r="X746" s="11" t="s">
        <v>801</v>
      </c>
      <c r="Z746" s="0" t="str">
        <f aca="false">IF($T746="","",IFERROR(INDEX('Resumo Grupos'!$AC$3:$AC$200,MATCH($T746,'Resumo Grupos'!$AB$3:$AB$200,0)),"n/d"))</f>
        <v>Mercadoria</v>
      </c>
      <c r="AA746" s="0" t="str">
        <f aca="false">IF($T746="","",IF(COUNTIF('Resumo Grupos'!$AE$3:$AE$40,$T746)&gt;0,"NAO","SIM"))</f>
        <v>SIM</v>
      </c>
      <c r="AB746" s="0" t="str">
        <f aca="false">IFERROR(INDEX('Mov Entradas (Rel 10497)'!$L:$L,MATCH(AC746,'Mov Entradas (Rel 10497)'!$I:$I,0)),"nao encontrado")</f>
        <v>MUCILON MULTICER180G</v>
      </c>
      <c r="AC746" s="0" t="n">
        <v>1420058</v>
      </c>
    </row>
    <row r="747" customFormat="false" ht="12.75" hidden="false" customHeight="true" outlineLevel="0" collapsed="false">
      <c r="A747" s="9" t="n">
        <v>2</v>
      </c>
      <c r="B747" s="10" t="n">
        <v>46210</v>
      </c>
      <c r="C747" s="10" t="n">
        <v>46210</v>
      </c>
      <c r="D747" s="9" t="n">
        <v>48</v>
      </c>
      <c r="E747" s="11" t="s">
        <v>153</v>
      </c>
      <c r="F747" s="9" t="n">
        <v>34</v>
      </c>
      <c r="G747" s="11" t="s">
        <v>55</v>
      </c>
      <c r="H747" s="9" t="n">
        <v>2110101</v>
      </c>
      <c r="I747" s="11" t="s">
        <v>43</v>
      </c>
      <c r="J747" s="9" t="n">
        <v>1365847</v>
      </c>
      <c r="L747" s="9" t="n">
        <v>2528</v>
      </c>
      <c r="M747" s="11" t="s">
        <v>52</v>
      </c>
      <c r="N747" s="11" t="s">
        <v>37</v>
      </c>
      <c r="P747" s="9" t="n">
        <v>113</v>
      </c>
      <c r="Q747" s="11" t="s">
        <v>46</v>
      </c>
      <c r="R747" s="11" t="s">
        <v>47</v>
      </c>
      <c r="S747" s="9" t="n">
        <v>1130101</v>
      </c>
      <c r="T747" s="11" t="s">
        <v>48</v>
      </c>
      <c r="U747" s="12" t="n">
        <v>2024.65</v>
      </c>
      <c r="W747" s="12" t="n">
        <v>0</v>
      </c>
      <c r="X747" s="11" t="s">
        <v>252</v>
      </c>
      <c r="Z747" s="0" t="str">
        <f aca="false">IF($T747="","",IFERROR(INDEX('Resumo Grupos'!$AC$3:$AC$200,MATCH($T747,'Resumo Grupos'!$AB$3:$AB$200,0)),"n/d"))</f>
        <v>Mercadoria</v>
      </c>
      <c r="AA747" s="0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9" t="n">
        <v>2</v>
      </c>
      <c r="B748" s="10" t="n">
        <v>46204</v>
      </c>
      <c r="C748" s="10" t="n">
        <v>46210</v>
      </c>
      <c r="D748" s="9" t="n">
        <v>1328</v>
      </c>
      <c r="E748" s="11" t="s">
        <v>95</v>
      </c>
      <c r="F748" s="9" t="n">
        <v>24</v>
      </c>
      <c r="G748" s="11" t="s">
        <v>51</v>
      </c>
      <c r="H748" s="9" t="n">
        <v>2110101</v>
      </c>
      <c r="I748" s="11" t="s">
        <v>43</v>
      </c>
      <c r="J748" s="9" t="n">
        <v>1335310</v>
      </c>
      <c r="L748" s="9" t="n">
        <v>3933</v>
      </c>
      <c r="M748" s="11" t="s">
        <v>52</v>
      </c>
      <c r="N748" s="11" t="s">
        <v>37</v>
      </c>
      <c r="P748" s="9" t="n">
        <v>113</v>
      </c>
      <c r="Q748" s="11" t="s">
        <v>46</v>
      </c>
      <c r="R748" s="11" t="s">
        <v>47</v>
      </c>
      <c r="S748" s="9" t="n">
        <v>1130101</v>
      </c>
      <c r="T748" s="11" t="s">
        <v>48</v>
      </c>
      <c r="U748" s="12" t="n">
        <v>236.18</v>
      </c>
      <c r="W748" s="12" t="n">
        <v>0</v>
      </c>
      <c r="X748" s="11" t="s">
        <v>802</v>
      </c>
      <c r="Z748" s="0" t="str">
        <f aca="false">IF($T748="","",IFERROR(INDEX('Resumo Grupos'!$AC$3:$AC$200,MATCH($T748,'Resumo Grupos'!$AB$3:$AB$200,0)),"n/d"))</f>
        <v>Mercadoria</v>
      </c>
      <c r="AA748" s="0" t="str">
        <f aca="false">IF($T748="","",IF(COUNTIF('Resumo Grupos'!$AE$3:$AE$40,$T748)&gt;0,"NAO","SIM"))</f>
        <v>SIM</v>
      </c>
      <c r="AB748" s="0" t="str">
        <f aca="false">IFERROR(INDEX('Mov Entradas (Rel 10497)'!$L:$L,MATCH(AC748,'Mov Entradas (Rel 10497)'!$I:$I,0)),"nao encontrado")</f>
        <v>PAO DE KIKAO 10</v>
      </c>
      <c r="AC748" s="0" t="n">
        <v>3933</v>
      </c>
    </row>
    <row r="749" customFormat="false" ht="12.75" hidden="false" customHeight="true" outlineLevel="0" collapsed="false">
      <c r="A749" s="9" t="n">
        <v>2</v>
      </c>
      <c r="B749" s="10" t="n">
        <v>46219</v>
      </c>
      <c r="C749" s="10" t="n">
        <v>46210</v>
      </c>
      <c r="D749" s="9" t="n">
        <v>1932</v>
      </c>
      <c r="E749" s="11" t="s">
        <v>278</v>
      </c>
      <c r="F749" s="9" t="n">
        <v>34</v>
      </c>
      <c r="G749" s="11" t="s">
        <v>55</v>
      </c>
      <c r="H749" s="9" t="n">
        <v>2110405</v>
      </c>
      <c r="I749" s="11" t="s">
        <v>56</v>
      </c>
      <c r="J749" s="9" t="n">
        <v>460357</v>
      </c>
      <c r="L749" s="9" t="n">
        <v>59537</v>
      </c>
      <c r="M749" s="11" t="s">
        <v>44</v>
      </c>
      <c r="N749" s="11" t="s">
        <v>45</v>
      </c>
      <c r="P749" s="9" t="n">
        <v>102</v>
      </c>
      <c r="Q749" s="11" t="s">
        <v>308</v>
      </c>
      <c r="R749" s="11" t="s">
        <v>71</v>
      </c>
      <c r="S749" s="9" t="n">
        <v>4210315</v>
      </c>
      <c r="T749" s="11" t="s">
        <v>279</v>
      </c>
      <c r="U749" s="12" t="n">
        <v>119.97</v>
      </c>
      <c r="W749" s="12" t="n">
        <v>0</v>
      </c>
      <c r="X749" s="11" t="s">
        <v>803</v>
      </c>
      <c r="Z749" s="0" t="str">
        <f aca="false">IF($T749="","",IFERROR(INDEX('Resumo Grupos'!$AC$3:$AC$200,MATCH($T749,'Resumo Grupos'!$AB$3:$AB$200,0)),"n/d"))</f>
        <v>Despesa</v>
      </c>
      <c r="AA749" s="0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9" t="n">
        <v>2</v>
      </c>
      <c r="B750" s="10" t="n">
        <v>46196</v>
      </c>
      <c r="C750" s="10" t="n">
        <v>46210</v>
      </c>
      <c r="D750" s="9" t="n">
        <v>1266</v>
      </c>
      <c r="E750" s="11" t="s">
        <v>804</v>
      </c>
      <c r="F750" s="9" t="n">
        <v>24</v>
      </c>
      <c r="G750" s="11" t="s">
        <v>51</v>
      </c>
      <c r="H750" s="9" t="n">
        <v>2110405</v>
      </c>
      <c r="I750" s="11" t="s">
        <v>56</v>
      </c>
      <c r="J750" s="9" t="n">
        <v>1295173</v>
      </c>
      <c r="L750" s="9" t="n">
        <v>173362</v>
      </c>
      <c r="M750" s="11" t="s">
        <v>52</v>
      </c>
      <c r="N750" s="11" t="s">
        <v>45</v>
      </c>
      <c r="P750" s="9" t="n">
        <v>113</v>
      </c>
      <c r="Q750" s="11" t="s">
        <v>46</v>
      </c>
      <c r="R750" s="11" t="s">
        <v>39</v>
      </c>
      <c r="S750" s="9" t="n">
        <v>4210227</v>
      </c>
      <c r="T750" s="11" t="s">
        <v>68</v>
      </c>
      <c r="U750" s="12" t="n">
        <v>317.66</v>
      </c>
      <c r="W750" s="12" t="n">
        <v>0</v>
      </c>
      <c r="X750" s="11" t="s">
        <v>805</v>
      </c>
      <c r="Z750" s="0" t="str">
        <f aca="false">IF($T750="","",IFERROR(INDEX('Resumo Grupos'!$AC$3:$AC$200,MATCH($T750,'Resumo Grupos'!$AB$3:$AB$200,0)),"n/d"))</f>
        <v>Despesa</v>
      </c>
      <c r="AA750" s="0" t="str">
        <f aca="false">IF($T750="","",IF(COUNTIF('Resumo Grupos'!$AE$3:$AE$40,$T750)&gt;0,"NAO","SIM"))</f>
        <v>SIM</v>
      </c>
      <c r="AB750" s="0" t="str">
        <f aca="false">IFERROR(INDEX('Mov Entradas (Rel 10497)'!$L:$L,MATCH(AC750,'Mov Entradas (Rel 10497)'!$I:$I,0)),"nao encontrado")</f>
        <v>LUVA VINIL VABENE S/</v>
      </c>
      <c r="AC750" s="0" t="n">
        <v>2453</v>
      </c>
    </row>
    <row r="751" customFormat="false" ht="12.75" hidden="false" customHeight="true" outlineLevel="0" collapsed="false">
      <c r="A751" s="9" t="n">
        <v>2</v>
      </c>
      <c r="B751" s="10" t="n">
        <v>46204</v>
      </c>
      <c r="C751" s="10" t="n">
        <v>46210</v>
      </c>
      <c r="D751" s="9" t="n">
        <v>1292</v>
      </c>
      <c r="E751" s="11" t="s">
        <v>209</v>
      </c>
      <c r="F751" s="9" t="n">
        <v>24</v>
      </c>
      <c r="G751" s="11" t="s">
        <v>51</v>
      </c>
      <c r="H751" s="9" t="n">
        <v>2110101</v>
      </c>
      <c r="I751" s="11" t="s">
        <v>43</v>
      </c>
      <c r="J751" s="9" t="n">
        <v>1333861</v>
      </c>
      <c r="L751" s="9" t="n">
        <v>3507</v>
      </c>
      <c r="M751" s="11" t="s">
        <v>52</v>
      </c>
      <c r="N751" s="11" t="s">
        <v>37</v>
      </c>
      <c r="P751" s="9" t="n">
        <v>113</v>
      </c>
      <c r="Q751" s="11" t="s">
        <v>46</v>
      </c>
      <c r="R751" s="11" t="s">
        <v>47</v>
      </c>
      <c r="S751" s="9" t="n">
        <v>1130101</v>
      </c>
      <c r="T751" s="11" t="s">
        <v>48</v>
      </c>
      <c r="U751" s="12" t="n">
        <v>589.5</v>
      </c>
      <c r="W751" s="12" t="n">
        <v>0</v>
      </c>
      <c r="X751" s="11" t="s">
        <v>806</v>
      </c>
      <c r="Z751" s="0" t="str">
        <f aca="false">IF($T751="","",IFERROR(INDEX('Resumo Grupos'!$AC$3:$AC$200,MATCH($T751,'Resumo Grupos'!$AB$3:$AB$200,0)),"n/d"))</f>
        <v>Mercadoria</v>
      </c>
      <c r="AA751" s="0" t="str">
        <f aca="false">IF($T751="","",IF(COUNTIF('Resumo Grupos'!$AE$3:$AE$40,$T751)&gt;0,"NAO","SIM"))</f>
        <v>SIM</v>
      </c>
      <c r="AB751" s="0" t="str">
        <f aca="false">IFERROR(INDEX('Mov Entradas (Rel 10497)'!$L:$L,MATCH(AC751,'Mov Entradas (Rel 10497)'!$I:$I,0)),"nao encontrado")</f>
        <v>PRESUNTO DELICE DE PERU 200G</v>
      </c>
      <c r="AC751" s="0" t="n">
        <v>3507</v>
      </c>
    </row>
    <row r="752" customFormat="false" ht="12.75" hidden="false" customHeight="true" outlineLevel="0" collapsed="false">
      <c r="A752" s="9" t="n">
        <v>2</v>
      </c>
      <c r="B752" s="10" t="n">
        <v>46210</v>
      </c>
      <c r="C752" s="10" t="n">
        <v>46210</v>
      </c>
      <c r="D752" s="9" t="n">
        <v>0</v>
      </c>
      <c r="E752" s="11" t="s">
        <v>109</v>
      </c>
      <c r="F752" s="9" t="n">
        <v>17</v>
      </c>
      <c r="G752" s="11" t="s">
        <v>110</v>
      </c>
      <c r="H752" s="9" t="n">
        <v>1110101</v>
      </c>
      <c r="I752" s="11" t="s">
        <v>111</v>
      </c>
      <c r="J752" s="9" t="n">
        <v>1375523</v>
      </c>
      <c r="L752" s="9" t="n">
        <v>1375523</v>
      </c>
      <c r="M752" s="11" t="s">
        <v>52</v>
      </c>
      <c r="N752" s="11" t="s">
        <v>112</v>
      </c>
      <c r="P752" s="9" t="n">
        <v>113</v>
      </c>
      <c r="Q752" s="11" t="s">
        <v>46</v>
      </c>
      <c r="R752" s="11" t="s">
        <v>71</v>
      </c>
      <c r="S752" s="9" t="n">
        <v>4210314</v>
      </c>
      <c r="T752" s="11" t="s">
        <v>113</v>
      </c>
      <c r="U752" s="12" t="n">
        <v>70</v>
      </c>
      <c r="W752" s="12" t="n">
        <v>70</v>
      </c>
      <c r="X752" s="11" t="s">
        <v>115</v>
      </c>
      <c r="Z752" s="0" t="str">
        <f aca="false">IF($T752="","",IFERROR(INDEX('Resumo Grupos'!$AC$3:$AC$200,MATCH($T752,'Resumo Grupos'!$AB$3:$AB$200,0)),"n/d"))</f>
        <v>Despesa</v>
      </c>
      <c r="AA752" s="0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9" t="n">
        <v>2</v>
      </c>
      <c r="B753" s="10" t="n">
        <v>46210</v>
      </c>
      <c r="C753" s="10" t="n">
        <v>46210</v>
      </c>
      <c r="D753" s="9" t="n">
        <v>0</v>
      </c>
      <c r="E753" s="11" t="s">
        <v>109</v>
      </c>
      <c r="F753" s="9" t="n">
        <v>17</v>
      </c>
      <c r="G753" s="11" t="s">
        <v>110</v>
      </c>
      <c r="H753" s="9" t="n">
        <v>1110101</v>
      </c>
      <c r="I753" s="11" t="s">
        <v>111</v>
      </c>
      <c r="J753" s="9" t="n">
        <v>1375525</v>
      </c>
      <c r="L753" s="9" t="n">
        <v>1375525</v>
      </c>
      <c r="M753" s="11" t="s">
        <v>52</v>
      </c>
      <c r="N753" s="11" t="s">
        <v>112</v>
      </c>
      <c r="P753" s="9" t="n">
        <v>113</v>
      </c>
      <c r="Q753" s="11" t="s">
        <v>46</v>
      </c>
      <c r="R753" s="11" t="s">
        <v>71</v>
      </c>
      <c r="S753" s="9" t="n">
        <v>4210314</v>
      </c>
      <c r="T753" s="11" t="s">
        <v>113</v>
      </c>
      <c r="U753" s="12" t="n">
        <v>70</v>
      </c>
      <c r="W753" s="12" t="n">
        <v>70</v>
      </c>
      <c r="X753" s="11" t="s">
        <v>187</v>
      </c>
      <c r="Z753" s="0" t="str">
        <f aca="false">IF($T753="","",IFERROR(INDEX('Resumo Grupos'!$AC$3:$AC$200,MATCH($T753,'Resumo Grupos'!$AB$3:$AB$200,0)),"n/d"))</f>
        <v>Despesa</v>
      </c>
      <c r="AA753" s="0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9" t="n">
        <v>2</v>
      </c>
      <c r="B754" s="10" t="n">
        <v>46210</v>
      </c>
      <c r="C754" s="10" t="n">
        <v>46210</v>
      </c>
      <c r="D754" s="9" t="n">
        <v>0</v>
      </c>
      <c r="E754" s="11" t="s">
        <v>109</v>
      </c>
      <c r="F754" s="9" t="n">
        <v>17</v>
      </c>
      <c r="G754" s="11" t="s">
        <v>110</v>
      </c>
      <c r="H754" s="9" t="n">
        <v>1110101</v>
      </c>
      <c r="I754" s="11" t="s">
        <v>111</v>
      </c>
      <c r="J754" s="9" t="n">
        <v>1469072</v>
      </c>
      <c r="L754" s="9" t="n">
        <v>1469072</v>
      </c>
      <c r="M754" s="11" t="s">
        <v>52</v>
      </c>
      <c r="N754" s="11" t="s">
        <v>112</v>
      </c>
      <c r="P754" s="9" t="n">
        <v>113</v>
      </c>
      <c r="Q754" s="11" t="s">
        <v>46</v>
      </c>
      <c r="R754" s="11" t="s">
        <v>116</v>
      </c>
      <c r="S754" s="9" t="n">
        <v>1110203</v>
      </c>
      <c r="T754" s="11" t="s">
        <v>117</v>
      </c>
      <c r="U754" s="12" t="n">
        <v>1900</v>
      </c>
      <c r="W754" s="12" t="n">
        <v>1900</v>
      </c>
      <c r="X754" s="11" t="s">
        <v>807</v>
      </c>
      <c r="Z754" s="0" t="str">
        <f aca="false">IF($T754="","",IFERROR(INDEX('Resumo Grupos'!$AC$3:$AC$200,MATCH($T754,'Resumo Grupos'!$AB$3:$AB$200,0)),"n/d"))</f>
        <v>Despesa</v>
      </c>
      <c r="AA754" s="0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9" t="n">
        <v>2</v>
      </c>
      <c r="B755" s="10" t="n">
        <v>46204</v>
      </c>
      <c r="C755" s="10" t="n">
        <v>46210</v>
      </c>
      <c r="D755" s="9" t="n">
        <v>754</v>
      </c>
      <c r="E755" s="11" t="s">
        <v>162</v>
      </c>
      <c r="F755" s="9" t="n">
        <v>24</v>
      </c>
      <c r="G755" s="11" t="s">
        <v>51</v>
      </c>
      <c r="H755" s="9" t="n">
        <v>2110101</v>
      </c>
      <c r="I755" s="11" t="s">
        <v>43</v>
      </c>
      <c r="J755" s="9" t="n">
        <v>1334341</v>
      </c>
      <c r="L755" s="9" t="n">
        <v>31492</v>
      </c>
      <c r="M755" s="11" t="s">
        <v>52</v>
      </c>
      <c r="N755" s="11" t="s">
        <v>37</v>
      </c>
      <c r="P755" s="9" t="n">
        <v>113</v>
      </c>
      <c r="Q755" s="11" t="s">
        <v>46</v>
      </c>
      <c r="R755" s="11" t="s">
        <v>47</v>
      </c>
      <c r="S755" s="9" t="n">
        <v>1130101</v>
      </c>
      <c r="T755" s="11" t="s">
        <v>48</v>
      </c>
      <c r="U755" s="12" t="n">
        <v>3140</v>
      </c>
      <c r="W755" s="12" t="n">
        <v>0</v>
      </c>
      <c r="X755" s="11" t="s">
        <v>808</v>
      </c>
      <c r="Z755" s="0" t="str">
        <f aca="false">IF($T755="","",IFERROR(INDEX('Resumo Grupos'!$AC$3:$AC$200,MATCH($T755,'Resumo Grupos'!$AB$3:$AB$200,0)),"n/d"))</f>
        <v>Mercadoria</v>
      </c>
      <c r="AA755" s="0" t="str">
        <f aca="false">IF($T755="","",IF(COUNTIF('Resumo Grupos'!$AE$3:$AE$40,$T755)&gt;0,"NAO","SIM"))</f>
        <v>SIM</v>
      </c>
      <c r="AB755" s="0" t="str">
        <f aca="false">IFERROR(INDEX('Mov Entradas (Rel 10497)'!$L:$L,MATCH(AC755,'Mov Entradas (Rel 10497)'!$I:$I,0)),"nao encontrado")</f>
        <v>TRASEIRO DE BOI L1</v>
      </c>
      <c r="AC755" s="0" t="n">
        <v>31492</v>
      </c>
    </row>
    <row r="756" customFormat="false" ht="12.75" hidden="false" customHeight="true" outlineLevel="0" collapsed="false">
      <c r="A756" s="9" t="n">
        <v>2</v>
      </c>
      <c r="B756" s="10" t="n">
        <v>46188</v>
      </c>
      <c r="C756" s="10" t="n">
        <v>46211</v>
      </c>
      <c r="D756" s="9" t="n">
        <v>1659</v>
      </c>
      <c r="E756" s="11" t="s">
        <v>214</v>
      </c>
      <c r="F756" s="9" t="n">
        <v>24</v>
      </c>
      <c r="G756" s="11" t="s">
        <v>51</v>
      </c>
      <c r="H756" s="9" t="n">
        <v>2110101</v>
      </c>
      <c r="I756" s="11" t="s">
        <v>43</v>
      </c>
      <c r="J756" s="9" t="n">
        <v>1257254</v>
      </c>
      <c r="L756" s="9" t="n">
        <v>878758</v>
      </c>
      <c r="M756" s="11" t="s">
        <v>44</v>
      </c>
      <c r="N756" s="11" t="s">
        <v>37</v>
      </c>
      <c r="P756" s="9" t="n">
        <v>113</v>
      </c>
      <c r="Q756" s="11" t="s">
        <v>46</v>
      </c>
      <c r="R756" s="11" t="s">
        <v>47</v>
      </c>
      <c r="S756" s="9" t="n">
        <v>1130101</v>
      </c>
      <c r="T756" s="11" t="s">
        <v>48</v>
      </c>
      <c r="U756" s="12" t="n">
        <v>589.08</v>
      </c>
      <c r="W756" s="12" t="n">
        <v>0</v>
      </c>
      <c r="X756" s="11" t="s">
        <v>678</v>
      </c>
      <c r="Z756" s="0" t="str">
        <f aca="false">IF($T756="","",IFERROR(INDEX('Resumo Grupos'!$AC$3:$AC$200,MATCH($T756,'Resumo Grupos'!$AB$3:$AB$200,0)),"n/d"))</f>
        <v>Mercadoria</v>
      </c>
      <c r="AA756" s="0" t="str">
        <f aca="false">IF($T756="","",IF(COUNTIF('Resumo Grupos'!$AE$3:$AE$40,$T756)&gt;0,"NAO","SIM"))</f>
        <v>SIM</v>
      </c>
      <c r="AB756" s="0" t="str">
        <f aca="false">IFERROR(INDEX('Mov Entradas (Rel 10497)'!$L:$L,MATCH(AC756,'Mov Entradas (Rel 10497)'!$I:$I,0)),"nao encontrado")</f>
        <v>QUEIJO RALADO MOCOCA</v>
      </c>
      <c r="AC756" s="0" t="n">
        <v>878758</v>
      </c>
    </row>
    <row r="757" customFormat="false" ht="12.75" hidden="false" customHeight="true" outlineLevel="0" collapsed="false">
      <c r="A757" s="9" t="n">
        <v>2</v>
      </c>
      <c r="B757" s="10" t="n">
        <v>46191</v>
      </c>
      <c r="C757" s="10" t="n">
        <v>46211</v>
      </c>
      <c r="D757" s="9" t="n">
        <v>10029</v>
      </c>
      <c r="E757" s="11" t="s">
        <v>679</v>
      </c>
      <c r="F757" s="9" t="n">
        <v>24</v>
      </c>
      <c r="G757" s="11" t="s">
        <v>51</v>
      </c>
      <c r="H757" s="9" t="n">
        <v>2110405</v>
      </c>
      <c r="I757" s="11" t="s">
        <v>56</v>
      </c>
      <c r="J757" s="9" t="n">
        <v>1268814</v>
      </c>
      <c r="L757" s="9" t="n">
        <v>168791</v>
      </c>
      <c r="M757" s="11" t="s">
        <v>52</v>
      </c>
      <c r="N757" s="11" t="s">
        <v>45</v>
      </c>
      <c r="P757" s="9" t="n">
        <v>113</v>
      </c>
      <c r="Q757" s="11" t="s">
        <v>46</v>
      </c>
      <c r="R757" s="11" t="s">
        <v>39</v>
      </c>
      <c r="S757" s="9" t="n">
        <v>4210227</v>
      </c>
      <c r="T757" s="11" t="s">
        <v>68</v>
      </c>
      <c r="U757" s="12" t="n">
        <v>920</v>
      </c>
      <c r="W757" s="12" t="n">
        <v>0</v>
      </c>
      <c r="X757" s="11" t="s">
        <v>680</v>
      </c>
      <c r="Z757" s="0" t="str">
        <f aca="false">IF($T757="","",IFERROR(INDEX('Resumo Grupos'!$AC$3:$AC$200,MATCH($T757,'Resumo Grupos'!$AB$3:$AB$200,0)),"n/d"))</f>
        <v>Despesa</v>
      </c>
      <c r="AA757" s="0" t="str">
        <f aca="false">IF($T757="","",IF(COUNTIF('Resumo Grupos'!$AE$3:$AE$40,$T757)&gt;0,"NAO","SIM"))</f>
        <v>SIM</v>
      </c>
      <c r="AB757" s="0" t="str">
        <f aca="false">IFERROR(INDEX('Mov Entradas (Rel 10497)'!$L:$L,MATCH(AC757,'Mov Entradas (Rel 10497)'!$I:$I,0)),"nao encontrado")</f>
        <v>BOBINA TERMICA PDV 4</v>
      </c>
      <c r="AC757" s="0" t="n">
        <v>184</v>
      </c>
    </row>
    <row r="758" customFormat="false" ht="12.75" hidden="false" customHeight="true" outlineLevel="0" collapsed="false">
      <c r="A758" s="9" t="n">
        <v>2</v>
      </c>
      <c r="B758" s="10" t="n">
        <v>46195</v>
      </c>
      <c r="C758" s="10" t="n">
        <v>46211</v>
      </c>
      <c r="D758" s="9" t="n">
        <v>1613</v>
      </c>
      <c r="E758" s="11" t="s">
        <v>50</v>
      </c>
      <c r="F758" s="9" t="n">
        <v>24</v>
      </c>
      <c r="G758" s="11" t="s">
        <v>51</v>
      </c>
      <c r="H758" s="9" t="n">
        <v>2110101</v>
      </c>
      <c r="I758" s="11" t="s">
        <v>43</v>
      </c>
      <c r="J758" s="9" t="n">
        <v>1289535</v>
      </c>
      <c r="L758" s="9" t="n">
        <v>1598763</v>
      </c>
      <c r="M758" s="11" t="s">
        <v>44</v>
      </c>
      <c r="N758" s="11" t="s">
        <v>37</v>
      </c>
      <c r="P758" s="9" t="n">
        <v>113</v>
      </c>
      <c r="Q758" s="11" t="s">
        <v>46</v>
      </c>
      <c r="R758" s="11" t="s">
        <v>47</v>
      </c>
      <c r="S758" s="9" t="n">
        <v>1130101</v>
      </c>
      <c r="T758" s="11" t="s">
        <v>48</v>
      </c>
      <c r="U758" s="12" t="n">
        <v>671.15</v>
      </c>
      <c r="W758" s="12" t="n">
        <v>0</v>
      </c>
      <c r="X758" s="11" t="s">
        <v>684</v>
      </c>
      <c r="Z758" s="0" t="str">
        <f aca="false">IF($T758="","",IFERROR(INDEX('Resumo Grupos'!$AC$3:$AC$200,MATCH($T758,'Resumo Grupos'!$AB$3:$AB$200,0)),"n/d"))</f>
        <v>Mercadoria</v>
      </c>
      <c r="AA758" s="0" t="str">
        <f aca="false">IF($T758="","",IF(COUNTIF('Resumo Grupos'!$AE$3:$AE$40,$T758)&gt;0,"NAO","SIM"))</f>
        <v>SIM</v>
      </c>
      <c r="AB758" s="0" t="str">
        <f aca="false">IFERROR(INDEX('Mov Entradas (Rel 10497)'!$L:$L,MATCH(AC758,'Mov Entradas (Rel 10497)'!$I:$I,0)),"nao encontrado")</f>
        <v>FRANGO A PASSARINHO </v>
      </c>
      <c r="AC758" s="0" t="n">
        <v>1598763</v>
      </c>
    </row>
    <row r="759" customFormat="false" ht="12.75" hidden="false" customHeight="true" outlineLevel="0" collapsed="false">
      <c r="A759" s="9" t="n">
        <v>2</v>
      </c>
      <c r="B759" s="10" t="n">
        <v>46199</v>
      </c>
      <c r="C759" s="10" t="n">
        <v>46211</v>
      </c>
      <c r="D759" s="9" t="n">
        <v>1613</v>
      </c>
      <c r="E759" s="11" t="s">
        <v>50</v>
      </c>
      <c r="F759" s="9" t="n">
        <v>24</v>
      </c>
      <c r="G759" s="11" t="s">
        <v>51</v>
      </c>
      <c r="H759" s="9" t="n">
        <v>2110101</v>
      </c>
      <c r="I759" s="11" t="s">
        <v>43</v>
      </c>
      <c r="J759" s="9" t="n">
        <v>1309874</v>
      </c>
      <c r="L759" s="9" t="n">
        <v>1600681</v>
      </c>
      <c r="M759" s="11" t="s">
        <v>52</v>
      </c>
      <c r="N759" s="11" t="s">
        <v>37</v>
      </c>
      <c r="P759" s="9" t="n">
        <v>113</v>
      </c>
      <c r="Q759" s="11" t="s">
        <v>46</v>
      </c>
      <c r="R759" s="11" t="s">
        <v>47</v>
      </c>
      <c r="S759" s="9" t="n">
        <v>1130101</v>
      </c>
      <c r="T759" s="11" t="s">
        <v>48</v>
      </c>
      <c r="U759" s="12" t="n">
        <v>1881.47</v>
      </c>
      <c r="W759" s="12" t="n">
        <v>0</v>
      </c>
      <c r="X759" s="11" t="s">
        <v>809</v>
      </c>
      <c r="Z759" s="0" t="str">
        <f aca="false">IF($T759="","",IFERROR(INDEX('Resumo Grupos'!$AC$3:$AC$200,MATCH($T759,'Resumo Grupos'!$AB$3:$AB$200,0)),"n/d"))</f>
        <v>Mercadoria</v>
      </c>
      <c r="AA759" s="0" t="str">
        <f aca="false">IF($T759="","",IF(COUNTIF('Resumo Grupos'!$AE$3:$AE$40,$T759)&gt;0,"NAO","SIM"))</f>
        <v>SIM</v>
      </c>
      <c r="AB759" s="0" t="str">
        <f aca="false">IFERROR(INDEX('Mov Entradas (Rel 10497)'!$L:$L,MATCH(AC759,'Mov Entradas (Rel 10497)'!$I:$I,0)),"nao encontrado")</f>
        <v>SALSICHA PERDIGÃO KG</v>
      </c>
      <c r="AC759" s="0" t="n">
        <v>1600681</v>
      </c>
    </row>
    <row r="760" customFormat="false" ht="12.75" hidden="false" customHeight="true" outlineLevel="0" collapsed="false">
      <c r="A760" s="9" t="n">
        <v>2</v>
      </c>
      <c r="B760" s="10" t="n">
        <v>46191</v>
      </c>
      <c r="C760" s="10" t="n">
        <v>46211</v>
      </c>
      <c r="D760" s="9" t="n">
        <v>10085</v>
      </c>
      <c r="E760" s="11" t="s">
        <v>810</v>
      </c>
      <c r="F760" s="9" t="n">
        <v>24</v>
      </c>
      <c r="G760" s="11" t="s">
        <v>51</v>
      </c>
      <c r="H760" s="9" t="n">
        <v>2110101</v>
      </c>
      <c r="I760" s="11" t="s">
        <v>43</v>
      </c>
      <c r="J760" s="9" t="n">
        <v>1269959</v>
      </c>
      <c r="L760" s="9" t="n">
        <v>252</v>
      </c>
      <c r="M760" s="11" t="s">
        <v>52</v>
      </c>
      <c r="N760" s="11" t="s">
        <v>37</v>
      </c>
      <c r="P760" s="9" t="n">
        <v>113</v>
      </c>
      <c r="Q760" s="11" t="s">
        <v>46</v>
      </c>
      <c r="R760" s="11" t="s">
        <v>47</v>
      </c>
      <c r="S760" s="9" t="n">
        <v>1130101</v>
      </c>
      <c r="T760" s="11" t="s">
        <v>48</v>
      </c>
      <c r="U760" s="12" t="n">
        <v>324.43</v>
      </c>
      <c r="W760" s="12" t="n">
        <v>0</v>
      </c>
      <c r="X760" s="11" t="s">
        <v>811</v>
      </c>
      <c r="Z760" s="0" t="str">
        <f aca="false">IF($T760="","",IFERROR(INDEX('Resumo Grupos'!$AC$3:$AC$200,MATCH($T760,'Resumo Grupos'!$AB$3:$AB$200,0)),"n/d"))</f>
        <v>Mercadoria</v>
      </c>
      <c r="AA760" s="0" t="str">
        <f aca="false">IF($T760="","",IF(COUNTIF('Resumo Grupos'!$AE$3:$AE$40,$T760)&gt;0,"NAO","SIM"))</f>
        <v>SIM</v>
      </c>
      <c r="AB760" s="0" t="str">
        <f aca="false">IFERROR(INDEX('Mov Entradas (Rel 10497)'!$L:$L,MATCH(AC760,'Mov Entradas (Rel 10497)'!$I:$I,0)),"nao encontrado")</f>
        <v>CERVEJA IMPERIO PURO MALTE LT 269ML</v>
      </c>
      <c r="AC760" s="0" t="n">
        <v>252</v>
      </c>
    </row>
    <row r="761" customFormat="false" ht="12.75" hidden="false" customHeight="true" outlineLevel="0" collapsed="false">
      <c r="A761" s="9" t="n">
        <v>2</v>
      </c>
      <c r="B761" s="10" t="n">
        <v>46197</v>
      </c>
      <c r="C761" s="10" t="n">
        <v>46211</v>
      </c>
      <c r="D761" s="9" t="n">
        <v>1152</v>
      </c>
      <c r="E761" s="11" t="s">
        <v>812</v>
      </c>
      <c r="F761" s="9" t="n">
        <v>24</v>
      </c>
      <c r="G761" s="11" t="s">
        <v>51</v>
      </c>
      <c r="H761" s="9" t="n">
        <v>2110101</v>
      </c>
      <c r="I761" s="11" t="s">
        <v>43</v>
      </c>
      <c r="J761" s="9" t="n">
        <v>1299537</v>
      </c>
      <c r="L761" s="9" t="n">
        <v>253</v>
      </c>
      <c r="M761" s="11" t="s">
        <v>52</v>
      </c>
      <c r="N761" s="11" t="s">
        <v>37</v>
      </c>
      <c r="P761" s="9" t="n">
        <v>113</v>
      </c>
      <c r="Q761" s="11" t="s">
        <v>46</v>
      </c>
      <c r="R761" s="11" t="s">
        <v>47</v>
      </c>
      <c r="S761" s="9" t="n">
        <v>1130101</v>
      </c>
      <c r="T761" s="11" t="s">
        <v>48</v>
      </c>
      <c r="U761" s="12" t="n">
        <v>845</v>
      </c>
      <c r="W761" s="12" t="n">
        <v>0</v>
      </c>
      <c r="X761" s="11" t="s">
        <v>813</v>
      </c>
      <c r="Z761" s="0" t="str">
        <f aca="false">IF($T761="","",IFERROR(INDEX('Resumo Grupos'!$AC$3:$AC$200,MATCH($T761,'Resumo Grupos'!$AB$3:$AB$200,0)),"n/d"))</f>
        <v>Mercadoria</v>
      </c>
      <c r="AA761" s="0" t="str">
        <f aca="false">IF($T761="","",IF(COUNTIF('Resumo Grupos'!$AE$3:$AE$40,$T761)&gt;0,"NAO","SIM"))</f>
        <v>SIM</v>
      </c>
      <c r="AB761" s="0" t="str">
        <f aca="false">IFERROR(INDEX('Mov Entradas (Rel 10497)'!$L:$L,MATCH(AC761,'Mov Entradas (Rel 10497)'!$I:$I,0)),"nao encontrado")</f>
        <v>FARINHA BRANCA TIA NENA 1KG</v>
      </c>
      <c r="AC761" s="0" t="n">
        <v>253</v>
      </c>
    </row>
    <row r="762" customFormat="false" ht="12.75" hidden="false" customHeight="true" outlineLevel="0" collapsed="false">
      <c r="A762" s="9" t="n">
        <v>2</v>
      </c>
      <c r="B762" s="10" t="n">
        <v>46189</v>
      </c>
      <c r="C762" s="10" t="n">
        <v>46211</v>
      </c>
      <c r="D762" s="9" t="n">
        <v>957</v>
      </c>
      <c r="E762" s="11" t="s">
        <v>628</v>
      </c>
      <c r="F762" s="9" t="n">
        <v>24</v>
      </c>
      <c r="G762" s="11" t="s">
        <v>51</v>
      </c>
      <c r="H762" s="9" t="n">
        <v>2110101</v>
      </c>
      <c r="I762" s="11" t="s">
        <v>43</v>
      </c>
      <c r="J762" s="9" t="n">
        <v>1261052</v>
      </c>
      <c r="L762" s="9" t="n">
        <v>20499</v>
      </c>
      <c r="M762" s="11" t="s">
        <v>44</v>
      </c>
      <c r="N762" s="11" t="s">
        <v>37</v>
      </c>
      <c r="P762" s="9" t="n">
        <v>113</v>
      </c>
      <c r="Q762" s="11" t="s">
        <v>46</v>
      </c>
      <c r="R762" s="11" t="s">
        <v>47</v>
      </c>
      <c r="S762" s="9" t="n">
        <v>1130101</v>
      </c>
      <c r="T762" s="11" t="s">
        <v>48</v>
      </c>
      <c r="U762" s="12" t="n">
        <v>1589.28</v>
      </c>
      <c r="W762" s="12" t="n">
        <v>0</v>
      </c>
      <c r="X762" s="11" t="s">
        <v>629</v>
      </c>
      <c r="Z762" s="0" t="str">
        <f aca="false">IF($T762="","",IFERROR(INDEX('Resumo Grupos'!$AC$3:$AC$200,MATCH($T762,'Resumo Grupos'!$AB$3:$AB$200,0)),"n/d"))</f>
        <v>Mercadoria</v>
      </c>
      <c r="AA762" s="0" t="str">
        <f aca="false">IF($T762="","",IF(COUNTIF('Resumo Grupos'!$AE$3:$AE$40,$T762)&gt;0,"NAO","SIM"))</f>
        <v>SIM</v>
      </c>
      <c r="AB762" s="0" t="str">
        <f aca="false">IFERROR(INDEX('Mov Entradas (Rel 10497)'!$L:$L,MATCH(AC762,'Mov Entradas (Rel 10497)'!$I:$I,0)),"nao encontrado")</f>
        <v>PEDIGREE SACHE FILHO</v>
      </c>
      <c r="AC762" s="0" t="n">
        <v>20499</v>
      </c>
    </row>
    <row r="763" customFormat="false" ht="12.75" hidden="false" customHeight="true" outlineLevel="0" collapsed="false">
      <c r="A763" s="9" t="n">
        <v>2</v>
      </c>
      <c r="B763" s="10" t="n">
        <v>46197</v>
      </c>
      <c r="C763" s="10" t="n">
        <v>46211</v>
      </c>
      <c r="D763" s="9" t="n">
        <v>1815</v>
      </c>
      <c r="E763" s="11" t="s">
        <v>172</v>
      </c>
      <c r="F763" s="9" t="n">
        <v>24</v>
      </c>
      <c r="G763" s="11" t="s">
        <v>51</v>
      </c>
      <c r="H763" s="9" t="n">
        <v>2110101</v>
      </c>
      <c r="I763" s="11" t="s">
        <v>43</v>
      </c>
      <c r="J763" s="9" t="n">
        <v>1300169</v>
      </c>
      <c r="L763" s="9" t="n">
        <v>388857</v>
      </c>
      <c r="M763" s="11" t="s">
        <v>44</v>
      </c>
      <c r="N763" s="11" t="s">
        <v>37</v>
      </c>
      <c r="P763" s="9" t="n">
        <v>113</v>
      </c>
      <c r="Q763" s="11" t="s">
        <v>46</v>
      </c>
      <c r="R763" s="11" t="s">
        <v>47</v>
      </c>
      <c r="S763" s="9" t="n">
        <v>1130101</v>
      </c>
      <c r="T763" s="11" t="s">
        <v>48</v>
      </c>
      <c r="U763" s="12" t="n">
        <v>314.44</v>
      </c>
      <c r="W763" s="12" t="n">
        <v>0</v>
      </c>
      <c r="X763" s="11" t="s">
        <v>689</v>
      </c>
      <c r="Z763" s="0" t="str">
        <f aca="false">IF($T763="","",IFERROR(INDEX('Resumo Grupos'!$AC$3:$AC$200,MATCH($T763,'Resumo Grupos'!$AB$3:$AB$200,0)),"n/d"))</f>
        <v>Mercadoria</v>
      </c>
      <c r="AA763" s="0" t="str">
        <f aca="false">IF($T763="","",IF(COUNTIF('Resumo Grupos'!$AE$3:$AE$40,$T763)&gt;0,"NAO","SIM"))</f>
        <v>SIM</v>
      </c>
      <c r="AB763" s="0" t="str">
        <f aca="false">IFERROR(INDEX('Mov Entradas (Rel 10497)'!$L:$L,MATCH(AC763,'Mov Entradas (Rel 10497)'!$I:$I,0)),"nao encontrado")</f>
        <v>BISTECA SUINA KG</v>
      </c>
      <c r="AC763" s="0" t="n">
        <v>388857</v>
      </c>
    </row>
    <row r="764" customFormat="false" ht="12.75" hidden="false" customHeight="true" outlineLevel="0" collapsed="false">
      <c r="A764" s="9" t="n">
        <v>2</v>
      </c>
      <c r="B764" s="10" t="n">
        <v>46211</v>
      </c>
      <c r="C764" s="10" t="n">
        <v>46211</v>
      </c>
      <c r="D764" s="9" t="n">
        <v>10092</v>
      </c>
      <c r="E764" s="11" t="s">
        <v>814</v>
      </c>
      <c r="F764" s="9" t="n">
        <v>13</v>
      </c>
      <c r="G764" s="11" t="s">
        <v>135</v>
      </c>
      <c r="H764" s="9" t="n">
        <v>2110101</v>
      </c>
      <c r="I764" s="11" t="s">
        <v>43</v>
      </c>
      <c r="J764" s="9" t="n">
        <v>1369398</v>
      </c>
      <c r="L764" s="9" t="n">
        <v>294</v>
      </c>
      <c r="M764" s="11" t="s">
        <v>52</v>
      </c>
      <c r="N764" s="11" t="s">
        <v>37</v>
      </c>
      <c r="P764" s="9" t="n">
        <v>113</v>
      </c>
      <c r="Q764" s="11" t="s">
        <v>46</v>
      </c>
      <c r="R764" s="11" t="s">
        <v>47</v>
      </c>
      <c r="S764" s="9" t="n">
        <v>1130101</v>
      </c>
      <c r="T764" s="11" t="s">
        <v>48</v>
      </c>
      <c r="U764" s="12" t="n">
        <v>164.5</v>
      </c>
      <c r="W764" s="12" t="n">
        <v>164.5</v>
      </c>
      <c r="X764" s="11" t="s">
        <v>815</v>
      </c>
      <c r="Z764" s="0" t="str">
        <f aca="false">IF($T764="","",IFERROR(INDEX('Resumo Grupos'!$AC$3:$AC$200,MATCH($T764,'Resumo Grupos'!$AB$3:$AB$200,0)),"n/d"))</f>
        <v>Mercadoria</v>
      </c>
      <c r="AA764" s="0" t="str">
        <f aca="false">IF($T764="","",IF(COUNTIF('Resumo Grupos'!$AE$3:$AE$40,$T764)&gt;0,"NAO","SIM"))</f>
        <v>SIM</v>
      </c>
      <c r="AB764" s="0" t="str">
        <f aca="false">IFERROR(INDEX('Mov Entradas (Rel 10497)'!$L:$L,MATCH(AC764,'Mov Entradas (Rel 10497)'!$I:$I,0)),"nao encontrado")</f>
        <v>OVOS BRANCO UNID</v>
      </c>
      <c r="AC764" s="0" t="n">
        <v>294</v>
      </c>
    </row>
    <row r="765" customFormat="false" ht="12.75" hidden="false" customHeight="true" outlineLevel="0" collapsed="false">
      <c r="A765" s="9" t="n">
        <v>2</v>
      </c>
      <c r="B765" s="10" t="n">
        <v>46191</v>
      </c>
      <c r="C765" s="10" t="n">
        <v>46211</v>
      </c>
      <c r="D765" s="9" t="n">
        <v>1668</v>
      </c>
      <c r="E765" s="11" t="s">
        <v>151</v>
      </c>
      <c r="F765" s="9" t="n">
        <v>24</v>
      </c>
      <c r="G765" s="11" t="s">
        <v>51</v>
      </c>
      <c r="H765" s="9" t="n">
        <v>2110101</v>
      </c>
      <c r="I765" s="11" t="s">
        <v>43</v>
      </c>
      <c r="J765" s="9" t="n">
        <v>1269854</v>
      </c>
      <c r="L765" s="9" t="n">
        <v>729799</v>
      </c>
      <c r="M765" s="11" t="s">
        <v>52</v>
      </c>
      <c r="N765" s="11" t="s">
        <v>37</v>
      </c>
      <c r="P765" s="9" t="n">
        <v>113</v>
      </c>
      <c r="Q765" s="11" t="s">
        <v>46</v>
      </c>
      <c r="R765" s="11" t="s">
        <v>47</v>
      </c>
      <c r="S765" s="9" t="n">
        <v>1130101</v>
      </c>
      <c r="T765" s="11" t="s">
        <v>48</v>
      </c>
      <c r="U765" s="12" t="n">
        <v>381.51</v>
      </c>
      <c r="W765" s="12" t="n">
        <v>0</v>
      </c>
      <c r="X765" s="11" t="s">
        <v>816</v>
      </c>
      <c r="Z765" s="0" t="str">
        <f aca="false">IF($T765="","",IFERROR(INDEX('Resumo Grupos'!$AC$3:$AC$200,MATCH($T765,'Resumo Grupos'!$AB$3:$AB$200,0)),"n/d"))</f>
        <v>Mercadoria</v>
      </c>
      <c r="AA765" s="0" t="str">
        <f aca="false">IF($T765="","",IF(COUNTIF('Resumo Grupos'!$AE$3:$AE$40,$T765)&gt;0,"NAO","SIM"))</f>
        <v>SIM</v>
      </c>
      <c r="AB765" s="0" t="str">
        <f aca="false">IFERROR(INDEX('Mov Entradas (Rel 10497)'!$L:$L,MATCH(AC765,'Mov Entradas (Rel 10497)'!$I:$I,0)),"nao encontrado")</f>
        <v>CANUDOS100 UN STRA</v>
      </c>
      <c r="AC765" s="0" t="n">
        <v>729799</v>
      </c>
    </row>
    <row r="766" customFormat="false" ht="12.75" hidden="false" customHeight="true" outlineLevel="0" collapsed="false">
      <c r="A766" s="9" t="n">
        <v>2</v>
      </c>
      <c r="B766" s="10" t="n">
        <v>46190</v>
      </c>
      <c r="C766" s="10" t="n">
        <v>46211</v>
      </c>
      <c r="D766" s="9" t="n">
        <v>1107</v>
      </c>
      <c r="E766" s="11" t="s">
        <v>254</v>
      </c>
      <c r="F766" s="9" t="n">
        <v>24</v>
      </c>
      <c r="G766" s="11" t="s">
        <v>51</v>
      </c>
      <c r="H766" s="9" t="n">
        <v>2110101</v>
      </c>
      <c r="I766" s="11" t="s">
        <v>43</v>
      </c>
      <c r="J766" s="9" t="n">
        <v>1265709</v>
      </c>
      <c r="L766" s="9" t="n">
        <v>416678</v>
      </c>
      <c r="M766" s="11" t="s">
        <v>44</v>
      </c>
      <c r="N766" s="11" t="s">
        <v>37</v>
      </c>
      <c r="P766" s="9" t="n">
        <v>113</v>
      </c>
      <c r="Q766" s="11" t="s">
        <v>46</v>
      </c>
      <c r="R766" s="11" t="s">
        <v>47</v>
      </c>
      <c r="S766" s="9" t="n">
        <v>1130101</v>
      </c>
      <c r="T766" s="11" t="s">
        <v>48</v>
      </c>
      <c r="U766" s="12" t="n">
        <v>61.58</v>
      </c>
      <c r="W766" s="12" t="n">
        <v>0</v>
      </c>
      <c r="X766" s="11" t="s">
        <v>700</v>
      </c>
      <c r="Z766" s="0" t="str">
        <f aca="false">IF($T766="","",IFERROR(INDEX('Resumo Grupos'!$AC$3:$AC$200,MATCH($T766,'Resumo Grupos'!$AB$3:$AB$200,0)),"n/d"))</f>
        <v>Mercadoria</v>
      </c>
      <c r="AA766" s="0" t="str">
        <f aca="false">IF($T766="","",IF(COUNTIF('Resumo Grupos'!$AE$3:$AE$40,$T766)&gt;0,"NAO","SIM"))</f>
        <v>SIM</v>
      </c>
      <c r="AB766" s="0" t="str">
        <f aca="false">IFERROR(INDEX('Mov Entradas (Rel 10497)'!$L:$L,MATCH(AC766,'Mov Entradas (Rel 10497)'!$I:$I,0)),"nao encontrado")</f>
        <v>MENTOS TUTTI FRUTTI</v>
      </c>
      <c r="AC766" s="0" t="n">
        <v>416678</v>
      </c>
    </row>
    <row r="767" customFormat="false" ht="12.75" hidden="false" customHeight="true" outlineLevel="0" collapsed="false">
      <c r="A767" s="9" t="n">
        <v>2</v>
      </c>
      <c r="B767" s="10" t="n">
        <v>46198</v>
      </c>
      <c r="C767" s="10" t="n">
        <v>46211</v>
      </c>
      <c r="D767" s="9" t="n">
        <v>1749</v>
      </c>
      <c r="E767" s="11" t="s">
        <v>585</v>
      </c>
      <c r="F767" s="9" t="n">
        <v>24</v>
      </c>
      <c r="G767" s="11" t="s">
        <v>51</v>
      </c>
      <c r="H767" s="9" t="n">
        <v>2110101</v>
      </c>
      <c r="I767" s="11" t="s">
        <v>43</v>
      </c>
      <c r="J767" s="9" t="n">
        <v>1304877</v>
      </c>
      <c r="L767" s="9" t="n">
        <v>1996</v>
      </c>
      <c r="M767" s="11" t="s">
        <v>52</v>
      </c>
      <c r="N767" s="11" t="s">
        <v>37</v>
      </c>
      <c r="P767" s="9" t="n">
        <v>113</v>
      </c>
      <c r="Q767" s="11" t="s">
        <v>46</v>
      </c>
      <c r="R767" s="11" t="s">
        <v>47</v>
      </c>
      <c r="S767" s="9" t="n">
        <v>1130101</v>
      </c>
      <c r="T767" s="11" t="s">
        <v>48</v>
      </c>
      <c r="U767" s="12" t="n">
        <v>1159.5</v>
      </c>
      <c r="W767" s="12" t="n">
        <v>0</v>
      </c>
      <c r="X767" s="11" t="s">
        <v>817</v>
      </c>
      <c r="Z767" s="0" t="str">
        <f aca="false">IF($T767="","",IFERROR(INDEX('Resumo Grupos'!$AC$3:$AC$200,MATCH($T767,'Resumo Grupos'!$AB$3:$AB$200,0)),"n/d"))</f>
        <v>Mercadoria</v>
      </c>
      <c r="AA767" s="0" t="str">
        <f aca="false">IF($T767="","",IF(COUNTIF('Resumo Grupos'!$AE$3:$AE$40,$T767)&gt;0,"NAO","SIM"))</f>
        <v>SIM</v>
      </c>
      <c r="AB767" s="0" t="str">
        <f aca="false">IFERROR(INDEX('Mov Entradas (Rel 10497)'!$L:$L,MATCH(AC767,'Mov Entradas (Rel 10497)'!$I:$I,0)),"nao encontrado")</f>
        <v>ARROZ BRANCO FACCIO 1KG</v>
      </c>
      <c r="AC767" s="0" t="n">
        <v>1996</v>
      </c>
    </row>
    <row r="768" customFormat="false" ht="12.75" hidden="false" customHeight="true" outlineLevel="0" collapsed="false">
      <c r="A768" s="9" t="n">
        <v>2</v>
      </c>
      <c r="B768" s="10" t="n">
        <v>46207</v>
      </c>
      <c r="C768" s="10" t="n">
        <v>46211</v>
      </c>
      <c r="D768" s="9" t="n">
        <v>1899</v>
      </c>
      <c r="E768" s="11" t="s">
        <v>204</v>
      </c>
      <c r="F768" s="9" t="n">
        <v>24</v>
      </c>
      <c r="G768" s="11" t="s">
        <v>51</v>
      </c>
      <c r="H768" s="9" t="n">
        <v>2110101</v>
      </c>
      <c r="I768" s="11" t="s">
        <v>43</v>
      </c>
      <c r="J768" s="9" t="n">
        <v>1348260</v>
      </c>
      <c r="L768" s="9" t="n">
        <v>698</v>
      </c>
      <c r="M768" s="11" t="s">
        <v>52</v>
      </c>
      <c r="N768" s="11" t="s">
        <v>37</v>
      </c>
      <c r="P768" s="9" t="n">
        <v>113</v>
      </c>
      <c r="Q768" s="11" t="s">
        <v>46</v>
      </c>
      <c r="R768" s="11" t="s">
        <v>47</v>
      </c>
      <c r="S768" s="9" t="n">
        <v>1130101</v>
      </c>
      <c r="T768" s="11" t="s">
        <v>48</v>
      </c>
      <c r="U768" s="12" t="n">
        <v>379.6</v>
      </c>
      <c r="W768" s="12" t="n">
        <v>0</v>
      </c>
      <c r="X768" s="11" t="s">
        <v>818</v>
      </c>
      <c r="Z768" s="0" t="str">
        <f aca="false">IF($T768="","",IFERROR(INDEX('Resumo Grupos'!$AC$3:$AC$200,MATCH($T768,'Resumo Grupos'!$AB$3:$AB$200,0)),"n/d"))</f>
        <v>Mercadoria</v>
      </c>
      <c r="AA768" s="0" t="str">
        <f aca="false">IF($T768="","",IF(COUNTIF('Resumo Grupos'!$AE$3:$AE$40,$T768)&gt;0,"NAO","SIM"))</f>
        <v>SIM</v>
      </c>
      <c r="AB768" s="0" t="str">
        <f aca="false">IFERROR(INDEX('Mov Entradas (Rel 10497)'!$L:$L,MATCH(AC768,'Mov Entradas (Rel 10497)'!$I:$I,0)),"nao encontrado")</f>
        <v>PAO DE FORMA REAL MA</v>
      </c>
      <c r="AC768" s="0" t="n">
        <v>698</v>
      </c>
    </row>
    <row r="769" customFormat="false" ht="12.75" hidden="false" customHeight="true" outlineLevel="0" collapsed="false">
      <c r="A769" s="9" t="n">
        <v>2</v>
      </c>
      <c r="B769" s="10" t="n">
        <v>46211</v>
      </c>
      <c r="C769" s="10" t="n">
        <v>46211</v>
      </c>
      <c r="D769" s="9" t="n">
        <v>218</v>
      </c>
      <c r="E769" s="11" t="s">
        <v>819</v>
      </c>
      <c r="F769" s="9" t="n">
        <v>34</v>
      </c>
      <c r="G769" s="11" t="s">
        <v>55</v>
      </c>
      <c r="H769" s="9" t="n">
        <v>2110405</v>
      </c>
      <c r="I769" s="11" t="s">
        <v>56</v>
      </c>
      <c r="J769" s="9" t="n">
        <v>1369192</v>
      </c>
      <c r="L769" s="9" t="n">
        <v>184047</v>
      </c>
      <c r="M769" s="11" t="s">
        <v>52</v>
      </c>
      <c r="N769" s="11" t="s">
        <v>45</v>
      </c>
      <c r="P769" s="9" t="n">
        <v>101</v>
      </c>
      <c r="Q769" s="11" t="s">
        <v>57</v>
      </c>
      <c r="R769" s="11" t="s">
        <v>39</v>
      </c>
      <c r="S769" s="9" t="n">
        <v>4210227</v>
      </c>
      <c r="T769" s="11" t="s">
        <v>68</v>
      </c>
      <c r="U769" s="12" t="n">
        <v>96.97</v>
      </c>
      <c r="W769" s="12" t="n">
        <v>0</v>
      </c>
      <c r="X769" s="11" t="s">
        <v>820</v>
      </c>
      <c r="Z769" s="0" t="str">
        <f aca="false">IF($T769="","",IFERROR(INDEX('Resumo Grupos'!$AC$3:$AC$200,MATCH($T769,'Resumo Grupos'!$AB$3:$AB$200,0)),"n/d"))</f>
        <v>Despesa</v>
      </c>
      <c r="AA769" s="0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9" t="n">
        <v>2</v>
      </c>
      <c r="B770" s="10" t="n">
        <v>46211</v>
      </c>
      <c r="C770" s="10" t="n">
        <v>46211</v>
      </c>
      <c r="D770" s="9" t="n">
        <v>0</v>
      </c>
      <c r="E770" s="11" t="s">
        <v>109</v>
      </c>
      <c r="F770" s="9" t="n">
        <v>17</v>
      </c>
      <c r="G770" s="11" t="s">
        <v>110</v>
      </c>
      <c r="H770" s="9" t="n">
        <v>1110101</v>
      </c>
      <c r="I770" s="11" t="s">
        <v>111</v>
      </c>
      <c r="J770" s="9" t="n">
        <v>1424770</v>
      </c>
      <c r="L770" s="9" t="n">
        <v>1424770</v>
      </c>
      <c r="M770" s="11" t="s">
        <v>52</v>
      </c>
      <c r="N770" s="11" t="s">
        <v>112</v>
      </c>
      <c r="P770" s="9" t="n">
        <v>113</v>
      </c>
      <c r="Q770" s="11" t="s">
        <v>46</v>
      </c>
      <c r="R770" s="11" t="s">
        <v>259</v>
      </c>
      <c r="S770" s="9" t="n">
        <v>2110101</v>
      </c>
      <c r="T770" s="11" t="s">
        <v>43</v>
      </c>
      <c r="U770" s="12" t="n">
        <v>164.5</v>
      </c>
      <c r="W770" s="12" t="n">
        <v>164.5</v>
      </c>
      <c r="X770" s="11" t="s">
        <v>821</v>
      </c>
      <c r="Z770" s="0" t="str">
        <f aca="false">IF($T770="","",IFERROR(INDEX('Resumo Grupos'!$AC$3:$AC$200,MATCH($T770,'Resumo Grupos'!$AB$3:$AB$200,0)),"n/d"))</f>
        <v>Despesa</v>
      </c>
      <c r="AA770" s="0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9" t="n">
        <v>2</v>
      </c>
      <c r="B771" s="10" t="n">
        <v>46211</v>
      </c>
      <c r="C771" s="10" t="n">
        <v>46211</v>
      </c>
      <c r="D771" s="9" t="n">
        <v>0</v>
      </c>
      <c r="E771" s="11" t="s">
        <v>109</v>
      </c>
      <c r="F771" s="9" t="n">
        <v>17</v>
      </c>
      <c r="G771" s="11" t="s">
        <v>110</v>
      </c>
      <c r="H771" s="9" t="n">
        <v>1110101</v>
      </c>
      <c r="I771" s="11" t="s">
        <v>111</v>
      </c>
      <c r="J771" s="9" t="n">
        <v>1424772</v>
      </c>
      <c r="L771" s="9" t="n">
        <v>1424772</v>
      </c>
      <c r="M771" s="11" t="s">
        <v>52</v>
      </c>
      <c r="N771" s="11" t="s">
        <v>112</v>
      </c>
      <c r="P771" s="9" t="n">
        <v>113</v>
      </c>
      <c r="Q771" s="11" t="s">
        <v>46</v>
      </c>
      <c r="R771" s="11" t="s">
        <v>47</v>
      </c>
      <c r="S771" s="9" t="n">
        <v>1130101</v>
      </c>
      <c r="T771" s="11" t="s">
        <v>48</v>
      </c>
      <c r="U771" s="12" t="n">
        <v>72</v>
      </c>
      <c r="W771" s="12" t="n">
        <v>72</v>
      </c>
      <c r="X771" s="11" t="s">
        <v>822</v>
      </c>
      <c r="Z771" s="0" t="str">
        <f aca="false">IF($T771="","",IFERROR(INDEX('Resumo Grupos'!$AC$3:$AC$200,MATCH($T771,'Resumo Grupos'!$AB$3:$AB$200,0)),"n/d"))</f>
        <v>Mercadoria</v>
      </c>
      <c r="AA771" s="0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9" t="n">
        <v>2</v>
      </c>
      <c r="B772" s="10" t="n">
        <v>46211</v>
      </c>
      <c r="C772" s="10" t="n">
        <v>46211</v>
      </c>
      <c r="D772" s="9" t="n">
        <v>0</v>
      </c>
      <c r="E772" s="11" t="s">
        <v>109</v>
      </c>
      <c r="F772" s="9" t="n">
        <v>17</v>
      </c>
      <c r="G772" s="11" t="s">
        <v>110</v>
      </c>
      <c r="H772" s="9" t="n">
        <v>1110101</v>
      </c>
      <c r="I772" s="11" t="s">
        <v>111</v>
      </c>
      <c r="J772" s="9" t="n">
        <v>1469078</v>
      </c>
      <c r="L772" s="9" t="n">
        <v>1469078</v>
      </c>
      <c r="M772" s="11" t="s">
        <v>52</v>
      </c>
      <c r="N772" s="11" t="s">
        <v>112</v>
      </c>
      <c r="P772" s="9" t="n">
        <v>113</v>
      </c>
      <c r="Q772" s="11" t="s">
        <v>46</v>
      </c>
      <c r="R772" s="11" t="s">
        <v>116</v>
      </c>
      <c r="S772" s="9" t="n">
        <v>1110203</v>
      </c>
      <c r="T772" s="11" t="s">
        <v>117</v>
      </c>
      <c r="U772" s="12" t="n">
        <v>1850</v>
      </c>
      <c r="W772" s="12" t="n">
        <v>1850</v>
      </c>
      <c r="X772" s="11" t="s">
        <v>823</v>
      </c>
      <c r="Z772" s="0" t="str">
        <f aca="false">IF($T772="","",IFERROR(INDEX('Resumo Grupos'!$AC$3:$AC$200,MATCH($T772,'Resumo Grupos'!$AB$3:$AB$200,0)),"n/d"))</f>
        <v>Despesa</v>
      </c>
      <c r="AA772" s="0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9" t="n">
        <v>2</v>
      </c>
      <c r="B773" s="10" t="n">
        <v>46190</v>
      </c>
      <c r="C773" s="10" t="n">
        <v>46211</v>
      </c>
      <c r="D773" s="9" t="n">
        <v>1745</v>
      </c>
      <c r="E773" s="11" t="s">
        <v>189</v>
      </c>
      <c r="F773" s="9" t="n">
        <v>24</v>
      </c>
      <c r="G773" s="11" t="s">
        <v>51</v>
      </c>
      <c r="H773" s="9" t="n">
        <v>2110101</v>
      </c>
      <c r="I773" s="11" t="s">
        <v>43</v>
      </c>
      <c r="J773" s="9" t="n">
        <v>1266289</v>
      </c>
      <c r="L773" s="9" t="n">
        <v>346452</v>
      </c>
      <c r="M773" s="11" t="s">
        <v>67</v>
      </c>
      <c r="N773" s="11" t="s">
        <v>37</v>
      </c>
      <c r="P773" s="9" t="n">
        <v>113</v>
      </c>
      <c r="Q773" s="11" t="s">
        <v>46</v>
      </c>
      <c r="R773" s="11" t="s">
        <v>47</v>
      </c>
      <c r="S773" s="9" t="n">
        <v>1130101</v>
      </c>
      <c r="T773" s="11" t="s">
        <v>48</v>
      </c>
      <c r="U773" s="12" t="n">
        <v>877.29</v>
      </c>
      <c r="W773" s="12" t="n">
        <v>0</v>
      </c>
      <c r="X773" s="11" t="s">
        <v>568</v>
      </c>
      <c r="Z773" s="0" t="str">
        <f aca="false">IF($T773="","",IFERROR(INDEX('Resumo Grupos'!$AC$3:$AC$200,MATCH($T773,'Resumo Grupos'!$AB$3:$AB$200,0)),"n/d"))</f>
        <v>Mercadoria</v>
      </c>
      <c r="AA773" s="0" t="str">
        <f aca="false">IF($T773="","",IF(COUNTIF('Resumo Grupos'!$AE$3:$AE$40,$T773)&gt;0,"NAO","SIM"))</f>
        <v>SIM</v>
      </c>
      <c r="AB773" s="0" t="str">
        <f aca="false">IFERROR(INDEX('Mov Entradas (Rel 10497)'!$L:$L,MATCH(AC773,'Mov Entradas (Rel 10497)'!$I:$I,0)),"nao encontrado")</f>
        <v>CAFE MANAUS 100G</v>
      </c>
      <c r="AC773" s="0" t="n">
        <v>346452</v>
      </c>
    </row>
    <row r="774" customFormat="false" ht="12.75" hidden="false" customHeight="true" outlineLevel="0" collapsed="false">
      <c r="A774" s="9" t="n">
        <v>2</v>
      </c>
      <c r="B774" s="10" t="n">
        <v>46211</v>
      </c>
      <c r="C774" s="10" t="n">
        <v>46212</v>
      </c>
      <c r="D774" s="9" t="n">
        <v>642</v>
      </c>
      <c r="E774" s="11" t="s">
        <v>123</v>
      </c>
      <c r="F774" s="9" t="n">
        <v>24</v>
      </c>
      <c r="G774" s="11" t="s">
        <v>51</v>
      </c>
      <c r="H774" s="9" t="n">
        <v>2110101</v>
      </c>
      <c r="I774" s="11" t="s">
        <v>43</v>
      </c>
      <c r="J774" s="9" t="n">
        <v>1370587</v>
      </c>
      <c r="L774" s="9" t="n">
        <v>524</v>
      </c>
      <c r="M774" s="11" t="s">
        <v>52</v>
      </c>
      <c r="N774" s="11" t="s">
        <v>37</v>
      </c>
      <c r="P774" s="9" t="n">
        <v>113</v>
      </c>
      <c r="Q774" s="11" t="s">
        <v>46</v>
      </c>
      <c r="R774" s="11" t="s">
        <v>47</v>
      </c>
      <c r="S774" s="9" t="n">
        <v>1130101</v>
      </c>
      <c r="T774" s="11" t="s">
        <v>48</v>
      </c>
      <c r="U774" s="12" t="n">
        <v>240</v>
      </c>
      <c r="W774" s="12" t="n">
        <v>0</v>
      </c>
      <c r="X774" s="11" t="s">
        <v>824</v>
      </c>
      <c r="Z774" s="0" t="str">
        <f aca="false">IF($T774="","",IFERROR(INDEX('Resumo Grupos'!$AC$3:$AC$200,MATCH($T774,'Resumo Grupos'!$AB$3:$AB$200,0)),"n/d"))</f>
        <v>Mercadoria</v>
      </c>
      <c r="AA774" s="0" t="str">
        <f aca="false">IF($T774="","",IF(COUNTIF('Resumo Grupos'!$AE$3:$AE$40,$T774)&gt;0,"NAO","SIM"))</f>
        <v>SIM</v>
      </c>
      <c r="AB774" s="0" t="str">
        <f aca="false">IFERROR(INDEX('Mov Entradas (Rel 10497)'!$L:$L,MATCH(AC774,'Mov Entradas (Rel 10497)'!$I:$I,0)),"nao encontrado")</f>
        <v>BOLO BLOOM 600G</v>
      </c>
      <c r="AC774" s="0" t="n">
        <v>524</v>
      </c>
    </row>
    <row r="775" customFormat="false" ht="12.75" hidden="false" customHeight="true" outlineLevel="0" collapsed="false">
      <c r="A775" s="9" t="n">
        <v>2</v>
      </c>
      <c r="B775" s="10" t="n">
        <v>46200</v>
      </c>
      <c r="C775" s="10" t="n">
        <v>46212</v>
      </c>
      <c r="D775" s="9" t="n">
        <v>1664</v>
      </c>
      <c r="E775" s="11" t="s">
        <v>825</v>
      </c>
      <c r="F775" s="9" t="n">
        <v>24</v>
      </c>
      <c r="G775" s="11" t="s">
        <v>51</v>
      </c>
      <c r="H775" s="9" t="n">
        <v>2110101</v>
      </c>
      <c r="I775" s="11" t="s">
        <v>43</v>
      </c>
      <c r="J775" s="9" t="n">
        <v>1312612</v>
      </c>
      <c r="L775" s="9" t="n">
        <v>77922</v>
      </c>
      <c r="M775" s="11" t="s">
        <v>52</v>
      </c>
      <c r="N775" s="11" t="s">
        <v>37</v>
      </c>
      <c r="P775" s="9" t="n">
        <v>113</v>
      </c>
      <c r="Q775" s="11" t="s">
        <v>46</v>
      </c>
      <c r="R775" s="11" t="s">
        <v>47</v>
      </c>
      <c r="S775" s="9" t="n">
        <v>1130101</v>
      </c>
      <c r="T775" s="11" t="s">
        <v>48</v>
      </c>
      <c r="U775" s="12" t="n">
        <v>155.16</v>
      </c>
      <c r="W775" s="12" t="n">
        <v>0</v>
      </c>
      <c r="X775" s="11" t="s">
        <v>826</v>
      </c>
      <c r="Z775" s="0" t="str">
        <f aca="false">IF($T775="","",IFERROR(INDEX('Resumo Grupos'!$AC$3:$AC$200,MATCH($T775,'Resumo Grupos'!$AB$3:$AB$200,0)),"n/d"))</f>
        <v>Mercadoria</v>
      </c>
      <c r="AA775" s="0" t="str">
        <f aca="false">IF($T775="","",IF(COUNTIF('Resumo Grupos'!$AE$3:$AE$40,$T775)&gt;0,"NAO","SIM"))</f>
        <v>SIM</v>
      </c>
      <c r="AB775" s="0" t="str">
        <f aca="false">IFERROR(INDEX('Mov Entradas (Rel 10497)'!$L:$L,MATCH(AC775,'Mov Entradas (Rel 10497)'!$I:$I,0)),"nao encontrado")</f>
        <v>ENERGETICO BALY MORA</v>
      </c>
      <c r="AC775" s="0" t="n">
        <v>77922</v>
      </c>
    </row>
    <row r="776" customFormat="false" ht="12.75" hidden="false" customHeight="true" outlineLevel="0" collapsed="false">
      <c r="A776" s="9" t="n">
        <v>2</v>
      </c>
      <c r="B776" s="10" t="n">
        <v>46206</v>
      </c>
      <c r="C776" s="10" t="n">
        <v>46212</v>
      </c>
      <c r="D776" s="9" t="n">
        <v>1695</v>
      </c>
      <c r="E776" s="11" t="s">
        <v>390</v>
      </c>
      <c r="F776" s="9" t="n">
        <v>24</v>
      </c>
      <c r="G776" s="11" t="s">
        <v>51</v>
      </c>
      <c r="H776" s="9" t="n">
        <v>2110101</v>
      </c>
      <c r="I776" s="11" t="s">
        <v>43</v>
      </c>
      <c r="J776" s="9" t="n">
        <v>1345083</v>
      </c>
      <c r="L776" s="9" t="n">
        <v>18998</v>
      </c>
      <c r="M776" s="11" t="s">
        <v>52</v>
      </c>
      <c r="N776" s="11" t="s">
        <v>37</v>
      </c>
      <c r="P776" s="9" t="n">
        <v>113</v>
      </c>
      <c r="Q776" s="11" t="s">
        <v>46</v>
      </c>
      <c r="R776" s="11" t="s">
        <v>47</v>
      </c>
      <c r="S776" s="9" t="n">
        <v>1130101</v>
      </c>
      <c r="T776" s="11" t="s">
        <v>48</v>
      </c>
      <c r="U776" s="12" t="n">
        <v>1073.2</v>
      </c>
      <c r="W776" s="12" t="n">
        <v>0</v>
      </c>
      <c r="X776" s="11" t="s">
        <v>827</v>
      </c>
      <c r="Z776" s="0" t="str">
        <f aca="false">IF($T776="","",IFERROR(INDEX('Resumo Grupos'!$AC$3:$AC$200,MATCH($T776,'Resumo Grupos'!$AB$3:$AB$200,0)),"n/d"))</f>
        <v>Mercadoria</v>
      </c>
      <c r="AA776" s="0" t="str">
        <f aca="false">IF($T776="","",IF(COUNTIF('Resumo Grupos'!$AE$3:$AE$40,$T776)&gt;0,"NAO","SIM"))</f>
        <v>SIM</v>
      </c>
      <c r="AB776" s="0" t="str">
        <f aca="false">IFERROR(INDEX('Mov Entradas (Rel 10497)'!$L:$L,MATCH(AC776,'Mov Entradas (Rel 10497)'!$I:$I,0)),"nao encontrado")</f>
        <v>CAFE STA CLARA TRAD</v>
      </c>
      <c r="AC776" s="0" t="n">
        <v>18998</v>
      </c>
    </row>
    <row r="777" customFormat="false" ht="12.75" hidden="false" customHeight="true" outlineLevel="0" collapsed="false">
      <c r="A777" s="9" t="n">
        <v>2</v>
      </c>
      <c r="B777" s="10" t="n">
        <v>46198</v>
      </c>
      <c r="C777" s="10" t="n">
        <v>46212</v>
      </c>
      <c r="D777" s="9" t="n">
        <v>1705</v>
      </c>
      <c r="E777" s="11" t="s">
        <v>130</v>
      </c>
      <c r="F777" s="9" t="n">
        <v>24</v>
      </c>
      <c r="G777" s="11" t="s">
        <v>51</v>
      </c>
      <c r="H777" s="9" t="n">
        <v>2110101</v>
      </c>
      <c r="I777" s="11" t="s">
        <v>43</v>
      </c>
      <c r="J777" s="9" t="n">
        <v>1304701</v>
      </c>
      <c r="L777" s="9" t="n">
        <v>1899276</v>
      </c>
      <c r="M777" s="11" t="s">
        <v>52</v>
      </c>
      <c r="N777" s="11" t="s">
        <v>37</v>
      </c>
      <c r="P777" s="9" t="n">
        <v>113</v>
      </c>
      <c r="Q777" s="11" t="s">
        <v>46</v>
      </c>
      <c r="R777" s="11" t="s">
        <v>47</v>
      </c>
      <c r="S777" s="9" t="n">
        <v>1130101</v>
      </c>
      <c r="T777" s="11" t="s">
        <v>48</v>
      </c>
      <c r="U777" s="12" t="n">
        <v>1547.44</v>
      </c>
      <c r="W777" s="12" t="n">
        <v>0</v>
      </c>
      <c r="X777" s="11" t="s">
        <v>828</v>
      </c>
      <c r="Z777" s="0" t="str">
        <f aca="false">IF($T777="","",IFERROR(INDEX('Resumo Grupos'!$AC$3:$AC$200,MATCH($T777,'Resumo Grupos'!$AB$3:$AB$200,0)),"n/d"))</f>
        <v>Mercadoria</v>
      </c>
      <c r="AA777" s="0" t="str">
        <f aca="false">IF($T777="","",IF(COUNTIF('Resumo Grupos'!$AE$3:$AE$40,$T777)&gt;0,"NAO","SIM"))</f>
        <v>SIM</v>
      </c>
      <c r="AB777" s="0" t="str">
        <f aca="false">IFERROR(INDEX('Mov Entradas (Rel 10497)'!$L:$L,MATCH(AC777,'Mov Entradas (Rel 10497)'!$I:$I,0)),"nao encontrado")</f>
        <v>FANTA LAR 1,5L</v>
      </c>
      <c r="AC777" s="0" t="n">
        <v>1899276</v>
      </c>
    </row>
    <row r="778" customFormat="false" ht="12.75" hidden="false" customHeight="true" outlineLevel="0" collapsed="false">
      <c r="A778" s="9" t="n">
        <v>2</v>
      </c>
      <c r="B778" s="10" t="n">
        <v>46198</v>
      </c>
      <c r="C778" s="10" t="n">
        <v>46212</v>
      </c>
      <c r="D778" s="9" t="n">
        <v>1705</v>
      </c>
      <c r="E778" s="11" t="s">
        <v>130</v>
      </c>
      <c r="F778" s="9" t="n">
        <v>24</v>
      </c>
      <c r="G778" s="11" t="s">
        <v>51</v>
      </c>
      <c r="H778" s="9" t="n">
        <v>2110101</v>
      </c>
      <c r="I778" s="11" t="s">
        <v>43</v>
      </c>
      <c r="J778" s="9" t="n">
        <v>1304730</v>
      </c>
      <c r="L778" s="9" t="n">
        <v>174800</v>
      </c>
      <c r="M778" s="11" t="s">
        <v>52</v>
      </c>
      <c r="N778" s="11" t="s">
        <v>45</v>
      </c>
      <c r="P778" s="9" t="n">
        <v>113</v>
      </c>
      <c r="Q778" s="11" t="s">
        <v>46</v>
      </c>
      <c r="R778" s="11" t="s">
        <v>47</v>
      </c>
      <c r="S778" s="9" t="n">
        <v>1130101</v>
      </c>
      <c r="T778" s="11" t="s">
        <v>48</v>
      </c>
      <c r="U778" s="12" t="n">
        <v>124.47</v>
      </c>
      <c r="W778" s="12" t="n">
        <v>0</v>
      </c>
      <c r="X778" s="11" t="s">
        <v>829</v>
      </c>
      <c r="Z778" s="0" t="str">
        <f aca="false">IF($T778="","",IFERROR(INDEX('Resumo Grupos'!$AC$3:$AC$200,MATCH($T778,'Resumo Grupos'!$AB$3:$AB$200,0)),"n/d"))</f>
        <v>Mercadoria</v>
      </c>
      <c r="AA778" s="0" t="str">
        <f aca="false">IF($T778="","",IF(COUNTIF('Resumo Grupos'!$AE$3:$AE$40,$T778)&gt;0,"NAO","SIM"))</f>
        <v>SIM</v>
      </c>
      <c r="AB778" s="0" t="str">
        <f aca="false">IFERROR(INDEX('Mov Entradas (Rel 10497)'!$L:$L,MATCH(AC778,'Mov Entradas (Rel 10497)'!$I:$I,0)),"nao encontrado")</f>
        <v>KAPO UVA 200ML</v>
      </c>
      <c r="AC778" s="0" t="n">
        <v>1175404</v>
      </c>
    </row>
    <row r="779" customFormat="false" ht="12.75" hidden="false" customHeight="true" outlineLevel="0" collapsed="false">
      <c r="A779" s="9" t="n">
        <v>2</v>
      </c>
      <c r="B779" s="10" t="n">
        <v>46184</v>
      </c>
      <c r="C779" s="10" t="n">
        <v>46212</v>
      </c>
      <c r="D779" s="9" t="n">
        <v>1608</v>
      </c>
      <c r="E779" s="11" t="s">
        <v>240</v>
      </c>
      <c r="F779" s="9" t="n">
        <v>24</v>
      </c>
      <c r="G779" s="11" t="s">
        <v>51</v>
      </c>
      <c r="H779" s="9" t="n">
        <v>2110101</v>
      </c>
      <c r="I779" s="11" t="s">
        <v>43</v>
      </c>
      <c r="J779" s="9" t="n">
        <v>1234920</v>
      </c>
      <c r="L779" s="9" t="n">
        <v>1671078</v>
      </c>
      <c r="M779" s="11" t="s">
        <v>52</v>
      </c>
      <c r="N779" s="11" t="s">
        <v>37</v>
      </c>
      <c r="P779" s="9" t="n">
        <v>113</v>
      </c>
      <c r="Q779" s="11" t="s">
        <v>46</v>
      </c>
      <c r="R779" s="11" t="s">
        <v>47</v>
      </c>
      <c r="S779" s="9" t="n">
        <v>1130101</v>
      </c>
      <c r="T779" s="11" t="s">
        <v>48</v>
      </c>
      <c r="U779" s="12" t="n">
        <v>478.8</v>
      </c>
      <c r="W779" s="12" t="n">
        <v>0</v>
      </c>
      <c r="X779" s="11" t="s">
        <v>830</v>
      </c>
      <c r="Z779" s="0" t="str">
        <f aca="false">IF($T779="","",IFERROR(INDEX('Resumo Grupos'!$AC$3:$AC$200,MATCH($T779,'Resumo Grupos'!$AB$3:$AB$200,0)),"n/d"))</f>
        <v>Mercadoria</v>
      </c>
      <c r="AA779" s="0" t="str">
        <f aca="false">IF($T779="","",IF(COUNTIF('Resumo Grupos'!$AE$3:$AE$40,$T779)&gt;0,"NAO","SIM"))</f>
        <v>SIM</v>
      </c>
      <c r="AB779" s="0" t="str">
        <f aca="false">IFERROR(INDEX('Mov Entradas (Rel 10497)'!$L:$L,MATCH(AC779,'Mov Entradas (Rel 10497)'!$I:$I,0)),"nao encontrado")</f>
        <v>CHEETOS ONDA REQUEIJAO 105G</v>
      </c>
      <c r="AC779" s="0" t="n">
        <v>1671078</v>
      </c>
    </row>
    <row r="780" customFormat="false" ht="12.75" hidden="false" customHeight="true" outlineLevel="0" collapsed="false">
      <c r="A780" s="9" t="n">
        <v>2</v>
      </c>
      <c r="B780" s="10" t="n">
        <v>46184</v>
      </c>
      <c r="C780" s="10" t="n">
        <v>46212</v>
      </c>
      <c r="D780" s="9" t="n">
        <v>1636</v>
      </c>
      <c r="E780" s="11" t="s">
        <v>61</v>
      </c>
      <c r="F780" s="9" t="n">
        <v>24</v>
      </c>
      <c r="G780" s="11" t="s">
        <v>51</v>
      </c>
      <c r="H780" s="9" t="n">
        <v>2110101</v>
      </c>
      <c r="I780" s="11" t="s">
        <v>43</v>
      </c>
      <c r="J780" s="9" t="n">
        <v>1236940</v>
      </c>
      <c r="L780" s="9" t="n">
        <v>164816</v>
      </c>
      <c r="M780" s="11" t="s">
        <v>52</v>
      </c>
      <c r="N780" s="11" t="s">
        <v>45</v>
      </c>
      <c r="P780" s="9" t="n">
        <v>113</v>
      </c>
      <c r="Q780" s="11" t="s">
        <v>46</v>
      </c>
      <c r="R780" s="11" t="s">
        <v>47</v>
      </c>
      <c r="S780" s="9" t="n">
        <v>1130101</v>
      </c>
      <c r="T780" s="11" t="s">
        <v>48</v>
      </c>
      <c r="U780" s="12" t="n">
        <v>1105.95</v>
      </c>
      <c r="W780" s="12" t="n">
        <v>0</v>
      </c>
      <c r="X780" s="11" t="s">
        <v>574</v>
      </c>
      <c r="Z780" s="0" t="str">
        <f aca="false">IF($T780="","",IFERROR(INDEX('Resumo Grupos'!$AC$3:$AC$200,MATCH($T780,'Resumo Grupos'!$AB$3:$AB$200,0)),"n/d"))</f>
        <v>Mercadoria</v>
      </c>
      <c r="AA780" s="0" t="str">
        <f aca="false">IF($T780="","",IF(COUNTIF('Resumo Grupos'!$AE$3:$AE$40,$T780)&gt;0,"NAO","SIM"))</f>
        <v>SIM</v>
      </c>
      <c r="AB780" s="0" t="str">
        <f aca="false">IFERROR(INDEX('Mov Entradas (Rel 10497)'!$L:$L,MATCH(AC780,'Mov Entradas (Rel 10497)'!$I:$I,0)),"nao encontrado")</f>
        <v>ADOC ADOCYL SACARINA 100ML</v>
      </c>
      <c r="AC780" s="0" t="n">
        <v>3201284</v>
      </c>
    </row>
    <row r="781" customFormat="false" ht="12.75" hidden="false" customHeight="true" outlineLevel="0" collapsed="false">
      <c r="A781" s="9" t="n">
        <v>2</v>
      </c>
      <c r="B781" s="10" t="n">
        <v>46185</v>
      </c>
      <c r="C781" s="10" t="n">
        <v>46212</v>
      </c>
      <c r="D781" s="9" t="n">
        <v>1616</v>
      </c>
      <c r="E781" s="11" t="s">
        <v>64</v>
      </c>
      <c r="F781" s="9" t="n">
        <v>24</v>
      </c>
      <c r="G781" s="11" t="s">
        <v>51</v>
      </c>
      <c r="H781" s="9" t="n">
        <v>2110101</v>
      </c>
      <c r="I781" s="11" t="s">
        <v>43</v>
      </c>
      <c r="J781" s="9" t="n">
        <v>1241897</v>
      </c>
      <c r="L781" s="9" t="n">
        <v>645628</v>
      </c>
      <c r="M781" s="11" t="s">
        <v>67</v>
      </c>
      <c r="N781" s="11" t="s">
        <v>37</v>
      </c>
      <c r="P781" s="9" t="n">
        <v>113</v>
      </c>
      <c r="Q781" s="11" t="s">
        <v>46</v>
      </c>
      <c r="R781" s="11" t="s">
        <v>47</v>
      </c>
      <c r="S781" s="9" t="n">
        <v>1130101</v>
      </c>
      <c r="T781" s="11" t="s">
        <v>48</v>
      </c>
      <c r="U781" s="12" t="n">
        <v>383.47</v>
      </c>
      <c r="W781" s="12" t="n">
        <v>0</v>
      </c>
      <c r="X781" s="11" t="s">
        <v>575</v>
      </c>
      <c r="Z781" s="0" t="str">
        <f aca="false">IF($T781="","",IFERROR(INDEX('Resumo Grupos'!$AC$3:$AC$200,MATCH($T781,'Resumo Grupos'!$AB$3:$AB$200,0)),"n/d"))</f>
        <v>Mercadoria</v>
      </c>
      <c r="AA781" s="0" t="str">
        <f aca="false">IF($T781="","",IF(COUNTIF('Resumo Grupos'!$AE$3:$AE$40,$T781)&gt;0,"NAO","SIM"))</f>
        <v>SIM</v>
      </c>
      <c r="AB781" s="0" t="str">
        <f aca="false">IFERROR(INDEX('Mov Entradas (Rel 10497)'!$L:$L,MATCH(AC781,'Mov Entradas (Rel 10497)'!$I:$I,0)),"nao encontrado")</f>
        <v>ESPONJA BRILHUS 1UNI</v>
      </c>
      <c r="AC781" s="0" t="n">
        <v>645628</v>
      </c>
    </row>
    <row r="782" customFormat="false" ht="12.75" hidden="false" customHeight="true" outlineLevel="0" collapsed="false">
      <c r="A782" s="9" t="n">
        <v>2</v>
      </c>
      <c r="B782" s="10" t="n">
        <v>46191</v>
      </c>
      <c r="C782" s="10" t="n">
        <v>46212</v>
      </c>
      <c r="D782" s="9" t="n">
        <v>1634</v>
      </c>
      <c r="E782" s="11" t="s">
        <v>285</v>
      </c>
      <c r="F782" s="9" t="n">
        <v>24</v>
      </c>
      <c r="G782" s="11" t="s">
        <v>51</v>
      </c>
      <c r="H782" s="9" t="n">
        <v>2110101</v>
      </c>
      <c r="I782" s="11" t="s">
        <v>43</v>
      </c>
      <c r="J782" s="9" t="n">
        <v>1268848</v>
      </c>
      <c r="L782" s="9" t="n">
        <v>326863</v>
      </c>
      <c r="M782" s="11" t="s">
        <v>44</v>
      </c>
      <c r="N782" s="11" t="s">
        <v>37</v>
      </c>
      <c r="P782" s="9" t="n">
        <v>113</v>
      </c>
      <c r="Q782" s="11" t="s">
        <v>46</v>
      </c>
      <c r="R782" s="11" t="s">
        <v>47</v>
      </c>
      <c r="S782" s="9" t="n">
        <v>1130101</v>
      </c>
      <c r="T782" s="11" t="s">
        <v>48</v>
      </c>
      <c r="U782" s="12" t="n">
        <v>496.2</v>
      </c>
      <c r="W782" s="12" t="n">
        <v>0</v>
      </c>
      <c r="X782" s="11" t="s">
        <v>716</v>
      </c>
      <c r="Z782" s="0" t="str">
        <f aca="false">IF($T782="","",IFERROR(INDEX('Resumo Grupos'!$AC$3:$AC$200,MATCH($T782,'Resumo Grupos'!$AB$3:$AB$200,0)),"n/d"))</f>
        <v>Mercadoria</v>
      </c>
      <c r="AA782" s="0" t="str">
        <f aca="false">IF($T782="","",IF(COUNTIF('Resumo Grupos'!$AE$3:$AE$40,$T782)&gt;0,"NAO","SIM"))</f>
        <v>SIM</v>
      </c>
      <c r="AB782" s="0" t="str">
        <f aca="false">IFERROR(INDEX('Mov Entradas (Rel 10497)'!$L:$L,MATCH(AC782,'Mov Entradas (Rel 10497)'!$I:$I,0)),"nao encontrado")</f>
        <v>ALMONDEGAS ANGLO 420</v>
      </c>
      <c r="AC782" s="0" t="n">
        <v>326863</v>
      </c>
    </row>
    <row r="783" customFormat="false" ht="12.75" hidden="false" customHeight="true" outlineLevel="0" collapsed="false">
      <c r="A783" s="9" t="n">
        <v>2</v>
      </c>
      <c r="B783" s="10" t="n">
        <v>46191</v>
      </c>
      <c r="C783" s="10" t="n">
        <v>46212</v>
      </c>
      <c r="D783" s="9" t="n">
        <v>1815</v>
      </c>
      <c r="E783" s="11" t="s">
        <v>172</v>
      </c>
      <c r="F783" s="9" t="n">
        <v>24</v>
      </c>
      <c r="G783" s="11" t="s">
        <v>51</v>
      </c>
      <c r="H783" s="9" t="n">
        <v>2110101</v>
      </c>
      <c r="I783" s="11" t="s">
        <v>43</v>
      </c>
      <c r="J783" s="9" t="n">
        <v>1269162</v>
      </c>
      <c r="L783" s="9" t="n">
        <v>387833</v>
      </c>
      <c r="M783" s="11" t="s">
        <v>67</v>
      </c>
      <c r="N783" s="11" t="s">
        <v>37</v>
      </c>
      <c r="P783" s="9" t="n">
        <v>113</v>
      </c>
      <c r="Q783" s="11" t="s">
        <v>46</v>
      </c>
      <c r="R783" s="11" t="s">
        <v>47</v>
      </c>
      <c r="S783" s="9" t="n">
        <v>1130101</v>
      </c>
      <c r="T783" s="11" t="s">
        <v>48</v>
      </c>
      <c r="U783" s="12" t="n">
        <v>2664.54</v>
      </c>
      <c r="W783" s="12" t="n">
        <v>0</v>
      </c>
      <c r="X783" s="11" t="s">
        <v>577</v>
      </c>
      <c r="Z783" s="0" t="str">
        <f aca="false">IF($T783="","",IFERROR(INDEX('Resumo Grupos'!$AC$3:$AC$200,MATCH($T783,'Resumo Grupos'!$AB$3:$AB$200,0)),"n/d"))</f>
        <v>Mercadoria</v>
      </c>
      <c r="AA783" s="0" t="str">
        <f aca="false">IF($T783="","",IF(COUNTIF('Resumo Grupos'!$AE$3:$AE$40,$T783)&gt;0,"NAO","SIM"))</f>
        <v>SIM</v>
      </c>
      <c r="AB783" s="0" t="str">
        <f aca="false">IFERROR(INDEX('Mov Entradas (Rel 10497)'!$L:$L,MATCH(AC783,'Mov Entradas (Rel 10497)'!$I:$I,0)),"nao encontrado")</f>
        <v>PATINHO BOVINO KG</v>
      </c>
      <c r="AC783" s="0" t="n">
        <v>387833</v>
      </c>
    </row>
    <row r="784" customFormat="false" ht="12.75" hidden="false" customHeight="true" outlineLevel="0" collapsed="false">
      <c r="A784" s="9" t="n">
        <v>2</v>
      </c>
      <c r="B784" s="10" t="n">
        <v>46205</v>
      </c>
      <c r="C784" s="10" t="n">
        <v>46212</v>
      </c>
      <c r="D784" s="9" t="n">
        <v>1815</v>
      </c>
      <c r="E784" s="11" t="s">
        <v>172</v>
      </c>
      <c r="F784" s="9" t="n">
        <v>24</v>
      </c>
      <c r="G784" s="11" t="s">
        <v>51</v>
      </c>
      <c r="H784" s="9" t="n">
        <v>2110101</v>
      </c>
      <c r="I784" s="11" t="s">
        <v>43</v>
      </c>
      <c r="J784" s="9" t="n">
        <v>1339618</v>
      </c>
      <c r="L784" s="9" t="n">
        <v>390211</v>
      </c>
      <c r="M784" s="11" t="s">
        <v>52</v>
      </c>
      <c r="N784" s="11" t="s">
        <v>37</v>
      </c>
      <c r="P784" s="9" t="n">
        <v>113</v>
      </c>
      <c r="Q784" s="11" t="s">
        <v>46</v>
      </c>
      <c r="R784" s="11" t="s">
        <v>47</v>
      </c>
      <c r="S784" s="9" t="n">
        <v>1130101</v>
      </c>
      <c r="T784" s="11" t="s">
        <v>48</v>
      </c>
      <c r="U784" s="12" t="n">
        <v>2005.45</v>
      </c>
      <c r="W784" s="12" t="n">
        <v>0</v>
      </c>
      <c r="X784" s="11" t="s">
        <v>831</v>
      </c>
      <c r="Z784" s="0" t="str">
        <f aca="false">IF($T784="","",IFERROR(INDEX('Resumo Grupos'!$AC$3:$AC$200,MATCH($T784,'Resumo Grupos'!$AB$3:$AB$200,0)),"n/d"))</f>
        <v>Mercadoria</v>
      </c>
      <c r="AA784" s="0" t="str">
        <f aca="false">IF($T784="","",IF(COUNTIF('Resumo Grupos'!$AE$3:$AE$40,$T784)&gt;0,"NAO","SIM"))</f>
        <v>SIM</v>
      </c>
      <c r="AB784" s="0" t="str">
        <f aca="false">IFERROR(INDEX('Mov Entradas (Rel 10497)'!$L:$L,MATCH(AC784,'Mov Entradas (Rel 10497)'!$I:$I,0)),"nao encontrado")</f>
        <v>COXÃO DURO KG</v>
      </c>
      <c r="AC784" s="0" t="n">
        <v>390211</v>
      </c>
    </row>
    <row r="785" customFormat="false" ht="12.75" hidden="false" customHeight="true" outlineLevel="0" collapsed="false">
      <c r="A785" s="9" t="n">
        <v>2</v>
      </c>
      <c r="B785" s="10" t="n">
        <v>46188</v>
      </c>
      <c r="C785" s="10" t="n">
        <v>46212</v>
      </c>
      <c r="D785" s="9" t="n">
        <v>1611</v>
      </c>
      <c r="E785" s="11" t="s">
        <v>178</v>
      </c>
      <c r="F785" s="9" t="n">
        <v>24</v>
      </c>
      <c r="G785" s="11" t="s">
        <v>51</v>
      </c>
      <c r="H785" s="9" t="n">
        <v>2110101</v>
      </c>
      <c r="I785" s="11" t="s">
        <v>43</v>
      </c>
      <c r="J785" s="9" t="n">
        <v>1255460</v>
      </c>
      <c r="L785" s="9" t="n">
        <v>1771887</v>
      </c>
      <c r="M785" s="11" t="s">
        <v>67</v>
      </c>
      <c r="N785" s="11" t="s">
        <v>37</v>
      </c>
      <c r="P785" s="9" t="n">
        <v>113</v>
      </c>
      <c r="Q785" s="11" t="s">
        <v>46</v>
      </c>
      <c r="R785" s="11" t="s">
        <v>47</v>
      </c>
      <c r="S785" s="9" t="n">
        <v>1130101</v>
      </c>
      <c r="T785" s="11" t="s">
        <v>48</v>
      </c>
      <c r="U785" s="12" t="n">
        <v>613.33</v>
      </c>
      <c r="W785" s="12" t="n">
        <v>0</v>
      </c>
      <c r="X785" s="11" t="s">
        <v>579</v>
      </c>
      <c r="Z785" s="0" t="str">
        <f aca="false">IF($T785="","",IFERROR(INDEX('Resumo Grupos'!$AC$3:$AC$200,MATCH($T785,'Resumo Grupos'!$AB$3:$AB$200,0)),"n/d"))</f>
        <v>Mercadoria</v>
      </c>
      <c r="AA785" s="0" t="str">
        <f aca="false">IF($T785="","",IF(COUNTIF('Resumo Grupos'!$AE$3:$AE$40,$T785)&gt;0,"NAO","SIM"))</f>
        <v>SIM</v>
      </c>
      <c r="AB785" s="0" t="str">
        <f aca="false">IFERROR(INDEX('Mov Entradas (Rel 10497)'!$L:$L,MATCH(AC785,'Mov Entradas (Rel 10497)'!$I:$I,0)),"nao encontrado")</f>
        <v>FIGURINHAS COPA MUNDIAL PC 7UN</v>
      </c>
      <c r="AC785" s="0" t="n">
        <v>1771887</v>
      </c>
    </row>
    <row r="786" customFormat="false" ht="12.75" hidden="false" customHeight="true" outlineLevel="0" collapsed="false">
      <c r="A786" s="9" t="n">
        <v>2</v>
      </c>
      <c r="B786" s="10" t="n">
        <v>46212</v>
      </c>
      <c r="C786" s="10" t="n">
        <v>46212</v>
      </c>
      <c r="D786" s="9" t="n">
        <v>48</v>
      </c>
      <c r="E786" s="11" t="s">
        <v>153</v>
      </c>
      <c r="F786" s="9" t="n">
        <v>13</v>
      </c>
      <c r="G786" s="11" t="s">
        <v>135</v>
      </c>
      <c r="H786" s="9" t="n">
        <v>2110101</v>
      </c>
      <c r="I786" s="11" t="s">
        <v>43</v>
      </c>
      <c r="J786" s="9" t="n">
        <v>1374877</v>
      </c>
      <c r="L786" s="9" t="n">
        <v>2535</v>
      </c>
      <c r="M786" s="11" t="s">
        <v>52</v>
      </c>
      <c r="N786" s="11" t="s">
        <v>37</v>
      </c>
      <c r="P786" s="9" t="n">
        <v>113</v>
      </c>
      <c r="Q786" s="11" t="s">
        <v>46</v>
      </c>
      <c r="R786" s="11" t="s">
        <v>47</v>
      </c>
      <c r="S786" s="9" t="n">
        <v>1130101</v>
      </c>
      <c r="T786" s="11" t="s">
        <v>48</v>
      </c>
      <c r="U786" s="12" t="n">
        <v>210</v>
      </c>
      <c r="W786" s="12" t="n">
        <v>210</v>
      </c>
      <c r="X786" s="11" t="s">
        <v>832</v>
      </c>
      <c r="Z786" s="0" t="str">
        <f aca="false">IF($T786="","",IFERROR(INDEX('Resumo Grupos'!$AC$3:$AC$200,MATCH($T786,'Resumo Grupos'!$AB$3:$AB$200,0)),"n/d"))</f>
        <v>Mercadoria</v>
      </c>
      <c r="AA786" s="0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9" t="n">
        <v>2</v>
      </c>
      <c r="B787" s="10" t="n">
        <v>46189</v>
      </c>
      <c r="C787" s="10" t="n">
        <v>46212</v>
      </c>
      <c r="D787" s="9" t="n">
        <v>1624</v>
      </c>
      <c r="E787" s="11" t="s">
        <v>351</v>
      </c>
      <c r="F787" s="9" t="n">
        <v>24</v>
      </c>
      <c r="G787" s="11" t="s">
        <v>51</v>
      </c>
      <c r="H787" s="9" t="n">
        <v>2110101</v>
      </c>
      <c r="I787" s="11" t="s">
        <v>43</v>
      </c>
      <c r="J787" s="9" t="n">
        <v>1261007</v>
      </c>
      <c r="L787" s="9" t="n">
        <v>658429</v>
      </c>
      <c r="M787" s="11" t="s">
        <v>44</v>
      </c>
      <c r="N787" s="11" t="s">
        <v>37</v>
      </c>
      <c r="P787" s="9" t="n">
        <v>113</v>
      </c>
      <c r="Q787" s="11" t="s">
        <v>46</v>
      </c>
      <c r="R787" s="11" t="s">
        <v>47</v>
      </c>
      <c r="S787" s="9" t="n">
        <v>1130101</v>
      </c>
      <c r="T787" s="11" t="s">
        <v>48</v>
      </c>
      <c r="U787" s="12" t="n">
        <v>550.4</v>
      </c>
      <c r="W787" s="12" t="n">
        <v>0</v>
      </c>
      <c r="X787" s="11" t="s">
        <v>726</v>
      </c>
      <c r="Z787" s="0" t="str">
        <f aca="false">IF($T787="","",IFERROR(INDEX('Resumo Grupos'!$AC$3:$AC$200,MATCH($T787,'Resumo Grupos'!$AB$3:$AB$200,0)),"n/d"))</f>
        <v>Mercadoria</v>
      </c>
      <c r="AA787" s="0" t="str">
        <f aca="false">IF($T787="","",IF(COUNTIF('Resumo Grupos'!$AE$3:$AE$40,$T787)&gt;0,"NAO","SIM"))</f>
        <v>SIM</v>
      </c>
      <c r="AB787" s="0" t="str">
        <f aca="false">IFERROR(INDEX('Mov Entradas (Rel 10497)'!$L:$L,MATCH(AC787,'Mov Entradas (Rel 10497)'!$I:$I,0)),"nao encontrado")</f>
        <v>FUNNY BUNNY 500G</v>
      </c>
      <c r="AC787" s="0" t="n">
        <v>658429</v>
      </c>
    </row>
    <row r="788" customFormat="false" ht="12.75" hidden="false" customHeight="true" outlineLevel="0" collapsed="false">
      <c r="A788" s="9" t="n">
        <v>2</v>
      </c>
      <c r="B788" s="10" t="n">
        <v>46195</v>
      </c>
      <c r="C788" s="10" t="n">
        <v>46212</v>
      </c>
      <c r="D788" s="9" t="n">
        <v>10012</v>
      </c>
      <c r="E788" s="11" t="s">
        <v>185</v>
      </c>
      <c r="F788" s="9" t="n">
        <v>24</v>
      </c>
      <c r="G788" s="11" t="s">
        <v>51</v>
      </c>
      <c r="H788" s="9" t="n">
        <v>2110101</v>
      </c>
      <c r="I788" s="11" t="s">
        <v>43</v>
      </c>
      <c r="J788" s="9" t="n">
        <v>1289819</v>
      </c>
      <c r="L788" s="9" t="n">
        <v>1959276</v>
      </c>
      <c r="M788" s="11" t="s">
        <v>52</v>
      </c>
      <c r="N788" s="11" t="s">
        <v>37</v>
      </c>
      <c r="P788" s="9" t="n">
        <v>113</v>
      </c>
      <c r="Q788" s="11" t="s">
        <v>46</v>
      </c>
      <c r="R788" s="11" t="s">
        <v>47</v>
      </c>
      <c r="S788" s="9" t="n">
        <v>1130101</v>
      </c>
      <c r="T788" s="11" t="s">
        <v>48</v>
      </c>
      <c r="U788" s="12" t="n">
        <v>653.65</v>
      </c>
      <c r="W788" s="12" t="n">
        <v>0</v>
      </c>
      <c r="X788" s="11" t="s">
        <v>833</v>
      </c>
      <c r="Z788" s="0" t="str">
        <f aca="false">IF($T788="","",IFERROR(INDEX('Resumo Grupos'!$AC$3:$AC$200,MATCH($T788,'Resumo Grupos'!$AB$3:$AB$200,0)),"n/d"))</f>
        <v>Mercadoria</v>
      </c>
      <c r="AA788" s="0" t="str">
        <f aca="false">IF($T788="","",IF(COUNTIF('Resumo Grupos'!$AE$3:$AE$40,$T788)&gt;0,"NAO","SIM"))</f>
        <v>SIM</v>
      </c>
      <c r="AB788" s="0" t="str">
        <f aca="false">IFERROR(INDEX('Mov Entradas (Rel 10497)'!$L:$L,MATCH(AC788,'Mov Entradas (Rel 10497)'!$I:$I,0)),"nao encontrado")</f>
        <v>ABS SEMPRE LIVRE NOT</v>
      </c>
      <c r="AC788" s="0" t="n">
        <v>1959276</v>
      </c>
    </row>
    <row r="789" customFormat="false" ht="12.75" hidden="false" customHeight="true" outlineLevel="0" collapsed="false">
      <c r="A789" s="9" t="n">
        <v>2</v>
      </c>
      <c r="B789" s="10" t="n">
        <v>46212</v>
      </c>
      <c r="C789" s="10" t="n">
        <v>46212</v>
      </c>
      <c r="D789" s="9" t="n">
        <v>0</v>
      </c>
      <c r="E789" s="11" t="s">
        <v>109</v>
      </c>
      <c r="F789" s="9" t="n">
        <v>17</v>
      </c>
      <c r="G789" s="11" t="s">
        <v>110</v>
      </c>
      <c r="H789" s="9" t="n">
        <v>1110101</v>
      </c>
      <c r="I789" s="11" t="s">
        <v>111</v>
      </c>
      <c r="J789" s="9" t="n">
        <v>1427686</v>
      </c>
      <c r="L789" s="9" t="n">
        <v>1427686</v>
      </c>
      <c r="M789" s="11" t="s">
        <v>52</v>
      </c>
      <c r="N789" s="11" t="s">
        <v>112</v>
      </c>
      <c r="P789" s="9" t="n">
        <v>113</v>
      </c>
      <c r="Q789" s="11" t="s">
        <v>46</v>
      </c>
      <c r="R789" s="11" t="s">
        <v>259</v>
      </c>
      <c r="S789" s="9" t="n">
        <v>2110101</v>
      </c>
      <c r="T789" s="11" t="s">
        <v>43</v>
      </c>
      <c r="U789" s="12" t="n">
        <v>210</v>
      </c>
      <c r="W789" s="12" t="n">
        <v>210</v>
      </c>
      <c r="X789" s="11" t="s">
        <v>834</v>
      </c>
      <c r="Z789" s="0" t="str">
        <f aca="false">IF($T789="","",IFERROR(INDEX('Resumo Grupos'!$AC$3:$AC$200,MATCH($T789,'Resumo Grupos'!$AB$3:$AB$200,0)),"n/d"))</f>
        <v>Despesa</v>
      </c>
      <c r="AA789" s="0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9" t="n">
        <v>2</v>
      </c>
      <c r="B790" s="10" t="n">
        <v>46212</v>
      </c>
      <c r="C790" s="10" t="n">
        <v>46212</v>
      </c>
      <c r="D790" s="9" t="n">
        <v>0</v>
      </c>
      <c r="E790" s="11" t="s">
        <v>109</v>
      </c>
      <c r="F790" s="9" t="n">
        <v>17</v>
      </c>
      <c r="G790" s="11" t="s">
        <v>110</v>
      </c>
      <c r="H790" s="9" t="n">
        <v>1110101</v>
      </c>
      <c r="I790" s="11" t="s">
        <v>111</v>
      </c>
      <c r="J790" s="9" t="n">
        <v>1427694</v>
      </c>
      <c r="L790" s="9" t="n">
        <v>1427694</v>
      </c>
      <c r="M790" s="11" t="s">
        <v>52</v>
      </c>
      <c r="N790" s="11" t="s">
        <v>112</v>
      </c>
      <c r="P790" s="9" t="n">
        <v>113</v>
      </c>
      <c r="Q790" s="11" t="s">
        <v>46</v>
      </c>
      <c r="R790" s="11" t="s">
        <v>47</v>
      </c>
      <c r="S790" s="9" t="n">
        <v>1130101</v>
      </c>
      <c r="T790" s="11" t="s">
        <v>48</v>
      </c>
      <c r="U790" s="12" t="n">
        <v>192</v>
      </c>
      <c r="W790" s="12" t="n">
        <v>192</v>
      </c>
      <c r="X790" s="11" t="s">
        <v>727</v>
      </c>
      <c r="Z790" s="0" t="str">
        <f aca="false">IF($T790="","",IFERROR(INDEX('Resumo Grupos'!$AC$3:$AC$200,MATCH($T790,'Resumo Grupos'!$AB$3:$AB$200,0)),"n/d"))</f>
        <v>Mercadoria</v>
      </c>
      <c r="AA790" s="0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9" t="n">
        <v>2</v>
      </c>
      <c r="B791" s="10" t="n">
        <v>46212</v>
      </c>
      <c r="C791" s="10" t="n">
        <v>46212</v>
      </c>
      <c r="D791" s="9" t="n">
        <v>0</v>
      </c>
      <c r="E791" s="11" t="s">
        <v>109</v>
      </c>
      <c r="F791" s="9" t="n">
        <v>17</v>
      </c>
      <c r="G791" s="11" t="s">
        <v>110</v>
      </c>
      <c r="H791" s="9" t="n">
        <v>1110101</v>
      </c>
      <c r="I791" s="11" t="s">
        <v>111</v>
      </c>
      <c r="J791" s="9" t="n">
        <v>1427698</v>
      </c>
      <c r="L791" s="9" t="n">
        <v>1427698</v>
      </c>
      <c r="M791" s="11" t="s">
        <v>52</v>
      </c>
      <c r="N791" s="11" t="s">
        <v>112</v>
      </c>
      <c r="P791" s="9" t="n">
        <v>113</v>
      </c>
      <c r="Q791" s="11" t="s">
        <v>46</v>
      </c>
      <c r="R791" s="11" t="s">
        <v>71</v>
      </c>
      <c r="S791" s="9" t="n">
        <v>4210314</v>
      </c>
      <c r="T791" s="11" t="s">
        <v>113</v>
      </c>
      <c r="U791" s="12" t="n">
        <v>50</v>
      </c>
      <c r="W791" s="12" t="n">
        <v>50</v>
      </c>
      <c r="X791" s="11" t="s">
        <v>368</v>
      </c>
      <c r="Z791" s="0" t="str">
        <f aca="false">IF($T791="","",IFERROR(INDEX('Resumo Grupos'!$AC$3:$AC$200,MATCH($T791,'Resumo Grupos'!$AB$3:$AB$200,0)),"n/d"))</f>
        <v>Despesa</v>
      </c>
      <c r="AA791" s="0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9" t="n">
        <v>2</v>
      </c>
      <c r="B792" s="10" t="n">
        <v>46212</v>
      </c>
      <c r="C792" s="10" t="n">
        <v>46212</v>
      </c>
      <c r="D792" s="9" t="n">
        <v>0</v>
      </c>
      <c r="E792" s="11" t="s">
        <v>109</v>
      </c>
      <c r="F792" s="9" t="n">
        <v>17</v>
      </c>
      <c r="G792" s="11" t="s">
        <v>110</v>
      </c>
      <c r="H792" s="9" t="n">
        <v>1110101</v>
      </c>
      <c r="I792" s="11" t="s">
        <v>111</v>
      </c>
      <c r="J792" s="9" t="n">
        <v>1427700</v>
      </c>
      <c r="L792" s="9" t="n">
        <v>1427700</v>
      </c>
      <c r="M792" s="11" t="s">
        <v>52</v>
      </c>
      <c r="N792" s="11" t="s">
        <v>112</v>
      </c>
      <c r="P792" s="9" t="n">
        <v>113</v>
      </c>
      <c r="Q792" s="11" t="s">
        <v>46</v>
      </c>
      <c r="R792" s="11" t="s">
        <v>47</v>
      </c>
      <c r="S792" s="9" t="n">
        <v>1130101</v>
      </c>
      <c r="T792" s="11" t="s">
        <v>48</v>
      </c>
      <c r="U792" s="12" t="n">
        <v>200</v>
      </c>
      <c r="W792" s="12" t="n">
        <v>200</v>
      </c>
      <c r="X792" s="11" t="s">
        <v>835</v>
      </c>
      <c r="Z792" s="0" t="str">
        <f aca="false">IF($T792="","",IFERROR(INDEX('Resumo Grupos'!$AC$3:$AC$200,MATCH($T792,'Resumo Grupos'!$AB$3:$AB$200,0)),"n/d"))</f>
        <v>Mercadoria</v>
      </c>
      <c r="AA792" s="0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9" t="n">
        <v>2</v>
      </c>
      <c r="B793" s="10" t="n">
        <v>46212</v>
      </c>
      <c r="C793" s="10" t="n">
        <v>46212</v>
      </c>
      <c r="D793" s="9" t="n">
        <v>0</v>
      </c>
      <c r="E793" s="11" t="s">
        <v>109</v>
      </c>
      <c r="F793" s="9" t="n">
        <v>17</v>
      </c>
      <c r="G793" s="11" t="s">
        <v>110</v>
      </c>
      <c r="H793" s="9" t="n">
        <v>1110101</v>
      </c>
      <c r="I793" s="11" t="s">
        <v>111</v>
      </c>
      <c r="J793" s="9" t="n">
        <v>1469081</v>
      </c>
      <c r="L793" s="9" t="n">
        <v>1469081</v>
      </c>
      <c r="M793" s="11" t="s">
        <v>52</v>
      </c>
      <c r="N793" s="11" t="s">
        <v>112</v>
      </c>
      <c r="P793" s="9" t="n">
        <v>113</v>
      </c>
      <c r="Q793" s="11" t="s">
        <v>46</v>
      </c>
      <c r="R793" s="11" t="s">
        <v>116</v>
      </c>
      <c r="S793" s="9" t="n">
        <v>1110203</v>
      </c>
      <c r="T793" s="11" t="s">
        <v>117</v>
      </c>
      <c r="U793" s="12" t="n">
        <v>1950</v>
      </c>
      <c r="W793" s="12" t="n">
        <v>1950</v>
      </c>
      <c r="X793" s="11" t="s">
        <v>836</v>
      </c>
      <c r="Z793" s="0" t="str">
        <f aca="false">IF($T793="","",IFERROR(INDEX('Resumo Grupos'!$AC$3:$AC$200,MATCH($T793,'Resumo Grupos'!$AB$3:$AB$200,0)),"n/d"))</f>
        <v>Despesa</v>
      </c>
      <c r="AA793" s="0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9" t="n">
        <v>2</v>
      </c>
      <c r="B794" s="10" t="n">
        <v>46191</v>
      </c>
      <c r="C794" s="10" t="n">
        <v>46212</v>
      </c>
      <c r="D794" s="9" t="n">
        <v>1676</v>
      </c>
      <c r="E794" s="11" t="s">
        <v>729</v>
      </c>
      <c r="F794" s="9" t="n">
        <v>24</v>
      </c>
      <c r="G794" s="11" t="s">
        <v>51</v>
      </c>
      <c r="H794" s="9" t="n">
        <v>2110101</v>
      </c>
      <c r="I794" s="11" t="s">
        <v>43</v>
      </c>
      <c r="J794" s="9" t="n">
        <v>1270149</v>
      </c>
      <c r="L794" s="9" t="n">
        <v>10423</v>
      </c>
      <c r="M794" s="11" t="s">
        <v>44</v>
      </c>
      <c r="N794" s="11" t="s">
        <v>37</v>
      </c>
      <c r="P794" s="9" t="n">
        <v>113</v>
      </c>
      <c r="Q794" s="11" t="s">
        <v>46</v>
      </c>
      <c r="R794" s="11" t="s">
        <v>47</v>
      </c>
      <c r="S794" s="9" t="n">
        <v>1130101</v>
      </c>
      <c r="T794" s="11" t="s">
        <v>48</v>
      </c>
      <c r="U794" s="12" t="n">
        <v>552.37</v>
      </c>
      <c r="W794" s="12" t="n">
        <v>0</v>
      </c>
      <c r="X794" s="11" t="s">
        <v>730</v>
      </c>
      <c r="Z794" s="0" t="str">
        <f aca="false">IF($T794="","",IFERROR(INDEX('Resumo Grupos'!$AC$3:$AC$200,MATCH($T794,'Resumo Grupos'!$AB$3:$AB$200,0)),"n/d"))</f>
        <v>Mercadoria</v>
      </c>
      <c r="AA794" s="0" t="str">
        <f aca="false">IF($T794="","",IF(COUNTIF('Resumo Grupos'!$AE$3:$AE$40,$T794)&gt;0,"NAO","SIM"))</f>
        <v>SIM</v>
      </c>
      <c r="AB794" s="0" t="str">
        <f aca="false">IFERROR(INDEX('Mov Entradas (Rel 10497)'!$L:$L,MATCH(AC794,'Mov Entradas (Rel 10497)'!$I:$I,0)),"nao encontrado")</f>
        <v>QUEIJO RAL SANTIN50G</v>
      </c>
      <c r="AC794" s="0" t="n">
        <v>10423</v>
      </c>
    </row>
    <row r="795" customFormat="false" ht="12.75" hidden="false" customHeight="true" outlineLevel="0" collapsed="false">
      <c r="A795" s="9" t="n">
        <v>2</v>
      </c>
      <c r="B795" s="10" t="n">
        <v>46190</v>
      </c>
      <c r="C795" s="10" t="n">
        <v>46212</v>
      </c>
      <c r="D795" s="9" t="n">
        <v>10010</v>
      </c>
      <c r="E795" s="11" t="s">
        <v>837</v>
      </c>
      <c r="F795" s="9" t="n">
        <v>24</v>
      </c>
      <c r="G795" s="11" t="s">
        <v>51</v>
      </c>
      <c r="H795" s="9" t="n">
        <v>2110101</v>
      </c>
      <c r="I795" s="11" t="s">
        <v>43</v>
      </c>
      <c r="J795" s="9" t="n">
        <v>1265758</v>
      </c>
      <c r="L795" s="9" t="n">
        <v>41243</v>
      </c>
      <c r="M795" s="11" t="s">
        <v>52</v>
      </c>
      <c r="N795" s="11" t="s">
        <v>37</v>
      </c>
      <c r="P795" s="9" t="n">
        <v>113</v>
      </c>
      <c r="Q795" s="11" t="s">
        <v>46</v>
      </c>
      <c r="R795" s="11" t="s">
        <v>47</v>
      </c>
      <c r="S795" s="9" t="n">
        <v>1130101</v>
      </c>
      <c r="T795" s="11" t="s">
        <v>48</v>
      </c>
      <c r="U795" s="12" t="n">
        <v>1222.04</v>
      </c>
      <c r="W795" s="12" t="n">
        <v>0</v>
      </c>
      <c r="X795" s="11" t="s">
        <v>838</v>
      </c>
      <c r="Z795" s="0" t="str">
        <f aca="false">IF($T795="","",IFERROR(INDEX('Resumo Grupos'!$AC$3:$AC$200,MATCH($T795,'Resumo Grupos'!$AB$3:$AB$200,0)),"n/d"))</f>
        <v>Mercadoria</v>
      </c>
      <c r="AA795" s="0" t="str">
        <f aca="false">IF($T795="","",IF(COUNTIF('Resumo Grupos'!$AE$3:$AE$40,$T795)&gt;0,"NAO","SIM"))</f>
        <v>SIM</v>
      </c>
      <c r="AB795" s="0" t="str">
        <f aca="false">IFERROR(INDEX('Mov Entradas (Rel 10497)'!$L:$L,MATCH(AC795,'Mov Entradas (Rel 10497)'!$I:$I,0)),"nao encontrado")</f>
        <v>DESINFETANTE TOPAZIO</v>
      </c>
      <c r="AC795" s="0" t="n">
        <v>41243</v>
      </c>
    </row>
    <row r="796" customFormat="false" ht="12.75" hidden="false" customHeight="true" outlineLevel="0" collapsed="false">
      <c r="A796" s="9" t="n">
        <v>2</v>
      </c>
      <c r="B796" s="10" t="n">
        <v>46153</v>
      </c>
      <c r="C796" s="10" t="n">
        <v>46213</v>
      </c>
      <c r="D796" s="9" t="n">
        <v>1176</v>
      </c>
      <c r="E796" s="11" t="s">
        <v>322</v>
      </c>
      <c r="F796" s="9" t="n">
        <v>24</v>
      </c>
      <c r="G796" s="11" t="s">
        <v>51</v>
      </c>
      <c r="H796" s="9" t="n">
        <v>2110405</v>
      </c>
      <c r="I796" s="11" t="s">
        <v>56</v>
      </c>
      <c r="J796" s="9" t="n">
        <v>1083394</v>
      </c>
      <c r="L796" s="9" t="n">
        <v>143444</v>
      </c>
      <c r="M796" s="11" t="s">
        <v>67</v>
      </c>
      <c r="N796" s="11" t="s">
        <v>45</v>
      </c>
      <c r="P796" s="9" t="n">
        <v>101</v>
      </c>
      <c r="Q796" s="11" t="s">
        <v>57</v>
      </c>
      <c r="R796" s="11" t="s">
        <v>323</v>
      </c>
      <c r="S796" s="9" t="n">
        <v>2110901</v>
      </c>
      <c r="T796" s="11" t="s">
        <v>324</v>
      </c>
      <c r="U796" s="12" t="n">
        <v>2336.36</v>
      </c>
      <c r="W796" s="12" t="n">
        <v>0</v>
      </c>
      <c r="X796" s="11" t="s">
        <v>839</v>
      </c>
      <c r="Z796" s="0" t="str">
        <f aca="false">IF($T796="","",IFERROR(INDEX('Resumo Grupos'!$AC$3:$AC$200,MATCH($T796,'Resumo Grupos'!$AB$3:$AB$200,0)),"n/d"))</f>
        <v>Empréstimo</v>
      </c>
      <c r="AA796" s="0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9" t="n">
        <v>2</v>
      </c>
      <c r="B797" s="10" t="n">
        <v>46195</v>
      </c>
      <c r="C797" s="10" t="n">
        <v>46213</v>
      </c>
      <c r="D797" s="9" t="n">
        <v>1678</v>
      </c>
      <c r="E797" s="11" t="s">
        <v>840</v>
      </c>
      <c r="F797" s="9" t="n">
        <v>24</v>
      </c>
      <c r="G797" s="11" t="s">
        <v>51</v>
      </c>
      <c r="H797" s="9" t="n">
        <v>2110101</v>
      </c>
      <c r="I797" s="11" t="s">
        <v>43</v>
      </c>
      <c r="J797" s="9" t="n">
        <v>1290565</v>
      </c>
      <c r="L797" s="9" t="n">
        <v>161137</v>
      </c>
      <c r="M797" s="11" t="s">
        <v>52</v>
      </c>
      <c r="N797" s="11" t="s">
        <v>37</v>
      </c>
      <c r="P797" s="9" t="n">
        <v>113</v>
      </c>
      <c r="Q797" s="11" t="s">
        <v>46</v>
      </c>
      <c r="R797" s="11" t="s">
        <v>47</v>
      </c>
      <c r="S797" s="9" t="n">
        <v>1130101</v>
      </c>
      <c r="T797" s="11" t="s">
        <v>48</v>
      </c>
      <c r="U797" s="12" t="n">
        <v>592.5</v>
      </c>
      <c r="W797" s="12" t="n">
        <v>0</v>
      </c>
      <c r="X797" s="11" t="s">
        <v>841</v>
      </c>
      <c r="Z797" s="0" t="str">
        <f aca="false">IF($T797="","",IFERROR(INDEX('Resumo Grupos'!$AC$3:$AC$200,MATCH($T797,'Resumo Grupos'!$AB$3:$AB$200,0)),"n/d"))</f>
        <v>Mercadoria</v>
      </c>
      <c r="AA797" s="0" t="str">
        <f aca="false">IF($T797="","",IF(COUNTIF('Resumo Grupos'!$AE$3:$AE$40,$T797)&gt;0,"NAO","SIM"))</f>
        <v>SIM</v>
      </c>
      <c r="AB797" s="0" t="str">
        <f aca="false">IFERROR(INDEX('Mov Entradas (Rel 10497)'!$L:$L,MATCH(AC797,'Mov Entradas (Rel 10497)'!$I:$I,0)),"nao encontrado")</f>
        <v>AGUA SANI MODALVA 1L</v>
      </c>
      <c r="AC797" s="0" t="n">
        <v>161137</v>
      </c>
    </row>
    <row r="798" customFormat="false" ht="12.75" hidden="false" customHeight="true" outlineLevel="0" collapsed="false">
      <c r="A798" s="9" t="n">
        <v>2</v>
      </c>
      <c r="B798" s="10" t="n">
        <v>46195</v>
      </c>
      <c r="C798" s="10" t="n">
        <v>46213</v>
      </c>
      <c r="D798" s="9" t="n">
        <v>1720</v>
      </c>
      <c r="E798" s="11" t="s">
        <v>842</v>
      </c>
      <c r="F798" s="9" t="n">
        <v>24</v>
      </c>
      <c r="G798" s="11" t="s">
        <v>51</v>
      </c>
      <c r="H798" s="9" t="n">
        <v>2110101</v>
      </c>
      <c r="I798" s="11" t="s">
        <v>43</v>
      </c>
      <c r="J798" s="9" t="n">
        <v>1290433</v>
      </c>
      <c r="L798" s="9" t="n">
        <v>47502</v>
      </c>
      <c r="M798" s="11" t="s">
        <v>52</v>
      </c>
      <c r="N798" s="11" t="s">
        <v>37</v>
      </c>
      <c r="P798" s="9" t="n">
        <v>113</v>
      </c>
      <c r="Q798" s="11" t="s">
        <v>46</v>
      </c>
      <c r="R798" s="11" t="s">
        <v>47</v>
      </c>
      <c r="S798" s="9" t="n">
        <v>1130101</v>
      </c>
      <c r="T798" s="11" t="s">
        <v>48</v>
      </c>
      <c r="U798" s="12" t="n">
        <v>603.5</v>
      </c>
      <c r="W798" s="12" t="n">
        <v>0</v>
      </c>
      <c r="X798" s="11" t="s">
        <v>843</v>
      </c>
      <c r="Z798" s="0" t="str">
        <f aca="false">IF($T798="","",IFERROR(INDEX('Resumo Grupos'!$AC$3:$AC$200,MATCH($T798,'Resumo Grupos'!$AB$3:$AB$200,0)),"n/d"))</f>
        <v>Mercadoria</v>
      </c>
      <c r="AA798" s="0" t="str">
        <f aca="false">IF($T798="","",IF(COUNTIF('Resumo Grupos'!$AE$3:$AE$40,$T798)&gt;0,"NAO","SIM"))</f>
        <v>SIM</v>
      </c>
      <c r="AB798" s="0" t="str">
        <f aca="false">IFERROR(INDEX('Mov Entradas (Rel 10497)'!$L:$L,MATCH(AC798,'Mov Entradas (Rel 10497)'!$I:$I,0)),"nao encontrado")</f>
        <v>VELAS D'LUZ 8UN</v>
      </c>
      <c r="AC798" s="0" t="n">
        <v>47502</v>
      </c>
    </row>
    <row r="799" customFormat="false" ht="12.75" hidden="false" customHeight="true" outlineLevel="0" collapsed="false">
      <c r="A799" s="9" t="n">
        <v>2</v>
      </c>
      <c r="B799" s="10" t="n">
        <v>46195</v>
      </c>
      <c r="C799" s="10" t="n">
        <v>46213</v>
      </c>
      <c r="D799" s="9" t="n">
        <v>1695</v>
      </c>
      <c r="E799" s="11" t="s">
        <v>390</v>
      </c>
      <c r="F799" s="9" t="n">
        <v>24</v>
      </c>
      <c r="G799" s="11" t="s">
        <v>51</v>
      </c>
      <c r="H799" s="9" t="n">
        <v>2110101</v>
      </c>
      <c r="I799" s="11" t="s">
        <v>43</v>
      </c>
      <c r="J799" s="9" t="n">
        <v>1289973</v>
      </c>
      <c r="L799" s="9" t="n">
        <v>18762</v>
      </c>
      <c r="M799" s="11" t="s">
        <v>67</v>
      </c>
      <c r="N799" s="11" t="s">
        <v>37</v>
      </c>
      <c r="P799" s="9" t="n">
        <v>113</v>
      </c>
      <c r="Q799" s="11" t="s">
        <v>46</v>
      </c>
      <c r="R799" s="11" t="s">
        <v>47</v>
      </c>
      <c r="S799" s="9" t="n">
        <v>1130101</v>
      </c>
      <c r="T799" s="11" t="s">
        <v>48</v>
      </c>
      <c r="U799" s="12" t="n">
        <v>1433.64</v>
      </c>
      <c r="W799" s="12" t="n">
        <v>0</v>
      </c>
      <c r="X799" s="11" t="s">
        <v>592</v>
      </c>
      <c r="Z799" s="0" t="str">
        <f aca="false">IF($T799="","",IFERROR(INDEX('Resumo Grupos'!$AC$3:$AC$200,MATCH($T799,'Resumo Grupos'!$AB$3:$AB$200,0)),"n/d"))</f>
        <v>Mercadoria</v>
      </c>
      <c r="AA799" s="0" t="str">
        <f aca="false">IF($T799="","",IF(COUNTIF('Resumo Grupos'!$AE$3:$AE$40,$T799)&gt;0,"NAO","SIM"))</f>
        <v>SIM</v>
      </c>
      <c r="AB799" s="0" t="str">
        <f aca="false">IFERROR(INDEX('Mov Entradas (Rel 10497)'!$L:$L,MATCH(AC799,'Mov Entradas (Rel 10497)'!$I:$I,0)),"nao encontrado")</f>
        <v>AGUA SANI BRILUX1L</v>
      </c>
      <c r="AC799" s="0" t="n">
        <v>18762</v>
      </c>
    </row>
    <row r="800" customFormat="false" ht="12.75" hidden="false" customHeight="true" outlineLevel="0" collapsed="false">
      <c r="A800" s="9" t="n">
        <v>2</v>
      </c>
      <c r="B800" s="10" t="n">
        <v>46210</v>
      </c>
      <c r="C800" s="10" t="n">
        <v>46213</v>
      </c>
      <c r="D800" s="9" t="n">
        <v>1695</v>
      </c>
      <c r="E800" s="11" t="s">
        <v>390</v>
      </c>
      <c r="F800" s="9" t="n">
        <v>34</v>
      </c>
      <c r="G800" s="11" t="s">
        <v>55</v>
      </c>
      <c r="H800" s="9" t="n">
        <v>2110101</v>
      </c>
      <c r="I800" s="11" t="s">
        <v>43</v>
      </c>
      <c r="J800" s="9" t="n">
        <v>1366121</v>
      </c>
      <c r="L800" s="9" t="n">
        <v>183613</v>
      </c>
      <c r="M800" s="11" t="s">
        <v>52</v>
      </c>
      <c r="N800" s="11" t="s">
        <v>45</v>
      </c>
      <c r="P800" s="9" t="n">
        <v>113</v>
      </c>
      <c r="Q800" s="11" t="s">
        <v>46</v>
      </c>
      <c r="R800" s="11" t="s">
        <v>47</v>
      </c>
      <c r="S800" s="9" t="n">
        <v>1130101</v>
      </c>
      <c r="T800" s="11" t="s">
        <v>48</v>
      </c>
      <c r="U800" s="12" t="n">
        <v>148.2</v>
      </c>
      <c r="W800" s="12" t="n">
        <v>0</v>
      </c>
      <c r="X800" s="11" t="s">
        <v>844</v>
      </c>
      <c r="Z800" s="0" t="str">
        <f aca="false">IF($T800="","",IFERROR(INDEX('Resumo Grupos'!$AC$3:$AC$200,MATCH($T800,'Resumo Grupos'!$AB$3:$AB$200,0)),"n/d"))</f>
        <v>Mercadoria</v>
      </c>
      <c r="AA800" s="0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9" t="n">
        <v>2</v>
      </c>
      <c r="B801" s="10" t="n">
        <v>46206</v>
      </c>
      <c r="C801" s="10" t="n">
        <v>46213</v>
      </c>
      <c r="D801" s="9" t="n">
        <v>1642</v>
      </c>
      <c r="E801" s="11" t="s">
        <v>228</v>
      </c>
      <c r="F801" s="9" t="n">
        <v>24</v>
      </c>
      <c r="G801" s="11" t="s">
        <v>51</v>
      </c>
      <c r="H801" s="9" t="n">
        <v>2110101</v>
      </c>
      <c r="I801" s="11" t="s">
        <v>43</v>
      </c>
      <c r="J801" s="9" t="n">
        <v>1343794</v>
      </c>
      <c r="L801" s="9" t="n">
        <v>1030058</v>
      </c>
      <c r="M801" s="11" t="s">
        <v>52</v>
      </c>
      <c r="N801" s="11" t="s">
        <v>37</v>
      </c>
      <c r="P801" s="9" t="n">
        <v>113</v>
      </c>
      <c r="Q801" s="11" t="s">
        <v>46</v>
      </c>
      <c r="R801" s="11" t="s">
        <v>47</v>
      </c>
      <c r="S801" s="9" t="n">
        <v>1130101</v>
      </c>
      <c r="T801" s="11" t="s">
        <v>48</v>
      </c>
      <c r="U801" s="12" t="n">
        <v>279.82</v>
      </c>
      <c r="W801" s="12" t="n">
        <v>0</v>
      </c>
      <c r="X801" s="11" t="s">
        <v>845</v>
      </c>
      <c r="Z801" s="0" t="str">
        <f aca="false">IF($T801="","",IFERROR(INDEX('Resumo Grupos'!$AC$3:$AC$200,MATCH($T801,'Resumo Grupos'!$AB$3:$AB$200,0)),"n/d"))</f>
        <v>Mercadoria</v>
      </c>
      <c r="AA801" s="0" t="str">
        <f aca="false">IF($T801="","",IF(COUNTIF('Resumo Grupos'!$AE$3:$AE$40,$T801)&gt;0,"NAO","SIM"))</f>
        <v>SIM</v>
      </c>
      <c r="AB801" s="0" t="str">
        <f aca="false">IFERROR(INDEX('Mov Entradas (Rel 10497)'!$L:$L,MATCH(AC801,'Mov Entradas (Rel 10497)'!$I:$I,0)),"nao encontrado")</f>
        <v>PAO DE FORMA BROTHER</v>
      </c>
      <c r="AC801" s="0" t="n">
        <v>1030058</v>
      </c>
    </row>
    <row r="802" customFormat="false" ht="12.75" hidden="false" customHeight="true" outlineLevel="0" collapsed="false">
      <c r="A802" s="9" t="n">
        <v>2</v>
      </c>
      <c r="B802" s="10" t="n">
        <v>46150</v>
      </c>
      <c r="C802" s="10" t="n">
        <v>46213</v>
      </c>
      <c r="D802" s="9" t="n">
        <v>1100</v>
      </c>
      <c r="E802" s="11" t="s">
        <v>327</v>
      </c>
      <c r="F802" s="9" t="n">
        <v>46</v>
      </c>
      <c r="G802" s="11" t="s">
        <v>319</v>
      </c>
      <c r="H802" s="9" t="n">
        <v>2110405</v>
      </c>
      <c r="I802" s="11" t="s">
        <v>56</v>
      </c>
      <c r="J802" s="9" t="n">
        <v>1067484</v>
      </c>
      <c r="L802" s="9" t="n">
        <v>139909</v>
      </c>
      <c r="M802" s="11" t="s">
        <v>44</v>
      </c>
      <c r="N802" s="11" t="s">
        <v>45</v>
      </c>
      <c r="P802" s="9" t="n">
        <v>113</v>
      </c>
      <c r="Q802" s="11" t="s">
        <v>46</v>
      </c>
      <c r="R802" s="11" t="s">
        <v>39</v>
      </c>
      <c r="S802" s="9" t="n">
        <v>4210227</v>
      </c>
      <c r="T802" s="11" t="s">
        <v>68</v>
      </c>
      <c r="U802" s="12" t="n">
        <v>340</v>
      </c>
      <c r="W802" s="12" t="n">
        <v>340</v>
      </c>
      <c r="X802" s="11" t="s">
        <v>846</v>
      </c>
      <c r="Z802" s="0" t="str">
        <f aca="false">IF($T802="","",IFERROR(INDEX('Resumo Grupos'!$AC$3:$AC$200,MATCH($T802,'Resumo Grupos'!$AB$3:$AB$200,0)),"n/d"))</f>
        <v>Despesa</v>
      </c>
      <c r="AA802" s="0" t="str">
        <f aca="false">IF($T802="","",IF(COUNTIF('Resumo Grupos'!$AE$3:$AE$40,$T802)&gt;0,"NAO","SIM"))</f>
        <v>SIM</v>
      </c>
      <c r="AB802" s="0" t="str">
        <f aca="false">IFERROR(INDEX('Mov Entradas (Rel 10497)'!$L:$L,MATCH(AC802,'Mov Entradas (Rel 10497)'!$I:$I,0)),"nao encontrado")</f>
        <v>nao encontrado</v>
      </c>
      <c r="AC802" s="0" t="n">
        <v>8973</v>
      </c>
    </row>
    <row r="803" customFormat="false" ht="12.75" hidden="false" customHeight="true" outlineLevel="0" collapsed="false">
      <c r="A803" s="9" t="n">
        <v>2</v>
      </c>
      <c r="B803" s="10" t="n">
        <v>46183</v>
      </c>
      <c r="C803" s="10" t="n">
        <v>46213</v>
      </c>
      <c r="D803" s="9" t="n">
        <v>1100</v>
      </c>
      <c r="E803" s="11" t="s">
        <v>327</v>
      </c>
      <c r="F803" s="9" t="n">
        <v>46</v>
      </c>
      <c r="G803" s="11" t="s">
        <v>319</v>
      </c>
      <c r="H803" s="9" t="n">
        <v>2110101</v>
      </c>
      <c r="I803" s="11" t="s">
        <v>43</v>
      </c>
      <c r="J803" s="9" t="n">
        <v>1230732</v>
      </c>
      <c r="L803" s="9" t="n">
        <v>1399</v>
      </c>
      <c r="M803" s="11" t="s">
        <v>44</v>
      </c>
      <c r="N803" s="11" t="s">
        <v>112</v>
      </c>
      <c r="P803" s="9" t="n">
        <v>101</v>
      </c>
      <c r="Q803" s="11" t="s">
        <v>57</v>
      </c>
      <c r="R803" s="11" t="s">
        <v>259</v>
      </c>
      <c r="S803" s="9" t="n">
        <v>2110101</v>
      </c>
      <c r="T803" s="11" t="s">
        <v>43</v>
      </c>
      <c r="U803" s="12" t="n">
        <v>226.67</v>
      </c>
      <c r="W803" s="12" t="n">
        <v>0</v>
      </c>
      <c r="X803" s="11" t="s">
        <v>847</v>
      </c>
      <c r="Z803" s="0" t="str">
        <f aca="false">IF($T803="","",IFERROR(INDEX('Resumo Grupos'!$AC$3:$AC$200,MATCH($T803,'Resumo Grupos'!$AB$3:$AB$200,0)),"n/d"))</f>
        <v>Despesa</v>
      </c>
      <c r="AA803" s="0" t="str">
        <f aca="false">IF($T803="","",IF(COUNTIF('Resumo Grupos'!$AE$3:$AE$40,$T803)&gt;0,"NAO","SIM"))</f>
        <v>SIM</v>
      </c>
      <c r="AB803" s="0" t="str">
        <f aca="false">IFERROR(INDEX('Mov Entradas (Rel 10497)'!$L:$L,MATCH(AC803,'Mov Entradas (Rel 10497)'!$I:$I,0)),"nao encontrado")</f>
        <v>nao encontrado</v>
      </c>
      <c r="AC803" s="0" t="n">
        <v>8973</v>
      </c>
    </row>
    <row r="804" customFormat="false" ht="12.75" hidden="false" customHeight="true" outlineLevel="0" collapsed="false">
      <c r="A804" s="9" t="n">
        <v>2</v>
      </c>
      <c r="B804" s="10" t="n">
        <v>46078</v>
      </c>
      <c r="C804" s="10" t="n">
        <v>46213</v>
      </c>
      <c r="D804" s="9" t="n">
        <v>1869</v>
      </c>
      <c r="E804" s="11" t="s">
        <v>330</v>
      </c>
      <c r="F804" s="9" t="n">
        <v>46</v>
      </c>
      <c r="G804" s="11" t="s">
        <v>319</v>
      </c>
      <c r="H804" s="9" t="n">
        <v>2110101</v>
      </c>
      <c r="I804" s="11" t="s">
        <v>43</v>
      </c>
      <c r="J804" s="9" t="n">
        <v>717667</v>
      </c>
      <c r="L804" s="9" t="n">
        <v>93850</v>
      </c>
      <c r="M804" s="11" t="s">
        <v>36</v>
      </c>
      <c r="N804" s="11" t="s">
        <v>45</v>
      </c>
      <c r="P804" s="9" t="n">
        <v>113</v>
      </c>
      <c r="Q804" s="11" t="s">
        <v>46</v>
      </c>
      <c r="R804" s="11" t="s">
        <v>39</v>
      </c>
      <c r="S804" s="9" t="n">
        <v>4210227</v>
      </c>
      <c r="T804" s="11" t="s">
        <v>68</v>
      </c>
      <c r="U804" s="12" t="n">
        <v>283.67</v>
      </c>
      <c r="W804" s="12" t="n">
        <v>0</v>
      </c>
      <c r="X804" s="11" t="s">
        <v>848</v>
      </c>
      <c r="Z804" s="0" t="str">
        <f aca="false">IF($T804="","",IFERROR(INDEX('Resumo Grupos'!$AC$3:$AC$200,MATCH($T804,'Resumo Grupos'!$AB$3:$AB$200,0)),"n/d"))</f>
        <v>Despesa</v>
      </c>
      <c r="AA804" s="0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9" t="n">
        <v>2</v>
      </c>
      <c r="B805" s="10" t="n">
        <v>46206</v>
      </c>
      <c r="C805" s="10" t="n">
        <v>46213</v>
      </c>
      <c r="D805" s="9" t="n">
        <v>1621</v>
      </c>
      <c r="E805" s="11" t="s">
        <v>232</v>
      </c>
      <c r="F805" s="9" t="n">
        <v>24</v>
      </c>
      <c r="G805" s="11" t="s">
        <v>51</v>
      </c>
      <c r="H805" s="9" t="n">
        <v>2110101</v>
      </c>
      <c r="I805" s="11" t="s">
        <v>43</v>
      </c>
      <c r="J805" s="9" t="n">
        <v>1345469</v>
      </c>
      <c r="L805" s="9" t="n">
        <v>888702</v>
      </c>
      <c r="M805" s="11" t="s">
        <v>52</v>
      </c>
      <c r="N805" s="11" t="s">
        <v>37</v>
      </c>
      <c r="P805" s="9" t="n">
        <v>113</v>
      </c>
      <c r="Q805" s="11" t="s">
        <v>46</v>
      </c>
      <c r="R805" s="11" t="s">
        <v>47</v>
      </c>
      <c r="S805" s="9" t="n">
        <v>1130101</v>
      </c>
      <c r="T805" s="11" t="s">
        <v>48</v>
      </c>
      <c r="U805" s="12" t="n">
        <v>2293.67</v>
      </c>
      <c r="W805" s="12" t="n">
        <v>0</v>
      </c>
      <c r="X805" s="11" t="s">
        <v>849</v>
      </c>
      <c r="Z805" s="0" t="str">
        <f aca="false">IF($T805="","",IFERROR(INDEX('Resumo Grupos'!$AC$3:$AC$200,MATCH($T805,'Resumo Grupos'!$AB$3:$AB$200,0)),"n/d"))</f>
        <v>Mercadoria</v>
      </c>
      <c r="AA805" s="0" t="str">
        <f aca="false">IF($T805="","",IF(COUNTIF('Resumo Grupos'!$AE$3:$AE$40,$T805)&gt;0,"NAO","SIM"))</f>
        <v>SIM</v>
      </c>
      <c r="AB805" s="0" t="str">
        <f aca="false">IFERROR(INDEX('Mov Entradas (Rel 10497)'!$L:$L,MATCH(AC805,'Mov Entradas (Rel 10497)'!$I:$I,0)),"nao encontrado")</f>
        <v>CERV BRAHMA ZERO 350ML</v>
      </c>
      <c r="AC805" s="0" t="n">
        <v>888702</v>
      </c>
    </row>
    <row r="806" customFormat="false" ht="12.75" hidden="false" customHeight="true" outlineLevel="0" collapsed="false">
      <c r="A806" s="9" t="n">
        <v>2</v>
      </c>
      <c r="B806" s="10" t="n">
        <v>46206</v>
      </c>
      <c r="C806" s="10" t="n">
        <v>46213</v>
      </c>
      <c r="D806" s="9" t="n">
        <v>1621</v>
      </c>
      <c r="E806" s="11" t="s">
        <v>232</v>
      </c>
      <c r="F806" s="9" t="n">
        <v>24</v>
      </c>
      <c r="G806" s="11" t="s">
        <v>51</v>
      </c>
      <c r="H806" s="9" t="n">
        <v>2110101</v>
      </c>
      <c r="I806" s="11" t="s">
        <v>43</v>
      </c>
      <c r="J806" s="9" t="n">
        <v>1345477</v>
      </c>
      <c r="L806" s="9" t="n">
        <v>180727</v>
      </c>
      <c r="M806" s="11" t="s">
        <v>52</v>
      </c>
      <c r="N806" s="11" t="s">
        <v>45</v>
      </c>
      <c r="P806" s="9" t="n">
        <v>113</v>
      </c>
      <c r="Q806" s="11" t="s">
        <v>46</v>
      </c>
      <c r="R806" s="11" t="s">
        <v>47</v>
      </c>
      <c r="S806" s="9" t="n">
        <v>1130101</v>
      </c>
      <c r="T806" s="11" t="s">
        <v>48</v>
      </c>
      <c r="U806" s="12" t="n">
        <v>1.55</v>
      </c>
      <c r="W806" s="12" t="n">
        <v>0</v>
      </c>
      <c r="X806" s="11" t="s">
        <v>850</v>
      </c>
      <c r="Z806" s="0" t="str">
        <f aca="false">IF($T806="","",IFERROR(INDEX('Resumo Grupos'!$AC$3:$AC$200,MATCH($T806,'Resumo Grupos'!$AB$3:$AB$200,0)),"n/d"))</f>
        <v>Mercadoria</v>
      </c>
      <c r="AA806" s="0" t="str">
        <f aca="false">IF($T806="","",IF(COUNTIF('Resumo Grupos'!$AE$3:$AE$40,$T806)&gt;0,"NAO","SIM"))</f>
        <v>SIM</v>
      </c>
      <c r="AB806" s="0" t="str">
        <f aca="false">IFERROR(INDEX('Mov Entradas (Rel 10497)'!$L:$L,MATCH(AC806,'Mov Entradas (Rel 10497)'!$I:$I,0)),"nao encontrado")</f>
        <v>CERV BRAHMA ZERO 350ML</v>
      </c>
      <c r="AC806" s="0" t="n">
        <v>888702</v>
      </c>
    </row>
    <row r="807" customFormat="false" ht="12.75" hidden="false" customHeight="true" outlineLevel="0" collapsed="false">
      <c r="A807" s="9" t="n">
        <v>2</v>
      </c>
      <c r="B807" s="10" t="n">
        <v>46191</v>
      </c>
      <c r="C807" s="10" t="n">
        <v>46213</v>
      </c>
      <c r="D807" s="9" t="n">
        <v>1718</v>
      </c>
      <c r="E807" s="11" t="s">
        <v>236</v>
      </c>
      <c r="F807" s="9" t="n">
        <v>24</v>
      </c>
      <c r="G807" s="11" t="s">
        <v>51</v>
      </c>
      <c r="H807" s="9" t="n">
        <v>2110101</v>
      </c>
      <c r="I807" s="11" t="s">
        <v>43</v>
      </c>
      <c r="J807" s="9" t="n">
        <v>1269305</v>
      </c>
      <c r="L807" s="9" t="n">
        <v>674937</v>
      </c>
      <c r="M807" s="11" t="s">
        <v>44</v>
      </c>
      <c r="N807" s="11" t="s">
        <v>37</v>
      </c>
      <c r="P807" s="9" t="n">
        <v>113</v>
      </c>
      <c r="Q807" s="11" t="s">
        <v>46</v>
      </c>
      <c r="R807" s="11" t="s">
        <v>47</v>
      </c>
      <c r="S807" s="9" t="n">
        <v>1130101</v>
      </c>
      <c r="T807" s="11" t="s">
        <v>48</v>
      </c>
      <c r="U807" s="12" t="n">
        <v>1055.34</v>
      </c>
      <c r="W807" s="12" t="n">
        <v>0</v>
      </c>
      <c r="X807" s="11" t="s">
        <v>742</v>
      </c>
      <c r="Z807" s="0" t="str">
        <f aca="false">IF($T807="","",IFERROR(INDEX('Resumo Grupos'!$AC$3:$AC$200,MATCH($T807,'Resumo Grupos'!$AB$3:$AB$200,0)),"n/d"))</f>
        <v>Mercadoria</v>
      </c>
      <c r="AA807" s="0" t="str">
        <f aca="false">IF($T807="","",IF(COUNTIF('Resumo Grupos'!$AE$3:$AE$40,$T807)&gt;0,"NAO","SIM"))</f>
        <v>SIM</v>
      </c>
      <c r="AB807" s="0" t="str">
        <f aca="false">IFERROR(INDEX('Mov Entradas (Rel 10497)'!$L:$L,MATCH(AC807,'Mov Entradas (Rel 10497)'!$I:$I,0)),"nao encontrado")</f>
        <v>BISCOITO OREO 36G</v>
      </c>
      <c r="AC807" s="0" t="n">
        <v>674937</v>
      </c>
    </row>
    <row r="808" customFormat="false" ht="12.75" hidden="false" customHeight="true" outlineLevel="0" collapsed="false">
      <c r="A808" s="9" t="n">
        <v>2</v>
      </c>
      <c r="B808" s="10" t="n">
        <v>46195</v>
      </c>
      <c r="C808" s="10" t="n">
        <v>46213</v>
      </c>
      <c r="D808" s="9" t="n">
        <v>1608</v>
      </c>
      <c r="E808" s="11" t="s">
        <v>240</v>
      </c>
      <c r="F808" s="9" t="n">
        <v>24</v>
      </c>
      <c r="G808" s="11" t="s">
        <v>51</v>
      </c>
      <c r="H808" s="9" t="n">
        <v>2110101</v>
      </c>
      <c r="I808" s="11" t="s">
        <v>43</v>
      </c>
      <c r="J808" s="9" t="n">
        <v>1289449</v>
      </c>
      <c r="L808" s="9" t="n">
        <v>1676804</v>
      </c>
      <c r="M808" s="11" t="s">
        <v>44</v>
      </c>
      <c r="N808" s="11" t="s">
        <v>37</v>
      </c>
      <c r="P808" s="9" t="n">
        <v>113</v>
      </c>
      <c r="Q808" s="11" t="s">
        <v>46</v>
      </c>
      <c r="R808" s="11" t="s">
        <v>47</v>
      </c>
      <c r="S808" s="9" t="n">
        <v>1130101</v>
      </c>
      <c r="T808" s="11" t="s">
        <v>48</v>
      </c>
      <c r="U808" s="12" t="n">
        <v>1154.88</v>
      </c>
      <c r="W808" s="12" t="n">
        <v>0</v>
      </c>
      <c r="X808" s="11" t="s">
        <v>743</v>
      </c>
      <c r="Z808" s="0" t="str">
        <f aca="false">IF($T808="","",IFERROR(INDEX('Resumo Grupos'!$AC$3:$AC$200,MATCH($T808,'Resumo Grupos'!$AB$3:$AB$200,0)),"n/d"))</f>
        <v>Mercadoria</v>
      </c>
      <c r="AA808" s="0" t="str">
        <f aca="false">IF($T808="","",IF(COUNTIF('Resumo Grupos'!$AE$3:$AE$40,$T808)&gt;0,"NAO","SIM"))</f>
        <v>SIM</v>
      </c>
      <c r="AB808" s="0" t="str">
        <f aca="false">IFERROR(INDEX('Mov Entradas (Rel 10497)'!$L:$L,MATCH(AC808,'Mov Entradas (Rel 10497)'!$I:$I,0)),"nao encontrado")</f>
        <v>TODDYNHO CHOCOLATE</v>
      </c>
      <c r="AC808" s="0" t="n">
        <v>1676804</v>
      </c>
    </row>
    <row r="809" customFormat="false" ht="12.75" hidden="false" customHeight="true" outlineLevel="0" collapsed="false">
      <c r="A809" s="9" t="n">
        <v>2</v>
      </c>
      <c r="B809" s="10" t="n">
        <v>46198</v>
      </c>
      <c r="C809" s="10" t="n">
        <v>46213</v>
      </c>
      <c r="D809" s="9" t="n">
        <v>1218</v>
      </c>
      <c r="E809" s="11" t="s">
        <v>659</v>
      </c>
      <c r="F809" s="9" t="n">
        <v>24</v>
      </c>
      <c r="G809" s="11" t="s">
        <v>51</v>
      </c>
      <c r="H809" s="9" t="n">
        <v>2110101</v>
      </c>
      <c r="I809" s="11" t="s">
        <v>43</v>
      </c>
      <c r="J809" s="9" t="n">
        <v>1305945</v>
      </c>
      <c r="L809" s="9" t="n">
        <v>9495</v>
      </c>
      <c r="M809" s="11" t="s">
        <v>44</v>
      </c>
      <c r="N809" s="11" t="s">
        <v>37</v>
      </c>
      <c r="P809" s="9" t="n">
        <v>113</v>
      </c>
      <c r="Q809" s="11" t="s">
        <v>46</v>
      </c>
      <c r="R809" s="11" t="s">
        <v>47</v>
      </c>
      <c r="S809" s="9" t="n">
        <v>1130101</v>
      </c>
      <c r="T809" s="11" t="s">
        <v>48</v>
      </c>
      <c r="U809" s="12" t="n">
        <v>531.2</v>
      </c>
      <c r="W809" s="12" t="n">
        <v>0</v>
      </c>
      <c r="X809" s="11" t="s">
        <v>660</v>
      </c>
      <c r="Z809" s="0" t="str">
        <f aca="false">IF($T809="","",IFERROR(INDEX('Resumo Grupos'!$AC$3:$AC$200,MATCH($T809,'Resumo Grupos'!$AB$3:$AB$200,0)),"n/d"))</f>
        <v>Mercadoria</v>
      </c>
      <c r="AA809" s="0" t="str">
        <f aca="false">IF($T809="","",IF(COUNTIF('Resumo Grupos'!$AE$3:$AE$40,$T809)&gt;0,"NAO","SIM"))</f>
        <v>SIM</v>
      </c>
      <c r="AB809" s="0" t="str">
        <f aca="false">IFERROR(INDEX('Mov Entradas (Rel 10497)'!$L:$L,MATCH(AC809,'Mov Entradas (Rel 10497)'!$I:$I,0)),"nao encontrado")</f>
        <v>ANTIFER LUBFAS 300ML</v>
      </c>
      <c r="AC809" s="0" t="n">
        <v>9495</v>
      </c>
    </row>
    <row r="810" customFormat="false" ht="12.75" hidden="false" customHeight="true" outlineLevel="0" collapsed="false">
      <c r="A810" s="9" t="n">
        <v>2</v>
      </c>
      <c r="B810" s="10" t="n">
        <v>46206</v>
      </c>
      <c r="C810" s="10" t="n">
        <v>46213</v>
      </c>
      <c r="D810" s="9" t="n">
        <v>1650</v>
      </c>
      <c r="E810" s="11" t="s">
        <v>438</v>
      </c>
      <c r="F810" s="9" t="n">
        <v>24</v>
      </c>
      <c r="G810" s="11" t="s">
        <v>51</v>
      </c>
      <c r="H810" s="9" t="n">
        <v>2110101</v>
      </c>
      <c r="I810" s="11" t="s">
        <v>43</v>
      </c>
      <c r="J810" s="9" t="n">
        <v>1345530</v>
      </c>
      <c r="L810" s="9" t="n">
        <v>225160</v>
      </c>
      <c r="M810" s="11" t="s">
        <v>52</v>
      </c>
      <c r="N810" s="11" t="s">
        <v>37</v>
      </c>
      <c r="P810" s="9" t="n">
        <v>113</v>
      </c>
      <c r="Q810" s="11" t="s">
        <v>46</v>
      </c>
      <c r="R810" s="11" t="s">
        <v>47</v>
      </c>
      <c r="S810" s="9" t="n">
        <v>1130101</v>
      </c>
      <c r="T810" s="11" t="s">
        <v>48</v>
      </c>
      <c r="U810" s="12" t="n">
        <v>393.86</v>
      </c>
      <c r="W810" s="12" t="n">
        <v>0</v>
      </c>
      <c r="X810" s="11" t="s">
        <v>851</v>
      </c>
      <c r="Z810" s="0" t="str">
        <f aca="false">IF($T810="","",IFERROR(INDEX('Resumo Grupos'!$AC$3:$AC$200,MATCH($T810,'Resumo Grupos'!$AB$3:$AB$200,0)),"n/d"))</f>
        <v>Mercadoria</v>
      </c>
      <c r="AA810" s="0" t="str">
        <f aca="false">IF($T810="","",IF(COUNTIF('Resumo Grupos'!$AE$3:$AE$40,$T810)&gt;0,"NAO","SIM"))</f>
        <v>SIM</v>
      </c>
      <c r="AB810" s="0" t="str">
        <f aca="false">IFERROR(INDEX('Mov Entradas (Rel 10497)'!$L:$L,MATCH(AC810,'Mov Entradas (Rel 10497)'!$I:$I,0)),"nao encontrado")</f>
        <v>IOG.B.COMODORO SAC</v>
      </c>
      <c r="AC810" s="0" t="n">
        <v>225160</v>
      </c>
    </row>
    <row r="811" customFormat="false" ht="12.75" hidden="false" customHeight="true" outlineLevel="0" collapsed="false">
      <c r="A811" s="9" t="n">
        <v>2</v>
      </c>
      <c r="B811" s="10" t="n">
        <v>46206</v>
      </c>
      <c r="C811" s="10" t="n">
        <v>46213</v>
      </c>
      <c r="D811" s="9" t="n">
        <v>10089</v>
      </c>
      <c r="E811" s="11" t="s">
        <v>852</v>
      </c>
      <c r="F811" s="9" t="n">
        <v>24</v>
      </c>
      <c r="G811" s="11" t="s">
        <v>51</v>
      </c>
      <c r="H811" s="9" t="n">
        <v>2110101</v>
      </c>
      <c r="I811" s="11" t="s">
        <v>43</v>
      </c>
      <c r="J811" s="9" t="n">
        <v>1345178</v>
      </c>
      <c r="L811" s="9" t="n">
        <v>890</v>
      </c>
      <c r="M811" s="11" t="s">
        <v>52</v>
      </c>
      <c r="N811" s="11" t="s">
        <v>37</v>
      </c>
      <c r="P811" s="9" t="n">
        <v>113</v>
      </c>
      <c r="Q811" s="11" t="s">
        <v>46</v>
      </c>
      <c r="R811" s="11" t="s">
        <v>47</v>
      </c>
      <c r="S811" s="9" t="n">
        <v>1130101</v>
      </c>
      <c r="T811" s="11" t="s">
        <v>48</v>
      </c>
      <c r="U811" s="12" t="n">
        <v>368.4</v>
      </c>
      <c r="W811" s="12" t="n">
        <v>0</v>
      </c>
      <c r="X811" s="11" t="s">
        <v>853</v>
      </c>
      <c r="Z811" s="0" t="str">
        <f aca="false">IF($T811="","",IFERROR(INDEX('Resumo Grupos'!$AC$3:$AC$200,MATCH($T811,'Resumo Grupos'!$AB$3:$AB$200,0)),"n/d"))</f>
        <v>Mercadoria</v>
      </c>
      <c r="AA811" s="0" t="str">
        <f aca="false">IF($T811="","",IF(COUNTIF('Resumo Grupos'!$AE$3:$AE$40,$T811)&gt;0,"NAO","SIM"))</f>
        <v>SIM</v>
      </c>
      <c r="AB811" s="0" t="str">
        <f aca="false">IFERROR(INDEX('Mov Entradas (Rel 10497)'!$L:$L,MATCH(AC811,'Mov Entradas (Rel 10497)'!$I:$I,0)),"nao encontrado")</f>
        <v>BANANINHA CROC TAYNA</v>
      </c>
      <c r="AC811" s="0" t="n">
        <v>890</v>
      </c>
    </row>
    <row r="812" customFormat="false" ht="12.75" hidden="false" customHeight="true" outlineLevel="0" collapsed="false">
      <c r="A812" s="9" t="n">
        <v>2</v>
      </c>
      <c r="B812" s="10" t="n">
        <v>46199</v>
      </c>
      <c r="C812" s="10" t="n">
        <v>46213</v>
      </c>
      <c r="D812" s="9" t="n">
        <v>1242</v>
      </c>
      <c r="E812" s="11" t="s">
        <v>854</v>
      </c>
      <c r="F812" s="9" t="n">
        <v>46</v>
      </c>
      <c r="G812" s="11" t="s">
        <v>319</v>
      </c>
      <c r="H812" s="9" t="n">
        <v>2110405</v>
      </c>
      <c r="I812" s="11" t="s">
        <v>56</v>
      </c>
      <c r="J812" s="9" t="n">
        <v>1309772</v>
      </c>
      <c r="L812" s="9" t="n">
        <v>6022</v>
      </c>
      <c r="M812" s="11" t="s">
        <v>52</v>
      </c>
      <c r="N812" s="11" t="s">
        <v>45</v>
      </c>
      <c r="P812" s="9" t="n">
        <v>101</v>
      </c>
      <c r="Q812" s="11" t="s">
        <v>57</v>
      </c>
      <c r="R812" s="11" t="s">
        <v>71</v>
      </c>
      <c r="S812" s="9" t="n">
        <v>4210317</v>
      </c>
      <c r="T812" s="11" t="s">
        <v>855</v>
      </c>
      <c r="U812" s="12" t="n">
        <v>160</v>
      </c>
      <c r="W812" s="12" t="n">
        <v>0</v>
      </c>
      <c r="X812" s="11" t="s">
        <v>856</v>
      </c>
      <c r="Z812" s="0" t="str">
        <f aca="false">IF($T812="","",IFERROR(INDEX('Resumo Grupos'!$AC$3:$AC$200,MATCH($T812,'Resumo Grupos'!$AB$3:$AB$200,0)),"n/d"))</f>
        <v>Salários</v>
      </c>
      <c r="AA812" s="0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9" t="n">
        <v>2</v>
      </c>
      <c r="B813" s="10" t="n">
        <v>46213</v>
      </c>
      <c r="C813" s="10" t="n">
        <v>46213</v>
      </c>
      <c r="D813" s="9" t="n">
        <v>10096</v>
      </c>
      <c r="E813" s="11" t="s">
        <v>622</v>
      </c>
      <c r="F813" s="9" t="n">
        <v>13</v>
      </c>
      <c r="G813" s="11" t="s">
        <v>135</v>
      </c>
      <c r="H813" s="9" t="n">
        <v>2110405</v>
      </c>
      <c r="I813" s="11" t="s">
        <v>56</v>
      </c>
      <c r="J813" s="9" t="n">
        <v>1428708</v>
      </c>
      <c r="L813" s="9" t="n">
        <v>191317</v>
      </c>
      <c r="M813" s="11" t="s">
        <v>52</v>
      </c>
      <c r="N813" s="11" t="s">
        <v>45</v>
      </c>
      <c r="P813" s="9" t="n">
        <v>113</v>
      </c>
      <c r="Q813" s="11" t="s">
        <v>46</v>
      </c>
      <c r="R813" s="11" t="s">
        <v>47</v>
      </c>
      <c r="S813" s="9" t="n">
        <v>1130101</v>
      </c>
      <c r="T813" s="11" t="s">
        <v>48</v>
      </c>
      <c r="U813" s="12" t="n">
        <v>200</v>
      </c>
      <c r="W813" s="12" t="n">
        <v>0</v>
      </c>
      <c r="X813" s="11" t="s">
        <v>857</v>
      </c>
      <c r="Z813" s="0" t="str">
        <f aca="false">IF($T813="","",IFERROR(INDEX('Resumo Grupos'!$AC$3:$AC$200,MATCH($T813,'Resumo Grupos'!$AB$3:$AB$200,0)),"n/d"))</f>
        <v>Mercadoria</v>
      </c>
      <c r="AA813" s="0" t="str">
        <f aca="false">IF($T813="","",IF(COUNTIF('Resumo Grupos'!$AE$3:$AE$40,$T813)&gt;0,"NAO","SIM"))</f>
        <v>SIM</v>
      </c>
      <c r="AB813" s="0" t="str">
        <f aca="false">IFERROR(INDEX('Mov Entradas (Rel 10497)'!$L:$L,MATCH(AC813,'Mov Entradas (Rel 10497)'!$I:$I,0)),"nao encontrado")</f>
        <v>BOLO MIYAZAKI GRANDE</v>
      </c>
      <c r="AC813" s="0" t="n">
        <v>20</v>
      </c>
    </row>
    <row r="814" customFormat="false" ht="12.75" hidden="false" customHeight="true" outlineLevel="0" collapsed="false">
      <c r="A814" s="9" t="n">
        <v>2</v>
      </c>
      <c r="B814" s="10" t="n">
        <v>46206</v>
      </c>
      <c r="C814" s="10" t="n">
        <v>46213</v>
      </c>
      <c r="D814" s="9" t="n">
        <v>1609</v>
      </c>
      <c r="E814" s="11" t="s">
        <v>84</v>
      </c>
      <c r="F814" s="9" t="n">
        <v>24</v>
      </c>
      <c r="G814" s="11" t="s">
        <v>51</v>
      </c>
      <c r="H814" s="9" t="n">
        <v>2110101</v>
      </c>
      <c r="I814" s="11" t="s">
        <v>43</v>
      </c>
      <c r="J814" s="9" t="n">
        <v>1344581</v>
      </c>
      <c r="L814" s="9" t="n">
        <v>5765</v>
      </c>
      <c r="M814" s="11" t="s">
        <v>52</v>
      </c>
      <c r="N814" s="11" t="s">
        <v>37</v>
      </c>
      <c r="P814" s="9" t="n">
        <v>113</v>
      </c>
      <c r="Q814" s="11" t="s">
        <v>46</v>
      </c>
      <c r="R814" s="11" t="s">
        <v>47</v>
      </c>
      <c r="S814" s="9" t="n">
        <v>1130101</v>
      </c>
      <c r="T814" s="11" t="s">
        <v>48</v>
      </c>
      <c r="U814" s="12" t="n">
        <v>430.3</v>
      </c>
      <c r="W814" s="12" t="n">
        <v>0</v>
      </c>
      <c r="X814" s="11" t="s">
        <v>858</v>
      </c>
      <c r="Z814" s="0" t="str">
        <f aca="false">IF($T814="","",IFERROR(INDEX('Resumo Grupos'!$AC$3:$AC$200,MATCH($T814,'Resumo Grupos'!$AB$3:$AB$200,0)),"n/d"))</f>
        <v>Mercadoria</v>
      </c>
      <c r="AA814" s="0" t="str">
        <f aca="false">IF($T814="","",IF(COUNTIF('Resumo Grupos'!$AE$3:$AE$40,$T814)&gt;0,"NAO","SIM"))</f>
        <v>SIM</v>
      </c>
      <c r="AB814" s="0" t="str">
        <f aca="false">IFERROR(INDEX('Mov Entradas (Rel 10497)'!$L:$L,MATCH(AC814,'Mov Entradas (Rel 10497)'!$I:$I,0)),"nao encontrado")</f>
        <v>IOG. GARRAFA BANANA 500G</v>
      </c>
      <c r="AC814" s="0" t="n">
        <v>5765</v>
      </c>
    </row>
    <row r="815" customFormat="false" ht="12.75" hidden="false" customHeight="true" outlineLevel="0" collapsed="false">
      <c r="A815" s="9" t="n">
        <v>2</v>
      </c>
      <c r="B815" s="10" t="n">
        <v>46202</v>
      </c>
      <c r="C815" s="10" t="n">
        <v>46213</v>
      </c>
      <c r="D815" s="9" t="n">
        <v>1815</v>
      </c>
      <c r="E815" s="11" t="s">
        <v>172</v>
      </c>
      <c r="F815" s="9" t="n">
        <v>24</v>
      </c>
      <c r="G815" s="11" t="s">
        <v>51</v>
      </c>
      <c r="H815" s="9" t="n">
        <v>2110101</v>
      </c>
      <c r="I815" s="11" t="s">
        <v>43</v>
      </c>
      <c r="J815" s="9" t="n">
        <v>1321697</v>
      </c>
      <c r="L815" s="9" t="n">
        <v>175256</v>
      </c>
      <c r="M815" s="11" t="s">
        <v>52</v>
      </c>
      <c r="N815" s="11" t="s">
        <v>45</v>
      </c>
      <c r="P815" s="9" t="n">
        <v>113</v>
      </c>
      <c r="Q815" s="11" t="s">
        <v>46</v>
      </c>
      <c r="R815" s="11" t="s">
        <v>47</v>
      </c>
      <c r="S815" s="9" t="n">
        <v>1130101</v>
      </c>
      <c r="T815" s="11" t="s">
        <v>48</v>
      </c>
      <c r="U815" s="12" t="n">
        <v>371.88</v>
      </c>
      <c r="W815" s="12" t="n">
        <v>0</v>
      </c>
      <c r="X815" s="11"/>
      <c r="Z815" s="0" t="str">
        <f aca="false">IF($T815="","",IFERROR(INDEX('Resumo Grupos'!$AC$3:$AC$200,MATCH($T815,'Resumo Grupos'!$AB$3:$AB$200,0)),"n/d"))</f>
        <v>Mercadoria</v>
      </c>
      <c r="AA815" s="0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9" t="n">
        <v>2</v>
      </c>
      <c r="B816" s="10" t="n">
        <v>46199</v>
      </c>
      <c r="C816" s="10" t="n">
        <v>46213</v>
      </c>
      <c r="D816" s="9" t="n">
        <v>1699</v>
      </c>
      <c r="E816" s="11" t="s">
        <v>248</v>
      </c>
      <c r="F816" s="9" t="n">
        <v>24</v>
      </c>
      <c r="G816" s="11" t="s">
        <v>51</v>
      </c>
      <c r="H816" s="9" t="n">
        <v>2110101</v>
      </c>
      <c r="I816" s="11" t="s">
        <v>43</v>
      </c>
      <c r="J816" s="9" t="n">
        <v>1310401</v>
      </c>
      <c r="L816" s="9" t="n">
        <v>305929</v>
      </c>
      <c r="M816" s="11" t="s">
        <v>44</v>
      </c>
      <c r="N816" s="11" t="s">
        <v>37</v>
      </c>
      <c r="P816" s="9" t="n">
        <v>113</v>
      </c>
      <c r="Q816" s="11" t="s">
        <v>46</v>
      </c>
      <c r="R816" s="11" t="s">
        <v>47</v>
      </c>
      <c r="S816" s="9" t="n">
        <v>1130101</v>
      </c>
      <c r="T816" s="11" t="s">
        <v>48</v>
      </c>
      <c r="U816" s="12" t="n">
        <v>1184.07</v>
      </c>
      <c r="W816" s="12" t="n">
        <v>0</v>
      </c>
      <c r="X816" s="11" t="s">
        <v>752</v>
      </c>
      <c r="Z816" s="0" t="str">
        <f aca="false">IF($T816="","",IFERROR(INDEX('Resumo Grupos'!$AC$3:$AC$200,MATCH($T816,'Resumo Grupos'!$AB$3:$AB$200,0)),"n/d"))</f>
        <v>Mercadoria</v>
      </c>
      <c r="AA816" s="0" t="str">
        <f aca="false">IF($T816="","",IF(COUNTIF('Resumo Grupos'!$AE$3:$AE$40,$T816)&gt;0,"NAO","SIM"))</f>
        <v>SIM</v>
      </c>
      <c r="AB816" s="0" t="str">
        <f aca="false">IFERROR(INDEX('Mov Entradas (Rel 10497)'!$L:$L,MATCH(AC816,'Mov Entradas (Rel 10497)'!$I:$I,0)),"nao encontrado")</f>
        <v>LING CALABRESA PERD</v>
      </c>
      <c r="AC816" s="0" t="n">
        <v>305929</v>
      </c>
    </row>
    <row r="817" customFormat="false" ht="12.75" hidden="false" customHeight="true" outlineLevel="0" collapsed="false">
      <c r="A817" s="9" t="n">
        <v>2</v>
      </c>
      <c r="B817" s="10" t="n">
        <v>46207</v>
      </c>
      <c r="C817" s="10" t="n">
        <v>46213</v>
      </c>
      <c r="D817" s="9" t="n">
        <v>1625</v>
      </c>
      <c r="E817" s="11" t="s">
        <v>270</v>
      </c>
      <c r="F817" s="9" t="n">
        <v>24</v>
      </c>
      <c r="G817" s="11" t="s">
        <v>51</v>
      </c>
      <c r="H817" s="9" t="n">
        <v>2110101</v>
      </c>
      <c r="I817" s="11" t="s">
        <v>43</v>
      </c>
      <c r="J817" s="9" t="n">
        <v>1348589</v>
      </c>
      <c r="L817" s="9" t="n">
        <v>14615</v>
      </c>
      <c r="M817" s="11" t="s">
        <v>52</v>
      </c>
      <c r="N817" s="11" t="s">
        <v>37</v>
      </c>
      <c r="P817" s="9" t="n">
        <v>113</v>
      </c>
      <c r="Q817" s="11" t="s">
        <v>46</v>
      </c>
      <c r="R817" s="11" t="s">
        <v>47</v>
      </c>
      <c r="S817" s="9" t="n">
        <v>1130101</v>
      </c>
      <c r="T817" s="11" t="s">
        <v>48</v>
      </c>
      <c r="U817" s="12" t="n">
        <v>5738.21</v>
      </c>
      <c r="W817" s="12" t="n">
        <v>0</v>
      </c>
      <c r="X817" s="11" t="s">
        <v>859</v>
      </c>
      <c r="Z817" s="0" t="str">
        <f aca="false">IF($T817="","",IFERROR(INDEX('Resumo Grupos'!$AC$3:$AC$200,MATCH($T817,'Resumo Grupos'!$AB$3:$AB$200,0)),"n/d"))</f>
        <v>Mercadoria</v>
      </c>
      <c r="AA817" s="0" t="str">
        <f aca="false">IF($T817="","",IF(COUNTIF('Resumo Grupos'!$AE$3:$AE$40,$T817)&gt;0,"NAO","SIM"))</f>
        <v>SIM</v>
      </c>
      <c r="AB817" s="0" t="str">
        <f aca="false">IFERROR(INDEX('Mov Entradas (Rel 10497)'!$L:$L,MATCH(AC817,'Mov Entradas (Rel 10497)'!$I:$I,0)),"nao encontrado")</f>
        <v>TRASEIRO DE BOI L1</v>
      </c>
      <c r="AC817" s="0" t="n">
        <v>14615</v>
      </c>
    </row>
    <row r="818" customFormat="false" ht="12.75" hidden="false" customHeight="true" outlineLevel="0" collapsed="false">
      <c r="A818" s="9" t="n">
        <v>2</v>
      </c>
      <c r="B818" s="10" t="n">
        <v>46213</v>
      </c>
      <c r="C818" s="10" t="n">
        <v>46213</v>
      </c>
      <c r="D818" s="9" t="n">
        <v>513</v>
      </c>
      <c r="E818" s="11" t="s">
        <v>346</v>
      </c>
      <c r="F818" s="9" t="n">
        <v>24</v>
      </c>
      <c r="G818" s="11" t="s">
        <v>51</v>
      </c>
      <c r="H818" s="9" t="n">
        <v>2110405</v>
      </c>
      <c r="I818" s="11" t="s">
        <v>56</v>
      </c>
      <c r="J818" s="9" t="n">
        <v>1377314</v>
      </c>
      <c r="L818" s="9" t="n">
        <v>185631</v>
      </c>
      <c r="M818" s="11" t="s">
        <v>52</v>
      </c>
      <c r="N818" s="11" t="s">
        <v>45</v>
      </c>
      <c r="P818" s="9" t="n">
        <v>101</v>
      </c>
      <c r="Q818" s="11" t="s">
        <v>57</v>
      </c>
      <c r="R818" s="11" t="s">
        <v>71</v>
      </c>
      <c r="S818" s="9" t="n">
        <v>4210315</v>
      </c>
      <c r="T818" s="11" t="s">
        <v>279</v>
      </c>
      <c r="U818" s="12" t="n">
        <v>160</v>
      </c>
      <c r="W818" s="12" t="n">
        <v>0</v>
      </c>
      <c r="X818" s="11" t="s">
        <v>347</v>
      </c>
      <c r="Z818" s="0" t="str">
        <f aca="false">IF($T818="","",IFERROR(INDEX('Resumo Grupos'!$AC$3:$AC$200,MATCH($T818,'Resumo Grupos'!$AB$3:$AB$200,0)),"n/d"))</f>
        <v>Despesa</v>
      </c>
      <c r="AA818" s="0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9" t="n">
        <v>2</v>
      </c>
      <c r="B819" s="10" t="n">
        <v>46213</v>
      </c>
      <c r="C819" s="10" t="n">
        <v>46213</v>
      </c>
      <c r="D819" s="9" t="n">
        <v>48</v>
      </c>
      <c r="E819" s="11" t="s">
        <v>153</v>
      </c>
      <c r="F819" s="9" t="n">
        <v>34</v>
      </c>
      <c r="G819" s="11" t="s">
        <v>55</v>
      </c>
      <c r="H819" s="9" t="n">
        <v>2110101</v>
      </c>
      <c r="I819" s="11" t="s">
        <v>43</v>
      </c>
      <c r="J819" s="9" t="n">
        <v>1377467</v>
      </c>
      <c r="L819" s="9" t="n">
        <v>2538</v>
      </c>
      <c r="M819" s="11" t="s">
        <v>52</v>
      </c>
      <c r="N819" s="11" t="s">
        <v>37</v>
      </c>
      <c r="P819" s="9" t="n">
        <v>113</v>
      </c>
      <c r="Q819" s="11" t="s">
        <v>46</v>
      </c>
      <c r="R819" s="11" t="s">
        <v>47</v>
      </c>
      <c r="S819" s="9" t="n">
        <v>1130101</v>
      </c>
      <c r="T819" s="11" t="s">
        <v>48</v>
      </c>
      <c r="U819" s="12" t="n">
        <v>1838.6</v>
      </c>
      <c r="W819" s="12" t="n">
        <v>0</v>
      </c>
      <c r="X819" s="11" t="s">
        <v>252</v>
      </c>
      <c r="Z819" s="0" t="str">
        <f aca="false">IF($T819="","",IFERROR(INDEX('Resumo Grupos'!$AC$3:$AC$200,MATCH($T819,'Resumo Grupos'!$AB$3:$AB$200,0)),"n/d"))</f>
        <v>Mercadoria</v>
      </c>
      <c r="AA819" s="0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9" t="n">
        <v>2</v>
      </c>
      <c r="B820" s="10" t="n">
        <v>46206</v>
      </c>
      <c r="C820" s="10" t="n">
        <v>46213</v>
      </c>
      <c r="D820" s="9" t="n">
        <v>1123</v>
      </c>
      <c r="E820" s="11" t="s">
        <v>443</v>
      </c>
      <c r="F820" s="9" t="n">
        <v>24</v>
      </c>
      <c r="G820" s="11" t="s">
        <v>51</v>
      </c>
      <c r="H820" s="9" t="n">
        <v>2110101</v>
      </c>
      <c r="I820" s="11" t="s">
        <v>43</v>
      </c>
      <c r="J820" s="9" t="n">
        <v>1345621</v>
      </c>
      <c r="L820" s="9" t="n">
        <v>42910</v>
      </c>
      <c r="M820" s="11" t="s">
        <v>52</v>
      </c>
      <c r="N820" s="11" t="s">
        <v>37</v>
      </c>
      <c r="P820" s="9" t="n">
        <v>113</v>
      </c>
      <c r="Q820" s="11" t="s">
        <v>46</v>
      </c>
      <c r="R820" s="11" t="s">
        <v>47</v>
      </c>
      <c r="S820" s="9" t="n">
        <v>1130101</v>
      </c>
      <c r="T820" s="11" t="s">
        <v>48</v>
      </c>
      <c r="U820" s="12" t="n">
        <v>460</v>
      </c>
      <c r="W820" s="12" t="n">
        <v>0</v>
      </c>
      <c r="X820" s="11" t="s">
        <v>860</v>
      </c>
      <c r="Z820" s="0" t="str">
        <f aca="false">IF($T820="","",IFERROR(INDEX('Resumo Grupos'!$AC$3:$AC$200,MATCH($T820,'Resumo Grupos'!$AB$3:$AB$200,0)),"n/d"))</f>
        <v>Mercadoria</v>
      </c>
      <c r="AA820" s="0" t="str">
        <f aca="false">IF($T820="","",IF(COUNTIF('Resumo Grupos'!$AE$3:$AE$40,$T820)&gt;0,"NAO","SIM"))</f>
        <v>SIM</v>
      </c>
      <c r="AB820" s="0" t="str">
        <f aca="false">IFERROR(INDEX('Mov Entradas (Rel 10497)'!$L:$L,MATCH(AC820,'Mov Entradas (Rel 10497)'!$I:$I,0)),"nao encontrado")</f>
        <v>QUEIJO MUSSARELA INT</v>
      </c>
      <c r="AC820" s="0" t="n">
        <v>42910</v>
      </c>
    </row>
    <row r="821" customFormat="false" ht="12.75" hidden="false" customHeight="true" outlineLevel="0" collapsed="false">
      <c r="A821" s="9" t="n">
        <v>2</v>
      </c>
      <c r="B821" s="10" t="n">
        <v>46195</v>
      </c>
      <c r="C821" s="10" t="n">
        <v>46213</v>
      </c>
      <c r="D821" s="9" t="n">
        <v>1107</v>
      </c>
      <c r="E821" s="11" t="s">
        <v>254</v>
      </c>
      <c r="F821" s="9" t="n">
        <v>24</v>
      </c>
      <c r="G821" s="11" t="s">
        <v>51</v>
      </c>
      <c r="H821" s="9" t="n">
        <v>2110101</v>
      </c>
      <c r="I821" s="11" t="s">
        <v>43</v>
      </c>
      <c r="J821" s="9" t="n">
        <v>1289284</v>
      </c>
      <c r="L821" s="9" t="n">
        <v>419092</v>
      </c>
      <c r="M821" s="11" t="s">
        <v>44</v>
      </c>
      <c r="N821" s="11" t="s">
        <v>37</v>
      </c>
      <c r="P821" s="9" t="n">
        <v>113</v>
      </c>
      <c r="Q821" s="11" t="s">
        <v>46</v>
      </c>
      <c r="R821" s="11" t="s">
        <v>47</v>
      </c>
      <c r="S821" s="9" t="n">
        <v>1130101</v>
      </c>
      <c r="T821" s="11" t="s">
        <v>48</v>
      </c>
      <c r="U821" s="12" t="n">
        <v>620</v>
      </c>
      <c r="W821" s="12" t="n">
        <v>0</v>
      </c>
      <c r="X821" s="11" t="s">
        <v>756</v>
      </c>
      <c r="Z821" s="0" t="str">
        <f aca="false">IF($T821="","",IFERROR(INDEX('Resumo Grupos'!$AC$3:$AC$200,MATCH($T821,'Resumo Grupos'!$AB$3:$AB$200,0)),"n/d"))</f>
        <v>Mercadoria</v>
      </c>
      <c r="AA821" s="0" t="str">
        <f aca="false">IF($T821="","",IF(COUNTIF('Resumo Grupos'!$AE$3:$AE$40,$T821)&gt;0,"NAO","SIM"))</f>
        <v>SIM</v>
      </c>
      <c r="AB821" s="0" t="str">
        <f aca="false">IFERROR(INDEX('Mov Entradas (Rel 10497)'!$L:$L,MATCH(AC821,'Mov Entradas (Rel 10497)'!$I:$I,0)),"nao encontrado")</f>
        <v>BOLINHO MORANGO 7308</v>
      </c>
      <c r="AC821" s="0" t="n">
        <v>419092</v>
      </c>
    </row>
    <row r="822" customFormat="false" ht="12.75" hidden="false" customHeight="true" outlineLevel="0" collapsed="false">
      <c r="A822" s="9" t="n">
        <v>2</v>
      </c>
      <c r="B822" s="10" t="n">
        <v>46192</v>
      </c>
      <c r="C822" s="10" t="n">
        <v>46213</v>
      </c>
      <c r="D822" s="9" t="n">
        <v>33</v>
      </c>
      <c r="E822" s="11" t="s">
        <v>313</v>
      </c>
      <c r="F822" s="9" t="n">
        <v>34</v>
      </c>
      <c r="G822" s="11" t="s">
        <v>55</v>
      </c>
      <c r="H822" s="9" t="n">
        <v>2110405</v>
      </c>
      <c r="I822" s="11" t="s">
        <v>56</v>
      </c>
      <c r="J822" s="9" t="n">
        <v>1273759</v>
      </c>
      <c r="L822" s="9" t="n">
        <v>168794</v>
      </c>
      <c r="M822" s="11" t="s">
        <v>44</v>
      </c>
      <c r="N822" s="11" t="s">
        <v>45</v>
      </c>
      <c r="P822" s="9" t="n">
        <v>101</v>
      </c>
      <c r="Q822" s="11" t="s">
        <v>57</v>
      </c>
      <c r="R822" s="11" t="s">
        <v>58</v>
      </c>
      <c r="S822" s="9" t="n">
        <v>1240203</v>
      </c>
      <c r="T822" s="11" t="s">
        <v>59</v>
      </c>
      <c r="U822" s="12" t="n">
        <v>666.67</v>
      </c>
      <c r="W822" s="12" t="n">
        <v>0</v>
      </c>
      <c r="X822" s="11" t="s">
        <v>491</v>
      </c>
      <c r="Z822" s="0" t="str">
        <f aca="false">IF($T822="","",IFERROR(INDEX('Resumo Grupos'!$AC$3:$AC$200,MATCH($T822,'Resumo Grupos'!$AB$3:$AB$200,0)),"n/d"))</f>
        <v>Despesa</v>
      </c>
      <c r="AA822" s="0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9" t="n">
        <v>2</v>
      </c>
      <c r="B823" s="10" t="n">
        <v>46153</v>
      </c>
      <c r="C823" s="10" t="n">
        <v>46213</v>
      </c>
      <c r="D823" s="9" t="n">
        <v>10006</v>
      </c>
      <c r="E823" s="11" t="s">
        <v>206</v>
      </c>
      <c r="F823" s="9" t="n">
        <v>46</v>
      </c>
      <c r="G823" s="11" t="s">
        <v>319</v>
      </c>
      <c r="H823" s="9" t="n">
        <v>2110405</v>
      </c>
      <c r="I823" s="11" t="s">
        <v>56</v>
      </c>
      <c r="J823" s="9" t="n">
        <v>1230712</v>
      </c>
      <c r="L823" s="9" t="n">
        <v>163750</v>
      </c>
      <c r="M823" s="11" t="s">
        <v>44</v>
      </c>
      <c r="N823" s="11" t="s">
        <v>45</v>
      </c>
      <c r="P823" s="9" t="n">
        <v>101</v>
      </c>
      <c r="Q823" s="11" t="s">
        <v>57</v>
      </c>
      <c r="R823" s="11" t="s">
        <v>39</v>
      </c>
      <c r="S823" s="9" t="n">
        <v>4210232</v>
      </c>
      <c r="T823" s="11" t="s">
        <v>320</v>
      </c>
      <c r="U823" s="12" t="n">
        <v>415.26</v>
      </c>
      <c r="W823" s="12" t="n">
        <v>0</v>
      </c>
      <c r="X823" s="11" t="s">
        <v>353</v>
      </c>
      <c r="Z823" s="0" t="str">
        <f aca="false">IF($T823="","",IFERROR(INDEX('Resumo Grupos'!$AC$3:$AC$200,MATCH($T823,'Resumo Grupos'!$AB$3:$AB$200,0)),"n/d"))</f>
        <v>Despesa</v>
      </c>
      <c r="AA823" s="0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9" t="n">
        <v>2</v>
      </c>
      <c r="B824" s="10" t="n">
        <v>46213</v>
      </c>
      <c r="C824" s="10" t="n">
        <v>46213</v>
      </c>
      <c r="D824" s="9" t="n">
        <v>0</v>
      </c>
      <c r="E824" s="11" t="s">
        <v>109</v>
      </c>
      <c r="F824" s="9" t="n">
        <v>17</v>
      </c>
      <c r="G824" s="11" t="s">
        <v>110</v>
      </c>
      <c r="H824" s="9" t="n">
        <v>1110101</v>
      </c>
      <c r="I824" s="11" t="s">
        <v>111</v>
      </c>
      <c r="J824" s="9" t="n">
        <v>1427736</v>
      </c>
      <c r="L824" s="9" t="n">
        <v>1427736</v>
      </c>
      <c r="M824" s="11" t="s">
        <v>52</v>
      </c>
      <c r="N824" s="11" t="s">
        <v>112</v>
      </c>
      <c r="P824" s="9" t="n">
        <v>113</v>
      </c>
      <c r="Q824" s="11" t="s">
        <v>46</v>
      </c>
      <c r="R824" s="11" t="s">
        <v>71</v>
      </c>
      <c r="S824" s="9" t="n">
        <v>4210314</v>
      </c>
      <c r="T824" s="11" t="s">
        <v>113</v>
      </c>
      <c r="U824" s="12" t="n">
        <v>50</v>
      </c>
      <c r="W824" s="12" t="n">
        <v>50</v>
      </c>
      <c r="X824" s="11" t="s">
        <v>368</v>
      </c>
      <c r="Z824" s="0" t="str">
        <f aca="false">IF($T824="","",IFERROR(INDEX('Resumo Grupos'!$AC$3:$AC$200,MATCH($T824,'Resumo Grupos'!$AB$3:$AB$200,0)),"n/d"))</f>
        <v>Despesa</v>
      </c>
      <c r="AA824" s="0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9" t="n">
        <v>2</v>
      </c>
      <c r="B825" s="10" t="n">
        <v>46213</v>
      </c>
      <c r="C825" s="10" t="n">
        <v>46213</v>
      </c>
      <c r="D825" s="9" t="n">
        <v>0</v>
      </c>
      <c r="E825" s="11" t="s">
        <v>109</v>
      </c>
      <c r="F825" s="9" t="n">
        <v>17</v>
      </c>
      <c r="G825" s="11" t="s">
        <v>110</v>
      </c>
      <c r="H825" s="9" t="n">
        <v>1110101</v>
      </c>
      <c r="I825" s="11" t="s">
        <v>111</v>
      </c>
      <c r="J825" s="9" t="n">
        <v>1469086</v>
      </c>
      <c r="L825" s="9" t="n">
        <v>1469086</v>
      </c>
      <c r="M825" s="11" t="s">
        <v>52</v>
      </c>
      <c r="N825" s="11" t="s">
        <v>112</v>
      </c>
      <c r="P825" s="9" t="n">
        <v>113</v>
      </c>
      <c r="Q825" s="11" t="s">
        <v>46</v>
      </c>
      <c r="R825" s="11" t="s">
        <v>116</v>
      </c>
      <c r="S825" s="9" t="n">
        <v>1110203</v>
      </c>
      <c r="T825" s="11" t="s">
        <v>117</v>
      </c>
      <c r="U825" s="12" t="n">
        <v>2500</v>
      </c>
      <c r="W825" s="12" t="n">
        <v>2500</v>
      </c>
      <c r="X825" s="11" t="s">
        <v>861</v>
      </c>
      <c r="Z825" s="0" t="str">
        <f aca="false">IF($T825="","",IFERROR(INDEX('Resumo Grupos'!$AC$3:$AC$200,MATCH($T825,'Resumo Grupos'!$AB$3:$AB$200,0)),"n/d"))</f>
        <v>Despesa</v>
      </c>
      <c r="AA825" s="0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9" t="n">
        <v>2</v>
      </c>
      <c r="B826" s="10" t="n">
        <v>46200</v>
      </c>
      <c r="C826" s="10" t="n">
        <v>46213</v>
      </c>
      <c r="D826" s="9" t="n">
        <v>1666</v>
      </c>
      <c r="E826" s="11" t="s">
        <v>266</v>
      </c>
      <c r="F826" s="9" t="n">
        <v>24</v>
      </c>
      <c r="G826" s="11" t="s">
        <v>51</v>
      </c>
      <c r="H826" s="9" t="n">
        <v>2110101</v>
      </c>
      <c r="I826" s="11" t="s">
        <v>43</v>
      </c>
      <c r="J826" s="9" t="n">
        <v>1312648</v>
      </c>
      <c r="L826" s="9" t="n">
        <v>175252</v>
      </c>
      <c r="M826" s="11" t="s">
        <v>52</v>
      </c>
      <c r="N826" s="11" t="s">
        <v>45</v>
      </c>
      <c r="P826" s="9" t="n">
        <v>113</v>
      </c>
      <c r="Q826" s="11" t="s">
        <v>46</v>
      </c>
      <c r="R826" s="11" t="s">
        <v>47</v>
      </c>
      <c r="S826" s="9" t="n">
        <v>1130101</v>
      </c>
      <c r="T826" s="11" t="s">
        <v>48</v>
      </c>
      <c r="U826" s="12" t="n">
        <v>5621.36</v>
      </c>
      <c r="W826" s="12" t="n">
        <v>0</v>
      </c>
      <c r="X826" s="11" t="s">
        <v>763</v>
      </c>
      <c r="Z826" s="0" t="str">
        <f aca="false">IF($T826="","",IFERROR(INDEX('Resumo Grupos'!$AC$3:$AC$200,MATCH($T826,'Resumo Grupos'!$AB$3:$AB$200,0)),"n/d"))</f>
        <v>Mercadoria</v>
      </c>
      <c r="AA826" s="0" t="str">
        <f aca="false">IF($T826="","",IF(COUNTIF('Resumo Grupos'!$AE$3:$AE$40,$T826)&gt;0,"NAO","SIM"))</f>
        <v>SIM</v>
      </c>
      <c r="AB826" s="0" t="str">
        <f aca="false">IFERROR(INDEX('Mov Entradas (Rel 10497)'!$L:$L,MATCH(AC826,'Mov Entradas (Rel 10497)'!$I:$I,0)),"nao encontrado")</f>
        <v>DUNHILL CARLTON BLEN</v>
      </c>
      <c r="AC826" s="0" t="n">
        <v>564993</v>
      </c>
    </row>
    <row r="827" customFormat="false" ht="12.75" hidden="false" customHeight="true" outlineLevel="0" collapsed="false">
      <c r="A827" s="9" t="n">
        <v>2</v>
      </c>
      <c r="B827" s="10" t="n">
        <v>46206</v>
      </c>
      <c r="C827" s="10" t="n">
        <v>46214</v>
      </c>
      <c r="D827" s="9" t="n">
        <v>1608</v>
      </c>
      <c r="E827" s="11" t="s">
        <v>240</v>
      </c>
      <c r="F827" s="9" t="n">
        <v>24</v>
      </c>
      <c r="G827" s="11" t="s">
        <v>51</v>
      </c>
      <c r="H827" s="9" t="n">
        <v>2110101</v>
      </c>
      <c r="I827" s="11" t="s">
        <v>43</v>
      </c>
      <c r="J827" s="9" t="n">
        <v>1343779</v>
      </c>
      <c r="L827" s="9" t="n">
        <v>1686081</v>
      </c>
      <c r="M827" s="11" t="s">
        <v>52</v>
      </c>
      <c r="N827" s="11" t="s">
        <v>37</v>
      </c>
      <c r="P827" s="9" t="n">
        <v>113</v>
      </c>
      <c r="Q827" s="11" t="s">
        <v>46</v>
      </c>
      <c r="R827" s="11" t="s">
        <v>47</v>
      </c>
      <c r="S827" s="9" t="n">
        <v>1130101</v>
      </c>
      <c r="T827" s="11" t="s">
        <v>48</v>
      </c>
      <c r="U827" s="12" t="n">
        <v>832.51</v>
      </c>
      <c r="W827" s="12" t="n">
        <v>0</v>
      </c>
      <c r="X827" s="11" t="s">
        <v>862</v>
      </c>
      <c r="Z827" s="0" t="str">
        <f aca="false">IF($T827="","",IFERROR(INDEX('Resumo Grupos'!$AC$3:$AC$200,MATCH($T827,'Resumo Grupos'!$AB$3:$AB$200,0)),"n/d"))</f>
        <v>Mercadoria</v>
      </c>
      <c r="AA827" s="0" t="str">
        <f aca="false">IF($T827="","",IF(COUNTIF('Resumo Grupos'!$AE$3:$AE$40,$T827)&gt;0,"NAO","SIM"))</f>
        <v>SIM</v>
      </c>
      <c r="AB827" s="0" t="str">
        <f aca="false">IFERROR(INDEX('Mov Entradas (Rel 10497)'!$L:$L,MATCH(AC827,'Mov Entradas (Rel 10497)'!$I:$I,0)),"nao encontrado")</f>
        <v>DANONE GREGO UNID FR</v>
      </c>
      <c r="AC827" s="0" t="n">
        <v>1686081</v>
      </c>
    </row>
    <row r="828" customFormat="false" ht="12.75" hidden="false" customHeight="true" outlineLevel="0" collapsed="false">
      <c r="A828" s="9" t="n">
        <v>2</v>
      </c>
      <c r="B828" s="10" t="n">
        <v>46197</v>
      </c>
      <c r="C828" s="10" t="n">
        <v>46214</v>
      </c>
      <c r="D828" s="9" t="n">
        <v>1672</v>
      </c>
      <c r="E828" s="11" t="s">
        <v>343</v>
      </c>
      <c r="F828" s="9" t="n">
        <v>24</v>
      </c>
      <c r="G828" s="11" t="s">
        <v>51</v>
      </c>
      <c r="H828" s="9" t="n">
        <v>2110101</v>
      </c>
      <c r="I828" s="11" t="s">
        <v>43</v>
      </c>
      <c r="J828" s="9" t="n">
        <v>1299327</v>
      </c>
      <c r="L828" s="9" t="n">
        <v>1378386</v>
      </c>
      <c r="M828" s="11" t="s">
        <v>52</v>
      </c>
      <c r="N828" s="11" t="s">
        <v>37</v>
      </c>
      <c r="P828" s="9" t="n">
        <v>113</v>
      </c>
      <c r="Q828" s="11" t="s">
        <v>46</v>
      </c>
      <c r="R828" s="11" t="s">
        <v>47</v>
      </c>
      <c r="S828" s="9" t="n">
        <v>1130101</v>
      </c>
      <c r="T828" s="11" t="s">
        <v>48</v>
      </c>
      <c r="U828" s="12" t="n">
        <v>1831.6</v>
      </c>
      <c r="W828" s="12" t="n">
        <v>0</v>
      </c>
      <c r="X828" s="11" t="s">
        <v>863</v>
      </c>
      <c r="Z828" s="0" t="str">
        <f aca="false">IF($T828="","",IFERROR(INDEX('Resumo Grupos'!$AC$3:$AC$200,MATCH($T828,'Resumo Grupos'!$AB$3:$AB$200,0)),"n/d"))</f>
        <v>Mercadoria</v>
      </c>
      <c r="AA828" s="0" t="str">
        <f aca="false">IF($T828="","",IF(COUNTIF('Resumo Grupos'!$AE$3:$AE$40,$T828)&gt;0,"NAO","SIM"))</f>
        <v>SIM</v>
      </c>
      <c r="AB828" s="0" t="str">
        <f aca="false">IFERROR(INDEX('Mov Entradas (Rel 10497)'!$L:$L,MATCH(AC828,'Mov Entradas (Rel 10497)'!$I:$I,0)),"nao encontrado")</f>
        <v>REFRIG MAGISTRAL 2L</v>
      </c>
      <c r="AC828" s="0" t="n">
        <v>1378386</v>
      </c>
    </row>
    <row r="829" customFormat="false" ht="12.75" hidden="false" customHeight="true" outlineLevel="0" collapsed="false">
      <c r="A829" s="9" t="n">
        <v>2</v>
      </c>
      <c r="B829" s="10" t="n">
        <v>46214</v>
      </c>
      <c r="C829" s="10" t="n">
        <v>46214</v>
      </c>
      <c r="D829" s="9" t="n">
        <v>0</v>
      </c>
      <c r="E829" s="11" t="s">
        <v>109</v>
      </c>
      <c r="F829" s="9" t="n">
        <v>17</v>
      </c>
      <c r="G829" s="11" t="s">
        <v>110</v>
      </c>
      <c r="H829" s="9" t="n">
        <v>1110101</v>
      </c>
      <c r="I829" s="11" t="s">
        <v>111</v>
      </c>
      <c r="J829" s="9" t="n">
        <v>1434929</v>
      </c>
      <c r="L829" s="9" t="n">
        <v>1434929</v>
      </c>
      <c r="M829" s="11" t="s">
        <v>52</v>
      </c>
      <c r="N829" s="11" t="s">
        <v>112</v>
      </c>
      <c r="P829" s="9" t="n">
        <v>113</v>
      </c>
      <c r="Q829" s="11" t="s">
        <v>46</v>
      </c>
      <c r="R829" s="11" t="s">
        <v>39</v>
      </c>
      <c r="S829" s="9" t="n">
        <v>4210227</v>
      </c>
      <c r="T829" s="11" t="s">
        <v>68</v>
      </c>
      <c r="U829" s="12" t="n">
        <v>30</v>
      </c>
      <c r="W829" s="12" t="n">
        <v>30</v>
      </c>
      <c r="X829" s="11" t="s">
        <v>864</v>
      </c>
      <c r="Z829" s="0" t="str">
        <f aca="false">IF($T829="","",IFERROR(INDEX('Resumo Grupos'!$AC$3:$AC$200,MATCH($T829,'Resumo Grupos'!$AB$3:$AB$200,0)),"n/d"))</f>
        <v>Despesa</v>
      </c>
      <c r="AA829" s="0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9" t="n">
        <v>2</v>
      </c>
      <c r="B830" s="10" t="n">
        <v>46214</v>
      </c>
      <c r="C830" s="10" t="n">
        <v>46214</v>
      </c>
      <c r="D830" s="9" t="n">
        <v>0</v>
      </c>
      <c r="E830" s="11" t="s">
        <v>109</v>
      </c>
      <c r="F830" s="9" t="n">
        <v>17</v>
      </c>
      <c r="G830" s="11" t="s">
        <v>110</v>
      </c>
      <c r="H830" s="9" t="n">
        <v>1110101</v>
      </c>
      <c r="I830" s="11" t="s">
        <v>111</v>
      </c>
      <c r="J830" s="9" t="n">
        <v>1434931</v>
      </c>
      <c r="L830" s="9" t="n">
        <v>1434931</v>
      </c>
      <c r="M830" s="11" t="s">
        <v>52</v>
      </c>
      <c r="N830" s="11" t="s">
        <v>112</v>
      </c>
      <c r="P830" s="9" t="n">
        <v>113</v>
      </c>
      <c r="Q830" s="11" t="s">
        <v>46</v>
      </c>
      <c r="R830" s="11" t="s">
        <v>71</v>
      </c>
      <c r="S830" s="9" t="n">
        <v>4210314</v>
      </c>
      <c r="T830" s="11" t="s">
        <v>113</v>
      </c>
      <c r="U830" s="12" t="n">
        <v>50</v>
      </c>
      <c r="W830" s="12" t="n">
        <v>50</v>
      </c>
      <c r="X830" s="11" t="s">
        <v>368</v>
      </c>
      <c r="Z830" s="0" t="str">
        <f aca="false">IF($T830="","",IFERROR(INDEX('Resumo Grupos'!$AC$3:$AC$200,MATCH($T830,'Resumo Grupos'!$AB$3:$AB$200,0)),"n/d"))</f>
        <v>Despesa</v>
      </c>
      <c r="AA830" s="0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9" t="n">
        <v>2</v>
      </c>
      <c r="B831" s="10" t="n">
        <v>46214</v>
      </c>
      <c r="C831" s="10" t="n">
        <v>46214</v>
      </c>
      <c r="D831" s="9" t="n">
        <v>0</v>
      </c>
      <c r="E831" s="11" t="s">
        <v>109</v>
      </c>
      <c r="F831" s="9" t="n">
        <v>17</v>
      </c>
      <c r="G831" s="11" t="s">
        <v>110</v>
      </c>
      <c r="H831" s="9" t="n">
        <v>1110101</v>
      </c>
      <c r="I831" s="11" t="s">
        <v>111</v>
      </c>
      <c r="J831" s="9" t="n">
        <v>1434934</v>
      </c>
      <c r="L831" s="9" t="n">
        <v>1434934</v>
      </c>
      <c r="M831" s="11" t="s">
        <v>52</v>
      </c>
      <c r="N831" s="11" t="s">
        <v>112</v>
      </c>
      <c r="P831" s="9" t="n">
        <v>113</v>
      </c>
      <c r="Q831" s="11" t="s">
        <v>46</v>
      </c>
      <c r="R831" s="11" t="s">
        <v>71</v>
      </c>
      <c r="S831" s="9" t="n">
        <v>4210314</v>
      </c>
      <c r="T831" s="11" t="s">
        <v>113</v>
      </c>
      <c r="U831" s="12" t="n">
        <v>200</v>
      </c>
      <c r="W831" s="12" t="n">
        <v>200</v>
      </c>
      <c r="X831" s="11" t="s">
        <v>865</v>
      </c>
      <c r="Z831" s="0" t="str">
        <f aca="false">IF($T831="","",IFERROR(INDEX('Resumo Grupos'!$AC$3:$AC$200,MATCH($T831,'Resumo Grupos'!$AB$3:$AB$200,0)),"n/d"))</f>
        <v>Despesa</v>
      </c>
      <c r="AA831" s="0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9" t="n">
        <v>2</v>
      </c>
      <c r="B832" s="10" t="n">
        <v>46214</v>
      </c>
      <c r="C832" s="10" t="n">
        <v>46214</v>
      </c>
      <c r="D832" s="9" t="n">
        <v>0</v>
      </c>
      <c r="E832" s="11" t="s">
        <v>109</v>
      </c>
      <c r="F832" s="9" t="n">
        <v>17</v>
      </c>
      <c r="G832" s="11" t="s">
        <v>110</v>
      </c>
      <c r="H832" s="9" t="n">
        <v>1110101</v>
      </c>
      <c r="I832" s="11" t="s">
        <v>111</v>
      </c>
      <c r="J832" s="9" t="n">
        <v>1469089</v>
      </c>
      <c r="L832" s="9" t="n">
        <v>1469089</v>
      </c>
      <c r="M832" s="11" t="s">
        <v>52</v>
      </c>
      <c r="N832" s="11" t="s">
        <v>112</v>
      </c>
      <c r="P832" s="9" t="n">
        <v>113</v>
      </c>
      <c r="Q832" s="11" t="s">
        <v>46</v>
      </c>
      <c r="R832" s="11" t="s">
        <v>116</v>
      </c>
      <c r="S832" s="9" t="n">
        <v>1110203</v>
      </c>
      <c r="T832" s="11" t="s">
        <v>117</v>
      </c>
      <c r="U832" s="12" t="n">
        <v>2000</v>
      </c>
      <c r="W832" s="12" t="n">
        <v>2000</v>
      </c>
      <c r="X832" s="11" t="s">
        <v>866</v>
      </c>
      <c r="Z832" s="0" t="str">
        <f aca="false">IF($T832="","",IFERROR(INDEX('Resumo Grupos'!$AC$3:$AC$200,MATCH($T832,'Resumo Grupos'!$AB$3:$AB$200,0)),"n/d"))</f>
        <v>Despesa</v>
      </c>
      <c r="AA832" s="0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9" t="n">
        <v>2</v>
      </c>
      <c r="B833" s="10" t="n">
        <v>46197</v>
      </c>
      <c r="C833" s="10" t="n">
        <v>46215</v>
      </c>
      <c r="D833" s="9" t="n">
        <v>607</v>
      </c>
      <c r="E833" s="11" t="s">
        <v>281</v>
      </c>
      <c r="F833" s="9" t="n">
        <v>24</v>
      </c>
      <c r="G833" s="11" t="s">
        <v>51</v>
      </c>
      <c r="H833" s="9" t="n">
        <v>2110101</v>
      </c>
      <c r="I833" s="11" t="s">
        <v>43</v>
      </c>
      <c r="J833" s="9" t="n">
        <v>1300232</v>
      </c>
      <c r="L833" s="9" t="n">
        <v>10860</v>
      </c>
      <c r="M833" s="11" t="s">
        <v>52</v>
      </c>
      <c r="N833" s="11" t="s">
        <v>37</v>
      </c>
      <c r="P833" s="9" t="n">
        <v>113</v>
      </c>
      <c r="Q833" s="11" t="s">
        <v>46</v>
      </c>
      <c r="R833" s="11" t="s">
        <v>47</v>
      </c>
      <c r="S833" s="9" t="n">
        <v>1130101</v>
      </c>
      <c r="T833" s="11" t="s">
        <v>48</v>
      </c>
      <c r="U833" s="12" t="n">
        <v>1361.81</v>
      </c>
      <c r="W833" s="12" t="n">
        <v>0</v>
      </c>
      <c r="X833" s="11" t="s">
        <v>867</v>
      </c>
      <c r="Z833" s="0" t="str">
        <f aca="false">IF($T833="","",IFERROR(INDEX('Resumo Grupos'!$AC$3:$AC$200,MATCH($T833,'Resumo Grupos'!$AB$3:$AB$200,0)),"n/d"))</f>
        <v>Mercadoria</v>
      </c>
      <c r="AA833" s="0" t="str">
        <f aca="false">IF($T833="","",IF(COUNTIF('Resumo Grupos'!$AE$3:$AE$40,$T833)&gt;0,"NAO","SIM"))</f>
        <v>SIM</v>
      </c>
      <c r="AB833" s="0" t="str">
        <f aca="false">IFERROR(INDEX('Mov Entradas (Rel 10497)'!$L:$L,MATCH(AC833,'Mov Entradas (Rel 10497)'!$I:$I,0)),"nao encontrado")</f>
        <v>RC JAPI PREM.FILH25K</v>
      </c>
      <c r="AC833" s="0" t="n">
        <v>10860</v>
      </c>
    </row>
    <row r="834" customFormat="false" ht="12.75" hidden="false" customHeight="true" outlineLevel="0" collapsed="false">
      <c r="A834" s="9" t="n">
        <v>2</v>
      </c>
      <c r="B834" s="10" t="n">
        <v>46215</v>
      </c>
      <c r="C834" s="10" t="n">
        <v>46215</v>
      </c>
      <c r="D834" s="9" t="n">
        <v>0</v>
      </c>
      <c r="E834" s="11" t="s">
        <v>109</v>
      </c>
      <c r="F834" s="9" t="n">
        <v>17</v>
      </c>
      <c r="G834" s="11" t="s">
        <v>110</v>
      </c>
      <c r="H834" s="9" t="n">
        <v>1110101</v>
      </c>
      <c r="I834" s="11" t="s">
        <v>111</v>
      </c>
      <c r="J834" s="9" t="n">
        <v>1434954</v>
      </c>
      <c r="L834" s="9" t="n">
        <v>1434954</v>
      </c>
      <c r="M834" s="11" t="s">
        <v>52</v>
      </c>
      <c r="N834" s="11" t="s">
        <v>112</v>
      </c>
      <c r="P834" s="9" t="n">
        <v>113</v>
      </c>
      <c r="Q834" s="11" t="s">
        <v>46</v>
      </c>
      <c r="R834" s="11" t="s">
        <v>71</v>
      </c>
      <c r="S834" s="9" t="n">
        <v>4210314</v>
      </c>
      <c r="T834" s="11" t="s">
        <v>113</v>
      </c>
      <c r="U834" s="12" t="n">
        <v>70</v>
      </c>
      <c r="W834" s="12" t="n">
        <v>70</v>
      </c>
      <c r="X834" s="11" t="s">
        <v>368</v>
      </c>
      <c r="Z834" s="0" t="str">
        <f aca="false">IF($T834="","",IFERROR(INDEX('Resumo Grupos'!$AC$3:$AC$200,MATCH($T834,'Resumo Grupos'!$AB$3:$AB$200,0)),"n/d"))</f>
        <v>Despesa</v>
      </c>
      <c r="AA834" s="0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9" t="n">
        <v>2</v>
      </c>
      <c r="B835" s="10" t="n">
        <v>46215</v>
      </c>
      <c r="C835" s="10" t="n">
        <v>46215</v>
      </c>
      <c r="D835" s="9" t="n">
        <v>0</v>
      </c>
      <c r="E835" s="11" t="s">
        <v>109</v>
      </c>
      <c r="F835" s="9" t="n">
        <v>17</v>
      </c>
      <c r="G835" s="11" t="s">
        <v>110</v>
      </c>
      <c r="H835" s="9" t="n">
        <v>1110101</v>
      </c>
      <c r="I835" s="11" t="s">
        <v>111</v>
      </c>
      <c r="J835" s="9" t="n">
        <v>1434956</v>
      </c>
      <c r="L835" s="9" t="n">
        <v>1434956</v>
      </c>
      <c r="M835" s="11" t="s">
        <v>52</v>
      </c>
      <c r="N835" s="11" t="s">
        <v>112</v>
      </c>
      <c r="P835" s="9" t="n">
        <v>113</v>
      </c>
      <c r="Q835" s="11" t="s">
        <v>46</v>
      </c>
      <c r="R835" s="11" t="s">
        <v>71</v>
      </c>
      <c r="S835" s="9" t="n">
        <v>4210310</v>
      </c>
      <c r="T835" s="11" t="s">
        <v>126</v>
      </c>
      <c r="U835" s="12" t="n">
        <v>90</v>
      </c>
      <c r="W835" s="12" t="n">
        <v>90</v>
      </c>
      <c r="X835" s="11" t="s">
        <v>868</v>
      </c>
      <c r="Z835" s="0" t="str">
        <f aca="false">IF($T835="","",IFERROR(INDEX('Resumo Grupos'!$AC$3:$AC$200,MATCH($T835,'Resumo Grupos'!$AB$3:$AB$200,0)),"n/d"))</f>
        <v>Despesa</v>
      </c>
      <c r="AA835" s="0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9" t="n">
        <v>2</v>
      </c>
      <c r="B836" s="10" t="n">
        <v>46215</v>
      </c>
      <c r="C836" s="10" t="n">
        <v>46215</v>
      </c>
      <c r="D836" s="9" t="n">
        <v>0</v>
      </c>
      <c r="E836" s="11" t="s">
        <v>109</v>
      </c>
      <c r="F836" s="9" t="n">
        <v>17</v>
      </c>
      <c r="G836" s="11" t="s">
        <v>110</v>
      </c>
      <c r="H836" s="9" t="n">
        <v>1110101</v>
      </c>
      <c r="I836" s="11" t="s">
        <v>111</v>
      </c>
      <c r="J836" s="9" t="n">
        <v>1469094</v>
      </c>
      <c r="L836" s="9" t="n">
        <v>1469094</v>
      </c>
      <c r="M836" s="11" t="s">
        <v>52</v>
      </c>
      <c r="N836" s="11" t="s">
        <v>112</v>
      </c>
      <c r="P836" s="9" t="n">
        <v>113</v>
      </c>
      <c r="Q836" s="11" t="s">
        <v>46</v>
      </c>
      <c r="R836" s="11" t="s">
        <v>116</v>
      </c>
      <c r="S836" s="9" t="n">
        <v>1110203</v>
      </c>
      <c r="T836" s="11" t="s">
        <v>117</v>
      </c>
      <c r="U836" s="12" t="n">
        <v>1500</v>
      </c>
      <c r="W836" s="12" t="n">
        <v>1500</v>
      </c>
      <c r="X836" s="11" t="s">
        <v>869</v>
      </c>
      <c r="Z836" s="0" t="str">
        <f aca="false">IF($T836="","",IFERROR(INDEX('Resumo Grupos'!$AC$3:$AC$200,MATCH($T836,'Resumo Grupos'!$AB$3:$AB$200,0)),"n/d"))</f>
        <v>Despesa</v>
      </c>
      <c r="AA836" s="0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9" t="n">
        <v>2</v>
      </c>
      <c r="B837" s="10" t="n">
        <v>46188</v>
      </c>
      <c r="C837" s="10" t="n">
        <v>46216</v>
      </c>
      <c r="D837" s="9" t="n">
        <v>1659</v>
      </c>
      <c r="E837" s="11" t="s">
        <v>214</v>
      </c>
      <c r="F837" s="9" t="n">
        <v>24</v>
      </c>
      <c r="G837" s="11" t="s">
        <v>51</v>
      </c>
      <c r="H837" s="9" t="n">
        <v>2110101</v>
      </c>
      <c r="I837" s="11" t="s">
        <v>43</v>
      </c>
      <c r="J837" s="9" t="n">
        <v>1255113</v>
      </c>
      <c r="L837" s="9" t="n">
        <v>878392</v>
      </c>
      <c r="M837" s="11" t="s">
        <v>67</v>
      </c>
      <c r="N837" s="11" t="s">
        <v>37</v>
      </c>
      <c r="P837" s="9" t="n">
        <v>113</v>
      </c>
      <c r="Q837" s="11" t="s">
        <v>46</v>
      </c>
      <c r="R837" s="11" t="s">
        <v>47</v>
      </c>
      <c r="S837" s="9" t="n">
        <v>1130101</v>
      </c>
      <c r="T837" s="11" t="s">
        <v>48</v>
      </c>
      <c r="U837" s="12" t="n">
        <v>791.31</v>
      </c>
      <c r="W837" s="12" t="n">
        <v>0</v>
      </c>
      <c r="X837" s="11" t="s">
        <v>632</v>
      </c>
      <c r="Z837" s="0" t="str">
        <f aca="false">IF($T837="","",IFERROR(INDEX('Resumo Grupos'!$AC$3:$AC$200,MATCH($T837,'Resumo Grupos'!$AB$3:$AB$200,0)),"n/d"))</f>
        <v>Mercadoria</v>
      </c>
      <c r="AA837" s="0" t="str">
        <f aca="false">IF($T837="","",IF(COUNTIF('Resumo Grupos'!$AE$3:$AE$40,$T837)&gt;0,"NAO","SIM"))</f>
        <v>SIM</v>
      </c>
      <c r="AB837" s="0" t="str">
        <f aca="false">IFERROR(INDEX('Mov Entradas (Rel 10497)'!$L:$L,MATCH(AC837,'Mov Entradas (Rel 10497)'!$I:$I,0)),"nao encontrado")</f>
        <v>GOIABAD PALMEIR 250G</v>
      </c>
      <c r="AC837" s="0" t="n">
        <v>878392</v>
      </c>
    </row>
    <row r="838" customFormat="false" ht="12.75" hidden="false" customHeight="true" outlineLevel="0" collapsed="false">
      <c r="A838" s="9" t="n">
        <v>2</v>
      </c>
      <c r="B838" s="10" t="n">
        <v>46206</v>
      </c>
      <c r="C838" s="10" t="n">
        <v>46216</v>
      </c>
      <c r="D838" s="9" t="n">
        <v>10018</v>
      </c>
      <c r="E838" s="11" t="s">
        <v>216</v>
      </c>
      <c r="F838" s="9" t="n">
        <v>34</v>
      </c>
      <c r="G838" s="11" t="s">
        <v>55</v>
      </c>
      <c r="H838" s="9" t="n">
        <v>2110101</v>
      </c>
      <c r="I838" s="11" t="s">
        <v>43</v>
      </c>
      <c r="J838" s="9" t="n">
        <v>1345271</v>
      </c>
      <c r="L838" s="9" t="n">
        <v>322</v>
      </c>
      <c r="M838" s="11" t="s">
        <v>52</v>
      </c>
      <c r="N838" s="11" t="s">
        <v>37</v>
      </c>
      <c r="P838" s="9" t="n">
        <v>113</v>
      </c>
      <c r="Q838" s="11" t="s">
        <v>46</v>
      </c>
      <c r="R838" s="11" t="s">
        <v>47</v>
      </c>
      <c r="S838" s="9" t="n">
        <v>1130101</v>
      </c>
      <c r="T838" s="11" t="s">
        <v>48</v>
      </c>
      <c r="U838" s="12" t="n">
        <v>2388.97</v>
      </c>
      <c r="W838" s="12" t="n">
        <v>0</v>
      </c>
      <c r="X838" s="11" t="s">
        <v>870</v>
      </c>
      <c r="Z838" s="0" t="str">
        <f aca="false">IF($T838="","",IFERROR(INDEX('Resumo Grupos'!$AC$3:$AC$200,MATCH($T838,'Resumo Grupos'!$AB$3:$AB$200,0)),"n/d"))</f>
        <v>Mercadoria</v>
      </c>
      <c r="AA838" s="0" t="str">
        <f aca="false">IF($T838="","",IF(COUNTIF('Resumo Grupos'!$AE$3:$AE$40,$T838)&gt;0,"NAO","SIM"))</f>
        <v>SIM</v>
      </c>
      <c r="AB838" s="0" t="str">
        <f aca="false">IFERROR(INDEX('Mov Entradas (Rel 10497)'!$L:$L,MATCH(AC838,'Mov Entradas (Rel 10497)'!$I:$I,0)),"nao encontrado")</f>
        <v>MAC RAINHA GOELA 200G</v>
      </c>
      <c r="AC838" s="0" t="n">
        <v>322</v>
      </c>
    </row>
    <row r="839" customFormat="false" ht="12.75" hidden="false" customHeight="true" outlineLevel="0" collapsed="false">
      <c r="A839" s="9" t="n">
        <v>2</v>
      </c>
      <c r="B839" s="10" t="n">
        <v>46195</v>
      </c>
      <c r="C839" s="10" t="n">
        <v>46216</v>
      </c>
      <c r="D839" s="9" t="n">
        <v>1637</v>
      </c>
      <c r="E839" s="11" t="s">
        <v>871</v>
      </c>
      <c r="F839" s="9" t="n">
        <v>24</v>
      </c>
      <c r="G839" s="11" t="s">
        <v>51</v>
      </c>
      <c r="H839" s="9" t="n">
        <v>2110101</v>
      </c>
      <c r="I839" s="11" t="s">
        <v>43</v>
      </c>
      <c r="J839" s="9" t="n">
        <v>1289620</v>
      </c>
      <c r="L839" s="9" t="n">
        <v>1894392</v>
      </c>
      <c r="M839" s="11" t="s">
        <v>52</v>
      </c>
      <c r="N839" s="11" t="s">
        <v>37</v>
      </c>
      <c r="P839" s="9" t="n">
        <v>113</v>
      </c>
      <c r="Q839" s="11" t="s">
        <v>46</v>
      </c>
      <c r="R839" s="11" t="s">
        <v>47</v>
      </c>
      <c r="S839" s="9" t="n">
        <v>1130101</v>
      </c>
      <c r="T839" s="11" t="s">
        <v>48</v>
      </c>
      <c r="U839" s="12" t="n">
        <v>671.67</v>
      </c>
      <c r="W839" s="12" t="n">
        <v>0</v>
      </c>
      <c r="X839" s="11" t="s">
        <v>872</v>
      </c>
      <c r="Z839" s="0" t="str">
        <f aca="false">IF($T839="","",IFERROR(INDEX('Resumo Grupos'!$AC$3:$AC$200,MATCH($T839,'Resumo Grupos'!$AB$3:$AB$200,0)),"n/d"))</f>
        <v>Mercadoria</v>
      </c>
      <c r="AA839" s="0" t="str">
        <f aca="false">IF($T839="","",IF(COUNTIF('Resumo Grupos'!$AE$3:$AE$40,$T839)&gt;0,"NAO","SIM"))</f>
        <v>SIM</v>
      </c>
      <c r="AB839" s="0" t="str">
        <f aca="false">IFERROR(INDEX('Mov Entradas (Rel 10497)'!$L:$L,MATCH(AC839,'Mov Entradas (Rel 10497)'!$I:$I,0)),"nao encontrado")</f>
        <v>MASSA P LASANHA ESTR</v>
      </c>
      <c r="AC839" s="0" t="n">
        <v>1894392</v>
      </c>
    </row>
    <row r="840" customFormat="false" ht="12.75" hidden="false" customHeight="true" outlineLevel="0" collapsed="false">
      <c r="A840" s="9" t="n">
        <v>2</v>
      </c>
      <c r="B840" s="10" t="n">
        <v>46189</v>
      </c>
      <c r="C840" s="10" t="n">
        <v>46216</v>
      </c>
      <c r="D840" s="9" t="n">
        <v>1636</v>
      </c>
      <c r="E840" s="11" t="s">
        <v>61</v>
      </c>
      <c r="F840" s="9" t="n">
        <v>24</v>
      </c>
      <c r="G840" s="11" t="s">
        <v>51</v>
      </c>
      <c r="H840" s="9" t="n">
        <v>2110101</v>
      </c>
      <c r="I840" s="11" t="s">
        <v>43</v>
      </c>
      <c r="J840" s="9" t="n">
        <v>1260911</v>
      </c>
      <c r="L840" s="9" t="n">
        <v>168211</v>
      </c>
      <c r="M840" s="11" t="s">
        <v>52</v>
      </c>
      <c r="N840" s="11" t="s">
        <v>45</v>
      </c>
      <c r="P840" s="9" t="n">
        <v>113</v>
      </c>
      <c r="Q840" s="11" t="s">
        <v>46</v>
      </c>
      <c r="R840" s="11" t="s">
        <v>47</v>
      </c>
      <c r="S840" s="9" t="n">
        <v>1130101</v>
      </c>
      <c r="T840" s="11" t="s">
        <v>48</v>
      </c>
      <c r="U840" s="12" t="n">
        <v>643.05</v>
      </c>
      <c r="W840" s="12" t="n">
        <v>0</v>
      </c>
      <c r="X840" s="11" t="s">
        <v>635</v>
      </c>
      <c r="Z840" s="0" t="str">
        <f aca="false">IF($T840="","",IFERROR(INDEX('Resumo Grupos'!$AC$3:$AC$200,MATCH($T840,'Resumo Grupos'!$AB$3:$AB$200,0)),"n/d"))</f>
        <v>Mercadoria</v>
      </c>
      <c r="AA840" s="0" t="str">
        <f aca="false">IF($T840="","",IF(COUNTIF('Resumo Grupos'!$AE$3:$AE$40,$T840)&gt;0,"NAO","SIM"))</f>
        <v>SIM</v>
      </c>
      <c r="AB840" s="0" t="str">
        <f aca="false">IFERROR(INDEX('Mov Entradas (Rel 10497)'!$L:$L,MATCH(AC840,'Mov Entradas (Rel 10497)'!$I:$I,0)),"nao encontrado")</f>
        <v>SARDINHA GOMES DA COSTA C/ OLEO 125G</v>
      </c>
      <c r="AC840" s="0" t="n">
        <v>3202460</v>
      </c>
    </row>
    <row r="841" customFormat="false" ht="12.75" hidden="false" customHeight="true" outlineLevel="0" collapsed="false">
      <c r="A841" s="9" t="n">
        <v>2</v>
      </c>
      <c r="B841" s="10" t="n">
        <v>46196</v>
      </c>
      <c r="C841" s="10" t="n">
        <v>46216</v>
      </c>
      <c r="D841" s="9" t="n">
        <v>1616</v>
      </c>
      <c r="E841" s="11" t="s">
        <v>64</v>
      </c>
      <c r="F841" s="9" t="n">
        <v>24</v>
      </c>
      <c r="G841" s="11" t="s">
        <v>51</v>
      </c>
      <c r="H841" s="9" t="n">
        <v>2110101</v>
      </c>
      <c r="I841" s="11" t="s">
        <v>43</v>
      </c>
      <c r="J841" s="9" t="n">
        <v>1293976</v>
      </c>
      <c r="L841" s="9" t="n">
        <v>646732</v>
      </c>
      <c r="M841" s="11" t="s">
        <v>44</v>
      </c>
      <c r="N841" s="11" t="s">
        <v>37</v>
      </c>
      <c r="P841" s="9" t="n">
        <v>113</v>
      </c>
      <c r="Q841" s="11" t="s">
        <v>46</v>
      </c>
      <c r="R841" s="11" t="s">
        <v>47</v>
      </c>
      <c r="S841" s="9" t="n">
        <v>1130101</v>
      </c>
      <c r="T841" s="11" t="s">
        <v>48</v>
      </c>
      <c r="U841" s="12" t="n">
        <v>347.18</v>
      </c>
      <c r="W841" s="12" t="n">
        <v>0</v>
      </c>
      <c r="X841" s="11" t="s">
        <v>774</v>
      </c>
      <c r="Z841" s="0" t="str">
        <f aca="false">IF($T841="","",IFERROR(INDEX('Resumo Grupos'!$AC$3:$AC$200,MATCH($T841,'Resumo Grupos'!$AB$3:$AB$200,0)),"n/d"))</f>
        <v>Mercadoria</v>
      </c>
      <c r="AA841" s="0" t="str">
        <f aca="false">IF($T841="","",IF(COUNTIF('Resumo Grupos'!$AE$3:$AE$40,$T841)&gt;0,"NAO","SIM"))</f>
        <v>SIM</v>
      </c>
      <c r="AB841" s="0" t="str">
        <f aca="false">IFERROR(INDEX('Mov Entradas (Rel 10497)'!$L:$L,MATCH(AC841,'Mov Entradas (Rel 10497)'!$I:$I,0)),"nao encontrado")</f>
        <v>BIS TRIUNF TORT 90G</v>
      </c>
      <c r="AC841" s="0" t="n">
        <v>646732</v>
      </c>
    </row>
    <row r="842" customFormat="false" ht="12.75" hidden="false" customHeight="true" outlineLevel="0" collapsed="false">
      <c r="A842" s="9" t="n">
        <v>2</v>
      </c>
      <c r="B842" s="10" t="n">
        <v>46196</v>
      </c>
      <c r="C842" s="10" t="n">
        <v>46216</v>
      </c>
      <c r="D842" s="9" t="n">
        <v>794</v>
      </c>
      <c r="E842" s="11" t="s">
        <v>335</v>
      </c>
      <c r="F842" s="9" t="n">
        <v>24</v>
      </c>
      <c r="G842" s="11" t="s">
        <v>51</v>
      </c>
      <c r="H842" s="9" t="n">
        <v>2110405</v>
      </c>
      <c r="I842" s="11" t="s">
        <v>56</v>
      </c>
      <c r="J842" s="9" t="n">
        <v>1294339</v>
      </c>
      <c r="L842" s="9" t="n">
        <v>173127</v>
      </c>
      <c r="M842" s="11" t="s">
        <v>52</v>
      </c>
      <c r="N842" s="11" t="s">
        <v>45</v>
      </c>
      <c r="P842" s="9" t="n">
        <v>113</v>
      </c>
      <c r="Q842" s="11" t="s">
        <v>46</v>
      </c>
      <c r="R842" s="11" t="s">
        <v>39</v>
      </c>
      <c r="S842" s="9" t="n">
        <v>4210299</v>
      </c>
      <c r="T842" s="11" t="s">
        <v>165</v>
      </c>
      <c r="U842" s="12" t="n">
        <v>737.43</v>
      </c>
      <c r="W842" s="12" t="n">
        <v>0</v>
      </c>
      <c r="X842" s="11" t="s">
        <v>775</v>
      </c>
      <c r="Z842" s="0" t="str">
        <f aca="false">IF($T842="","",IFERROR(INDEX('Resumo Grupos'!$AC$3:$AC$200,MATCH($T842,'Resumo Grupos'!$AB$3:$AB$200,0)),"n/d"))</f>
        <v>Despesa</v>
      </c>
      <c r="AA842" s="0" t="str">
        <f aca="false">IF($T842="","",IF(COUNTIF('Resumo Grupos'!$AE$3:$AE$40,$T842)&gt;0,"NAO","SIM"))</f>
        <v>SIM</v>
      </c>
      <c r="AB842" s="0" t="str">
        <f aca="false">IFERROR(INDEX('Mov Entradas (Rel 10497)'!$L:$L,MATCH(AC842,'Mov Entradas (Rel 10497)'!$I:$I,0)),"nao encontrado")</f>
        <v>SACOLA BRC. L. ALIP.</v>
      </c>
      <c r="AC842" s="0" t="n">
        <v>8155</v>
      </c>
    </row>
    <row r="843" customFormat="false" ht="12.75" hidden="false" customHeight="true" outlineLevel="0" collapsed="false">
      <c r="A843" s="9" t="n">
        <v>2</v>
      </c>
      <c r="B843" s="10" t="n">
        <v>46195</v>
      </c>
      <c r="C843" s="10" t="n">
        <v>46216</v>
      </c>
      <c r="D843" s="9" t="n">
        <v>1626</v>
      </c>
      <c r="E843" s="11" t="s">
        <v>77</v>
      </c>
      <c r="F843" s="9" t="n">
        <v>24</v>
      </c>
      <c r="G843" s="11" t="s">
        <v>51</v>
      </c>
      <c r="H843" s="9" t="n">
        <v>2110101</v>
      </c>
      <c r="I843" s="11" t="s">
        <v>43</v>
      </c>
      <c r="J843" s="9" t="n">
        <v>1290928</v>
      </c>
      <c r="L843" s="9" t="n">
        <v>172707</v>
      </c>
      <c r="M843" s="11" t="s">
        <v>52</v>
      </c>
      <c r="N843" s="11" t="s">
        <v>45</v>
      </c>
      <c r="P843" s="9" t="n">
        <v>113</v>
      </c>
      <c r="Q843" s="11" t="s">
        <v>46</v>
      </c>
      <c r="R843" s="11" t="s">
        <v>47</v>
      </c>
      <c r="S843" s="9" t="n">
        <v>1130101</v>
      </c>
      <c r="T843" s="11" t="s">
        <v>48</v>
      </c>
      <c r="U843" s="12" t="n">
        <v>675.35</v>
      </c>
      <c r="W843" s="12" t="n">
        <v>0</v>
      </c>
      <c r="X843" s="11" t="s">
        <v>778</v>
      </c>
      <c r="Z843" s="0" t="str">
        <f aca="false">IF($T843="","",IFERROR(INDEX('Resumo Grupos'!$AC$3:$AC$200,MATCH($T843,'Resumo Grupos'!$AB$3:$AB$200,0)),"n/d"))</f>
        <v>Mercadoria</v>
      </c>
      <c r="AA843" s="0" t="str">
        <f aca="false">IF($T843="","",IF(COUNTIF('Resumo Grupos'!$AE$3:$AE$40,$T843)&gt;0,"NAO","SIM"))</f>
        <v>SIM</v>
      </c>
      <c r="AB843" s="0" t="str">
        <f aca="false">IFERROR(INDEX('Mov Entradas (Rel 10497)'!$L:$L,MATCH(AC843,'Mov Entradas (Rel 10497)'!$I:$I,0)),"nao encontrado")</f>
        <v>CALABRESA SEARA KG</v>
      </c>
      <c r="AC843" s="0" t="n">
        <v>310316</v>
      </c>
    </row>
    <row r="844" customFormat="false" ht="12.75" hidden="false" customHeight="true" outlineLevel="0" collapsed="false">
      <c r="A844" s="9" t="n">
        <v>2</v>
      </c>
      <c r="B844" s="10" t="n">
        <v>46216</v>
      </c>
      <c r="C844" s="10" t="n">
        <v>46216</v>
      </c>
      <c r="D844" s="9" t="n">
        <v>10096</v>
      </c>
      <c r="E844" s="11" t="s">
        <v>622</v>
      </c>
      <c r="F844" s="9" t="n">
        <v>13</v>
      </c>
      <c r="G844" s="11" t="s">
        <v>135</v>
      </c>
      <c r="H844" s="9" t="n">
        <v>1110203</v>
      </c>
      <c r="I844" s="11" t="s">
        <v>117</v>
      </c>
      <c r="J844" s="9" t="n">
        <v>1428717</v>
      </c>
      <c r="L844" s="9" t="n">
        <v>191324</v>
      </c>
      <c r="M844" s="11" t="s">
        <v>52</v>
      </c>
      <c r="N844" s="11" t="s">
        <v>45</v>
      </c>
      <c r="P844" s="9" t="n">
        <v>113</v>
      </c>
      <c r="Q844" s="11" t="s">
        <v>46</v>
      </c>
      <c r="R844" s="11" t="s">
        <v>47</v>
      </c>
      <c r="S844" s="9" t="n">
        <v>1130101</v>
      </c>
      <c r="T844" s="11" t="s">
        <v>48</v>
      </c>
      <c r="U844" s="12" t="n">
        <v>120</v>
      </c>
      <c r="W844" s="12" t="n">
        <v>120</v>
      </c>
      <c r="X844" s="11" t="s">
        <v>873</v>
      </c>
      <c r="Z844" s="0" t="str">
        <f aca="false">IF($T844="","",IFERROR(INDEX('Resumo Grupos'!$AC$3:$AC$200,MATCH($T844,'Resumo Grupos'!$AB$3:$AB$200,0)),"n/d"))</f>
        <v>Mercadoria</v>
      </c>
      <c r="AA844" s="0" t="str">
        <f aca="false">IF($T844="","",IF(COUNTIF('Resumo Grupos'!$AE$3:$AE$40,$T844)&gt;0,"NAO","SIM"))</f>
        <v>SIM</v>
      </c>
      <c r="AB844" s="0" t="str">
        <f aca="false">IFERROR(INDEX('Mov Entradas (Rel 10497)'!$L:$L,MATCH(AC844,'Mov Entradas (Rel 10497)'!$I:$I,0)),"nao encontrado")</f>
        <v>BOLO MIYAZAKI GRANDE</v>
      </c>
      <c r="AC844" s="0" t="n">
        <v>19</v>
      </c>
    </row>
    <row r="845" customFormat="false" ht="12.75" hidden="false" customHeight="true" outlineLevel="0" collapsed="false">
      <c r="A845" s="9" t="n">
        <v>2</v>
      </c>
      <c r="B845" s="10" t="n">
        <v>46213</v>
      </c>
      <c r="C845" s="10" t="n">
        <v>46216</v>
      </c>
      <c r="D845" s="9" t="n">
        <v>10035</v>
      </c>
      <c r="E845" s="11" t="s">
        <v>86</v>
      </c>
      <c r="F845" s="9" t="n">
        <v>34</v>
      </c>
      <c r="G845" s="11" t="s">
        <v>55</v>
      </c>
      <c r="H845" s="9" t="n">
        <v>2110101</v>
      </c>
      <c r="I845" s="11" t="s">
        <v>43</v>
      </c>
      <c r="J845" s="9" t="n">
        <v>1377076</v>
      </c>
      <c r="L845" s="9" t="n">
        <v>351</v>
      </c>
      <c r="M845" s="11" t="s">
        <v>52</v>
      </c>
      <c r="N845" s="11" t="s">
        <v>37</v>
      </c>
      <c r="P845" s="9" t="n">
        <v>113</v>
      </c>
      <c r="Q845" s="11" t="s">
        <v>46</v>
      </c>
      <c r="R845" s="11" t="s">
        <v>47</v>
      </c>
      <c r="S845" s="9" t="n">
        <v>1130101</v>
      </c>
      <c r="T845" s="11" t="s">
        <v>48</v>
      </c>
      <c r="U845" s="12" t="n">
        <v>225</v>
      </c>
      <c r="W845" s="12" t="n">
        <v>0</v>
      </c>
      <c r="X845" s="11" t="s">
        <v>874</v>
      </c>
      <c r="Z845" s="0" t="str">
        <f aca="false">IF($T845="","",IFERROR(INDEX('Resumo Grupos'!$AC$3:$AC$200,MATCH($T845,'Resumo Grupos'!$AB$3:$AB$200,0)),"n/d"))</f>
        <v>Mercadoria</v>
      </c>
      <c r="AA845" s="0" t="str">
        <f aca="false">IF($T845="","",IF(COUNTIF('Resumo Grupos'!$AE$3:$AE$40,$T845)&gt;0,"NAO","SIM"))</f>
        <v>SIM</v>
      </c>
      <c r="AB845" s="0" t="str">
        <f aca="false">IFERROR(INDEX('Mov Entradas (Rel 10497)'!$L:$L,MATCH(AC845,'Mov Entradas (Rel 10497)'!$I:$I,0)),"nao encontrado")</f>
        <v>CARVAO VEGETAL 3KG</v>
      </c>
      <c r="AC845" s="0" t="n">
        <v>351</v>
      </c>
    </row>
    <row r="846" customFormat="false" ht="12.75" hidden="false" customHeight="true" outlineLevel="0" collapsed="false">
      <c r="A846" s="9" t="n">
        <v>2</v>
      </c>
      <c r="B846" s="10" t="n">
        <v>46209</v>
      </c>
      <c r="C846" s="10" t="n">
        <v>46216</v>
      </c>
      <c r="D846" s="9" t="n">
        <v>1363</v>
      </c>
      <c r="E846" s="11" t="s">
        <v>174</v>
      </c>
      <c r="F846" s="9" t="n">
        <v>24</v>
      </c>
      <c r="G846" s="11" t="s">
        <v>51</v>
      </c>
      <c r="H846" s="9" t="n">
        <v>2110101</v>
      </c>
      <c r="I846" s="11" t="s">
        <v>43</v>
      </c>
      <c r="J846" s="9" t="n">
        <v>1361298</v>
      </c>
      <c r="L846" s="9" t="n">
        <v>3500</v>
      </c>
      <c r="M846" s="11" t="s">
        <v>52</v>
      </c>
      <c r="N846" s="11" t="s">
        <v>37</v>
      </c>
      <c r="P846" s="9" t="n">
        <v>113</v>
      </c>
      <c r="Q846" s="11" t="s">
        <v>46</v>
      </c>
      <c r="R846" s="11" t="s">
        <v>47</v>
      </c>
      <c r="S846" s="9" t="n">
        <v>1130101</v>
      </c>
      <c r="T846" s="11" t="s">
        <v>48</v>
      </c>
      <c r="U846" s="12" t="n">
        <v>142</v>
      </c>
      <c r="W846" s="12" t="n">
        <v>0</v>
      </c>
      <c r="X846" s="11" t="s">
        <v>875</v>
      </c>
      <c r="Z846" s="0" t="str">
        <f aca="false">IF($T846="","",IFERROR(INDEX('Resumo Grupos'!$AC$3:$AC$200,MATCH($T846,'Resumo Grupos'!$AB$3:$AB$200,0)),"n/d"))</f>
        <v>Mercadoria</v>
      </c>
      <c r="AA846" s="0" t="str">
        <f aca="false">IF($T846="","",IF(COUNTIF('Resumo Grupos'!$AE$3:$AE$40,$T846)&gt;0,"NAO","SIM"))</f>
        <v>SIM</v>
      </c>
      <c r="AB846" s="0" t="str">
        <f aca="false">IFERROR(INDEX('Mov Entradas (Rel 10497)'!$L:$L,MATCH(AC846,'Mov Entradas (Rel 10497)'!$I:$I,0)),"nao encontrado")</f>
        <v>PAO BOLINHA SANTO PAO</v>
      </c>
      <c r="AC846" s="0" t="n">
        <v>3500</v>
      </c>
    </row>
    <row r="847" customFormat="false" ht="12.75" hidden="false" customHeight="true" outlineLevel="0" collapsed="false">
      <c r="A847" s="9" t="n">
        <v>2</v>
      </c>
      <c r="B847" s="10" t="n">
        <v>46211</v>
      </c>
      <c r="C847" s="10" t="n">
        <v>46216</v>
      </c>
      <c r="D847" s="9" t="n">
        <v>48</v>
      </c>
      <c r="E847" s="11" t="s">
        <v>153</v>
      </c>
      <c r="F847" s="9" t="n">
        <v>34</v>
      </c>
      <c r="G847" s="11" t="s">
        <v>55</v>
      </c>
      <c r="H847" s="9" t="n">
        <v>2110101</v>
      </c>
      <c r="I847" s="11" t="s">
        <v>43</v>
      </c>
      <c r="J847" s="9" t="n">
        <v>1370406</v>
      </c>
      <c r="L847" s="9" t="n">
        <v>2530</v>
      </c>
      <c r="M847" s="11" t="s">
        <v>52</v>
      </c>
      <c r="N847" s="11" t="s">
        <v>37</v>
      </c>
      <c r="P847" s="9" t="n">
        <v>113</v>
      </c>
      <c r="Q847" s="11" t="s">
        <v>46</v>
      </c>
      <c r="R847" s="11" t="s">
        <v>47</v>
      </c>
      <c r="S847" s="9" t="n">
        <v>1130101</v>
      </c>
      <c r="T847" s="11" t="s">
        <v>48</v>
      </c>
      <c r="U847" s="12" t="n">
        <v>560</v>
      </c>
      <c r="W847" s="12" t="n">
        <v>0</v>
      </c>
      <c r="X847" s="11" t="s">
        <v>876</v>
      </c>
      <c r="Z847" s="0" t="str">
        <f aca="false">IF($T847="","",IFERROR(INDEX('Resumo Grupos'!$AC$3:$AC$200,MATCH($T847,'Resumo Grupos'!$AB$3:$AB$200,0)),"n/d"))</f>
        <v>Mercadoria</v>
      </c>
      <c r="AA847" s="0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9" t="n">
        <v>2</v>
      </c>
      <c r="B848" s="10" t="n">
        <v>46216</v>
      </c>
      <c r="C848" s="10" t="n">
        <v>46216</v>
      </c>
      <c r="D848" s="9" t="n">
        <v>48</v>
      </c>
      <c r="E848" s="11" t="s">
        <v>153</v>
      </c>
      <c r="F848" s="9" t="n">
        <v>13</v>
      </c>
      <c r="G848" s="11" t="s">
        <v>135</v>
      </c>
      <c r="H848" s="9" t="n">
        <v>2110101</v>
      </c>
      <c r="I848" s="11" t="s">
        <v>43</v>
      </c>
      <c r="J848" s="9" t="n">
        <v>1393775</v>
      </c>
      <c r="L848" s="9" t="n">
        <v>2539</v>
      </c>
      <c r="M848" s="11" t="s">
        <v>52</v>
      </c>
      <c r="N848" s="11" t="s">
        <v>37</v>
      </c>
      <c r="P848" s="9" t="n">
        <v>113</v>
      </c>
      <c r="Q848" s="11" t="s">
        <v>46</v>
      </c>
      <c r="R848" s="11" t="s">
        <v>47</v>
      </c>
      <c r="S848" s="9" t="n">
        <v>1130101</v>
      </c>
      <c r="T848" s="11" t="s">
        <v>48</v>
      </c>
      <c r="U848" s="12" t="n">
        <v>210</v>
      </c>
      <c r="W848" s="12" t="n">
        <v>0</v>
      </c>
      <c r="X848" s="11" t="s">
        <v>877</v>
      </c>
      <c r="Z848" s="0" t="str">
        <f aca="false">IF($T848="","",IFERROR(INDEX('Resumo Grupos'!$AC$3:$AC$200,MATCH($T848,'Resumo Grupos'!$AB$3:$AB$200,0)),"n/d"))</f>
        <v>Mercadoria</v>
      </c>
      <c r="AA848" s="0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9" t="n">
        <v>2</v>
      </c>
      <c r="B849" s="10" t="n">
        <v>46210</v>
      </c>
      <c r="C849" s="10" t="n">
        <v>46216</v>
      </c>
      <c r="D849" s="9" t="n">
        <v>1328</v>
      </c>
      <c r="E849" s="11" t="s">
        <v>95</v>
      </c>
      <c r="F849" s="9" t="n">
        <v>24</v>
      </c>
      <c r="G849" s="11" t="s">
        <v>51</v>
      </c>
      <c r="H849" s="9" t="n">
        <v>2110101</v>
      </c>
      <c r="I849" s="11" t="s">
        <v>43</v>
      </c>
      <c r="J849" s="9" t="n">
        <v>1365074</v>
      </c>
      <c r="L849" s="9" t="n">
        <v>3993</v>
      </c>
      <c r="M849" s="11" t="s">
        <v>52</v>
      </c>
      <c r="N849" s="11" t="s">
        <v>37</v>
      </c>
      <c r="P849" s="9" t="n">
        <v>113</v>
      </c>
      <c r="Q849" s="11" t="s">
        <v>46</v>
      </c>
      <c r="R849" s="11" t="s">
        <v>47</v>
      </c>
      <c r="S849" s="9" t="n">
        <v>1130101</v>
      </c>
      <c r="T849" s="11" t="s">
        <v>48</v>
      </c>
      <c r="U849" s="12" t="n">
        <v>194.08</v>
      </c>
      <c r="W849" s="12" t="n">
        <v>0</v>
      </c>
      <c r="X849" s="11" t="s">
        <v>878</v>
      </c>
      <c r="Z849" s="0" t="str">
        <f aca="false">IF($T849="","",IFERROR(INDEX('Resumo Grupos'!$AC$3:$AC$200,MATCH($T849,'Resumo Grupos'!$AB$3:$AB$200,0)),"n/d"))</f>
        <v>Mercadoria</v>
      </c>
      <c r="AA849" s="0" t="str">
        <f aca="false">IF($T849="","",IF(COUNTIF('Resumo Grupos'!$AE$3:$AE$40,$T849)&gt;0,"NAO","SIM"))</f>
        <v>SIM</v>
      </c>
      <c r="AB849" s="0" t="str">
        <f aca="false">IFERROR(INDEX('Mov Entradas (Rel 10497)'!$L:$L,MATCH(AC849,'Mov Entradas (Rel 10497)'!$I:$I,0)),"nao encontrado")</f>
        <v>PAO DE KIKAO 10</v>
      </c>
      <c r="AC849" s="0" t="n">
        <v>3993</v>
      </c>
    </row>
    <row r="850" customFormat="false" ht="12.75" hidden="false" customHeight="true" outlineLevel="0" collapsed="false">
      <c r="A850" s="9" t="n">
        <v>2</v>
      </c>
      <c r="B850" s="10" t="n">
        <v>46211</v>
      </c>
      <c r="C850" s="10" t="n">
        <v>46216</v>
      </c>
      <c r="D850" s="9" t="n">
        <v>1899</v>
      </c>
      <c r="E850" s="11" t="s">
        <v>204</v>
      </c>
      <c r="F850" s="9" t="n">
        <v>24</v>
      </c>
      <c r="G850" s="11" t="s">
        <v>51</v>
      </c>
      <c r="H850" s="9" t="n">
        <v>2110101</v>
      </c>
      <c r="I850" s="11" t="s">
        <v>43</v>
      </c>
      <c r="J850" s="9" t="n">
        <v>1370613</v>
      </c>
      <c r="L850" s="9" t="n">
        <v>704</v>
      </c>
      <c r="M850" s="11" t="s">
        <v>52</v>
      </c>
      <c r="N850" s="11" t="s">
        <v>37</v>
      </c>
      <c r="P850" s="9" t="n">
        <v>113</v>
      </c>
      <c r="Q850" s="11" t="s">
        <v>46</v>
      </c>
      <c r="R850" s="11" t="s">
        <v>47</v>
      </c>
      <c r="S850" s="9" t="n">
        <v>1130101</v>
      </c>
      <c r="T850" s="11" t="s">
        <v>48</v>
      </c>
      <c r="U850" s="12" t="n">
        <v>259.75</v>
      </c>
      <c r="W850" s="12" t="n">
        <v>0</v>
      </c>
      <c r="X850" s="11" t="s">
        <v>879</v>
      </c>
      <c r="Z850" s="0" t="str">
        <f aca="false">IF($T850="","",IFERROR(INDEX('Resumo Grupos'!$AC$3:$AC$200,MATCH($T850,'Resumo Grupos'!$AB$3:$AB$200,0)),"n/d"))</f>
        <v>Mercadoria</v>
      </c>
      <c r="AA850" s="0" t="str">
        <f aca="false">IF($T850="","",IF(COUNTIF('Resumo Grupos'!$AE$3:$AE$40,$T850)&gt;0,"NAO","SIM"))</f>
        <v>SIM</v>
      </c>
      <c r="AB850" s="0" t="str">
        <f aca="false">IFERROR(INDEX('Mov Entradas (Rel 10497)'!$L:$L,MATCH(AC850,'Mov Entradas (Rel 10497)'!$I:$I,0)),"nao encontrado")</f>
        <v>MASSA FINA</v>
      </c>
      <c r="AC850" s="0" t="n">
        <v>704</v>
      </c>
    </row>
    <row r="851" customFormat="false" ht="12.75" hidden="false" customHeight="true" outlineLevel="0" collapsed="false">
      <c r="A851" s="9" t="n">
        <v>2</v>
      </c>
      <c r="B851" s="10" t="n">
        <v>46195</v>
      </c>
      <c r="C851" s="10" t="n">
        <v>46216</v>
      </c>
      <c r="D851" s="9" t="n">
        <v>1697</v>
      </c>
      <c r="E851" s="11" t="s">
        <v>787</v>
      </c>
      <c r="F851" s="9" t="n">
        <v>24</v>
      </c>
      <c r="G851" s="11" t="s">
        <v>51</v>
      </c>
      <c r="H851" s="9" t="n">
        <v>2110101</v>
      </c>
      <c r="I851" s="11" t="s">
        <v>43</v>
      </c>
      <c r="J851" s="9" t="n">
        <v>1289570</v>
      </c>
      <c r="L851" s="9" t="n">
        <v>207912</v>
      </c>
      <c r="M851" s="11" t="s">
        <v>44</v>
      </c>
      <c r="N851" s="11" t="s">
        <v>37</v>
      </c>
      <c r="P851" s="9" t="n">
        <v>113</v>
      </c>
      <c r="Q851" s="11" t="s">
        <v>46</v>
      </c>
      <c r="R851" s="11" t="s">
        <v>47</v>
      </c>
      <c r="S851" s="9" t="n">
        <v>1130101</v>
      </c>
      <c r="T851" s="11" t="s">
        <v>48</v>
      </c>
      <c r="U851" s="12" t="n">
        <v>591.52</v>
      </c>
      <c r="W851" s="12" t="n">
        <v>0</v>
      </c>
      <c r="X851" s="11" t="s">
        <v>788</v>
      </c>
      <c r="Z851" s="0" t="str">
        <f aca="false">IF($T851="","",IFERROR(INDEX('Resumo Grupos'!$AC$3:$AC$200,MATCH($T851,'Resumo Grupos'!$AB$3:$AB$200,0)),"n/d"))</f>
        <v>Mercadoria</v>
      </c>
      <c r="AA851" s="0" t="str">
        <f aca="false">IF($T851="","",IF(COUNTIF('Resumo Grupos'!$AE$3:$AE$40,$T851)&gt;0,"NAO","SIM"))</f>
        <v>SIM</v>
      </c>
      <c r="AB851" s="0" t="str">
        <f aca="false">IFERROR(INDEX('Mov Entradas (Rel 10497)'!$L:$L,MATCH(AC851,'Mov Entradas (Rel 10497)'!$I:$I,0)),"nao encontrado")</f>
        <v>LEITE ITALAC DESN 1L</v>
      </c>
      <c r="AC851" s="0" t="n">
        <v>207912</v>
      </c>
    </row>
    <row r="852" customFormat="false" ht="12.75" hidden="false" customHeight="true" outlineLevel="0" collapsed="false">
      <c r="A852" s="9" t="n">
        <v>2</v>
      </c>
      <c r="B852" s="10" t="n">
        <v>46216</v>
      </c>
      <c r="C852" s="10" t="n">
        <v>46216</v>
      </c>
      <c r="D852" s="9" t="n">
        <v>0</v>
      </c>
      <c r="E852" s="11" t="s">
        <v>109</v>
      </c>
      <c r="F852" s="9" t="n">
        <v>17</v>
      </c>
      <c r="G852" s="11" t="s">
        <v>110</v>
      </c>
      <c r="H852" s="9" t="n">
        <v>1110101</v>
      </c>
      <c r="I852" s="11" t="s">
        <v>111</v>
      </c>
      <c r="J852" s="9" t="n">
        <v>1434982</v>
      </c>
      <c r="L852" s="9" t="n">
        <v>1434982</v>
      </c>
      <c r="M852" s="11" t="s">
        <v>52</v>
      </c>
      <c r="N852" s="11" t="s">
        <v>112</v>
      </c>
      <c r="P852" s="9" t="n">
        <v>113</v>
      </c>
      <c r="Q852" s="11" t="s">
        <v>46</v>
      </c>
      <c r="R852" s="11" t="s">
        <v>71</v>
      </c>
      <c r="S852" s="9" t="n">
        <v>4210314</v>
      </c>
      <c r="T852" s="11" t="s">
        <v>113</v>
      </c>
      <c r="U852" s="12" t="n">
        <v>70</v>
      </c>
      <c r="W852" s="12" t="n">
        <v>70</v>
      </c>
      <c r="X852" s="11" t="s">
        <v>115</v>
      </c>
      <c r="Z852" s="0" t="str">
        <f aca="false">IF($T852="","",IFERROR(INDEX('Resumo Grupos'!$AC$3:$AC$200,MATCH($T852,'Resumo Grupos'!$AB$3:$AB$200,0)),"n/d"))</f>
        <v>Despesa</v>
      </c>
      <c r="AA852" s="0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9" t="n">
        <v>2</v>
      </c>
      <c r="B853" s="10" t="n">
        <v>46216</v>
      </c>
      <c r="C853" s="10" t="n">
        <v>46216</v>
      </c>
      <c r="D853" s="9" t="n">
        <v>0</v>
      </c>
      <c r="E853" s="11" t="s">
        <v>109</v>
      </c>
      <c r="F853" s="9" t="n">
        <v>17</v>
      </c>
      <c r="G853" s="11" t="s">
        <v>110</v>
      </c>
      <c r="H853" s="9" t="n">
        <v>1110101</v>
      </c>
      <c r="I853" s="11" t="s">
        <v>111</v>
      </c>
      <c r="J853" s="9" t="n">
        <v>1435032</v>
      </c>
      <c r="L853" s="9" t="n">
        <v>1435032</v>
      </c>
      <c r="M853" s="11" t="s">
        <v>52</v>
      </c>
      <c r="N853" s="11" t="s">
        <v>112</v>
      </c>
      <c r="P853" s="9" t="n">
        <v>113</v>
      </c>
      <c r="Q853" s="11" t="s">
        <v>46</v>
      </c>
      <c r="R853" s="11" t="s">
        <v>116</v>
      </c>
      <c r="S853" s="9" t="n">
        <v>1110203</v>
      </c>
      <c r="T853" s="11" t="s">
        <v>117</v>
      </c>
      <c r="U853" s="12" t="n">
        <v>120</v>
      </c>
      <c r="W853" s="12" t="n">
        <v>120</v>
      </c>
      <c r="X853" s="11" t="s">
        <v>880</v>
      </c>
      <c r="Z853" s="0" t="str">
        <f aca="false">IF($T853="","",IFERROR(INDEX('Resumo Grupos'!$AC$3:$AC$200,MATCH($T853,'Resumo Grupos'!$AB$3:$AB$200,0)),"n/d"))</f>
        <v>Despesa</v>
      </c>
      <c r="AA853" s="0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9" t="n">
        <v>2</v>
      </c>
      <c r="B854" s="10" t="n">
        <v>46216</v>
      </c>
      <c r="C854" s="10" t="n">
        <v>46216</v>
      </c>
      <c r="D854" s="9" t="n">
        <v>0</v>
      </c>
      <c r="E854" s="11" t="s">
        <v>109</v>
      </c>
      <c r="F854" s="9" t="n">
        <v>17</v>
      </c>
      <c r="G854" s="11" t="s">
        <v>110</v>
      </c>
      <c r="H854" s="9" t="n">
        <v>1110101</v>
      </c>
      <c r="I854" s="11" t="s">
        <v>111</v>
      </c>
      <c r="J854" s="9" t="n">
        <v>1469100</v>
      </c>
      <c r="L854" s="9" t="n">
        <v>1469100</v>
      </c>
      <c r="M854" s="11" t="s">
        <v>52</v>
      </c>
      <c r="N854" s="11" t="s">
        <v>112</v>
      </c>
      <c r="P854" s="9" t="n">
        <v>113</v>
      </c>
      <c r="Q854" s="11" t="s">
        <v>46</v>
      </c>
      <c r="R854" s="11" t="s">
        <v>116</v>
      </c>
      <c r="S854" s="9" t="n">
        <v>1110203</v>
      </c>
      <c r="T854" s="11" t="s">
        <v>117</v>
      </c>
      <c r="U854" s="12" t="n">
        <v>1600</v>
      </c>
      <c r="W854" s="12" t="n">
        <v>1600</v>
      </c>
      <c r="X854" s="11" t="s">
        <v>881</v>
      </c>
      <c r="Z854" s="0" t="str">
        <f aca="false">IF($T854="","",IFERROR(INDEX('Resumo Grupos'!$AC$3:$AC$200,MATCH($T854,'Resumo Grupos'!$AB$3:$AB$200,0)),"n/d"))</f>
        <v>Despesa</v>
      </c>
      <c r="AA854" s="0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9" t="n">
        <v>2</v>
      </c>
      <c r="B855" s="10" t="n">
        <v>46214</v>
      </c>
      <c r="C855" s="10" t="n">
        <v>46217</v>
      </c>
      <c r="D855" s="9" t="n">
        <v>642</v>
      </c>
      <c r="E855" s="11" t="s">
        <v>123</v>
      </c>
      <c r="F855" s="9" t="n">
        <v>24</v>
      </c>
      <c r="G855" s="11" t="s">
        <v>51</v>
      </c>
      <c r="H855" s="9" t="n">
        <v>2110101</v>
      </c>
      <c r="I855" s="11" t="s">
        <v>43</v>
      </c>
      <c r="J855" s="9" t="n">
        <v>1381699</v>
      </c>
      <c r="L855" s="9" t="n">
        <v>527</v>
      </c>
      <c r="M855" s="11" t="s">
        <v>52</v>
      </c>
      <c r="N855" s="11" t="s">
        <v>37</v>
      </c>
      <c r="P855" s="9" t="n">
        <v>113</v>
      </c>
      <c r="Q855" s="11" t="s">
        <v>46</v>
      </c>
      <c r="R855" s="11" t="s">
        <v>47</v>
      </c>
      <c r="S855" s="9" t="n">
        <v>1130101</v>
      </c>
      <c r="T855" s="11" t="s">
        <v>48</v>
      </c>
      <c r="U855" s="12" t="n">
        <v>180</v>
      </c>
      <c r="W855" s="12" t="n">
        <v>0</v>
      </c>
      <c r="X855" s="11" t="s">
        <v>882</v>
      </c>
      <c r="Z855" s="0" t="str">
        <f aca="false">IF($T855="","",IFERROR(INDEX('Resumo Grupos'!$AC$3:$AC$200,MATCH($T855,'Resumo Grupos'!$AB$3:$AB$200,0)),"n/d"))</f>
        <v>Mercadoria</v>
      </c>
      <c r="AA855" s="0" t="str">
        <f aca="false">IF($T855="","",IF(COUNTIF('Resumo Grupos'!$AE$3:$AE$40,$T855)&gt;0,"NAO","SIM"))</f>
        <v>SIM</v>
      </c>
      <c r="AB855" s="0" t="str">
        <f aca="false">IFERROR(INDEX('Mov Entradas (Rel 10497)'!$L:$L,MATCH(AC855,'Mov Entradas (Rel 10497)'!$I:$I,0)),"nao encontrado")</f>
        <v>BOLO BLOOM 600G</v>
      </c>
      <c r="AC855" s="0" t="n">
        <v>527</v>
      </c>
    </row>
    <row r="856" customFormat="false" ht="12.75" hidden="false" customHeight="true" outlineLevel="0" collapsed="false">
      <c r="A856" s="9" t="n">
        <v>2</v>
      </c>
      <c r="B856" s="10" t="n">
        <v>46217</v>
      </c>
      <c r="C856" s="10" t="n">
        <v>46217</v>
      </c>
      <c r="D856" s="9" t="n">
        <v>52</v>
      </c>
      <c r="E856" s="11" t="s">
        <v>219</v>
      </c>
      <c r="F856" s="9" t="n">
        <v>34</v>
      </c>
      <c r="G856" s="11" t="s">
        <v>55</v>
      </c>
      <c r="H856" s="9" t="n">
        <v>2110405</v>
      </c>
      <c r="I856" s="11" t="s">
        <v>56</v>
      </c>
      <c r="J856" s="9" t="n">
        <v>1402856</v>
      </c>
      <c r="L856" s="9" t="n">
        <v>188820</v>
      </c>
      <c r="M856" s="11" t="s">
        <v>52</v>
      </c>
      <c r="N856" s="11" t="s">
        <v>45</v>
      </c>
      <c r="P856" s="9" t="n">
        <v>113</v>
      </c>
      <c r="Q856" s="11" t="s">
        <v>46</v>
      </c>
      <c r="R856" s="11" t="s">
        <v>71</v>
      </c>
      <c r="S856" s="9" t="n">
        <v>4210301</v>
      </c>
      <c r="T856" s="11" t="s">
        <v>220</v>
      </c>
      <c r="U856" s="12" t="n">
        <v>200</v>
      </c>
      <c r="W856" s="12" t="n">
        <v>0</v>
      </c>
      <c r="X856" s="11" t="s">
        <v>883</v>
      </c>
      <c r="Z856" s="0" t="str">
        <f aca="false">IF($T856="","",IFERROR(INDEX('Resumo Grupos'!$AC$3:$AC$200,MATCH($T856,'Resumo Grupos'!$AB$3:$AB$200,0)),"n/d"))</f>
        <v>Salários</v>
      </c>
      <c r="AA856" s="0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9" t="n">
        <v>2</v>
      </c>
      <c r="B857" s="10" t="n">
        <v>46197</v>
      </c>
      <c r="C857" s="10" t="n">
        <v>46217</v>
      </c>
      <c r="D857" s="9" t="n">
        <v>1635</v>
      </c>
      <c r="E857" s="11" t="s">
        <v>128</v>
      </c>
      <c r="F857" s="9" t="n">
        <v>24</v>
      </c>
      <c r="G857" s="11" t="s">
        <v>51</v>
      </c>
      <c r="H857" s="9" t="n">
        <v>2110101</v>
      </c>
      <c r="I857" s="11" t="s">
        <v>43</v>
      </c>
      <c r="J857" s="9" t="n">
        <v>1299637</v>
      </c>
      <c r="L857" s="9" t="n">
        <v>519349</v>
      </c>
      <c r="M857" s="11" t="s">
        <v>52</v>
      </c>
      <c r="N857" s="11" t="s">
        <v>37</v>
      </c>
      <c r="P857" s="9" t="n">
        <v>113</v>
      </c>
      <c r="Q857" s="11" t="s">
        <v>46</v>
      </c>
      <c r="R857" s="11" t="s">
        <v>47</v>
      </c>
      <c r="S857" s="9" t="n">
        <v>1130101</v>
      </c>
      <c r="T857" s="11" t="s">
        <v>48</v>
      </c>
      <c r="U857" s="12" t="n">
        <v>304.45</v>
      </c>
      <c r="W857" s="12" t="n">
        <v>0</v>
      </c>
      <c r="X857" s="11" t="s">
        <v>884</v>
      </c>
      <c r="Z857" s="0" t="str">
        <f aca="false">IF($T857="","",IFERROR(INDEX('Resumo Grupos'!$AC$3:$AC$200,MATCH($T857,'Resumo Grupos'!$AB$3:$AB$200,0)),"n/d"))</f>
        <v>Mercadoria</v>
      </c>
      <c r="AA857" s="0" t="str">
        <f aca="false">IF($T857="","",IF(COUNTIF('Resumo Grupos'!$AE$3:$AE$40,$T857)&gt;0,"NAO","SIM"))</f>
        <v>SIM</v>
      </c>
      <c r="AB857" s="0" t="str">
        <f aca="false">IFERROR(INDEX('Mov Entradas (Rel 10497)'!$L:$L,MATCH(AC857,'Mov Entradas (Rel 10497)'!$I:$I,0)),"nao encontrado")</f>
        <v>CHA CIDREIRA BARA 10</v>
      </c>
      <c r="AC857" s="0" t="n">
        <v>519349</v>
      </c>
    </row>
    <row r="858" customFormat="false" ht="12.75" hidden="false" customHeight="true" outlineLevel="0" collapsed="false">
      <c r="A858" s="9" t="n">
        <v>2</v>
      </c>
      <c r="B858" s="10" t="n">
        <v>46202</v>
      </c>
      <c r="C858" s="10" t="n">
        <v>46217</v>
      </c>
      <c r="D858" s="9" t="n">
        <v>1705</v>
      </c>
      <c r="E858" s="11" t="s">
        <v>130</v>
      </c>
      <c r="F858" s="9" t="n">
        <v>24</v>
      </c>
      <c r="G858" s="11" t="s">
        <v>51</v>
      </c>
      <c r="H858" s="9" t="n">
        <v>2110101</v>
      </c>
      <c r="I858" s="11" t="s">
        <v>43</v>
      </c>
      <c r="J858" s="9" t="n">
        <v>1322169</v>
      </c>
      <c r="L858" s="9" t="n">
        <v>1180339</v>
      </c>
      <c r="M858" s="11" t="s">
        <v>52</v>
      </c>
      <c r="N858" s="11" t="s">
        <v>37</v>
      </c>
      <c r="P858" s="9" t="n">
        <v>113</v>
      </c>
      <c r="Q858" s="11" t="s">
        <v>46</v>
      </c>
      <c r="R858" s="11" t="s">
        <v>47</v>
      </c>
      <c r="S858" s="9" t="n">
        <v>1130101</v>
      </c>
      <c r="T858" s="11" t="s">
        <v>48</v>
      </c>
      <c r="U858" s="12" t="n">
        <v>29.3</v>
      </c>
      <c r="W858" s="12" t="n">
        <v>0</v>
      </c>
      <c r="X858" s="11" t="s">
        <v>885</v>
      </c>
      <c r="Z858" s="0" t="str">
        <f aca="false">IF($T858="","",IFERROR(INDEX('Resumo Grupos'!$AC$3:$AC$200,MATCH($T858,'Resumo Grupos'!$AB$3:$AB$200,0)),"n/d"))</f>
        <v>Mercadoria</v>
      </c>
      <c r="AA858" s="0" t="str">
        <f aca="false">IF($T858="","",IF(COUNTIF('Resumo Grupos'!$AE$3:$AE$40,$T858)&gt;0,"NAO","SIM"))</f>
        <v>SIM</v>
      </c>
      <c r="AB858" s="0" t="str">
        <f aca="false">IFERROR(INDEX('Mov Entradas (Rel 10497)'!$L:$L,MATCH(AC858,'Mov Entradas (Rel 10497)'!$I:$I,0)),"nao encontrado")</f>
        <v>POWERADE ZERO CALORIAS MX FRUTAS</v>
      </c>
      <c r="AC858" s="0" t="n">
        <v>1180339</v>
      </c>
    </row>
    <row r="859" customFormat="false" ht="12.75" hidden="false" customHeight="true" outlineLevel="0" collapsed="false">
      <c r="A859" s="9" t="n">
        <v>2</v>
      </c>
      <c r="B859" s="10" t="n">
        <v>46202</v>
      </c>
      <c r="C859" s="10" t="n">
        <v>46217</v>
      </c>
      <c r="D859" s="9" t="n">
        <v>1705</v>
      </c>
      <c r="E859" s="11" t="s">
        <v>130</v>
      </c>
      <c r="F859" s="9" t="n">
        <v>24</v>
      </c>
      <c r="G859" s="11" t="s">
        <v>51</v>
      </c>
      <c r="H859" s="9" t="n">
        <v>2110101</v>
      </c>
      <c r="I859" s="11" t="s">
        <v>43</v>
      </c>
      <c r="J859" s="9" t="n">
        <v>1322180</v>
      </c>
      <c r="L859" s="9" t="n">
        <v>1906318</v>
      </c>
      <c r="M859" s="11" t="s">
        <v>52</v>
      </c>
      <c r="N859" s="11" t="s">
        <v>37</v>
      </c>
      <c r="P859" s="9" t="n">
        <v>113</v>
      </c>
      <c r="Q859" s="11" t="s">
        <v>46</v>
      </c>
      <c r="R859" s="11" t="s">
        <v>47</v>
      </c>
      <c r="S859" s="9" t="n">
        <v>1130101</v>
      </c>
      <c r="T859" s="11" t="s">
        <v>48</v>
      </c>
      <c r="U859" s="12" t="n">
        <v>156.29</v>
      </c>
      <c r="W859" s="12" t="n">
        <v>0</v>
      </c>
      <c r="X859" s="11" t="s">
        <v>886</v>
      </c>
      <c r="Z859" s="0" t="str">
        <f aca="false">IF($T859="","",IFERROR(INDEX('Resumo Grupos'!$AC$3:$AC$200,MATCH($T859,'Resumo Grupos'!$AB$3:$AB$200,0)),"n/d"))</f>
        <v>Mercadoria</v>
      </c>
      <c r="AA859" s="0" t="str">
        <f aca="false">IF($T859="","",IF(COUNTIF('Resumo Grupos'!$AE$3:$AE$40,$T859)&gt;0,"NAO","SIM"))</f>
        <v>SIM</v>
      </c>
      <c r="AB859" s="0" t="str">
        <f aca="false">IFERROR(INDEX('Mov Entradas (Rel 10497)'!$L:$L,MATCH(AC859,'Mov Entradas (Rel 10497)'!$I:$I,0)),"nao encontrado")</f>
        <v>REFRI. FANTA UVA 1,5</v>
      </c>
      <c r="AC859" s="0" t="n">
        <v>1906318</v>
      </c>
    </row>
    <row r="860" customFormat="false" ht="12.75" hidden="false" customHeight="true" outlineLevel="0" collapsed="false">
      <c r="A860" s="9" t="n">
        <v>2</v>
      </c>
      <c r="B860" s="10" t="n">
        <v>46202</v>
      </c>
      <c r="C860" s="10" t="n">
        <v>46217</v>
      </c>
      <c r="D860" s="9" t="n">
        <v>1705</v>
      </c>
      <c r="E860" s="11" t="s">
        <v>130</v>
      </c>
      <c r="F860" s="9" t="n">
        <v>24</v>
      </c>
      <c r="G860" s="11" t="s">
        <v>51</v>
      </c>
      <c r="H860" s="9" t="n">
        <v>2110101</v>
      </c>
      <c r="I860" s="11" t="s">
        <v>43</v>
      </c>
      <c r="J860" s="9" t="n">
        <v>1322190</v>
      </c>
      <c r="L860" s="9" t="n">
        <v>1906109</v>
      </c>
      <c r="M860" s="11" t="s">
        <v>52</v>
      </c>
      <c r="N860" s="11" t="s">
        <v>37</v>
      </c>
      <c r="P860" s="9" t="n">
        <v>113</v>
      </c>
      <c r="Q860" s="11" t="s">
        <v>46</v>
      </c>
      <c r="R860" s="11" t="s">
        <v>47</v>
      </c>
      <c r="S860" s="9" t="n">
        <v>1130101</v>
      </c>
      <c r="T860" s="11" t="s">
        <v>48</v>
      </c>
      <c r="U860" s="12" t="n">
        <v>974.53</v>
      </c>
      <c r="W860" s="12" t="n">
        <v>0</v>
      </c>
      <c r="X860" s="11" t="s">
        <v>887</v>
      </c>
      <c r="Z860" s="0" t="str">
        <f aca="false">IF($T860="","",IFERROR(INDEX('Resumo Grupos'!$AC$3:$AC$200,MATCH($T860,'Resumo Grupos'!$AB$3:$AB$200,0)),"n/d"))</f>
        <v>Mercadoria</v>
      </c>
      <c r="AA860" s="0" t="str">
        <f aca="false">IF($T860="","",IF(COUNTIF('Resumo Grupos'!$AE$3:$AE$40,$T860)&gt;0,"NAO","SIM"))</f>
        <v>SIM</v>
      </c>
      <c r="AB860" s="0" t="str">
        <f aca="false">IFERROR(INDEX('Mov Entradas (Rel 10497)'!$L:$L,MATCH(AC860,'Mov Entradas (Rel 10497)'!$I:$I,0)),"nao encontrado")</f>
        <v>COCA ZERO 2,5 LTS</v>
      </c>
      <c r="AC860" s="0" t="n">
        <v>1906109</v>
      </c>
    </row>
    <row r="861" customFormat="false" ht="12.75" hidden="false" customHeight="true" outlineLevel="0" collapsed="false">
      <c r="A861" s="9" t="n">
        <v>2</v>
      </c>
      <c r="B861" s="10" t="n">
        <v>46210</v>
      </c>
      <c r="C861" s="10" t="n">
        <v>46217</v>
      </c>
      <c r="D861" s="9" t="n">
        <v>1642</v>
      </c>
      <c r="E861" s="11" t="s">
        <v>228</v>
      </c>
      <c r="F861" s="9" t="n">
        <v>24</v>
      </c>
      <c r="G861" s="11" t="s">
        <v>51</v>
      </c>
      <c r="H861" s="9" t="n">
        <v>2110101</v>
      </c>
      <c r="I861" s="11" t="s">
        <v>43</v>
      </c>
      <c r="J861" s="9" t="n">
        <v>1364546</v>
      </c>
      <c r="L861" s="9" t="n">
        <v>1030653</v>
      </c>
      <c r="M861" s="11" t="s">
        <v>52</v>
      </c>
      <c r="N861" s="11" t="s">
        <v>37</v>
      </c>
      <c r="P861" s="9" t="n">
        <v>113</v>
      </c>
      <c r="Q861" s="11" t="s">
        <v>46</v>
      </c>
      <c r="R861" s="11" t="s">
        <v>47</v>
      </c>
      <c r="S861" s="9" t="n">
        <v>1130101</v>
      </c>
      <c r="T861" s="11" t="s">
        <v>48</v>
      </c>
      <c r="U861" s="12" t="n">
        <v>248.78</v>
      </c>
      <c r="W861" s="12" t="n">
        <v>0</v>
      </c>
      <c r="X861" s="11" t="s">
        <v>888</v>
      </c>
      <c r="Z861" s="0" t="str">
        <f aca="false">IF($T861="","",IFERROR(INDEX('Resumo Grupos'!$AC$3:$AC$200,MATCH($T861,'Resumo Grupos'!$AB$3:$AB$200,0)),"n/d"))</f>
        <v>Mercadoria</v>
      </c>
      <c r="AA861" s="0" t="str">
        <f aca="false">IF($T861="","",IF(COUNTIF('Resumo Grupos'!$AE$3:$AE$40,$T861)&gt;0,"NAO","SIM"))</f>
        <v>SIM</v>
      </c>
      <c r="AB861" s="0" t="str">
        <f aca="false">IFERROR(INDEX('Mov Entradas (Rel 10497)'!$L:$L,MATCH(AC861,'Mov Entradas (Rel 10497)'!$I:$I,0)),"nao encontrado")</f>
        <v>FAR ROSCA COM BROTHE</v>
      </c>
      <c r="AC861" s="0" t="n">
        <v>1030653</v>
      </c>
    </row>
    <row r="862" customFormat="false" ht="12.75" hidden="false" customHeight="true" outlineLevel="0" collapsed="false">
      <c r="A862" s="9" t="n">
        <v>2</v>
      </c>
      <c r="B862" s="10" t="n">
        <v>46209</v>
      </c>
      <c r="C862" s="10" t="n">
        <v>46217</v>
      </c>
      <c r="D862" s="9" t="n">
        <v>1723</v>
      </c>
      <c r="E862" s="11" t="s">
        <v>371</v>
      </c>
      <c r="F862" s="9" t="n">
        <v>24</v>
      </c>
      <c r="G862" s="11" t="s">
        <v>51</v>
      </c>
      <c r="H862" s="9" t="n">
        <v>2110101</v>
      </c>
      <c r="I862" s="11" t="s">
        <v>43</v>
      </c>
      <c r="J862" s="9" t="n">
        <v>1359593</v>
      </c>
      <c r="L862" s="9" t="n">
        <v>172659</v>
      </c>
      <c r="M862" s="11" t="s">
        <v>52</v>
      </c>
      <c r="N862" s="11" t="s">
        <v>37</v>
      </c>
      <c r="P862" s="9" t="n">
        <v>113</v>
      </c>
      <c r="Q862" s="11" t="s">
        <v>46</v>
      </c>
      <c r="R862" s="11" t="s">
        <v>47</v>
      </c>
      <c r="S862" s="9" t="n">
        <v>1130101</v>
      </c>
      <c r="T862" s="11" t="s">
        <v>48</v>
      </c>
      <c r="U862" s="12" t="n">
        <v>2243.2</v>
      </c>
      <c r="W862" s="12" t="n">
        <v>0</v>
      </c>
      <c r="X862" s="11" t="s">
        <v>889</v>
      </c>
      <c r="Z862" s="0" t="str">
        <f aca="false">IF($T862="","",IFERROR(INDEX('Resumo Grupos'!$AC$3:$AC$200,MATCH($T862,'Resumo Grupos'!$AB$3:$AB$200,0)),"n/d"))</f>
        <v>Mercadoria</v>
      </c>
      <c r="AA862" s="0" t="str">
        <f aca="false">IF($T862="","",IF(COUNTIF('Resumo Grupos'!$AE$3:$AE$40,$T862)&gt;0,"NAO","SIM"))</f>
        <v>SIM</v>
      </c>
      <c r="AB862" s="0" t="str">
        <f aca="false">IFERROR(INDEX('Mov Entradas (Rel 10497)'!$L:$L,MATCH(AC862,'Mov Entradas (Rel 10497)'!$I:$I,0)),"nao encontrado")</f>
        <v>TRASEIRO DE BOI L1</v>
      </c>
      <c r="AC862" s="0" t="n">
        <v>172659</v>
      </c>
    </row>
    <row r="863" customFormat="false" ht="12.75" hidden="false" customHeight="true" outlineLevel="0" collapsed="false">
      <c r="A863" s="9" t="n">
        <v>2</v>
      </c>
      <c r="B863" s="10" t="n">
        <v>46217</v>
      </c>
      <c r="C863" s="10" t="n">
        <v>46217</v>
      </c>
      <c r="D863" s="9" t="n">
        <v>1037</v>
      </c>
      <c r="E863" s="11" t="s">
        <v>134</v>
      </c>
      <c r="F863" s="9" t="n">
        <v>34</v>
      </c>
      <c r="G863" s="11" t="s">
        <v>55</v>
      </c>
      <c r="H863" s="9" t="n">
        <v>2110405</v>
      </c>
      <c r="I863" s="11" t="s">
        <v>56</v>
      </c>
      <c r="J863" s="9" t="n">
        <v>1398234</v>
      </c>
      <c r="L863" s="9" t="n">
        <v>188092</v>
      </c>
      <c r="M863" s="11" t="s">
        <v>52</v>
      </c>
      <c r="N863" s="11" t="s">
        <v>45</v>
      </c>
      <c r="P863" s="9" t="n">
        <v>113</v>
      </c>
      <c r="Q863" s="11" t="s">
        <v>46</v>
      </c>
      <c r="R863" s="11" t="s">
        <v>47</v>
      </c>
      <c r="S863" s="9" t="n">
        <v>1130101</v>
      </c>
      <c r="T863" s="11" t="s">
        <v>48</v>
      </c>
      <c r="U863" s="12" t="n">
        <v>770</v>
      </c>
      <c r="W863" s="12" t="n">
        <v>0</v>
      </c>
      <c r="X863" s="11" t="s">
        <v>890</v>
      </c>
      <c r="Z863" s="0" t="str">
        <f aca="false">IF($T863="","",IFERROR(INDEX('Resumo Grupos'!$AC$3:$AC$200,MATCH($T863,'Resumo Grupos'!$AB$3:$AB$200,0)),"n/d"))</f>
        <v>Mercadoria</v>
      </c>
      <c r="AA863" s="0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9" t="n">
        <v>2</v>
      </c>
      <c r="B864" s="10" t="n">
        <v>46217</v>
      </c>
      <c r="C864" s="10" t="n">
        <v>46217</v>
      </c>
      <c r="D864" s="9" t="n">
        <v>1979</v>
      </c>
      <c r="E864" s="11" t="s">
        <v>250</v>
      </c>
      <c r="F864" s="9" t="n">
        <v>34</v>
      </c>
      <c r="G864" s="11" t="s">
        <v>55</v>
      </c>
      <c r="H864" s="9" t="n">
        <v>2110405</v>
      </c>
      <c r="I864" s="11" t="s">
        <v>56</v>
      </c>
      <c r="J864" s="9" t="n">
        <v>1402870</v>
      </c>
      <c r="L864" s="9" t="n">
        <v>188825</v>
      </c>
      <c r="M864" s="11" t="s">
        <v>52</v>
      </c>
      <c r="N864" s="11" t="s">
        <v>45</v>
      </c>
      <c r="P864" s="9" t="n">
        <v>113</v>
      </c>
      <c r="Q864" s="11" t="s">
        <v>46</v>
      </c>
      <c r="R864" s="11" t="s">
        <v>71</v>
      </c>
      <c r="S864" s="9" t="n">
        <v>4210301</v>
      </c>
      <c r="T864" s="11" t="s">
        <v>220</v>
      </c>
      <c r="U864" s="12" t="n">
        <v>400</v>
      </c>
      <c r="W864" s="12" t="n">
        <v>0</v>
      </c>
      <c r="X864" s="11" t="s">
        <v>883</v>
      </c>
      <c r="Z864" s="0" t="str">
        <f aca="false">IF($T864="","",IFERROR(INDEX('Resumo Grupos'!$AC$3:$AC$200,MATCH($T864,'Resumo Grupos'!$AB$3:$AB$200,0)),"n/d"))</f>
        <v>Salários</v>
      </c>
      <c r="AA864" s="0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9" t="n">
        <v>2</v>
      </c>
      <c r="B865" s="10" t="n">
        <v>46204</v>
      </c>
      <c r="C865" s="10" t="n">
        <v>46217</v>
      </c>
      <c r="D865" s="9" t="n">
        <v>1611</v>
      </c>
      <c r="E865" s="11" t="s">
        <v>178</v>
      </c>
      <c r="F865" s="9" t="n">
        <v>24</v>
      </c>
      <c r="G865" s="11" t="s">
        <v>51</v>
      </c>
      <c r="H865" s="9" t="n">
        <v>2110101</v>
      </c>
      <c r="I865" s="11" t="s">
        <v>43</v>
      </c>
      <c r="J865" s="9" t="n">
        <v>1333898</v>
      </c>
      <c r="L865" s="9" t="n">
        <v>1777487</v>
      </c>
      <c r="M865" s="11" t="s">
        <v>52</v>
      </c>
      <c r="N865" s="11" t="s">
        <v>37</v>
      </c>
      <c r="P865" s="9" t="n">
        <v>113</v>
      </c>
      <c r="Q865" s="11" t="s">
        <v>46</v>
      </c>
      <c r="R865" s="11" t="s">
        <v>47</v>
      </c>
      <c r="S865" s="9" t="n">
        <v>1130101</v>
      </c>
      <c r="T865" s="11" t="s">
        <v>48</v>
      </c>
      <c r="U865" s="12" t="n">
        <v>542.11</v>
      </c>
      <c r="W865" s="12" t="n">
        <v>0</v>
      </c>
      <c r="X865" s="11" t="s">
        <v>891</v>
      </c>
      <c r="Z865" s="0" t="str">
        <f aca="false">IF($T865="","",IFERROR(INDEX('Resumo Grupos'!$AC$3:$AC$200,MATCH($T865,'Resumo Grupos'!$AB$3:$AB$200,0)),"n/d"))</f>
        <v>Mercadoria</v>
      </c>
      <c r="AA865" s="0" t="str">
        <f aca="false">IF($T865="","",IF(COUNTIF('Resumo Grupos'!$AE$3:$AE$40,$T865)&gt;0,"NAO","SIM"))</f>
        <v>SIM</v>
      </c>
      <c r="AB865" s="0" t="str">
        <f aca="false">IFERROR(INDEX('Mov Entradas (Rel 10497)'!$L:$L,MATCH(AC865,'Mov Entradas (Rel 10497)'!$I:$I,0)),"nao encontrado")</f>
        <v>FIGURINHAS COPA MUNDIAL PC 7UN</v>
      </c>
      <c r="AC865" s="0" t="n">
        <v>1777487</v>
      </c>
    </row>
    <row r="866" customFormat="false" ht="12.75" hidden="false" customHeight="true" outlineLevel="0" collapsed="false">
      <c r="A866" s="9" t="n">
        <v>2</v>
      </c>
      <c r="B866" s="10" t="n">
        <v>46211</v>
      </c>
      <c r="C866" s="10" t="n">
        <v>46217</v>
      </c>
      <c r="D866" s="9" t="n">
        <v>48</v>
      </c>
      <c r="E866" s="11" t="s">
        <v>153</v>
      </c>
      <c r="F866" s="9" t="n">
        <v>34</v>
      </c>
      <c r="G866" s="11" t="s">
        <v>55</v>
      </c>
      <c r="H866" s="9" t="n">
        <v>2110101</v>
      </c>
      <c r="I866" s="11" t="s">
        <v>43</v>
      </c>
      <c r="J866" s="9" t="n">
        <v>1369655</v>
      </c>
      <c r="L866" s="9" t="n">
        <v>2529</v>
      </c>
      <c r="M866" s="11" t="s">
        <v>52</v>
      </c>
      <c r="N866" s="11" t="s">
        <v>37</v>
      </c>
      <c r="P866" s="9" t="n">
        <v>113</v>
      </c>
      <c r="Q866" s="11" t="s">
        <v>46</v>
      </c>
      <c r="R866" s="11" t="s">
        <v>47</v>
      </c>
      <c r="S866" s="9" t="n">
        <v>1130101</v>
      </c>
      <c r="T866" s="11" t="s">
        <v>48</v>
      </c>
      <c r="U866" s="12" t="n">
        <v>1046</v>
      </c>
      <c r="W866" s="12" t="n">
        <v>0</v>
      </c>
      <c r="X866" s="11" t="s">
        <v>441</v>
      </c>
      <c r="Z866" s="0" t="str">
        <f aca="false">IF($T866="","",IFERROR(INDEX('Resumo Grupos'!$AC$3:$AC$200,MATCH($T866,'Resumo Grupos'!$AB$3:$AB$200,0)),"n/d"))</f>
        <v>Mercadoria</v>
      </c>
      <c r="AA866" s="0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9" t="n">
        <v>2</v>
      </c>
      <c r="B867" s="10" t="n">
        <v>46212</v>
      </c>
      <c r="C867" s="10" t="n">
        <v>46217</v>
      </c>
      <c r="D867" s="9" t="n">
        <v>48</v>
      </c>
      <c r="E867" s="11" t="s">
        <v>153</v>
      </c>
      <c r="F867" s="9" t="n">
        <v>24</v>
      </c>
      <c r="G867" s="11" t="s">
        <v>51</v>
      </c>
      <c r="H867" s="9" t="n">
        <v>2110101</v>
      </c>
      <c r="I867" s="11" t="s">
        <v>43</v>
      </c>
      <c r="J867" s="9" t="n">
        <v>1373788</v>
      </c>
      <c r="L867" s="9" t="n">
        <v>2533</v>
      </c>
      <c r="M867" s="11" t="s">
        <v>52</v>
      </c>
      <c r="N867" s="11" t="s">
        <v>37</v>
      </c>
      <c r="P867" s="9" t="n">
        <v>113</v>
      </c>
      <c r="Q867" s="11" t="s">
        <v>46</v>
      </c>
      <c r="R867" s="11" t="s">
        <v>47</v>
      </c>
      <c r="S867" s="9" t="n">
        <v>1130101</v>
      </c>
      <c r="T867" s="11" t="s">
        <v>48</v>
      </c>
      <c r="U867" s="12" t="n">
        <v>290</v>
      </c>
      <c r="W867" s="12" t="n">
        <v>0</v>
      </c>
      <c r="X867" s="11" t="s">
        <v>892</v>
      </c>
      <c r="Z867" s="0" t="str">
        <f aca="false">IF($T867="","",IFERROR(INDEX('Resumo Grupos'!$AC$3:$AC$200,MATCH($T867,'Resumo Grupos'!$AB$3:$AB$200,0)),"n/d"))</f>
        <v>Mercadoria</v>
      </c>
      <c r="AA867" s="0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9" t="n">
        <v>2</v>
      </c>
      <c r="B868" s="10" t="n">
        <v>46217</v>
      </c>
      <c r="C868" s="10" t="n">
        <v>46217</v>
      </c>
      <c r="D868" s="9" t="n">
        <v>48</v>
      </c>
      <c r="E868" s="11" t="s">
        <v>153</v>
      </c>
      <c r="F868" s="9" t="n">
        <v>34</v>
      </c>
      <c r="G868" s="11" t="s">
        <v>55</v>
      </c>
      <c r="H868" s="9" t="n">
        <v>2110101</v>
      </c>
      <c r="I868" s="11" t="s">
        <v>43</v>
      </c>
      <c r="J868" s="9" t="n">
        <v>1398221</v>
      </c>
      <c r="L868" s="9" t="n">
        <v>2542</v>
      </c>
      <c r="M868" s="11" t="s">
        <v>52</v>
      </c>
      <c r="N868" s="11" t="s">
        <v>37</v>
      </c>
      <c r="P868" s="9" t="n">
        <v>113</v>
      </c>
      <c r="Q868" s="11" t="s">
        <v>46</v>
      </c>
      <c r="R868" s="11" t="s">
        <v>47</v>
      </c>
      <c r="S868" s="9" t="n">
        <v>1130101</v>
      </c>
      <c r="T868" s="11" t="s">
        <v>48</v>
      </c>
      <c r="U868" s="12" t="n">
        <v>1946.36</v>
      </c>
      <c r="W868" s="12" t="n">
        <v>0</v>
      </c>
      <c r="X868" s="11" t="s">
        <v>252</v>
      </c>
      <c r="Z868" s="0" t="str">
        <f aca="false">IF($T868="","",IFERROR(INDEX('Resumo Grupos'!$AC$3:$AC$200,MATCH($T868,'Resumo Grupos'!$AB$3:$AB$200,0)),"n/d"))</f>
        <v>Mercadoria</v>
      </c>
      <c r="AA868" s="0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9" t="n">
        <v>2</v>
      </c>
      <c r="B869" s="10" t="n">
        <v>46217</v>
      </c>
      <c r="C869" s="10" t="n">
        <v>46217</v>
      </c>
      <c r="D869" s="9" t="n">
        <v>48</v>
      </c>
      <c r="E869" s="11" t="s">
        <v>153</v>
      </c>
      <c r="F869" s="9" t="n">
        <v>13</v>
      </c>
      <c r="G869" s="11" t="s">
        <v>135</v>
      </c>
      <c r="H869" s="9" t="n">
        <v>2110101</v>
      </c>
      <c r="I869" s="11" t="s">
        <v>43</v>
      </c>
      <c r="J869" s="9" t="n">
        <v>1398476</v>
      </c>
      <c r="L869" s="9" t="n">
        <v>2543</v>
      </c>
      <c r="M869" s="11" t="s">
        <v>52</v>
      </c>
      <c r="N869" s="11" t="s">
        <v>37</v>
      </c>
      <c r="P869" s="9" t="n">
        <v>113</v>
      </c>
      <c r="Q869" s="11" t="s">
        <v>46</v>
      </c>
      <c r="R869" s="11" t="s">
        <v>47</v>
      </c>
      <c r="S869" s="9" t="n">
        <v>1130101</v>
      </c>
      <c r="T869" s="11" t="s">
        <v>48</v>
      </c>
      <c r="U869" s="12" t="n">
        <v>182</v>
      </c>
      <c r="W869" s="12" t="n">
        <v>182</v>
      </c>
      <c r="X869" s="11" t="s">
        <v>893</v>
      </c>
      <c r="Z869" s="0" t="str">
        <f aca="false">IF($T869="","",IFERROR(INDEX('Resumo Grupos'!$AC$3:$AC$200,MATCH($T869,'Resumo Grupos'!$AB$3:$AB$200,0)),"n/d"))</f>
        <v>Mercadoria</v>
      </c>
      <c r="AA869" s="0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9" t="n">
        <v>2</v>
      </c>
      <c r="B870" s="10" t="n">
        <v>46214</v>
      </c>
      <c r="C870" s="10" t="n">
        <v>46217</v>
      </c>
      <c r="D870" s="9" t="n">
        <v>666</v>
      </c>
      <c r="E870" s="11" t="s">
        <v>417</v>
      </c>
      <c r="F870" s="9" t="n">
        <v>24</v>
      </c>
      <c r="G870" s="11" t="s">
        <v>51</v>
      </c>
      <c r="H870" s="9" t="n">
        <v>2110101</v>
      </c>
      <c r="I870" s="11" t="s">
        <v>43</v>
      </c>
      <c r="J870" s="9" t="n">
        <v>1381906</v>
      </c>
      <c r="L870" s="9" t="n">
        <v>7874</v>
      </c>
      <c r="M870" s="11" t="s">
        <v>52</v>
      </c>
      <c r="N870" s="11" t="s">
        <v>37</v>
      </c>
      <c r="P870" s="9" t="n">
        <v>113</v>
      </c>
      <c r="Q870" s="11" t="s">
        <v>46</v>
      </c>
      <c r="R870" s="11" t="s">
        <v>47</v>
      </c>
      <c r="S870" s="9" t="n">
        <v>1130101</v>
      </c>
      <c r="T870" s="11" t="s">
        <v>48</v>
      </c>
      <c r="U870" s="12" t="n">
        <v>378.89</v>
      </c>
      <c r="W870" s="12" t="n">
        <v>0</v>
      </c>
      <c r="X870" s="11" t="s">
        <v>894</v>
      </c>
      <c r="Z870" s="0" t="str">
        <f aca="false">IF($T870="","",IFERROR(INDEX('Resumo Grupos'!$AC$3:$AC$200,MATCH($T870,'Resumo Grupos'!$AB$3:$AB$200,0)),"n/d"))</f>
        <v>Mercadoria</v>
      </c>
      <c r="AA870" s="0" t="str">
        <f aca="false">IF($T870="","",IF(COUNTIF('Resumo Grupos'!$AE$3:$AE$40,$T870)&gt;0,"NAO","SIM"))</f>
        <v>SIM</v>
      </c>
      <c r="AB870" s="0" t="str">
        <f aca="false">IFERROR(INDEX('Mov Entradas (Rel 10497)'!$L:$L,MATCH(AC870,'Mov Entradas (Rel 10497)'!$I:$I,0)),"nao encontrado")</f>
        <v>RACAO SABOR CAT KG</v>
      </c>
      <c r="AC870" s="0" t="n">
        <v>7874</v>
      </c>
    </row>
    <row r="871" customFormat="false" ht="12.75" hidden="false" customHeight="true" outlineLevel="0" collapsed="false">
      <c r="A871" s="9" t="n">
        <v>2</v>
      </c>
      <c r="B871" s="10" t="n">
        <v>46196</v>
      </c>
      <c r="C871" s="10" t="n">
        <v>46217</v>
      </c>
      <c r="D871" s="9" t="n">
        <v>1266</v>
      </c>
      <c r="E871" s="11" t="s">
        <v>804</v>
      </c>
      <c r="F871" s="9" t="n">
        <v>24</v>
      </c>
      <c r="G871" s="11" t="s">
        <v>51</v>
      </c>
      <c r="H871" s="9" t="n">
        <v>2110405</v>
      </c>
      <c r="I871" s="11" t="s">
        <v>56</v>
      </c>
      <c r="J871" s="9" t="n">
        <v>1295177</v>
      </c>
      <c r="L871" s="9" t="n">
        <v>173363</v>
      </c>
      <c r="M871" s="11" t="s">
        <v>52</v>
      </c>
      <c r="N871" s="11" t="s">
        <v>45</v>
      </c>
      <c r="P871" s="9" t="n">
        <v>113</v>
      </c>
      <c r="Q871" s="11" t="s">
        <v>46</v>
      </c>
      <c r="R871" s="11" t="s">
        <v>39</v>
      </c>
      <c r="S871" s="9" t="n">
        <v>4210227</v>
      </c>
      <c r="T871" s="11" t="s">
        <v>68</v>
      </c>
      <c r="U871" s="12" t="n">
        <v>317.66</v>
      </c>
      <c r="W871" s="12" t="n">
        <v>0</v>
      </c>
      <c r="X871" s="11" t="s">
        <v>805</v>
      </c>
      <c r="Z871" s="0" t="str">
        <f aca="false">IF($T871="","",IFERROR(INDEX('Resumo Grupos'!$AC$3:$AC$200,MATCH($T871,'Resumo Grupos'!$AB$3:$AB$200,0)),"n/d"))</f>
        <v>Despesa</v>
      </c>
      <c r="AA871" s="0" t="str">
        <f aca="false">IF($T871="","",IF(COUNTIF('Resumo Grupos'!$AE$3:$AE$40,$T871)&gt;0,"NAO","SIM"))</f>
        <v>SIM</v>
      </c>
      <c r="AB871" s="0" t="str">
        <f aca="false">IFERROR(INDEX('Mov Entradas (Rel 10497)'!$L:$L,MATCH(AC871,'Mov Entradas (Rel 10497)'!$I:$I,0)),"nao encontrado")</f>
        <v>LUVA VINIL VABENE S/</v>
      </c>
      <c r="AC871" s="0" t="n">
        <v>2453</v>
      </c>
    </row>
    <row r="872" customFormat="false" ht="12.75" hidden="false" customHeight="true" outlineLevel="0" collapsed="false">
      <c r="A872" s="9" t="n">
        <v>2</v>
      </c>
      <c r="B872" s="10" t="n">
        <v>46214</v>
      </c>
      <c r="C872" s="10" t="n">
        <v>46217</v>
      </c>
      <c r="D872" s="9" t="n">
        <v>1899</v>
      </c>
      <c r="E872" s="11" t="s">
        <v>204</v>
      </c>
      <c r="F872" s="9" t="n">
        <v>24</v>
      </c>
      <c r="G872" s="11" t="s">
        <v>51</v>
      </c>
      <c r="H872" s="9" t="n">
        <v>2110101</v>
      </c>
      <c r="I872" s="11" t="s">
        <v>43</v>
      </c>
      <c r="J872" s="9" t="n">
        <v>1381714</v>
      </c>
      <c r="L872" s="9" t="n">
        <v>708</v>
      </c>
      <c r="M872" s="11" t="s">
        <v>52</v>
      </c>
      <c r="N872" s="11" t="s">
        <v>37</v>
      </c>
      <c r="P872" s="9" t="n">
        <v>113</v>
      </c>
      <c r="Q872" s="11" t="s">
        <v>46</v>
      </c>
      <c r="R872" s="11" t="s">
        <v>47</v>
      </c>
      <c r="S872" s="9" t="n">
        <v>1130101</v>
      </c>
      <c r="T872" s="11" t="s">
        <v>48</v>
      </c>
      <c r="U872" s="12" t="n">
        <v>307.11</v>
      </c>
      <c r="W872" s="12" t="n">
        <v>0</v>
      </c>
      <c r="X872" s="11" t="s">
        <v>895</v>
      </c>
      <c r="Z872" s="0" t="str">
        <f aca="false">IF($T872="","",IFERROR(INDEX('Resumo Grupos'!$AC$3:$AC$200,MATCH($T872,'Resumo Grupos'!$AB$3:$AB$200,0)),"n/d"))</f>
        <v>Mercadoria</v>
      </c>
      <c r="AA872" s="0" t="str">
        <f aca="false">IF($T872="","",IF(COUNTIF('Resumo Grupos'!$AE$3:$AE$40,$T872)&gt;0,"NAO","SIM"))</f>
        <v>SIM</v>
      </c>
      <c r="AB872" s="0" t="str">
        <f aca="false">IFERROR(INDEX('Mov Entradas (Rel 10497)'!$L:$L,MATCH(AC872,'Mov Entradas (Rel 10497)'!$I:$I,0)),"nao encontrado")</f>
        <v>PAO DE FORMA REAL MA</v>
      </c>
      <c r="AC872" s="0" t="n">
        <v>708</v>
      </c>
    </row>
    <row r="873" customFormat="false" ht="12.75" hidden="false" customHeight="true" outlineLevel="0" collapsed="false">
      <c r="A873" s="9" t="n">
        <v>2</v>
      </c>
      <c r="B873" s="10" t="n">
        <v>46217</v>
      </c>
      <c r="C873" s="10" t="n">
        <v>46217</v>
      </c>
      <c r="D873" s="9" t="n">
        <v>21</v>
      </c>
      <c r="E873" s="11" t="s">
        <v>107</v>
      </c>
      <c r="F873" s="9" t="n">
        <v>34</v>
      </c>
      <c r="G873" s="11" t="s">
        <v>55</v>
      </c>
      <c r="H873" s="9" t="n">
        <v>2110405</v>
      </c>
      <c r="I873" s="11" t="s">
        <v>56</v>
      </c>
      <c r="J873" s="9" t="n">
        <v>1402859</v>
      </c>
      <c r="L873" s="9" t="n">
        <v>188821</v>
      </c>
      <c r="M873" s="11" t="s">
        <v>52</v>
      </c>
      <c r="N873" s="11" t="s">
        <v>45</v>
      </c>
      <c r="P873" s="9" t="n">
        <v>113</v>
      </c>
      <c r="Q873" s="11" t="s">
        <v>46</v>
      </c>
      <c r="R873" s="11" t="s">
        <v>71</v>
      </c>
      <c r="S873" s="9" t="n">
        <v>4210301</v>
      </c>
      <c r="T873" s="11" t="s">
        <v>220</v>
      </c>
      <c r="U873" s="12" t="n">
        <v>1000</v>
      </c>
      <c r="W873" s="12" t="n">
        <v>0</v>
      </c>
      <c r="X873" s="11" t="s">
        <v>883</v>
      </c>
      <c r="Z873" s="0" t="str">
        <f aca="false">IF($T873="","",IFERROR(INDEX('Resumo Grupos'!$AC$3:$AC$200,MATCH($T873,'Resumo Grupos'!$AB$3:$AB$200,0)),"n/d"))</f>
        <v>Salários</v>
      </c>
      <c r="AA873" s="0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9" t="n">
        <v>2</v>
      </c>
      <c r="B874" s="10" t="n">
        <v>46217</v>
      </c>
      <c r="C874" s="10" t="n">
        <v>46217</v>
      </c>
      <c r="D874" s="9" t="n">
        <v>0</v>
      </c>
      <c r="E874" s="11" t="s">
        <v>109</v>
      </c>
      <c r="F874" s="9" t="n">
        <v>17</v>
      </c>
      <c r="G874" s="11" t="s">
        <v>110</v>
      </c>
      <c r="H874" s="9" t="n">
        <v>1110101</v>
      </c>
      <c r="I874" s="11" t="s">
        <v>111</v>
      </c>
      <c r="J874" s="9" t="n">
        <v>1435088</v>
      </c>
      <c r="L874" s="9" t="n">
        <v>1435088</v>
      </c>
      <c r="M874" s="11" t="s">
        <v>52</v>
      </c>
      <c r="N874" s="11" t="s">
        <v>112</v>
      </c>
      <c r="P874" s="9" t="n">
        <v>113</v>
      </c>
      <c r="Q874" s="11" t="s">
        <v>46</v>
      </c>
      <c r="R874" s="11" t="s">
        <v>259</v>
      </c>
      <c r="S874" s="9" t="n">
        <v>2110101</v>
      </c>
      <c r="T874" s="11" t="s">
        <v>43</v>
      </c>
      <c r="U874" s="12" t="n">
        <v>182</v>
      </c>
      <c r="W874" s="12" t="n">
        <v>182</v>
      </c>
      <c r="X874" s="11" t="s">
        <v>896</v>
      </c>
      <c r="Z874" s="0" t="str">
        <f aca="false">IF($T874="","",IFERROR(INDEX('Resumo Grupos'!$AC$3:$AC$200,MATCH($T874,'Resumo Grupos'!$AB$3:$AB$200,0)),"n/d"))</f>
        <v>Despesa</v>
      </c>
      <c r="AA874" s="0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9" t="n">
        <v>2</v>
      </c>
      <c r="B875" s="10" t="n">
        <v>46217</v>
      </c>
      <c r="C875" s="10" t="n">
        <v>46217</v>
      </c>
      <c r="D875" s="9" t="n">
        <v>0</v>
      </c>
      <c r="E875" s="11" t="s">
        <v>109</v>
      </c>
      <c r="F875" s="9" t="n">
        <v>17</v>
      </c>
      <c r="G875" s="11" t="s">
        <v>110</v>
      </c>
      <c r="H875" s="9" t="n">
        <v>1110101</v>
      </c>
      <c r="I875" s="11" t="s">
        <v>111</v>
      </c>
      <c r="J875" s="9" t="n">
        <v>1435105</v>
      </c>
      <c r="L875" s="9" t="n">
        <v>1435105</v>
      </c>
      <c r="M875" s="11" t="s">
        <v>52</v>
      </c>
      <c r="N875" s="11" t="s">
        <v>112</v>
      </c>
      <c r="P875" s="9" t="n">
        <v>113</v>
      </c>
      <c r="Q875" s="11" t="s">
        <v>46</v>
      </c>
      <c r="R875" s="11" t="s">
        <v>71</v>
      </c>
      <c r="S875" s="9" t="n">
        <v>4210314</v>
      </c>
      <c r="T875" s="11" t="s">
        <v>113</v>
      </c>
      <c r="U875" s="12" t="n">
        <v>70</v>
      </c>
      <c r="W875" s="12" t="n">
        <v>70</v>
      </c>
      <c r="X875" s="11" t="s">
        <v>897</v>
      </c>
      <c r="Z875" s="0" t="str">
        <f aca="false">IF($T875="","",IFERROR(INDEX('Resumo Grupos'!$AC$3:$AC$200,MATCH($T875,'Resumo Grupos'!$AB$3:$AB$200,0)),"n/d"))</f>
        <v>Despesa</v>
      </c>
      <c r="AA875" s="0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9" t="n">
        <v>2</v>
      </c>
      <c r="B876" s="10" t="n">
        <v>46217</v>
      </c>
      <c r="C876" s="10" t="n">
        <v>46217</v>
      </c>
      <c r="D876" s="9" t="n">
        <v>0</v>
      </c>
      <c r="E876" s="11" t="s">
        <v>109</v>
      </c>
      <c r="F876" s="9" t="n">
        <v>17</v>
      </c>
      <c r="G876" s="11" t="s">
        <v>110</v>
      </c>
      <c r="H876" s="9" t="n">
        <v>1110101</v>
      </c>
      <c r="I876" s="11" t="s">
        <v>111</v>
      </c>
      <c r="J876" s="9" t="n">
        <v>1435111</v>
      </c>
      <c r="L876" s="9" t="n">
        <v>1435111</v>
      </c>
      <c r="M876" s="11" t="s">
        <v>52</v>
      </c>
      <c r="N876" s="11" t="s">
        <v>112</v>
      </c>
      <c r="P876" s="9" t="n">
        <v>113</v>
      </c>
      <c r="Q876" s="11" t="s">
        <v>46</v>
      </c>
      <c r="R876" s="11" t="s">
        <v>71</v>
      </c>
      <c r="S876" s="9" t="n">
        <v>4210314</v>
      </c>
      <c r="T876" s="11" t="s">
        <v>113</v>
      </c>
      <c r="U876" s="12" t="n">
        <v>70</v>
      </c>
      <c r="W876" s="12" t="n">
        <v>70</v>
      </c>
      <c r="X876" s="11" t="s">
        <v>897</v>
      </c>
      <c r="Z876" s="0" t="str">
        <f aca="false">IF($T876="","",IFERROR(INDEX('Resumo Grupos'!$AC$3:$AC$200,MATCH($T876,'Resumo Grupos'!$AB$3:$AB$200,0)),"n/d"))</f>
        <v>Despesa</v>
      </c>
      <c r="AA876" s="0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9" t="n">
        <v>2</v>
      </c>
      <c r="B877" s="10" t="n">
        <v>46217</v>
      </c>
      <c r="C877" s="10" t="n">
        <v>46217</v>
      </c>
      <c r="D877" s="9" t="n">
        <v>0</v>
      </c>
      <c r="E877" s="11" t="s">
        <v>109</v>
      </c>
      <c r="F877" s="9" t="n">
        <v>17</v>
      </c>
      <c r="G877" s="11" t="s">
        <v>110</v>
      </c>
      <c r="H877" s="9" t="n">
        <v>1110101</v>
      </c>
      <c r="I877" s="11" t="s">
        <v>111</v>
      </c>
      <c r="J877" s="9" t="n">
        <v>1435179</v>
      </c>
      <c r="L877" s="9" t="n">
        <v>1435179</v>
      </c>
      <c r="M877" s="11" t="s">
        <v>52</v>
      </c>
      <c r="N877" s="11" t="s">
        <v>112</v>
      </c>
      <c r="P877" s="9" t="n">
        <v>113</v>
      </c>
      <c r="Q877" s="11" t="s">
        <v>46</v>
      </c>
      <c r="R877" s="11" t="s">
        <v>71</v>
      </c>
      <c r="S877" s="9" t="n">
        <v>4210314</v>
      </c>
      <c r="T877" s="11" t="s">
        <v>113</v>
      </c>
      <c r="U877" s="12" t="n">
        <v>800</v>
      </c>
      <c r="W877" s="12" t="n">
        <v>800</v>
      </c>
      <c r="X877" s="11" t="s">
        <v>898</v>
      </c>
      <c r="Z877" s="0" t="str">
        <f aca="false">IF($T877="","",IFERROR(INDEX('Resumo Grupos'!$AC$3:$AC$200,MATCH($T877,'Resumo Grupos'!$AB$3:$AB$200,0)),"n/d"))</f>
        <v>Despesa</v>
      </c>
      <c r="AA877" s="0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9" t="n">
        <v>2</v>
      </c>
      <c r="B878" s="10" t="n">
        <v>46217</v>
      </c>
      <c r="C878" s="10" t="n">
        <v>46217</v>
      </c>
      <c r="D878" s="9" t="n">
        <v>0</v>
      </c>
      <c r="E878" s="11" t="s">
        <v>109</v>
      </c>
      <c r="F878" s="9" t="n">
        <v>17</v>
      </c>
      <c r="G878" s="11" t="s">
        <v>110</v>
      </c>
      <c r="H878" s="9" t="n">
        <v>1110101</v>
      </c>
      <c r="I878" s="11" t="s">
        <v>111</v>
      </c>
      <c r="J878" s="9" t="n">
        <v>1469102</v>
      </c>
      <c r="L878" s="9" t="n">
        <v>1469102</v>
      </c>
      <c r="M878" s="11" t="s">
        <v>52</v>
      </c>
      <c r="N878" s="11" t="s">
        <v>112</v>
      </c>
      <c r="P878" s="9" t="n">
        <v>113</v>
      </c>
      <c r="Q878" s="11" t="s">
        <v>46</v>
      </c>
      <c r="R878" s="11" t="s">
        <v>116</v>
      </c>
      <c r="S878" s="9" t="n">
        <v>1110203</v>
      </c>
      <c r="T878" s="11" t="s">
        <v>117</v>
      </c>
      <c r="U878" s="12" t="n">
        <v>2000</v>
      </c>
      <c r="W878" s="12" t="n">
        <v>2000</v>
      </c>
      <c r="X878" s="11" t="s">
        <v>899</v>
      </c>
      <c r="Z878" s="0" t="str">
        <f aca="false">IF($T878="","",IFERROR(INDEX('Resumo Grupos'!$AC$3:$AC$200,MATCH($T878,'Resumo Grupos'!$AB$3:$AB$200,0)),"n/d"))</f>
        <v>Despesa</v>
      </c>
      <c r="AA878" s="0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9" t="n">
        <v>2</v>
      </c>
      <c r="B879" s="10" t="n">
        <v>46211</v>
      </c>
      <c r="C879" s="10" t="n">
        <v>46217</v>
      </c>
      <c r="D879" s="9" t="n">
        <v>754</v>
      </c>
      <c r="E879" s="11" t="s">
        <v>162</v>
      </c>
      <c r="F879" s="9" t="n">
        <v>24</v>
      </c>
      <c r="G879" s="11" t="s">
        <v>51</v>
      </c>
      <c r="H879" s="9" t="n">
        <v>2110101</v>
      </c>
      <c r="I879" s="11" t="s">
        <v>43</v>
      </c>
      <c r="J879" s="9" t="n">
        <v>1370823</v>
      </c>
      <c r="L879" s="9" t="n">
        <v>31674</v>
      </c>
      <c r="M879" s="11" t="s">
        <v>52</v>
      </c>
      <c r="N879" s="11" t="s">
        <v>37</v>
      </c>
      <c r="P879" s="9" t="n">
        <v>113</v>
      </c>
      <c r="Q879" s="11" t="s">
        <v>46</v>
      </c>
      <c r="R879" s="11" t="s">
        <v>47</v>
      </c>
      <c r="S879" s="9" t="n">
        <v>1130101</v>
      </c>
      <c r="T879" s="11" t="s">
        <v>48</v>
      </c>
      <c r="U879" s="12" t="n">
        <v>1411.05</v>
      </c>
      <c r="W879" s="12" t="n">
        <v>0</v>
      </c>
      <c r="X879" s="11" t="s">
        <v>900</v>
      </c>
      <c r="Z879" s="0" t="str">
        <f aca="false">IF($T879="","",IFERROR(INDEX('Resumo Grupos'!$AC$3:$AC$200,MATCH($T879,'Resumo Grupos'!$AB$3:$AB$200,0)),"n/d"))</f>
        <v>Mercadoria</v>
      </c>
      <c r="AA879" s="0" t="str">
        <f aca="false">IF($T879="","",IF(COUNTIF('Resumo Grupos'!$AE$3:$AE$40,$T879)&gt;0,"NAO","SIM"))</f>
        <v>SIM</v>
      </c>
      <c r="AB879" s="0" t="str">
        <f aca="false">IFERROR(INDEX('Mov Entradas (Rel 10497)'!$L:$L,MATCH(AC879,'Mov Entradas (Rel 10497)'!$I:$I,0)),"nao encontrado")</f>
        <v>DIANTEIRO DE BOI L</v>
      </c>
      <c r="AC879" s="0" t="n">
        <v>31674</v>
      </c>
    </row>
    <row r="880" customFormat="false" ht="12.75" hidden="false" customHeight="true" outlineLevel="0" collapsed="false">
      <c r="A880" s="9" t="n">
        <v>2</v>
      </c>
      <c r="B880" s="10" t="n">
        <v>46217</v>
      </c>
      <c r="C880" s="10" t="n">
        <v>46217</v>
      </c>
      <c r="D880" s="9" t="n">
        <v>18</v>
      </c>
      <c r="E880" s="11" t="s">
        <v>121</v>
      </c>
      <c r="F880" s="9" t="n">
        <v>34</v>
      </c>
      <c r="G880" s="11" t="s">
        <v>55</v>
      </c>
      <c r="H880" s="9" t="n">
        <v>2110405</v>
      </c>
      <c r="I880" s="11" t="s">
        <v>56</v>
      </c>
      <c r="J880" s="9" t="n">
        <v>1402862</v>
      </c>
      <c r="L880" s="9" t="n">
        <v>188822</v>
      </c>
      <c r="M880" s="11" t="s">
        <v>52</v>
      </c>
      <c r="N880" s="11" t="s">
        <v>45</v>
      </c>
      <c r="P880" s="9" t="n">
        <v>113</v>
      </c>
      <c r="Q880" s="11" t="s">
        <v>46</v>
      </c>
      <c r="R880" s="11" t="s">
        <v>71</v>
      </c>
      <c r="S880" s="9" t="n">
        <v>4210301</v>
      </c>
      <c r="T880" s="11" t="s">
        <v>220</v>
      </c>
      <c r="U880" s="12" t="n">
        <v>400</v>
      </c>
      <c r="W880" s="12" t="n">
        <v>0</v>
      </c>
      <c r="X880" s="11" t="s">
        <v>883</v>
      </c>
      <c r="Z880" s="0" t="str">
        <f aca="false">IF($T880="","",IFERROR(INDEX('Resumo Grupos'!$AC$3:$AC$200,MATCH($T880,'Resumo Grupos'!$AB$3:$AB$200,0)),"n/d"))</f>
        <v>Salários</v>
      </c>
      <c r="AA880" s="0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9" t="n">
        <v>2</v>
      </c>
      <c r="B881" s="10" t="n">
        <v>46188</v>
      </c>
      <c r="C881" s="10" t="n">
        <v>46218</v>
      </c>
      <c r="D881" s="9" t="n">
        <v>1659</v>
      </c>
      <c r="E881" s="11" t="s">
        <v>214</v>
      </c>
      <c r="F881" s="9" t="n">
        <v>24</v>
      </c>
      <c r="G881" s="11" t="s">
        <v>51</v>
      </c>
      <c r="H881" s="9" t="n">
        <v>2110101</v>
      </c>
      <c r="I881" s="11" t="s">
        <v>43</v>
      </c>
      <c r="J881" s="9" t="n">
        <v>1257254</v>
      </c>
      <c r="L881" s="9" t="n">
        <v>878758</v>
      </c>
      <c r="M881" s="11" t="s">
        <v>67</v>
      </c>
      <c r="N881" s="11" t="s">
        <v>37</v>
      </c>
      <c r="P881" s="9" t="n">
        <v>113</v>
      </c>
      <c r="Q881" s="11" t="s">
        <v>46</v>
      </c>
      <c r="R881" s="11" t="s">
        <v>47</v>
      </c>
      <c r="S881" s="9" t="n">
        <v>1130101</v>
      </c>
      <c r="T881" s="11" t="s">
        <v>48</v>
      </c>
      <c r="U881" s="12" t="n">
        <v>589.08</v>
      </c>
      <c r="W881" s="12" t="n">
        <v>0</v>
      </c>
      <c r="X881" s="11" t="s">
        <v>678</v>
      </c>
      <c r="Z881" s="0" t="str">
        <f aca="false">IF($T881="","",IFERROR(INDEX('Resumo Grupos'!$AC$3:$AC$200,MATCH($T881,'Resumo Grupos'!$AB$3:$AB$200,0)),"n/d"))</f>
        <v>Mercadoria</v>
      </c>
      <c r="AA881" s="0" t="str">
        <f aca="false">IF($T881="","",IF(COUNTIF('Resumo Grupos'!$AE$3:$AE$40,$T881)&gt;0,"NAO","SIM"))</f>
        <v>SIM</v>
      </c>
      <c r="AB881" s="0" t="str">
        <f aca="false">IFERROR(INDEX('Mov Entradas (Rel 10497)'!$L:$L,MATCH(AC881,'Mov Entradas (Rel 10497)'!$I:$I,0)),"nao encontrado")</f>
        <v>QUEIJO RALADO MOCOCA</v>
      </c>
      <c r="AC881" s="0" t="n">
        <v>878758</v>
      </c>
    </row>
    <row r="882" customFormat="false" ht="12.75" hidden="false" customHeight="true" outlineLevel="0" collapsed="false">
      <c r="A882" s="9" t="n">
        <v>2</v>
      </c>
      <c r="B882" s="10" t="n">
        <v>46212</v>
      </c>
      <c r="C882" s="10" t="n">
        <v>46218</v>
      </c>
      <c r="D882" s="9" t="n">
        <v>10018</v>
      </c>
      <c r="E882" s="11" t="s">
        <v>216</v>
      </c>
      <c r="F882" s="9" t="n">
        <v>34</v>
      </c>
      <c r="G882" s="11" t="s">
        <v>55</v>
      </c>
      <c r="H882" s="9" t="n">
        <v>2110101</v>
      </c>
      <c r="I882" s="11" t="s">
        <v>43</v>
      </c>
      <c r="J882" s="9" t="n">
        <v>1373839</v>
      </c>
      <c r="L882" s="9" t="n">
        <v>331</v>
      </c>
      <c r="M882" s="11" t="s">
        <v>52</v>
      </c>
      <c r="N882" s="11" t="s">
        <v>37</v>
      </c>
      <c r="P882" s="9" t="n">
        <v>113</v>
      </c>
      <c r="Q882" s="11" t="s">
        <v>46</v>
      </c>
      <c r="R882" s="11" t="s">
        <v>47</v>
      </c>
      <c r="S882" s="9" t="n">
        <v>1130101</v>
      </c>
      <c r="T882" s="11" t="s">
        <v>48</v>
      </c>
      <c r="U882" s="12" t="n">
        <v>915</v>
      </c>
      <c r="W882" s="12" t="n">
        <v>0</v>
      </c>
      <c r="X882" s="11" t="s">
        <v>901</v>
      </c>
      <c r="Z882" s="0" t="str">
        <f aca="false">IF($T882="","",IFERROR(INDEX('Resumo Grupos'!$AC$3:$AC$200,MATCH($T882,'Resumo Grupos'!$AB$3:$AB$200,0)),"n/d"))</f>
        <v>Mercadoria</v>
      </c>
      <c r="AA882" s="0" t="str">
        <f aca="false">IF($T882="","",IF(COUNTIF('Resumo Grupos'!$AE$3:$AE$40,$T882)&gt;0,"NAO","SIM"))</f>
        <v>SIM</v>
      </c>
      <c r="AB882" s="0" t="str">
        <f aca="false">IFERROR(INDEX('Mov Entradas (Rel 10497)'!$L:$L,MATCH(AC882,'Mov Entradas (Rel 10497)'!$I:$I,0)),"nao encontrado")</f>
        <v>OVOS BRANCO UNID</v>
      </c>
      <c r="AC882" s="0" t="n">
        <v>331</v>
      </c>
    </row>
    <row r="883" customFormat="false" ht="12.75" hidden="false" customHeight="true" outlineLevel="0" collapsed="false">
      <c r="A883" s="9" t="n">
        <v>2</v>
      </c>
      <c r="B883" s="10" t="n">
        <v>46199</v>
      </c>
      <c r="C883" s="10" t="n">
        <v>46218</v>
      </c>
      <c r="D883" s="9" t="n">
        <v>1613</v>
      </c>
      <c r="E883" s="11" t="s">
        <v>50</v>
      </c>
      <c r="F883" s="9" t="n">
        <v>24</v>
      </c>
      <c r="G883" s="11" t="s">
        <v>51</v>
      </c>
      <c r="H883" s="9" t="n">
        <v>2110101</v>
      </c>
      <c r="I883" s="11" t="s">
        <v>43</v>
      </c>
      <c r="J883" s="9" t="n">
        <v>1309874</v>
      </c>
      <c r="L883" s="9" t="n">
        <v>1600681</v>
      </c>
      <c r="M883" s="11" t="s">
        <v>44</v>
      </c>
      <c r="N883" s="11" t="s">
        <v>37</v>
      </c>
      <c r="P883" s="9" t="n">
        <v>113</v>
      </c>
      <c r="Q883" s="11" t="s">
        <v>46</v>
      </c>
      <c r="R883" s="11" t="s">
        <v>47</v>
      </c>
      <c r="S883" s="9" t="n">
        <v>1130101</v>
      </c>
      <c r="T883" s="11" t="s">
        <v>48</v>
      </c>
      <c r="U883" s="12" t="n">
        <v>1881.46</v>
      </c>
      <c r="W883" s="12" t="n">
        <v>0</v>
      </c>
      <c r="X883" s="11" t="s">
        <v>809</v>
      </c>
      <c r="Z883" s="0" t="str">
        <f aca="false">IF($T883="","",IFERROR(INDEX('Resumo Grupos'!$AC$3:$AC$200,MATCH($T883,'Resumo Grupos'!$AB$3:$AB$200,0)),"n/d"))</f>
        <v>Mercadoria</v>
      </c>
      <c r="AA883" s="0" t="str">
        <f aca="false">IF($T883="","",IF(COUNTIF('Resumo Grupos'!$AE$3:$AE$40,$T883)&gt;0,"NAO","SIM"))</f>
        <v>SIM</v>
      </c>
      <c r="AB883" s="0" t="str">
        <f aca="false">IFERROR(INDEX('Mov Entradas (Rel 10497)'!$L:$L,MATCH(AC883,'Mov Entradas (Rel 10497)'!$I:$I,0)),"nao encontrado")</f>
        <v>SALSICHA PERDIGÃO KG</v>
      </c>
      <c r="AC883" s="0" t="n">
        <v>1600681</v>
      </c>
    </row>
    <row r="884" customFormat="false" ht="12.75" hidden="false" customHeight="true" outlineLevel="0" collapsed="false">
      <c r="A884" s="9" t="n">
        <v>2</v>
      </c>
      <c r="B884" s="10" t="n">
        <v>46205</v>
      </c>
      <c r="C884" s="10" t="n">
        <v>46218</v>
      </c>
      <c r="D884" s="9" t="n">
        <v>1683</v>
      </c>
      <c r="E884" s="11" t="s">
        <v>406</v>
      </c>
      <c r="F884" s="9" t="n">
        <v>34</v>
      </c>
      <c r="G884" s="11" t="s">
        <v>55</v>
      </c>
      <c r="H884" s="9" t="n">
        <v>2110101</v>
      </c>
      <c r="I884" s="11" t="s">
        <v>43</v>
      </c>
      <c r="J884" s="9" t="n">
        <v>1338988</v>
      </c>
      <c r="L884" s="9" t="n">
        <v>1640710</v>
      </c>
      <c r="M884" s="11" t="s">
        <v>52</v>
      </c>
      <c r="N884" s="11" t="s">
        <v>37</v>
      </c>
      <c r="P884" s="9" t="n">
        <v>113</v>
      </c>
      <c r="Q884" s="11" t="s">
        <v>46</v>
      </c>
      <c r="R884" s="11" t="s">
        <v>47</v>
      </c>
      <c r="S884" s="9" t="n">
        <v>1130101</v>
      </c>
      <c r="T884" s="11" t="s">
        <v>48</v>
      </c>
      <c r="U884" s="12" t="n">
        <v>123</v>
      </c>
      <c r="W884" s="12" t="n">
        <v>0</v>
      </c>
      <c r="X884" s="11" t="s">
        <v>408</v>
      </c>
      <c r="Z884" s="0" t="str">
        <f aca="false">IF($T884="","",IFERROR(INDEX('Resumo Grupos'!$AC$3:$AC$200,MATCH($T884,'Resumo Grupos'!$AB$3:$AB$200,0)),"n/d"))</f>
        <v>Mercadoria</v>
      </c>
      <c r="AA884" s="0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9" t="n">
        <v>2</v>
      </c>
      <c r="B885" s="10" t="n">
        <v>46206</v>
      </c>
      <c r="C885" s="10" t="n">
        <v>46218</v>
      </c>
      <c r="D885" s="9" t="n">
        <v>1683</v>
      </c>
      <c r="E885" s="11" t="s">
        <v>406</v>
      </c>
      <c r="F885" s="9" t="n">
        <v>34</v>
      </c>
      <c r="G885" s="11" t="s">
        <v>55</v>
      </c>
      <c r="H885" s="9" t="n">
        <v>2110101</v>
      </c>
      <c r="I885" s="11" t="s">
        <v>43</v>
      </c>
      <c r="J885" s="9" t="n">
        <v>1345413</v>
      </c>
      <c r="L885" s="9" t="n">
        <v>1642191</v>
      </c>
      <c r="M885" s="11" t="s">
        <v>52</v>
      </c>
      <c r="N885" s="11" t="s">
        <v>37</v>
      </c>
      <c r="P885" s="9" t="n">
        <v>113</v>
      </c>
      <c r="Q885" s="11" t="s">
        <v>46</v>
      </c>
      <c r="R885" s="11" t="s">
        <v>47</v>
      </c>
      <c r="S885" s="9" t="n">
        <v>1130101</v>
      </c>
      <c r="T885" s="11" t="s">
        <v>48</v>
      </c>
      <c r="U885" s="12" t="n">
        <v>89.5</v>
      </c>
      <c r="W885" s="12" t="n">
        <v>0</v>
      </c>
      <c r="X885" s="11" t="s">
        <v>408</v>
      </c>
      <c r="Z885" s="0" t="str">
        <f aca="false">IF($T885="","",IFERROR(INDEX('Resumo Grupos'!$AC$3:$AC$200,MATCH($T885,'Resumo Grupos'!$AB$3:$AB$200,0)),"n/d"))</f>
        <v>Mercadoria</v>
      </c>
      <c r="AA885" s="0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9" t="n">
        <v>2</v>
      </c>
      <c r="B886" s="10" t="n">
        <v>46209</v>
      </c>
      <c r="C886" s="10" t="n">
        <v>46218</v>
      </c>
      <c r="D886" s="9" t="n">
        <v>1683</v>
      </c>
      <c r="E886" s="11" t="s">
        <v>406</v>
      </c>
      <c r="F886" s="9" t="n">
        <v>34</v>
      </c>
      <c r="G886" s="11" t="s">
        <v>55</v>
      </c>
      <c r="H886" s="9" t="n">
        <v>2110101</v>
      </c>
      <c r="I886" s="11" t="s">
        <v>43</v>
      </c>
      <c r="J886" s="9" t="n">
        <v>1359513</v>
      </c>
      <c r="L886" s="9" t="n">
        <v>1642710</v>
      </c>
      <c r="M886" s="11" t="s">
        <v>52</v>
      </c>
      <c r="N886" s="11" t="s">
        <v>37</v>
      </c>
      <c r="P886" s="9" t="n">
        <v>113</v>
      </c>
      <c r="Q886" s="11" t="s">
        <v>46</v>
      </c>
      <c r="R886" s="11" t="s">
        <v>47</v>
      </c>
      <c r="S886" s="9" t="n">
        <v>1130101</v>
      </c>
      <c r="T886" s="11" t="s">
        <v>48</v>
      </c>
      <c r="U886" s="12" t="n">
        <v>140</v>
      </c>
      <c r="W886" s="12" t="n">
        <v>0</v>
      </c>
      <c r="X886" s="11" t="s">
        <v>408</v>
      </c>
      <c r="Z886" s="0" t="str">
        <f aca="false">IF($T886="","",IFERROR(INDEX('Resumo Grupos'!$AC$3:$AC$200,MATCH($T886,'Resumo Grupos'!$AB$3:$AB$200,0)),"n/d"))</f>
        <v>Mercadoria</v>
      </c>
      <c r="AA886" s="0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9" t="n">
        <v>2</v>
      </c>
      <c r="B887" s="10" t="n">
        <v>46210</v>
      </c>
      <c r="C887" s="10" t="n">
        <v>46218</v>
      </c>
      <c r="D887" s="9" t="n">
        <v>1683</v>
      </c>
      <c r="E887" s="11" t="s">
        <v>406</v>
      </c>
      <c r="F887" s="9" t="n">
        <v>34</v>
      </c>
      <c r="G887" s="11" t="s">
        <v>55</v>
      </c>
      <c r="H887" s="9" t="n">
        <v>2110101</v>
      </c>
      <c r="I887" s="11" t="s">
        <v>43</v>
      </c>
      <c r="J887" s="9" t="n">
        <v>1365102</v>
      </c>
      <c r="L887" s="9" t="n">
        <v>1643287</v>
      </c>
      <c r="M887" s="11" t="s">
        <v>52</v>
      </c>
      <c r="N887" s="11" t="s">
        <v>37</v>
      </c>
      <c r="P887" s="9" t="n">
        <v>113</v>
      </c>
      <c r="Q887" s="11" t="s">
        <v>46</v>
      </c>
      <c r="R887" s="11" t="s">
        <v>47</v>
      </c>
      <c r="S887" s="9" t="n">
        <v>1130101</v>
      </c>
      <c r="T887" s="11" t="s">
        <v>48</v>
      </c>
      <c r="U887" s="12" t="n">
        <v>130</v>
      </c>
      <c r="W887" s="12" t="n">
        <v>0</v>
      </c>
      <c r="X887" s="11" t="s">
        <v>408</v>
      </c>
      <c r="Z887" s="0" t="str">
        <f aca="false">IF($T887="","",IFERROR(INDEX('Resumo Grupos'!$AC$3:$AC$200,MATCH($T887,'Resumo Grupos'!$AB$3:$AB$200,0)),"n/d"))</f>
        <v>Mercadoria</v>
      </c>
      <c r="AA887" s="0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9" t="n">
        <v>2</v>
      </c>
      <c r="B888" s="10" t="n">
        <v>46211</v>
      </c>
      <c r="C888" s="10" t="n">
        <v>46218</v>
      </c>
      <c r="D888" s="9" t="n">
        <v>1683</v>
      </c>
      <c r="E888" s="11" t="s">
        <v>406</v>
      </c>
      <c r="F888" s="9" t="n">
        <v>34</v>
      </c>
      <c r="G888" s="11" t="s">
        <v>55</v>
      </c>
      <c r="H888" s="9" t="n">
        <v>2110101</v>
      </c>
      <c r="I888" s="11" t="s">
        <v>43</v>
      </c>
      <c r="J888" s="9" t="n">
        <v>1370616</v>
      </c>
      <c r="L888" s="9" t="n">
        <v>1644345</v>
      </c>
      <c r="M888" s="11" t="s">
        <v>52</v>
      </c>
      <c r="N888" s="11" t="s">
        <v>37</v>
      </c>
      <c r="P888" s="9" t="n">
        <v>113</v>
      </c>
      <c r="Q888" s="11" t="s">
        <v>46</v>
      </c>
      <c r="R888" s="11" t="s">
        <v>47</v>
      </c>
      <c r="S888" s="9" t="n">
        <v>1130101</v>
      </c>
      <c r="T888" s="11" t="s">
        <v>48</v>
      </c>
      <c r="U888" s="12" t="n">
        <v>129.5</v>
      </c>
      <c r="W888" s="12" t="n">
        <v>0</v>
      </c>
      <c r="X888" s="11" t="s">
        <v>408</v>
      </c>
      <c r="Z888" s="0" t="str">
        <f aca="false">IF($T888="","",IFERROR(INDEX('Resumo Grupos'!$AC$3:$AC$200,MATCH($T888,'Resumo Grupos'!$AB$3:$AB$200,0)),"n/d"))</f>
        <v>Mercadoria</v>
      </c>
      <c r="AA888" s="0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9" t="n">
        <v>2</v>
      </c>
      <c r="B889" s="10" t="n">
        <v>46214</v>
      </c>
      <c r="C889" s="10" t="n">
        <v>46218</v>
      </c>
      <c r="D889" s="9" t="n">
        <v>1683</v>
      </c>
      <c r="E889" s="11" t="s">
        <v>406</v>
      </c>
      <c r="F889" s="9" t="n">
        <v>34</v>
      </c>
      <c r="G889" s="11" t="s">
        <v>55</v>
      </c>
      <c r="H889" s="9" t="n">
        <v>2110101</v>
      </c>
      <c r="I889" s="11" t="s">
        <v>43</v>
      </c>
      <c r="J889" s="9" t="n">
        <v>1381841</v>
      </c>
      <c r="L889" s="9" t="n">
        <v>1645747</v>
      </c>
      <c r="M889" s="11" t="s">
        <v>52</v>
      </c>
      <c r="N889" s="11" t="s">
        <v>37</v>
      </c>
      <c r="P889" s="9" t="n">
        <v>113</v>
      </c>
      <c r="Q889" s="11" t="s">
        <v>46</v>
      </c>
      <c r="R889" s="11" t="s">
        <v>47</v>
      </c>
      <c r="S889" s="9" t="n">
        <v>1130101</v>
      </c>
      <c r="T889" s="11" t="s">
        <v>48</v>
      </c>
      <c r="U889" s="12" t="n">
        <v>61.5</v>
      </c>
      <c r="W889" s="12" t="n">
        <v>0</v>
      </c>
      <c r="X889" s="11" t="s">
        <v>408</v>
      </c>
      <c r="Z889" s="0" t="str">
        <f aca="false">IF($T889="","",IFERROR(INDEX('Resumo Grupos'!$AC$3:$AC$200,MATCH($T889,'Resumo Grupos'!$AB$3:$AB$200,0)),"n/d"))</f>
        <v>Mercadoria</v>
      </c>
      <c r="AA889" s="0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9" t="n">
        <v>2</v>
      </c>
      <c r="B890" s="10" t="n">
        <v>46216</v>
      </c>
      <c r="C890" s="10" t="n">
        <v>46218</v>
      </c>
      <c r="D890" s="9" t="n">
        <v>1683</v>
      </c>
      <c r="E890" s="11" t="s">
        <v>406</v>
      </c>
      <c r="F890" s="9" t="n">
        <v>34</v>
      </c>
      <c r="G890" s="11" t="s">
        <v>55</v>
      </c>
      <c r="H890" s="9" t="n">
        <v>2110101</v>
      </c>
      <c r="I890" s="11" t="s">
        <v>43</v>
      </c>
      <c r="J890" s="9" t="n">
        <v>1393119</v>
      </c>
      <c r="L890" s="9" t="n">
        <v>1646001</v>
      </c>
      <c r="M890" s="11" t="s">
        <v>52</v>
      </c>
      <c r="N890" s="11" t="s">
        <v>37</v>
      </c>
      <c r="P890" s="9" t="n">
        <v>113</v>
      </c>
      <c r="Q890" s="11" t="s">
        <v>46</v>
      </c>
      <c r="R890" s="11" t="s">
        <v>47</v>
      </c>
      <c r="S890" s="9" t="n">
        <v>1130101</v>
      </c>
      <c r="T890" s="11" t="s">
        <v>48</v>
      </c>
      <c r="U890" s="12" t="n">
        <v>174</v>
      </c>
      <c r="W890" s="12" t="n">
        <v>0</v>
      </c>
      <c r="X890" s="11" t="s">
        <v>408</v>
      </c>
      <c r="Z890" s="0" t="str">
        <f aca="false">IF($T890="","",IFERROR(INDEX('Resumo Grupos'!$AC$3:$AC$200,MATCH($T890,'Resumo Grupos'!$AB$3:$AB$200,0)),"n/d"))</f>
        <v>Mercadoria</v>
      </c>
      <c r="AA890" s="0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9" t="n">
        <v>2</v>
      </c>
      <c r="B891" s="10" t="n">
        <v>46217</v>
      </c>
      <c r="C891" s="10" t="n">
        <v>46218</v>
      </c>
      <c r="D891" s="9" t="n">
        <v>1683</v>
      </c>
      <c r="E891" s="11" t="s">
        <v>406</v>
      </c>
      <c r="F891" s="9" t="n">
        <v>34</v>
      </c>
      <c r="G891" s="11" t="s">
        <v>55</v>
      </c>
      <c r="H891" s="9" t="n">
        <v>2110101</v>
      </c>
      <c r="I891" s="11" t="s">
        <v>43</v>
      </c>
      <c r="J891" s="9" t="n">
        <v>1396761</v>
      </c>
      <c r="L891" s="9" t="n">
        <v>1646699</v>
      </c>
      <c r="M891" s="11" t="s">
        <v>52</v>
      </c>
      <c r="N891" s="11" t="s">
        <v>37</v>
      </c>
      <c r="P891" s="9" t="n">
        <v>113</v>
      </c>
      <c r="Q891" s="11" t="s">
        <v>46</v>
      </c>
      <c r="R891" s="11" t="s">
        <v>47</v>
      </c>
      <c r="S891" s="9" t="n">
        <v>1130101</v>
      </c>
      <c r="T891" s="11" t="s">
        <v>48</v>
      </c>
      <c r="U891" s="12" t="n">
        <v>117</v>
      </c>
      <c r="W891" s="12" t="n">
        <v>0</v>
      </c>
      <c r="X891" s="11" t="s">
        <v>408</v>
      </c>
      <c r="Z891" s="0" t="str">
        <f aca="false">IF($T891="","",IFERROR(INDEX('Resumo Grupos'!$AC$3:$AC$200,MATCH($T891,'Resumo Grupos'!$AB$3:$AB$200,0)),"n/d"))</f>
        <v>Mercadoria</v>
      </c>
      <c r="AA891" s="0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9" t="n">
        <v>2</v>
      </c>
      <c r="B892" s="10" t="n">
        <v>46218</v>
      </c>
      <c r="C892" s="10" t="n">
        <v>46218</v>
      </c>
      <c r="D892" s="9" t="n">
        <v>1683</v>
      </c>
      <c r="E892" s="11" t="s">
        <v>406</v>
      </c>
      <c r="F892" s="9" t="n">
        <v>34</v>
      </c>
      <c r="G892" s="11" t="s">
        <v>55</v>
      </c>
      <c r="H892" s="9" t="n">
        <v>2110101</v>
      </c>
      <c r="I892" s="11" t="s">
        <v>43</v>
      </c>
      <c r="J892" s="9" t="n">
        <v>1402687</v>
      </c>
      <c r="L892" s="9" t="n">
        <v>1647775</v>
      </c>
      <c r="M892" s="11" t="s">
        <v>52</v>
      </c>
      <c r="N892" s="11" t="s">
        <v>37</v>
      </c>
      <c r="P892" s="9" t="n">
        <v>113</v>
      </c>
      <c r="Q892" s="11" t="s">
        <v>46</v>
      </c>
      <c r="R892" s="11" t="s">
        <v>47</v>
      </c>
      <c r="S892" s="9" t="n">
        <v>1130101</v>
      </c>
      <c r="T892" s="11" t="s">
        <v>48</v>
      </c>
      <c r="U892" s="12" t="n">
        <v>76.5</v>
      </c>
      <c r="W892" s="12" t="n">
        <v>0</v>
      </c>
      <c r="X892" s="11" t="s">
        <v>408</v>
      </c>
      <c r="Z892" s="0" t="str">
        <f aca="false">IF($T892="","",IFERROR(INDEX('Resumo Grupos'!$AC$3:$AC$200,MATCH($T892,'Resumo Grupos'!$AB$3:$AB$200,0)),"n/d"))</f>
        <v>Mercadoria</v>
      </c>
      <c r="AA892" s="0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9" t="n">
        <v>2</v>
      </c>
      <c r="B893" s="10" t="n">
        <v>46212</v>
      </c>
      <c r="C893" s="10" t="n">
        <v>46218</v>
      </c>
      <c r="D893" s="9" t="n">
        <v>911</v>
      </c>
      <c r="E893" s="11" t="s">
        <v>487</v>
      </c>
      <c r="F893" s="9" t="n">
        <v>24</v>
      </c>
      <c r="G893" s="11" t="s">
        <v>51</v>
      </c>
      <c r="H893" s="9" t="n">
        <v>2110101</v>
      </c>
      <c r="I893" s="11" t="s">
        <v>43</v>
      </c>
      <c r="J893" s="9" t="n">
        <v>1373506</v>
      </c>
      <c r="L893" s="9" t="n">
        <v>53410</v>
      </c>
      <c r="M893" s="11" t="s">
        <v>52</v>
      </c>
      <c r="N893" s="11" t="s">
        <v>37</v>
      </c>
      <c r="P893" s="9" t="n">
        <v>113</v>
      </c>
      <c r="Q893" s="11" t="s">
        <v>46</v>
      </c>
      <c r="R893" s="11" t="s">
        <v>47</v>
      </c>
      <c r="S893" s="9" t="n">
        <v>1130101</v>
      </c>
      <c r="T893" s="11" t="s">
        <v>48</v>
      </c>
      <c r="U893" s="12" t="n">
        <v>316.08</v>
      </c>
      <c r="W893" s="12" t="n">
        <v>0</v>
      </c>
      <c r="X893" s="11" t="s">
        <v>902</v>
      </c>
      <c r="Z893" s="0" t="str">
        <f aca="false">IF($T893="","",IFERROR(INDEX('Resumo Grupos'!$AC$3:$AC$200,MATCH($T893,'Resumo Grupos'!$AB$3:$AB$200,0)),"n/d"))</f>
        <v>Mercadoria</v>
      </c>
      <c r="AA893" s="0" t="str">
        <f aca="false">IF($T893="","",IF(COUNTIF('Resumo Grupos'!$AE$3:$AE$40,$T893)&gt;0,"NAO","SIM"))</f>
        <v>SIM</v>
      </c>
      <c r="AB893" s="0" t="str">
        <f aca="false">IFERROR(INDEX('Mov Entradas (Rel 10497)'!$L:$L,MATCH(AC893,'Mov Entradas (Rel 10497)'!$I:$I,0)),"nao encontrado")</f>
        <v>SUCO TAMPICO 1L</v>
      </c>
      <c r="AC893" s="0" t="n">
        <v>53410</v>
      </c>
    </row>
    <row r="894" customFormat="false" ht="12.75" hidden="false" customHeight="true" outlineLevel="0" collapsed="false">
      <c r="A894" s="9" t="n">
        <v>2</v>
      </c>
      <c r="B894" s="10" t="n">
        <v>46218</v>
      </c>
      <c r="C894" s="10" t="n">
        <v>46218</v>
      </c>
      <c r="D894" s="9" t="n">
        <v>10096</v>
      </c>
      <c r="E894" s="11" t="s">
        <v>622</v>
      </c>
      <c r="F894" s="9" t="n">
        <v>13</v>
      </c>
      <c r="G894" s="11" t="s">
        <v>135</v>
      </c>
      <c r="H894" s="9" t="n">
        <v>1110203</v>
      </c>
      <c r="I894" s="11" t="s">
        <v>117</v>
      </c>
      <c r="J894" s="9" t="n">
        <v>1428724</v>
      </c>
      <c r="L894" s="9" t="n">
        <v>191329</v>
      </c>
      <c r="M894" s="11" t="s">
        <v>52</v>
      </c>
      <c r="N894" s="11" t="s">
        <v>45</v>
      </c>
      <c r="P894" s="9" t="n">
        <v>113</v>
      </c>
      <c r="Q894" s="11" t="s">
        <v>46</v>
      </c>
      <c r="R894" s="11" t="s">
        <v>47</v>
      </c>
      <c r="S894" s="9" t="n">
        <v>1130101</v>
      </c>
      <c r="T894" s="11" t="s">
        <v>48</v>
      </c>
      <c r="U894" s="12" t="n">
        <v>140</v>
      </c>
      <c r="W894" s="12" t="n">
        <v>140</v>
      </c>
      <c r="X894" s="11" t="s">
        <v>903</v>
      </c>
      <c r="Z894" s="0" t="str">
        <f aca="false">IF($T894="","",IFERROR(INDEX('Resumo Grupos'!$AC$3:$AC$200,MATCH($T894,'Resumo Grupos'!$AB$3:$AB$200,0)),"n/d"))</f>
        <v>Mercadoria</v>
      </c>
      <c r="AA894" s="0" t="str">
        <f aca="false">IF($T894="","",IF(COUNTIF('Resumo Grupos'!$AE$3:$AE$40,$T894)&gt;0,"NAO","SIM"))</f>
        <v>SIM</v>
      </c>
      <c r="AB894" s="0" t="str">
        <f aca="false">IFERROR(INDEX('Mov Entradas (Rel 10497)'!$L:$L,MATCH(AC894,'Mov Entradas (Rel 10497)'!$I:$I,0)),"nao encontrado")</f>
        <v>BOLO MIYAZAKI GRANDE</v>
      </c>
      <c r="AC894" s="0" t="n">
        <v>22</v>
      </c>
    </row>
    <row r="895" customFormat="false" ht="12.75" hidden="false" customHeight="true" outlineLevel="0" collapsed="false">
      <c r="A895" s="9" t="n">
        <v>2</v>
      </c>
      <c r="B895" s="10" t="n">
        <v>46212</v>
      </c>
      <c r="C895" s="10" t="n">
        <v>46218</v>
      </c>
      <c r="D895" s="9" t="n">
        <v>581</v>
      </c>
      <c r="E895" s="11" t="s">
        <v>147</v>
      </c>
      <c r="F895" s="9" t="n">
        <v>24</v>
      </c>
      <c r="G895" s="11" t="s">
        <v>51</v>
      </c>
      <c r="H895" s="9" t="n">
        <v>2110101</v>
      </c>
      <c r="I895" s="11" t="s">
        <v>43</v>
      </c>
      <c r="J895" s="9" t="n">
        <v>1374667</v>
      </c>
      <c r="L895" s="9" t="n">
        <v>31344</v>
      </c>
      <c r="M895" s="11" t="s">
        <v>52</v>
      </c>
      <c r="N895" s="11" t="s">
        <v>37</v>
      </c>
      <c r="P895" s="9" t="n">
        <v>113</v>
      </c>
      <c r="Q895" s="11" t="s">
        <v>46</v>
      </c>
      <c r="R895" s="11" t="s">
        <v>47</v>
      </c>
      <c r="S895" s="9" t="n">
        <v>1130101</v>
      </c>
      <c r="T895" s="11" t="s">
        <v>48</v>
      </c>
      <c r="U895" s="12" t="n">
        <v>329</v>
      </c>
      <c r="W895" s="12" t="n">
        <v>0</v>
      </c>
      <c r="X895" s="11" t="s">
        <v>904</v>
      </c>
      <c r="Z895" s="0" t="str">
        <f aca="false">IF($T895="","",IFERROR(INDEX('Resumo Grupos'!$AC$3:$AC$200,MATCH($T895,'Resumo Grupos'!$AB$3:$AB$200,0)),"n/d"))</f>
        <v>Mercadoria</v>
      </c>
      <c r="AA895" s="0" t="str">
        <f aca="false">IF($T895="","",IF(COUNTIF('Resumo Grupos'!$AE$3:$AE$40,$T895)&gt;0,"NAO","SIM"))</f>
        <v>SIM</v>
      </c>
      <c r="AB895" s="0" t="str">
        <f aca="false">IFERROR(INDEX('Mov Entradas (Rel 10497)'!$L:$L,MATCH(AC895,'Mov Entradas (Rel 10497)'!$I:$I,0)),"nao encontrado")</f>
        <v>GOMA DE MANDIOCA AMA</v>
      </c>
      <c r="AC895" s="0" t="n">
        <v>31344</v>
      </c>
    </row>
    <row r="896" customFormat="false" ht="12.75" hidden="false" customHeight="true" outlineLevel="0" collapsed="false">
      <c r="A896" s="9" t="n">
        <v>2</v>
      </c>
      <c r="B896" s="10" t="n">
        <v>46190</v>
      </c>
      <c r="C896" s="10" t="n">
        <v>46218</v>
      </c>
      <c r="D896" s="9" t="n">
        <v>1107</v>
      </c>
      <c r="E896" s="11" t="s">
        <v>254</v>
      </c>
      <c r="F896" s="9" t="n">
        <v>24</v>
      </c>
      <c r="G896" s="11" t="s">
        <v>51</v>
      </c>
      <c r="H896" s="9" t="n">
        <v>2110101</v>
      </c>
      <c r="I896" s="11" t="s">
        <v>43</v>
      </c>
      <c r="J896" s="9" t="n">
        <v>1265709</v>
      </c>
      <c r="L896" s="9" t="n">
        <v>416678</v>
      </c>
      <c r="M896" s="11" t="s">
        <v>67</v>
      </c>
      <c r="N896" s="11" t="s">
        <v>37</v>
      </c>
      <c r="P896" s="9" t="n">
        <v>113</v>
      </c>
      <c r="Q896" s="11" t="s">
        <v>46</v>
      </c>
      <c r="R896" s="11" t="s">
        <v>47</v>
      </c>
      <c r="S896" s="9" t="n">
        <v>1130101</v>
      </c>
      <c r="T896" s="11" t="s">
        <v>48</v>
      </c>
      <c r="U896" s="12" t="n">
        <v>61.58</v>
      </c>
      <c r="W896" s="12" t="n">
        <v>0</v>
      </c>
      <c r="X896" s="11" t="s">
        <v>700</v>
      </c>
      <c r="Z896" s="0" t="str">
        <f aca="false">IF($T896="","",IFERROR(INDEX('Resumo Grupos'!$AC$3:$AC$200,MATCH($T896,'Resumo Grupos'!$AB$3:$AB$200,0)),"n/d"))</f>
        <v>Mercadoria</v>
      </c>
      <c r="AA896" s="0" t="str">
        <f aca="false">IF($T896="","",IF(COUNTIF('Resumo Grupos'!$AE$3:$AE$40,$T896)&gt;0,"NAO","SIM"))</f>
        <v>SIM</v>
      </c>
      <c r="AB896" s="0" t="str">
        <f aca="false">IFERROR(INDEX('Mov Entradas (Rel 10497)'!$L:$L,MATCH(AC896,'Mov Entradas (Rel 10497)'!$I:$I,0)),"nao encontrado")</f>
        <v>MENTOS TUTTI FRUTTI</v>
      </c>
      <c r="AC896" s="0" t="n">
        <v>416678</v>
      </c>
    </row>
    <row r="897" customFormat="false" ht="12.75" hidden="false" customHeight="true" outlineLevel="0" collapsed="false">
      <c r="A897" s="9" t="n">
        <v>2</v>
      </c>
      <c r="B897" s="10" t="n">
        <v>46097</v>
      </c>
      <c r="C897" s="10" t="n">
        <v>46218</v>
      </c>
      <c r="D897" s="9" t="n">
        <v>1867</v>
      </c>
      <c r="E897" s="11" t="s">
        <v>420</v>
      </c>
      <c r="F897" s="9" t="n">
        <v>24</v>
      </c>
      <c r="G897" s="11" t="s">
        <v>51</v>
      </c>
      <c r="H897" s="9" t="n">
        <v>2110405</v>
      </c>
      <c r="I897" s="11" t="s">
        <v>56</v>
      </c>
      <c r="J897" s="9" t="n">
        <v>808550</v>
      </c>
      <c r="L897" s="9" t="n">
        <v>2026</v>
      </c>
      <c r="M897" s="11" t="s">
        <v>36</v>
      </c>
      <c r="N897" s="11" t="s">
        <v>45</v>
      </c>
      <c r="P897" s="9" t="n">
        <v>101</v>
      </c>
      <c r="Q897" s="11" t="s">
        <v>57</v>
      </c>
      <c r="R897" s="11" t="s">
        <v>421</v>
      </c>
      <c r="S897" s="9" t="n">
        <v>4210401</v>
      </c>
      <c r="T897" s="11" t="s">
        <v>422</v>
      </c>
      <c r="U897" s="12" t="n">
        <v>228.88</v>
      </c>
      <c r="W897" s="12" t="n">
        <v>0</v>
      </c>
      <c r="X897" s="11" t="s">
        <v>905</v>
      </c>
      <c r="Z897" s="0" t="str">
        <f aca="false">IF($T897="","",IFERROR(INDEX('Resumo Grupos'!$AC$3:$AC$200,MATCH($T897,'Resumo Grupos'!$AB$3:$AB$200,0)),"n/d"))</f>
        <v>Impostos</v>
      </c>
      <c r="AA897" s="0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9" t="n">
        <v>2</v>
      </c>
      <c r="B898" s="10" t="n">
        <v>46211</v>
      </c>
      <c r="C898" s="10" t="n">
        <v>46218</v>
      </c>
      <c r="D898" s="9" t="n">
        <v>1292</v>
      </c>
      <c r="E898" s="11" t="s">
        <v>209</v>
      </c>
      <c r="F898" s="9" t="n">
        <v>24</v>
      </c>
      <c r="G898" s="11" t="s">
        <v>51</v>
      </c>
      <c r="H898" s="9" t="n">
        <v>2110101</v>
      </c>
      <c r="I898" s="11" t="s">
        <v>43</v>
      </c>
      <c r="J898" s="9" t="n">
        <v>1370597</v>
      </c>
      <c r="L898" s="9" t="n">
        <v>3570</v>
      </c>
      <c r="M898" s="11" t="s">
        <v>52</v>
      </c>
      <c r="N898" s="11" t="s">
        <v>37</v>
      </c>
      <c r="P898" s="9" t="n">
        <v>113</v>
      </c>
      <c r="Q898" s="11" t="s">
        <v>46</v>
      </c>
      <c r="R898" s="11" t="s">
        <v>47</v>
      </c>
      <c r="S898" s="9" t="n">
        <v>1130101</v>
      </c>
      <c r="T898" s="11" t="s">
        <v>48</v>
      </c>
      <c r="U898" s="12" t="n">
        <v>505.5</v>
      </c>
      <c r="W898" s="12" t="n">
        <v>0</v>
      </c>
      <c r="X898" s="11" t="s">
        <v>906</v>
      </c>
      <c r="Z898" s="0" t="str">
        <f aca="false">IF($T898="","",IFERROR(INDEX('Resumo Grupos'!$AC$3:$AC$200,MATCH($T898,'Resumo Grupos'!$AB$3:$AB$200,0)),"n/d"))</f>
        <v>Mercadoria</v>
      </c>
      <c r="AA898" s="0" t="str">
        <f aca="false">IF($T898="","",IF(COUNTIF('Resumo Grupos'!$AE$3:$AE$40,$T898)&gt;0,"NAO","SIM"))</f>
        <v>SIM</v>
      </c>
      <c r="AB898" s="0" t="str">
        <f aca="false">IFERROR(INDEX('Mov Entradas (Rel 10497)'!$L:$L,MATCH(AC898,'Mov Entradas (Rel 10497)'!$I:$I,0)),"nao encontrado")</f>
        <v>PRESUNTO DELICE DE PERU 200G</v>
      </c>
      <c r="AC898" s="0" t="n">
        <v>3570</v>
      </c>
    </row>
    <row r="899" customFormat="false" ht="12.75" hidden="false" customHeight="true" outlineLevel="0" collapsed="false">
      <c r="A899" s="9" t="n">
        <v>2</v>
      </c>
      <c r="B899" s="10" t="n">
        <v>46218</v>
      </c>
      <c r="C899" s="10" t="n">
        <v>46218</v>
      </c>
      <c r="D899" s="9" t="n">
        <v>0</v>
      </c>
      <c r="E899" s="11" t="s">
        <v>109</v>
      </c>
      <c r="F899" s="9" t="n">
        <v>17</v>
      </c>
      <c r="G899" s="11" t="s">
        <v>110</v>
      </c>
      <c r="H899" s="9" t="n">
        <v>1110101</v>
      </c>
      <c r="I899" s="11" t="s">
        <v>111</v>
      </c>
      <c r="J899" s="9" t="n">
        <v>1435218</v>
      </c>
      <c r="L899" s="9" t="n">
        <v>1435218</v>
      </c>
      <c r="M899" s="11" t="s">
        <v>52</v>
      </c>
      <c r="N899" s="11" t="s">
        <v>112</v>
      </c>
      <c r="P899" s="9" t="n">
        <v>113</v>
      </c>
      <c r="Q899" s="11" t="s">
        <v>46</v>
      </c>
      <c r="R899" s="11" t="s">
        <v>116</v>
      </c>
      <c r="S899" s="9" t="n">
        <v>1110203</v>
      </c>
      <c r="T899" s="11" t="s">
        <v>117</v>
      </c>
      <c r="U899" s="12" t="n">
        <v>140</v>
      </c>
      <c r="W899" s="12" t="n">
        <v>140</v>
      </c>
      <c r="X899" s="11" t="s">
        <v>907</v>
      </c>
      <c r="Z899" s="0" t="str">
        <f aca="false">IF($T899="","",IFERROR(INDEX('Resumo Grupos'!$AC$3:$AC$200,MATCH($T899,'Resumo Grupos'!$AB$3:$AB$200,0)),"n/d"))</f>
        <v>Despesa</v>
      </c>
      <c r="AA899" s="0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9" t="n">
        <v>2</v>
      </c>
      <c r="B900" s="10" t="n">
        <v>46218</v>
      </c>
      <c r="C900" s="10" t="n">
        <v>46218</v>
      </c>
      <c r="D900" s="9" t="n">
        <v>0</v>
      </c>
      <c r="E900" s="11" t="s">
        <v>109</v>
      </c>
      <c r="F900" s="9" t="n">
        <v>17</v>
      </c>
      <c r="G900" s="11" t="s">
        <v>110</v>
      </c>
      <c r="H900" s="9" t="n">
        <v>1110101</v>
      </c>
      <c r="I900" s="11" t="s">
        <v>111</v>
      </c>
      <c r="J900" s="9" t="n">
        <v>1435228</v>
      </c>
      <c r="L900" s="9" t="n">
        <v>1435228</v>
      </c>
      <c r="M900" s="11" t="s">
        <v>52</v>
      </c>
      <c r="N900" s="11" t="s">
        <v>112</v>
      </c>
      <c r="P900" s="9" t="n">
        <v>113</v>
      </c>
      <c r="Q900" s="11" t="s">
        <v>46</v>
      </c>
      <c r="R900" s="11" t="s">
        <v>71</v>
      </c>
      <c r="S900" s="9" t="n">
        <v>4210314</v>
      </c>
      <c r="T900" s="11" t="s">
        <v>113</v>
      </c>
      <c r="U900" s="12" t="n">
        <v>70</v>
      </c>
      <c r="W900" s="12" t="n">
        <v>70</v>
      </c>
      <c r="X900" s="11" t="s">
        <v>187</v>
      </c>
      <c r="Z900" s="0" t="str">
        <f aca="false">IF($T900="","",IFERROR(INDEX('Resumo Grupos'!$AC$3:$AC$200,MATCH($T900,'Resumo Grupos'!$AB$3:$AB$200,0)),"n/d"))</f>
        <v>Despesa</v>
      </c>
      <c r="AA900" s="0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9" t="n">
        <v>2</v>
      </c>
      <c r="B901" s="10" t="n">
        <v>46218</v>
      </c>
      <c r="C901" s="10" t="n">
        <v>46218</v>
      </c>
      <c r="D901" s="9" t="n">
        <v>0</v>
      </c>
      <c r="E901" s="11" t="s">
        <v>109</v>
      </c>
      <c r="F901" s="9" t="n">
        <v>17</v>
      </c>
      <c r="G901" s="11" t="s">
        <v>110</v>
      </c>
      <c r="H901" s="9" t="n">
        <v>1110101</v>
      </c>
      <c r="I901" s="11" t="s">
        <v>111</v>
      </c>
      <c r="J901" s="9" t="n">
        <v>1435231</v>
      </c>
      <c r="L901" s="9" t="n">
        <v>1435231</v>
      </c>
      <c r="M901" s="11" t="s">
        <v>52</v>
      </c>
      <c r="N901" s="11" t="s">
        <v>112</v>
      </c>
      <c r="P901" s="9" t="n">
        <v>113</v>
      </c>
      <c r="Q901" s="11" t="s">
        <v>46</v>
      </c>
      <c r="R901" s="11" t="s">
        <v>71</v>
      </c>
      <c r="S901" s="9" t="n">
        <v>4210314</v>
      </c>
      <c r="T901" s="11" t="s">
        <v>113</v>
      </c>
      <c r="U901" s="12" t="n">
        <v>50</v>
      </c>
      <c r="W901" s="12" t="n">
        <v>50</v>
      </c>
      <c r="X901" s="11" t="s">
        <v>368</v>
      </c>
      <c r="Z901" s="0" t="str">
        <f aca="false">IF($T901="","",IFERROR(INDEX('Resumo Grupos'!$AC$3:$AC$200,MATCH($T901,'Resumo Grupos'!$AB$3:$AB$200,0)),"n/d"))</f>
        <v>Despesa</v>
      </c>
      <c r="AA901" s="0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9" t="n">
        <v>2</v>
      </c>
      <c r="B902" s="10" t="n">
        <v>46218</v>
      </c>
      <c r="C902" s="10" t="n">
        <v>46218</v>
      </c>
      <c r="D902" s="9" t="n">
        <v>0</v>
      </c>
      <c r="E902" s="11" t="s">
        <v>109</v>
      </c>
      <c r="F902" s="9" t="n">
        <v>17</v>
      </c>
      <c r="G902" s="11" t="s">
        <v>110</v>
      </c>
      <c r="H902" s="9" t="n">
        <v>1110101</v>
      </c>
      <c r="I902" s="11" t="s">
        <v>111</v>
      </c>
      <c r="J902" s="9" t="n">
        <v>1469106</v>
      </c>
      <c r="L902" s="9" t="n">
        <v>1469106</v>
      </c>
      <c r="M902" s="11" t="s">
        <v>52</v>
      </c>
      <c r="N902" s="11" t="s">
        <v>112</v>
      </c>
      <c r="P902" s="9" t="n">
        <v>113</v>
      </c>
      <c r="Q902" s="11" t="s">
        <v>46</v>
      </c>
      <c r="R902" s="11" t="s">
        <v>116</v>
      </c>
      <c r="S902" s="9" t="n">
        <v>1110203</v>
      </c>
      <c r="T902" s="11" t="s">
        <v>117</v>
      </c>
      <c r="U902" s="12" t="n">
        <v>2250</v>
      </c>
      <c r="W902" s="12" t="n">
        <v>2250</v>
      </c>
      <c r="X902" s="11" t="s">
        <v>908</v>
      </c>
      <c r="Z902" s="0" t="str">
        <f aca="false">IF($T902="","",IFERROR(INDEX('Resumo Grupos'!$AC$3:$AC$200,MATCH($T902,'Resumo Grupos'!$AB$3:$AB$200,0)),"n/d"))</f>
        <v>Despesa</v>
      </c>
      <c r="AA902" s="0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9" t="n">
        <v>2</v>
      </c>
      <c r="B903" s="10" t="n">
        <v>46127</v>
      </c>
      <c r="C903" s="10" t="n">
        <v>46218</v>
      </c>
      <c r="D903" s="9" t="n">
        <v>512</v>
      </c>
      <c r="E903" s="11" t="s">
        <v>429</v>
      </c>
      <c r="F903" s="9" t="n">
        <v>34</v>
      </c>
      <c r="G903" s="11" t="s">
        <v>55</v>
      </c>
      <c r="H903" s="9" t="n">
        <v>2110405</v>
      </c>
      <c r="I903" s="11" t="s">
        <v>56</v>
      </c>
      <c r="J903" s="9" t="n">
        <v>954215</v>
      </c>
      <c r="L903" s="9" t="n">
        <v>126220</v>
      </c>
      <c r="M903" s="11" t="s">
        <v>89</v>
      </c>
      <c r="N903" s="11" t="s">
        <v>45</v>
      </c>
      <c r="P903" s="9" t="n">
        <v>101</v>
      </c>
      <c r="Q903" s="11" t="s">
        <v>57</v>
      </c>
      <c r="R903" s="11" t="s">
        <v>430</v>
      </c>
      <c r="S903" s="9" t="n">
        <v>4210111</v>
      </c>
      <c r="T903" s="11" t="s">
        <v>431</v>
      </c>
      <c r="U903" s="12" t="n">
        <v>5700</v>
      </c>
      <c r="W903" s="12" t="n">
        <v>0</v>
      </c>
      <c r="X903" s="11" t="s">
        <v>432</v>
      </c>
      <c r="Z903" s="0" t="str">
        <f aca="false">IF($T903="","",IFERROR(INDEX('Resumo Grupos'!$AC$3:$AC$200,MATCH($T903,'Resumo Grupos'!$AB$3:$AB$200,0)),"n/d"))</f>
        <v>Despesa</v>
      </c>
      <c r="AA903" s="0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9" t="n">
        <v>2</v>
      </c>
      <c r="B904" s="10" t="n">
        <v>46204</v>
      </c>
      <c r="C904" s="10" t="n">
        <v>46218</v>
      </c>
      <c r="D904" s="9" t="n">
        <v>1671</v>
      </c>
      <c r="E904" s="11" t="s">
        <v>119</v>
      </c>
      <c r="F904" s="9" t="n">
        <v>24</v>
      </c>
      <c r="G904" s="11" t="s">
        <v>51</v>
      </c>
      <c r="H904" s="9" t="n">
        <v>2110101</v>
      </c>
      <c r="I904" s="11" t="s">
        <v>43</v>
      </c>
      <c r="J904" s="9" t="n">
        <v>1335414</v>
      </c>
      <c r="L904" s="9" t="n">
        <v>576435</v>
      </c>
      <c r="M904" s="11" t="s">
        <v>52</v>
      </c>
      <c r="N904" s="11" t="s">
        <v>37</v>
      </c>
      <c r="P904" s="9" t="n">
        <v>113</v>
      </c>
      <c r="Q904" s="11" t="s">
        <v>46</v>
      </c>
      <c r="R904" s="11" t="s">
        <v>47</v>
      </c>
      <c r="S904" s="9" t="n">
        <v>1130101</v>
      </c>
      <c r="T904" s="11" t="s">
        <v>48</v>
      </c>
      <c r="U904" s="12" t="n">
        <v>296</v>
      </c>
      <c r="W904" s="12" t="n">
        <v>0</v>
      </c>
      <c r="X904" s="11" t="s">
        <v>909</v>
      </c>
      <c r="Z904" s="0" t="str">
        <f aca="false">IF($T904="","",IFERROR(INDEX('Resumo Grupos'!$AC$3:$AC$200,MATCH($T904,'Resumo Grupos'!$AB$3:$AB$200,0)),"n/d"))</f>
        <v>Mercadoria</v>
      </c>
      <c r="AA904" s="0" t="str">
        <f aca="false">IF($T904="","",IF(COUNTIF('Resumo Grupos'!$AE$3:$AE$40,$T904)&gt;0,"NAO","SIM"))</f>
        <v>SIM</v>
      </c>
      <c r="AB904" s="0" t="str">
        <f aca="false">IFERROR(INDEX('Mov Entradas (Rel 10497)'!$L:$L,MATCH(AC904,'Mov Entradas (Rel 10497)'!$I:$I,0)),"nao encontrado")</f>
        <v>SABONETE PROTEX CREAM 85G</v>
      </c>
      <c r="AC904" s="0" t="n">
        <v>576435</v>
      </c>
    </row>
    <row r="905" customFormat="false" ht="12.75" hidden="false" customHeight="true" outlineLevel="0" collapsed="false">
      <c r="A905" s="9" t="n">
        <v>2</v>
      </c>
      <c r="B905" s="10" t="n">
        <v>46205</v>
      </c>
      <c r="C905" s="10" t="n">
        <v>46218</v>
      </c>
      <c r="D905" s="9" t="n">
        <v>1734</v>
      </c>
      <c r="E905" s="11" t="s">
        <v>566</v>
      </c>
      <c r="F905" s="9" t="n">
        <v>24</v>
      </c>
      <c r="G905" s="11" t="s">
        <v>51</v>
      </c>
      <c r="H905" s="9" t="n">
        <v>2110101</v>
      </c>
      <c r="I905" s="11" t="s">
        <v>43</v>
      </c>
      <c r="J905" s="9" t="n">
        <v>1339667</v>
      </c>
      <c r="L905" s="9" t="n">
        <v>254582</v>
      </c>
      <c r="M905" s="11" t="s">
        <v>52</v>
      </c>
      <c r="N905" s="11" t="s">
        <v>37</v>
      </c>
      <c r="P905" s="9" t="n">
        <v>113</v>
      </c>
      <c r="Q905" s="11" t="s">
        <v>46</v>
      </c>
      <c r="R905" s="11" t="s">
        <v>47</v>
      </c>
      <c r="S905" s="9" t="n">
        <v>1130101</v>
      </c>
      <c r="T905" s="11" t="s">
        <v>48</v>
      </c>
      <c r="U905" s="12" t="n">
        <v>868.37</v>
      </c>
      <c r="W905" s="12" t="n">
        <v>0</v>
      </c>
      <c r="X905" s="11" t="s">
        <v>910</v>
      </c>
      <c r="Z905" s="0" t="str">
        <f aca="false">IF($T905="","",IFERROR(INDEX('Resumo Grupos'!$AC$3:$AC$200,MATCH($T905,'Resumo Grupos'!$AB$3:$AB$200,0)),"n/d"))</f>
        <v>Mercadoria</v>
      </c>
      <c r="AA905" s="0" t="str">
        <f aca="false">IF($T905="","",IF(COUNTIF('Resumo Grupos'!$AE$3:$AE$40,$T905)&gt;0,"NAO","SIM"))</f>
        <v>SIM</v>
      </c>
      <c r="AB905" s="0" t="str">
        <f aca="false">IFERROR(INDEX('Mov Entradas (Rel 10497)'!$L:$L,MATCH(AC905,'Mov Entradas (Rel 10497)'!$I:$I,0)),"nao encontrado")</f>
        <v>SORVETE 2 LTS CHOCOL</v>
      </c>
      <c r="AC905" s="0" t="n">
        <v>254582</v>
      </c>
    </row>
    <row r="906" customFormat="false" ht="12.75" hidden="false" customHeight="true" outlineLevel="0" collapsed="false">
      <c r="A906" s="9" t="n">
        <v>2</v>
      </c>
      <c r="B906" s="10" t="n">
        <v>46213</v>
      </c>
      <c r="C906" s="10" t="n">
        <v>46219</v>
      </c>
      <c r="D906" s="9" t="n">
        <v>10065</v>
      </c>
      <c r="E906" s="11" t="s">
        <v>911</v>
      </c>
      <c r="F906" s="9" t="n">
        <v>24</v>
      </c>
      <c r="G906" s="11" t="s">
        <v>51</v>
      </c>
      <c r="H906" s="9" t="n">
        <v>2110101</v>
      </c>
      <c r="I906" s="11" t="s">
        <v>43</v>
      </c>
      <c r="J906" s="9" t="n">
        <v>1377153</v>
      </c>
      <c r="L906" s="9" t="n">
        <v>66</v>
      </c>
      <c r="M906" s="11" t="s">
        <v>52</v>
      </c>
      <c r="N906" s="11" t="s">
        <v>37</v>
      </c>
      <c r="P906" s="9" t="n">
        <v>113</v>
      </c>
      <c r="Q906" s="11" t="s">
        <v>46</v>
      </c>
      <c r="R906" s="11" t="s">
        <v>47</v>
      </c>
      <c r="S906" s="9" t="n">
        <v>1130101</v>
      </c>
      <c r="T906" s="11" t="s">
        <v>48</v>
      </c>
      <c r="U906" s="12" t="n">
        <v>432</v>
      </c>
      <c r="W906" s="12" t="n">
        <v>0</v>
      </c>
      <c r="X906" s="11" t="s">
        <v>912</v>
      </c>
      <c r="Z906" s="0" t="str">
        <f aca="false">IF($T906="","",IFERROR(INDEX('Resumo Grupos'!$AC$3:$AC$200,MATCH($T906,'Resumo Grupos'!$AB$3:$AB$200,0)),"n/d"))</f>
        <v>Mercadoria</v>
      </c>
      <c r="AA906" s="0" t="str">
        <f aca="false">IF($T906="","",IF(COUNTIF('Resumo Grupos'!$AE$3:$AE$40,$T906)&gt;0,"NAO","SIM"))</f>
        <v>SIM</v>
      </c>
      <c r="AB906" s="0" t="str">
        <f aca="false">IFERROR(INDEX('Mov Entradas (Rel 10497)'!$L:$L,MATCH(AC906,'Mov Entradas (Rel 10497)'!$I:$I,0)),"nao encontrado")</f>
        <v>MOLHO DE PIMENTA ARUBÉ C TUCUPI 120ML</v>
      </c>
      <c r="AC906" s="0" t="n">
        <v>66</v>
      </c>
    </row>
    <row r="907" customFormat="false" ht="12.75" hidden="false" customHeight="true" outlineLevel="0" collapsed="false">
      <c r="A907" s="9" t="n">
        <v>2</v>
      </c>
      <c r="B907" s="10" t="n">
        <v>46206</v>
      </c>
      <c r="C907" s="10" t="n">
        <v>46219</v>
      </c>
      <c r="D907" s="9" t="n">
        <v>1695</v>
      </c>
      <c r="E907" s="11" t="s">
        <v>390</v>
      </c>
      <c r="F907" s="9" t="n">
        <v>24</v>
      </c>
      <c r="G907" s="11" t="s">
        <v>51</v>
      </c>
      <c r="H907" s="9" t="n">
        <v>2110101</v>
      </c>
      <c r="I907" s="11" t="s">
        <v>43</v>
      </c>
      <c r="J907" s="9" t="n">
        <v>1345083</v>
      </c>
      <c r="L907" s="9" t="n">
        <v>18998</v>
      </c>
      <c r="M907" s="11" t="s">
        <v>44</v>
      </c>
      <c r="N907" s="11" t="s">
        <v>37</v>
      </c>
      <c r="P907" s="9" t="n">
        <v>113</v>
      </c>
      <c r="Q907" s="11" t="s">
        <v>46</v>
      </c>
      <c r="R907" s="11" t="s">
        <v>47</v>
      </c>
      <c r="S907" s="9" t="n">
        <v>1130101</v>
      </c>
      <c r="T907" s="11" t="s">
        <v>48</v>
      </c>
      <c r="U907" s="12" t="n">
        <v>1073.2</v>
      </c>
      <c r="W907" s="12" t="n">
        <v>0</v>
      </c>
      <c r="X907" s="11" t="s">
        <v>827</v>
      </c>
      <c r="Z907" s="0" t="str">
        <f aca="false">IF($T907="","",IFERROR(INDEX('Resumo Grupos'!$AC$3:$AC$200,MATCH($T907,'Resumo Grupos'!$AB$3:$AB$200,0)),"n/d"))</f>
        <v>Mercadoria</v>
      </c>
      <c r="AA907" s="0" t="str">
        <f aca="false">IF($T907="","",IF(COUNTIF('Resumo Grupos'!$AE$3:$AE$40,$T907)&gt;0,"NAO","SIM"))</f>
        <v>SIM</v>
      </c>
      <c r="AB907" s="0" t="str">
        <f aca="false">IFERROR(INDEX('Mov Entradas (Rel 10497)'!$L:$L,MATCH(AC907,'Mov Entradas (Rel 10497)'!$I:$I,0)),"nao encontrado")</f>
        <v>CAFE STA CLARA TRAD</v>
      </c>
      <c r="AC907" s="0" t="n">
        <v>18998</v>
      </c>
    </row>
    <row r="908" customFormat="false" ht="12.75" hidden="false" customHeight="true" outlineLevel="0" collapsed="false">
      <c r="A908" s="9" t="n">
        <v>2</v>
      </c>
      <c r="B908" s="10" t="n">
        <v>46213</v>
      </c>
      <c r="C908" s="10" t="n">
        <v>46219</v>
      </c>
      <c r="D908" s="9" t="n">
        <v>901</v>
      </c>
      <c r="E908" s="11" t="s">
        <v>332</v>
      </c>
      <c r="F908" s="9" t="n">
        <v>24</v>
      </c>
      <c r="G908" s="11" t="s">
        <v>51</v>
      </c>
      <c r="H908" s="9" t="n">
        <v>2110101</v>
      </c>
      <c r="I908" s="11" t="s">
        <v>43</v>
      </c>
      <c r="J908" s="9" t="n">
        <v>1377084</v>
      </c>
      <c r="L908" s="9" t="n">
        <v>462</v>
      </c>
      <c r="M908" s="11" t="s">
        <v>52</v>
      </c>
      <c r="N908" s="11" t="s">
        <v>37</v>
      </c>
      <c r="P908" s="9" t="n">
        <v>113</v>
      </c>
      <c r="Q908" s="11" t="s">
        <v>46</v>
      </c>
      <c r="R908" s="11" t="s">
        <v>47</v>
      </c>
      <c r="S908" s="9" t="n">
        <v>1130101</v>
      </c>
      <c r="T908" s="11" t="s">
        <v>48</v>
      </c>
      <c r="U908" s="12" t="n">
        <v>435</v>
      </c>
      <c r="W908" s="12" t="n">
        <v>0</v>
      </c>
      <c r="X908" s="11" t="s">
        <v>913</v>
      </c>
      <c r="Z908" s="0" t="str">
        <f aca="false">IF($T908="","",IFERROR(INDEX('Resumo Grupos'!$AC$3:$AC$200,MATCH($T908,'Resumo Grupos'!$AB$3:$AB$200,0)),"n/d"))</f>
        <v>Mercadoria</v>
      </c>
      <c r="AA908" s="0" t="str">
        <f aca="false">IF($T908="","",IF(COUNTIF('Resumo Grupos'!$AE$3:$AE$40,$T908)&gt;0,"NAO","SIM"))</f>
        <v>SIM</v>
      </c>
      <c r="AB908" s="0" t="str">
        <f aca="false">IFERROR(INDEX('Mov Entradas (Rel 10497)'!$L:$L,MATCH(AC908,'Mov Entradas (Rel 10497)'!$I:$I,0)),"nao encontrado")</f>
        <v>BRINCOS CHERRY HIPOA</v>
      </c>
      <c r="AC908" s="0" t="n">
        <v>462</v>
      </c>
    </row>
    <row r="909" customFormat="false" ht="12.75" hidden="false" customHeight="true" outlineLevel="0" collapsed="false">
      <c r="A909" s="9" t="n">
        <v>2</v>
      </c>
      <c r="B909" s="10" t="n">
        <v>46205</v>
      </c>
      <c r="C909" s="10" t="n">
        <v>46219</v>
      </c>
      <c r="D909" s="9" t="n">
        <v>10002</v>
      </c>
      <c r="E909" s="11" t="s">
        <v>197</v>
      </c>
      <c r="F909" s="9" t="n">
        <v>24</v>
      </c>
      <c r="G909" s="11" t="s">
        <v>51</v>
      </c>
      <c r="H909" s="9" t="n">
        <v>2110101</v>
      </c>
      <c r="I909" s="11" t="s">
        <v>43</v>
      </c>
      <c r="J909" s="9" t="n">
        <v>1339497</v>
      </c>
      <c r="L909" s="9" t="n">
        <v>196323</v>
      </c>
      <c r="M909" s="11" t="s">
        <v>52</v>
      </c>
      <c r="N909" s="11" t="s">
        <v>37</v>
      </c>
      <c r="P909" s="9" t="n">
        <v>113</v>
      </c>
      <c r="Q909" s="11" t="s">
        <v>46</v>
      </c>
      <c r="R909" s="11" t="s">
        <v>47</v>
      </c>
      <c r="S909" s="9" t="n">
        <v>1130101</v>
      </c>
      <c r="T909" s="11" t="s">
        <v>48</v>
      </c>
      <c r="U909" s="12" t="n">
        <v>652.4</v>
      </c>
      <c r="W909" s="12" t="n">
        <v>0</v>
      </c>
      <c r="X909" s="11" t="s">
        <v>914</v>
      </c>
      <c r="Z909" s="0" t="str">
        <f aca="false">IF($T909="","",IFERROR(INDEX('Resumo Grupos'!$AC$3:$AC$200,MATCH($T909,'Resumo Grupos'!$AB$3:$AB$200,0)),"n/d"))</f>
        <v>Mercadoria</v>
      </c>
      <c r="AA909" s="0" t="str">
        <f aca="false">IF($T909="","",IF(COUNTIF('Resumo Grupos'!$AE$3:$AE$40,$T909)&gt;0,"NAO","SIM"))</f>
        <v>SIM</v>
      </c>
      <c r="AB909" s="0" t="str">
        <f aca="false">IFERROR(INDEX('Mov Entradas (Rel 10497)'!$L:$L,MATCH(AC909,'Mov Entradas (Rel 10497)'!$I:$I,0)),"nao encontrado")</f>
        <v>POLPA BRASFRUT CAJA</v>
      </c>
      <c r="AC909" s="0" t="n">
        <v>196323</v>
      </c>
    </row>
    <row r="910" customFormat="false" ht="12.75" hidden="false" customHeight="true" outlineLevel="0" collapsed="false">
      <c r="A910" s="9" t="n">
        <v>2</v>
      </c>
      <c r="B910" s="10" t="n">
        <v>46212</v>
      </c>
      <c r="C910" s="10" t="n">
        <v>46219</v>
      </c>
      <c r="D910" s="9" t="n">
        <v>1608</v>
      </c>
      <c r="E910" s="11" t="s">
        <v>240</v>
      </c>
      <c r="F910" s="9" t="n">
        <v>24</v>
      </c>
      <c r="G910" s="11" t="s">
        <v>51</v>
      </c>
      <c r="H910" s="9" t="n">
        <v>2110101</v>
      </c>
      <c r="I910" s="11" t="s">
        <v>43</v>
      </c>
      <c r="J910" s="9" t="n">
        <v>1373707</v>
      </c>
      <c r="L910" s="9" t="n">
        <v>1688844</v>
      </c>
      <c r="M910" s="11" t="s">
        <v>52</v>
      </c>
      <c r="N910" s="11" t="s">
        <v>37</v>
      </c>
      <c r="P910" s="9" t="n">
        <v>113</v>
      </c>
      <c r="Q910" s="11" t="s">
        <v>46</v>
      </c>
      <c r="R910" s="11" t="s">
        <v>47</v>
      </c>
      <c r="S910" s="9" t="n">
        <v>1130101</v>
      </c>
      <c r="T910" s="11" t="s">
        <v>48</v>
      </c>
      <c r="U910" s="12" t="n">
        <v>197.37</v>
      </c>
      <c r="W910" s="12" t="n">
        <v>0</v>
      </c>
      <c r="X910" s="11" t="s">
        <v>915</v>
      </c>
      <c r="Z910" s="0" t="str">
        <f aca="false">IF($T910="","",IFERROR(INDEX('Resumo Grupos'!$AC$3:$AC$200,MATCH($T910,'Resumo Grupos'!$AB$3:$AB$200,0)),"n/d"))</f>
        <v>Mercadoria</v>
      </c>
      <c r="AA910" s="0" t="str">
        <f aca="false">IF($T910="","",IF(COUNTIF('Resumo Grupos'!$AE$3:$AE$40,$T910)&gt;0,"NAO","SIM"))</f>
        <v>SIM</v>
      </c>
      <c r="AB910" s="0" t="str">
        <f aca="false">IFERROR(INDEX('Mov Entradas (Rel 10497)'!$L:$L,MATCH(AC910,'Mov Entradas (Rel 10497)'!$I:$I,0)),"nao encontrado")</f>
        <v>DANONINHO SUISSE MORANGO 320G</v>
      </c>
      <c r="AC910" s="0" t="n">
        <v>1688844</v>
      </c>
    </row>
    <row r="911" customFormat="false" ht="12.75" hidden="false" customHeight="true" outlineLevel="0" collapsed="false">
      <c r="A911" s="9" t="n">
        <v>2</v>
      </c>
      <c r="B911" s="10" t="n">
        <v>46205</v>
      </c>
      <c r="C911" s="10" t="n">
        <v>46219</v>
      </c>
      <c r="D911" s="9" t="n">
        <v>1217</v>
      </c>
      <c r="E911" s="11" t="s">
        <v>776</v>
      </c>
      <c r="F911" s="9" t="n">
        <v>24</v>
      </c>
      <c r="G911" s="11" t="s">
        <v>51</v>
      </c>
      <c r="H911" s="9" t="n">
        <v>2110101</v>
      </c>
      <c r="I911" s="11" t="s">
        <v>43</v>
      </c>
      <c r="J911" s="9" t="n">
        <v>1339965</v>
      </c>
      <c r="L911" s="9" t="n">
        <v>4467</v>
      </c>
      <c r="M911" s="11" t="s">
        <v>44</v>
      </c>
      <c r="N911" s="11" t="s">
        <v>37</v>
      </c>
      <c r="P911" s="9" t="n">
        <v>113</v>
      </c>
      <c r="Q911" s="11" t="s">
        <v>46</v>
      </c>
      <c r="R911" s="11" t="s">
        <v>47</v>
      </c>
      <c r="S911" s="9" t="n">
        <v>1130101</v>
      </c>
      <c r="T911" s="11" t="s">
        <v>48</v>
      </c>
      <c r="U911" s="12" t="n">
        <v>819.52</v>
      </c>
      <c r="W911" s="12" t="n">
        <v>0</v>
      </c>
      <c r="X911" s="11" t="s">
        <v>777</v>
      </c>
      <c r="Z911" s="0" t="str">
        <f aca="false">IF($T911="","",IFERROR(INDEX('Resumo Grupos'!$AC$3:$AC$200,MATCH($T911,'Resumo Grupos'!$AB$3:$AB$200,0)),"n/d"))</f>
        <v>Mercadoria</v>
      </c>
      <c r="AA911" s="0" t="str">
        <f aca="false">IF($T911="","",IF(COUNTIF('Resumo Grupos'!$AE$3:$AE$40,$T911)&gt;0,"NAO","SIM"))</f>
        <v>SIM</v>
      </c>
      <c r="AB911" s="0" t="str">
        <f aca="false">IFERROR(INDEX('Mov Entradas (Rel 10497)'!$L:$L,MATCH(AC911,'Mov Entradas (Rel 10497)'!$I:$I,0)),"nao encontrado")</f>
        <v>REGULADOR DE GAS ALI</v>
      </c>
      <c r="AC911" s="0" t="n">
        <v>4467</v>
      </c>
    </row>
    <row r="912" customFormat="false" ht="12.75" hidden="false" customHeight="true" outlineLevel="0" collapsed="false">
      <c r="A912" s="9" t="n">
        <v>2</v>
      </c>
      <c r="B912" s="10" t="n">
        <v>46205</v>
      </c>
      <c r="C912" s="10" t="n">
        <v>46219</v>
      </c>
      <c r="D912" s="9" t="n">
        <v>1815</v>
      </c>
      <c r="E912" s="11" t="s">
        <v>172</v>
      </c>
      <c r="F912" s="9" t="n">
        <v>24</v>
      </c>
      <c r="G912" s="11" t="s">
        <v>51</v>
      </c>
      <c r="H912" s="9" t="n">
        <v>2110101</v>
      </c>
      <c r="I912" s="11" t="s">
        <v>43</v>
      </c>
      <c r="J912" s="9" t="n">
        <v>1339618</v>
      </c>
      <c r="L912" s="9" t="n">
        <v>390211</v>
      </c>
      <c r="M912" s="11" t="s">
        <v>44</v>
      </c>
      <c r="N912" s="11" t="s">
        <v>37</v>
      </c>
      <c r="P912" s="9" t="n">
        <v>113</v>
      </c>
      <c r="Q912" s="11" t="s">
        <v>46</v>
      </c>
      <c r="R912" s="11" t="s">
        <v>47</v>
      </c>
      <c r="S912" s="9" t="n">
        <v>1130101</v>
      </c>
      <c r="T912" s="11" t="s">
        <v>48</v>
      </c>
      <c r="U912" s="12" t="n">
        <v>2005.45</v>
      </c>
      <c r="W912" s="12" t="n">
        <v>0</v>
      </c>
      <c r="X912" s="11" t="s">
        <v>831</v>
      </c>
      <c r="Z912" s="0" t="str">
        <f aca="false">IF($T912="","",IFERROR(INDEX('Resumo Grupos'!$AC$3:$AC$200,MATCH($T912,'Resumo Grupos'!$AB$3:$AB$200,0)),"n/d"))</f>
        <v>Mercadoria</v>
      </c>
      <c r="AA912" s="0" t="str">
        <f aca="false">IF($T912="","",IF(COUNTIF('Resumo Grupos'!$AE$3:$AE$40,$T912)&gt;0,"NAO","SIM"))</f>
        <v>SIM</v>
      </c>
      <c r="AB912" s="0" t="str">
        <f aca="false">IFERROR(INDEX('Mov Entradas (Rel 10497)'!$L:$L,MATCH(AC912,'Mov Entradas (Rel 10497)'!$I:$I,0)),"nao encontrado")</f>
        <v>COXÃO DURO KG</v>
      </c>
      <c r="AC912" s="0" t="n">
        <v>390211</v>
      </c>
    </row>
    <row r="913" customFormat="false" ht="12.75" hidden="false" customHeight="true" outlineLevel="0" collapsed="false">
      <c r="A913" s="9" t="n">
        <v>2</v>
      </c>
      <c r="B913" s="10" t="n">
        <v>46213</v>
      </c>
      <c r="C913" s="10" t="n">
        <v>46219</v>
      </c>
      <c r="D913" s="9" t="n">
        <v>1024</v>
      </c>
      <c r="E913" s="11" t="s">
        <v>471</v>
      </c>
      <c r="F913" s="9" t="n">
        <v>24</v>
      </c>
      <c r="G913" s="11" t="s">
        <v>51</v>
      </c>
      <c r="H913" s="9" t="n">
        <v>2110101</v>
      </c>
      <c r="I913" s="11" t="s">
        <v>43</v>
      </c>
      <c r="J913" s="9" t="n">
        <v>1376782</v>
      </c>
      <c r="L913" s="9" t="n">
        <v>599833</v>
      </c>
      <c r="M913" s="11" t="s">
        <v>52</v>
      </c>
      <c r="N913" s="11" t="s">
        <v>37</v>
      </c>
      <c r="P913" s="9" t="n">
        <v>113</v>
      </c>
      <c r="Q913" s="11" t="s">
        <v>46</v>
      </c>
      <c r="R913" s="11" t="s">
        <v>47</v>
      </c>
      <c r="S913" s="9" t="n">
        <v>1130101</v>
      </c>
      <c r="T913" s="11" t="s">
        <v>48</v>
      </c>
      <c r="U913" s="12" t="n">
        <v>280</v>
      </c>
      <c r="W913" s="12" t="n">
        <v>0</v>
      </c>
      <c r="X913" s="11" t="s">
        <v>916</v>
      </c>
      <c r="Z913" s="0" t="str">
        <f aca="false">IF($T913="","",IFERROR(INDEX('Resumo Grupos'!$AC$3:$AC$200,MATCH($T913,'Resumo Grupos'!$AB$3:$AB$200,0)),"n/d"))</f>
        <v>Mercadoria</v>
      </c>
      <c r="AA913" s="0" t="str">
        <f aca="false">IF($T913="","",IF(COUNTIF('Resumo Grupos'!$AE$3:$AE$40,$T913)&gt;0,"NAO","SIM"))</f>
        <v>SIM</v>
      </c>
      <c r="AB913" s="0" t="str">
        <f aca="false">IFERROR(INDEX('Mov Entradas (Rel 10497)'!$L:$L,MATCH(AC913,'Mov Entradas (Rel 10497)'!$I:$I,0)),"nao encontrado")</f>
        <v>SANTA CLAUDIA C/G 350ML</v>
      </c>
      <c r="AC913" s="0" t="n">
        <v>599833</v>
      </c>
    </row>
    <row r="914" customFormat="false" ht="12.75" hidden="false" customHeight="true" outlineLevel="0" collapsed="false">
      <c r="A914" s="9" t="n">
        <v>2</v>
      </c>
      <c r="B914" s="10" t="n">
        <v>46189</v>
      </c>
      <c r="C914" s="10" t="n">
        <v>46219</v>
      </c>
      <c r="D914" s="9" t="n">
        <v>1624</v>
      </c>
      <c r="E914" s="11" t="s">
        <v>351</v>
      </c>
      <c r="F914" s="9" t="n">
        <v>24</v>
      </c>
      <c r="G914" s="11" t="s">
        <v>51</v>
      </c>
      <c r="H914" s="9" t="n">
        <v>2110101</v>
      </c>
      <c r="I914" s="11" t="s">
        <v>43</v>
      </c>
      <c r="J914" s="9" t="n">
        <v>1261007</v>
      </c>
      <c r="L914" s="9" t="n">
        <v>658429</v>
      </c>
      <c r="M914" s="11" t="s">
        <v>67</v>
      </c>
      <c r="N914" s="11" t="s">
        <v>37</v>
      </c>
      <c r="P914" s="9" t="n">
        <v>113</v>
      </c>
      <c r="Q914" s="11" t="s">
        <v>46</v>
      </c>
      <c r="R914" s="11" t="s">
        <v>47</v>
      </c>
      <c r="S914" s="9" t="n">
        <v>1130101</v>
      </c>
      <c r="T914" s="11" t="s">
        <v>48</v>
      </c>
      <c r="U914" s="12" t="n">
        <v>550.4</v>
      </c>
      <c r="W914" s="12" t="n">
        <v>0</v>
      </c>
      <c r="X914" s="11" t="s">
        <v>726</v>
      </c>
      <c r="Z914" s="0" t="str">
        <f aca="false">IF($T914="","",IFERROR(INDEX('Resumo Grupos'!$AC$3:$AC$200,MATCH($T914,'Resumo Grupos'!$AB$3:$AB$200,0)),"n/d"))</f>
        <v>Mercadoria</v>
      </c>
      <c r="AA914" s="0" t="str">
        <f aca="false">IF($T914="","",IF(COUNTIF('Resumo Grupos'!$AE$3:$AE$40,$T914)&gt;0,"NAO","SIM"))</f>
        <v>SIM</v>
      </c>
      <c r="AB914" s="0" t="str">
        <f aca="false">IFERROR(INDEX('Mov Entradas (Rel 10497)'!$L:$L,MATCH(AC914,'Mov Entradas (Rel 10497)'!$I:$I,0)),"nao encontrado")</f>
        <v>FUNNY BUNNY 500G</v>
      </c>
      <c r="AC914" s="0" t="n">
        <v>658429</v>
      </c>
    </row>
    <row r="915" customFormat="false" ht="12.75" hidden="false" customHeight="true" outlineLevel="0" collapsed="false">
      <c r="A915" s="9" t="n">
        <v>2</v>
      </c>
      <c r="B915" s="10" t="n">
        <v>46195</v>
      </c>
      <c r="C915" s="10" t="n">
        <v>46219</v>
      </c>
      <c r="D915" s="9" t="n">
        <v>10012</v>
      </c>
      <c r="E915" s="11" t="s">
        <v>185</v>
      </c>
      <c r="F915" s="9" t="n">
        <v>24</v>
      </c>
      <c r="G915" s="11" t="s">
        <v>51</v>
      </c>
      <c r="H915" s="9" t="n">
        <v>2110101</v>
      </c>
      <c r="I915" s="11" t="s">
        <v>43</v>
      </c>
      <c r="J915" s="9" t="n">
        <v>1289819</v>
      </c>
      <c r="L915" s="9" t="n">
        <v>1959276</v>
      </c>
      <c r="M915" s="11" t="s">
        <v>44</v>
      </c>
      <c r="N915" s="11" t="s">
        <v>37</v>
      </c>
      <c r="P915" s="9" t="n">
        <v>113</v>
      </c>
      <c r="Q915" s="11" t="s">
        <v>46</v>
      </c>
      <c r="R915" s="11" t="s">
        <v>47</v>
      </c>
      <c r="S915" s="9" t="n">
        <v>1130101</v>
      </c>
      <c r="T915" s="11" t="s">
        <v>48</v>
      </c>
      <c r="U915" s="12" t="n">
        <v>653.65</v>
      </c>
      <c r="W915" s="12" t="n">
        <v>0</v>
      </c>
      <c r="X915" s="11" t="s">
        <v>833</v>
      </c>
      <c r="Z915" s="0" t="str">
        <f aca="false">IF($T915="","",IFERROR(INDEX('Resumo Grupos'!$AC$3:$AC$200,MATCH($T915,'Resumo Grupos'!$AB$3:$AB$200,0)),"n/d"))</f>
        <v>Mercadoria</v>
      </c>
      <c r="AA915" s="0" t="str">
        <f aca="false">IF($T915="","",IF(COUNTIF('Resumo Grupos'!$AE$3:$AE$40,$T915)&gt;0,"NAO","SIM"))</f>
        <v>SIM</v>
      </c>
      <c r="AB915" s="0" t="str">
        <f aca="false">IFERROR(INDEX('Mov Entradas (Rel 10497)'!$L:$L,MATCH(AC915,'Mov Entradas (Rel 10497)'!$I:$I,0)),"nao encontrado")</f>
        <v>ABS SEMPRE LIVRE NOT</v>
      </c>
      <c r="AC915" s="0" t="n">
        <v>1959276</v>
      </c>
    </row>
    <row r="916" customFormat="false" ht="12.75" hidden="false" customHeight="true" outlineLevel="0" collapsed="false">
      <c r="A916" s="9" t="n">
        <v>2</v>
      </c>
      <c r="B916" s="10" t="n">
        <v>46219</v>
      </c>
      <c r="C916" s="10" t="n">
        <v>46219</v>
      </c>
      <c r="D916" s="9" t="n">
        <v>0</v>
      </c>
      <c r="E916" s="11" t="s">
        <v>109</v>
      </c>
      <c r="F916" s="9" t="n">
        <v>17</v>
      </c>
      <c r="G916" s="11" t="s">
        <v>110</v>
      </c>
      <c r="H916" s="9" t="n">
        <v>1110101</v>
      </c>
      <c r="I916" s="11" t="s">
        <v>111</v>
      </c>
      <c r="J916" s="9" t="n">
        <v>1435400</v>
      </c>
      <c r="L916" s="9" t="n">
        <v>1435400</v>
      </c>
      <c r="M916" s="11" t="s">
        <v>52</v>
      </c>
      <c r="N916" s="11" t="s">
        <v>112</v>
      </c>
      <c r="P916" s="9" t="n">
        <v>113</v>
      </c>
      <c r="Q916" s="11" t="s">
        <v>46</v>
      </c>
      <c r="R916" s="11" t="s">
        <v>47</v>
      </c>
      <c r="S916" s="9" t="n">
        <v>1130101</v>
      </c>
      <c r="T916" s="11" t="s">
        <v>48</v>
      </c>
      <c r="U916" s="12" t="n">
        <v>204</v>
      </c>
      <c r="W916" s="12" t="n">
        <v>204</v>
      </c>
      <c r="X916" s="11" t="s">
        <v>727</v>
      </c>
      <c r="Z916" s="0" t="str">
        <f aca="false">IF($T916="","",IFERROR(INDEX('Resumo Grupos'!$AC$3:$AC$200,MATCH($T916,'Resumo Grupos'!$AB$3:$AB$200,0)),"n/d"))</f>
        <v>Mercadoria</v>
      </c>
      <c r="AA916" s="0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9" t="n">
        <v>2</v>
      </c>
      <c r="B917" s="10" t="n">
        <v>46219</v>
      </c>
      <c r="C917" s="10" t="n">
        <v>46219</v>
      </c>
      <c r="D917" s="9" t="n">
        <v>0</v>
      </c>
      <c r="E917" s="11" t="s">
        <v>109</v>
      </c>
      <c r="F917" s="9" t="n">
        <v>17</v>
      </c>
      <c r="G917" s="11" t="s">
        <v>110</v>
      </c>
      <c r="H917" s="9" t="n">
        <v>1110101</v>
      </c>
      <c r="I917" s="11" t="s">
        <v>111</v>
      </c>
      <c r="J917" s="9" t="n">
        <v>1435401</v>
      </c>
      <c r="L917" s="9" t="n">
        <v>1435401</v>
      </c>
      <c r="M917" s="11" t="s">
        <v>52</v>
      </c>
      <c r="N917" s="11" t="s">
        <v>112</v>
      </c>
      <c r="P917" s="9" t="n">
        <v>113</v>
      </c>
      <c r="Q917" s="11" t="s">
        <v>46</v>
      </c>
      <c r="R917" s="11" t="s">
        <v>47</v>
      </c>
      <c r="S917" s="9" t="n">
        <v>1130101</v>
      </c>
      <c r="T917" s="11" t="s">
        <v>48</v>
      </c>
      <c r="U917" s="12" t="n">
        <v>72</v>
      </c>
      <c r="W917" s="12" t="n">
        <v>72</v>
      </c>
      <c r="X917" s="11" t="s">
        <v>917</v>
      </c>
      <c r="Z917" s="0" t="str">
        <f aca="false">IF($T917="","",IFERROR(INDEX('Resumo Grupos'!$AC$3:$AC$200,MATCH($T917,'Resumo Grupos'!$AB$3:$AB$200,0)),"n/d"))</f>
        <v>Mercadoria</v>
      </c>
      <c r="AA917" s="0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9" t="n">
        <v>2</v>
      </c>
      <c r="B918" s="10" t="n">
        <v>46219</v>
      </c>
      <c r="C918" s="10" t="n">
        <v>46219</v>
      </c>
      <c r="D918" s="9" t="n">
        <v>0</v>
      </c>
      <c r="E918" s="11" t="s">
        <v>109</v>
      </c>
      <c r="F918" s="9" t="n">
        <v>17</v>
      </c>
      <c r="G918" s="11" t="s">
        <v>110</v>
      </c>
      <c r="H918" s="9" t="n">
        <v>1110101</v>
      </c>
      <c r="I918" s="11" t="s">
        <v>111</v>
      </c>
      <c r="J918" s="9" t="n">
        <v>1469107</v>
      </c>
      <c r="L918" s="9" t="n">
        <v>1469107</v>
      </c>
      <c r="M918" s="11" t="s">
        <v>52</v>
      </c>
      <c r="N918" s="11" t="s">
        <v>112</v>
      </c>
      <c r="P918" s="9" t="n">
        <v>113</v>
      </c>
      <c r="Q918" s="11" t="s">
        <v>46</v>
      </c>
      <c r="R918" s="11" t="s">
        <v>116</v>
      </c>
      <c r="S918" s="9" t="n">
        <v>1110203</v>
      </c>
      <c r="T918" s="11" t="s">
        <v>117</v>
      </c>
      <c r="U918" s="12" t="n">
        <v>3250</v>
      </c>
      <c r="W918" s="12" t="n">
        <v>3250</v>
      </c>
      <c r="X918" s="11" t="s">
        <v>918</v>
      </c>
      <c r="Z918" s="0" t="str">
        <f aca="false">IF($T918="","",IFERROR(INDEX('Resumo Grupos'!$AC$3:$AC$200,MATCH($T918,'Resumo Grupos'!$AB$3:$AB$200,0)),"n/d"))</f>
        <v>Despesa</v>
      </c>
      <c r="AA918" s="0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9" t="n">
        <v>2</v>
      </c>
      <c r="B919" s="10" t="n">
        <v>46212</v>
      </c>
      <c r="C919" s="10" t="n">
        <v>46219</v>
      </c>
      <c r="D919" s="9" t="n">
        <v>754</v>
      </c>
      <c r="E919" s="11" t="s">
        <v>162</v>
      </c>
      <c r="F919" s="9" t="n">
        <v>24</v>
      </c>
      <c r="G919" s="11" t="s">
        <v>51</v>
      </c>
      <c r="H919" s="9" t="n">
        <v>2110101</v>
      </c>
      <c r="I919" s="11" t="s">
        <v>43</v>
      </c>
      <c r="J919" s="9" t="n">
        <v>1375062</v>
      </c>
      <c r="L919" s="9" t="n">
        <v>31703</v>
      </c>
      <c r="M919" s="11" t="s">
        <v>52</v>
      </c>
      <c r="N919" s="11" t="s">
        <v>37</v>
      </c>
      <c r="P919" s="9" t="n">
        <v>113</v>
      </c>
      <c r="Q919" s="11" t="s">
        <v>46</v>
      </c>
      <c r="R919" s="11" t="s">
        <v>47</v>
      </c>
      <c r="S919" s="9" t="n">
        <v>1130101</v>
      </c>
      <c r="T919" s="11" t="s">
        <v>48</v>
      </c>
      <c r="U919" s="12" t="n">
        <v>3640</v>
      </c>
      <c r="W919" s="12" t="n">
        <v>0</v>
      </c>
      <c r="X919" s="11" t="s">
        <v>919</v>
      </c>
      <c r="Z919" s="0" t="str">
        <f aca="false">IF($T919="","",IFERROR(INDEX('Resumo Grupos'!$AC$3:$AC$200,MATCH($T919,'Resumo Grupos'!$AB$3:$AB$200,0)),"n/d"))</f>
        <v>Mercadoria</v>
      </c>
      <c r="AA919" s="0" t="str">
        <f aca="false">IF($T919="","",IF(COUNTIF('Resumo Grupos'!$AE$3:$AE$40,$T919)&gt;0,"NAO","SIM"))</f>
        <v>SIM</v>
      </c>
      <c r="AB919" s="0" t="str">
        <f aca="false">IFERROR(INDEX('Mov Entradas (Rel 10497)'!$L:$L,MATCH(AC919,'Mov Entradas (Rel 10497)'!$I:$I,0)),"nao encontrado")</f>
        <v>TRASEIRO DE BOI L1</v>
      </c>
      <c r="AC919" s="0" t="n">
        <v>31703</v>
      </c>
    </row>
    <row r="920" customFormat="false" ht="12.75" hidden="false" customHeight="true" outlineLevel="0" collapsed="false">
      <c r="A920" s="9" t="n">
        <v>2</v>
      </c>
      <c r="B920" s="10" t="n">
        <v>46213</v>
      </c>
      <c r="C920" s="10" t="n">
        <v>46220</v>
      </c>
      <c r="D920" s="9" t="n">
        <v>10018</v>
      </c>
      <c r="E920" s="11" t="s">
        <v>216</v>
      </c>
      <c r="F920" s="9" t="n">
        <v>34</v>
      </c>
      <c r="G920" s="11" t="s">
        <v>55</v>
      </c>
      <c r="H920" s="9" t="n">
        <v>2110101</v>
      </c>
      <c r="I920" s="11" t="s">
        <v>43</v>
      </c>
      <c r="J920" s="9" t="n">
        <v>1377315</v>
      </c>
      <c r="L920" s="9" t="n">
        <v>333</v>
      </c>
      <c r="M920" s="11" t="s">
        <v>52</v>
      </c>
      <c r="N920" s="11" t="s">
        <v>37</v>
      </c>
      <c r="P920" s="9" t="n">
        <v>113</v>
      </c>
      <c r="Q920" s="11" t="s">
        <v>46</v>
      </c>
      <c r="R920" s="11" t="s">
        <v>47</v>
      </c>
      <c r="S920" s="9" t="n">
        <v>1130101</v>
      </c>
      <c r="T920" s="11" t="s">
        <v>48</v>
      </c>
      <c r="U920" s="12" t="n">
        <v>1171.37</v>
      </c>
      <c r="W920" s="12" t="n">
        <v>0</v>
      </c>
      <c r="X920" s="11" t="s">
        <v>920</v>
      </c>
      <c r="Z920" s="0" t="str">
        <f aca="false">IF($T920="","",IFERROR(INDEX('Resumo Grupos'!$AC$3:$AC$200,MATCH($T920,'Resumo Grupos'!$AB$3:$AB$200,0)),"n/d"))</f>
        <v>Mercadoria</v>
      </c>
      <c r="AA920" s="0" t="str">
        <f aca="false">IF($T920="","",IF(COUNTIF('Resumo Grupos'!$AE$3:$AE$40,$T920)&gt;0,"NAO","SIM"))</f>
        <v>SIM</v>
      </c>
      <c r="AB920" s="0" t="str">
        <f aca="false">IFERROR(INDEX('Mov Entradas (Rel 10497)'!$L:$L,MATCH(AC920,'Mov Entradas (Rel 10497)'!$I:$I,0)),"nao encontrado")</f>
        <v>DOC LEIT BOCARD 250G</v>
      </c>
      <c r="AC920" s="0" t="n">
        <v>333</v>
      </c>
    </row>
    <row r="921" customFormat="false" ht="12.75" hidden="false" customHeight="true" outlineLevel="0" collapsed="false">
      <c r="A921" s="9" t="n">
        <v>2</v>
      </c>
      <c r="B921" s="10" t="n">
        <v>46210</v>
      </c>
      <c r="C921" s="10" t="n">
        <v>46220</v>
      </c>
      <c r="D921" s="9" t="n">
        <v>1613</v>
      </c>
      <c r="E921" s="11" t="s">
        <v>50</v>
      </c>
      <c r="F921" s="9" t="n">
        <v>24</v>
      </c>
      <c r="G921" s="11" t="s">
        <v>51</v>
      </c>
      <c r="H921" s="9" t="n">
        <v>2110101</v>
      </c>
      <c r="I921" s="11" t="s">
        <v>43</v>
      </c>
      <c r="J921" s="9" t="n">
        <v>1364523</v>
      </c>
      <c r="L921" s="9" t="n">
        <v>1604119</v>
      </c>
      <c r="M921" s="11" t="s">
        <v>52</v>
      </c>
      <c r="N921" s="11" t="s">
        <v>37</v>
      </c>
      <c r="P921" s="9" t="n">
        <v>113</v>
      </c>
      <c r="Q921" s="11" t="s">
        <v>46</v>
      </c>
      <c r="R921" s="11" t="s">
        <v>47</v>
      </c>
      <c r="S921" s="9" t="n">
        <v>1130101</v>
      </c>
      <c r="T921" s="11" t="s">
        <v>48</v>
      </c>
      <c r="U921" s="12" t="n">
        <v>1031.78</v>
      </c>
      <c r="W921" s="12" t="n">
        <v>0</v>
      </c>
      <c r="X921" s="11" t="s">
        <v>921</v>
      </c>
      <c r="Z921" s="0" t="str">
        <f aca="false">IF($T921="","",IFERROR(INDEX('Resumo Grupos'!$AC$3:$AC$200,MATCH($T921,'Resumo Grupos'!$AB$3:$AB$200,0)),"n/d"))</f>
        <v>Mercadoria</v>
      </c>
      <c r="AA921" s="0" t="str">
        <f aca="false">IF($T921="","",IF(COUNTIF('Resumo Grupos'!$AE$3:$AE$40,$T921)&gt;0,"NAO","SIM"))</f>
        <v>SIM</v>
      </c>
      <c r="AB921" s="0" t="str">
        <f aca="false">IFERROR(INDEX('Mov Entradas (Rel 10497)'!$L:$L,MATCH(AC921,'Mov Entradas (Rel 10497)'!$I:$I,0)),"nao encontrado")</f>
        <v>COSTELA SUINA KG</v>
      </c>
      <c r="AC921" s="0" t="n">
        <v>1604119</v>
      </c>
    </row>
    <row r="922" customFormat="false" ht="12.75" hidden="false" customHeight="true" outlineLevel="0" collapsed="false">
      <c r="A922" s="9" t="n">
        <v>2</v>
      </c>
      <c r="B922" s="10" t="n">
        <v>46213</v>
      </c>
      <c r="C922" s="10" t="n">
        <v>46220</v>
      </c>
      <c r="D922" s="9" t="n">
        <v>1642</v>
      </c>
      <c r="E922" s="11" t="s">
        <v>228</v>
      </c>
      <c r="F922" s="9" t="n">
        <v>24</v>
      </c>
      <c r="G922" s="11" t="s">
        <v>51</v>
      </c>
      <c r="H922" s="9" t="n">
        <v>2110101</v>
      </c>
      <c r="I922" s="11" t="s">
        <v>43</v>
      </c>
      <c r="J922" s="9" t="n">
        <v>1376676</v>
      </c>
      <c r="L922" s="9" t="n">
        <v>1031214</v>
      </c>
      <c r="M922" s="11" t="s">
        <v>52</v>
      </c>
      <c r="N922" s="11" t="s">
        <v>37</v>
      </c>
      <c r="P922" s="9" t="n">
        <v>113</v>
      </c>
      <c r="Q922" s="11" t="s">
        <v>46</v>
      </c>
      <c r="R922" s="11" t="s">
        <v>47</v>
      </c>
      <c r="S922" s="9" t="n">
        <v>1130101</v>
      </c>
      <c r="T922" s="11" t="s">
        <v>48</v>
      </c>
      <c r="U922" s="12" t="n">
        <v>250.08</v>
      </c>
      <c r="W922" s="12" t="n">
        <v>0</v>
      </c>
      <c r="X922" s="11" t="s">
        <v>922</v>
      </c>
      <c r="Z922" s="0" t="str">
        <f aca="false">IF($T922="","",IFERROR(INDEX('Resumo Grupos'!$AC$3:$AC$200,MATCH($T922,'Resumo Grupos'!$AB$3:$AB$200,0)),"n/d"))</f>
        <v>Mercadoria</v>
      </c>
      <c r="AA922" s="0" t="str">
        <f aca="false">IF($T922="","",IF(COUNTIF('Resumo Grupos'!$AE$3:$AE$40,$T922)&gt;0,"NAO","SIM"))</f>
        <v>SIM</v>
      </c>
      <c r="AB922" s="0" t="str">
        <f aca="false">IFERROR(INDEX('Mov Entradas (Rel 10497)'!$L:$L,MATCH(AC922,'Mov Entradas (Rel 10497)'!$I:$I,0)),"nao encontrado")</f>
        <v>PÃOZINHO ESPEC BROTH</v>
      </c>
      <c r="AC922" s="0" t="n">
        <v>1031214</v>
      </c>
    </row>
    <row r="923" customFormat="false" ht="12.75" hidden="false" customHeight="true" outlineLevel="0" collapsed="false">
      <c r="A923" s="9" t="n">
        <v>2</v>
      </c>
      <c r="B923" s="10" t="n">
        <v>46191</v>
      </c>
      <c r="C923" s="10" t="n">
        <v>46220</v>
      </c>
      <c r="D923" s="9" t="n">
        <v>1718</v>
      </c>
      <c r="E923" s="11" t="s">
        <v>236</v>
      </c>
      <c r="F923" s="9" t="n">
        <v>24</v>
      </c>
      <c r="G923" s="11" t="s">
        <v>51</v>
      </c>
      <c r="H923" s="9" t="n">
        <v>2110101</v>
      </c>
      <c r="I923" s="11" t="s">
        <v>43</v>
      </c>
      <c r="J923" s="9" t="n">
        <v>1269305</v>
      </c>
      <c r="L923" s="9" t="n">
        <v>674937</v>
      </c>
      <c r="M923" s="11" t="s">
        <v>67</v>
      </c>
      <c r="N923" s="11" t="s">
        <v>37</v>
      </c>
      <c r="P923" s="9" t="n">
        <v>113</v>
      </c>
      <c r="Q923" s="11" t="s">
        <v>46</v>
      </c>
      <c r="R923" s="11" t="s">
        <v>47</v>
      </c>
      <c r="S923" s="9" t="n">
        <v>1130101</v>
      </c>
      <c r="T923" s="11" t="s">
        <v>48</v>
      </c>
      <c r="U923" s="12" t="n">
        <v>1055.33</v>
      </c>
      <c r="W923" s="12" t="n">
        <v>0</v>
      </c>
      <c r="X923" s="11" t="s">
        <v>742</v>
      </c>
      <c r="Z923" s="0" t="str">
        <f aca="false">IF($T923="","",IFERROR(INDEX('Resumo Grupos'!$AC$3:$AC$200,MATCH($T923,'Resumo Grupos'!$AB$3:$AB$200,0)),"n/d"))</f>
        <v>Mercadoria</v>
      </c>
      <c r="AA923" s="0" t="str">
        <f aca="false">IF($T923="","",IF(COUNTIF('Resumo Grupos'!$AE$3:$AE$40,$T923)&gt;0,"NAO","SIM"))</f>
        <v>SIM</v>
      </c>
      <c r="AB923" s="0" t="str">
        <f aca="false">IFERROR(INDEX('Mov Entradas (Rel 10497)'!$L:$L,MATCH(AC923,'Mov Entradas (Rel 10497)'!$I:$I,0)),"nao encontrado")</f>
        <v>BISCOITO OREO 36G</v>
      </c>
      <c r="AC923" s="0" t="n">
        <v>674937</v>
      </c>
    </row>
    <row r="924" customFormat="false" ht="12.75" hidden="false" customHeight="true" outlineLevel="0" collapsed="false">
      <c r="A924" s="9" t="n">
        <v>2</v>
      </c>
      <c r="B924" s="10" t="n">
        <v>46195</v>
      </c>
      <c r="C924" s="10" t="n">
        <v>46220</v>
      </c>
      <c r="D924" s="9" t="n">
        <v>1608</v>
      </c>
      <c r="E924" s="11" t="s">
        <v>240</v>
      </c>
      <c r="F924" s="9" t="n">
        <v>24</v>
      </c>
      <c r="G924" s="11" t="s">
        <v>51</v>
      </c>
      <c r="H924" s="9" t="n">
        <v>2110101</v>
      </c>
      <c r="I924" s="11" t="s">
        <v>43</v>
      </c>
      <c r="J924" s="9" t="n">
        <v>1289449</v>
      </c>
      <c r="L924" s="9" t="n">
        <v>1676804</v>
      </c>
      <c r="M924" s="11" t="s">
        <v>67</v>
      </c>
      <c r="N924" s="11" t="s">
        <v>37</v>
      </c>
      <c r="P924" s="9" t="n">
        <v>113</v>
      </c>
      <c r="Q924" s="11" t="s">
        <v>46</v>
      </c>
      <c r="R924" s="11" t="s">
        <v>47</v>
      </c>
      <c r="S924" s="9" t="n">
        <v>1130101</v>
      </c>
      <c r="T924" s="11" t="s">
        <v>48</v>
      </c>
      <c r="U924" s="12" t="n">
        <v>1154.88</v>
      </c>
      <c r="W924" s="12" t="n">
        <v>0</v>
      </c>
      <c r="X924" s="11" t="s">
        <v>743</v>
      </c>
      <c r="Z924" s="0" t="str">
        <f aca="false">IF($T924="","",IFERROR(INDEX('Resumo Grupos'!$AC$3:$AC$200,MATCH($T924,'Resumo Grupos'!$AB$3:$AB$200,0)),"n/d"))</f>
        <v>Mercadoria</v>
      </c>
      <c r="AA924" s="0" t="str">
        <f aca="false">IF($T924="","",IF(COUNTIF('Resumo Grupos'!$AE$3:$AE$40,$T924)&gt;0,"NAO","SIM"))</f>
        <v>SIM</v>
      </c>
      <c r="AB924" s="0" t="str">
        <f aca="false">IFERROR(INDEX('Mov Entradas (Rel 10497)'!$L:$L,MATCH(AC924,'Mov Entradas (Rel 10497)'!$I:$I,0)),"nao encontrado")</f>
        <v>TODDYNHO CHOCOLATE</v>
      </c>
      <c r="AC924" s="0" t="n">
        <v>1676804</v>
      </c>
    </row>
    <row r="925" customFormat="false" ht="12.75" hidden="false" customHeight="true" outlineLevel="0" collapsed="false">
      <c r="A925" s="9" t="n">
        <v>2</v>
      </c>
      <c r="B925" s="10" t="n">
        <v>46220</v>
      </c>
      <c r="C925" s="10" t="n">
        <v>46220</v>
      </c>
      <c r="D925" s="9" t="n">
        <v>23</v>
      </c>
      <c r="E925" s="11" t="s">
        <v>243</v>
      </c>
      <c r="F925" s="9" t="n">
        <v>34</v>
      </c>
      <c r="G925" s="11" t="s">
        <v>55</v>
      </c>
      <c r="H925" s="9" t="n">
        <v>2110405</v>
      </c>
      <c r="I925" s="11" t="s">
        <v>56</v>
      </c>
      <c r="J925" s="9" t="n">
        <v>1427891</v>
      </c>
      <c r="L925" s="9" t="n">
        <v>190917</v>
      </c>
      <c r="M925" s="11" t="s">
        <v>52</v>
      </c>
      <c r="N925" s="11" t="s">
        <v>45</v>
      </c>
      <c r="P925" s="9" t="n">
        <v>113</v>
      </c>
      <c r="Q925" s="11" t="s">
        <v>46</v>
      </c>
      <c r="R925" s="11" t="s">
        <v>71</v>
      </c>
      <c r="S925" s="9" t="n">
        <v>4210301</v>
      </c>
      <c r="T925" s="11" t="s">
        <v>220</v>
      </c>
      <c r="U925" s="12" t="n">
        <v>400</v>
      </c>
      <c r="W925" s="12" t="n">
        <v>0</v>
      </c>
      <c r="X925" s="11" t="s">
        <v>883</v>
      </c>
      <c r="Z925" s="0" t="str">
        <f aca="false">IF($T925="","",IFERROR(INDEX('Resumo Grupos'!$AC$3:$AC$200,MATCH($T925,'Resumo Grupos'!$AB$3:$AB$200,0)),"n/d"))</f>
        <v>Salários</v>
      </c>
      <c r="AA925" s="0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9" t="n">
        <v>2</v>
      </c>
      <c r="B926" s="10" t="n">
        <v>46206</v>
      </c>
      <c r="C926" s="10" t="n">
        <v>46220</v>
      </c>
      <c r="D926" s="9" t="n">
        <v>10089</v>
      </c>
      <c r="E926" s="11" t="s">
        <v>852</v>
      </c>
      <c r="F926" s="9" t="n">
        <v>24</v>
      </c>
      <c r="G926" s="11" t="s">
        <v>51</v>
      </c>
      <c r="H926" s="9" t="n">
        <v>2110101</v>
      </c>
      <c r="I926" s="11" t="s">
        <v>43</v>
      </c>
      <c r="J926" s="9" t="n">
        <v>1345178</v>
      </c>
      <c r="L926" s="9" t="n">
        <v>890</v>
      </c>
      <c r="M926" s="11" t="s">
        <v>44</v>
      </c>
      <c r="N926" s="11" t="s">
        <v>37</v>
      </c>
      <c r="P926" s="9" t="n">
        <v>113</v>
      </c>
      <c r="Q926" s="11" t="s">
        <v>46</v>
      </c>
      <c r="R926" s="11" t="s">
        <v>47</v>
      </c>
      <c r="S926" s="9" t="n">
        <v>1130101</v>
      </c>
      <c r="T926" s="11" t="s">
        <v>48</v>
      </c>
      <c r="U926" s="12" t="n">
        <v>368.4</v>
      </c>
      <c r="W926" s="12" t="n">
        <v>0</v>
      </c>
      <c r="X926" s="11" t="s">
        <v>853</v>
      </c>
      <c r="Z926" s="0" t="str">
        <f aca="false">IF($T926="","",IFERROR(INDEX('Resumo Grupos'!$AC$3:$AC$200,MATCH($T926,'Resumo Grupos'!$AB$3:$AB$200,0)),"n/d"))</f>
        <v>Mercadoria</v>
      </c>
      <c r="AA926" s="0" t="str">
        <f aca="false">IF($T926="","",IF(COUNTIF('Resumo Grupos'!$AE$3:$AE$40,$T926)&gt;0,"NAO","SIM"))</f>
        <v>SIM</v>
      </c>
      <c r="AB926" s="0" t="str">
        <f aca="false">IFERROR(INDEX('Mov Entradas (Rel 10497)'!$L:$L,MATCH(AC926,'Mov Entradas (Rel 10497)'!$I:$I,0)),"nao encontrado")</f>
        <v>BANANINHA CROC TAYNA</v>
      </c>
      <c r="AC926" s="0" t="n">
        <v>890</v>
      </c>
    </row>
    <row r="927" customFormat="false" ht="12.75" hidden="false" customHeight="true" outlineLevel="0" collapsed="false">
      <c r="A927" s="9" t="n">
        <v>2</v>
      </c>
      <c r="B927" s="10" t="n">
        <v>46220</v>
      </c>
      <c r="C927" s="10" t="n">
        <v>46220</v>
      </c>
      <c r="D927" s="9" t="n">
        <v>10096</v>
      </c>
      <c r="E927" s="11" t="s">
        <v>622</v>
      </c>
      <c r="F927" s="9" t="n">
        <v>13</v>
      </c>
      <c r="G927" s="11" t="s">
        <v>135</v>
      </c>
      <c r="H927" s="9" t="n">
        <v>1110203</v>
      </c>
      <c r="I927" s="11" t="s">
        <v>117</v>
      </c>
      <c r="J927" s="9" t="n">
        <v>1428745</v>
      </c>
      <c r="L927" s="9" t="n">
        <v>191334</v>
      </c>
      <c r="M927" s="11" t="s">
        <v>52</v>
      </c>
      <c r="N927" s="11" t="s">
        <v>45</v>
      </c>
      <c r="P927" s="9" t="n">
        <v>113</v>
      </c>
      <c r="Q927" s="11" t="s">
        <v>46</v>
      </c>
      <c r="R927" s="11" t="s">
        <v>47</v>
      </c>
      <c r="S927" s="9" t="n">
        <v>1130101</v>
      </c>
      <c r="T927" s="11" t="s">
        <v>48</v>
      </c>
      <c r="U927" s="12" t="n">
        <v>140</v>
      </c>
      <c r="W927" s="12" t="n">
        <v>140</v>
      </c>
      <c r="X927" s="11" t="s">
        <v>923</v>
      </c>
      <c r="Z927" s="0" t="str">
        <f aca="false">IF($T927="","",IFERROR(INDEX('Resumo Grupos'!$AC$3:$AC$200,MATCH($T927,'Resumo Grupos'!$AB$3:$AB$200,0)),"n/d"))</f>
        <v>Mercadoria</v>
      </c>
      <c r="AA927" s="0" t="str">
        <f aca="false">IF($T927="","",IF(COUNTIF('Resumo Grupos'!$AE$3:$AE$40,$T927)&gt;0,"NAO","SIM"))</f>
        <v>SIM</v>
      </c>
      <c r="AB927" s="0" t="str">
        <f aca="false">IFERROR(INDEX('Mov Entradas (Rel 10497)'!$L:$L,MATCH(AC927,'Mov Entradas (Rel 10497)'!$I:$I,0)),"nao encontrado")</f>
        <v>BOLO MIYAZAKI GRANDE</v>
      </c>
      <c r="AC927" s="0" t="n">
        <v>23</v>
      </c>
    </row>
    <row r="928" customFormat="false" ht="12.75" hidden="false" customHeight="true" outlineLevel="0" collapsed="false">
      <c r="A928" s="9" t="n">
        <v>2</v>
      </c>
      <c r="B928" s="10" t="n">
        <v>46213</v>
      </c>
      <c r="C928" s="10" t="n">
        <v>46220</v>
      </c>
      <c r="D928" s="9" t="n">
        <v>1609</v>
      </c>
      <c r="E928" s="11" t="s">
        <v>84</v>
      </c>
      <c r="F928" s="9" t="n">
        <v>24</v>
      </c>
      <c r="G928" s="11" t="s">
        <v>51</v>
      </c>
      <c r="H928" s="9" t="n">
        <v>2110101</v>
      </c>
      <c r="I928" s="11" t="s">
        <v>43</v>
      </c>
      <c r="J928" s="9" t="n">
        <v>1376630</v>
      </c>
      <c r="L928" s="9" t="n">
        <v>5786</v>
      </c>
      <c r="M928" s="11" t="s">
        <v>52</v>
      </c>
      <c r="N928" s="11" t="s">
        <v>37</v>
      </c>
      <c r="P928" s="9" t="n">
        <v>113</v>
      </c>
      <c r="Q928" s="11" t="s">
        <v>46</v>
      </c>
      <c r="R928" s="11" t="s">
        <v>47</v>
      </c>
      <c r="S928" s="9" t="n">
        <v>1130101</v>
      </c>
      <c r="T928" s="11" t="s">
        <v>48</v>
      </c>
      <c r="U928" s="12" t="n">
        <v>519.65</v>
      </c>
      <c r="W928" s="12" t="n">
        <v>0</v>
      </c>
      <c r="X928" s="11" t="s">
        <v>924</v>
      </c>
      <c r="Z928" s="0" t="str">
        <f aca="false">IF($T928="","",IFERROR(INDEX('Resumo Grupos'!$AC$3:$AC$200,MATCH($T928,'Resumo Grupos'!$AB$3:$AB$200,0)),"n/d"))</f>
        <v>Mercadoria</v>
      </c>
      <c r="AA928" s="0" t="str">
        <f aca="false">IF($T928="","",IF(COUNTIF('Resumo Grupos'!$AE$3:$AE$40,$T928)&gt;0,"NAO","SIM"))</f>
        <v>SIM</v>
      </c>
      <c r="AB928" s="0" t="str">
        <f aca="false">IFERROR(INDEX('Mov Entradas (Rel 10497)'!$L:$L,MATCH(AC928,'Mov Entradas (Rel 10497)'!$I:$I,0)),"nao encontrado")</f>
        <v>FAZENDINH LAR 500 ML</v>
      </c>
      <c r="AC928" s="0" t="n">
        <v>5786</v>
      </c>
    </row>
    <row r="929" customFormat="false" ht="12.75" hidden="false" customHeight="true" outlineLevel="0" collapsed="false">
      <c r="A929" s="9" t="n">
        <v>2</v>
      </c>
      <c r="B929" s="10" t="n">
        <v>46213</v>
      </c>
      <c r="C929" s="10" t="n">
        <v>46220</v>
      </c>
      <c r="D929" s="9" t="n">
        <v>1270</v>
      </c>
      <c r="E929" s="11" t="s">
        <v>925</v>
      </c>
      <c r="F929" s="9" t="n">
        <v>24</v>
      </c>
      <c r="G929" s="11" t="s">
        <v>51</v>
      </c>
      <c r="H929" s="9" t="n">
        <v>2110101</v>
      </c>
      <c r="I929" s="11" t="s">
        <v>43</v>
      </c>
      <c r="J929" s="9" t="n">
        <v>1377247</v>
      </c>
      <c r="L929" s="9" t="n">
        <v>2635</v>
      </c>
      <c r="M929" s="11" t="s">
        <v>52</v>
      </c>
      <c r="N929" s="11" t="s">
        <v>37</v>
      </c>
      <c r="P929" s="9" t="n">
        <v>113</v>
      </c>
      <c r="Q929" s="11" t="s">
        <v>46</v>
      </c>
      <c r="R929" s="11" t="s">
        <v>47</v>
      </c>
      <c r="S929" s="9" t="n">
        <v>1130101</v>
      </c>
      <c r="T929" s="11" t="s">
        <v>48</v>
      </c>
      <c r="U929" s="12" t="n">
        <v>150</v>
      </c>
      <c r="W929" s="12" t="n">
        <v>0</v>
      </c>
      <c r="X929" s="11" t="s">
        <v>926</v>
      </c>
      <c r="Z929" s="0" t="str">
        <f aca="false">IF($T929="","",IFERROR(INDEX('Resumo Grupos'!$AC$3:$AC$200,MATCH($T929,'Resumo Grupos'!$AB$3:$AB$200,0)),"n/d"))</f>
        <v>Mercadoria</v>
      </c>
      <c r="AA929" s="0" t="str">
        <f aca="false">IF($T929="","",IF(COUNTIF('Resumo Grupos'!$AE$3:$AE$40,$T929)&gt;0,"NAO","SIM"))</f>
        <v>SIM</v>
      </c>
      <c r="AB929" s="0" t="str">
        <f aca="false">IFERROR(INDEX('Mov Entradas (Rel 10497)'!$L:$L,MATCH(AC929,'Mov Entradas (Rel 10497)'!$I:$I,0)),"nao encontrado")</f>
        <v>TEMP. COMPLETO C/ AÇAFRÃO 400G</v>
      </c>
      <c r="AC929" s="0" t="n">
        <v>2635</v>
      </c>
    </row>
    <row r="930" customFormat="false" ht="12.75" hidden="false" customHeight="true" outlineLevel="0" collapsed="false">
      <c r="A930" s="9" t="n">
        <v>2</v>
      </c>
      <c r="B930" s="10" t="n">
        <v>46199</v>
      </c>
      <c r="C930" s="10" t="n">
        <v>46220</v>
      </c>
      <c r="D930" s="9" t="n">
        <v>1699</v>
      </c>
      <c r="E930" s="11" t="s">
        <v>248</v>
      </c>
      <c r="F930" s="9" t="n">
        <v>24</v>
      </c>
      <c r="G930" s="11" t="s">
        <v>51</v>
      </c>
      <c r="H930" s="9" t="n">
        <v>2110101</v>
      </c>
      <c r="I930" s="11" t="s">
        <v>43</v>
      </c>
      <c r="J930" s="9" t="n">
        <v>1310401</v>
      </c>
      <c r="L930" s="9" t="n">
        <v>305929</v>
      </c>
      <c r="M930" s="11" t="s">
        <v>67</v>
      </c>
      <c r="N930" s="11" t="s">
        <v>37</v>
      </c>
      <c r="P930" s="9" t="n">
        <v>113</v>
      </c>
      <c r="Q930" s="11" t="s">
        <v>46</v>
      </c>
      <c r="R930" s="11" t="s">
        <v>47</v>
      </c>
      <c r="S930" s="9" t="n">
        <v>1130101</v>
      </c>
      <c r="T930" s="11" t="s">
        <v>48</v>
      </c>
      <c r="U930" s="12" t="n">
        <v>1184.06</v>
      </c>
      <c r="W930" s="12" t="n">
        <v>0</v>
      </c>
      <c r="X930" s="11" t="s">
        <v>752</v>
      </c>
      <c r="Z930" s="0" t="str">
        <f aca="false">IF($T930="","",IFERROR(INDEX('Resumo Grupos'!$AC$3:$AC$200,MATCH($T930,'Resumo Grupos'!$AB$3:$AB$200,0)),"n/d"))</f>
        <v>Mercadoria</v>
      </c>
      <c r="AA930" s="0" t="str">
        <f aca="false">IF($T930="","",IF(COUNTIF('Resumo Grupos'!$AE$3:$AE$40,$T930)&gt;0,"NAO","SIM"))</f>
        <v>SIM</v>
      </c>
      <c r="AB930" s="0" t="str">
        <f aca="false">IFERROR(INDEX('Mov Entradas (Rel 10497)'!$L:$L,MATCH(AC930,'Mov Entradas (Rel 10497)'!$I:$I,0)),"nao encontrado")</f>
        <v>LING CALABRESA PERD</v>
      </c>
      <c r="AC930" s="0" t="n">
        <v>305929</v>
      </c>
    </row>
    <row r="931" customFormat="false" ht="12.75" hidden="false" customHeight="true" outlineLevel="0" collapsed="false">
      <c r="A931" s="9" t="n">
        <v>2</v>
      </c>
      <c r="B931" s="10" t="n">
        <v>46220</v>
      </c>
      <c r="C931" s="10" t="n">
        <v>46220</v>
      </c>
      <c r="D931" s="9" t="n">
        <v>48</v>
      </c>
      <c r="E931" s="11" t="s">
        <v>153</v>
      </c>
      <c r="F931" s="9" t="n">
        <v>13</v>
      </c>
      <c r="G931" s="11" t="s">
        <v>135</v>
      </c>
      <c r="H931" s="9" t="n">
        <v>2110101</v>
      </c>
      <c r="I931" s="11" t="s">
        <v>43</v>
      </c>
      <c r="J931" s="9" t="n">
        <v>1411314</v>
      </c>
      <c r="L931" s="9" t="n">
        <v>2546</v>
      </c>
      <c r="M931" s="11" t="s">
        <v>52</v>
      </c>
      <c r="N931" s="11" t="s">
        <v>37</v>
      </c>
      <c r="P931" s="9" t="n">
        <v>113</v>
      </c>
      <c r="Q931" s="11" t="s">
        <v>46</v>
      </c>
      <c r="R931" s="11" t="s">
        <v>47</v>
      </c>
      <c r="S931" s="9" t="n">
        <v>1130101</v>
      </c>
      <c r="T931" s="11" t="s">
        <v>48</v>
      </c>
      <c r="U931" s="12" t="n">
        <v>280</v>
      </c>
      <c r="W931" s="12" t="n">
        <v>280</v>
      </c>
      <c r="X931" s="11" t="s">
        <v>927</v>
      </c>
      <c r="Z931" s="0" t="str">
        <f aca="false">IF($T931="","",IFERROR(INDEX('Resumo Grupos'!$AC$3:$AC$200,MATCH($T931,'Resumo Grupos'!$AB$3:$AB$200,0)),"n/d"))</f>
        <v>Mercadoria</v>
      </c>
      <c r="AA931" s="0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9" t="n">
        <v>2</v>
      </c>
      <c r="B932" s="10" t="n">
        <v>46220</v>
      </c>
      <c r="C932" s="10" t="n">
        <v>46220</v>
      </c>
      <c r="D932" s="9" t="n">
        <v>48</v>
      </c>
      <c r="E932" s="11" t="s">
        <v>153</v>
      </c>
      <c r="F932" s="9" t="n">
        <v>34</v>
      </c>
      <c r="G932" s="11" t="s">
        <v>55</v>
      </c>
      <c r="H932" s="9" t="n">
        <v>2110101</v>
      </c>
      <c r="I932" s="11" t="s">
        <v>43</v>
      </c>
      <c r="J932" s="9" t="n">
        <v>1411709</v>
      </c>
      <c r="L932" s="9" t="n">
        <v>2547</v>
      </c>
      <c r="M932" s="11" t="s">
        <v>52</v>
      </c>
      <c r="N932" s="11" t="s">
        <v>37</v>
      </c>
      <c r="P932" s="9" t="n">
        <v>113</v>
      </c>
      <c r="Q932" s="11" t="s">
        <v>46</v>
      </c>
      <c r="R932" s="11" t="s">
        <v>47</v>
      </c>
      <c r="S932" s="9" t="n">
        <v>1130101</v>
      </c>
      <c r="T932" s="11" t="s">
        <v>48</v>
      </c>
      <c r="U932" s="12" t="n">
        <v>1392.72</v>
      </c>
      <c r="W932" s="12" t="n">
        <v>0</v>
      </c>
      <c r="X932" s="11" t="s">
        <v>252</v>
      </c>
      <c r="Z932" s="0" t="str">
        <f aca="false">IF($T932="","",IFERROR(INDEX('Resumo Grupos'!$AC$3:$AC$200,MATCH($T932,'Resumo Grupos'!$AB$3:$AB$200,0)),"n/d"))</f>
        <v>Mercadoria</v>
      </c>
      <c r="AA932" s="0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9" t="n">
        <v>2</v>
      </c>
      <c r="B933" s="10" t="n">
        <v>46195</v>
      </c>
      <c r="C933" s="10" t="n">
        <v>46220</v>
      </c>
      <c r="D933" s="9" t="n">
        <v>1107</v>
      </c>
      <c r="E933" s="11" t="s">
        <v>254</v>
      </c>
      <c r="F933" s="9" t="n">
        <v>24</v>
      </c>
      <c r="G933" s="11" t="s">
        <v>51</v>
      </c>
      <c r="H933" s="9" t="n">
        <v>2110101</v>
      </c>
      <c r="I933" s="11" t="s">
        <v>43</v>
      </c>
      <c r="J933" s="9" t="n">
        <v>1289284</v>
      </c>
      <c r="L933" s="9" t="n">
        <v>419092</v>
      </c>
      <c r="M933" s="11" t="s">
        <v>67</v>
      </c>
      <c r="N933" s="11" t="s">
        <v>37</v>
      </c>
      <c r="P933" s="9" t="n">
        <v>113</v>
      </c>
      <c r="Q933" s="11" t="s">
        <v>46</v>
      </c>
      <c r="R933" s="11" t="s">
        <v>47</v>
      </c>
      <c r="S933" s="9" t="n">
        <v>1130101</v>
      </c>
      <c r="T933" s="11" t="s">
        <v>48</v>
      </c>
      <c r="U933" s="12" t="n">
        <v>620</v>
      </c>
      <c r="W933" s="12" t="n">
        <v>0</v>
      </c>
      <c r="X933" s="11" t="s">
        <v>756</v>
      </c>
      <c r="Z933" s="0" t="str">
        <f aca="false">IF($T933="","",IFERROR(INDEX('Resumo Grupos'!$AC$3:$AC$200,MATCH($T933,'Resumo Grupos'!$AB$3:$AB$200,0)),"n/d"))</f>
        <v>Mercadoria</v>
      </c>
      <c r="AA933" s="0" t="str">
        <f aca="false">IF($T933="","",IF(COUNTIF('Resumo Grupos'!$AE$3:$AE$40,$T933)&gt;0,"NAO","SIM"))</f>
        <v>SIM</v>
      </c>
      <c r="AB933" s="0" t="str">
        <f aca="false">IFERROR(INDEX('Mov Entradas (Rel 10497)'!$L:$L,MATCH(AC933,'Mov Entradas (Rel 10497)'!$I:$I,0)),"nao encontrado")</f>
        <v>BOLINHO MORANGO 7308</v>
      </c>
      <c r="AC933" s="0" t="n">
        <v>419092</v>
      </c>
    </row>
    <row r="934" customFormat="false" ht="12.75" hidden="false" customHeight="true" outlineLevel="0" collapsed="false">
      <c r="A934" s="9" t="n">
        <v>2</v>
      </c>
      <c r="B934" s="10" t="n">
        <v>46216</v>
      </c>
      <c r="C934" s="10" t="n">
        <v>46220</v>
      </c>
      <c r="D934" s="9" t="n">
        <v>1899</v>
      </c>
      <c r="E934" s="11" t="s">
        <v>204</v>
      </c>
      <c r="F934" s="9" t="n">
        <v>24</v>
      </c>
      <c r="G934" s="11" t="s">
        <v>51</v>
      </c>
      <c r="H934" s="9" t="n">
        <v>2110101</v>
      </c>
      <c r="I934" s="11" t="s">
        <v>43</v>
      </c>
      <c r="J934" s="9" t="n">
        <v>1393812</v>
      </c>
      <c r="L934" s="9" t="n">
        <v>711</v>
      </c>
      <c r="M934" s="11" t="s">
        <v>52</v>
      </c>
      <c r="N934" s="11" t="s">
        <v>37</v>
      </c>
      <c r="P934" s="9" t="n">
        <v>113</v>
      </c>
      <c r="Q934" s="11" t="s">
        <v>46</v>
      </c>
      <c r="R934" s="11" t="s">
        <v>47</v>
      </c>
      <c r="S934" s="9" t="n">
        <v>1130101</v>
      </c>
      <c r="T934" s="11" t="s">
        <v>48</v>
      </c>
      <c r="U934" s="12" t="n">
        <v>135</v>
      </c>
      <c r="W934" s="12" t="n">
        <v>0</v>
      </c>
      <c r="X934" s="11" t="s">
        <v>928</v>
      </c>
      <c r="Z934" s="0" t="str">
        <f aca="false">IF($T934="","",IFERROR(INDEX('Resumo Grupos'!$AC$3:$AC$200,MATCH($T934,'Resumo Grupos'!$AB$3:$AB$200,0)),"n/d"))</f>
        <v>Mercadoria</v>
      </c>
      <c r="AA934" s="0" t="str">
        <f aca="false">IF($T934="","",IF(COUNTIF('Resumo Grupos'!$AE$3:$AE$40,$T934)&gt;0,"NAO","SIM"))</f>
        <v>SIM</v>
      </c>
      <c r="AB934" s="0" t="str">
        <f aca="false">IFERROR(INDEX('Mov Entradas (Rel 10497)'!$L:$L,MATCH(AC934,'Mov Entradas (Rel 10497)'!$I:$I,0)),"nao encontrado")</f>
        <v>MASSA FINA</v>
      </c>
      <c r="AC934" s="0" t="n">
        <v>711</v>
      </c>
    </row>
    <row r="935" customFormat="false" ht="12.75" hidden="false" customHeight="true" outlineLevel="0" collapsed="false">
      <c r="A935" s="9" t="n">
        <v>2</v>
      </c>
      <c r="B935" s="10" t="n">
        <v>46220</v>
      </c>
      <c r="C935" s="10" t="n">
        <v>46220</v>
      </c>
      <c r="D935" s="9" t="n">
        <v>0</v>
      </c>
      <c r="E935" s="11" t="s">
        <v>109</v>
      </c>
      <c r="F935" s="9" t="n">
        <v>17</v>
      </c>
      <c r="G935" s="11" t="s">
        <v>110</v>
      </c>
      <c r="H935" s="9" t="n">
        <v>1110101</v>
      </c>
      <c r="I935" s="11" t="s">
        <v>111</v>
      </c>
      <c r="J935" s="9" t="n">
        <v>1435425</v>
      </c>
      <c r="L935" s="9" t="n">
        <v>1435425</v>
      </c>
      <c r="M935" s="11" t="s">
        <v>52</v>
      </c>
      <c r="N935" s="11" t="s">
        <v>112</v>
      </c>
      <c r="P935" s="9" t="n">
        <v>113</v>
      </c>
      <c r="Q935" s="11" t="s">
        <v>46</v>
      </c>
      <c r="R935" s="11" t="s">
        <v>116</v>
      </c>
      <c r="S935" s="9" t="n">
        <v>1110203</v>
      </c>
      <c r="T935" s="11" t="s">
        <v>117</v>
      </c>
      <c r="U935" s="12" t="n">
        <v>140</v>
      </c>
      <c r="W935" s="12" t="n">
        <v>140</v>
      </c>
      <c r="X935" s="11" t="s">
        <v>929</v>
      </c>
      <c r="Z935" s="0" t="str">
        <f aca="false">IF($T935="","",IFERROR(INDEX('Resumo Grupos'!$AC$3:$AC$200,MATCH($T935,'Resumo Grupos'!$AB$3:$AB$200,0)),"n/d"))</f>
        <v>Despesa</v>
      </c>
      <c r="AA935" s="0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9" t="n">
        <v>2</v>
      </c>
      <c r="B936" s="10" t="n">
        <v>46220</v>
      </c>
      <c r="C936" s="10" t="n">
        <v>46220</v>
      </c>
      <c r="D936" s="9" t="n">
        <v>0</v>
      </c>
      <c r="E936" s="11" t="s">
        <v>109</v>
      </c>
      <c r="F936" s="9" t="n">
        <v>17</v>
      </c>
      <c r="G936" s="11" t="s">
        <v>110</v>
      </c>
      <c r="H936" s="9" t="n">
        <v>1110101</v>
      </c>
      <c r="I936" s="11" t="s">
        <v>111</v>
      </c>
      <c r="J936" s="9" t="n">
        <v>1435429</v>
      </c>
      <c r="L936" s="9" t="n">
        <v>1435429</v>
      </c>
      <c r="M936" s="11" t="s">
        <v>52</v>
      </c>
      <c r="N936" s="11" t="s">
        <v>112</v>
      </c>
      <c r="P936" s="9" t="n">
        <v>113</v>
      </c>
      <c r="Q936" s="11" t="s">
        <v>46</v>
      </c>
      <c r="R936" s="11" t="s">
        <v>259</v>
      </c>
      <c r="S936" s="9" t="n">
        <v>2110101</v>
      </c>
      <c r="T936" s="11" t="s">
        <v>43</v>
      </c>
      <c r="U936" s="12" t="n">
        <v>280</v>
      </c>
      <c r="W936" s="12" t="n">
        <v>280</v>
      </c>
      <c r="X936" s="11" t="s">
        <v>930</v>
      </c>
      <c r="Z936" s="0" t="str">
        <f aca="false">IF($T936="","",IFERROR(INDEX('Resumo Grupos'!$AC$3:$AC$200,MATCH($T936,'Resumo Grupos'!$AB$3:$AB$200,0)),"n/d"))</f>
        <v>Despesa</v>
      </c>
      <c r="AA936" s="0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9" t="n">
        <v>2</v>
      </c>
      <c r="B937" s="10" t="n">
        <v>46220</v>
      </c>
      <c r="C937" s="10" t="n">
        <v>46220</v>
      </c>
      <c r="D937" s="9" t="n">
        <v>0</v>
      </c>
      <c r="E937" s="11" t="s">
        <v>109</v>
      </c>
      <c r="F937" s="9" t="n">
        <v>17</v>
      </c>
      <c r="G937" s="11" t="s">
        <v>110</v>
      </c>
      <c r="H937" s="9" t="n">
        <v>1110101</v>
      </c>
      <c r="I937" s="11" t="s">
        <v>111</v>
      </c>
      <c r="J937" s="9" t="n">
        <v>1435431</v>
      </c>
      <c r="L937" s="9" t="n">
        <v>1435431</v>
      </c>
      <c r="M937" s="11" t="s">
        <v>52</v>
      </c>
      <c r="N937" s="11" t="s">
        <v>112</v>
      </c>
      <c r="P937" s="9" t="n">
        <v>113</v>
      </c>
      <c r="Q937" s="11" t="s">
        <v>46</v>
      </c>
      <c r="R937" s="11" t="s">
        <v>39</v>
      </c>
      <c r="S937" s="9" t="n">
        <v>4210227</v>
      </c>
      <c r="T937" s="11" t="s">
        <v>68</v>
      </c>
      <c r="U937" s="12" t="n">
        <v>11</v>
      </c>
      <c r="W937" s="12" t="n">
        <v>11</v>
      </c>
      <c r="X937" s="11" t="s">
        <v>931</v>
      </c>
      <c r="Z937" s="0" t="str">
        <f aca="false">IF($T937="","",IFERROR(INDEX('Resumo Grupos'!$AC$3:$AC$200,MATCH($T937,'Resumo Grupos'!$AB$3:$AB$200,0)),"n/d"))</f>
        <v>Despesa</v>
      </c>
      <c r="AA937" s="0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9" t="n">
        <v>2</v>
      </c>
      <c r="B938" s="10" t="n">
        <v>46220</v>
      </c>
      <c r="C938" s="10" t="n">
        <v>46220</v>
      </c>
      <c r="D938" s="9" t="n">
        <v>0</v>
      </c>
      <c r="E938" s="11" t="s">
        <v>109</v>
      </c>
      <c r="F938" s="9" t="n">
        <v>17</v>
      </c>
      <c r="G938" s="11" t="s">
        <v>110</v>
      </c>
      <c r="H938" s="9" t="n">
        <v>1110101</v>
      </c>
      <c r="I938" s="11" t="s">
        <v>111</v>
      </c>
      <c r="J938" s="9" t="n">
        <v>1435433</v>
      </c>
      <c r="L938" s="9" t="n">
        <v>1435433</v>
      </c>
      <c r="M938" s="11" t="s">
        <v>52</v>
      </c>
      <c r="N938" s="11" t="s">
        <v>112</v>
      </c>
      <c r="P938" s="9" t="n">
        <v>113</v>
      </c>
      <c r="Q938" s="11" t="s">
        <v>46</v>
      </c>
      <c r="R938" s="11" t="s">
        <v>71</v>
      </c>
      <c r="S938" s="9" t="n">
        <v>4210314</v>
      </c>
      <c r="T938" s="11" t="s">
        <v>113</v>
      </c>
      <c r="U938" s="12" t="n">
        <v>50</v>
      </c>
      <c r="W938" s="12" t="n">
        <v>50</v>
      </c>
      <c r="X938" s="11" t="s">
        <v>368</v>
      </c>
      <c r="Z938" s="0" t="str">
        <f aca="false">IF($T938="","",IFERROR(INDEX('Resumo Grupos'!$AC$3:$AC$200,MATCH($T938,'Resumo Grupos'!$AB$3:$AB$200,0)),"n/d"))</f>
        <v>Despesa</v>
      </c>
      <c r="AA938" s="0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9" t="n">
        <v>2</v>
      </c>
      <c r="B939" s="10" t="n">
        <v>46220</v>
      </c>
      <c r="C939" s="10" t="n">
        <v>46220</v>
      </c>
      <c r="D939" s="9" t="n">
        <v>0</v>
      </c>
      <c r="E939" s="11" t="s">
        <v>109</v>
      </c>
      <c r="F939" s="9" t="n">
        <v>17</v>
      </c>
      <c r="G939" s="11" t="s">
        <v>110</v>
      </c>
      <c r="H939" s="9" t="n">
        <v>1110101</v>
      </c>
      <c r="I939" s="11" t="s">
        <v>111</v>
      </c>
      <c r="J939" s="9" t="n">
        <v>1469109</v>
      </c>
      <c r="L939" s="9" t="n">
        <v>1469109</v>
      </c>
      <c r="M939" s="11" t="s">
        <v>52</v>
      </c>
      <c r="N939" s="11" t="s">
        <v>112</v>
      </c>
      <c r="P939" s="9" t="n">
        <v>113</v>
      </c>
      <c r="Q939" s="11" t="s">
        <v>46</v>
      </c>
      <c r="R939" s="11" t="s">
        <v>116</v>
      </c>
      <c r="S939" s="9" t="n">
        <v>1110203</v>
      </c>
      <c r="T939" s="11" t="s">
        <v>117</v>
      </c>
      <c r="U939" s="12" t="n">
        <v>2350</v>
      </c>
      <c r="W939" s="12" t="n">
        <v>2350</v>
      </c>
      <c r="X939" s="11" t="s">
        <v>932</v>
      </c>
      <c r="Z939" s="0" t="str">
        <f aca="false">IF($T939="","",IFERROR(INDEX('Resumo Grupos'!$AC$3:$AC$200,MATCH($T939,'Resumo Grupos'!$AB$3:$AB$200,0)),"n/d"))</f>
        <v>Despesa</v>
      </c>
      <c r="AA939" s="0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9" t="n">
        <v>2</v>
      </c>
      <c r="B940" s="10" t="n">
        <v>46200</v>
      </c>
      <c r="C940" s="10" t="n">
        <v>46220</v>
      </c>
      <c r="D940" s="9" t="n">
        <v>1666</v>
      </c>
      <c r="E940" s="11" t="s">
        <v>266</v>
      </c>
      <c r="F940" s="9" t="n">
        <v>24</v>
      </c>
      <c r="G940" s="11" t="s">
        <v>51</v>
      </c>
      <c r="H940" s="9" t="n">
        <v>2110101</v>
      </c>
      <c r="I940" s="11" t="s">
        <v>43</v>
      </c>
      <c r="J940" s="9" t="n">
        <v>1312652</v>
      </c>
      <c r="L940" s="9" t="n">
        <v>175253</v>
      </c>
      <c r="M940" s="11" t="s">
        <v>52</v>
      </c>
      <c r="N940" s="11" t="s">
        <v>45</v>
      </c>
      <c r="P940" s="9" t="n">
        <v>113</v>
      </c>
      <c r="Q940" s="11" t="s">
        <v>46</v>
      </c>
      <c r="R940" s="11" t="s">
        <v>47</v>
      </c>
      <c r="S940" s="9" t="n">
        <v>1130101</v>
      </c>
      <c r="T940" s="11" t="s">
        <v>48</v>
      </c>
      <c r="U940" s="12" t="n">
        <v>5791.7</v>
      </c>
      <c r="W940" s="12" t="n">
        <v>0</v>
      </c>
      <c r="X940" s="11" t="s">
        <v>763</v>
      </c>
      <c r="Z940" s="0" t="str">
        <f aca="false">IF($T940="","",IFERROR(INDEX('Resumo Grupos'!$AC$3:$AC$200,MATCH($T940,'Resumo Grupos'!$AB$3:$AB$200,0)),"n/d"))</f>
        <v>Mercadoria</v>
      </c>
      <c r="AA940" s="0" t="str">
        <f aca="false">IF($T940="","",IF(COUNTIF('Resumo Grupos'!$AE$3:$AE$40,$T940)&gt;0,"NAO","SIM"))</f>
        <v>SIM</v>
      </c>
      <c r="AB940" s="0" t="str">
        <f aca="false">IFERROR(INDEX('Mov Entradas (Rel 10497)'!$L:$L,MATCH(AC940,'Mov Entradas (Rel 10497)'!$I:$I,0)),"nao encontrado")</f>
        <v>DUNHILL CARLTON BLEN</v>
      </c>
      <c r="AC940" s="0" t="n">
        <v>564993</v>
      </c>
    </row>
    <row r="941" customFormat="false" ht="12.75" hidden="false" customHeight="true" outlineLevel="0" collapsed="false">
      <c r="A941" s="9" t="n">
        <v>2</v>
      </c>
      <c r="B941" s="10" t="n">
        <v>46214</v>
      </c>
      <c r="C941" s="10" t="n">
        <v>46220</v>
      </c>
      <c r="D941" s="9" t="n">
        <v>1666</v>
      </c>
      <c r="E941" s="11" t="s">
        <v>266</v>
      </c>
      <c r="F941" s="9" t="n">
        <v>24</v>
      </c>
      <c r="G941" s="11" t="s">
        <v>51</v>
      </c>
      <c r="H941" s="9" t="n">
        <v>2110101</v>
      </c>
      <c r="I941" s="11" t="s">
        <v>43</v>
      </c>
      <c r="J941" s="9" t="n">
        <v>1381638</v>
      </c>
      <c r="L941" s="9" t="n">
        <v>566541</v>
      </c>
      <c r="M941" s="11" t="s">
        <v>52</v>
      </c>
      <c r="N941" s="11" t="s">
        <v>37</v>
      </c>
      <c r="P941" s="9" t="n">
        <v>113</v>
      </c>
      <c r="Q941" s="11" t="s">
        <v>46</v>
      </c>
      <c r="R941" s="11" t="s">
        <v>47</v>
      </c>
      <c r="S941" s="9" t="n">
        <v>1130101</v>
      </c>
      <c r="T941" s="11" t="s">
        <v>48</v>
      </c>
      <c r="U941" s="12" t="n">
        <v>4572.86</v>
      </c>
      <c r="W941" s="12" t="n">
        <v>0</v>
      </c>
      <c r="X941" s="11" t="s">
        <v>933</v>
      </c>
      <c r="Z941" s="0" t="str">
        <f aca="false">IF($T941="","",IFERROR(INDEX('Resumo Grupos'!$AC$3:$AC$200,MATCH($T941,'Resumo Grupos'!$AB$3:$AB$200,0)),"n/d"))</f>
        <v>Mercadoria</v>
      </c>
      <c r="AA941" s="0" t="str">
        <f aca="false">IF($T941="","",IF(COUNTIF('Resumo Grupos'!$AE$3:$AE$40,$T941)&gt;0,"NAO","SIM"))</f>
        <v>SIM</v>
      </c>
      <c r="AB941" s="0" t="str">
        <f aca="false">IFERROR(INDEX('Mov Entradas (Rel 10497)'!$L:$L,MATCH(AC941,'Mov Entradas (Rel 10497)'!$I:$I,0)),"nao encontrado")</f>
        <v>ISQUEIRO BIC G</v>
      </c>
      <c r="AC941" s="0" t="n">
        <v>566541</v>
      </c>
    </row>
    <row r="942" customFormat="false" ht="12.75" hidden="false" customHeight="true" outlineLevel="0" collapsed="false">
      <c r="A942" s="9" t="n">
        <v>2</v>
      </c>
      <c r="B942" s="10" t="n">
        <v>46191</v>
      </c>
      <c r="C942" s="10" t="n">
        <v>46221</v>
      </c>
      <c r="D942" s="9" t="n">
        <v>10037</v>
      </c>
      <c r="E942" s="11" t="s">
        <v>337</v>
      </c>
      <c r="F942" s="9" t="n">
        <v>24</v>
      </c>
      <c r="G942" s="11" t="s">
        <v>51</v>
      </c>
      <c r="H942" s="9" t="n">
        <v>2110101</v>
      </c>
      <c r="I942" s="11" t="s">
        <v>43</v>
      </c>
      <c r="J942" s="9" t="n">
        <v>1269763</v>
      </c>
      <c r="L942" s="9" t="n">
        <v>2495</v>
      </c>
      <c r="M942" s="11" t="s">
        <v>52</v>
      </c>
      <c r="N942" s="11" t="s">
        <v>37</v>
      </c>
      <c r="P942" s="9" t="n">
        <v>113</v>
      </c>
      <c r="Q942" s="11" t="s">
        <v>46</v>
      </c>
      <c r="R942" s="11" t="s">
        <v>47</v>
      </c>
      <c r="S942" s="9" t="n">
        <v>1130101</v>
      </c>
      <c r="T942" s="11" t="s">
        <v>48</v>
      </c>
      <c r="U942" s="12" t="n">
        <v>660</v>
      </c>
      <c r="W942" s="12" t="n">
        <v>0</v>
      </c>
      <c r="X942" s="11" t="s">
        <v>934</v>
      </c>
      <c r="Z942" s="0" t="str">
        <f aca="false">IF($T942="","",IFERROR(INDEX('Resumo Grupos'!$AC$3:$AC$200,MATCH($T942,'Resumo Grupos'!$AB$3:$AB$200,0)),"n/d"))</f>
        <v>Mercadoria</v>
      </c>
      <c r="AA942" s="0" t="str">
        <f aca="false">IF($T942="","",IF(COUNTIF('Resumo Grupos'!$AE$3:$AE$40,$T942)&gt;0,"NAO","SIM"))</f>
        <v>SIM</v>
      </c>
      <c r="AB942" s="0" t="str">
        <f aca="false">IFERROR(INDEX('Mov Entradas (Rel 10497)'!$L:$L,MATCH(AC942,'Mov Entradas (Rel 10497)'!$I:$I,0)),"nao encontrado")</f>
        <v>CENOURA KG</v>
      </c>
      <c r="AC942" s="0" t="n">
        <v>2495</v>
      </c>
    </row>
    <row r="943" customFormat="false" ht="12.75" hidden="false" customHeight="true" outlineLevel="0" collapsed="false">
      <c r="A943" s="9" t="n">
        <v>2</v>
      </c>
      <c r="B943" s="10" t="n">
        <v>46189</v>
      </c>
      <c r="C943" s="10" t="n">
        <v>46221</v>
      </c>
      <c r="D943" s="9" t="n">
        <v>957</v>
      </c>
      <c r="E943" s="11" t="s">
        <v>628</v>
      </c>
      <c r="F943" s="9" t="n">
        <v>24</v>
      </c>
      <c r="G943" s="11" t="s">
        <v>51</v>
      </c>
      <c r="H943" s="9" t="n">
        <v>2110101</v>
      </c>
      <c r="I943" s="11" t="s">
        <v>43</v>
      </c>
      <c r="J943" s="9" t="n">
        <v>1261052</v>
      </c>
      <c r="L943" s="9" t="n">
        <v>20499</v>
      </c>
      <c r="M943" s="11" t="s">
        <v>67</v>
      </c>
      <c r="N943" s="11" t="s">
        <v>37</v>
      </c>
      <c r="P943" s="9" t="n">
        <v>113</v>
      </c>
      <c r="Q943" s="11" t="s">
        <v>46</v>
      </c>
      <c r="R943" s="11" t="s">
        <v>47</v>
      </c>
      <c r="S943" s="9" t="n">
        <v>1130101</v>
      </c>
      <c r="T943" s="11" t="s">
        <v>48</v>
      </c>
      <c r="U943" s="12" t="n">
        <v>1589.28</v>
      </c>
      <c r="W943" s="12" t="n">
        <v>0</v>
      </c>
      <c r="X943" s="11" t="s">
        <v>629</v>
      </c>
      <c r="Z943" s="0" t="str">
        <f aca="false">IF($T943="","",IFERROR(INDEX('Resumo Grupos'!$AC$3:$AC$200,MATCH($T943,'Resumo Grupos'!$AB$3:$AB$200,0)),"n/d"))</f>
        <v>Mercadoria</v>
      </c>
      <c r="AA943" s="0" t="str">
        <f aca="false">IF($T943="","",IF(COUNTIF('Resumo Grupos'!$AE$3:$AE$40,$T943)&gt;0,"NAO","SIM"))</f>
        <v>SIM</v>
      </c>
      <c r="AB943" s="0" t="str">
        <f aca="false">IFERROR(INDEX('Mov Entradas (Rel 10497)'!$L:$L,MATCH(AC943,'Mov Entradas (Rel 10497)'!$I:$I,0)),"nao encontrado")</f>
        <v>PEDIGREE SACHE FILHO</v>
      </c>
      <c r="AC943" s="0" t="n">
        <v>20499</v>
      </c>
    </row>
    <row r="944" customFormat="false" ht="12.75" hidden="false" customHeight="true" outlineLevel="0" collapsed="false">
      <c r="A944" s="9" t="n">
        <v>2</v>
      </c>
      <c r="B944" s="10" t="n">
        <v>46221</v>
      </c>
      <c r="C944" s="10" t="n">
        <v>46221</v>
      </c>
      <c r="D944" s="9" t="n">
        <v>10096</v>
      </c>
      <c r="E944" s="11" t="s">
        <v>622</v>
      </c>
      <c r="F944" s="9" t="n">
        <v>13</v>
      </c>
      <c r="G944" s="11" t="s">
        <v>135</v>
      </c>
      <c r="H944" s="9" t="n">
        <v>1110203</v>
      </c>
      <c r="I944" s="11" t="s">
        <v>117</v>
      </c>
      <c r="J944" s="9" t="n">
        <v>1428755</v>
      </c>
      <c r="L944" s="9" t="n">
        <v>191353</v>
      </c>
      <c r="M944" s="11" t="s">
        <v>52</v>
      </c>
      <c r="N944" s="11" t="s">
        <v>45</v>
      </c>
      <c r="P944" s="9" t="n">
        <v>113</v>
      </c>
      <c r="Q944" s="11" t="s">
        <v>46</v>
      </c>
      <c r="R944" s="11" t="s">
        <v>47</v>
      </c>
      <c r="S944" s="9" t="n">
        <v>1130101</v>
      </c>
      <c r="T944" s="11" t="s">
        <v>48</v>
      </c>
      <c r="U944" s="12" t="n">
        <v>120</v>
      </c>
      <c r="W944" s="12" t="n">
        <v>120</v>
      </c>
      <c r="X944" s="11" t="s">
        <v>935</v>
      </c>
      <c r="Z944" s="0" t="str">
        <f aca="false">IF($T944="","",IFERROR(INDEX('Resumo Grupos'!$AC$3:$AC$200,MATCH($T944,'Resumo Grupos'!$AB$3:$AB$200,0)),"n/d"))</f>
        <v>Mercadoria</v>
      </c>
      <c r="AA944" s="0" t="str">
        <f aca="false">IF($T944="","",IF(COUNTIF('Resumo Grupos'!$AE$3:$AE$40,$T944)&gt;0,"NAO","SIM"))</f>
        <v>SIM</v>
      </c>
      <c r="AB944" s="0" t="str">
        <f aca="false">IFERROR(INDEX('Mov Entradas (Rel 10497)'!$L:$L,MATCH(AC944,'Mov Entradas (Rel 10497)'!$I:$I,0)),"nao encontrado")</f>
        <v>BOLO MIYAZAKI GRANDE</v>
      </c>
      <c r="AC944" s="0" t="n">
        <v>35</v>
      </c>
    </row>
    <row r="945" customFormat="false" ht="12.75" hidden="false" customHeight="true" outlineLevel="0" collapsed="false">
      <c r="A945" s="9" t="n">
        <v>2</v>
      </c>
      <c r="B945" s="10" t="n">
        <v>46217</v>
      </c>
      <c r="C945" s="10" t="n">
        <v>46221</v>
      </c>
      <c r="D945" s="9" t="n">
        <v>1625</v>
      </c>
      <c r="E945" s="11" t="s">
        <v>270</v>
      </c>
      <c r="F945" s="9" t="n">
        <v>24</v>
      </c>
      <c r="G945" s="11" t="s">
        <v>51</v>
      </c>
      <c r="H945" s="9" t="n">
        <v>2110101</v>
      </c>
      <c r="I945" s="11" t="s">
        <v>43</v>
      </c>
      <c r="J945" s="9" t="n">
        <v>1397011</v>
      </c>
      <c r="L945" s="9" t="n">
        <v>14685</v>
      </c>
      <c r="M945" s="11" t="s">
        <v>52</v>
      </c>
      <c r="N945" s="11" t="s">
        <v>37</v>
      </c>
      <c r="P945" s="9" t="n">
        <v>113</v>
      </c>
      <c r="Q945" s="11" t="s">
        <v>46</v>
      </c>
      <c r="R945" s="11" t="s">
        <v>47</v>
      </c>
      <c r="S945" s="9" t="n">
        <v>1130101</v>
      </c>
      <c r="T945" s="11" t="s">
        <v>48</v>
      </c>
      <c r="U945" s="12" t="n">
        <v>4043.8</v>
      </c>
      <c r="W945" s="12" t="n">
        <v>0</v>
      </c>
      <c r="X945" s="11" t="s">
        <v>936</v>
      </c>
      <c r="Z945" s="0" t="str">
        <f aca="false">IF($T945="","",IFERROR(INDEX('Resumo Grupos'!$AC$3:$AC$200,MATCH($T945,'Resumo Grupos'!$AB$3:$AB$200,0)),"n/d"))</f>
        <v>Mercadoria</v>
      </c>
      <c r="AA945" s="0" t="str">
        <f aca="false">IF($T945="","",IF(COUNTIF('Resumo Grupos'!$AE$3:$AE$40,$T945)&gt;0,"NAO","SIM"))</f>
        <v>SIM</v>
      </c>
      <c r="AB945" s="0" t="str">
        <f aca="false">IFERROR(INDEX('Mov Entradas (Rel 10497)'!$L:$L,MATCH(AC945,'Mov Entradas (Rel 10497)'!$I:$I,0)),"nao encontrado")</f>
        <v>TRASEIRO DE BOI L1</v>
      </c>
      <c r="AC945" s="0" t="n">
        <v>14685</v>
      </c>
    </row>
    <row r="946" customFormat="false" ht="12.75" hidden="false" customHeight="true" outlineLevel="0" collapsed="false">
      <c r="A946" s="9" t="n">
        <v>2</v>
      </c>
      <c r="B946" s="10" t="n">
        <v>46206</v>
      </c>
      <c r="C946" s="10" t="n">
        <v>46221</v>
      </c>
      <c r="D946" s="9" t="n">
        <v>33</v>
      </c>
      <c r="E946" s="11" t="s">
        <v>313</v>
      </c>
      <c r="F946" s="9" t="n">
        <v>34</v>
      </c>
      <c r="G946" s="11" t="s">
        <v>55</v>
      </c>
      <c r="H946" s="9" t="n">
        <v>2110405</v>
      </c>
      <c r="I946" s="11" t="s">
        <v>56</v>
      </c>
      <c r="J946" s="9" t="n">
        <v>1345312</v>
      </c>
      <c r="L946" s="9" t="n">
        <v>180690</v>
      </c>
      <c r="M946" s="11" t="s">
        <v>52</v>
      </c>
      <c r="N946" s="11" t="s">
        <v>45</v>
      </c>
      <c r="P946" s="9" t="n">
        <v>101</v>
      </c>
      <c r="Q946" s="11" t="s">
        <v>57</v>
      </c>
      <c r="R946" s="11" t="s">
        <v>39</v>
      </c>
      <c r="S946" s="9" t="n">
        <v>4210203</v>
      </c>
      <c r="T946" s="11" t="s">
        <v>757</v>
      </c>
      <c r="U946" s="12" t="n">
        <v>247.27</v>
      </c>
      <c r="W946" s="12" t="n">
        <v>0</v>
      </c>
      <c r="X946" s="11" t="s">
        <v>937</v>
      </c>
      <c r="Z946" s="0" t="str">
        <f aca="false">IF($T946="","",IFERROR(INDEX('Resumo Grupos'!$AC$3:$AC$200,MATCH($T946,'Resumo Grupos'!$AB$3:$AB$200,0)),"n/d"))</f>
        <v>Despesa</v>
      </c>
      <c r="AA946" s="0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9" t="n">
        <v>2</v>
      </c>
      <c r="B947" s="10" t="n">
        <v>46221</v>
      </c>
      <c r="C947" s="10" t="n">
        <v>46221</v>
      </c>
      <c r="D947" s="9" t="n">
        <v>0</v>
      </c>
      <c r="E947" s="11" t="s">
        <v>109</v>
      </c>
      <c r="F947" s="9" t="n">
        <v>17</v>
      </c>
      <c r="G947" s="11" t="s">
        <v>110</v>
      </c>
      <c r="H947" s="9" t="n">
        <v>1110101</v>
      </c>
      <c r="I947" s="11" t="s">
        <v>111</v>
      </c>
      <c r="J947" s="9" t="n">
        <v>1435521</v>
      </c>
      <c r="L947" s="9" t="n">
        <v>1435521</v>
      </c>
      <c r="M947" s="11" t="s">
        <v>52</v>
      </c>
      <c r="N947" s="11" t="s">
        <v>112</v>
      </c>
      <c r="P947" s="9" t="n">
        <v>113</v>
      </c>
      <c r="Q947" s="11" t="s">
        <v>46</v>
      </c>
      <c r="R947" s="11" t="s">
        <v>116</v>
      </c>
      <c r="S947" s="9" t="n">
        <v>1110203</v>
      </c>
      <c r="T947" s="11" t="s">
        <v>117</v>
      </c>
      <c r="U947" s="12" t="n">
        <v>120</v>
      </c>
      <c r="W947" s="12" t="n">
        <v>120</v>
      </c>
      <c r="X947" s="11" t="s">
        <v>938</v>
      </c>
      <c r="Z947" s="0" t="str">
        <f aca="false">IF($T947="","",IFERROR(INDEX('Resumo Grupos'!$AC$3:$AC$200,MATCH($T947,'Resumo Grupos'!$AB$3:$AB$200,0)),"n/d"))</f>
        <v>Despesa</v>
      </c>
      <c r="AA947" s="0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9" t="n">
        <v>2</v>
      </c>
      <c r="B948" s="10" t="n">
        <v>46221</v>
      </c>
      <c r="C948" s="10" t="n">
        <v>46221</v>
      </c>
      <c r="D948" s="9" t="n">
        <v>0</v>
      </c>
      <c r="E948" s="11" t="s">
        <v>109</v>
      </c>
      <c r="F948" s="9" t="n">
        <v>17</v>
      </c>
      <c r="G948" s="11" t="s">
        <v>110</v>
      </c>
      <c r="H948" s="9" t="n">
        <v>1110101</v>
      </c>
      <c r="I948" s="11" t="s">
        <v>111</v>
      </c>
      <c r="J948" s="9" t="n">
        <v>1435532</v>
      </c>
      <c r="L948" s="9" t="n">
        <v>1435532</v>
      </c>
      <c r="M948" s="11" t="s">
        <v>52</v>
      </c>
      <c r="N948" s="11" t="s">
        <v>112</v>
      </c>
      <c r="P948" s="9" t="n">
        <v>113</v>
      </c>
      <c r="Q948" s="11" t="s">
        <v>46</v>
      </c>
      <c r="R948" s="11" t="s">
        <v>71</v>
      </c>
      <c r="S948" s="9" t="n">
        <v>4210314</v>
      </c>
      <c r="T948" s="11" t="s">
        <v>113</v>
      </c>
      <c r="U948" s="12" t="n">
        <v>50</v>
      </c>
      <c r="W948" s="12" t="n">
        <v>50</v>
      </c>
      <c r="X948" s="11" t="s">
        <v>368</v>
      </c>
      <c r="Z948" s="0" t="str">
        <f aca="false">IF($T948="","",IFERROR(INDEX('Resumo Grupos'!$AC$3:$AC$200,MATCH($T948,'Resumo Grupos'!$AB$3:$AB$200,0)),"n/d"))</f>
        <v>Despesa</v>
      </c>
      <c r="AA948" s="0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9" t="n">
        <v>2</v>
      </c>
      <c r="B949" s="10" t="n">
        <v>46221</v>
      </c>
      <c r="C949" s="10" t="n">
        <v>46221</v>
      </c>
      <c r="D949" s="9" t="n">
        <v>0</v>
      </c>
      <c r="E949" s="11" t="s">
        <v>109</v>
      </c>
      <c r="F949" s="9" t="n">
        <v>17</v>
      </c>
      <c r="G949" s="11" t="s">
        <v>110</v>
      </c>
      <c r="H949" s="9" t="n">
        <v>1110101</v>
      </c>
      <c r="I949" s="11" t="s">
        <v>111</v>
      </c>
      <c r="J949" s="9" t="n">
        <v>1469112</v>
      </c>
      <c r="L949" s="9" t="n">
        <v>1469112</v>
      </c>
      <c r="M949" s="11" t="s">
        <v>52</v>
      </c>
      <c r="N949" s="11" t="s">
        <v>112</v>
      </c>
      <c r="P949" s="9" t="n">
        <v>113</v>
      </c>
      <c r="Q949" s="11" t="s">
        <v>46</v>
      </c>
      <c r="R949" s="11" t="s">
        <v>116</v>
      </c>
      <c r="S949" s="9" t="n">
        <v>1110203</v>
      </c>
      <c r="T949" s="11" t="s">
        <v>117</v>
      </c>
      <c r="U949" s="12" t="n">
        <v>3150</v>
      </c>
      <c r="W949" s="12" t="n">
        <v>3150</v>
      </c>
      <c r="X949" s="11" t="s">
        <v>939</v>
      </c>
      <c r="Z949" s="0" t="str">
        <f aca="false">IF($T949="","",IFERROR(INDEX('Resumo Grupos'!$AC$3:$AC$200,MATCH($T949,'Resumo Grupos'!$AB$3:$AB$200,0)),"n/d"))</f>
        <v>Despesa</v>
      </c>
      <c r="AA949" s="0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9" t="n">
        <v>2</v>
      </c>
      <c r="B950" s="10" t="n">
        <v>46217</v>
      </c>
      <c r="C950" s="10" t="n">
        <v>46222</v>
      </c>
      <c r="D950" s="9" t="n">
        <v>821</v>
      </c>
      <c r="E950" s="11" t="s">
        <v>394</v>
      </c>
      <c r="F950" s="9" t="n">
        <v>24</v>
      </c>
      <c r="G950" s="11" t="s">
        <v>51</v>
      </c>
      <c r="H950" s="9" t="n">
        <v>2110405</v>
      </c>
      <c r="I950" s="11" t="s">
        <v>56</v>
      </c>
      <c r="J950" s="9" t="n">
        <v>1398172</v>
      </c>
      <c r="L950" s="9" t="n">
        <v>188083</v>
      </c>
      <c r="M950" s="11" t="s">
        <v>52</v>
      </c>
      <c r="N950" s="11" t="s">
        <v>45</v>
      </c>
      <c r="P950" s="9" t="n">
        <v>113</v>
      </c>
      <c r="Q950" s="11" t="s">
        <v>46</v>
      </c>
      <c r="R950" s="11" t="s">
        <v>47</v>
      </c>
      <c r="S950" s="9" t="n">
        <v>1130101</v>
      </c>
      <c r="T950" s="11" t="s">
        <v>48</v>
      </c>
      <c r="U950" s="12" t="n">
        <v>277.6</v>
      </c>
      <c r="W950" s="12" t="n">
        <v>0</v>
      </c>
      <c r="X950" s="11" t="s">
        <v>940</v>
      </c>
      <c r="Z950" s="0" t="str">
        <f aca="false">IF($T950="","",IFERROR(INDEX('Resumo Grupos'!$AC$3:$AC$200,MATCH($T950,'Resumo Grupos'!$AB$3:$AB$200,0)),"n/d"))</f>
        <v>Mercadoria</v>
      </c>
      <c r="AA950" s="0" t="str">
        <f aca="false">IF($T950="","",IF(COUNTIF('Resumo Grupos'!$AE$3:$AE$40,$T950)&gt;0,"NAO","SIM"))</f>
        <v>SIM</v>
      </c>
      <c r="AB950" s="0" t="str">
        <f aca="false">IFERROR(INDEX('Mov Entradas (Rel 10497)'!$L:$L,MATCH(AC950,'Mov Entradas (Rel 10497)'!$I:$I,0)),"nao encontrado")</f>
        <v>CERV ITAIPAVA 250ML</v>
      </c>
      <c r="AC950" s="0" t="n">
        <v>473151</v>
      </c>
    </row>
    <row r="951" customFormat="false" ht="12.75" hidden="false" customHeight="true" outlineLevel="0" collapsed="false">
      <c r="A951" s="9" t="n">
        <v>2</v>
      </c>
      <c r="B951" s="10" t="n">
        <v>46197</v>
      </c>
      <c r="C951" s="10" t="n">
        <v>46222</v>
      </c>
      <c r="D951" s="9" t="n">
        <v>616</v>
      </c>
      <c r="E951" s="11" t="s">
        <v>941</v>
      </c>
      <c r="F951" s="9" t="n">
        <v>24</v>
      </c>
      <c r="G951" s="11" t="s">
        <v>51</v>
      </c>
      <c r="H951" s="9" t="n">
        <v>2110101</v>
      </c>
      <c r="I951" s="11" t="s">
        <v>43</v>
      </c>
      <c r="J951" s="9" t="n">
        <v>1299105</v>
      </c>
      <c r="L951" s="9" t="n">
        <v>316130</v>
      </c>
      <c r="M951" s="11" t="s">
        <v>52</v>
      </c>
      <c r="N951" s="11" t="s">
        <v>37</v>
      </c>
      <c r="P951" s="9" t="n">
        <v>113</v>
      </c>
      <c r="Q951" s="11" t="s">
        <v>46</v>
      </c>
      <c r="R951" s="11" t="s">
        <v>47</v>
      </c>
      <c r="S951" s="9" t="n">
        <v>1130101</v>
      </c>
      <c r="T951" s="11" t="s">
        <v>48</v>
      </c>
      <c r="U951" s="12" t="n">
        <v>1996.2</v>
      </c>
      <c r="W951" s="12" t="n">
        <v>0</v>
      </c>
      <c r="X951" s="11" t="s">
        <v>942</v>
      </c>
      <c r="Z951" s="0" t="str">
        <f aca="false">IF($T951="","",IFERROR(INDEX('Resumo Grupos'!$AC$3:$AC$200,MATCH($T951,'Resumo Grupos'!$AB$3:$AB$200,0)),"n/d"))</f>
        <v>Mercadoria</v>
      </c>
      <c r="AA951" s="0" t="str">
        <f aca="false">IF($T951="","",IF(COUNTIF('Resumo Grupos'!$AE$3:$AE$40,$T951)&gt;0,"NAO","SIM"))</f>
        <v>SIM</v>
      </c>
      <c r="AB951" s="0" t="str">
        <f aca="false">IFERROR(INDEX('Mov Entradas (Rel 10497)'!$L:$L,MATCH(AC951,'Mov Entradas (Rel 10497)'!$I:$I,0)),"nao encontrado")</f>
        <v>ANELINATUPY PRETO</v>
      </c>
      <c r="AC951" s="0" t="n">
        <v>316130</v>
      </c>
    </row>
    <row r="952" customFormat="false" ht="12.75" hidden="false" customHeight="true" outlineLevel="0" collapsed="false">
      <c r="A952" s="9" t="n">
        <v>2</v>
      </c>
      <c r="B952" s="10" t="n">
        <v>46222</v>
      </c>
      <c r="C952" s="10" t="n">
        <v>46222</v>
      </c>
      <c r="D952" s="9" t="n">
        <v>0</v>
      </c>
      <c r="E952" s="11" t="s">
        <v>109</v>
      </c>
      <c r="F952" s="9" t="n">
        <v>17</v>
      </c>
      <c r="G952" s="11" t="s">
        <v>110</v>
      </c>
      <c r="H952" s="9" t="n">
        <v>1110101</v>
      </c>
      <c r="I952" s="11" t="s">
        <v>111</v>
      </c>
      <c r="J952" s="9" t="n">
        <v>1435624</v>
      </c>
      <c r="L952" s="9" t="n">
        <v>1435624</v>
      </c>
      <c r="M952" s="11" t="s">
        <v>52</v>
      </c>
      <c r="N952" s="11" t="s">
        <v>112</v>
      </c>
      <c r="P952" s="9" t="n">
        <v>113</v>
      </c>
      <c r="Q952" s="11" t="s">
        <v>46</v>
      </c>
      <c r="R952" s="11" t="s">
        <v>71</v>
      </c>
      <c r="S952" s="9" t="n">
        <v>4210310</v>
      </c>
      <c r="T952" s="11" t="s">
        <v>126</v>
      </c>
      <c r="U952" s="12" t="n">
        <v>68</v>
      </c>
      <c r="W952" s="12" t="n">
        <v>68</v>
      </c>
      <c r="X952" s="11" t="s">
        <v>283</v>
      </c>
      <c r="Z952" s="0" t="str">
        <f aca="false">IF($T952="","",IFERROR(INDEX('Resumo Grupos'!$AC$3:$AC$200,MATCH($T952,'Resumo Grupos'!$AB$3:$AB$200,0)),"n/d"))</f>
        <v>Despesa</v>
      </c>
      <c r="AA952" s="0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9" t="n">
        <v>2</v>
      </c>
      <c r="B953" s="10" t="n">
        <v>46222</v>
      </c>
      <c r="C953" s="10" t="n">
        <v>46222</v>
      </c>
      <c r="D953" s="9" t="n">
        <v>0</v>
      </c>
      <c r="E953" s="11" t="s">
        <v>109</v>
      </c>
      <c r="F953" s="9" t="n">
        <v>17</v>
      </c>
      <c r="G953" s="11" t="s">
        <v>110</v>
      </c>
      <c r="H953" s="9" t="n">
        <v>1110101</v>
      </c>
      <c r="I953" s="11" t="s">
        <v>111</v>
      </c>
      <c r="J953" s="9" t="n">
        <v>1435625</v>
      </c>
      <c r="L953" s="9" t="n">
        <v>1435625</v>
      </c>
      <c r="M953" s="11" t="s">
        <v>52</v>
      </c>
      <c r="N953" s="11" t="s">
        <v>112</v>
      </c>
      <c r="P953" s="9" t="n">
        <v>113</v>
      </c>
      <c r="Q953" s="11" t="s">
        <v>46</v>
      </c>
      <c r="R953" s="11" t="s">
        <v>71</v>
      </c>
      <c r="S953" s="9" t="n">
        <v>4210314</v>
      </c>
      <c r="T953" s="11" t="s">
        <v>113</v>
      </c>
      <c r="U953" s="12" t="n">
        <v>70</v>
      </c>
      <c r="W953" s="12" t="n">
        <v>70</v>
      </c>
      <c r="X953" s="11" t="s">
        <v>368</v>
      </c>
      <c r="Z953" s="0" t="str">
        <f aca="false">IF($T953="","",IFERROR(INDEX('Resumo Grupos'!$AC$3:$AC$200,MATCH($T953,'Resumo Grupos'!$AB$3:$AB$200,0)),"n/d"))</f>
        <v>Despesa</v>
      </c>
      <c r="AA953" s="0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9" t="n">
        <v>2</v>
      </c>
      <c r="B954" s="10" t="n">
        <v>46222</v>
      </c>
      <c r="C954" s="10" t="n">
        <v>46222</v>
      </c>
      <c r="D954" s="9" t="n">
        <v>0</v>
      </c>
      <c r="E954" s="11" t="s">
        <v>109</v>
      </c>
      <c r="F954" s="9" t="n">
        <v>17</v>
      </c>
      <c r="G954" s="11" t="s">
        <v>110</v>
      </c>
      <c r="H954" s="9" t="n">
        <v>1110101</v>
      </c>
      <c r="I954" s="11" t="s">
        <v>111</v>
      </c>
      <c r="J954" s="9" t="n">
        <v>1469114</v>
      </c>
      <c r="L954" s="9" t="n">
        <v>1469114</v>
      </c>
      <c r="M954" s="11" t="s">
        <v>52</v>
      </c>
      <c r="N954" s="11" t="s">
        <v>112</v>
      </c>
      <c r="P954" s="9" t="n">
        <v>113</v>
      </c>
      <c r="Q954" s="11" t="s">
        <v>46</v>
      </c>
      <c r="R954" s="11" t="s">
        <v>116</v>
      </c>
      <c r="S954" s="9" t="n">
        <v>1110203</v>
      </c>
      <c r="T954" s="11" t="s">
        <v>117</v>
      </c>
      <c r="U954" s="12" t="n">
        <v>1750</v>
      </c>
      <c r="W954" s="12" t="n">
        <v>1750</v>
      </c>
      <c r="X954" s="11" t="s">
        <v>943</v>
      </c>
      <c r="Z954" s="0" t="str">
        <f aca="false">IF($T954="","",IFERROR(INDEX('Resumo Grupos'!$AC$3:$AC$200,MATCH($T954,'Resumo Grupos'!$AB$3:$AB$200,0)),"n/d"))</f>
        <v>Despesa</v>
      </c>
      <c r="AA954" s="0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9" t="n">
        <v>2</v>
      </c>
      <c r="B955" s="10" t="n">
        <v>46213</v>
      </c>
      <c r="C955" s="10" t="n">
        <v>46223</v>
      </c>
      <c r="D955" s="9" t="n">
        <v>1621</v>
      </c>
      <c r="E955" s="11" t="s">
        <v>232</v>
      </c>
      <c r="F955" s="9" t="n">
        <v>24</v>
      </c>
      <c r="G955" s="11" t="s">
        <v>51</v>
      </c>
      <c r="H955" s="9" t="n">
        <v>2110101</v>
      </c>
      <c r="I955" s="11" t="s">
        <v>43</v>
      </c>
      <c r="J955" s="9" t="n">
        <v>1377254</v>
      </c>
      <c r="L955" s="9" t="n">
        <v>899238</v>
      </c>
      <c r="M955" s="11" t="s">
        <v>52</v>
      </c>
      <c r="N955" s="11" t="s">
        <v>37</v>
      </c>
      <c r="P955" s="9" t="n">
        <v>113</v>
      </c>
      <c r="Q955" s="11" t="s">
        <v>46</v>
      </c>
      <c r="R955" s="11" t="s">
        <v>47</v>
      </c>
      <c r="S955" s="9" t="n">
        <v>1130101</v>
      </c>
      <c r="T955" s="11" t="s">
        <v>48</v>
      </c>
      <c r="U955" s="12" t="n">
        <v>661.73</v>
      </c>
      <c r="W955" s="12" t="n">
        <v>0</v>
      </c>
      <c r="X955" s="11" t="s">
        <v>944</v>
      </c>
      <c r="Z955" s="0" t="str">
        <f aca="false">IF($T955="","",IFERROR(INDEX('Resumo Grupos'!$AC$3:$AC$200,MATCH($T955,'Resumo Grupos'!$AB$3:$AB$200,0)),"n/d"))</f>
        <v>Mercadoria</v>
      </c>
      <c r="AA955" s="0" t="str">
        <f aca="false">IF($T955="","",IF(COUNTIF('Resumo Grupos'!$AE$3:$AE$40,$T955)&gt;0,"NAO","SIM"))</f>
        <v>SIM</v>
      </c>
      <c r="AB955" s="0" t="str">
        <f aca="false">IFERROR(INDEX('Mov Entradas (Rel 10497)'!$L:$L,MATCH(AC955,'Mov Entradas (Rel 10497)'!$I:$I,0)),"nao encontrado")</f>
        <v>MICHELOB ULTRA LONG NECK 330ML</v>
      </c>
      <c r="AC955" s="0" t="n">
        <v>899238</v>
      </c>
    </row>
    <row r="956" customFormat="false" ht="12.75" hidden="false" customHeight="true" outlineLevel="0" collapsed="false">
      <c r="A956" s="9" t="n">
        <v>2</v>
      </c>
      <c r="B956" s="10" t="n">
        <v>46217</v>
      </c>
      <c r="C956" s="10" t="n">
        <v>46223</v>
      </c>
      <c r="D956" s="9" t="n">
        <v>1947</v>
      </c>
      <c r="E956" s="11" t="s">
        <v>482</v>
      </c>
      <c r="F956" s="9" t="n">
        <v>34</v>
      </c>
      <c r="G956" s="11" t="s">
        <v>55</v>
      </c>
      <c r="H956" s="9" t="n">
        <v>2110405</v>
      </c>
      <c r="I956" s="11" t="s">
        <v>56</v>
      </c>
      <c r="J956" s="9" t="n">
        <v>1397918</v>
      </c>
      <c r="L956" s="9" t="n">
        <v>188036</v>
      </c>
      <c r="M956" s="11" t="s">
        <v>52</v>
      </c>
      <c r="N956" s="11" t="s">
        <v>45</v>
      </c>
      <c r="P956" s="9" t="n">
        <v>101</v>
      </c>
      <c r="Q956" s="11" t="s">
        <v>57</v>
      </c>
      <c r="R956" s="11" t="s">
        <v>509</v>
      </c>
      <c r="S956" s="9" t="n">
        <v>2110707</v>
      </c>
      <c r="T956" s="11" t="s">
        <v>510</v>
      </c>
      <c r="U956" s="12" t="n">
        <v>1596.41</v>
      </c>
      <c r="W956" s="12" t="n">
        <v>0</v>
      </c>
      <c r="X956" s="11" t="s">
        <v>945</v>
      </c>
      <c r="Z956" s="0" t="str">
        <f aca="false">IF($T956="","",IFERROR(INDEX('Resumo Grupos'!$AC$3:$AC$200,MATCH($T956,'Resumo Grupos'!$AB$3:$AB$200,0)),"n/d"))</f>
        <v>Impostos</v>
      </c>
      <c r="AA956" s="0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9" t="n">
        <v>2</v>
      </c>
      <c r="B957" s="10" t="n">
        <v>46217</v>
      </c>
      <c r="C957" s="10" t="n">
        <v>46223</v>
      </c>
      <c r="D957" s="9" t="n">
        <v>1947</v>
      </c>
      <c r="E957" s="11" t="s">
        <v>482</v>
      </c>
      <c r="F957" s="9" t="n">
        <v>34</v>
      </c>
      <c r="G957" s="11" t="s">
        <v>55</v>
      </c>
      <c r="H957" s="9" t="n">
        <v>2110405</v>
      </c>
      <c r="I957" s="11" t="s">
        <v>56</v>
      </c>
      <c r="J957" s="9" t="n">
        <v>1397919</v>
      </c>
      <c r="L957" s="9" t="n">
        <v>188037</v>
      </c>
      <c r="M957" s="11" t="s">
        <v>52</v>
      </c>
      <c r="N957" s="11" t="s">
        <v>45</v>
      </c>
      <c r="P957" s="9" t="n">
        <v>101</v>
      </c>
      <c r="Q957" s="11" t="s">
        <v>57</v>
      </c>
      <c r="R957" s="11" t="s">
        <v>71</v>
      </c>
      <c r="S957" s="9" t="n">
        <v>4210303</v>
      </c>
      <c r="T957" s="11" t="s">
        <v>483</v>
      </c>
      <c r="U957" s="12" t="n">
        <v>1128.04</v>
      </c>
      <c r="W957" s="12" t="n">
        <v>0</v>
      </c>
      <c r="X957" s="11" t="s">
        <v>946</v>
      </c>
      <c r="Z957" s="0" t="str">
        <f aca="false">IF($T957="","",IFERROR(INDEX('Resumo Grupos'!$AC$3:$AC$200,MATCH($T957,'Resumo Grupos'!$AB$3:$AB$200,0)),"n/d"))</f>
        <v>Impostos</v>
      </c>
      <c r="AA957" s="0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9" t="n">
        <v>2</v>
      </c>
      <c r="B958" s="10" t="n">
        <v>46217</v>
      </c>
      <c r="C958" s="10" t="n">
        <v>46223</v>
      </c>
      <c r="D958" s="9" t="n">
        <v>1947</v>
      </c>
      <c r="E958" s="11" t="s">
        <v>482</v>
      </c>
      <c r="F958" s="9" t="n">
        <v>34</v>
      </c>
      <c r="G958" s="11" t="s">
        <v>55</v>
      </c>
      <c r="H958" s="9" t="n">
        <v>2110405</v>
      </c>
      <c r="I958" s="11" t="s">
        <v>56</v>
      </c>
      <c r="J958" s="9" t="n">
        <v>1397922</v>
      </c>
      <c r="L958" s="9" t="n">
        <v>188038</v>
      </c>
      <c r="M958" s="11" t="s">
        <v>52</v>
      </c>
      <c r="N958" s="11" t="s">
        <v>45</v>
      </c>
      <c r="P958" s="9" t="n">
        <v>101</v>
      </c>
      <c r="Q958" s="11" t="s">
        <v>57</v>
      </c>
      <c r="R958" s="11" t="s">
        <v>71</v>
      </c>
      <c r="S958" s="9" t="n">
        <v>4210302</v>
      </c>
      <c r="T958" s="11" t="s">
        <v>485</v>
      </c>
      <c r="U958" s="12" t="n">
        <v>2788.06</v>
      </c>
      <c r="W958" s="12" t="n">
        <v>0</v>
      </c>
      <c r="X958" s="11" t="s">
        <v>947</v>
      </c>
      <c r="Z958" s="0" t="str">
        <f aca="false">IF($T958="","",IFERROR(INDEX('Resumo Grupos'!$AC$3:$AC$200,MATCH($T958,'Resumo Grupos'!$AB$3:$AB$200,0)),"n/d"))</f>
        <v>Impostos</v>
      </c>
      <c r="AA958" s="0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9" t="n">
        <v>2</v>
      </c>
      <c r="B959" s="10" t="n">
        <v>46198</v>
      </c>
      <c r="C959" s="10" t="n">
        <v>46223</v>
      </c>
      <c r="D959" s="9" t="n">
        <v>1218</v>
      </c>
      <c r="E959" s="11" t="s">
        <v>659</v>
      </c>
      <c r="F959" s="9" t="n">
        <v>24</v>
      </c>
      <c r="G959" s="11" t="s">
        <v>51</v>
      </c>
      <c r="H959" s="9" t="n">
        <v>2110101</v>
      </c>
      <c r="I959" s="11" t="s">
        <v>43</v>
      </c>
      <c r="J959" s="9" t="n">
        <v>1305945</v>
      </c>
      <c r="L959" s="9" t="n">
        <v>9495</v>
      </c>
      <c r="M959" s="11" t="s">
        <v>67</v>
      </c>
      <c r="N959" s="11" t="s">
        <v>37</v>
      </c>
      <c r="P959" s="9" t="n">
        <v>113</v>
      </c>
      <c r="Q959" s="11" t="s">
        <v>46</v>
      </c>
      <c r="R959" s="11" t="s">
        <v>47</v>
      </c>
      <c r="S959" s="9" t="n">
        <v>1130101</v>
      </c>
      <c r="T959" s="11" t="s">
        <v>48</v>
      </c>
      <c r="U959" s="12" t="n">
        <v>531.18</v>
      </c>
      <c r="W959" s="12" t="n">
        <v>0</v>
      </c>
      <c r="X959" s="11" t="s">
        <v>660</v>
      </c>
      <c r="Z959" s="0" t="str">
        <f aca="false">IF($T959="","",IFERROR(INDEX('Resumo Grupos'!$AC$3:$AC$200,MATCH($T959,'Resumo Grupos'!$AB$3:$AB$200,0)),"n/d"))</f>
        <v>Mercadoria</v>
      </c>
      <c r="AA959" s="0" t="str">
        <f aca="false">IF($T959="","",IF(COUNTIF('Resumo Grupos'!$AE$3:$AE$40,$T959)&gt;0,"NAO","SIM"))</f>
        <v>SIM</v>
      </c>
      <c r="AB959" s="0" t="str">
        <f aca="false">IFERROR(INDEX('Mov Entradas (Rel 10497)'!$L:$L,MATCH(AC959,'Mov Entradas (Rel 10497)'!$I:$I,0)),"nao encontrado")</f>
        <v>ANTIFER LUBFAS 300ML</v>
      </c>
      <c r="AC959" s="0" t="n">
        <v>9495</v>
      </c>
    </row>
    <row r="960" customFormat="false" ht="12.75" hidden="false" customHeight="true" outlineLevel="0" collapsed="false">
      <c r="A960" s="9" t="n">
        <v>2</v>
      </c>
      <c r="B960" s="10" t="n">
        <v>46196</v>
      </c>
      <c r="C960" s="10" t="n">
        <v>46223</v>
      </c>
      <c r="D960" s="9" t="n">
        <v>794</v>
      </c>
      <c r="E960" s="11" t="s">
        <v>335</v>
      </c>
      <c r="F960" s="9" t="n">
        <v>24</v>
      </c>
      <c r="G960" s="11" t="s">
        <v>51</v>
      </c>
      <c r="H960" s="9" t="n">
        <v>2110405</v>
      </c>
      <c r="I960" s="11" t="s">
        <v>56</v>
      </c>
      <c r="J960" s="9" t="n">
        <v>1294343</v>
      </c>
      <c r="L960" s="9" t="n">
        <v>173133</v>
      </c>
      <c r="M960" s="11" t="s">
        <v>52</v>
      </c>
      <c r="N960" s="11" t="s">
        <v>45</v>
      </c>
      <c r="P960" s="9" t="n">
        <v>113</v>
      </c>
      <c r="Q960" s="11" t="s">
        <v>46</v>
      </c>
      <c r="R960" s="11" t="s">
        <v>39</v>
      </c>
      <c r="S960" s="9" t="n">
        <v>4210299</v>
      </c>
      <c r="T960" s="11" t="s">
        <v>165</v>
      </c>
      <c r="U960" s="12" t="n">
        <v>737.44</v>
      </c>
      <c r="W960" s="12" t="n">
        <v>0</v>
      </c>
      <c r="X960" s="11" t="s">
        <v>948</v>
      </c>
      <c r="Z960" s="0" t="str">
        <f aca="false">IF($T960="","",IFERROR(INDEX('Resumo Grupos'!$AC$3:$AC$200,MATCH($T960,'Resumo Grupos'!$AB$3:$AB$200,0)),"n/d"))</f>
        <v>Despesa</v>
      </c>
      <c r="AA960" s="0" t="str">
        <f aca="false">IF($T960="","",IF(COUNTIF('Resumo Grupos'!$AE$3:$AE$40,$T960)&gt;0,"NAO","SIM"))</f>
        <v>SIM</v>
      </c>
      <c r="AB960" s="0" t="str">
        <f aca="false">IFERROR(INDEX('Mov Entradas (Rel 10497)'!$L:$L,MATCH(AC960,'Mov Entradas (Rel 10497)'!$I:$I,0)),"nao encontrado")</f>
        <v>SACOLA BRC. L. ALIP.</v>
      </c>
      <c r="AC960" s="0" t="n">
        <v>8155</v>
      </c>
    </row>
    <row r="961" customFormat="false" ht="12.75" hidden="false" customHeight="true" outlineLevel="0" collapsed="false">
      <c r="A961" s="9" t="n">
        <v>2</v>
      </c>
      <c r="B961" s="10" t="n">
        <v>46211</v>
      </c>
      <c r="C961" s="10" t="n">
        <v>46223</v>
      </c>
      <c r="D961" s="9" t="n">
        <v>10028</v>
      </c>
      <c r="E961" s="11" t="s">
        <v>494</v>
      </c>
      <c r="F961" s="9" t="n">
        <v>24</v>
      </c>
      <c r="G961" s="11" t="s">
        <v>51</v>
      </c>
      <c r="H961" s="9" t="n">
        <v>2110405</v>
      </c>
      <c r="I961" s="11" t="s">
        <v>56</v>
      </c>
      <c r="J961" s="9" t="n">
        <v>1370757</v>
      </c>
      <c r="L961" s="9" t="n">
        <v>184341</v>
      </c>
      <c r="M961" s="11" t="s">
        <v>52</v>
      </c>
      <c r="N961" s="11" t="s">
        <v>45</v>
      </c>
      <c r="P961" s="9" t="n">
        <v>101</v>
      </c>
      <c r="Q961" s="11" t="s">
        <v>57</v>
      </c>
      <c r="R961" s="11" t="s">
        <v>71</v>
      </c>
      <c r="S961" s="9" t="n">
        <v>4210315</v>
      </c>
      <c r="T961" s="11" t="s">
        <v>279</v>
      </c>
      <c r="U961" s="12" t="n">
        <v>595.9</v>
      </c>
      <c r="W961" s="12" t="n">
        <v>0</v>
      </c>
      <c r="X961" s="11" t="s">
        <v>495</v>
      </c>
      <c r="Z961" s="0" t="str">
        <f aca="false">IF($T961="","",IFERROR(INDEX('Resumo Grupos'!$AC$3:$AC$200,MATCH($T961,'Resumo Grupos'!$AB$3:$AB$200,0)),"n/d"))</f>
        <v>Despesa</v>
      </c>
      <c r="AA961" s="0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9" t="n">
        <v>2</v>
      </c>
      <c r="B962" s="10" t="n">
        <v>46216</v>
      </c>
      <c r="C962" s="10" t="n">
        <v>46223</v>
      </c>
      <c r="D962" s="9" t="n">
        <v>1626</v>
      </c>
      <c r="E962" s="11" t="s">
        <v>77</v>
      </c>
      <c r="F962" s="9" t="n">
        <v>24</v>
      </c>
      <c r="G962" s="11" t="s">
        <v>51</v>
      </c>
      <c r="H962" s="9" t="n">
        <v>2110101</v>
      </c>
      <c r="I962" s="11" t="s">
        <v>43</v>
      </c>
      <c r="J962" s="9" t="n">
        <v>1393879</v>
      </c>
      <c r="L962" s="9" t="n">
        <v>312916</v>
      </c>
      <c r="M962" s="11" t="s">
        <v>52</v>
      </c>
      <c r="N962" s="11" t="s">
        <v>37</v>
      </c>
      <c r="P962" s="9" t="n">
        <v>113</v>
      </c>
      <c r="Q962" s="11" t="s">
        <v>46</v>
      </c>
      <c r="R962" s="11" t="s">
        <v>47</v>
      </c>
      <c r="S962" s="9" t="n">
        <v>1130101</v>
      </c>
      <c r="T962" s="11" t="s">
        <v>48</v>
      </c>
      <c r="U962" s="12" t="n">
        <v>368.05</v>
      </c>
      <c r="W962" s="12" t="n">
        <v>0</v>
      </c>
      <c r="X962" s="11" t="s">
        <v>949</v>
      </c>
      <c r="Z962" s="0" t="str">
        <f aca="false">IF($T962="","",IFERROR(INDEX('Resumo Grupos'!$AC$3:$AC$200,MATCH($T962,'Resumo Grupos'!$AB$3:$AB$200,0)),"n/d"))</f>
        <v>Mercadoria</v>
      </c>
      <c r="AA962" s="0" t="str">
        <f aca="false">IF($T962="","",IF(COUNTIF('Resumo Grupos'!$AE$3:$AE$40,$T962)&gt;0,"NAO","SIM"))</f>
        <v>SIM</v>
      </c>
      <c r="AB962" s="0" t="str">
        <f aca="false">IFERROR(INDEX('Mov Entradas (Rel 10497)'!$L:$L,MATCH(AC962,'Mov Entradas (Rel 10497)'!$I:$I,0)),"nao encontrado")</f>
        <v>BROCOLIS FLORETS 300</v>
      </c>
      <c r="AC962" s="0" t="n">
        <v>312916</v>
      </c>
    </row>
    <row r="963" customFormat="false" ht="12.75" hidden="false" customHeight="true" outlineLevel="0" collapsed="false">
      <c r="A963" s="9" t="n">
        <v>2</v>
      </c>
      <c r="B963" s="10" t="n">
        <v>46220</v>
      </c>
      <c r="C963" s="10" t="n">
        <v>46223</v>
      </c>
      <c r="D963" s="9" t="n">
        <v>10035</v>
      </c>
      <c r="E963" s="11" t="s">
        <v>86</v>
      </c>
      <c r="F963" s="9" t="n">
        <v>34</v>
      </c>
      <c r="G963" s="11" t="s">
        <v>55</v>
      </c>
      <c r="H963" s="9" t="n">
        <v>2110405</v>
      </c>
      <c r="I963" s="11" t="s">
        <v>56</v>
      </c>
      <c r="J963" s="9" t="n">
        <v>1412007</v>
      </c>
      <c r="L963" s="9" t="n">
        <v>190402</v>
      </c>
      <c r="M963" s="11" t="s">
        <v>52</v>
      </c>
      <c r="N963" s="11" t="s">
        <v>45</v>
      </c>
      <c r="P963" s="9" t="n">
        <v>113</v>
      </c>
      <c r="Q963" s="11" t="s">
        <v>46</v>
      </c>
      <c r="R963" s="11" t="s">
        <v>47</v>
      </c>
      <c r="S963" s="9" t="n">
        <v>1130101</v>
      </c>
      <c r="T963" s="11" t="s">
        <v>48</v>
      </c>
      <c r="U963" s="12" t="n">
        <v>228</v>
      </c>
      <c r="W963" s="12" t="n">
        <v>0</v>
      </c>
      <c r="X963" s="11" t="s">
        <v>950</v>
      </c>
      <c r="Z963" s="0" t="str">
        <f aca="false">IF($T963="","",IFERROR(INDEX('Resumo Grupos'!$AC$3:$AC$200,MATCH($T963,'Resumo Grupos'!$AB$3:$AB$200,0)),"n/d"))</f>
        <v>Mercadoria</v>
      </c>
      <c r="AA963" s="0" t="str">
        <f aca="false">IF($T963="","",IF(COUNTIF('Resumo Grupos'!$AE$3:$AE$40,$T963)&gt;0,"NAO","SIM"))</f>
        <v>SIM</v>
      </c>
      <c r="AB963" s="0" t="str">
        <f aca="false">IFERROR(INDEX('Mov Entradas (Rel 10497)'!$L:$L,MATCH(AC963,'Mov Entradas (Rel 10497)'!$I:$I,0)),"nao encontrado")</f>
        <v>CARVAO VEGETAL 3KG</v>
      </c>
      <c r="AC963" s="0" t="n">
        <v>364</v>
      </c>
    </row>
    <row r="964" customFormat="false" ht="12.75" hidden="false" customHeight="true" outlineLevel="0" collapsed="false">
      <c r="A964" s="9" t="n">
        <v>2</v>
      </c>
      <c r="B964" s="10" t="n">
        <v>46216</v>
      </c>
      <c r="C964" s="10" t="n">
        <v>46223</v>
      </c>
      <c r="D964" s="9" t="n">
        <v>560</v>
      </c>
      <c r="E964" s="11" t="s">
        <v>453</v>
      </c>
      <c r="F964" s="9" t="n">
        <v>24</v>
      </c>
      <c r="G964" s="11" t="s">
        <v>51</v>
      </c>
      <c r="H964" s="9" t="n">
        <v>2110101</v>
      </c>
      <c r="I964" s="11" t="s">
        <v>43</v>
      </c>
      <c r="J964" s="9" t="n">
        <v>1393806</v>
      </c>
      <c r="L964" s="9" t="n">
        <v>1791</v>
      </c>
      <c r="M964" s="11" t="s">
        <v>52</v>
      </c>
      <c r="N964" s="11" t="s">
        <v>37</v>
      </c>
      <c r="P964" s="9" t="n">
        <v>113</v>
      </c>
      <c r="Q964" s="11" t="s">
        <v>46</v>
      </c>
      <c r="R964" s="11" t="s">
        <v>47</v>
      </c>
      <c r="S964" s="9" t="n">
        <v>1130101</v>
      </c>
      <c r="T964" s="11" t="s">
        <v>48</v>
      </c>
      <c r="U964" s="12" t="n">
        <v>250</v>
      </c>
      <c r="W964" s="12" t="n">
        <v>0</v>
      </c>
      <c r="X964" s="11" t="s">
        <v>951</v>
      </c>
      <c r="Z964" s="0" t="str">
        <f aca="false">IF($T964="","",IFERROR(INDEX('Resumo Grupos'!$AC$3:$AC$200,MATCH($T964,'Resumo Grupos'!$AB$3:$AB$200,0)),"n/d"))</f>
        <v>Mercadoria</v>
      </c>
      <c r="AA964" s="0" t="str">
        <f aca="false">IF($T964="","",IF(COUNTIF('Resumo Grupos'!$AE$3:$AE$40,$T964)&gt;0,"NAO","SIM"))</f>
        <v>SIM</v>
      </c>
      <c r="AB964" s="0" t="str">
        <f aca="false">IFERROR(INDEX('Mov Entradas (Rel 10497)'!$L:$L,MATCH(AC964,'Mov Entradas (Rel 10497)'!$I:$I,0)),"nao encontrado")</f>
        <v>BISCOITOS DA MARIA S</v>
      </c>
      <c r="AC964" s="0" t="n">
        <v>1791</v>
      </c>
    </row>
    <row r="965" customFormat="false" ht="12.75" hidden="false" customHeight="true" outlineLevel="0" collapsed="false">
      <c r="A965" s="9" t="n">
        <v>2</v>
      </c>
      <c r="B965" s="10" t="n">
        <v>46210</v>
      </c>
      <c r="C965" s="10" t="n">
        <v>46223</v>
      </c>
      <c r="D965" s="9" t="n">
        <v>703</v>
      </c>
      <c r="E965" s="11" t="s">
        <v>952</v>
      </c>
      <c r="F965" s="9" t="n">
        <v>24</v>
      </c>
      <c r="G965" s="11" t="s">
        <v>51</v>
      </c>
      <c r="H965" s="9" t="n">
        <v>2110101</v>
      </c>
      <c r="I965" s="11" t="s">
        <v>43</v>
      </c>
      <c r="J965" s="9" t="n">
        <v>1365044</v>
      </c>
      <c r="L965" s="9" t="n">
        <v>102073</v>
      </c>
      <c r="M965" s="11" t="s">
        <v>52</v>
      </c>
      <c r="N965" s="11" t="s">
        <v>37</v>
      </c>
      <c r="P965" s="9" t="n">
        <v>113</v>
      </c>
      <c r="Q965" s="11" t="s">
        <v>46</v>
      </c>
      <c r="R965" s="11" t="s">
        <v>47</v>
      </c>
      <c r="S965" s="9" t="n">
        <v>1130101</v>
      </c>
      <c r="T965" s="11" t="s">
        <v>48</v>
      </c>
      <c r="U965" s="12" t="n">
        <v>374.1</v>
      </c>
      <c r="W965" s="12" t="n">
        <v>0</v>
      </c>
      <c r="X965" s="11" t="s">
        <v>953</v>
      </c>
      <c r="Z965" s="0" t="str">
        <f aca="false">IF($T965="","",IFERROR(INDEX('Resumo Grupos'!$AC$3:$AC$200,MATCH($T965,'Resumo Grupos'!$AB$3:$AB$200,0)),"n/d"))</f>
        <v>Mercadoria</v>
      </c>
      <c r="AA965" s="0" t="str">
        <f aca="false">IF($T965="","",IF(COUNTIF('Resumo Grupos'!$AE$3:$AE$40,$T965)&gt;0,"NAO","SIM"))</f>
        <v>SIM</v>
      </c>
      <c r="AB965" s="0" t="str">
        <f aca="false">IFERROR(INDEX('Mov Entradas (Rel 10497)'!$L:$L,MATCH(AC965,'Mov Entradas (Rel 10497)'!$I:$I,0)),"nao encontrado")</f>
        <v>SUCO DAFRUTA UVA 200</v>
      </c>
      <c r="AC965" s="0" t="n">
        <v>102073</v>
      </c>
    </row>
    <row r="966" customFormat="false" ht="12.75" hidden="false" customHeight="true" outlineLevel="0" collapsed="false">
      <c r="A966" s="9" t="n">
        <v>2</v>
      </c>
      <c r="B966" s="10" t="n">
        <v>46223</v>
      </c>
      <c r="C966" s="10" t="n">
        <v>46223</v>
      </c>
      <c r="D966" s="9" t="n">
        <v>48</v>
      </c>
      <c r="E966" s="11" t="s">
        <v>153</v>
      </c>
      <c r="F966" s="9" t="n">
        <v>13</v>
      </c>
      <c r="G966" s="11" t="s">
        <v>135</v>
      </c>
      <c r="H966" s="9" t="n">
        <v>2110101</v>
      </c>
      <c r="I966" s="11" t="s">
        <v>43</v>
      </c>
      <c r="J966" s="9" t="n">
        <v>1425087</v>
      </c>
      <c r="L966" s="9" t="n">
        <v>2553</v>
      </c>
      <c r="M966" s="11" t="s">
        <v>52</v>
      </c>
      <c r="N966" s="11" t="s">
        <v>37</v>
      </c>
      <c r="P966" s="9" t="n">
        <v>113</v>
      </c>
      <c r="Q966" s="11" t="s">
        <v>46</v>
      </c>
      <c r="R966" s="11" t="s">
        <v>47</v>
      </c>
      <c r="S966" s="9" t="n">
        <v>1130101</v>
      </c>
      <c r="T966" s="11" t="s">
        <v>48</v>
      </c>
      <c r="U966" s="12" t="n">
        <v>210</v>
      </c>
      <c r="W966" s="12" t="n">
        <v>210</v>
      </c>
      <c r="X966" s="11" t="s">
        <v>954</v>
      </c>
      <c r="Z966" s="0" t="str">
        <f aca="false">IF($T966="","",IFERROR(INDEX('Resumo Grupos'!$AC$3:$AC$200,MATCH($T966,'Resumo Grupos'!$AB$3:$AB$200,0)),"n/d"))</f>
        <v>Mercadoria</v>
      </c>
      <c r="AA966" s="0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9" t="n">
        <v>2</v>
      </c>
      <c r="B967" s="10" t="n">
        <v>46223</v>
      </c>
      <c r="C967" s="10" t="n">
        <v>46223</v>
      </c>
      <c r="D967" s="9" t="n">
        <v>17</v>
      </c>
      <c r="E967" s="11" t="s">
        <v>489</v>
      </c>
      <c r="F967" s="9" t="n">
        <v>24</v>
      </c>
      <c r="G967" s="11" t="s">
        <v>51</v>
      </c>
      <c r="H967" s="9" t="n">
        <v>2110405</v>
      </c>
      <c r="I967" s="11" t="s">
        <v>56</v>
      </c>
      <c r="J967" s="9" t="n">
        <v>1423828</v>
      </c>
      <c r="L967" s="9" t="n">
        <v>190895</v>
      </c>
      <c r="M967" s="11" t="s">
        <v>52</v>
      </c>
      <c r="N967" s="11" t="s">
        <v>45</v>
      </c>
      <c r="P967" s="9" t="n">
        <v>102</v>
      </c>
      <c r="Q967" s="11" t="s">
        <v>308</v>
      </c>
      <c r="R967" s="11" t="s">
        <v>81</v>
      </c>
      <c r="S967" s="9" t="n">
        <v>4220199</v>
      </c>
      <c r="T967" s="11" t="s">
        <v>82</v>
      </c>
      <c r="U967" s="12" t="n">
        <v>620</v>
      </c>
      <c r="W967" s="12" t="n">
        <v>0</v>
      </c>
      <c r="X967" s="11" t="s">
        <v>955</v>
      </c>
      <c r="Z967" s="0" t="str">
        <f aca="false">IF($T967="","",IFERROR(INDEX('Resumo Grupos'!$AC$3:$AC$200,MATCH($T967,'Resumo Grupos'!$AB$3:$AB$200,0)),"n/d"))</f>
        <v>Pagamentos outros não operacionais</v>
      </c>
      <c r="AA967" s="0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9" t="n">
        <v>2</v>
      </c>
      <c r="B968" s="10" t="n">
        <v>46217</v>
      </c>
      <c r="C968" s="10" t="n">
        <v>46223</v>
      </c>
      <c r="D968" s="9" t="n">
        <v>1328</v>
      </c>
      <c r="E968" s="11" t="s">
        <v>95</v>
      </c>
      <c r="F968" s="9" t="n">
        <v>24</v>
      </c>
      <c r="G968" s="11" t="s">
        <v>51</v>
      </c>
      <c r="H968" s="9" t="n">
        <v>2110405</v>
      </c>
      <c r="I968" s="11" t="s">
        <v>56</v>
      </c>
      <c r="J968" s="9" t="n">
        <v>1397692</v>
      </c>
      <c r="L968" s="9" t="n">
        <v>188004</v>
      </c>
      <c r="M968" s="11" t="s">
        <v>52</v>
      </c>
      <c r="N968" s="11" t="s">
        <v>45</v>
      </c>
      <c r="P968" s="9" t="n">
        <v>113</v>
      </c>
      <c r="Q968" s="11" t="s">
        <v>46</v>
      </c>
      <c r="R968" s="11" t="s">
        <v>47</v>
      </c>
      <c r="S968" s="9" t="n">
        <v>1130101</v>
      </c>
      <c r="T968" s="11" t="s">
        <v>48</v>
      </c>
      <c r="U968" s="12" t="n">
        <v>216.75</v>
      </c>
      <c r="W968" s="12" t="n">
        <v>0</v>
      </c>
      <c r="X968" s="11" t="s">
        <v>956</v>
      </c>
      <c r="Z968" s="0" t="str">
        <f aca="false">IF($T968="","",IFERROR(INDEX('Resumo Grupos'!$AC$3:$AC$200,MATCH($T968,'Resumo Grupos'!$AB$3:$AB$200,0)),"n/d"))</f>
        <v>Mercadoria</v>
      </c>
      <c r="AA968" s="0" t="str">
        <f aca="false">IF($T968="","",IF(COUNTIF('Resumo Grupos'!$AE$3:$AE$40,$T968)&gt;0,"NAO","SIM"))</f>
        <v>SIM</v>
      </c>
      <c r="AB968" s="0" t="str">
        <f aca="false">IFERROR(INDEX('Mov Entradas (Rel 10497)'!$L:$L,MATCH(AC968,'Mov Entradas (Rel 10497)'!$I:$I,0)),"nao encontrado")</f>
        <v>PAO DE KIKAO 10</v>
      </c>
      <c r="AC968" s="0" t="n">
        <v>4058</v>
      </c>
    </row>
    <row r="969" customFormat="false" ht="12.75" hidden="false" customHeight="true" outlineLevel="0" collapsed="false">
      <c r="A969" s="9" t="n">
        <v>2</v>
      </c>
      <c r="B969" s="10" t="n">
        <v>46223</v>
      </c>
      <c r="C969" s="10" t="n">
        <v>46223</v>
      </c>
      <c r="D969" s="9" t="n">
        <v>33</v>
      </c>
      <c r="E969" s="11" t="s">
        <v>313</v>
      </c>
      <c r="F969" s="9" t="n">
        <v>34</v>
      </c>
      <c r="G969" s="11" t="s">
        <v>55</v>
      </c>
      <c r="H969" s="9" t="n">
        <v>2110405</v>
      </c>
      <c r="I969" s="11" t="s">
        <v>56</v>
      </c>
      <c r="J969" s="9" t="n">
        <v>1424244</v>
      </c>
      <c r="L969" s="9" t="n">
        <v>190900</v>
      </c>
      <c r="M969" s="11" t="s">
        <v>52</v>
      </c>
      <c r="N969" s="11" t="s">
        <v>45</v>
      </c>
      <c r="P969" s="9" t="n">
        <v>101</v>
      </c>
      <c r="Q969" s="11" t="s">
        <v>57</v>
      </c>
      <c r="R969" s="11" t="s">
        <v>430</v>
      </c>
      <c r="S969" s="9" t="n">
        <v>4210107</v>
      </c>
      <c r="T969" s="11" t="s">
        <v>496</v>
      </c>
      <c r="U969" s="12" t="n">
        <v>138.43</v>
      </c>
      <c r="W969" s="12" t="n">
        <v>0</v>
      </c>
      <c r="X969" s="11" t="s">
        <v>957</v>
      </c>
      <c r="Z969" s="0" t="str">
        <f aca="false">IF($T969="","",IFERROR(INDEX('Resumo Grupos'!$AC$3:$AC$200,MATCH($T969,'Resumo Grupos'!$AB$3:$AB$200,0)),"n/d"))</f>
        <v>Despesa</v>
      </c>
      <c r="AA969" s="0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9" t="n">
        <v>2</v>
      </c>
      <c r="B970" s="10" t="n">
        <v>46195</v>
      </c>
      <c r="C970" s="10" t="n">
        <v>46223</v>
      </c>
      <c r="D970" s="9" t="n">
        <v>1697</v>
      </c>
      <c r="E970" s="11" t="s">
        <v>787</v>
      </c>
      <c r="F970" s="9" t="n">
        <v>24</v>
      </c>
      <c r="G970" s="11" t="s">
        <v>51</v>
      </c>
      <c r="H970" s="9" t="n">
        <v>2110101</v>
      </c>
      <c r="I970" s="11" t="s">
        <v>43</v>
      </c>
      <c r="J970" s="9" t="n">
        <v>1289570</v>
      </c>
      <c r="L970" s="9" t="n">
        <v>207912</v>
      </c>
      <c r="M970" s="11" t="s">
        <v>67</v>
      </c>
      <c r="N970" s="11" t="s">
        <v>37</v>
      </c>
      <c r="P970" s="9" t="n">
        <v>113</v>
      </c>
      <c r="Q970" s="11" t="s">
        <v>46</v>
      </c>
      <c r="R970" s="11" t="s">
        <v>47</v>
      </c>
      <c r="S970" s="9" t="n">
        <v>1130101</v>
      </c>
      <c r="T970" s="11" t="s">
        <v>48</v>
      </c>
      <c r="U970" s="12" t="n">
        <v>591.52</v>
      </c>
      <c r="W970" s="12" t="n">
        <v>0</v>
      </c>
      <c r="X970" s="11" t="s">
        <v>788</v>
      </c>
      <c r="Z970" s="0" t="str">
        <f aca="false">IF($T970="","",IFERROR(INDEX('Resumo Grupos'!$AC$3:$AC$200,MATCH($T970,'Resumo Grupos'!$AB$3:$AB$200,0)),"n/d"))</f>
        <v>Mercadoria</v>
      </c>
      <c r="AA970" s="0" t="str">
        <f aca="false">IF($T970="","",IF(COUNTIF('Resumo Grupos'!$AE$3:$AE$40,$T970)&gt;0,"NAO","SIM"))</f>
        <v>SIM</v>
      </c>
      <c r="AB970" s="0" t="str">
        <f aca="false">IFERROR(INDEX('Mov Entradas (Rel 10497)'!$L:$L,MATCH(AC970,'Mov Entradas (Rel 10497)'!$I:$I,0)),"nao encontrado")</f>
        <v>LEITE ITALAC DESN 1L</v>
      </c>
      <c r="AC970" s="0" t="n">
        <v>207912</v>
      </c>
    </row>
    <row r="971" customFormat="false" ht="12.75" hidden="false" customHeight="true" outlineLevel="0" collapsed="false">
      <c r="A971" s="9" t="n">
        <v>2</v>
      </c>
      <c r="B971" s="10" t="n">
        <v>46223</v>
      </c>
      <c r="C971" s="10" t="n">
        <v>46223</v>
      </c>
      <c r="D971" s="9" t="n">
        <v>10006</v>
      </c>
      <c r="E971" s="11" t="s">
        <v>206</v>
      </c>
      <c r="F971" s="9" t="n">
        <v>34</v>
      </c>
      <c r="G971" s="11" t="s">
        <v>55</v>
      </c>
      <c r="H971" s="9" t="n">
        <v>2110405</v>
      </c>
      <c r="I971" s="11" t="s">
        <v>56</v>
      </c>
      <c r="J971" s="9" t="n">
        <v>1435948</v>
      </c>
      <c r="L971" s="9" t="n">
        <v>194013</v>
      </c>
      <c r="M971" s="11" t="s">
        <v>52</v>
      </c>
      <c r="N971" s="11" t="s">
        <v>45</v>
      </c>
      <c r="P971" s="9" t="n">
        <v>102</v>
      </c>
      <c r="Q971" s="11" t="s">
        <v>308</v>
      </c>
      <c r="R971" s="11" t="s">
        <v>39</v>
      </c>
      <c r="S971" s="9" t="n">
        <v>4210232</v>
      </c>
      <c r="T971" s="11" t="s">
        <v>320</v>
      </c>
      <c r="U971" s="12" t="n">
        <v>420</v>
      </c>
      <c r="W971" s="12" t="n">
        <v>0</v>
      </c>
      <c r="X971" s="11" t="s">
        <v>958</v>
      </c>
      <c r="Z971" s="0" t="str">
        <f aca="false">IF($T971="","",IFERROR(INDEX('Resumo Grupos'!$AC$3:$AC$200,MATCH($T971,'Resumo Grupos'!$AB$3:$AB$200,0)),"n/d"))</f>
        <v>Despesa</v>
      </c>
      <c r="AA971" s="0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9" t="n">
        <v>2</v>
      </c>
      <c r="B972" s="10" t="n">
        <v>46223</v>
      </c>
      <c r="C972" s="10" t="n">
        <v>46223</v>
      </c>
      <c r="D972" s="9" t="n">
        <v>0</v>
      </c>
      <c r="E972" s="11" t="s">
        <v>109</v>
      </c>
      <c r="F972" s="9" t="n">
        <v>17</v>
      </c>
      <c r="G972" s="11" t="s">
        <v>110</v>
      </c>
      <c r="H972" s="9" t="n">
        <v>1110101</v>
      </c>
      <c r="I972" s="11" t="s">
        <v>111</v>
      </c>
      <c r="J972" s="9" t="n">
        <v>1435649</v>
      </c>
      <c r="L972" s="9" t="n">
        <v>1435649</v>
      </c>
      <c r="M972" s="11" t="s">
        <v>52</v>
      </c>
      <c r="N972" s="11" t="s">
        <v>112</v>
      </c>
      <c r="P972" s="9" t="n">
        <v>113</v>
      </c>
      <c r="Q972" s="11" t="s">
        <v>46</v>
      </c>
      <c r="R972" s="11" t="s">
        <v>259</v>
      </c>
      <c r="S972" s="9" t="n">
        <v>2110101</v>
      </c>
      <c r="T972" s="11" t="s">
        <v>43</v>
      </c>
      <c r="U972" s="12" t="n">
        <v>210</v>
      </c>
      <c r="W972" s="12" t="n">
        <v>210</v>
      </c>
      <c r="X972" s="11" t="s">
        <v>959</v>
      </c>
      <c r="Z972" s="0" t="str">
        <f aca="false">IF($T972="","",IFERROR(INDEX('Resumo Grupos'!$AC$3:$AC$200,MATCH($T972,'Resumo Grupos'!$AB$3:$AB$200,0)),"n/d"))</f>
        <v>Despesa</v>
      </c>
      <c r="AA972" s="0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9" t="n">
        <v>2</v>
      </c>
      <c r="B973" s="10" t="n">
        <v>46223</v>
      </c>
      <c r="C973" s="10" t="n">
        <v>46223</v>
      </c>
      <c r="D973" s="9" t="n">
        <v>0</v>
      </c>
      <c r="E973" s="11" t="s">
        <v>109</v>
      </c>
      <c r="F973" s="9" t="n">
        <v>17</v>
      </c>
      <c r="G973" s="11" t="s">
        <v>110</v>
      </c>
      <c r="H973" s="9" t="n">
        <v>1110101</v>
      </c>
      <c r="I973" s="11" t="s">
        <v>111</v>
      </c>
      <c r="J973" s="9" t="n">
        <v>1435651</v>
      </c>
      <c r="L973" s="9" t="n">
        <v>1435651</v>
      </c>
      <c r="M973" s="11" t="s">
        <v>52</v>
      </c>
      <c r="N973" s="11" t="s">
        <v>112</v>
      </c>
      <c r="P973" s="9" t="n">
        <v>113</v>
      </c>
      <c r="Q973" s="11" t="s">
        <v>46</v>
      </c>
      <c r="R973" s="11" t="s">
        <v>71</v>
      </c>
      <c r="S973" s="9" t="n">
        <v>4210314</v>
      </c>
      <c r="T973" s="11" t="s">
        <v>113</v>
      </c>
      <c r="U973" s="12" t="n">
        <v>70</v>
      </c>
      <c r="W973" s="12" t="n">
        <v>70</v>
      </c>
      <c r="X973" s="11" t="s">
        <v>115</v>
      </c>
      <c r="Z973" s="0" t="str">
        <f aca="false">IF($T973="","",IFERROR(INDEX('Resumo Grupos'!$AC$3:$AC$200,MATCH($T973,'Resumo Grupos'!$AB$3:$AB$200,0)),"n/d"))</f>
        <v>Despesa</v>
      </c>
      <c r="AA973" s="0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9" t="n">
        <v>2</v>
      </c>
      <c r="B974" s="10" t="n">
        <v>46223</v>
      </c>
      <c r="C974" s="10" t="n">
        <v>46223</v>
      </c>
      <c r="D974" s="9" t="n">
        <v>0</v>
      </c>
      <c r="E974" s="11" t="s">
        <v>109</v>
      </c>
      <c r="F974" s="9" t="n">
        <v>17</v>
      </c>
      <c r="G974" s="11" t="s">
        <v>110</v>
      </c>
      <c r="H974" s="9" t="n">
        <v>1110101</v>
      </c>
      <c r="I974" s="11" t="s">
        <v>111</v>
      </c>
      <c r="J974" s="9" t="n">
        <v>1469116</v>
      </c>
      <c r="L974" s="9" t="n">
        <v>1469116</v>
      </c>
      <c r="M974" s="11" t="s">
        <v>52</v>
      </c>
      <c r="N974" s="11" t="s">
        <v>112</v>
      </c>
      <c r="P974" s="9" t="n">
        <v>113</v>
      </c>
      <c r="Q974" s="11" t="s">
        <v>46</v>
      </c>
      <c r="R974" s="11" t="s">
        <v>116</v>
      </c>
      <c r="S974" s="9" t="n">
        <v>1110203</v>
      </c>
      <c r="T974" s="11" t="s">
        <v>117</v>
      </c>
      <c r="U974" s="12" t="n">
        <v>2200</v>
      </c>
      <c r="W974" s="12" t="n">
        <v>2200</v>
      </c>
      <c r="X974" s="11" t="s">
        <v>960</v>
      </c>
      <c r="Z974" s="0" t="str">
        <f aca="false">IF($T974="","",IFERROR(INDEX('Resumo Grupos'!$AC$3:$AC$200,MATCH($T974,'Resumo Grupos'!$AB$3:$AB$200,0)),"n/d"))</f>
        <v>Despesa</v>
      </c>
      <c r="AA974" s="0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9" t="n">
        <v>2</v>
      </c>
      <c r="B975" s="10" t="n">
        <v>46217</v>
      </c>
      <c r="C975" s="10" t="n">
        <v>46223</v>
      </c>
      <c r="D975" s="9" t="n">
        <v>1631</v>
      </c>
      <c r="E975" s="11" t="s">
        <v>299</v>
      </c>
      <c r="F975" s="9" t="n">
        <v>24</v>
      </c>
      <c r="G975" s="11" t="s">
        <v>51</v>
      </c>
      <c r="H975" s="9" t="n">
        <v>2110405</v>
      </c>
      <c r="I975" s="11" t="s">
        <v>56</v>
      </c>
      <c r="J975" s="9" t="n">
        <v>1397440</v>
      </c>
      <c r="L975" s="9" t="n">
        <v>187938</v>
      </c>
      <c r="M975" s="11" t="s">
        <v>52</v>
      </c>
      <c r="N975" s="11" t="s">
        <v>45</v>
      </c>
      <c r="P975" s="9" t="n">
        <v>113</v>
      </c>
      <c r="Q975" s="11" t="s">
        <v>46</v>
      </c>
      <c r="R975" s="11" t="s">
        <v>47</v>
      </c>
      <c r="S975" s="9" t="n">
        <v>1130101</v>
      </c>
      <c r="T975" s="11" t="s">
        <v>48</v>
      </c>
      <c r="U975" s="12" t="n">
        <v>361.6</v>
      </c>
      <c r="W975" s="12" t="n">
        <v>0</v>
      </c>
      <c r="X975" s="11" t="s">
        <v>961</v>
      </c>
      <c r="Z975" s="0" t="str">
        <f aca="false">IF($T975="","",IFERROR(INDEX('Resumo Grupos'!$AC$3:$AC$200,MATCH($T975,'Resumo Grupos'!$AB$3:$AB$200,0)),"n/d"))</f>
        <v>Mercadoria</v>
      </c>
      <c r="AA975" s="0" t="str">
        <f aca="false">IF($T975="","",IF(COUNTIF('Resumo Grupos'!$AE$3:$AE$40,$T975)&gt;0,"NAO","SIM"))</f>
        <v>SIM</v>
      </c>
      <c r="AB975" s="0" t="str">
        <f aca="false">IFERROR(INDEX('Mov Entradas (Rel 10497)'!$L:$L,MATCH(AC975,'Mov Entradas (Rel 10497)'!$I:$I,0)),"nao encontrado")</f>
        <v>IOGURTE AMAZONGURT D</v>
      </c>
      <c r="AC975" s="0" t="n">
        <v>15127</v>
      </c>
    </row>
    <row r="976" customFormat="false" ht="12.75" hidden="false" customHeight="true" outlineLevel="0" collapsed="false">
      <c r="A976" s="9" t="n">
        <v>2</v>
      </c>
      <c r="B976" s="10" t="n">
        <v>46221</v>
      </c>
      <c r="C976" s="10" t="n">
        <v>46224</v>
      </c>
      <c r="D976" s="9" t="n">
        <v>642</v>
      </c>
      <c r="E976" s="11" t="s">
        <v>123</v>
      </c>
      <c r="F976" s="9" t="n">
        <v>24</v>
      </c>
      <c r="G976" s="11" t="s">
        <v>51</v>
      </c>
      <c r="H976" s="9" t="n">
        <v>2110405</v>
      </c>
      <c r="I976" s="11" t="s">
        <v>56</v>
      </c>
      <c r="J976" s="9" t="n">
        <v>1414961</v>
      </c>
      <c r="L976" s="9" t="n">
        <v>190754</v>
      </c>
      <c r="M976" s="11" t="s">
        <v>52</v>
      </c>
      <c r="N976" s="11" t="s">
        <v>45</v>
      </c>
      <c r="P976" s="9" t="n">
        <v>113</v>
      </c>
      <c r="Q976" s="11" t="s">
        <v>46</v>
      </c>
      <c r="R976" s="11" t="s">
        <v>47</v>
      </c>
      <c r="S976" s="9" t="n">
        <v>1130101</v>
      </c>
      <c r="T976" s="11" t="s">
        <v>48</v>
      </c>
      <c r="U976" s="12" t="n">
        <v>180</v>
      </c>
      <c r="W976" s="12" t="n">
        <v>0</v>
      </c>
      <c r="X976" s="11" t="s">
        <v>962</v>
      </c>
      <c r="Z976" s="0" t="str">
        <f aca="false">IF($T976="","",IFERROR(INDEX('Resumo Grupos'!$AC$3:$AC$200,MATCH($T976,'Resumo Grupos'!$AB$3:$AB$200,0)),"n/d"))</f>
        <v>Mercadoria</v>
      </c>
      <c r="AA976" s="0" t="str">
        <f aca="false">IF($T976="","",IF(COUNTIF('Resumo Grupos'!$AE$3:$AE$40,$T976)&gt;0,"NAO","SIM"))</f>
        <v>SIM</v>
      </c>
      <c r="AB976" s="0" t="str">
        <f aca="false">IFERROR(INDEX('Mov Entradas (Rel 10497)'!$L:$L,MATCH(AC976,'Mov Entradas (Rel 10497)'!$I:$I,0)),"nao encontrado")</f>
        <v>BOLO BLOOM 600G</v>
      </c>
      <c r="AC976" s="0" t="n">
        <v>535</v>
      </c>
    </row>
    <row r="977" customFormat="false" ht="12.75" hidden="false" customHeight="true" outlineLevel="0" collapsed="false">
      <c r="A977" s="9" t="n">
        <v>2</v>
      </c>
      <c r="B977" s="10" t="n">
        <v>46209</v>
      </c>
      <c r="C977" s="10" t="n">
        <v>46224</v>
      </c>
      <c r="D977" s="9" t="n">
        <v>1705</v>
      </c>
      <c r="E977" s="11" t="s">
        <v>130</v>
      </c>
      <c r="F977" s="9" t="n">
        <v>24</v>
      </c>
      <c r="G977" s="11" t="s">
        <v>51</v>
      </c>
      <c r="H977" s="9" t="n">
        <v>2110101</v>
      </c>
      <c r="I977" s="11" t="s">
        <v>43</v>
      </c>
      <c r="J977" s="9" t="n">
        <v>1360155</v>
      </c>
      <c r="L977" s="9" t="n">
        <v>1917880</v>
      </c>
      <c r="M977" s="11" t="s">
        <v>52</v>
      </c>
      <c r="N977" s="11" t="s">
        <v>37</v>
      </c>
      <c r="P977" s="9" t="n">
        <v>113</v>
      </c>
      <c r="Q977" s="11" t="s">
        <v>46</v>
      </c>
      <c r="R977" s="11" t="s">
        <v>47</v>
      </c>
      <c r="S977" s="9" t="n">
        <v>1130101</v>
      </c>
      <c r="T977" s="11" t="s">
        <v>48</v>
      </c>
      <c r="U977" s="12" t="n">
        <v>205.13</v>
      </c>
      <c r="W977" s="12" t="n">
        <v>0</v>
      </c>
      <c r="X977" s="11" t="s">
        <v>963</v>
      </c>
      <c r="Z977" s="0" t="str">
        <f aca="false">IF($T977="","",IFERROR(INDEX('Resumo Grupos'!$AC$3:$AC$200,MATCH($T977,'Resumo Grupos'!$AB$3:$AB$200,0)),"n/d"))</f>
        <v>Mercadoria</v>
      </c>
      <c r="AA977" s="0" t="str">
        <f aca="false">IF($T977="","",IF(COUNTIF('Resumo Grupos'!$AE$3:$AE$40,$T977)&gt;0,"NAO","SIM"))</f>
        <v>SIM</v>
      </c>
      <c r="AB977" s="0" t="str">
        <f aca="false">IFERROR(INDEX('Mov Entradas (Rel 10497)'!$L:$L,MATCH(AC977,'Mov Entradas (Rel 10497)'!$I:$I,0)),"nao encontrado")</f>
        <v>REFRI. COCA COLA SEM</v>
      </c>
      <c r="AC977" s="0" t="n">
        <v>1917880</v>
      </c>
    </row>
    <row r="978" customFormat="false" ht="12.75" hidden="false" customHeight="true" outlineLevel="0" collapsed="false">
      <c r="A978" s="9" t="n">
        <v>2</v>
      </c>
      <c r="B978" s="10" t="n">
        <v>46209</v>
      </c>
      <c r="C978" s="10" t="n">
        <v>46224</v>
      </c>
      <c r="D978" s="9" t="n">
        <v>1705</v>
      </c>
      <c r="E978" s="11" t="s">
        <v>130</v>
      </c>
      <c r="F978" s="9" t="n">
        <v>24</v>
      </c>
      <c r="G978" s="11" t="s">
        <v>51</v>
      </c>
      <c r="H978" s="9" t="n">
        <v>2110101</v>
      </c>
      <c r="I978" s="11" t="s">
        <v>43</v>
      </c>
      <c r="J978" s="9" t="n">
        <v>1360170</v>
      </c>
      <c r="L978" s="9" t="n">
        <v>1187912</v>
      </c>
      <c r="M978" s="11" t="s">
        <v>52</v>
      </c>
      <c r="N978" s="11" t="s">
        <v>37</v>
      </c>
      <c r="P978" s="9" t="n">
        <v>113</v>
      </c>
      <c r="Q978" s="11" t="s">
        <v>46</v>
      </c>
      <c r="R978" s="11" t="s">
        <v>47</v>
      </c>
      <c r="S978" s="9" t="n">
        <v>1130101</v>
      </c>
      <c r="T978" s="11" t="s">
        <v>48</v>
      </c>
      <c r="U978" s="12" t="n">
        <v>63.37</v>
      </c>
      <c r="W978" s="12" t="n">
        <v>0</v>
      </c>
      <c r="X978" s="11" t="s">
        <v>964</v>
      </c>
      <c r="Z978" s="0" t="str">
        <f aca="false">IF($T978="","",IFERROR(INDEX('Resumo Grupos'!$AC$3:$AC$200,MATCH($T978,'Resumo Grupos'!$AB$3:$AB$200,0)),"n/d"))</f>
        <v>Mercadoria</v>
      </c>
      <c r="AA978" s="0" t="str">
        <f aca="false">IF($T978="","",IF(COUNTIF('Resumo Grupos'!$AE$3:$AE$40,$T978)&gt;0,"NAO","SIM"))</f>
        <v>SIM</v>
      </c>
      <c r="AB978" s="0" t="str">
        <f aca="false">IFERROR(INDEX('Mov Entradas (Rel 10497)'!$L:$L,MATCH(AC978,'Mov Entradas (Rel 10497)'!$I:$I,0)),"nao encontrado")</f>
        <v>HEINEKEN SLEEK LT 35</v>
      </c>
      <c r="AC978" s="0" t="n">
        <v>1187912</v>
      </c>
    </row>
    <row r="979" customFormat="false" ht="12.75" hidden="false" customHeight="true" outlineLevel="0" collapsed="false">
      <c r="A979" s="9" t="n">
        <v>2</v>
      </c>
      <c r="B979" s="10" t="n">
        <v>46209</v>
      </c>
      <c r="C979" s="10" t="n">
        <v>46224</v>
      </c>
      <c r="D979" s="9" t="n">
        <v>1705</v>
      </c>
      <c r="E979" s="11" t="s">
        <v>130</v>
      </c>
      <c r="F979" s="9" t="n">
        <v>24</v>
      </c>
      <c r="G979" s="11" t="s">
        <v>51</v>
      </c>
      <c r="H979" s="9" t="n">
        <v>2110101</v>
      </c>
      <c r="I979" s="11" t="s">
        <v>43</v>
      </c>
      <c r="J979" s="9" t="n">
        <v>1360305</v>
      </c>
      <c r="L979" s="9" t="n">
        <v>1187910</v>
      </c>
      <c r="M979" s="11" t="s">
        <v>52</v>
      </c>
      <c r="N979" s="11" t="s">
        <v>37</v>
      </c>
      <c r="P979" s="9" t="n">
        <v>113</v>
      </c>
      <c r="Q979" s="11" t="s">
        <v>46</v>
      </c>
      <c r="R979" s="11" t="s">
        <v>47</v>
      </c>
      <c r="S979" s="9" t="n">
        <v>1130101</v>
      </c>
      <c r="T979" s="11" t="s">
        <v>48</v>
      </c>
      <c r="U979" s="12" t="n">
        <v>767.32</v>
      </c>
      <c r="W979" s="12" t="n">
        <v>0</v>
      </c>
      <c r="X979" s="11" t="s">
        <v>965</v>
      </c>
      <c r="Z979" s="0" t="str">
        <f aca="false">IF($T979="","",IFERROR(INDEX('Resumo Grupos'!$AC$3:$AC$200,MATCH($T979,'Resumo Grupos'!$AB$3:$AB$200,0)),"n/d"))</f>
        <v>Mercadoria</v>
      </c>
      <c r="AA979" s="0" t="str">
        <f aca="false">IF($T979="","",IF(COUNTIF('Resumo Grupos'!$AE$3:$AE$40,$T979)&gt;0,"NAO","SIM"))</f>
        <v>SIM</v>
      </c>
      <c r="AB979" s="0" t="str">
        <f aca="false">IFERROR(INDEX('Mov Entradas (Rel 10497)'!$L:$L,MATCH(AC979,'Mov Entradas (Rel 10497)'!$I:$I,0)),"nao encontrado")</f>
        <v>MONSTER ENERGY 473ML</v>
      </c>
      <c r="AC979" s="0" t="n">
        <v>1187910</v>
      </c>
    </row>
    <row r="980" customFormat="false" ht="12.75" hidden="false" customHeight="true" outlineLevel="0" collapsed="false">
      <c r="A980" s="9" t="n">
        <v>2</v>
      </c>
      <c r="B980" s="10" t="n">
        <v>46209</v>
      </c>
      <c r="C980" s="10" t="n">
        <v>46224</v>
      </c>
      <c r="D980" s="9" t="n">
        <v>1705</v>
      </c>
      <c r="E980" s="11" t="s">
        <v>130</v>
      </c>
      <c r="F980" s="9" t="n">
        <v>24</v>
      </c>
      <c r="G980" s="11" t="s">
        <v>51</v>
      </c>
      <c r="H980" s="9" t="n">
        <v>2110101</v>
      </c>
      <c r="I980" s="11" t="s">
        <v>43</v>
      </c>
      <c r="J980" s="9" t="n">
        <v>1360368</v>
      </c>
      <c r="L980" s="9" t="n">
        <v>182678</v>
      </c>
      <c r="M980" s="11" t="s">
        <v>52</v>
      </c>
      <c r="N980" s="11" t="s">
        <v>45</v>
      </c>
      <c r="P980" s="9" t="n">
        <v>113</v>
      </c>
      <c r="Q980" s="11" t="s">
        <v>46</v>
      </c>
      <c r="R980" s="11" t="s">
        <v>47</v>
      </c>
      <c r="S980" s="9" t="n">
        <v>1130101</v>
      </c>
      <c r="T980" s="11" t="s">
        <v>48</v>
      </c>
      <c r="U980" s="12" t="n">
        <v>3649.01</v>
      </c>
      <c r="W980" s="12" t="n">
        <v>0</v>
      </c>
      <c r="X980" s="11" t="s">
        <v>966</v>
      </c>
      <c r="Z980" s="0" t="str">
        <f aca="false">IF($T980="","",IFERROR(INDEX('Resumo Grupos'!$AC$3:$AC$200,MATCH($T980,'Resumo Grupos'!$AB$3:$AB$200,0)),"n/d"))</f>
        <v>Mercadoria</v>
      </c>
      <c r="AA980" s="0" t="str">
        <f aca="false">IF($T980="","",IF(COUNTIF('Resumo Grupos'!$AE$3:$AE$40,$T980)&gt;0,"NAO","SIM"))</f>
        <v>SIM</v>
      </c>
      <c r="AB980" s="0" t="str">
        <f aca="false">IFERROR(INDEX('Mov Entradas (Rel 10497)'!$L:$L,MATCH(AC980,'Mov Entradas (Rel 10497)'!$I:$I,0)),"nao encontrado")</f>
        <v>FANTA LAR 1,5L</v>
      </c>
      <c r="AC980" s="0" t="n">
        <v>1917854</v>
      </c>
    </row>
    <row r="981" customFormat="false" ht="12.75" hidden="false" customHeight="true" outlineLevel="0" collapsed="false">
      <c r="A981" s="9" t="n">
        <v>2</v>
      </c>
      <c r="B981" s="10" t="n">
        <v>46217</v>
      </c>
      <c r="C981" s="10" t="n">
        <v>46224</v>
      </c>
      <c r="D981" s="9" t="n">
        <v>1642</v>
      </c>
      <c r="E981" s="11" t="s">
        <v>228</v>
      </c>
      <c r="F981" s="9" t="n">
        <v>24</v>
      </c>
      <c r="G981" s="11" t="s">
        <v>51</v>
      </c>
      <c r="H981" s="9" t="n">
        <v>2110101</v>
      </c>
      <c r="I981" s="11" t="s">
        <v>43</v>
      </c>
      <c r="J981" s="9" t="n">
        <v>1396745</v>
      </c>
      <c r="L981" s="9" t="n">
        <v>1031749</v>
      </c>
      <c r="M981" s="11" t="s">
        <v>52</v>
      </c>
      <c r="N981" s="11" t="s">
        <v>37</v>
      </c>
      <c r="P981" s="9" t="n">
        <v>113</v>
      </c>
      <c r="Q981" s="11" t="s">
        <v>46</v>
      </c>
      <c r="R981" s="11" t="s">
        <v>47</v>
      </c>
      <c r="S981" s="9" t="n">
        <v>1130101</v>
      </c>
      <c r="T981" s="11" t="s">
        <v>48</v>
      </c>
      <c r="U981" s="12" t="n">
        <v>261.92</v>
      </c>
      <c r="W981" s="12" t="n">
        <v>0</v>
      </c>
      <c r="X981" s="11" t="s">
        <v>967</v>
      </c>
      <c r="Z981" s="0" t="str">
        <f aca="false">IF($T981="","",IFERROR(INDEX('Resumo Grupos'!$AC$3:$AC$200,MATCH($T981,'Resumo Grupos'!$AB$3:$AB$200,0)),"n/d"))</f>
        <v>Mercadoria</v>
      </c>
      <c r="AA981" s="0" t="str">
        <f aca="false">IF($T981="","",IF(COUNTIF('Resumo Grupos'!$AE$3:$AE$40,$T981)&gt;0,"NAO","SIM"))</f>
        <v>SIM</v>
      </c>
      <c r="AB981" s="0" t="str">
        <f aca="false">IFERROR(INDEX('Mov Entradas (Rel 10497)'!$L:$L,MATCH(AC981,'Mov Entradas (Rel 10497)'!$I:$I,0)),"nao encontrado")</f>
        <v>PAO TORRADO BROTHERS</v>
      </c>
      <c r="AC981" s="0" t="n">
        <v>1031749</v>
      </c>
    </row>
    <row r="982" customFormat="false" ht="12.75" hidden="false" customHeight="true" outlineLevel="0" collapsed="false">
      <c r="A982" s="9" t="n">
        <v>2</v>
      </c>
      <c r="B982" s="10" t="n">
        <v>46224</v>
      </c>
      <c r="C982" s="10" t="n">
        <v>46224</v>
      </c>
      <c r="D982" s="9" t="n">
        <v>1758</v>
      </c>
      <c r="E982" s="11" t="s">
        <v>478</v>
      </c>
      <c r="F982" s="9" t="n">
        <v>34</v>
      </c>
      <c r="G982" s="11" t="s">
        <v>55</v>
      </c>
      <c r="H982" s="9" t="n">
        <v>2110405</v>
      </c>
      <c r="I982" s="11" t="s">
        <v>56</v>
      </c>
      <c r="J982" s="9" t="n">
        <v>1429802</v>
      </c>
      <c r="L982" s="9" t="n">
        <v>192120</v>
      </c>
      <c r="M982" s="11" t="s">
        <v>52</v>
      </c>
      <c r="N982" s="11" t="s">
        <v>45</v>
      </c>
      <c r="P982" s="9" t="n">
        <v>101</v>
      </c>
      <c r="Q982" s="11" t="s">
        <v>57</v>
      </c>
      <c r="R982" s="11" t="s">
        <v>39</v>
      </c>
      <c r="S982" s="9" t="n">
        <v>4210215</v>
      </c>
      <c r="T982" s="11" t="s">
        <v>968</v>
      </c>
      <c r="U982" s="12" t="n">
        <v>301.61</v>
      </c>
      <c r="W982" s="12" t="n">
        <v>0</v>
      </c>
      <c r="X982" s="11" t="s">
        <v>969</v>
      </c>
      <c r="Z982" s="0" t="str">
        <f aca="false">IF($T982="","",IFERROR(INDEX('Resumo Grupos'!$AC$3:$AC$200,MATCH($T982,'Resumo Grupos'!$AB$3:$AB$200,0)),"n/d"))</f>
        <v>Despesa</v>
      </c>
      <c r="AA982" s="0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9" t="n">
        <v>2</v>
      </c>
      <c r="B983" s="10" t="n">
        <v>46195</v>
      </c>
      <c r="C983" s="10" t="n">
        <v>46224</v>
      </c>
      <c r="D983" s="9" t="n">
        <v>1608</v>
      </c>
      <c r="E983" s="11" t="s">
        <v>240</v>
      </c>
      <c r="F983" s="9" t="n">
        <v>24</v>
      </c>
      <c r="G983" s="11" t="s">
        <v>51</v>
      </c>
      <c r="H983" s="9" t="n">
        <v>2110101</v>
      </c>
      <c r="I983" s="11" t="s">
        <v>43</v>
      </c>
      <c r="J983" s="9" t="n">
        <v>1289428</v>
      </c>
      <c r="L983" s="9" t="n">
        <v>1678138</v>
      </c>
      <c r="M983" s="11" t="s">
        <v>52</v>
      </c>
      <c r="N983" s="11" t="s">
        <v>37</v>
      </c>
      <c r="P983" s="9" t="n">
        <v>113</v>
      </c>
      <c r="Q983" s="11" t="s">
        <v>46</v>
      </c>
      <c r="R983" s="11" t="s">
        <v>47</v>
      </c>
      <c r="S983" s="9" t="n">
        <v>1130101</v>
      </c>
      <c r="T983" s="11" t="s">
        <v>48</v>
      </c>
      <c r="U983" s="12" t="n">
        <v>724</v>
      </c>
      <c r="W983" s="12" t="n">
        <v>0</v>
      </c>
      <c r="X983" s="11" t="s">
        <v>970</v>
      </c>
      <c r="Z983" s="0" t="str">
        <f aca="false">IF($T983="","",IFERROR(INDEX('Resumo Grupos'!$AC$3:$AC$200,MATCH($T983,'Resumo Grupos'!$AB$3:$AB$200,0)),"n/d"))</f>
        <v>Mercadoria</v>
      </c>
      <c r="AA983" s="0" t="str">
        <f aca="false">IF($T983="","",IF(COUNTIF('Resumo Grupos'!$AE$3:$AE$40,$T983)&gt;0,"NAO","SIM"))</f>
        <v>SIM</v>
      </c>
      <c r="AB983" s="0" t="str">
        <f aca="false">IFERROR(INDEX('Mov Entradas (Rel 10497)'!$L:$L,MATCH(AC983,'Mov Entradas (Rel 10497)'!$I:$I,0)),"nao encontrado")</f>
        <v>CHEETOS BOLA 33G</v>
      </c>
      <c r="AC983" s="0" t="n">
        <v>1678138</v>
      </c>
    </row>
    <row r="984" customFormat="false" ht="12.75" hidden="false" customHeight="true" outlineLevel="0" collapsed="false">
      <c r="A984" s="9" t="n">
        <v>2</v>
      </c>
      <c r="B984" s="10" t="n">
        <v>46224</v>
      </c>
      <c r="C984" s="10" t="n">
        <v>46224</v>
      </c>
      <c r="D984" s="9" t="n">
        <v>1037</v>
      </c>
      <c r="E984" s="11" t="s">
        <v>134</v>
      </c>
      <c r="F984" s="9" t="n">
        <v>34</v>
      </c>
      <c r="G984" s="11" t="s">
        <v>55</v>
      </c>
      <c r="H984" s="9" t="n">
        <v>2110405</v>
      </c>
      <c r="I984" s="11" t="s">
        <v>56</v>
      </c>
      <c r="J984" s="9" t="n">
        <v>1429221</v>
      </c>
      <c r="L984" s="9" t="n">
        <v>191683</v>
      </c>
      <c r="M984" s="11" t="s">
        <v>52</v>
      </c>
      <c r="N984" s="11" t="s">
        <v>45</v>
      </c>
      <c r="P984" s="9" t="n">
        <v>113</v>
      </c>
      <c r="Q984" s="11" t="s">
        <v>46</v>
      </c>
      <c r="R984" s="11" t="s">
        <v>47</v>
      </c>
      <c r="S984" s="9" t="n">
        <v>1130101</v>
      </c>
      <c r="T984" s="11" t="s">
        <v>48</v>
      </c>
      <c r="U984" s="12" t="n">
        <v>190</v>
      </c>
      <c r="W984" s="12" t="n">
        <v>0</v>
      </c>
      <c r="X984" s="11" t="s">
        <v>971</v>
      </c>
      <c r="Z984" s="0" t="str">
        <f aca="false">IF($T984="","",IFERROR(INDEX('Resumo Grupos'!$AC$3:$AC$200,MATCH($T984,'Resumo Grupos'!$AB$3:$AB$200,0)),"n/d"))</f>
        <v>Mercadoria</v>
      </c>
      <c r="AA984" s="0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9" t="n">
        <v>2</v>
      </c>
      <c r="B985" s="10" t="n">
        <v>46224</v>
      </c>
      <c r="C985" s="10" t="n">
        <v>46224</v>
      </c>
      <c r="D985" s="9" t="n">
        <v>1037</v>
      </c>
      <c r="E985" s="11" t="s">
        <v>134</v>
      </c>
      <c r="F985" s="9" t="n">
        <v>34</v>
      </c>
      <c r="G985" s="11" t="s">
        <v>55</v>
      </c>
      <c r="H985" s="9" t="n">
        <v>2110405</v>
      </c>
      <c r="I985" s="11" t="s">
        <v>56</v>
      </c>
      <c r="J985" s="9" t="n">
        <v>1434276</v>
      </c>
      <c r="L985" s="9" t="n">
        <v>193648</v>
      </c>
      <c r="M985" s="11" t="s">
        <v>52</v>
      </c>
      <c r="N985" s="11" t="s">
        <v>45</v>
      </c>
      <c r="P985" s="9" t="n">
        <v>102</v>
      </c>
      <c r="Q985" s="11" t="s">
        <v>308</v>
      </c>
      <c r="R985" s="11" t="s">
        <v>81</v>
      </c>
      <c r="S985" s="9" t="n">
        <v>4220199</v>
      </c>
      <c r="T985" s="11" t="s">
        <v>82</v>
      </c>
      <c r="U985" s="12" t="n">
        <v>4888</v>
      </c>
      <c r="W985" s="12" t="n">
        <v>0</v>
      </c>
      <c r="X985" s="11" t="s">
        <v>972</v>
      </c>
      <c r="Z985" s="0" t="str">
        <f aca="false">IF($T985="","",IFERROR(INDEX('Resumo Grupos'!$AC$3:$AC$200,MATCH($T985,'Resumo Grupos'!$AB$3:$AB$200,0)),"n/d"))</f>
        <v>Pagamentos outros não operacionais</v>
      </c>
      <c r="AA985" s="0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9" t="n">
        <v>2</v>
      </c>
      <c r="B986" s="10" t="n">
        <v>46206</v>
      </c>
      <c r="C986" s="10" t="n">
        <v>46224</v>
      </c>
      <c r="D986" s="9" t="n">
        <v>1672</v>
      </c>
      <c r="E986" s="11" t="s">
        <v>343</v>
      </c>
      <c r="F986" s="9" t="n">
        <v>24</v>
      </c>
      <c r="G986" s="11" t="s">
        <v>51</v>
      </c>
      <c r="H986" s="9" t="n">
        <v>2110101</v>
      </c>
      <c r="I986" s="11" t="s">
        <v>43</v>
      </c>
      <c r="J986" s="9" t="n">
        <v>1344368</v>
      </c>
      <c r="L986" s="9" t="n">
        <v>1385251</v>
      </c>
      <c r="M986" s="11" t="s">
        <v>52</v>
      </c>
      <c r="N986" s="11" t="s">
        <v>37</v>
      </c>
      <c r="P986" s="9" t="n">
        <v>113</v>
      </c>
      <c r="Q986" s="11" t="s">
        <v>46</v>
      </c>
      <c r="R986" s="11" t="s">
        <v>47</v>
      </c>
      <c r="S986" s="9" t="n">
        <v>1130101</v>
      </c>
      <c r="T986" s="11" t="s">
        <v>48</v>
      </c>
      <c r="U986" s="12" t="n">
        <v>1209.4</v>
      </c>
      <c r="W986" s="12" t="n">
        <v>0</v>
      </c>
      <c r="X986" s="11" t="s">
        <v>973</v>
      </c>
      <c r="Z986" s="0" t="str">
        <f aca="false">IF($T986="","",IFERROR(INDEX('Resumo Grupos'!$AC$3:$AC$200,MATCH($T986,'Resumo Grupos'!$AB$3:$AB$200,0)),"n/d"))</f>
        <v>Mercadoria</v>
      </c>
      <c r="AA986" s="0" t="str">
        <f aca="false">IF($T986="","",IF(COUNTIF('Resumo Grupos'!$AE$3:$AE$40,$T986)&gt;0,"NAO","SIM"))</f>
        <v>SIM</v>
      </c>
      <c r="AB986" s="0" t="str">
        <f aca="false">IFERROR(INDEX('Mov Entradas (Rel 10497)'!$L:$L,MATCH(AC986,'Mov Entradas (Rel 10497)'!$I:$I,0)),"nao encontrado")</f>
        <v>AGUA MINERAL YARA 2L</v>
      </c>
      <c r="AC986" s="0" t="n">
        <v>1385251</v>
      </c>
    </row>
    <row r="987" customFormat="false" ht="12.75" hidden="false" customHeight="true" outlineLevel="0" collapsed="false">
      <c r="A987" s="9" t="n">
        <v>2</v>
      </c>
      <c r="B987" s="10" t="n">
        <v>46204</v>
      </c>
      <c r="C987" s="10" t="n">
        <v>46224</v>
      </c>
      <c r="D987" s="9" t="n">
        <v>1611</v>
      </c>
      <c r="E987" s="11" t="s">
        <v>178</v>
      </c>
      <c r="F987" s="9" t="n">
        <v>24</v>
      </c>
      <c r="G987" s="11" t="s">
        <v>51</v>
      </c>
      <c r="H987" s="9" t="n">
        <v>2110101</v>
      </c>
      <c r="I987" s="11" t="s">
        <v>43</v>
      </c>
      <c r="J987" s="9" t="n">
        <v>1333898</v>
      </c>
      <c r="L987" s="9" t="n">
        <v>1777487</v>
      </c>
      <c r="M987" s="11" t="s">
        <v>44</v>
      </c>
      <c r="N987" s="11" t="s">
        <v>37</v>
      </c>
      <c r="P987" s="9" t="n">
        <v>113</v>
      </c>
      <c r="Q987" s="11" t="s">
        <v>46</v>
      </c>
      <c r="R987" s="11" t="s">
        <v>47</v>
      </c>
      <c r="S987" s="9" t="n">
        <v>1130101</v>
      </c>
      <c r="T987" s="11" t="s">
        <v>48</v>
      </c>
      <c r="U987" s="12" t="n">
        <v>542.11</v>
      </c>
      <c r="W987" s="12" t="n">
        <v>0</v>
      </c>
      <c r="X987" s="11" t="s">
        <v>891</v>
      </c>
      <c r="Z987" s="0" t="str">
        <f aca="false">IF($T987="","",IFERROR(INDEX('Resumo Grupos'!$AC$3:$AC$200,MATCH($T987,'Resumo Grupos'!$AB$3:$AB$200,0)),"n/d"))</f>
        <v>Mercadoria</v>
      </c>
      <c r="AA987" s="0" t="str">
        <f aca="false">IF($T987="","",IF(COUNTIF('Resumo Grupos'!$AE$3:$AE$40,$T987)&gt;0,"NAO","SIM"))</f>
        <v>SIM</v>
      </c>
      <c r="AB987" s="0" t="str">
        <f aca="false">IFERROR(INDEX('Mov Entradas (Rel 10497)'!$L:$L,MATCH(AC987,'Mov Entradas (Rel 10497)'!$I:$I,0)),"nao encontrado")</f>
        <v>FIGURINHAS COPA MUNDIAL PC 7UN</v>
      </c>
      <c r="AC987" s="0" t="n">
        <v>1777487</v>
      </c>
    </row>
    <row r="988" customFormat="false" ht="12.75" hidden="false" customHeight="true" outlineLevel="0" collapsed="false">
      <c r="A988" s="9" t="n">
        <v>2</v>
      </c>
      <c r="B988" s="10" t="n">
        <v>46219</v>
      </c>
      <c r="C988" s="10" t="n">
        <v>46224</v>
      </c>
      <c r="D988" s="9" t="n">
        <v>10009</v>
      </c>
      <c r="E988" s="11" t="s">
        <v>464</v>
      </c>
      <c r="F988" s="9" t="n">
        <v>24</v>
      </c>
      <c r="G988" s="11" t="s">
        <v>51</v>
      </c>
      <c r="H988" s="9" t="n">
        <v>2110405</v>
      </c>
      <c r="I988" s="11" t="s">
        <v>56</v>
      </c>
      <c r="J988" s="9" t="n">
        <v>1406007</v>
      </c>
      <c r="L988" s="9" t="n">
        <v>189277</v>
      </c>
      <c r="M988" s="11" t="s">
        <v>52</v>
      </c>
      <c r="N988" s="11" t="s">
        <v>45</v>
      </c>
      <c r="P988" s="9" t="n">
        <v>113</v>
      </c>
      <c r="Q988" s="11" t="s">
        <v>46</v>
      </c>
      <c r="R988" s="11" t="s">
        <v>47</v>
      </c>
      <c r="S988" s="9" t="n">
        <v>1130101</v>
      </c>
      <c r="T988" s="11" t="s">
        <v>48</v>
      </c>
      <c r="U988" s="12" t="n">
        <v>712.57</v>
      </c>
      <c r="W988" s="12" t="n">
        <v>0</v>
      </c>
      <c r="X988" s="11" t="s">
        <v>974</v>
      </c>
      <c r="Z988" s="0" t="str">
        <f aca="false">IF($T988="","",IFERROR(INDEX('Resumo Grupos'!$AC$3:$AC$200,MATCH($T988,'Resumo Grupos'!$AB$3:$AB$200,0)),"n/d"))</f>
        <v>Mercadoria</v>
      </c>
      <c r="AA988" s="0" t="str">
        <f aca="false">IF($T988="","",IF(COUNTIF('Resumo Grupos'!$AE$3:$AE$40,$T988)&gt;0,"NAO","SIM"))</f>
        <v>SIM</v>
      </c>
      <c r="AB988" s="0" t="str">
        <f aca="false">IFERROR(INDEX('Mov Entradas (Rel 10497)'!$L:$L,MATCH(AC988,'Mov Entradas (Rel 10497)'!$I:$I,0)),"nao encontrado")</f>
        <v>BATON CHOCO AO LEITE</v>
      </c>
      <c r="AC988" s="0" t="n">
        <v>1427668</v>
      </c>
    </row>
    <row r="989" customFormat="false" ht="12.75" hidden="false" customHeight="true" outlineLevel="0" collapsed="false">
      <c r="A989" s="9" t="n">
        <v>2</v>
      </c>
      <c r="B989" s="10" t="n">
        <v>46224</v>
      </c>
      <c r="C989" s="10" t="n">
        <v>46224</v>
      </c>
      <c r="D989" s="9" t="n">
        <v>48</v>
      </c>
      <c r="E989" s="11" t="s">
        <v>153</v>
      </c>
      <c r="F989" s="9" t="n">
        <v>34</v>
      </c>
      <c r="G989" s="11" t="s">
        <v>55</v>
      </c>
      <c r="H989" s="9" t="n">
        <v>2110101</v>
      </c>
      <c r="I989" s="11" t="s">
        <v>43</v>
      </c>
      <c r="J989" s="9" t="n">
        <v>1429010</v>
      </c>
      <c r="L989" s="9" t="n">
        <v>2554</v>
      </c>
      <c r="M989" s="11" t="s">
        <v>52</v>
      </c>
      <c r="N989" s="11" t="s">
        <v>37</v>
      </c>
      <c r="P989" s="9" t="n">
        <v>113</v>
      </c>
      <c r="Q989" s="11" t="s">
        <v>46</v>
      </c>
      <c r="R989" s="11" t="s">
        <v>47</v>
      </c>
      <c r="S989" s="9" t="n">
        <v>1130101</v>
      </c>
      <c r="T989" s="11" t="s">
        <v>48</v>
      </c>
      <c r="U989" s="12" t="n">
        <v>1446.94</v>
      </c>
      <c r="W989" s="12" t="n">
        <v>0</v>
      </c>
      <c r="X989" s="11" t="s">
        <v>442</v>
      </c>
      <c r="Z989" s="0" t="str">
        <f aca="false">IF($T989="","",IFERROR(INDEX('Resumo Grupos'!$AC$3:$AC$200,MATCH($T989,'Resumo Grupos'!$AB$3:$AB$200,0)),"n/d"))</f>
        <v>Mercadoria</v>
      </c>
      <c r="AA989" s="0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9" t="n">
        <v>2</v>
      </c>
      <c r="B990" s="10" t="n">
        <v>46224</v>
      </c>
      <c r="C990" s="10" t="n">
        <v>46224</v>
      </c>
      <c r="D990" s="9" t="n">
        <v>48</v>
      </c>
      <c r="E990" s="11" t="s">
        <v>153</v>
      </c>
      <c r="F990" s="9" t="n">
        <v>34</v>
      </c>
      <c r="G990" s="11" t="s">
        <v>55</v>
      </c>
      <c r="H990" s="9" t="n">
        <v>2110101</v>
      </c>
      <c r="I990" s="11" t="s">
        <v>43</v>
      </c>
      <c r="J990" s="9" t="n">
        <v>1429542</v>
      </c>
      <c r="L990" s="9" t="n">
        <v>2555</v>
      </c>
      <c r="M990" s="11" t="s">
        <v>52</v>
      </c>
      <c r="N990" s="11" t="s">
        <v>37</v>
      </c>
      <c r="P990" s="9" t="n">
        <v>113</v>
      </c>
      <c r="Q990" s="11" t="s">
        <v>46</v>
      </c>
      <c r="R990" s="11" t="s">
        <v>47</v>
      </c>
      <c r="S990" s="9" t="n">
        <v>1130101</v>
      </c>
      <c r="T990" s="11" t="s">
        <v>48</v>
      </c>
      <c r="U990" s="12" t="n">
        <v>55</v>
      </c>
      <c r="W990" s="12" t="n">
        <v>0</v>
      </c>
      <c r="X990" s="11" t="s">
        <v>975</v>
      </c>
      <c r="Z990" s="0" t="str">
        <f aca="false">IF($T990="","",IFERROR(INDEX('Resumo Grupos'!$AC$3:$AC$200,MATCH($T990,'Resumo Grupos'!$AB$3:$AB$200,0)),"n/d"))</f>
        <v>Mercadoria</v>
      </c>
      <c r="AA990" s="0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9" t="n">
        <v>2</v>
      </c>
      <c r="B991" s="10" t="n">
        <v>46224</v>
      </c>
      <c r="C991" s="10" t="n">
        <v>46224</v>
      </c>
      <c r="D991" s="9" t="n">
        <v>48</v>
      </c>
      <c r="E991" s="11" t="s">
        <v>153</v>
      </c>
      <c r="F991" s="9" t="n">
        <v>13</v>
      </c>
      <c r="G991" s="11" t="s">
        <v>135</v>
      </c>
      <c r="H991" s="9" t="n">
        <v>2110101</v>
      </c>
      <c r="I991" s="11" t="s">
        <v>43</v>
      </c>
      <c r="J991" s="9" t="n">
        <v>1429592</v>
      </c>
      <c r="L991" s="9" t="n">
        <v>2556</v>
      </c>
      <c r="M991" s="11" t="s">
        <v>52</v>
      </c>
      <c r="N991" s="11" t="s">
        <v>37</v>
      </c>
      <c r="P991" s="9" t="n">
        <v>113</v>
      </c>
      <c r="Q991" s="11" t="s">
        <v>46</v>
      </c>
      <c r="R991" s="11" t="s">
        <v>47</v>
      </c>
      <c r="S991" s="9" t="n">
        <v>1130101</v>
      </c>
      <c r="T991" s="11" t="s">
        <v>48</v>
      </c>
      <c r="U991" s="12" t="n">
        <v>210</v>
      </c>
      <c r="W991" s="12" t="n">
        <v>210</v>
      </c>
      <c r="X991" s="11" t="s">
        <v>976</v>
      </c>
      <c r="Z991" s="0" t="str">
        <f aca="false">IF($T991="","",IFERROR(INDEX('Resumo Grupos'!$AC$3:$AC$200,MATCH($T991,'Resumo Grupos'!$AB$3:$AB$200,0)),"n/d"))</f>
        <v>Mercadoria</v>
      </c>
      <c r="AA991" s="0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9" t="n">
        <v>2</v>
      </c>
      <c r="B992" s="10" t="n">
        <v>46214</v>
      </c>
      <c r="C992" s="10" t="n">
        <v>46224</v>
      </c>
      <c r="D992" s="9" t="n">
        <v>666</v>
      </c>
      <c r="E992" s="11" t="s">
        <v>417</v>
      </c>
      <c r="F992" s="9" t="n">
        <v>24</v>
      </c>
      <c r="G992" s="11" t="s">
        <v>51</v>
      </c>
      <c r="H992" s="9" t="n">
        <v>2110101</v>
      </c>
      <c r="I992" s="11" t="s">
        <v>43</v>
      </c>
      <c r="J992" s="9" t="n">
        <v>1381906</v>
      </c>
      <c r="L992" s="9" t="n">
        <v>7874</v>
      </c>
      <c r="M992" s="11" t="s">
        <v>44</v>
      </c>
      <c r="N992" s="11" t="s">
        <v>37</v>
      </c>
      <c r="P992" s="9" t="n">
        <v>113</v>
      </c>
      <c r="Q992" s="11" t="s">
        <v>46</v>
      </c>
      <c r="R992" s="11" t="s">
        <v>47</v>
      </c>
      <c r="S992" s="9" t="n">
        <v>1130101</v>
      </c>
      <c r="T992" s="11" t="s">
        <v>48</v>
      </c>
      <c r="U992" s="12" t="n">
        <v>378.88</v>
      </c>
      <c r="W992" s="12" t="n">
        <v>0</v>
      </c>
      <c r="X992" s="11" t="s">
        <v>894</v>
      </c>
      <c r="Z992" s="0" t="str">
        <f aca="false">IF($T992="","",IFERROR(INDEX('Resumo Grupos'!$AC$3:$AC$200,MATCH($T992,'Resumo Grupos'!$AB$3:$AB$200,0)),"n/d"))</f>
        <v>Mercadoria</v>
      </c>
      <c r="AA992" s="0" t="str">
        <f aca="false">IF($T992="","",IF(COUNTIF('Resumo Grupos'!$AE$3:$AE$40,$T992)&gt;0,"NAO","SIM"))</f>
        <v>SIM</v>
      </c>
      <c r="AB992" s="0" t="str">
        <f aca="false">IFERROR(INDEX('Mov Entradas (Rel 10497)'!$L:$L,MATCH(AC992,'Mov Entradas (Rel 10497)'!$I:$I,0)),"nao encontrado")</f>
        <v>RACAO SABOR CAT KG</v>
      </c>
      <c r="AC992" s="0" t="n">
        <v>7874</v>
      </c>
    </row>
    <row r="993" customFormat="false" ht="12.75" hidden="false" customHeight="true" outlineLevel="0" collapsed="false">
      <c r="A993" s="9" t="n">
        <v>2</v>
      </c>
      <c r="B993" s="10" t="n">
        <v>46220</v>
      </c>
      <c r="C993" s="10" t="n">
        <v>46224</v>
      </c>
      <c r="D993" s="9" t="n">
        <v>1899</v>
      </c>
      <c r="E993" s="11" t="s">
        <v>204</v>
      </c>
      <c r="F993" s="9" t="n">
        <v>24</v>
      </c>
      <c r="G993" s="11" t="s">
        <v>51</v>
      </c>
      <c r="H993" s="9" t="n">
        <v>2110405</v>
      </c>
      <c r="I993" s="11" t="s">
        <v>56</v>
      </c>
      <c r="J993" s="9" t="n">
        <v>1410473</v>
      </c>
      <c r="L993" s="9" t="n">
        <v>190060</v>
      </c>
      <c r="M993" s="11" t="s">
        <v>52</v>
      </c>
      <c r="N993" s="11" t="s">
        <v>45</v>
      </c>
      <c r="P993" s="9" t="n">
        <v>113</v>
      </c>
      <c r="Q993" s="11" t="s">
        <v>46</v>
      </c>
      <c r="R993" s="11" t="s">
        <v>47</v>
      </c>
      <c r="S993" s="9" t="n">
        <v>1130101</v>
      </c>
      <c r="T993" s="11" t="s">
        <v>48</v>
      </c>
      <c r="U993" s="12" t="n">
        <v>184.9</v>
      </c>
      <c r="W993" s="12" t="n">
        <v>0</v>
      </c>
      <c r="X993" s="11" t="s">
        <v>977</v>
      </c>
      <c r="Z993" s="0" t="str">
        <f aca="false">IF($T993="","",IFERROR(INDEX('Resumo Grupos'!$AC$3:$AC$200,MATCH($T993,'Resumo Grupos'!$AB$3:$AB$200,0)),"n/d"))</f>
        <v>Mercadoria</v>
      </c>
      <c r="AA993" s="0" t="str">
        <f aca="false">IF($T993="","",IF(COUNTIF('Resumo Grupos'!$AE$3:$AE$40,$T993)&gt;0,"NAO","SIM"))</f>
        <v>SIM</v>
      </c>
      <c r="AB993" s="0" t="str">
        <f aca="false">IFERROR(INDEX('Mov Entradas (Rel 10497)'!$L:$L,MATCH(AC993,'Mov Entradas (Rel 10497)'!$I:$I,0)),"nao encontrado")</f>
        <v>PAO DE FORMA REAL MA</v>
      </c>
      <c r="AC993" s="0" t="n">
        <v>719</v>
      </c>
    </row>
    <row r="994" customFormat="false" ht="12.75" hidden="false" customHeight="true" outlineLevel="0" collapsed="false">
      <c r="A994" s="9" t="n">
        <v>2</v>
      </c>
      <c r="B994" s="10" t="n">
        <v>46224</v>
      </c>
      <c r="C994" s="10" t="n">
        <v>46224</v>
      </c>
      <c r="D994" s="9" t="n">
        <v>0</v>
      </c>
      <c r="E994" s="11" t="s">
        <v>109</v>
      </c>
      <c r="F994" s="9" t="n">
        <v>17</v>
      </c>
      <c r="G994" s="11" t="s">
        <v>110</v>
      </c>
      <c r="H994" s="9" t="n">
        <v>1110101</v>
      </c>
      <c r="I994" s="11" t="s">
        <v>111</v>
      </c>
      <c r="J994" s="9" t="n">
        <v>1435679</v>
      </c>
      <c r="L994" s="9" t="n">
        <v>1435679</v>
      </c>
      <c r="M994" s="11" t="s">
        <v>52</v>
      </c>
      <c r="N994" s="11" t="s">
        <v>112</v>
      </c>
      <c r="P994" s="9" t="n">
        <v>113</v>
      </c>
      <c r="Q994" s="11" t="s">
        <v>46</v>
      </c>
      <c r="R994" s="11" t="s">
        <v>71</v>
      </c>
      <c r="S994" s="9" t="n">
        <v>4210314</v>
      </c>
      <c r="T994" s="11" t="s">
        <v>113</v>
      </c>
      <c r="U994" s="12" t="n">
        <v>50</v>
      </c>
      <c r="W994" s="12" t="n">
        <v>50</v>
      </c>
      <c r="X994" s="11" t="s">
        <v>368</v>
      </c>
      <c r="Z994" s="0" t="str">
        <f aca="false">IF($T994="","",IFERROR(INDEX('Resumo Grupos'!$AC$3:$AC$200,MATCH($T994,'Resumo Grupos'!$AB$3:$AB$200,0)),"n/d"))</f>
        <v>Despesa</v>
      </c>
      <c r="AA994" s="0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9" t="n">
        <v>2</v>
      </c>
      <c r="B995" s="10" t="n">
        <v>46224</v>
      </c>
      <c r="C995" s="10" t="n">
        <v>46224</v>
      </c>
      <c r="D995" s="9" t="n">
        <v>0</v>
      </c>
      <c r="E995" s="11" t="s">
        <v>109</v>
      </c>
      <c r="F995" s="9" t="n">
        <v>17</v>
      </c>
      <c r="G995" s="11" t="s">
        <v>110</v>
      </c>
      <c r="H995" s="9" t="n">
        <v>1110101</v>
      </c>
      <c r="I995" s="11" t="s">
        <v>111</v>
      </c>
      <c r="J995" s="9" t="n">
        <v>1435680</v>
      </c>
      <c r="L995" s="9" t="n">
        <v>1435680</v>
      </c>
      <c r="M995" s="11" t="s">
        <v>52</v>
      </c>
      <c r="N995" s="11" t="s">
        <v>112</v>
      </c>
      <c r="P995" s="9" t="n">
        <v>113</v>
      </c>
      <c r="Q995" s="11" t="s">
        <v>46</v>
      </c>
      <c r="R995" s="11" t="s">
        <v>71</v>
      </c>
      <c r="S995" s="9" t="n">
        <v>4210314</v>
      </c>
      <c r="T995" s="11" t="s">
        <v>113</v>
      </c>
      <c r="U995" s="12" t="n">
        <v>70</v>
      </c>
      <c r="W995" s="12" t="n">
        <v>70</v>
      </c>
      <c r="X995" s="11" t="s">
        <v>115</v>
      </c>
      <c r="Z995" s="0" t="str">
        <f aca="false">IF($T995="","",IFERROR(INDEX('Resumo Grupos'!$AC$3:$AC$200,MATCH($T995,'Resumo Grupos'!$AB$3:$AB$200,0)),"n/d"))</f>
        <v>Despesa</v>
      </c>
      <c r="AA995" s="0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9" t="n">
        <v>2</v>
      </c>
      <c r="B996" s="10" t="n">
        <v>46224</v>
      </c>
      <c r="C996" s="10" t="n">
        <v>46224</v>
      </c>
      <c r="D996" s="9" t="n">
        <v>0</v>
      </c>
      <c r="E996" s="11" t="s">
        <v>109</v>
      </c>
      <c r="F996" s="9" t="n">
        <v>17</v>
      </c>
      <c r="G996" s="11" t="s">
        <v>110</v>
      </c>
      <c r="H996" s="9" t="n">
        <v>1110101</v>
      </c>
      <c r="I996" s="11" t="s">
        <v>111</v>
      </c>
      <c r="J996" s="9" t="n">
        <v>1435685</v>
      </c>
      <c r="L996" s="9" t="n">
        <v>1435685</v>
      </c>
      <c r="M996" s="11" t="s">
        <v>52</v>
      </c>
      <c r="N996" s="11" t="s">
        <v>112</v>
      </c>
      <c r="P996" s="9" t="n">
        <v>113</v>
      </c>
      <c r="Q996" s="11" t="s">
        <v>46</v>
      </c>
      <c r="R996" s="11" t="s">
        <v>259</v>
      </c>
      <c r="S996" s="9" t="n">
        <v>2110101</v>
      </c>
      <c r="T996" s="11" t="s">
        <v>43</v>
      </c>
      <c r="U996" s="12" t="n">
        <v>210</v>
      </c>
      <c r="W996" s="12" t="n">
        <v>210</v>
      </c>
      <c r="X996" s="11" t="s">
        <v>978</v>
      </c>
      <c r="Z996" s="0" t="str">
        <f aca="false">IF($T996="","",IFERROR(INDEX('Resumo Grupos'!$AC$3:$AC$200,MATCH($T996,'Resumo Grupos'!$AB$3:$AB$200,0)),"n/d"))</f>
        <v>Despesa</v>
      </c>
      <c r="AA996" s="0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9" t="n">
        <v>2</v>
      </c>
      <c r="B997" s="10" t="n">
        <v>46224</v>
      </c>
      <c r="C997" s="10" t="n">
        <v>46224</v>
      </c>
      <c r="D997" s="9" t="n">
        <v>0</v>
      </c>
      <c r="E997" s="11" t="s">
        <v>109</v>
      </c>
      <c r="F997" s="9" t="n">
        <v>17</v>
      </c>
      <c r="G997" s="11" t="s">
        <v>110</v>
      </c>
      <c r="H997" s="9" t="n">
        <v>1110101</v>
      </c>
      <c r="I997" s="11" t="s">
        <v>111</v>
      </c>
      <c r="J997" s="9" t="n">
        <v>1469118</v>
      </c>
      <c r="L997" s="9" t="n">
        <v>1469118</v>
      </c>
      <c r="M997" s="11" t="s">
        <v>52</v>
      </c>
      <c r="N997" s="11" t="s">
        <v>112</v>
      </c>
      <c r="P997" s="9" t="n">
        <v>113</v>
      </c>
      <c r="Q997" s="11" t="s">
        <v>46</v>
      </c>
      <c r="R997" s="11" t="s">
        <v>116</v>
      </c>
      <c r="S997" s="9" t="n">
        <v>1110203</v>
      </c>
      <c r="T997" s="11" t="s">
        <v>117</v>
      </c>
      <c r="U997" s="12" t="n">
        <v>2300</v>
      </c>
      <c r="W997" s="12" t="n">
        <v>2300</v>
      </c>
      <c r="X997" s="11" t="s">
        <v>979</v>
      </c>
      <c r="Z997" s="0" t="str">
        <f aca="false">IF($T997="","",IFERROR(INDEX('Resumo Grupos'!$AC$3:$AC$200,MATCH($T997,'Resumo Grupos'!$AB$3:$AB$200,0)),"n/d"))</f>
        <v>Despesa</v>
      </c>
      <c r="AA997" s="0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9" t="n">
        <v>2</v>
      </c>
      <c r="B998" s="10" t="n">
        <v>46213</v>
      </c>
      <c r="C998" s="10" t="n">
        <v>46225</v>
      </c>
      <c r="D998" s="9" t="n">
        <v>1613</v>
      </c>
      <c r="E998" s="11" t="s">
        <v>50</v>
      </c>
      <c r="F998" s="9" t="n">
        <v>24</v>
      </c>
      <c r="G998" s="11" t="s">
        <v>51</v>
      </c>
      <c r="H998" s="9" t="n">
        <v>2110101</v>
      </c>
      <c r="I998" s="11" t="s">
        <v>43</v>
      </c>
      <c r="J998" s="9" t="n">
        <v>1376659</v>
      </c>
      <c r="L998" s="9" t="n">
        <v>1605936</v>
      </c>
      <c r="M998" s="11" t="s">
        <v>52</v>
      </c>
      <c r="N998" s="11" t="s">
        <v>37</v>
      </c>
      <c r="P998" s="9" t="n">
        <v>113</v>
      </c>
      <c r="Q998" s="11" t="s">
        <v>46</v>
      </c>
      <c r="R998" s="11" t="s">
        <v>47</v>
      </c>
      <c r="S998" s="9" t="n">
        <v>1130101</v>
      </c>
      <c r="T998" s="11" t="s">
        <v>48</v>
      </c>
      <c r="U998" s="12" t="n">
        <v>1025.07</v>
      </c>
      <c r="W998" s="12" t="n">
        <v>0</v>
      </c>
      <c r="X998" s="11" t="s">
        <v>980</v>
      </c>
      <c r="Z998" s="0" t="str">
        <f aca="false">IF($T998="","",IFERROR(INDEX('Resumo Grupos'!$AC$3:$AC$200,MATCH($T998,'Resumo Grupos'!$AB$3:$AB$200,0)),"n/d"))</f>
        <v>Mercadoria</v>
      </c>
      <c r="AA998" s="0" t="str">
        <f aca="false">IF($T998="","",IF(COUNTIF('Resumo Grupos'!$AE$3:$AE$40,$T998)&gt;0,"NAO","SIM"))</f>
        <v>SIM</v>
      </c>
      <c r="AB998" s="0" t="str">
        <f aca="false">IFERROR(INDEX('Mov Entradas (Rel 10497)'!$L:$L,MATCH(AC998,'Mov Entradas (Rel 10497)'!$I:$I,0)),"nao encontrado")</f>
        <v>CARRE SUINO KG</v>
      </c>
      <c r="AC998" s="0" t="n">
        <v>1605936</v>
      </c>
    </row>
    <row r="999" customFormat="false" ht="12.75" hidden="false" customHeight="true" outlineLevel="0" collapsed="false">
      <c r="A999" s="9" t="n">
        <v>2</v>
      </c>
      <c r="B999" s="10" t="n">
        <v>46225</v>
      </c>
      <c r="C999" s="10" t="n">
        <v>46225</v>
      </c>
      <c r="D999" s="9" t="n">
        <v>10096</v>
      </c>
      <c r="E999" s="11" t="s">
        <v>622</v>
      </c>
      <c r="F999" s="9" t="n">
        <v>13</v>
      </c>
      <c r="G999" s="11" t="s">
        <v>135</v>
      </c>
      <c r="H999" s="9" t="n">
        <v>1110203</v>
      </c>
      <c r="I999" s="11" t="s">
        <v>117</v>
      </c>
      <c r="J999" s="9" t="n">
        <v>1439047</v>
      </c>
      <c r="L999" s="9" t="n">
        <v>194456</v>
      </c>
      <c r="M999" s="11" t="s">
        <v>52</v>
      </c>
      <c r="N999" s="11" t="s">
        <v>45</v>
      </c>
      <c r="P999" s="9" t="n">
        <v>113</v>
      </c>
      <c r="Q999" s="11" t="s">
        <v>46</v>
      </c>
      <c r="R999" s="11" t="s">
        <v>47</v>
      </c>
      <c r="S999" s="9" t="n">
        <v>1130101</v>
      </c>
      <c r="T999" s="11" t="s">
        <v>48</v>
      </c>
      <c r="U999" s="12" t="n">
        <v>120</v>
      </c>
      <c r="W999" s="12" t="n">
        <v>120</v>
      </c>
      <c r="X999" s="11" t="s">
        <v>981</v>
      </c>
      <c r="Z999" s="0" t="str">
        <f aca="false">IF($T999="","",IFERROR(INDEX('Resumo Grupos'!$AC$3:$AC$200,MATCH($T999,'Resumo Grupos'!$AB$3:$AB$200,0)),"n/d"))</f>
        <v>Mercadoria</v>
      </c>
      <c r="AA999" s="0" t="str">
        <f aca="false">IF($T999="","",IF(COUNTIF('Resumo Grupos'!$AE$3:$AE$40,$T999)&gt;0,"NAO","SIM"))</f>
        <v>SIM</v>
      </c>
      <c r="AB999" s="0" t="str">
        <f aca="false">IFERROR(INDEX('Mov Entradas (Rel 10497)'!$L:$L,MATCH(AC999,'Mov Entradas (Rel 10497)'!$I:$I,0)),"nao encontrado")</f>
        <v>BOLO MIYAZAKI GRANDE</v>
      </c>
      <c r="AC999" s="0" t="n">
        <v>21</v>
      </c>
    </row>
    <row r="1000" customFormat="false" ht="12.75" hidden="false" customHeight="true" outlineLevel="0" collapsed="false">
      <c r="A1000" s="9" t="n">
        <v>2</v>
      </c>
      <c r="B1000" s="10" t="n">
        <v>46218</v>
      </c>
      <c r="C1000" s="10" t="n">
        <v>46225</v>
      </c>
      <c r="D1000" s="9" t="n">
        <v>1815</v>
      </c>
      <c r="E1000" s="11" t="s">
        <v>172</v>
      </c>
      <c r="F1000" s="9" t="n">
        <v>24</v>
      </c>
      <c r="G1000" s="11" t="s">
        <v>51</v>
      </c>
      <c r="H1000" s="9" t="n">
        <v>2110405</v>
      </c>
      <c r="I1000" s="11" t="s">
        <v>56</v>
      </c>
      <c r="J1000" s="9" t="n">
        <v>1403054</v>
      </c>
      <c r="L1000" s="9" t="n">
        <v>188872</v>
      </c>
      <c r="M1000" s="11" t="s">
        <v>52</v>
      </c>
      <c r="N1000" s="11" t="s">
        <v>45</v>
      </c>
      <c r="P1000" s="9" t="n">
        <v>113</v>
      </c>
      <c r="Q1000" s="11" t="s">
        <v>46</v>
      </c>
      <c r="R1000" s="11" t="s">
        <v>47</v>
      </c>
      <c r="S1000" s="9" t="n">
        <v>1130101</v>
      </c>
      <c r="T1000" s="11" t="s">
        <v>48</v>
      </c>
      <c r="U1000" s="12" t="n">
        <v>2806.49</v>
      </c>
      <c r="W1000" s="12" t="n">
        <v>0</v>
      </c>
      <c r="X1000" s="11" t="s">
        <v>982</v>
      </c>
      <c r="Z1000" s="0" t="str">
        <f aca="false">IF($T1000="","",IFERROR(INDEX('Resumo Grupos'!$AC$3:$AC$200,MATCH($T1000,'Resumo Grupos'!$AB$3:$AB$200,0)),"n/d"))</f>
        <v>Mercadoria</v>
      </c>
      <c r="AA1000" s="0" t="str">
        <f aca="false">IF($T1000="","",IF(COUNTIF('Resumo Grupos'!$AE$3:$AE$40,$T1000)&gt;0,"NAO","SIM"))</f>
        <v>SIM</v>
      </c>
      <c r="AB1000" s="0" t="str">
        <f aca="false">IFERROR(INDEX('Mov Entradas (Rel 10497)'!$L:$L,MATCH(AC1000,'Mov Entradas (Rel 10497)'!$I:$I,0)),"nao encontrado")</f>
        <v>COXÃO DURO KG</v>
      </c>
      <c r="AC1000" s="0" t="n">
        <v>392537</v>
      </c>
    </row>
    <row r="1001" customFormat="false" ht="12.75" hidden="false" customHeight="true" outlineLevel="0" collapsed="false">
      <c r="A1001" s="9" t="n">
        <v>2</v>
      </c>
      <c r="B1001" s="10" t="n">
        <v>46219</v>
      </c>
      <c r="C1001" s="10" t="n">
        <v>46225</v>
      </c>
      <c r="D1001" s="9" t="n">
        <v>1699</v>
      </c>
      <c r="E1001" s="11" t="s">
        <v>248</v>
      </c>
      <c r="F1001" s="9" t="n">
        <v>24</v>
      </c>
      <c r="G1001" s="11" t="s">
        <v>51</v>
      </c>
      <c r="H1001" s="9" t="n">
        <v>2110405</v>
      </c>
      <c r="I1001" s="11" t="s">
        <v>56</v>
      </c>
      <c r="J1001" s="9" t="n">
        <v>1406622</v>
      </c>
      <c r="L1001" s="9" t="n">
        <v>189408</v>
      </c>
      <c r="M1001" s="11" t="s">
        <v>52</v>
      </c>
      <c r="N1001" s="11" t="s">
        <v>45</v>
      </c>
      <c r="P1001" s="9" t="n">
        <v>113</v>
      </c>
      <c r="Q1001" s="11" t="s">
        <v>46</v>
      </c>
      <c r="R1001" s="11" t="s">
        <v>47</v>
      </c>
      <c r="S1001" s="9" t="n">
        <v>1130101</v>
      </c>
      <c r="T1001" s="11" t="s">
        <v>48</v>
      </c>
      <c r="U1001" s="12" t="n">
        <v>1021.83</v>
      </c>
      <c r="W1001" s="12" t="n">
        <v>0</v>
      </c>
      <c r="X1001" s="11" t="s">
        <v>983</v>
      </c>
      <c r="Z1001" s="0" t="str">
        <f aca="false">IF($T1001="","",IFERROR(INDEX('Resumo Grupos'!$AC$3:$AC$200,MATCH($T1001,'Resumo Grupos'!$AB$3:$AB$200,0)),"n/d"))</f>
        <v>Mercadoria</v>
      </c>
      <c r="AA1001" s="0" t="str">
        <f aca="false">IF($T1001="","",IF(COUNTIF('Resumo Grupos'!$AE$3:$AE$40,$T1001)&gt;0,"NAO","SIM"))</f>
        <v>SIM</v>
      </c>
      <c r="AB1001" s="0" t="str">
        <f aca="false">IFERROR(INDEX('Mov Entradas (Rel 10497)'!$L:$L,MATCH(AC1001,'Mov Entradas (Rel 10497)'!$I:$I,0)),"nao encontrado")</f>
        <v>SUCO JANDAI CAJU500M</v>
      </c>
      <c r="AC1001" s="0" t="n">
        <v>307804</v>
      </c>
    </row>
    <row r="1002" customFormat="false" ht="12.75" hidden="false" customHeight="true" outlineLevel="0" collapsed="false">
      <c r="A1002" s="9" t="n">
        <v>2</v>
      </c>
      <c r="B1002" s="10" t="n">
        <v>46218</v>
      </c>
      <c r="C1002" s="10" t="n">
        <v>46225</v>
      </c>
      <c r="D1002" s="9" t="n">
        <v>1819</v>
      </c>
      <c r="E1002" s="11" t="s">
        <v>984</v>
      </c>
      <c r="F1002" s="9" t="n">
        <v>24</v>
      </c>
      <c r="G1002" s="11" t="s">
        <v>51</v>
      </c>
      <c r="H1002" s="9" t="n">
        <v>2110405</v>
      </c>
      <c r="I1002" s="11" t="s">
        <v>56</v>
      </c>
      <c r="J1002" s="9" t="n">
        <v>1402776</v>
      </c>
      <c r="L1002" s="9" t="n">
        <v>188803</v>
      </c>
      <c r="M1002" s="11" t="s">
        <v>52</v>
      </c>
      <c r="N1002" s="11" t="s">
        <v>45</v>
      </c>
      <c r="P1002" s="9" t="n">
        <v>113</v>
      </c>
      <c r="Q1002" s="11" t="s">
        <v>46</v>
      </c>
      <c r="R1002" s="11" t="s">
        <v>47</v>
      </c>
      <c r="S1002" s="9" t="n">
        <v>1130101</v>
      </c>
      <c r="T1002" s="11" t="s">
        <v>48</v>
      </c>
      <c r="U1002" s="12" t="n">
        <v>200</v>
      </c>
      <c r="W1002" s="12" t="n">
        <v>0</v>
      </c>
      <c r="X1002" s="11" t="s">
        <v>985</v>
      </c>
      <c r="Z1002" s="0" t="str">
        <f aca="false">IF($T1002="","",IFERROR(INDEX('Resumo Grupos'!$AC$3:$AC$200,MATCH($T1002,'Resumo Grupos'!$AB$3:$AB$200,0)),"n/d"))</f>
        <v>Mercadoria</v>
      </c>
      <c r="AA1002" s="0" t="str">
        <f aca="false">IF($T1002="","",IF(COUNTIF('Resumo Grupos'!$AE$3:$AE$40,$T1002)&gt;0,"NAO","SIM"))</f>
        <v>SIM</v>
      </c>
      <c r="AB1002" s="0" t="str">
        <f aca="false">IFERROR(INDEX('Mov Entradas (Rel 10497)'!$L:$L,MATCH(AC1002,'Mov Entradas (Rel 10497)'!$I:$I,0)),"nao encontrado")</f>
        <v>MASSA PASTEL REDONDA P 500G</v>
      </c>
      <c r="AC1002" s="0" t="n">
        <v>16645</v>
      </c>
    </row>
    <row r="1003" customFormat="false" ht="12.75" hidden="false" customHeight="true" outlineLevel="0" collapsed="false">
      <c r="A1003" s="9" t="n">
        <v>2</v>
      </c>
      <c r="B1003" s="10" t="n">
        <v>46219</v>
      </c>
      <c r="C1003" s="10" t="n">
        <v>46225</v>
      </c>
      <c r="D1003" s="9" t="n">
        <v>1625</v>
      </c>
      <c r="E1003" s="11" t="s">
        <v>270</v>
      </c>
      <c r="F1003" s="9" t="n">
        <v>24</v>
      </c>
      <c r="G1003" s="11" t="s">
        <v>51</v>
      </c>
      <c r="H1003" s="9" t="n">
        <v>2110405</v>
      </c>
      <c r="I1003" s="11" t="s">
        <v>56</v>
      </c>
      <c r="J1003" s="9" t="n">
        <v>1407422</v>
      </c>
      <c r="L1003" s="9" t="n">
        <v>189622</v>
      </c>
      <c r="M1003" s="11" t="s">
        <v>52</v>
      </c>
      <c r="N1003" s="11" t="s">
        <v>45</v>
      </c>
      <c r="P1003" s="9" t="n">
        <v>113</v>
      </c>
      <c r="Q1003" s="11" t="s">
        <v>46</v>
      </c>
      <c r="R1003" s="11" t="s">
        <v>47</v>
      </c>
      <c r="S1003" s="9" t="n">
        <v>1130101</v>
      </c>
      <c r="T1003" s="11" t="s">
        <v>48</v>
      </c>
      <c r="U1003" s="12" t="n">
        <v>4093.4</v>
      </c>
      <c r="W1003" s="12" t="n">
        <v>0</v>
      </c>
      <c r="X1003" s="11" t="s">
        <v>986</v>
      </c>
      <c r="Z1003" s="0" t="str">
        <f aca="false">IF($T1003="","",IFERROR(INDEX('Resumo Grupos'!$AC$3:$AC$200,MATCH($T1003,'Resumo Grupos'!$AB$3:$AB$200,0)),"n/d"))</f>
        <v>Mercadoria</v>
      </c>
      <c r="AA1003" s="0" t="str">
        <f aca="false">IF($T1003="","",IF(COUNTIF('Resumo Grupos'!$AE$3:$AE$40,$T1003)&gt;0,"NAO","SIM"))</f>
        <v>SIM</v>
      </c>
      <c r="AB1003" s="0" t="str">
        <f aca="false">IFERROR(INDEX('Mov Entradas (Rel 10497)'!$L:$L,MATCH(AC1003,'Mov Entradas (Rel 10497)'!$I:$I,0)),"nao encontrado")</f>
        <v>TRASEIRO DE BOI L1</v>
      </c>
      <c r="AC1003" s="0" t="n">
        <v>14718</v>
      </c>
    </row>
    <row r="1004" customFormat="false" ht="12.75" hidden="false" customHeight="true" outlineLevel="0" collapsed="false">
      <c r="A1004" s="9" t="n">
        <v>2</v>
      </c>
      <c r="B1004" s="10" t="n">
        <v>46225</v>
      </c>
      <c r="C1004" s="10" t="n">
        <v>46225</v>
      </c>
      <c r="D1004" s="9" t="n">
        <v>48</v>
      </c>
      <c r="E1004" s="11" t="s">
        <v>153</v>
      </c>
      <c r="F1004" s="9" t="n">
        <v>13</v>
      </c>
      <c r="G1004" s="11" t="s">
        <v>135</v>
      </c>
      <c r="H1004" s="9" t="n">
        <v>2110101</v>
      </c>
      <c r="I1004" s="11" t="s">
        <v>43</v>
      </c>
      <c r="J1004" s="9" t="n">
        <v>1435859</v>
      </c>
      <c r="L1004" s="9" t="n">
        <v>2557</v>
      </c>
      <c r="M1004" s="11" t="s">
        <v>52</v>
      </c>
      <c r="N1004" s="11" t="s">
        <v>37</v>
      </c>
      <c r="P1004" s="9" t="n">
        <v>113</v>
      </c>
      <c r="Q1004" s="11" t="s">
        <v>46</v>
      </c>
      <c r="R1004" s="11" t="s">
        <v>47</v>
      </c>
      <c r="S1004" s="9" t="n">
        <v>1130101</v>
      </c>
      <c r="T1004" s="11" t="s">
        <v>48</v>
      </c>
      <c r="U1004" s="12" t="n">
        <v>210</v>
      </c>
      <c r="W1004" s="12" t="n">
        <v>210</v>
      </c>
      <c r="X1004" s="11" t="s">
        <v>987</v>
      </c>
      <c r="Z1004" s="0" t="str">
        <f aca="false">IF($T1004="","",IFERROR(INDEX('Resumo Grupos'!$AC$3:$AC$200,MATCH($T1004,'Resumo Grupos'!$AB$3:$AB$200,0)),"n/d"))</f>
        <v>Mercadoria</v>
      </c>
      <c r="AA1004" s="0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9" t="n">
        <v>2</v>
      </c>
      <c r="B1005" s="10" t="n">
        <v>46197</v>
      </c>
      <c r="C1005" s="10" t="n">
        <v>46225</v>
      </c>
      <c r="D1005" s="9" t="n">
        <v>10011</v>
      </c>
      <c r="E1005" s="11" t="s">
        <v>349</v>
      </c>
      <c r="F1005" s="9" t="n">
        <v>24</v>
      </c>
      <c r="G1005" s="11" t="s">
        <v>51</v>
      </c>
      <c r="H1005" s="9" t="n">
        <v>2110101</v>
      </c>
      <c r="I1005" s="11" t="s">
        <v>43</v>
      </c>
      <c r="J1005" s="9" t="n">
        <v>1300279</v>
      </c>
      <c r="L1005" s="9" t="n">
        <v>34213</v>
      </c>
      <c r="M1005" s="11" t="s">
        <v>52</v>
      </c>
      <c r="N1005" s="11" t="s">
        <v>37</v>
      </c>
      <c r="P1005" s="9" t="n">
        <v>113</v>
      </c>
      <c r="Q1005" s="11" t="s">
        <v>46</v>
      </c>
      <c r="R1005" s="11" t="s">
        <v>47</v>
      </c>
      <c r="S1005" s="9" t="n">
        <v>1130101</v>
      </c>
      <c r="T1005" s="11" t="s">
        <v>48</v>
      </c>
      <c r="U1005" s="12" t="n">
        <v>1185.3</v>
      </c>
      <c r="W1005" s="12" t="n">
        <v>0</v>
      </c>
      <c r="X1005" s="11" t="s">
        <v>988</v>
      </c>
      <c r="Z1005" s="0" t="str">
        <f aca="false">IF($T1005="","",IFERROR(INDEX('Resumo Grupos'!$AC$3:$AC$200,MATCH($T1005,'Resumo Grupos'!$AB$3:$AB$200,0)),"n/d"))</f>
        <v>Mercadoria</v>
      </c>
      <c r="AA1005" s="0" t="str">
        <f aca="false">IF($T1005="","",IF(COUNTIF('Resumo Grupos'!$AE$3:$AE$40,$T1005)&gt;0,"NAO","SIM"))</f>
        <v>SIM</v>
      </c>
      <c r="AB1005" s="0" t="str">
        <f aca="false">IFERROR(INDEX('Mov Entradas (Rel 10497)'!$L:$L,MATCH(AC1005,'Mov Entradas (Rel 10497)'!$I:$I,0)),"nao encontrado")</f>
        <v>RC GT GRANPLUS 10,1K</v>
      </c>
      <c r="AC1005" s="0" t="n">
        <v>34213</v>
      </c>
    </row>
    <row r="1006" customFormat="false" ht="12.75" hidden="false" customHeight="true" outlineLevel="0" collapsed="false">
      <c r="A1006" s="9" t="n">
        <v>2</v>
      </c>
      <c r="B1006" s="10" t="n">
        <v>46197</v>
      </c>
      <c r="C1006" s="10" t="n">
        <v>46225</v>
      </c>
      <c r="D1006" s="9" t="n">
        <v>607</v>
      </c>
      <c r="E1006" s="11" t="s">
        <v>281</v>
      </c>
      <c r="F1006" s="9" t="n">
        <v>24</v>
      </c>
      <c r="G1006" s="11" t="s">
        <v>51</v>
      </c>
      <c r="H1006" s="9" t="n">
        <v>2110101</v>
      </c>
      <c r="I1006" s="11" t="s">
        <v>43</v>
      </c>
      <c r="J1006" s="9" t="n">
        <v>1300232</v>
      </c>
      <c r="L1006" s="9" t="n">
        <v>10860</v>
      </c>
      <c r="M1006" s="11" t="s">
        <v>44</v>
      </c>
      <c r="N1006" s="11" t="s">
        <v>37</v>
      </c>
      <c r="P1006" s="9" t="n">
        <v>113</v>
      </c>
      <c r="Q1006" s="11" t="s">
        <v>46</v>
      </c>
      <c r="R1006" s="11" t="s">
        <v>47</v>
      </c>
      <c r="S1006" s="9" t="n">
        <v>1130101</v>
      </c>
      <c r="T1006" s="11" t="s">
        <v>48</v>
      </c>
      <c r="U1006" s="12" t="n">
        <v>1361.81</v>
      </c>
      <c r="W1006" s="12" t="n">
        <v>0</v>
      </c>
      <c r="X1006" s="11" t="s">
        <v>867</v>
      </c>
      <c r="Z1006" s="0" t="str">
        <f aca="false">IF($T1006="","",IFERROR(INDEX('Resumo Grupos'!$AC$3:$AC$200,MATCH($T1006,'Resumo Grupos'!$AB$3:$AB$200,0)),"n/d"))</f>
        <v>Mercadoria</v>
      </c>
      <c r="AA1006" s="0" t="str">
        <f aca="false">IF($T1006="","",IF(COUNTIF('Resumo Grupos'!$AE$3:$AE$40,$T1006)&gt;0,"NAO","SIM"))</f>
        <v>SIM</v>
      </c>
      <c r="AB1006" s="0" t="str">
        <f aca="false">IFERROR(INDEX('Mov Entradas (Rel 10497)'!$L:$L,MATCH(AC1006,'Mov Entradas (Rel 10497)'!$I:$I,0)),"nao encontrado")</f>
        <v>RC JAPI PREM.FILH25K</v>
      </c>
      <c r="AC1006" s="0" t="n">
        <v>10860</v>
      </c>
    </row>
    <row r="1007" customFormat="false" ht="12.75" hidden="false" customHeight="true" outlineLevel="0" collapsed="false">
      <c r="A1007" s="9" t="n">
        <v>2</v>
      </c>
      <c r="B1007" s="10" t="n">
        <v>46225</v>
      </c>
      <c r="C1007" s="10" t="n">
        <v>46225</v>
      </c>
      <c r="D1007" s="9" t="n">
        <v>0</v>
      </c>
      <c r="E1007" s="11" t="s">
        <v>109</v>
      </c>
      <c r="F1007" s="9" t="n">
        <v>17</v>
      </c>
      <c r="G1007" s="11" t="s">
        <v>110</v>
      </c>
      <c r="H1007" s="9" t="n">
        <v>1110101</v>
      </c>
      <c r="I1007" s="11" t="s">
        <v>111</v>
      </c>
      <c r="J1007" s="9" t="n">
        <v>1439029</v>
      </c>
      <c r="L1007" s="9" t="n">
        <v>1439029</v>
      </c>
      <c r="M1007" s="11" t="s">
        <v>52</v>
      </c>
      <c r="N1007" s="11" t="s">
        <v>112</v>
      </c>
      <c r="P1007" s="9" t="n">
        <v>113</v>
      </c>
      <c r="Q1007" s="11" t="s">
        <v>46</v>
      </c>
      <c r="R1007" s="11" t="s">
        <v>259</v>
      </c>
      <c r="S1007" s="9" t="n">
        <v>2110101</v>
      </c>
      <c r="T1007" s="11" t="s">
        <v>43</v>
      </c>
      <c r="U1007" s="12" t="n">
        <v>210</v>
      </c>
      <c r="W1007" s="12" t="n">
        <v>210</v>
      </c>
      <c r="X1007" s="11" t="s">
        <v>989</v>
      </c>
      <c r="Z1007" s="0" t="str">
        <f aca="false">IF($T1007="","",IFERROR(INDEX('Resumo Grupos'!$AC$3:$AC$200,MATCH($T1007,'Resumo Grupos'!$AB$3:$AB$200,0)),"n/d"))</f>
        <v>Despesa</v>
      </c>
      <c r="AA1007" s="0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9" t="n">
        <v>2</v>
      </c>
      <c r="B1008" s="10" t="n">
        <v>46225</v>
      </c>
      <c r="C1008" s="10" t="n">
        <v>46225</v>
      </c>
      <c r="D1008" s="9" t="n">
        <v>0</v>
      </c>
      <c r="E1008" s="11" t="s">
        <v>109</v>
      </c>
      <c r="F1008" s="9" t="n">
        <v>17</v>
      </c>
      <c r="G1008" s="11" t="s">
        <v>110</v>
      </c>
      <c r="H1008" s="9" t="n">
        <v>1110101</v>
      </c>
      <c r="I1008" s="11" t="s">
        <v>111</v>
      </c>
      <c r="J1008" s="9" t="n">
        <v>1439031</v>
      </c>
      <c r="L1008" s="9" t="n">
        <v>1439031</v>
      </c>
      <c r="M1008" s="11" t="s">
        <v>52</v>
      </c>
      <c r="N1008" s="11" t="s">
        <v>112</v>
      </c>
      <c r="P1008" s="9" t="n">
        <v>113</v>
      </c>
      <c r="Q1008" s="11" t="s">
        <v>46</v>
      </c>
      <c r="R1008" s="11" t="s">
        <v>71</v>
      </c>
      <c r="S1008" s="9" t="n">
        <v>4210310</v>
      </c>
      <c r="T1008" s="11" t="s">
        <v>126</v>
      </c>
      <c r="U1008" s="12" t="n">
        <v>120</v>
      </c>
      <c r="W1008" s="12" t="n">
        <v>120</v>
      </c>
      <c r="X1008" s="11" t="s">
        <v>990</v>
      </c>
      <c r="Z1008" s="0" t="str">
        <f aca="false">IF($T1008="","",IFERROR(INDEX('Resumo Grupos'!$AC$3:$AC$200,MATCH($T1008,'Resumo Grupos'!$AB$3:$AB$200,0)),"n/d"))</f>
        <v>Despesa</v>
      </c>
      <c r="AA1008" s="0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9" t="n">
        <v>2</v>
      </c>
      <c r="B1009" s="10" t="n">
        <v>46225</v>
      </c>
      <c r="C1009" s="10" t="n">
        <v>46225</v>
      </c>
      <c r="D1009" s="9" t="n">
        <v>0</v>
      </c>
      <c r="E1009" s="11" t="s">
        <v>109</v>
      </c>
      <c r="F1009" s="9" t="n">
        <v>17</v>
      </c>
      <c r="G1009" s="11" t="s">
        <v>110</v>
      </c>
      <c r="H1009" s="9" t="n">
        <v>1110101</v>
      </c>
      <c r="I1009" s="11" t="s">
        <v>111</v>
      </c>
      <c r="J1009" s="9" t="n">
        <v>1439033</v>
      </c>
      <c r="L1009" s="9" t="n">
        <v>1439033</v>
      </c>
      <c r="M1009" s="11" t="s">
        <v>52</v>
      </c>
      <c r="N1009" s="11" t="s">
        <v>112</v>
      </c>
      <c r="P1009" s="9" t="n">
        <v>113</v>
      </c>
      <c r="Q1009" s="11" t="s">
        <v>46</v>
      </c>
      <c r="R1009" s="11" t="s">
        <v>71</v>
      </c>
      <c r="S1009" s="9" t="n">
        <v>4210314</v>
      </c>
      <c r="T1009" s="11" t="s">
        <v>113</v>
      </c>
      <c r="U1009" s="12" t="n">
        <v>50</v>
      </c>
      <c r="W1009" s="12" t="n">
        <v>50</v>
      </c>
      <c r="X1009" s="11" t="s">
        <v>368</v>
      </c>
      <c r="Z1009" s="0" t="str">
        <f aca="false">IF($T1009="","",IFERROR(INDEX('Resumo Grupos'!$AC$3:$AC$200,MATCH($T1009,'Resumo Grupos'!$AB$3:$AB$200,0)),"n/d"))</f>
        <v>Despesa</v>
      </c>
      <c r="AA1009" s="0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9" t="n">
        <v>2</v>
      </c>
      <c r="B1010" s="10" t="n">
        <v>46225</v>
      </c>
      <c r="C1010" s="10" t="n">
        <v>46225</v>
      </c>
      <c r="D1010" s="9" t="n">
        <v>0</v>
      </c>
      <c r="E1010" s="11" t="s">
        <v>109</v>
      </c>
      <c r="F1010" s="9" t="n">
        <v>17</v>
      </c>
      <c r="G1010" s="11" t="s">
        <v>110</v>
      </c>
      <c r="H1010" s="9" t="n">
        <v>1110101</v>
      </c>
      <c r="I1010" s="11" t="s">
        <v>111</v>
      </c>
      <c r="J1010" s="9" t="n">
        <v>1439034</v>
      </c>
      <c r="L1010" s="9" t="n">
        <v>1439034</v>
      </c>
      <c r="M1010" s="11" t="s">
        <v>52</v>
      </c>
      <c r="N1010" s="11" t="s">
        <v>112</v>
      </c>
      <c r="P1010" s="9" t="n">
        <v>113</v>
      </c>
      <c r="Q1010" s="11" t="s">
        <v>46</v>
      </c>
      <c r="R1010" s="11" t="s">
        <v>71</v>
      </c>
      <c r="S1010" s="9" t="n">
        <v>4210314</v>
      </c>
      <c r="T1010" s="11" t="s">
        <v>113</v>
      </c>
      <c r="U1010" s="12" t="n">
        <v>70</v>
      </c>
      <c r="W1010" s="12" t="n">
        <v>70</v>
      </c>
      <c r="X1010" s="11" t="s">
        <v>187</v>
      </c>
      <c r="Z1010" s="0" t="str">
        <f aca="false">IF($T1010="","",IFERROR(INDEX('Resumo Grupos'!$AC$3:$AC$200,MATCH($T1010,'Resumo Grupos'!$AB$3:$AB$200,0)),"n/d"))</f>
        <v>Despesa</v>
      </c>
      <c r="AA1010" s="0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9" t="n">
        <v>2</v>
      </c>
      <c r="B1011" s="10" t="n">
        <v>46225</v>
      </c>
      <c r="C1011" s="10" t="n">
        <v>46225</v>
      </c>
      <c r="D1011" s="9" t="n">
        <v>0</v>
      </c>
      <c r="E1011" s="11" t="s">
        <v>109</v>
      </c>
      <c r="F1011" s="9" t="n">
        <v>17</v>
      </c>
      <c r="G1011" s="11" t="s">
        <v>110</v>
      </c>
      <c r="H1011" s="9" t="n">
        <v>1110101</v>
      </c>
      <c r="I1011" s="11" t="s">
        <v>111</v>
      </c>
      <c r="J1011" s="9" t="n">
        <v>1439049</v>
      </c>
      <c r="L1011" s="9" t="n">
        <v>1439049</v>
      </c>
      <c r="M1011" s="11" t="s">
        <v>52</v>
      </c>
      <c r="N1011" s="11" t="s">
        <v>112</v>
      </c>
      <c r="P1011" s="9" t="n">
        <v>113</v>
      </c>
      <c r="Q1011" s="11" t="s">
        <v>46</v>
      </c>
      <c r="R1011" s="11" t="s">
        <v>116</v>
      </c>
      <c r="S1011" s="9" t="n">
        <v>1110203</v>
      </c>
      <c r="T1011" s="11" t="s">
        <v>117</v>
      </c>
      <c r="U1011" s="12" t="n">
        <v>120</v>
      </c>
      <c r="W1011" s="12" t="n">
        <v>120</v>
      </c>
      <c r="X1011" s="11" t="s">
        <v>991</v>
      </c>
      <c r="Z1011" s="0" t="str">
        <f aca="false">IF($T1011="","",IFERROR(INDEX('Resumo Grupos'!$AC$3:$AC$200,MATCH($T1011,'Resumo Grupos'!$AB$3:$AB$200,0)),"n/d"))</f>
        <v>Despesa</v>
      </c>
      <c r="AA1011" s="0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9" t="n">
        <v>2</v>
      </c>
      <c r="B1012" s="10" t="n">
        <v>46225</v>
      </c>
      <c r="C1012" s="10" t="n">
        <v>46225</v>
      </c>
      <c r="D1012" s="9" t="n">
        <v>0</v>
      </c>
      <c r="E1012" s="11" t="s">
        <v>109</v>
      </c>
      <c r="F1012" s="9" t="n">
        <v>17</v>
      </c>
      <c r="G1012" s="11" t="s">
        <v>110</v>
      </c>
      <c r="H1012" s="9" t="n">
        <v>1110101</v>
      </c>
      <c r="I1012" s="11" t="s">
        <v>111</v>
      </c>
      <c r="J1012" s="9" t="n">
        <v>1469119</v>
      </c>
      <c r="L1012" s="9" t="n">
        <v>1469119</v>
      </c>
      <c r="M1012" s="11" t="s">
        <v>52</v>
      </c>
      <c r="N1012" s="11" t="s">
        <v>112</v>
      </c>
      <c r="P1012" s="9" t="n">
        <v>113</v>
      </c>
      <c r="Q1012" s="11" t="s">
        <v>46</v>
      </c>
      <c r="R1012" s="11" t="s">
        <v>116</v>
      </c>
      <c r="S1012" s="9" t="n">
        <v>1110203</v>
      </c>
      <c r="T1012" s="11" t="s">
        <v>117</v>
      </c>
      <c r="U1012" s="12" t="n">
        <v>1500</v>
      </c>
      <c r="W1012" s="12" t="n">
        <v>1500</v>
      </c>
      <c r="X1012" s="11" t="s">
        <v>992</v>
      </c>
      <c r="Z1012" s="0" t="str">
        <f aca="false">IF($T1012="","",IFERROR(INDEX('Resumo Grupos'!$AC$3:$AC$200,MATCH($T1012,'Resumo Grupos'!$AB$3:$AB$200,0)),"n/d"))</f>
        <v>Despesa</v>
      </c>
      <c r="AA1012" s="0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9" t="n">
        <v>2</v>
      </c>
      <c r="B1013" s="10" t="n">
        <v>46220</v>
      </c>
      <c r="C1013" s="10" t="n">
        <v>46226</v>
      </c>
      <c r="D1013" s="9" t="n">
        <v>10018</v>
      </c>
      <c r="E1013" s="11" t="s">
        <v>216</v>
      </c>
      <c r="F1013" s="9" t="n">
        <v>34</v>
      </c>
      <c r="G1013" s="11" t="s">
        <v>55</v>
      </c>
      <c r="H1013" s="9" t="n">
        <v>2110405</v>
      </c>
      <c r="I1013" s="11" t="s">
        <v>56</v>
      </c>
      <c r="J1013" s="9" t="n">
        <v>1410836</v>
      </c>
      <c r="L1013" s="9" t="n">
        <v>190135</v>
      </c>
      <c r="M1013" s="11" t="s">
        <v>52</v>
      </c>
      <c r="N1013" s="11" t="s">
        <v>45</v>
      </c>
      <c r="P1013" s="9" t="n">
        <v>113</v>
      </c>
      <c r="Q1013" s="11" t="s">
        <v>46</v>
      </c>
      <c r="R1013" s="11" t="s">
        <v>47</v>
      </c>
      <c r="S1013" s="9" t="n">
        <v>1130101</v>
      </c>
      <c r="T1013" s="11" t="s">
        <v>48</v>
      </c>
      <c r="U1013" s="12" t="n">
        <v>925</v>
      </c>
      <c r="W1013" s="12" t="n">
        <v>0</v>
      </c>
      <c r="X1013" s="11" t="s">
        <v>781</v>
      </c>
      <c r="Z1013" s="0" t="str">
        <f aca="false">IF($T1013="","",IFERROR(INDEX('Resumo Grupos'!$AC$3:$AC$200,MATCH($T1013,'Resumo Grupos'!$AB$3:$AB$200,0)),"n/d"))</f>
        <v>Mercadoria</v>
      </c>
      <c r="AA1013" s="0" t="str">
        <f aca="false">IF($T1013="","",IF(COUNTIF('Resumo Grupos'!$AE$3:$AE$40,$T1013)&gt;0,"NAO","SIM"))</f>
        <v>SIM</v>
      </c>
      <c r="AB1013" s="0" t="str">
        <f aca="false">IFERROR(INDEX('Mov Entradas (Rel 10497)'!$L:$L,MATCH(AC1013,'Mov Entradas (Rel 10497)'!$I:$I,0)),"nao encontrado")</f>
        <v>CARVAO VEGETAL 3KG</v>
      </c>
      <c r="AC1013" s="0" t="n">
        <v>337</v>
      </c>
    </row>
    <row r="1014" customFormat="false" ht="12.75" hidden="false" customHeight="true" outlineLevel="0" collapsed="false">
      <c r="A1014" s="9" t="n">
        <v>2</v>
      </c>
      <c r="B1014" s="10" t="n">
        <v>46213</v>
      </c>
      <c r="C1014" s="10" t="n">
        <v>46226</v>
      </c>
      <c r="D1014" s="9" t="n">
        <v>1789</v>
      </c>
      <c r="E1014" s="11" t="s">
        <v>544</v>
      </c>
      <c r="F1014" s="9" t="n">
        <v>24</v>
      </c>
      <c r="G1014" s="11" t="s">
        <v>51</v>
      </c>
      <c r="H1014" s="9" t="n">
        <v>2110405</v>
      </c>
      <c r="I1014" s="11" t="s">
        <v>56</v>
      </c>
      <c r="J1014" s="9" t="n">
        <v>1377106</v>
      </c>
      <c r="L1014" s="9" t="n">
        <v>185546</v>
      </c>
      <c r="M1014" s="11" t="s">
        <v>52</v>
      </c>
      <c r="N1014" s="11" t="s">
        <v>45</v>
      </c>
      <c r="P1014" s="9" t="n">
        <v>113</v>
      </c>
      <c r="Q1014" s="11" t="s">
        <v>46</v>
      </c>
      <c r="R1014" s="11" t="s">
        <v>430</v>
      </c>
      <c r="S1014" s="9" t="n">
        <v>4210112</v>
      </c>
      <c r="T1014" s="11" t="s">
        <v>545</v>
      </c>
      <c r="U1014" s="12" t="n">
        <v>8621.9</v>
      </c>
      <c r="W1014" s="12" t="n">
        <v>0</v>
      </c>
      <c r="X1014" s="11" t="s">
        <v>993</v>
      </c>
      <c r="Z1014" s="0" t="str">
        <f aca="false">IF($T1014="","",IFERROR(INDEX('Resumo Grupos'!$AC$3:$AC$200,MATCH($T1014,'Resumo Grupos'!$AB$3:$AB$200,0)),"n/d"))</f>
        <v>Despesa</v>
      </c>
      <c r="AA1014" s="0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9" t="n">
        <v>2</v>
      </c>
      <c r="B1015" s="10" t="n">
        <v>46211</v>
      </c>
      <c r="C1015" s="10" t="n">
        <v>46226</v>
      </c>
      <c r="D1015" s="9" t="n">
        <v>1705</v>
      </c>
      <c r="E1015" s="11" t="s">
        <v>130</v>
      </c>
      <c r="F1015" s="9" t="n">
        <v>24</v>
      </c>
      <c r="G1015" s="11" t="s">
        <v>51</v>
      </c>
      <c r="H1015" s="9" t="n">
        <v>2110101</v>
      </c>
      <c r="I1015" s="11" t="s">
        <v>43</v>
      </c>
      <c r="J1015" s="9" t="n">
        <v>1369053</v>
      </c>
      <c r="L1015" s="9" t="n">
        <v>1193391</v>
      </c>
      <c r="M1015" s="11" t="s">
        <v>52</v>
      </c>
      <c r="N1015" s="11" t="s">
        <v>37</v>
      </c>
      <c r="P1015" s="9" t="n">
        <v>113</v>
      </c>
      <c r="Q1015" s="11" t="s">
        <v>46</v>
      </c>
      <c r="R1015" s="11" t="s">
        <v>47</v>
      </c>
      <c r="S1015" s="9" t="n">
        <v>1130101</v>
      </c>
      <c r="T1015" s="11" t="s">
        <v>48</v>
      </c>
      <c r="U1015" s="12" t="n">
        <v>636.39</v>
      </c>
      <c r="W1015" s="12" t="n">
        <v>0</v>
      </c>
      <c r="X1015" s="11" t="s">
        <v>994</v>
      </c>
      <c r="Z1015" s="0" t="str">
        <f aca="false">IF($T1015="","",IFERROR(INDEX('Resumo Grupos'!$AC$3:$AC$200,MATCH($T1015,'Resumo Grupos'!$AB$3:$AB$200,0)),"n/d"))</f>
        <v>Mercadoria</v>
      </c>
      <c r="AA1015" s="0" t="str">
        <f aca="false">IF($T1015="","",IF(COUNTIF('Resumo Grupos'!$AE$3:$AE$40,$T1015)&gt;0,"NAO","SIM"))</f>
        <v>SIM</v>
      </c>
      <c r="AB1015" s="0" t="str">
        <f aca="false">IFERROR(INDEX('Mov Entradas (Rel 10497)'!$L:$L,MATCH(AC1015,'Mov Entradas (Rel 10497)'!$I:$I,0)),"nao encontrado")</f>
        <v>KAPO UVA 200ML</v>
      </c>
      <c r="AC1015" s="0" t="n">
        <v>1193391</v>
      </c>
    </row>
    <row r="1016" customFormat="false" ht="12.75" hidden="false" customHeight="true" outlineLevel="0" collapsed="false">
      <c r="A1016" s="9" t="n">
        <v>2</v>
      </c>
      <c r="B1016" s="10" t="n">
        <v>46211</v>
      </c>
      <c r="C1016" s="10" t="n">
        <v>46226</v>
      </c>
      <c r="D1016" s="9" t="n">
        <v>1705</v>
      </c>
      <c r="E1016" s="11" t="s">
        <v>130</v>
      </c>
      <c r="F1016" s="9" t="n">
        <v>24</v>
      </c>
      <c r="G1016" s="11" t="s">
        <v>51</v>
      </c>
      <c r="H1016" s="9" t="n">
        <v>2110101</v>
      </c>
      <c r="I1016" s="11" t="s">
        <v>43</v>
      </c>
      <c r="J1016" s="9" t="n">
        <v>1369061</v>
      </c>
      <c r="L1016" s="9" t="n">
        <v>1193333</v>
      </c>
      <c r="M1016" s="11" t="s">
        <v>52</v>
      </c>
      <c r="N1016" s="11" t="s">
        <v>37</v>
      </c>
      <c r="P1016" s="9" t="n">
        <v>113</v>
      </c>
      <c r="Q1016" s="11" t="s">
        <v>46</v>
      </c>
      <c r="R1016" s="11" t="s">
        <v>47</v>
      </c>
      <c r="S1016" s="9" t="n">
        <v>1130101</v>
      </c>
      <c r="T1016" s="11" t="s">
        <v>48</v>
      </c>
      <c r="U1016" s="12" t="n">
        <v>636.39</v>
      </c>
      <c r="W1016" s="12" t="n">
        <v>0</v>
      </c>
      <c r="X1016" s="11" t="s">
        <v>995</v>
      </c>
      <c r="Z1016" s="0" t="str">
        <f aca="false">IF($T1016="","",IFERROR(INDEX('Resumo Grupos'!$AC$3:$AC$200,MATCH($T1016,'Resumo Grupos'!$AB$3:$AB$200,0)),"n/d"))</f>
        <v>Mercadoria</v>
      </c>
      <c r="AA1016" s="0" t="str">
        <f aca="false">IF($T1016="","",IF(COUNTIF('Resumo Grupos'!$AE$3:$AE$40,$T1016)&gt;0,"NAO","SIM"))</f>
        <v>SIM</v>
      </c>
      <c r="AB1016" s="0" t="str">
        <f aca="false">IFERROR(INDEX('Mov Entradas (Rel 10497)'!$L:$L,MATCH(AC1016,'Mov Entradas (Rel 10497)'!$I:$I,0)),"nao encontrado")</f>
        <v>KAPO UVA 200ML</v>
      </c>
      <c r="AC1016" s="0" t="n">
        <v>1193333</v>
      </c>
    </row>
    <row r="1017" customFormat="false" ht="12.75" hidden="false" customHeight="true" outlineLevel="0" collapsed="false">
      <c r="A1017" s="9" t="n">
        <v>2</v>
      </c>
      <c r="B1017" s="10" t="n">
        <v>46211</v>
      </c>
      <c r="C1017" s="10" t="n">
        <v>46226</v>
      </c>
      <c r="D1017" s="9" t="n">
        <v>1705</v>
      </c>
      <c r="E1017" s="11" t="s">
        <v>130</v>
      </c>
      <c r="F1017" s="9" t="n">
        <v>24</v>
      </c>
      <c r="G1017" s="11" t="s">
        <v>51</v>
      </c>
      <c r="H1017" s="9" t="n">
        <v>2110101</v>
      </c>
      <c r="I1017" s="11" t="s">
        <v>43</v>
      </c>
      <c r="J1017" s="9" t="n">
        <v>1369069</v>
      </c>
      <c r="L1017" s="9" t="n">
        <v>1923967</v>
      </c>
      <c r="M1017" s="11" t="s">
        <v>52</v>
      </c>
      <c r="N1017" s="11" t="s">
        <v>37</v>
      </c>
      <c r="P1017" s="9" t="n">
        <v>113</v>
      </c>
      <c r="Q1017" s="11" t="s">
        <v>46</v>
      </c>
      <c r="R1017" s="11" t="s">
        <v>47</v>
      </c>
      <c r="S1017" s="9" t="n">
        <v>1130101</v>
      </c>
      <c r="T1017" s="11" t="s">
        <v>48</v>
      </c>
      <c r="U1017" s="12" t="n">
        <v>76.19</v>
      </c>
      <c r="W1017" s="12" t="n">
        <v>0</v>
      </c>
      <c r="X1017" s="11" t="s">
        <v>996</v>
      </c>
      <c r="Z1017" s="0" t="str">
        <f aca="false">IF($T1017="","",IFERROR(INDEX('Resumo Grupos'!$AC$3:$AC$200,MATCH($T1017,'Resumo Grupos'!$AB$3:$AB$200,0)),"n/d"))</f>
        <v>Mercadoria</v>
      </c>
      <c r="AA1017" s="0" t="str">
        <f aca="false">IF($T1017="","",IF(COUNTIF('Resumo Grupos'!$AE$3:$AE$40,$T1017)&gt;0,"NAO","SIM"))</f>
        <v>SIM</v>
      </c>
      <c r="AB1017" s="0" t="str">
        <f aca="false">IFERROR(INDEX('Mov Entradas (Rel 10497)'!$L:$L,MATCH(AC1017,'Mov Entradas (Rel 10497)'!$I:$I,0)),"nao encontrado")</f>
        <v>REF COCA LT 350ML</v>
      </c>
      <c r="AC1017" s="0" t="n">
        <v>1923967</v>
      </c>
    </row>
    <row r="1018" customFormat="false" ht="12.75" hidden="false" customHeight="true" outlineLevel="0" collapsed="false">
      <c r="A1018" s="9" t="n">
        <v>2</v>
      </c>
      <c r="B1018" s="10" t="n">
        <v>46211</v>
      </c>
      <c r="C1018" s="10" t="n">
        <v>46226</v>
      </c>
      <c r="D1018" s="9" t="n">
        <v>1705</v>
      </c>
      <c r="E1018" s="11" t="s">
        <v>130</v>
      </c>
      <c r="F1018" s="9" t="n">
        <v>24</v>
      </c>
      <c r="G1018" s="11" t="s">
        <v>51</v>
      </c>
      <c r="H1018" s="9" t="n">
        <v>2110101</v>
      </c>
      <c r="I1018" s="11" t="s">
        <v>43</v>
      </c>
      <c r="J1018" s="9" t="n">
        <v>1369169</v>
      </c>
      <c r="L1018" s="9" t="n">
        <v>1923963</v>
      </c>
      <c r="M1018" s="11" t="s">
        <v>52</v>
      </c>
      <c r="N1018" s="11" t="s">
        <v>37</v>
      </c>
      <c r="P1018" s="9" t="n">
        <v>113</v>
      </c>
      <c r="Q1018" s="11" t="s">
        <v>46</v>
      </c>
      <c r="R1018" s="11" t="s">
        <v>47</v>
      </c>
      <c r="S1018" s="9" t="n">
        <v>1130101</v>
      </c>
      <c r="T1018" s="11" t="s">
        <v>48</v>
      </c>
      <c r="U1018" s="12" t="n">
        <v>225.5</v>
      </c>
      <c r="W1018" s="12" t="n">
        <v>0</v>
      </c>
      <c r="X1018" s="11" t="s">
        <v>997</v>
      </c>
      <c r="Z1018" s="0" t="str">
        <f aca="false">IF($T1018="","",IFERROR(INDEX('Resumo Grupos'!$AC$3:$AC$200,MATCH($T1018,'Resumo Grupos'!$AB$3:$AB$200,0)),"n/d"))</f>
        <v>Mercadoria</v>
      </c>
      <c r="AA1018" s="0" t="str">
        <f aca="false">IF($T1018="","",IF(COUNTIF('Resumo Grupos'!$AE$3:$AE$40,$T1018)&gt;0,"NAO","SIM"))</f>
        <v>SIM</v>
      </c>
      <c r="AB1018" s="0" t="str">
        <f aca="false">IFERROR(INDEX('Mov Entradas (Rel 10497)'!$L:$L,MATCH(AC1018,'Mov Entradas (Rel 10497)'!$I:$I,0)),"nao encontrado")</f>
        <v>COCA COLA 600ML</v>
      </c>
      <c r="AC1018" s="0" t="n">
        <v>1923963</v>
      </c>
    </row>
    <row r="1019" customFormat="false" ht="12.75" hidden="false" customHeight="true" outlineLevel="0" collapsed="false">
      <c r="A1019" s="9" t="n">
        <v>2</v>
      </c>
      <c r="B1019" s="10" t="n">
        <v>46211</v>
      </c>
      <c r="C1019" s="10" t="n">
        <v>46226</v>
      </c>
      <c r="D1019" s="9" t="n">
        <v>1705</v>
      </c>
      <c r="E1019" s="11" t="s">
        <v>130</v>
      </c>
      <c r="F1019" s="9" t="n">
        <v>24</v>
      </c>
      <c r="G1019" s="11" t="s">
        <v>51</v>
      </c>
      <c r="H1019" s="9" t="n">
        <v>2110101</v>
      </c>
      <c r="I1019" s="11" t="s">
        <v>43</v>
      </c>
      <c r="J1019" s="9" t="n">
        <v>1369182</v>
      </c>
      <c r="L1019" s="9" t="n">
        <v>1923964</v>
      </c>
      <c r="M1019" s="11" t="s">
        <v>52</v>
      </c>
      <c r="N1019" s="11" t="s">
        <v>37</v>
      </c>
      <c r="P1019" s="9" t="n">
        <v>113</v>
      </c>
      <c r="Q1019" s="11" t="s">
        <v>46</v>
      </c>
      <c r="R1019" s="11" t="s">
        <v>47</v>
      </c>
      <c r="S1019" s="9" t="n">
        <v>1130101</v>
      </c>
      <c r="T1019" s="11" t="s">
        <v>48</v>
      </c>
      <c r="U1019" s="12" t="n">
        <v>221</v>
      </c>
      <c r="W1019" s="12" t="n">
        <v>0</v>
      </c>
      <c r="X1019" s="11" t="s">
        <v>998</v>
      </c>
      <c r="Z1019" s="0" t="str">
        <f aca="false">IF($T1019="","",IFERROR(INDEX('Resumo Grupos'!$AC$3:$AC$200,MATCH($T1019,'Resumo Grupos'!$AB$3:$AB$200,0)),"n/d"))</f>
        <v>Mercadoria</v>
      </c>
      <c r="AA1019" s="0" t="str">
        <f aca="false">IF($T1019="","",IF(COUNTIF('Resumo Grupos'!$AE$3:$AE$40,$T1019)&gt;0,"NAO","SIM"))</f>
        <v>SIM</v>
      </c>
      <c r="AB1019" s="0" t="str">
        <f aca="false">IFERROR(INDEX('Mov Entradas (Rel 10497)'!$L:$L,MATCH(AC1019,'Mov Entradas (Rel 10497)'!$I:$I,0)),"nao encontrado")</f>
        <v>COCA COLA 600ML</v>
      </c>
      <c r="AC1019" s="0" t="n">
        <v>1923964</v>
      </c>
    </row>
    <row r="1020" customFormat="false" ht="12.75" hidden="false" customHeight="true" outlineLevel="0" collapsed="false">
      <c r="A1020" s="9" t="n">
        <v>2</v>
      </c>
      <c r="B1020" s="10" t="n">
        <v>46211</v>
      </c>
      <c r="C1020" s="10" t="n">
        <v>46226</v>
      </c>
      <c r="D1020" s="9" t="n">
        <v>1705</v>
      </c>
      <c r="E1020" s="11" t="s">
        <v>130</v>
      </c>
      <c r="F1020" s="9" t="n">
        <v>24</v>
      </c>
      <c r="G1020" s="11" t="s">
        <v>51</v>
      </c>
      <c r="H1020" s="9" t="n">
        <v>2110101</v>
      </c>
      <c r="I1020" s="11" t="s">
        <v>43</v>
      </c>
      <c r="J1020" s="9" t="n">
        <v>1369445</v>
      </c>
      <c r="L1020" s="9" t="n">
        <v>1193336</v>
      </c>
      <c r="M1020" s="11" t="s">
        <v>52</v>
      </c>
      <c r="N1020" s="11" t="s">
        <v>37</v>
      </c>
      <c r="P1020" s="9" t="n">
        <v>113</v>
      </c>
      <c r="Q1020" s="11" t="s">
        <v>46</v>
      </c>
      <c r="R1020" s="11" t="s">
        <v>47</v>
      </c>
      <c r="S1020" s="9" t="n">
        <v>1130101</v>
      </c>
      <c r="T1020" s="11" t="s">
        <v>48</v>
      </c>
      <c r="U1020" s="12" t="n">
        <v>104.51</v>
      </c>
      <c r="W1020" s="12" t="n">
        <v>0</v>
      </c>
      <c r="X1020" s="11" t="s">
        <v>999</v>
      </c>
      <c r="Z1020" s="0" t="str">
        <f aca="false">IF($T1020="","",IFERROR(INDEX('Resumo Grupos'!$AC$3:$AC$200,MATCH($T1020,'Resumo Grupos'!$AB$3:$AB$200,0)),"n/d"))</f>
        <v>Mercadoria</v>
      </c>
      <c r="AA1020" s="0" t="str">
        <f aca="false">IF($T1020="","",IF(COUNTIF('Resumo Grupos'!$AE$3:$AE$40,$T1020)&gt;0,"NAO","SIM"))</f>
        <v>SIM</v>
      </c>
      <c r="AB1020" s="0" t="str">
        <f aca="false">IFERROR(INDEX('Mov Entradas (Rel 10497)'!$L:$L,MATCH(AC1020,'Mov Entradas (Rel 10497)'!$I:$I,0)),"nao encontrado")</f>
        <v>FANTA UVA LATA 350ML</v>
      </c>
      <c r="AC1020" s="0" t="n">
        <v>1193336</v>
      </c>
    </row>
    <row r="1021" customFormat="false" ht="12.75" hidden="false" customHeight="true" outlineLevel="0" collapsed="false">
      <c r="A1021" s="9" t="n">
        <v>2</v>
      </c>
      <c r="B1021" s="10" t="n">
        <v>46212</v>
      </c>
      <c r="C1021" s="10" t="n">
        <v>46226</v>
      </c>
      <c r="D1021" s="9" t="n">
        <v>1601</v>
      </c>
      <c r="E1021" s="11" t="s">
        <v>193</v>
      </c>
      <c r="F1021" s="9" t="n">
        <v>24</v>
      </c>
      <c r="G1021" s="11" t="s">
        <v>51</v>
      </c>
      <c r="H1021" s="9" t="n">
        <v>2110101</v>
      </c>
      <c r="I1021" s="11" t="s">
        <v>43</v>
      </c>
      <c r="J1021" s="9" t="n">
        <v>1373725</v>
      </c>
      <c r="L1021" s="9" t="n">
        <v>851821</v>
      </c>
      <c r="M1021" s="11" t="s">
        <v>52</v>
      </c>
      <c r="N1021" s="11" t="s">
        <v>37</v>
      </c>
      <c r="P1021" s="9" t="n">
        <v>113</v>
      </c>
      <c r="Q1021" s="11" t="s">
        <v>46</v>
      </c>
      <c r="R1021" s="11" t="s">
        <v>47</v>
      </c>
      <c r="S1021" s="9" t="n">
        <v>1130101</v>
      </c>
      <c r="T1021" s="11" t="s">
        <v>48</v>
      </c>
      <c r="U1021" s="12" t="n">
        <v>426.95</v>
      </c>
      <c r="W1021" s="12" t="n">
        <v>0</v>
      </c>
      <c r="X1021" s="11" t="s">
        <v>1000</v>
      </c>
      <c r="Z1021" s="0" t="str">
        <f aca="false">IF($T1021="","",IFERROR(INDEX('Resumo Grupos'!$AC$3:$AC$200,MATCH($T1021,'Resumo Grupos'!$AB$3:$AB$200,0)),"n/d"))</f>
        <v>Mercadoria</v>
      </c>
      <c r="AA1021" s="0" t="str">
        <f aca="false">IF($T1021="","",IF(COUNTIF('Resumo Grupos'!$AE$3:$AE$40,$T1021)&gt;0,"NAO","SIM"))</f>
        <v>SIM</v>
      </c>
      <c r="AB1021" s="0" t="str">
        <f aca="false">IFERROR(INDEX('Mov Entradas (Rel 10497)'!$L:$L,MATCH(AC1021,'Mov Entradas (Rel 10497)'!$I:$I,0)),"nao encontrado")</f>
        <v>TRIGOLAR S/FERM 1KG</v>
      </c>
      <c r="AC1021" s="0" t="n">
        <v>851821</v>
      </c>
    </row>
    <row r="1022" customFormat="false" ht="12.75" hidden="false" customHeight="true" outlineLevel="0" collapsed="false">
      <c r="A1022" s="9" t="n">
        <v>2</v>
      </c>
      <c r="B1022" s="10" t="n">
        <v>46198</v>
      </c>
      <c r="C1022" s="10" t="n">
        <v>46226</v>
      </c>
      <c r="D1022" s="9" t="n">
        <v>1608</v>
      </c>
      <c r="E1022" s="11" t="s">
        <v>240</v>
      </c>
      <c r="F1022" s="9" t="n">
        <v>24</v>
      </c>
      <c r="G1022" s="11" t="s">
        <v>51</v>
      </c>
      <c r="H1022" s="9" t="n">
        <v>2110101</v>
      </c>
      <c r="I1022" s="11" t="s">
        <v>43</v>
      </c>
      <c r="J1022" s="9" t="n">
        <v>1305623</v>
      </c>
      <c r="L1022" s="9" t="n">
        <v>1680694</v>
      </c>
      <c r="M1022" s="11" t="s">
        <v>52</v>
      </c>
      <c r="N1022" s="11" t="s">
        <v>37</v>
      </c>
      <c r="P1022" s="9" t="n">
        <v>113</v>
      </c>
      <c r="Q1022" s="11" t="s">
        <v>46</v>
      </c>
      <c r="R1022" s="11" t="s">
        <v>47</v>
      </c>
      <c r="S1022" s="9" t="n">
        <v>1130101</v>
      </c>
      <c r="T1022" s="11" t="s">
        <v>48</v>
      </c>
      <c r="U1022" s="12" t="n">
        <v>1383</v>
      </c>
      <c r="W1022" s="12" t="n">
        <v>0</v>
      </c>
      <c r="X1022" s="11" t="s">
        <v>1001</v>
      </c>
      <c r="Z1022" s="0" t="str">
        <f aca="false">IF($T1022="","",IFERROR(INDEX('Resumo Grupos'!$AC$3:$AC$200,MATCH($T1022,'Resumo Grupos'!$AB$3:$AB$200,0)),"n/d"))</f>
        <v>Mercadoria</v>
      </c>
      <c r="AA1022" s="0" t="str">
        <f aca="false">IF($T1022="","",IF(COUNTIF('Resumo Grupos'!$AE$3:$AE$40,$T1022)&gt;0,"NAO","SIM"))</f>
        <v>SIM</v>
      </c>
      <c r="AB1022" s="0" t="str">
        <f aca="false">IFERROR(INDEX('Mov Entradas (Rel 10497)'!$L:$L,MATCH(AC1022,'Mov Entradas (Rel 10497)'!$I:$I,0)),"nao encontrado")</f>
        <v>CHA LEAO SACHET BOLD</v>
      </c>
      <c r="AC1022" s="0" t="n">
        <v>1680694</v>
      </c>
    </row>
    <row r="1023" customFormat="false" ht="12.75" hidden="false" customHeight="true" outlineLevel="0" collapsed="false">
      <c r="A1023" s="9" t="n">
        <v>2</v>
      </c>
      <c r="B1023" s="10" t="n">
        <v>46220</v>
      </c>
      <c r="C1023" s="10" t="n">
        <v>46226</v>
      </c>
      <c r="D1023" s="9" t="n">
        <v>1608</v>
      </c>
      <c r="E1023" s="11" t="s">
        <v>240</v>
      </c>
      <c r="F1023" s="9" t="n">
        <v>24</v>
      </c>
      <c r="G1023" s="11" t="s">
        <v>51</v>
      </c>
      <c r="H1023" s="9" t="n">
        <v>2110405</v>
      </c>
      <c r="I1023" s="11" t="s">
        <v>56</v>
      </c>
      <c r="J1023" s="9" t="n">
        <v>1410817</v>
      </c>
      <c r="L1023" s="9" t="n">
        <v>190131</v>
      </c>
      <c r="M1023" s="11" t="s">
        <v>52</v>
      </c>
      <c r="N1023" s="11" t="s">
        <v>45</v>
      </c>
      <c r="P1023" s="9" t="n">
        <v>113</v>
      </c>
      <c r="Q1023" s="11" t="s">
        <v>46</v>
      </c>
      <c r="R1023" s="11" t="s">
        <v>47</v>
      </c>
      <c r="S1023" s="9" t="n">
        <v>1130101</v>
      </c>
      <c r="T1023" s="11" t="s">
        <v>48</v>
      </c>
      <c r="U1023" s="12" t="n">
        <v>281.82</v>
      </c>
      <c r="W1023" s="12" t="n">
        <v>0</v>
      </c>
      <c r="X1023" s="11" t="s">
        <v>1002</v>
      </c>
      <c r="Z1023" s="0" t="str">
        <f aca="false">IF($T1023="","",IFERROR(INDEX('Resumo Grupos'!$AC$3:$AC$200,MATCH($T1023,'Resumo Grupos'!$AB$3:$AB$200,0)),"n/d"))</f>
        <v>Mercadoria</v>
      </c>
      <c r="AA1023" s="0" t="str">
        <f aca="false">IF($T1023="","",IF(COUNTIF('Resumo Grupos'!$AE$3:$AE$40,$T1023)&gt;0,"NAO","SIM"))</f>
        <v>SIM</v>
      </c>
      <c r="AB1023" s="0" t="str">
        <f aca="false">IFERROR(INDEX('Mov Entradas (Rel 10497)'!$L:$L,MATCH(AC1023,'Mov Entradas (Rel 10497)'!$I:$I,0)),"nao encontrado")</f>
        <v>DANONE GREGO UNID FR</v>
      </c>
      <c r="AC1023" s="0" t="n">
        <v>1693414</v>
      </c>
    </row>
    <row r="1024" customFormat="false" ht="12.75" hidden="false" customHeight="true" outlineLevel="0" collapsed="false">
      <c r="A1024" s="9" t="n">
        <v>2</v>
      </c>
      <c r="B1024" s="10" t="n">
        <v>46165</v>
      </c>
      <c r="C1024" s="10" t="n">
        <v>46226</v>
      </c>
      <c r="D1024" s="9" t="n">
        <v>639</v>
      </c>
      <c r="E1024" s="11" t="s">
        <v>512</v>
      </c>
      <c r="F1024" s="9" t="n">
        <v>24</v>
      </c>
      <c r="G1024" s="11" t="s">
        <v>51</v>
      </c>
      <c r="H1024" s="9" t="n">
        <v>2110405</v>
      </c>
      <c r="I1024" s="11" t="s">
        <v>56</v>
      </c>
      <c r="J1024" s="9" t="n">
        <v>1141287</v>
      </c>
      <c r="L1024" s="9" t="n">
        <v>151507</v>
      </c>
      <c r="M1024" s="11" t="s">
        <v>52</v>
      </c>
      <c r="N1024" s="11" t="s">
        <v>45</v>
      </c>
      <c r="P1024" s="9" t="n">
        <v>101</v>
      </c>
      <c r="Q1024" s="11" t="s">
        <v>57</v>
      </c>
      <c r="R1024" s="11" t="s">
        <v>39</v>
      </c>
      <c r="S1024" s="9" t="n">
        <v>4210216</v>
      </c>
      <c r="T1024" s="11" t="s">
        <v>513</v>
      </c>
      <c r="U1024" s="12" t="n">
        <v>396.64</v>
      </c>
      <c r="W1024" s="12" t="n">
        <v>0</v>
      </c>
      <c r="X1024" s="11" t="s">
        <v>1003</v>
      </c>
      <c r="Z1024" s="0" t="str">
        <f aca="false">IF($T1024="","",IFERROR(INDEX('Resumo Grupos'!$AC$3:$AC$200,MATCH($T1024,'Resumo Grupos'!$AB$3:$AB$200,0)),"n/d"))</f>
        <v>Despesa</v>
      </c>
      <c r="AA1024" s="0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9" t="n">
        <v>2</v>
      </c>
      <c r="B1025" s="10" t="n">
        <v>46212</v>
      </c>
      <c r="C1025" s="10" t="n">
        <v>46226</v>
      </c>
      <c r="D1025" s="9" t="n">
        <v>1612</v>
      </c>
      <c r="E1025" s="11" t="s">
        <v>74</v>
      </c>
      <c r="F1025" s="9" t="n">
        <v>24</v>
      </c>
      <c r="G1025" s="11" t="s">
        <v>51</v>
      </c>
      <c r="H1025" s="9" t="n">
        <v>2110101</v>
      </c>
      <c r="I1025" s="11" t="s">
        <v>43</v>
      </c>
      <c r="J1025" s="9" t="n">
        <v>1374035</v>
      </c>
      <c r="L1025" s="9" t="n">
        <v>2299705</v>
      </c>
      <c r="M1025" s="11" t="s">
        <v>52</v>
      </c>
      <c r="N1025" s="11" t="s">
        <v>37</v>
      </c>
      <c r="P1025" s="9" t="n">
        <v>113</v>
      </c>
      <c r="Q1025" s="11" t="s">
        <v>46</v>
      </c>
      <c r="R1025" s="11" t="s">
        <v>47</v>
      </c>
      <c r="S1025" s="9" t="n">
        <v>1130101</v>
      </c>
      <c r="T1025" s="11" t="s">
        <v>48</v>
      </c>
      <c r="U1025" s="12" t="n">
        <v>658.61</v>
      </c>
      <c r="W1025" s="12" t="n">
        <v>0</v>
      </c>
      <c r="X1025" s="11" t="s">
        <v>1004</v>
      </c>
      <c r="Z1025" s="0" t="str">
        <f aca="false">IF($T1025="","",IFERROR(INDEX('Resumo Grupos'!$AC$3:$AC$200,MATCH($T1025,'Resumo Grupos'!$AB$3:$AB$200,0)),"n/d"))</f>
        <v>Mercadoria</v>
      </c>
      <c r="AA1025" s="0" t="str">
        <f aca="false">IF($T1025="","",IF(COUNTIF('Resumo Grupos'!$AE$3:$AE$40,$T1025)&gt;0,"NAO","SIM"))</f>
        <v>SIM</v>
      </c>
      <c r="AB1025" s="0" t="str">
        <f aca="false">IFERROR(INDEX('Mov Entradas (Rel 10497)'!$L:$L,MATCH(AC1025,'Mov Entradas (Rel 10497)'!$I:$I,0)),"nao encontrado")</f>
        <v>RED BULL SUGAR FREE</v>
      </c>
      <c r="AC1025" s="0" t="n">
        <v>2299705</v>
      </c>
    </row>
    <row r="1026" customFormat="false" ht="12.75" hidden="false" customHeight="true" outlineLevel="0" collapsed="false">
      <c r="A1026" s="9" t="n">
        <v>2</v>
      </c>
      <c r="B1026" s="10" t="n">
        <v>46212</v>
      </c>
      <c r="C1026" s="10" t="n">
        <v>46226</v>
      </c>
      <c r="D1026" s="9" t="n">
        <v>1612</v>
      </c>
      <c r="E1026" s="11" t="s">
        <v>74</v>
      </c>
      <c r="F1026" s="9" t="n">
        <v>24</v>
      </c>
      <c r="G1026" s="11" t="s">
        <v>51</v>
      </c>
      <c r="H1026" s="9" t="n">
        <v>2110101</v>
      </c>
      <c r="I1026" s="11" t="s">
        <v>43</v>
      </c>
      <c r="J1026" s="9" t="n">
        <v>1374249</v>
      </c>
      <c r="L1026" s="9" t="n">
        <v>2299703</v>
      </c>
      <c r="M1026" s="11" t="s">
        <v>52</v>
      </c>
      <c r="N1026" s="11" t="s">
        <v>37</v>
      </c>
      <c r="P1026" s="9" t="n">
        <v>113</v>
      </c>
      <c r="Q1026" s="11" t="s">
        <v>46</v>
      </c>
      <c r="R1026" s="11" t="s">
        <v>47</v>
      </c>
      <c r="S1026" s="9" t="n">
        <v>1130101</v>
      </c>
      <c r="T1026" s="11" t="s">
        <v>48</v>
      </c>
      <c r="U1026" s="12" t="n">
        <v>377.45</v>
      </c>
      <c r="W1026" s="12" t="n">
        <v>0</v>
      </c>
      <c r="X1026" s="11" t="s">
        <v>1005</v>
      </c>
      <c r="Z1026" s="0" t="str">
        <f aca="false">IF($T1026="","",IFERROR(INDEX('Resumo Grupos'!$AC$3:$AC$200,MATCH($T1026,'Resumo Grupos'!$AB$3:$AB$200,0)),"n/d"))</f>
        <v>Mercadoria</v>
      </c>
      <c r="AA1026" s="0" t="str">
        <f aca="false">IF($T1026="","",IF(COUNTIF('Resumo Grupos'!$AE$3:$AE$40,$T1026)&gt;0,"NAO","SIM"))</f>
        <v>SIM</v>
      </c>
      <c r="AB1026" s="0" t="str">
        <f aca="false">IFERROR(INDEX('Mov Entradas (Rel 10497)'!$L:$L,MATCH(AC1026,'Mov Entradas (Rel 10497)'!$I:$I,0)),"nao encontrado")</f>
        <v>AGUA SANI BRILUX1L</v>
      </c>
      <c r="AC1026" s="0" t="n">
        <v>2299703</v>
      </c>
    </row>
    <row r="1027" customFormat="false" ht="12.75" hidden="false" customHeight="true" outlineLevel="0" collapsed="false">
      <c r="A1027" s="9" t="n">
        <v>2</v>
      </c>
      <c r="B1027" s="10" t="n">
        <v>46213</v>
      </c>
      <c r="C1027" s="10" t="n">
        <v>46226</v>
      </c>
      <c r="D1027" s="9" t="n">
        <v>1667</v>
      </c>
      <c r="E1027" s="11" t="s">
        <v>77</v>
      </c>
      <c r="F1027" s="9" t="n">
        <v>24</v>
      </c>
      <c r="G1027" s="11" t="s">
        <v>51</v>
      </c>
      <c r="H1027" s="9" t="n">
        <v>2110101</v>
      </c>
      <c r="I1027" s="11" t="s">
        <v>43</v>
      </c>
      <c r="J1027" s="9" t="n">
        <v>1376812</v>
      </c>
      <c r="L1027" s="9" t="n">
        <v>396261</v>
      </c>
      <c r="M1027" s="11" t="s">
        <v>52</v>
      </c>
      <c r="N1027" s="11" t="s">
        <v>37</v>
      </c>
      <c r="P1027" s="9" t="n">
        <v>113</v>
      </c>
      <c r="Q1027" s="11" t="s">
        <v>46</v>
      </c>
      <c r="R1027" s="11" t="s">
        <v>47</v>
      </c>
      <c r="S1027" s="9" t="n">
        <v>1130101</v>
      </c>
      <c r="T1027" s="11" t="s">
        <v>48</v>
      </c>
      <c r="U1027" s="12" t="n">
        <v>321.76</v>
      </c>
      <c r="W1027" s="12" t="n">
        <v>0</v>
      </c>
      <c r="X1027" s="11" t="s">
        <v>1006</v>
      </c>
      <c r="Z1027" s="0" t="str">
        <f aca="false">IF($T1027="","",IFERROR(INDEX('Resumo Grupos'!$AC$3:$AC$200,MATCH($T1027,'Resumo Grupos'!$AB$3:$AB$200,0)),"n/d"))</f>
        <v>Mercadoria</v>
      </c>
      <c r="AA1027" s="0" t="str">
        <f aca="false">IF($T1027="","",IF(COUNTIF('Resumo Grupos'!$AE$3:$AE$40,$T1027)&gt;0,"NAO","SIM"))</f>
        <v>SIM</v>
      </c>
      <c r="AB1027" s="0" t="str">
        <f aca="false">IFERROR(INDEX('Mov Entradas (Rel 10497)'!$L:$L,MATCH(AC1027,'Mov Entradas (Rel 10497)'!$I:$I,0)),"nao encontrado")</f>
        <v>CREME DE LEITE PIRAC</v>
      </c>
      <c r="AC1027" s="0" t="n">
        <v>396261</v>
      </c>
    </row>
    <row r="1028" customFormat="false" ht="12.75" hidden="false" customHeight="true" outlineLevel="0" collapsed="false">
      <c r="A1028" s="9" t="n">
        <v>2</v>
      </c>
      <c r="B1028" s="10" t="n">
        <v>46205</v>
      </c>
      <c r="C1028" s="10" t="n">
        <v>46226</v>
      </c>
      <c r="D1028" s="9" t="n">
        <v>1815</v>
      </c>
      <c r="E1028" s="11" t="s">
        <v>172</v>
      </c>
      <c r="F1028" s="9" t="n">
        <v>24</v>
      </c>
      <c r="G1028" s="11" t="s">
        <v>51</v>
      </c>
      <c r="H1028" s="9" t="n">
        <v>2110101</v>
      </c>
      <c r="I1028" s="11" t="s">
        <v>43</v>
      </c>
      <c r="J1028" s="9" t="n">
        <v>1339618</v>
      </c>
      <c r="L1028" s="9" t="n">
        <v>390211</v>
      </c>
      <c r="M1028" s="11" t="s">
        <v>67</v>
      </c>
      <c r="N1028" s="11" t="s">
        <v>37</v>
      </c>
      <c r="P1028" s="9" t="n">
        <v>113</v>
      </c>
      <c r="Q1028" s="11" t="s">
        <v>46</v>
      </c>
      <c r="R1028" s="11" t="s">
        <v>47</v>
      </c>
      <c r="S1028" s="9" t="n">
        <v>1130101</v>
      </c>
      <c r="T1028" s="11" t="s">
        <v>48</v>
      </c>
      <c r="U1028" s="12" t="n">
        <v>2005.44</v>
      </c>
      <c r="W1028" s="12" t="n">
        <v>0</v>
      </c>
      <c r="X1028" s="11" t="s">
        <v>831</v>
      </c>
      <c r="Z1028" s="0" t="str">
        <f aca="false">IF($T1028="","",IFERROR(INDEX('Resumo Grupos'!$AC$3:$AC$200,MATCH($T1028,'Resumo Grupos'!$AB$3:$AB$200,0)),"n/d"))</f>
        <v>Mercadoria</v>
      </c>
      <c r="AA1028" s="0" t="str">
        <f aca="false">IF($T1028="","",IF(COUNTIF('Resumo Grupos'!$AE$3:$AE$40,$T1028)&gt;0,"NAO","SIM"))</f>
        <v>SIM</v>
      </c>
      <c r="AB1028" s="0" t="str">
        <f aca="false">IFERROR(INDEX('Mov Entradas (Rel 10497)'!$L:$L,MATCH(AC1028,'Mov Entradas (Rel 10497)'!$I:$I,0)),"nao encontrado")</f>
        <v>COXÃO DURO KG</v>
      </c>
      <c r="AC1028" s="0" t="n">
        <v>390211</v>
      </c>
    </row>
    <row r="1029" customFormat="false" ht="12.75" hidden="false" customHeight="true" outlineLevel="0" collapsed="false">
      <c r="A1029" s="9" t="n">
        <v>2</v>
      </c>
      <c r="B1029" s="10" t="n">
        <v>46220</v>
      </c>
      <c r="C1029" s="10" t="n">
        <v>46226</v>
      </c>
      <c r="D1029" s="9" t="n">
        <v>1363</v>
      </c>
      <c r="E1029" s="11" t="s">
        <v>174</v>
      </c>
      <c r="F1029" s="9" t="n">
        <v>24</v>
      </c>
      <c r="G1029" s="11" t="s">
        <v>51</v>
      </c>
      <c r="H1029" s="9" t="n">
        <v>2110405</v>
      </c>
      <c r="I1029" s="11" t="s">
        <v>56</v>
      </c>
      <c r="J1029" s="9" t="n">
        <v>1410440</v>
      </c>
      <c r="L1029" s="9" t="n">
        <v>190050</v>
      </c>
      <c r="M1029" s="11" t="s">
        <v>52</v>
      </c>
      <c r="N1029" s="11" t="s">
        <v>45</v>
      </c>
      <c r="P1029" s="9" t="n">
        <v>113</v>
      </c>
      <c r="Q1029" s="11" t="s">
        <v>46</v>
      </c>
      <c r="R1029" s="11" t="s">
        <v>47</v>
      </c>
      <c r="S1029" s="9" t="n">
        <v>1130101</v>
      </c>
      <c r="T1029" s="11" t="s">
        <v>48</v>
      </c>
      <c r="U1029" s="12" t="n">
        <v>125</v>
      </c>
      <c r="W1029" s="12" t="n">
        <v>0</v>
      </c>
      <c r="X1029" s="11" t="s">
        <v>1007</v>
      </c>
      <c r="Z1029" s="0" t="str">
        <f aca="false">IF($T1029="","",IFERROR(INDEX('Resumo Grupos'!$AC$3:$AC$200,MATCH($T1029,'Resumo Grupos'!$AB$3:$AB$200,0)),"n/d"))</f>
        <v>Mercadoria</v>
      </c>
      <c r="AA1029" s="0" t="str">
        <f aca="false">IF($T1029="","",IF(COUNTIF('Resumo Grupos'!$AE$3:$AE$40,$T1029)&gt;0,"NAO","SIM"))</f>
        <v>SIM</v>
      </c>
      <c r="AB1029" s="0" t="str">
        <f aca="false">IFERROR(INDEX('Mov Entradas (Rel 10497)'!$L:$L,MATCH(AC1029,'Mov Entradas (Rel 10497)'!$I:$I,0)),"nao encontrado")</f>
        <v>PAO BOLINHA SANTO PAO</v>
      </c>
      <c r="AC1029" s="0" t="n">
        <v>3554</v>
      </c>
    </row>
    <row r="1030" customFormat="false" ht="12.75" hidden="false" customHeight="true" outlineLevel="0" collapsed="false">
      <c r="A1030" s="9" t="n">
        <v>2</v>
      </c>
      <c r="B1030" s="10" t="n">
        <v>46220</v>
      </c>
      <c r="C1030" s="10" t="n">
        <v>46226</v>
      </c>
      <c r="D1030" s="9" t="n">
        <v>1625</v>
      </c>
      <c r="E1030" s="11" t="s">
        <v>270</v>
      </c>
      <c r="F1030" s="9" t="n">
        <v>24</v>
      </c>
      <c r="G1030" s="11" t="s">
        <v>51</v>
      </c>
      <c r="H1030" s="9" t="n">
        <v>2110405</v>
      </c>
      <c r="I1030" s="11" t="s">
        <v>56</v>
      </c>
      <c r="J1030" s="9" t="n">
        <v>1411888</v>
      </c>
      <c r="L1030" s="9" t="n">
        <v>190383</v>
      </c>
      <c r="M1030" s="11" t="s">
        <v>52</v>
      </c>
      <c r="N1030" s="11" t="s">
        <v>45</v>
      </c>
      <c r="P1030" s="9" t="n">
        <v>113</v>
      </c>
      <c r="Q1030" s="11" t="s">
        <v>46</v>
      </c>
      <c r="R1030" s="11" t="s">
        <v>47</v>
      </c>
      <c r="S1030" s="9" t="n">
        <v>1130101</v>
      </c>
      <c r="T1030" s="11" t="s">
        <v>48</v>
      </c>
      <c r="U1030" s="12" t="n">
        <v>1269.94</v>
      </c>
      <c r="W1030" s="12" t="n">
        <v>0</v>
      </c>
      <c r="X1030" s="11" t="s">
        <v>1008</v>
      </c>
      <c r="Z1030" s="0" t="str">
        <f aca="false">IF($T1030="","",IFERROR(INDEX('Resumo Grupos'!$AC$3:$AC$200,MATCH($T1030,'Resumo Grupos'!$AB$3:$AB$200,0)),"n/d"))</f>
        <v>Mercadoria</v>
      </c>
      <c r="AA1030" s="0" t="str">
        <f aca="false">IF($T1030="","",IF(COUNTIF('Resumo Grupos'!$AE$3:$AE$40,$T1030)&gt;0,"NAO","SIM"))</f>
        <v>SIM</v>
      </c>
      <c r="AB1030" s="0" t="str">
        <f aca="false">IFERROR(INDEX('Mov Entradas (Rel 10497)'!$L:$L,MATCH(AC1030,'Mov Entradas (Rel 10497)'!$I:$I,0)),"nao encontrado")</f>
        <v>TRASEIRO DE BOI - BISTECA</v>
      </c>
      <c r="AC1030" s="0" t="n">
        <v>14728</v>
      </c>
    </row>
    <row r="1031" customFormat="false" ht="12.75" hidden="false" customHeight="true" outlineLevel="0" collapsed="false">
      <c r="A1031" s="9" t="n">
        <v>2</v>
      </c>
      <c r="B1031" s="10" t="n">
        <v>46212</v>
      </c>
      <c r="C1031" s="10" t="n">
        <v>46226</v>
      </c>
      <c r="D1031" s="9" t="n">
        <v>1740</v>
      </c>
      <c r="E1031" s="11" t="s">
        <v>468</v>
      </c>
      <c r="F1031" s="9" t="n">
        <v>24</v>
      </c>
      <c r="G1031" s="11" t="s">
        <v>51</v>
      </c>
      <c r="H1031" s="9" t="n">
        <v>2110101</v>
      </c>
      <c r="I1031" s="11" t="s">
        <v>43</v>
      </c>
      <c r="J1031" s="9" t="n">
        <v>1374749</v>
      </c>
      <c r="L1031" s="9" t="n">
        <v>1245696</v>
      </c>
      <c r="M1031" s="11" t="s">
        <v>52</v>
      </c>
      <c r="N1031" s="11" t="s">
        <v>37</v>
      </c>
      <c r="P1031" s="9" t="n">
        <v>113</v>
      </c>
      <c r="Q1031" s="11" t="s">
        <v>46</v>
      </c>
      <c r="R1031" s="11" t="s">
        <v>47</v>
      </c>
      <c r="S1031" s="9" t="n">
        <v>1130101</v>
      </c>
      <c r="T1031" s="11" t="s">
        <v>48</v>
      </c>
      <c r="U1031" s="12" t="n">
        <v>335.35</v>
      </c>
      <c r="W1031" s="12" t="n">
        <v>0</v>
      </c>
      <c r="X1031" s="11" t="s">
        <v>1009</v>
      </c>
      <c r="Z1031" s="0" t="str">
        <f aca="false">IF($T1031="","",IFERROR(INDEX('Resumo Grupos'!$AC$3:$AC$200,MATCH($T1031,'Resumo Grupos'!$AB$3:$AB$200,0)),"n/d"))</f>
        <v>Mercadoria</v>
      </c>
      <c r="AA1031" s="0" t="str">
        <f aca="false">IF($T1031="","",IF(COUNTIF('Resumo Grupos'!$AE$3:$AE$40,$T1031)&gt;0,"NAO","SIM"))</f>
        <v>SIM</v>
      </c>
      <c r="AB1031" s="0" t="str">
        <f aca="false">IFERROR(INDEX('Mov Entradas (Rel 10497)'!$L:$L,MATCH(AC1031,'Mov Entradas (Rel 10497)'!$I:$I,0)),"nao encontrado")</f>
        <v>IOG NAT NEST 170G</v>
      </c>
      <c r="AC1031" s="0" t="n">
        <v>1245696</v>
      </c>
    </row>
    <row r="1032" customFormat="false" ht="12.75" hidden="false" customHeight="true" outlineLevel="0" collapsed="false">
      <c r="A1032" s="9" t="n">
        <v>2</v>
      </c>
      <c r="B1032" s="10" t="n">
        <v>46219</v>
      </c>
      <c r="C1032" s="10" t="n">
        <v>46226</v>
      </c>
      <c r="D1032" s="9" t="n">
        <v>1740</v>
      </c>
      <c r="E1032" s="11" t="s">
        <v>468</v>
      </c>
      <c r="F1032" s="9" t="n">
        <v>24</v>
      </c>
      <c r="G1032" s="11" t="s">
        <v>51</v>
      </c>
      <c r="H1032" s="9" t="n">
        <v>2110405</v>
      </c>
      <c r="I1032" s="11" t="s">
        <v>56</v>
      </c>
      <c r="J1032" s="9" t="n">
        <v>1407539</v>
      </c>
      <c r="L1032" s="9" t="n">
        <v>189642</v>
      </c>
      <c r="M1032" s="11" t="s">
        <v>52</v>
      </c>
      <c r="N1032" s="11" t="s">
        <v>45</v>
      </c>
      <c r="P1032" s="9" t="n">
        <v>113</v>
      </c>
      <c r="Q1032" s="11" t="s">
        <v>46</v>
      </c>
      <c r="R1032" s="11" t="s">
        <v>47</v>
      </c>
      <c r="S1032" s="9" t="n">
        <v>1130101</v>
      </c>
      <c r="T1032" s="11" t="s">
        <v>48</v>
      </c>
      <c r="U1032" s="12" t="n">
        <v>593.78</v>
      </c>
      <c r="W1032" s="12" t="n">
        <v>0</v>
      </c>
      <c r="X1032" s="11" t="s">
        <v>1010</v>
      </c>
      <c r="Z1032" s="0" t="str">
        <f aca="false">IF($T1032="","",IFERROR(INDEX('Resumo Grupos'!$AC$3:$AC$200,MATCH($T1032,'Resumo Grupos'!$AB$3:$AB$200,0)),"n/d"))</f>
        <v>Mercadoria</v>
      </c>
      <c r="AA1032" s="0" t="str">
        <f aca="false">IF($T1032="","",IF(COUNTIF('Resumo Grupos'!$AE$3:$AE$40,$T1032)&gt;0,"NAO","SIM"))</f>
        <v>SIM</v>
      </c>
      <c r="AB1032" s="0" t="str">
        <f aca="false">IFERROR(INDEX('Mov Entradas (Rel 10497)'!$L:$L,MATCH(AC1032,'Mov Entradas (Rel 10497)'!$I:$I,0)),"nao encontrado")</f>
        <v>EMPANADO AUROGGETS C</v>
      </c>
      <c r="AC1032" s="0" t="n">
        <v>1248471</v>
      </c>
    </row>
    <row r="1033" customFormat="false" ht="12.75" hidden="false" customHeight="true" outlineLevel="0" collapsed="false">
      <c r="A1033" s="9" t="n">
        <v>2</v>
      </c>
      <c r="B1033" s="10" t="n">
        <v>46213</v>
      </c>
      <c r="C1033" s="10" t="n">
        <v>46226</v>
      </c>
      <c r="D1033" s="9" t="n">
        <v>1107</v>
      </c>
      <c r="E1033" s="11" t="s">
        <v>254</v>
      </c>
      <c r="F1033" s="9" t="n">
        <v>24</v>
      </c>
      <c r="G1033" s="11" t="s">
        <v>51</v>
      </c>
      <c r="H1033" s="9" t="n">
        <v>2110101</v>
      </c>
      <c r="I1033" s="11" t="s">
        <v>43</v>
      </c>
      <c r="J1033" s="9" t="n">
        <v>1376909</v>
      </c>
      <c r="L1033" s="9" t="n">
        <v>426652</v>
      </c>
      <c r="M1033" s="11" t="s">
        <v>52</v>
      </c>
      <c r="N1033" s="11" t="s">
        <v>37</v>
      </c>
      <c r="P1033" s="9" t="n">
        <v>113</v>
      </c>
      <c r="Q1033" s="11" t="s">
        <v>46</v>
      </c>
      <c r="R1033" s="11" t="s">
        <v>47</v>
      </c>
      <c r="S1033" s="9" t="n">
        <v>1130101</v>
      </c>
      <c r="T1033" s="11" t="s">
        <v>48</v>
      </c>
      <c r="U1033" s="12" t="n">
        <v>682.64</v>
      </c>
      <c r="W1033" s="12" t="n">
        <v>0</v>
      </c>
      <c r="X1033" s="11" t="s">
        <v>1011</v>
      </c>
      <c r="Z1033" s="0" t="str">
        <f aca="false">IF($T1033="","",IFERROR(INDEX('Resumo Grupos'!$AC$3:$AC$200,MATCH($T1033,'Resumo Grupos'!$AB$3:$AB$200,0)),"n/d"))</f>
        <v>Mercadoria</v>
      </c>
      <c r="AA1033" s="0" t="str">
        <f aca="false">IF($T1033="","",IF(COUNTIF('Resumo Grupos'!$AE$3:$AE$40,$T1033)&gt;0,"NAO","SIM"))</f>
        <v>SIM</v>
      </c>
      <c r="AB1033" s="0" t="str">
        <f aca="false">IFERROR(INDEX('Mov Entradas (Rel 10497)'!$L:$L,MATCH(AC1033,'Mov Entradas (Rel 10497)'!$I:$I,0)),"nao encontrado")</f>
        <v>GELATINA S SABOR OE</v>
      </c>
      <c r="AC1033" s="0" t="n">
        <v>426652</v>
      </c>
    </row>
    <row r="1034" customFormat="false" ht="12.75" hidden="false" customHeight="true" outlineLevel="0" collapsed="false">
      <c r="A1034" s="9" t="n">
        <v>2</v>
      </c>
      <c r="B1034" s="10" t="n">
        <v>46189</v>
      </c>
      <c r="C1034" s="10" t="n">
        <v>46226</v>
      </c>
      <c r="D1034" s="9" t="n">
        <v>1624</v>
      </c>
      <c r="E1034" s="11" t="s">
        <v>351</v>
      </c>
      <c r="F1034" s="9" t="n">
        <v>24</v>
      </c>
      <c r="G1034" s="11" t="s">
        <v>51</v>
      </c>
      <c r="H1034" s="9" t="n">
        <v>2110101</v>
      </c>
      <c r="I1034" s="11" t="s">
        <v>43</v>
      </c>
      <c r="J1034" s="9" t="n">
        <v>1261007</v>
      </c>
      <c r="L1034" s="9" t="n">
        <v>658429</v>
      </c>
      <c r="M1034" s="11" t="s">
        <v>89</v>
      </c>
      <c r="N1034" s="11" t="s">
        <v>37</v>
      </c>
      <c r="P1034" s="9" t="n">
        <v>113</v>
      </c>
      <c r="Q1034" s="11" t="s">
        <v>46</v>
      </c>
      <c r="R1034" s="11" t="s">
        <v>47</v>
      </c>
      <c r="S1034" s="9" t="n">
        <v>1130101</v>
      </c>
      <c r="T1034" s="11" t="s">
        <v>48</v>
      </c>
      <c r="U1034" s="12" t="n">
        <v>550.4</v>
      </c>
      <c r="W1034" s="12" t="n">
        <v>0</v>
      </c>
      <c r="X1034" s="11" t="s">
        <v>726</v>
      </c>
      <c r="Z1034" s="0" t="str">
        <f aca="false">IF($T1034="","",IFERROR(INDEX('Resumo Grupos'!$AC$3:$AC$200,MATCH($T1034,'Resumo Grupos'!$AB$3:$AB$200,0)),"n/d"))</f>
        <v>Mercadoria</v>
      </c>
      <c r="AA1034" s="0" t="str">
        <f aca="false">IF($T1034="","",IF(COUNTIF('Resumo Grupos'!$AE$3:$AE$40,$T1034)&gt;0,"NAO","SIM"))</f>
        <v>SIM</v>
      </c>
      <c r="AB1034" s="0" t="str">
        <f aca="false">IFERROR(INDEX('Mov Entradas (Rel 10497)'!$L:$L,MATCH(AC1034,'Mov Entradas (Rel 10497)'!$I:$I,0)),"nao encontrado")</f>
        <v>FUNNY BUNNY 500G</v>
      </c>
      <c r="AC1034" s="0" t="n">
        <v>658429</v>
      </c>
    </row>
    <row r="1035" customFormat="false" ht="12.75" hidden="false" customHeight="true" outlineLevel="0" collapsed="false">
      <c r="A1035" s="9" t="n">
        <v>2</v>
      </c>
      <c r="B1035" s="10" t="n">
        <v>46219</v>
      </c>
      <c r="C1035" s="10" t="n">
        <v>46226</v>
      </c>
      <c r="D1035" s="9" t="n">
        <v>1292</v>
      </c>
      <c r="E1035" s="11" t="s">
        <v>209</v>
      </c>
      <c r="F1035" s="9" t="n">
        <v>24</v>
      </c>
      <c r="G1035" s="11" t="s">
        <v>51</v>
      </c>
      <c r="H1035" s="9" t="n">
        <v>2110405</v>
      </c>
      <c r="I1035" s="11" t="s">
        <v>56</v>
      </c>
      <c r="J1035" s="9" t="n">
        <v>1406917</v>
      </c>
      <c r="L1035" s="9" t="n">
        <v>189514</v>
      </c>
      <c r="M1035" s="11" t="s">
        <v>52</v>
      </c>
      <c r="N1035" s="11" t="s">
        <v>45</v>
      </c>
      <c r="P1035" s="9" t="n">
        <v>113</v>
      </c>
      <c r="Q1035" s="11" t="s">
        <v>46</v>
      </c>
      <c r="R1035" s="11" t="s">
        <v>47</v>
      </c>
      <c r="S1035" s="9" t="n">
        <v>1130101</v>
      </c>
      <c r="T1035" s="11" t="s">
        <v>48</v>
      </c>
      <c r="U1035" s="12" t="n">
        <v>533.5</v>
      </c>
      <c r="W1035" s="12" t="n">
        <v>0</v>
      </c>
      <c r="X1035" s="11" t="s">
        <v>1012</v>
      </c>
      <c r="Z1035" s="0" t="str">
        <f aca="false">IF($T1035="","",IFERROR(INDEX('Resumo Grupos'!$AC$3:$AC$200,MATCH($T1035,'Resumo Grupos'!$AB$3:$AB$200,0)),"n/d"))</f>
        <v>Mercadoria</v>
      </c>
      <c r="AA1035" s="0" t="str">
        <f aca="false">IF($T1035="","",IF(COUNTIF('Resumo Grupos'!$AE$3:$AE$40,$T1035)&gt;0,"NAO","SIM"))</f>
        <v>SIM</v>
      </c>
      <c r="AB1035" s="0" t="str">
        <f aca="false">IFERROR(INDEX('Mov Entradas (Rel 10497)'!$L:$L,MATCH(AC1035,'Mov Entradas (Rel 10497)'!$I:$I,0)),"nao encontrado")</f>
        <v>PRESUNTO DELICE DE PERU 200G</v>
      </c>
      <c r="AC1035" s="0" t="n">
        <v>3627</v>
      </c>
    </row>
    <row r="1036" customFormat="false" ht="12.75" hidden="false" customHeight="true" outlineLevel="0" collapsed="false">
      <c r="A1036" s="9" t="n">
        <v>2</v>
      </c>
      <c r="B1036" s="10" t="n">
        <v>46195</v>
      </c>
      <c r="C1036" s="10" t="n">
        <v>46226</v>
      </c>
      <c r="D1036" s="9" t="n">
        <v>10012</v>
      </c>
      <c r="E1036" s="11" t="s">
        <v>185</v>
      </c>
      <c r="F1036" s="9" t="n">
        <v>24</v>
      </c>
      <c r="G1036" s="11" t="s">
        <v>51</v>
      </c>
      <c r="H1036" s="9" t="n">
        <v>2110101</v>
      </c>
      <c r="I1036" s="11" t="s">
        <v>43</v>
      </c>
      <c r="J1036" s="9" t="n">
        <v>1289819</v>
      </c>
      <c r="L1036" s="9" t="n">
        <v>1959276</v>
      </c>
      <c r="M1036" s="11" t="s">
        <v>67</v>
      </c>
      <c r="N1036" s="11" t="s">
        <v>37</v>
      </c>
      <c r="P1036" s="9" t="n">
        <v>113</v>
      </c>
      <c r="Q1036" s="11" t="s">
        <v>46</v>
      </c>
      <c r="R1036" s="11" t="s">
        <v>47</v>
      </c>
      <c r="S1036" s="9" t="n">
        <v>1130101</v>
      </c>
      <c r="T1036" s="11" t="s">
        <v>48</v>
      </c>
      <c r="U1036" s="12" t="n">
        <v>653.86</v>
      </c>
      <c r="W1036" s="12" t="n">
        <v>0</v>
      </c>
      <c r="X1036" s="11" t="s">
        <v>833</v>
      </c>
      <c r="Z1036" s="0" t="str">
        <f aca="false">IF($T1036="","",IFERROR(INDEX('Resumo Grupos'!$AC$3:$AC$200,MATCH($T1036,'Resumo Grupos'!$AB$3:$AB$200,0)),"n/d"))</f>
        <v>Mercadoria</v>
      </c>
      <c r="AA1036" s="0" t="str">
        <f aca="false">IF($T1036="","",IF(COUNTIF('Resumo Grupos'!$AE$3:$AE$40,$T1036)&gt;0,"NAO","SIM"))</f>
        <v>SIM</v>
      </c>
      <c r="AB1036" s="0" t="str">
        <f aca="false">IFERROR(INDEX('Mov Entradas (Rel 10497)'!$L:$L,MATCH(AC1036,'Mov Entradas (Rel 10497)'!$I:$I,0)),"nao encontrado")</f>
        <v>ABS SEMPRE LIVRE NOT</v>
      </c>
      <c r="AC1036" s="0" t="n">
        <v>1959276</v>
      </c>
    </row>
    <row r="1037" customFormat="false" ht="12.75" hidden="false" customHeight="true" outlineLevel="0" collapsed="false">
      <c r="A1037" s="9" t="n">
        <v>2</v>
      </c>
      <c r="B1037" s="10" t="n">
        <v>46226</v>
      </c>
      <c r="C1037" s="10" t="n">
        <v>46226</v>
      </c>
      <c r="D1037" s="9" t="n">
        <v>0</v>
      </c>
      <c r="E1037" s="11" t="s">
        <v>109</v>
      </c>
      <c r="F1037" s="9" t="n">
        <v>17</v>
      </c>
      <c r="G1037" s="11" t="s">
        <v>110</v>
      </c>
      <c r="H1037" s="9" t="n">
        <v>1110101</v>
      </c>
      <c r="I1037" s="11" t="s">
        <v>111</v>
      </c>
      <c r="J1037" s="9" t="n">
        <v>1443990</v>
      </c>
      <c r="L1037" s="9" t="n">
        <v>1443990</v>
      </c>
      <c r="M1037" s="11" t="s">
        <v>52</v>
      </c>
      <c r="N1037" s="11" t="s">
        <v>112</v>
      </c>
      <c r="P1037" s="9" t="n">
        <v>113</v>
      </c>
      <c r="Q1037" s="11" t="s">
        <v>46</v>
      </c>
      <c r="R1037" s="11" t="s">
        <v>71</v>
      </c>
      <c r="S1037" s="9" t="n">
        <v>4210314</v>
      </c>
      <c r="T1037" s="11" t="s">
        <v>113</v>
      </c>
      <c r="U1037" s="12" t="n">
        <v>50</v>
      </c>
      <c r="W1037" s="12" t="n">
        <v>50</v>
      </c>
      <c r="X1037" s="11" t="s">
        <v>368</v>
      </c>
      <c r="Z1037" s="0" t="str">
        <f aca="false">IF($T1037="","",IFERROR(INDEX('Resumo Grupos'!$AC$3:$AC$200,MATCH($T1037,'Resumo Grupos'!$AB$3:$AB$200,0)),"n/d"))</f>
        <v>Despesa</v>
      </c>
      <c r="AA1037" s="0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9" t="n">
        <v>2</v>
      </c>
      <c r="B1038" s="10" t="n">
        <v>46226</v>
      </c>
      <c r="C1038" s="10" t="n">
        <v>46226</v>
      </c>
      <c r="D1038" s="9" t="n">
        <v>0</v>
      </c>
      <c r="E1038" s="11" t="s">
        <v>109</v>
      </c>
      <c r="F1038" s="9" t="n">
        <v>17</v>
      </c>
      <c r="G1038" s="11" t="s">
        <v>110</v>
      </c>
      <c r="H1038" s="9" t="n">
        <v>1110101</v>
      </c>
      <c r="I1038" s="11" t="s">
        <v>111</v>
      </c>
      <c r="J1038" s="9" t="n">
        <v>1443992</v>
      </c>
      <c r="L1038" s="9" t="n">
        <v>1443992</v>
      </c>
      <c r="M1038" s="11" t="s">
        <v>52</v>
      </c>
      <c r="N1038" s="11" t="s">
        <v>112</v>
      </c>
      <c r="P1038" s="9" t="n">
        <v>113</v>
      </c>
      <c r="Q1038" s="11" t="s">
        <v>46</v>
      </c>
      <c r="R1038" s="11" t="s">
        <v>71</v>
      </c>
      <c r="S1038" s="9" t="n">
        <v>4210314</v>
      </c>
      <c r="T1038" s="11" t="s">
        <v>113</v>
      </c>
      <c r="U1038" s="12" t="n">
        <v>50</v>
      </c>
      <c r="W1038" s="12" t="n">
        <v>50</v>
      </c>
      <c r="X1038" s="11" t="s">
        <v>187</v>
      </c>
      <c r="Z1038" s="0" t="str">
        <f aca="false">IF($T1038="","",IFERROR(INDEX('Resumo Grupos'!$AC$3:$AC$200,MATCH($T1038,'Resumo Grupos'!$AB$3:$AB$200,0)),"n/d"))</f>
        <v>Despesa</v>
      </c>
      <c r="AA1038" s="0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9" t="n">
        <v>2</v>
      </c>
      <c r="B1039" s="10" t="n">
        <v>46226</v>
      </c>
      <c r="C1039" s="10" t="n">
        <v>46226</v>
      </c>
      <c r="D1039" s="9" t="n">
        <v>0</v>
      </c>
      <c r="E1039" s="11" t="s">
        <v>109</v>
      </c>
      <c r="F1039" s="9" t="n">
        <v>17</v>
      </c>
      <c r="G1039" s="11" t="s">
        <v>110</v>
      </c>
      <c r="H1039" s="9" t="n">
        <v>1110101</v>
      </c>
      <c r="I1039" s="11" t="s">
        <v>111</v>
      </c>
      <c r="J1039" s="9" t="n">
        <v>1469120</v>
      </c>
      <c r="L1039" s="9" t="n">
        <v>1469120</v>
      </c>
      <c r="M1039" s="11" t="s">
        <v>52</v>
      </c>
      <c r="N1039" s="11" t="s">
        <v>112</v>
      </c>
      <c r="P1039" s="9" t="n">
        <v>113</v>
      </c>
      <c r="Q1039" s="11" t="s">
        <v>46</v>
      </c>
      <c r="R1039" s="11" t="s">
        <v>116</v>
      </c>
      <c r="S1039" s="9" t="n">
        <v>1110203</v>
      </c>
      <c r="T1039" s="11" t="s">
        <v>117</v>
      </c>
      <c r="U1039" s="12" t="n">
        <v>2600</v>
      </c>
      <c r="W1039" s="12" t="n">
        <v>2600</v>
      </c>
      <c r="X1039" s="11" t="s">
        <v>1013</v>
      </c>
      <c r="Z1039" s="0" t="str">
        <f aca="false">IF($T1039="","",IFERROR(INDEX('Resumo Grupos'!$AC$3:$AC$200,MATCH($T1039,'Resumo Grupos'!$AB$3:$AB$200,0)),"n/d"))</f>
        <v>Despesa</v>
      </c>
      <c r="AA1039" s="0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9" t="n">
        <v>2</v>
      </c>
      <c r="B1040" s="10" t="n">
        <v>46213</v>
      </c>
      <c r="C1040" s="10" t="n">
        <v>46226</v>
      </c>
      <c r="D1040" s="9" t="n">
        <v>1734</v>
      </c>
      <c r="E1040" s="11" t="s">
        <v>566</v>
      </c>
      <c r="F1040" s="9" t="n">
        <v>24</v>
      </c>
      <c r="G1040" s="11" t="s">
        <v>51</v>
      </c>
      <c r="H1040" s="9" t="n">
        <v>2110101</v>
      </c>
      <c r="I1040" s="11" t="s">
        <v>43</v>
      </c>
      <c r="J1040" s="9" t="n">
        <v>1377204</v>
      </c>
      <c r="L1040" s="9" t="n">
        <v>255191</v>
      </c>
      <c r="M1040" s="11" t="s">
        <v>52</v>
      </c>
      <c r="N1040" s="11" t="s">
        <v>37</v>
      </c>
      <c r="P1040" s="9" t="n">
        <v>113</v>
      </c>
      <c r="Q1040" s="11" t="s">
        <v>46</v>
      </c>
      <c r="R1040" s="11" t="s">
        <v>47</v>
      </c>
      <c r="S1040" s="9" t="n">
        <v>1130101</v>
      </c>
      <c r="T1040" s="11" t="s">
        <v>48</v>
      </c>
      <c r="U1040" s="12" t="n">
        <v>771.01</v>
      </c>
      <c r="W1040" s="12" t="n">
        <v>0</v>
      </c>
      <c r="X1040" s="11" t="s">
        <v>1014</v>
      </c>
      <c r="Z1040" s="0" t="str">
        <f aca="false">IF($T1040="","",IFERROR(INDEX('Resumo Grupos'!$AC$3:$AC$200,MATCH($T1040,'Resumo Grupos'!$AB$3:$AB$200,0)),"n/d"))</f>
        <v>Mercadoria</v>
      </c>
      <c r="AA1040" s="0" t="str">
        <f aca="false">IF($T1040="","",IF(COUNTIF('Resumo Grupos'!$AE$3:$AE$40,$T1040)&gt;0,"NAO","SIM"))</f>
        <v>SIM</v>
      </c>
      <c r="AB1040" s="0" t="str">
        <f aca="false">IFERROR(INDEX('Mov Entradas (Rel 10497)'!$L:$L,MATCH(AC1040,'Mov Entradas (Rel 10497)'!$I:$I,0)),"nao encontrado")</f>
        <v>PICOLE BRIGAD TOYA</v>
      </c>
      <c r="AC1040" s="0" t="n">
        <v>255191</v>
      </c>
    </row>
    <row r="1041" customFormat="false" ht="12.75" hidden="false" customHeight="true" outlineLevel="0" collapsed="false">
      <c r="A1041" s="9" t="n">
        <v>2</v>
      </c>
      <c r="B1041" s="10" t="n">
        <v>46212</v>
      </c>
      <c r="C1041" s="10" t="n">
        <v>46227</v>
      </c>
      <c r="D1041" s="9" t="n">
        <v>1705</v>
      </c>
      <c r="E1041" s="11" t="s">
        <v>130</v>
      </c>
      <c r="F1041" s="9" t="n">
        <v>24</v>
      </c>
      <c r="G1041" s="11" t="s">
        <v>51</v>
      </c>
      <c r="H1041" s="9" t="n">
        <v>2110101</v>
      </c>
      <c r="I1041" s="11" t="s">
        <v>43</v>
      </c>
      <c r="J1041" s="9" t="n">
        <v>1374769</v>
      </c>
      <c r="L1041" s="9" t="n">
        <v>1194626</v>
      </c>
      <c r="M1041" s="11" t="s">
        <v>52</v>
      </c>
      <c r="N1041" s="11" t="s">
        <v>37</v>
      </c>
      <c r="P1041" s="9" t="n">
        <v>113</v>
      </c>
      <c r="Q1041" s="11" t="s">
        <v>46</v>
      </c>
      <c r="R1041" s="11" t="s">
        <v>47</v>
      </c>
      <c r="S1041" s="9" t="n">
        <v>1130101</v>
      </c>
      <c r="T1041" s="11" t="s">
        <v>48</v>
      </c>
      <c r="U1041" s="12" t="n">
        <v>659.34</v>
      </c>
      <c r="W1041" s="12" t="n">
        <v>0</v>
      </c>
      <c r="X1041" s="11" t="s">
        <v>1015</v>
      </c>
      <c r="Z1041" s="0" t="str">
        <f aca="false">IF($T1041="","",IFERROR(INDEX('Resumo Grupos'!$AC$3:$AC$200,MATCH($T1041,'Resumo Grupos'!$AB$3:$AB$200,0)),"n/d"))</f>
        <v>Mercadoria</v>
      </c>
      <c r="AA1041" s="0" t="str">
        <f aca="false">IF($T1041="","",IF(COUNTIF('Resumo Grupos'!$AE$3:$AE$40,$T1041)&gt;0,"NAO","SIM"))</f>
        <v>SIM</v>
      </c>
      <c r="AB1041" s="0" t="str">
        <f aca="false">IFERROR(INDEX('Mov Entradas (Rel 10497)'!$L:$L,MATCH(AC1041,'Mov Entradas (Rel 10497)'!$I:$I,0)),"nao encontrado")</f>
        <v>CERVEJA KAISER LATA</v>
      </c>
      <c r="AC1041" s="0" t="n">
        <v>1194626</v>
      </c>
    </row>
    <row r="1042" customFormat="false" ht="12.75" hidden="false" customHeight="true" outlineLevel="0" collapsed="false">
      <c r="A1042" s="9" t="n">
        <v>2</v>
      </c>
      <c r="B1042" s="10" t="n">
        <v>46212</v>
      </c>
      <c r="C1042" s="10" t="n">
        <v>46227</v>
      </c>
      <c r="D1042" s="9" t="n">
        <v>1705</v>
      </c>
      <c r="E1042" s="11" t="s">
        <v>130</v>
      </c>
      <c r="F1042" s="9" t="n">
        <v>24</v>
      </c>
      <c r="G1042" s="11" t="s">
        <v>51</v>
      </c>
      <c r="H1042" s="9" t="n">
        <v>2110101</v>
      </c>
      <c r="I1042" s="11" t="s">
        <v>43</v>
      </c>
      <c r="J1042" s="9" t="n">
        <v>1374773</v>
      </c>
      <c r="L1042" s="9" t="n">
        <v>1926959</v>
      </c>
      <c r="M1042" s="11" t="s">
        <v>52</v>
      </c>
      <c r="N1042" s="11" t="s">
        <v>37</v>
      </c>
      <c r="P1042" s="9" t="n">
        <v>113</v>
      </c>
      <c r="Q1042" s="11" t="s">
        <v>46</v>
      </c>
      <c r="R1042" s="11" t="s">
        <v>47</v>
      </c>
      <c r="S1042" s="9" t="n">
        <v>1130101</v>
      </c>
      <c r="T1042" s="11" t="s">
        <v>48</v>
      </c>
      <c r="U1042" s="12" t="n">
        <v>190.48</v>
      </c>
      <c r="W1042" s="12" t="n">
        <v>0</v>
      </c>
      <c r="X1042" s="11" t="s">
        <v>1016</v>
      </c>
      <c r="Z1042" s="0" t="str">
        <f aca="false">IF($T1042="","",IFERROR(INDEX('Resumo Grupos'!$AC$3:$AC$200,MATCH($T1042,'Resumo Grupos'!$AB$3:$AB$200,0)),"n/d"))</f>
        <v>Mercadoria</v>
      </c>
      <c r="AA1042" s="0" t="str">
        <f aca="false">IF($T1042="","",IF(COUNTIF('Resumo Grupos'!$AE$3:$AE$40,$T1042)&gt;0,"NAO","SIM"))</f>
        <v>SIM</v>
      </c>
      <c r="AB1042" s="0" t="str">
        <f aca="false">IFERROR(INDEX('Mov Entradas (Rel 10497)'!$L:$L,MATCH(AC1042,'Mov Entradas (Rel 10497)'!$I:$I,0)),"nao encontrado")</f>
        <v>REF COCA LT 350ML</v>
      </c>
      <c r="AC1042" s="0" t="n">
        <v>1926959</v>
      </c>
    </row>
    <row r="1043" customFormat="false" ht="12.75" hidden="false" customHeight="true" outlineLevel="0" collapsed="false">
      <c r="A1043" s="9" t="n">
        <v>2</v>
      </c>
      <c r="B1043" s="10" t="n">
        <v>46212</v>
      </c>
      <c r="C1043" s="10" t="n">
        <v>46227</v>
      </c>
      <c r="D1043" s="9" t="n">
        <v>1705</v>
      </c>
      <c r="E1043" s="11" t="s">
        <v>130</v>
      </c>
      <c r="F1043" s="9" t="n">
        <v>24</v>
      </c>
      <c r="G1043" s="11" t="s">
        <v>51</v>
      </c>
      <c r="H1043" s="9" t="n">
        <v>2110101</v>
      </c>
      <c r="I1043" s="11" t="s">
        <v>43</v>
      </c>
      <c r="J1043" s="9" t="n">
        <v>1374788</v>
      </c>
      <c r="L1043" s="9" t="n">
        <v>184920</v>
      </c>
      <c r="M1043" s="11" t="s">
        <v>52</v>
      </c>
      <c r="N1043" s="11" t="s">
        <v>45</v>
      </c>
      <c r="P1043" s="9" t="n">
        <v>113</v>
      </c>
      <c r="Q1043" s="11" t="s">
        <v>46</v>
      </c>
      <c r="R1043" s="11" t="s">
        <v>47</v>
      </c>
      <c r="S1043" s="9" t="n">
        <v>1130101</v>
      </c>
      <c r="T1043" s="11" t="s">
        <v>48</v>
      </c>
      <c r="U1043" s="12" t="n">
        <v>156.88</v>
      </c>
      <c r="W1043" s="12" t="n">
        <v>0</v>
      </c>
      <c r="X1043" s="11" t="s">
        <v>1017</v>
      </c>
      <c r="Z1043" s="0" t="str">
        <f aca="false">IF($T1043="","",IFERROR(INDEX('Resumo Grupos'!$AC$3:$AC$200,MATCH($T1043,'Resumo Grupos'!$AB$3:$AB$200,0)),"n/d"))</f>
        <v>Mercadoria</v>
      </c>
      <c r="AA1043" s="0" t="str">
        <f aca="false">IF($T1043="","",IF(COUNTIF('Resumo Grupos'!$AE$3:$AE$40,$T1043)&gt;0,"NAO","SIM"))</f>
        <v>SIM</v>
      </c>
      <c r="AB1043" s="0" t="str">
        <f aca="false">IFERROR(INDEX('Mov Entradas (Rel 10497)'!$L:$L,MATCH(AC1043,'Mov Entradas (Rel 10497)'!$I:$I,0)),"nao encontrado")</f>
        <v>VASILHAME CERVEJA 1L RETORNAVEL</v>
      </c>
      <c r="AC1043" s="0" t="n">
        <v>1194625</v>
      </c>
    </row>
    <row r="1044" customFormat="false" ht="12.75" hidden="false" customHeight="true" outlineLevel="0" collapsed="false">
      <c r="A1044" s="9" t="n">
        <v>2</v>
      </c>
      <c r="B1044" s="10" t="n">
        <v>46210</v>
      </c>
      <c r="C1044" s="10" t="n">
        <v>46227</v>
      </c>
      <c r="D1044" s="9" t="n">
        <v>1613</v>
      </c>
      <c r="E1044" s="11" t="s">
        <v>50</v>
      </c>
      <c r="F1044" s="9" t="n">
        <v>24</v>
      </c>
      <c r="G1044" s="11" t="s">
        <v>51</v>
      </c>
      <c r="H1044" s="9" t="n">
        <v>2110101</v>
      </c>
      <c r="I1044" s="11" t="s">
        <v>43</v>
      </c>
      <c r="J1044" s="9" t="n">
        <v>1364523</v>
      </c>
      <c r="L1044" s="9" t="n">
        <v>1604119</v>
      </c>
      <c r="M1044" s="11" t="s">
        <v>44</v>
      </c>
      <c r="N1044" s="11" t="s">
        <v>37</v>
      </c>
      <c r="P1044" s="9" t="n">
        <v>113</v>
      </c>
      <c r="Q1044" s="11" t="s">
        <v>46</v>
      </c>
      <c r="R1044" s="11" t="s">
        <v>47</v>
      </c>
      <c r="S1044" s="9" t="n">
        <v>1130101</v>
      </c>
      <c r="T1044" s="11" t="s">
        <v>48</v>
      </c>
      <c r="U1044" s="12" t="n">
        <v>1031.77</v>
      </c>
      <c r="W1044" s="12" t="n">
        <v>0</v>
      </c>
      <c r="X1044" s="11" t="s">
        <v>921</v>
      </c>
      <c r="Z1044" s="0" t="str">
        <f aca="false">IF($T1044="","",IFERROR(INDEX('Resumo Grupos'!$AC$3:$AC$200,MATCH($T1044,'Resumo Grupos'!$AB$3:$AB$200,0)),"n/d"))</f>
        <v>Mercadoria</v>
      </c>
      <c r="AA1044" s="0" t="str">
        <f aca="false">IF($T1044="","",IF(COUNTIF('Resumo Grupos'!$AE$3:$AE$40,$T1044)&gt;0,"NAO","SIM"))</f>
        <v>SIM</v>
      </c>
      <c r="AB1044" s="0" t="str">
        <f aca="false">IFERROR(INDEX('Mov Entradas (Rel 10497)'!$L:$L,MATCH(AC1044,'Mov Entradas (Rel 10497)'!$I:$I,0)),"nao encontrado")</f>
        <v>COSTELA SUINA KG</v>
      </c>
      <c r="AC1044" s="0" t="n">
        <v>1604119</v>
      </c>
    </row>
    <row r="1045" customFormat="false" ht="12.75" hidden="false" customHeight="true" outlineLevel="0" collapsed="false">
      <c r="A1045" s="9" t="n">
        <v>2</v>
      </c>
      <c r="B1045" s="10" t="n">
        <v>46220</v>
      </c>
      <c r="C1045" s="10" t="n">
        <v>46227</v>
      </c>
      <c r="D1045" s="9" t="n">
        <v>1642</v>
      </c>
      <c r="E1045" s="11" t="s">
        <v>228</v>
      </c>
      <c r="F1045" s="9" t="n">
        <v>24</v>
      </c>
      <c r="G1045" s="11" t="s">
        <v>51</v>
      </c>
      <c r="H1045" s="9" t="n">
        <v>2110405</v>
      </c>
      <c r="I1045" s="11" t="s">
        <v>56</v>
      </c>
      <c r="J1045" s="9" t="n">
        <v>1410452</v>
      </c>
      <c r="L1045" s="9" t="n">
        <v>190056</v>
      </c>
      <c r="M1045" s="11" t="s">
        <v>52</v>
      </c>
      <c r="N1045" s="11" t="s">
        <v>45</v>
      </c>
      <c r="P1045" s="9" t="n">
        <v>113</v>
      </c>
      <c r="Q1045" s="11" t="s">
        <v>46</v>
      </c>
      <c r="R1045" s="11" t="s">
        <v>47</v>
      </c>
      <c r="S1045" s="9" t="n">
        <v>1130101</v>
      </c>
      <c r="T1045" s="11" t="s">
        <v>48</v>
      </c>
      <c r="U1045" s="12" t="n">
        <v>254.6</v>
      </c>
      <c r="W1045" s="12" t="n">
        <v>0</v>
      </c>
      <c r="X1045" s="11" t="s">
        <v>1018</v>
      </c>
      <c r="Z1045" s="0" t="str">
        <f aca="false">IF($T1045="","",IFERROR(INDEX('Resumo Grupos'!$AC$3:$AC$200,MATCH($T1045,'Resumo Grupos'!$AB$3:$AB$200,0)),"n/d"))</f>
        <v>Mercadoria</v>
      </c>
      <c r="AA1045" s="0" t="str">
        <f aca="false">IF($T1045="","",IF(COUNTIF('Resumo Grupos'!$AE$3:$AE$40,$T1045)&gt;0,"NAO","SIM"))</f>
        <v>SIM</v>
      </c>
      <c r="AB1045" s="0" t="str">
        <f aca="false">IFERROR(INDEX('Mov Entradas (Rel 10497)'!$L:$L,MATCH(AC1045,'Mov Entradas (Rel 10497)'!$I:$I,0)),"nao encontrado")</f>
        <v>PAO DE FORMA BROTHER</v>
      </c>
      <c r="AC1045" s="0" t="n">
        <v>1032250</v>
      </c>
    </row>
    <row r="1046" customFormat="false" ht="12.75" hidden="false" customHeight="true" outlineLevel="0" collapsed="false">
      <c r="A1046" s="9" t="n">
        <v>2</v>
      </c>
      <c r="B1046" s="10" t="n">
        <v>46212</v>
      </c>
      <c r="C1046" s="10" t="n">
        <v>46227</v>
      </c>
      <c r="D1046" s="9" t="n">
        <v>1718</v>
      </c>
      <c r="E1046" s="11" t="s">
        <v>236</v>
      </c>
      <c r="F1046" s="9" t="n">
        <v>24</v>
      </c>
      <c r="G1046" s="11" t="s">
        <v>51</v>
      </c>
      <c r="H1046" s="9" t="n">
        <v>2110101</v>
      </c>
      <c r="I1046" s="11" t="s">
        <v>43</v>
      </c>
      <c r="J1046" s="9" t="n">
        <v>1374907</v>
      </c>
      <c r="L1046" s="9" t="n">
        <v>681127</v>
      </c>
      <c r="M1046" s="11" t="s">
        <v>52</v>
      </c>
      <c r="N1046" s="11" t="s">
        <v>37</v>
      </c>
      <c r="P1046" s="9" t="n">
        <v>113</v>
      </c>
      <c r="Q1046" s="11" t="s">
        <v>46</v>
      </c>
      <c r="R1046" s="11" t="s">
        <v>47</v>
      </c>
      <c r="S1046" s="9" t="n">
        <v>1130101</v>
      </c>
      <c r="T1046" s="11" t="s">
        <v>48</v>
      </c>
      <c r="U1046" s="12" t="n">
        <v>509.25</v>
      </c>
      <c r="W1046" s="12" t="n">
        <v>0</v>
      </c>
      <c r="X1046" s="11" t="s">
        <v>1019</v>
      </c>
      <c r="Z1046" s="0" t="str">
        <f aca="false">IF($T1046="","",IFERROR(INDEX('Resumo Grupos'!$AC$3:$AC$200,MATCH($T1046,'Resumo Grupos'!$AB$3:$AB$200,0)),"n/d"))</f>
        <v>Mercadoria</v>
      </c>
      <c r="AA1046" s="0" t="str">
        <f aca="false">IF($T1046="","",IF(COUNTIF('Resumo Grupos'!$AE$3:$AE$40,$T1046)&gt;0,"NAO","SIM"))</f>
        <v>SIM</v>
      </c>
      <c r="AB1046" s="0" t="str">
        <f aca="false">IFERROR(INDEX('Mov Entradas (Rel 10497)'!$L:$L,MATCH(AC1046,'Mov Entradas (Rel 10497)'!$I:$I,0)),"nao encontrado")</f>
        <v>BIS OREO 100,8G</v>
      </c>
      <c r="AC1046" s="0" t="n">
        <v>681127</v>
      </c>
    </row>
    <row r="1047" customFormat="false" ht="12.75" hidden="false" customHeight="true" outlineLevel="0" collapsed="false">
      <c r="A1047" s="9" t="n">
        <v>2</v>
      </c>
      <c r="B1047" s="10" t="n">
        <v>46227</v>
      </c>
      <c r="C1047" s="10" t="n">
        <v>46227</v>
      </c>
      <c r="D1047" s="9" t="n">
        <v>1037</v>
      </c>
      <c r="E1047" s="11" t="s">
        <v>134</v>
      </c>
      <c r="F1047" s="9" t="n">
        <v>34</v>
      </c>
      <c r="G1047" s="11" t="s">
        <v>55</v>
      </c>
      <c r="H1047" s="9" t="n">
        <v>2110405</v>
      </c>
      <c r="I1047" s="11" t="s">
        <v>56</v>
      </c>
      <c r="J1047" s="9" t="n">
        <v>1445096</v>
      </c>
      <c r="L1047" s="9" t="n">
        <v>195547</v>
      </c>
      <c r="M1047" s="11" t="s">
        <v>52</v>
      </c>
      <c r="N1047" s="11" t="s">
        <v>45</v>
      </c>
      <c r="P1047" s="9" t="n">
        <v>113</v>
      </c>
      <c r="Q1047" s="11" t="s">
        <v>46</v>
      </c>
      <c r="R1047" s="11" t="s">
        <v>47</v>
      </c>
      <c r="S1047" s="9" t="n">
        <v>1130101</v>
      </c>
      <c r="T1047" s="11" t="s">
        <v>48</v>
      </c>
      <c r="U1047" s="12" t="n">
        <v>325</v>
      </c>
      <c r="W1047" s="12" t="n">
        <v>0</v>
      </c>
      <c r="X1047" s="11" t="s">
        <v>1020</v>
      </c>
      <c r="Z1047" s="0" t="str">
        <f aca="false">IF($T1047="","",IFERROR(INDEX('Resumo Grupos'!$AC$3:$AC$200,MATCH($T1047,'Resumo Grupos'!$AB$3:$AB$200,0)),"n/d"))</f>
        <v>Mercadoria</v>
      </c>
      <c r="AA1047" s="0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9" t="n">
        <v>2</v>
      </c>
      <c r="B1048" s="10" t="n">
        <v>46227</v>
      </c>
      <c r="C1048" s="10" t="n">
        <v>46227</v>
      </c>
      <c r="D1048" s="9" t="n">
        <v>515</v>
      </c>
      <c r="E1048" s="11" t="s">
        <v>137</v>
      </c>
      <c r="F1048" s="9" t="n">
        <v>34</v>
      </c>
      <c r="G1048" s="11" t="s">
        <v>55</v>
      </c>
      <c r="H1048" s="9" t="n">
        <v>2110405</v>
      </c>
      <c r="I1048" s="11" t="s">
        <v>56</v>
      </c>
      <c r="J1048" s="9" t="n">
        <v>1460164</v>
      </c>
      <c r="L1048" s="9" t="n">
        <v>197673</v>
      </c>
      <c r="M1048" s="11" t="s">
        <v>52</v>
      </c>
      <c r="N1048" s="11" t="s">
        <v>45</v>
      </c>
      <c r="P1048" s="9" t="n">
        <v>102</v>
      </c>
      <c r="Q1048" s="11" t="s">
        <v>308</v>
      </c>
      <c r="R1048" s="11" t="s">
        <v>138</v>
      </c>
      <c r="S1048" s="9" t="n">
        <v>4210502</v>
      </c>
      <c r="T1048" s="11" t="s">
        <v>246</v>
      </c>
      <c r="U1048" s="12" t="n">
        <v>5343.28</v>
      </c>
      <c r="W1048" s="12" t="n">
        <v>0</v>
      </c>
      <c r="X1048" s="11" t="s">
        <v>1021</v>
      </c>
      <c r="Z1048" s="0" t="str">
        <f aca="false">IF($T1048="","",IFERROR(INDEX('Resumo Grupos'!$AC$3:$AC$200,MATCH($T1048,'Resumo Grupos'!$AB$3:$AB$200,0)),"n/d"))</f>
        <v>Empréstimo</v>
      </c>
      <c r="AA1048" s="0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9" t="n">
        <v>2</v>
      </c>
      <c r="B1049" s="10" t="n">
        <v>46216</v>
      </c>
      <c r="C1049" s="10" t="n">
        <v>46227</v>
      </c>
      <c r="D1049" s="9" t="n">
        <v>1675</v>
      </c>
      <c r="E1049" s="11" t="s">
        <v>289</v>
      </c>
      <c r="F1049" s="9" t="n">
        <v>24</v>
      </c>
      <c r="G1049" s="11" t="s">
        <v>51</v>
      </c>
      <c r="H1049" s="9" t="n">
        <v>2110101</v>
      </c>
      <c r="I1049" s="11" t="s">
        <v>43</v>
      </c>
      <c r="J1049" s="9" t="n">
        <v>1394185</v>
      </c>
      <c r="L1049" s="9" t="n">
        <v>501201</v>
      </c>
      <c r="M1049" s="11" t="s">
        <v>52</v>
      </c>
      <c r="N1049" s="11" t="s">
        <v>37</v>
      </c>
      <c r="P1049" s="9" t="n">
        <v>113</v>
      </c>
      <c r="Q1049" s="11" t="s">
        <v>46</v>
      </c>
      <c r="R1049" s="11" t="s">
        <v>47</v>
      </c>
      <c r="S1049" s="9" t="n">
        <v>1130101</v>
      </c>
      <c r="T1049" s="11" t="s">
        <v>48</v>
      </c>
      <c r="U1049" s="12" t="n">
        <v>2113</v>
      </c>
      <c r="W1049" s="12" t="n">
        <v>0</v>
      </c>
      <c r="X1049" s="11" t="s">
        <v>1022</v>
      </c>
      <c r="Z1049" s="0" t="str">
        <f aca="false">IF($T1049="","",IFERROR(INDEX('Resumo Grupos'!$AC$3:$AC$200,MATCH($T1049,'Resumo Grupos'!$AB$3:$AB$200,0)),"n/d"))</f>
        <v>Mercadoria</v>
      </c>
      <c r="AA1049" s="0" t="str">
        <f aca="false">IF($T1049="","",IF(COUNTIF('Resumo Grupos'!$AE$3:$AE$40,$T1049)&gt;0,"NAO","SIM"))</f>
        <v>SIM</v>
      </c>
      <c r="AB1049" s="0" t="str">
        <f aca="false">IFERROR(INDEX('Mov Entradas (Rel 10497)'!$L:$L,MATCH(AC1049,'Mov Entradas (Rel 10497)'!$I:$I,0)),"nao encontrado")</f>
        <v>ABS NATURALME S 8UN</v>
      </c>
      <c r="AC1049" s="0" t="n">
        <v>501201</v>
      </c>
    </row>
    <row r="1050" customFormat="false" ht="12.75" hidden="false" customHeight="true" outlineLevel="0" collapsed="false">
      <c r="A1050" s="9" t="n">
        <v>2</v>
      </c>
      <c r="B1050" s="10" t="n">
        <v>46217</v>
      </c>
      <c r="C1050" s="10" t="n">
        <v>46227</v>
      </c>
      <c r="D1050" s="9" t="n">
        <v>1611</v>
      </c>
      <c r="E1050" s="11" t="s">
        <v>178</v>
      </c>
      <c r="F1050" s="9" t="n">
        <v>24</v>
      </c>
      <c r="G1050" s="11" t="s">
        <v>51</v>
      </c>
      <c r="H1050" s="9" t="n">
        <v>2110405</v>
      </c>
      <c r="I1050" s="11" t="s">
        <v>56</v>
      </c>
      <c r="J1050" s="9" t="n">
        <v>1397322</v>
      </c>
      <c r="L1050" s="9" t="n">
        <v>187872</v>
      </c>
      <c r="M1050" s="11" t="s">
        <v>52</v>
      </c>
      <c r="N1050" s="11" t="s">
        <v>45</v>
      </c>
      <c r="P1050" s="9" t="n">
        <v>113</v>
      </c>
      <c r="Q1050" s="11" t="s">
        <v>46</v>
      </c>
      <c r="R1050" s="11" t="s">
        <v>47</v>
      </c>
      <c r="S1050" s="9" t="n">
        <v>1130101</v>
      </c>
      <c r="T1050" s="11" t="s">
        <v>48</v>
      </c>
      <c r="U1050" s="12" t="n">
        <v>278.28</v>
      </c>
      <c r="W1050" s="12" t="n">
        <v>0</v>
      </c>
      <c r="X1050" s="11" t="s">
        <v>1023</v>
      </c>
      <c r="Z1050" s="0" t="str">
        <f aca="false">IF($T1050="","",IFERROR(INDEX('Resumo Grupos'!$AC$3:$AC$200,MATCH($T1050,'Resumo Grupos'!$AB$3:$AB$200,0)),"n/d"))</f>
        <v>Mercadoria</v>
      </c>
      <c r="AA1050" s="0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9" t="n">
        <v>2</v>
      </c>
      <c r="B1051" s="10" t="n">
        <v>46227</v>
      </c>
      <c r="C1051" s="10" t="n">
        <v>46227</v>
      </c>
      <c r="D1051" s="9" t="n">
        <v>48</v>
      </c>
      <c r="E1051" s="11" t="s">
        <v>153</v>
      </c>
      <c r="F1051" s="9" t="n">
        <v>34</v>
      </c>
      <c r="G1051" s="11" t="s">
        <v>55</v>
      </c>
      <c r="H1051" s="9" t="n">
        <v>2110101</v>
      </c>
      <c r="I1051" s="11" t="s">
        <v>43</v>
      </c>
      <c r="J1051" s="9" t="n">
        <v>1445080</v>
      </c>
      <c r="L1051" s="9" t="n">
        <v>2560</v>
      </c>
      <c r="M1051" s="11" t="s">
        <v>52</v>
      </c>
      <c r="N1051" s="11" t="s">
        <v>37</v>
      </c>
      <c r="P1051" s="9" t="n">
        <v>113</v>
      </c>
      <c r="Q1051" s="11" t="s">
        <v>46</v>
      </c>
      <c r="R1051" s="11" t="s">
        <v>47</v>
      </c>
      <c r="S1051" s="9" t="n">
        <v>1130101</v>
      </c>
      <c r="T1051" s="11" t="s">
        <v>48</v>
      </c>
      <c r="U1051" s="12" t="n">
        <v>1919.18</v>
      </c>
      <c r="W1051" s="12" t="n">
        <v>0</v>
      </c>
      <c r="X1051" s="11" t="s">
        <v>252</v>
      </c>
      <c r="Z1051" s="0" t="str">
        <f aca="false">IF($T1051="","",IFERROR(INDEX('Resumo Grupos'!$AC$3:$AC$200,MATCH($T1051,'Resumo Grupos'!$AB$3:$AB$200,0)),"n/d"))</f>
        <v>Mercadoria</v>
      </c>
      <c r="AA1051" s="0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9" t="n">
        <v>2</v>
      </c>
      <c r="B1052" s="10" t="n">
        <v>46227</v>
      </c>
      <c r="C1052" s="10" t="n">
        <v>46227</v>
      </c>
      <c r="D1052" s="9" t="n">
        <v>48</v>
      </c>
      <c r="E1052" s="11" t="s">
        <v>153</v>
      </c>
      <c r="F1052" s="9" t="n">
        <v>13</v>
      </c>
      <c r="G1052" s="11" t="s">
        <v>135</v>
      </c>
      <c r="H1052" s="9" t="n">
        <v>2110101</v>
      </c>
      <c r="I1052" s="11" t="s">
        <v>43</v>
      </c>
      <c r="J1052" s="9" t="n">
        <v>1445121</v>
      </c>
      <c r="L1052" s="9" t="n">
        <v>2561</v>
      </c>
      <c r="M1052" s="11" t="s">
        <v>52</v>
      </c>
      <c r="N1052" s="11" t="s">
        <v>37</v>
      </c>
      <c r="P1052" s="9" t="n">
        <v>113</v>
      </c>
      <c r="Q1052" s="11" t="s">
        <v>46</v>
      </c>
      <c r="R1052" s="11" t="s">
        <v>47</v>
      </c>
      <c r="S1052" s="9" t="n">
        <v>1130101</v>
      </c>
      <c r="T1052" s="11" t="s">
        <v>48</v>
      </c>
      <c r="U1052" s="12" t="n">
        <v>280</v>
      </c>
      <c r="W1052" s="12" t="n">
        <v>280</v>
      </c>
      <c r="X1052" s="11" t="s">
        <v>1024</v>
      </c>
      <c r="Z1052" s="0" t="str">
        <f aca="false">IF($T1052="","",IFERROR(INDEX('Resumo Grupos'!$AC$3:$AC$200,MATCH($T1052,'Resumo Grupos'!$AB$3:$AB$200,0)),"n/d"))</f>
        <v>Mercadoria</v>
      </c>
      <c r="AA1052" s="0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9" t="n">
        <v>2</v>
      </c>
      <c r="B1053" s="10" t="n">
        <v>46224</v>
      </c>
      <c r="C1053" s="10" t="n">
        <v>46227</v>
      </c>
      <c r="D1053" s="9" t="n">
        <v>1899</v>
      </c>
      <c r="E1053" s="11" t="s">
        <v>204</v>
      </c>
      <c r="F1053" s="9" t="n">
        <v>24</v>
      </c>
      <c r="G1053" s="11" t="s">
        <v>51</v>
      </c>
      <c r="H1053" s="9" t="n">
        <v>2110405</v>
      </c>
      <c r="I1053" s="11" t="s">
        <v>56</v>
      </c>
      <c r="J1053" s="9" t="n">
        <v>1427574</v>
      </c>
      <c r="L1053" s="9" t="n">
        <v>190914</v>
      </c>
      <c r="M1053" s="11" t="s">
        <v>52</v>
      </c>
      <c r="N1053" s="11" t="s">
        <v>45</v>
      </c>
      <c r="P1053" s="9" t="n">
        <v>113</v>
      </c>
      <c r="Q1053" s="11" t="s">
        <v>46</v>
      </c>
      <c r="R1053" s="11" t="s">
        <v>47</v>
      </c>
      <c r="S1053" s="9" t="n">
        <v>1130101</v>
      </c>
      <c r="T1053" s="11" t="s">
        <v>48</v>
      </c>
      <c r="U1053" s="12" t="n">
        <v>182.36</v>
      </c>
      <c r="W1053" s="12" t="n">
        <v>0</v>
      </c>
      <c r="X1053" s="11" t="s">
        <v>1025</v>
      </c>
      <c r="Z1053" s="0" t="str">
        <f aca="false">IF($T1053="","",IFERROR(INDEX('Resumo Grupos'!$AC$3:$AC$200,MATCH($T1053,'Resumo Grupos'!$AB$3:$AB$200,0)),"n/d"))</f>
        <v>Mercadoria</v>
      </c>
      <c r="AA1053" s="0" t="str">
        <f aca="false">IF($T1053="","",IF(COUNTIF('Resumo Grupos'!$AE$3:$AE$40,$T1053)&gt;0,"NAO","SIM"))</f>
        <v>SIM</v>
      </c>
      <c r="AB1053" s="0" t="str">
        <f aca="false">IFERROR(INDEX('Mov Entradas (Rel 10497)'!$L:$L,MATCH(AC1053,'Mov Entradas (Rel 10497)'!$I:$I,0)),"nao encontrado")</f>
        <v>PAO DE FORMA REAL MA</v>
      </c>
      <c r="AC1053" s="0" t="n">
        <v>724</v>
      </c>
    </row>
    <row r="1054" customFormat="false" ht="12.75" hidden="false" customHeight="true" outlineLevel="0" collapsed="false">
      <c r="A1054" s="9" t="n">
        <v>2</v>
      </c>
      <c r="B1054" s="10" t="n">
        <v>46220</v>
      </c>
      <c r="C1054" s="10" t="n">
        <v>46227</v>
      </c>
      <c r="D1054" s="9" t="n">
        <v>1024</v>
      </c>
      <c r="E1054" s="11" t="s">
        <v>471</v>
      </c>
      <c r="F1054" s="9" t="n">
        <v>24</v>
      </c>
      <c r="G1054" s="11" t="s">
        <v>51</v>
      </c>
      <c r="H1054" s="9" t="n">
        <v>2110405</v>
      </c>
      <c r="I1054" s="11" t="s">
        <v>56</v>
      </c>
      <c r="J1054" s="9" t="n">
        <v>1411344</v>
      </c>
      <c r="L1054" s="9" t="n">
        <v>190273</v>
      </c>
      <c r="M1054" s="11" t="s">
        <v>52</v>
      </c>
      <c r="N1054" s="11" t="s">
        <v>45</v>
      </c>
      <c r="P1054" s="9" t="n">
        <v>113</v>
      </c>
      <c r="Q1054" s="11" t="s">
        <v>46</v>
      </c>
      <c r="R1054" s="11" t="s">
        <v>47</v>
      </c>
      <c r="S1054" s="9" t="n">
        <v>1130101</v>
      </c>
      <c r="T1054" s="11" t="s">
        <v>48</v>
      </c>
      <c r="U1054" s="12" t="n">
        <v>189</v>
      </c>
      <c r="W1054" s="12" t="n">
        <v>0</v>
      </c>
      <c r="X1054" s="11" t="s">
        <v>1026</v>
      </c>
      <c r="Z1054" s="0" t="str">
        <f aca="false">IF($T1054="","",IFERROR(INDEX('Resumo Grupos'!$AC$3:$AC$200,MATCH($T1054,'Resumo Grupos'!$AB$3:$AB$200,0)),"n/d"))</f>
        <v>Mercadoria</v>
      </c>
      <c r="AA1054" s="0" t="str">
        <f aca="false">IF($T1054="","",IF(COUNTIF('Resumo Grupos'!$AE$3:$AE$40,$T1054)&gt;0,"NAO","SIM"))</f>
        <v>SIM</v>
      </c>
      <c r="AB1054" s="0" t="str">
        <f aca="false">IFERROR(INDEX('Mov Entradas (Rel 10497)'!$L:$L,MATCH(AC1054,'Mov Entradas (Rel 10497)'!$I:$I,0)),"nao encontrado")</f>
        <v>AGUA MIN SNT CLAU 2L</v>
      </c>
      <c r="AC1054" s="0" t="n">
        <v>605020</v>
      </c>
    </row>
    <row r="1055" customFormat="false" ht="12.75" hidden="false" customHeight="true" outlineLevel="0" collapsed="false">
      <c r="A1055" s="9" t="n">
        <v>2</v>
      </c>
      <c r="B1055" s="10" t="n">
        <v>46227</v>
      </c>
      <c r="C1055" s="10" t="n">
        <v>46227</v>
      </c>
      <c r="D1055" s="9" t="n">
        <v>0</v>
      </c>
      <c r="E1055" s="11" t="s">
        <v>109</v>
      </c>
      <c r="F1055" s="9" t="n">
        <v>17</v>
      </c>
      <c r="G1055" s="11" t="s">
        <v>110</v>
      </c>
      <c r="H1055" s="9" t="n">
        <v>1110101</v>
      </c>
      <c r="I1055" s="11" t="s">
        <v>111</v>
      </c>
      <c r="J1055" s="9" t="n">
        <v>1458750</v>
      </c>
      <c r="L1055" s="9" t="n">
        <v>1458750</v>
      </c>
      <c r="M1055" s="11" t="s">
        <v>52</v>
      </c>
      <c r="N1055" s="11" t="s">
        <v>112</v>
      </c>
      <c r="P1055" s="9" t="n">
        <v>113</v>
      </c>
      <c r="Q1055" s="11" t="s">
        <v>46</v>
      </c>
      <c r="R1055" s="11" t="s">
        <v>259</v>
      </c>
      <c r="S1055" s="9" t="n">
        <v>2110101</v>
      </c>
      <c r="T1055" s="11" t="s">
        <v>43</v>
      </c>
      <c r="U1055" s="12" t="n">
        <v>280</v>
      </c>
      <c r="W1055" s="12" t="n">
        <v>280</v>
      </c>
      <c r="X1055" s="11" t="s">
        <v>1027</v>
      </c>
      <c r="Z1055" s="0" t="str">
        <f aca="false">IF($T1055="","",IFERROR(INDEX('Resumo Grupos'!$AC$3:$AC$200,MATCH($T1055,'Resumo Grupos'!$AB$3:$AB$200,0)),"n/d"))</f>
        <v>Despesa</v>
      </c>
      <c r="AA1055" s="0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9" t="n">
        <v>2</v>
      </c>
      <c r="B1056" s="10" t="n">
        <v>46227</v>
      </c>
      <c r="C1056" s="10" t="n">
        <v>46227</v>
      </c>
      <c r="D1056" s="9" t="n">
        <v>0</v>
      </c>
      <c r="E1056" s="11" t="s">
        <v>109</v>
      </c>
      <c r="F1056" s="9" t="n">
        <v>17</v>
      </c>
      <c r="G1056" s="11" t="s">
        <v>110</v>
      </c>
      <c r="H1056" s="9" t="n">
        <v>1110101</v>
      </c>
      <c r="I1056" s="11" t="s">
        <v>111</v>
      </c>
      <c r="J1056" s="9" t="n">
        <v>1458752</v>
      </c>
      <c r="L1056" s="9" t="n">
        <v>1458752</v>
      </c>
      <c r="M1056" s="11" t="s">
        <v>52</v>
      </c>
      <c r="N1056" s="11" t="s">
        <v>112</v>
      </c>
      <c r="P1056" s="9" t="n">
        <v>113</v>
      </c>
      <c r="Q1056" s="11" t="s">
        <v>46</v>
      </c>
      <c r="R1056" s="11" t="s">
        <v>47</v>
      </c>
      <c r="S1056" s="9" t="n">
        <v>1130101</v>
      </c>
      <c r="T1056" s="11" t="s">
        <v>48</v>
      </c>
      <c r="U1056" s="12" t="n">
        <v>72</v>
      </c>
      <c r="W1056" s="12" t="n">
        <v>72</v>
      </c>
      <c r="X1056" s="11" t="s">
        <v>1028</v>
      </c>
      <c r="Z1056" s="0" t="str">
        <f aca="false">IF($T1056="","",IFERROR(INDEX('Resumo Grupos'!$AC$3:$AC$200,MATCH($T1056,'Resumo Grupos'!$AB$3:$AB$200,0)),"n/d"))</f>
        <v>Mercadoria</v>
      </c>
      <c r="AA1056" s="0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9" t="n">
        <v>2</v>
      </c>
      <c r="B1057" s="10" t="n">
        <v>46227</v>
      </c>
      <c r="C1057" s="10" t="n">
        <v>46227</v>
      </c>
      <c r="D1057" s="9" t="n">
        <v>0</v>
      </c>
      <c r="E1057" s="11" t="s">
        <v>109</v>
      </c>
      <c r="F1057" s="9" t="n">
        <v>17</v>
      </c>
      <c r="G1057" s="11" t="s">
        <v>110</v>
      </c>
      <c r="H1057" s="9" t="n">
        <v>1110101</v>
      </c>
      <c r="I1057" s="11" t="s">
        <v>111</v>
      </c>
      <c r="J1057" s="9" t="n">
        <v>1458757</v>
      </c>
      <c r="L1057" s="9" t="n">
        <v>1458757</v>
      </c>
      <c r="M1057" s="11" t="s">
        <v>52</v>
      </c>
      <c r="N1057" s="11" t="s">
        <v>112</v>
      </c>
      <c r="P1057" s="9" t="n">
        <v>113</v>
      </c>
      <c r="Q1057" s="11" t="s">
        <v>46</v>
      </c>
      <c r="R1057" s="11" t="s">
        <v>71</v>
      </c>
      <c r="S1057" s="9" t="n">
        <v>4210314</v>
      </c>
      <c r="T1057" s="11" t="s">
        <v>113</v>
      </c>
      <c r="U1057" s="12" t="n">
        <v>50</v>
      </c>
      <c r="W1057" s="12" t="n">
        <v>50</v>
      </c>
      <c r="X1057" s="11" t="s">
        <v>368</v>
      </c>
      <c r="Z1057" s="0" t="str">
        <f aca="false">IF($T1057="","",IFERROR(INDEX('Resumo Grupos'!$AC$3:$AC$200,MATCH($T1057,'Resumo Grupos'!$AB$3:$AB$200,0)),"n/d"))</f>
        <v>Despesa</v>
      </c>
      <c r="AA1057" s="0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9" t="n">
        <v>2</v>
      </c>
      <c r="B1058" s="10" t="n">
        <v>46227</v>
      </c>
      <c r="C1058" s="10" t="n">
        <v>46227</v>
      </c>
      <c r="D1058" s="9" t="n">
        <v>0</v>
      </c>
      <c r="E1058" s="11" t="s">
        <v>109</v>
      </c>
      <c r="F1058" s="9" t="n">
        <v>17</v>
      </c>
      <c r="G1058" s="11" t="s">
        <v>110</v>
      </c>
      <c r="H1058" s="9" t="n">
        <v>1110101</v>
      </c>
      <c r="I1058" s="11" t="s">
        <v>111</v>
      </c>
      <c r="J1058" s="9" t="n">
        <v>1716243</v>
      </c>
      <c r="L1058" s="9" t="n">
        <v>1716243</v>
      </c>
      <c r="M1058" s="11" t="s">
        <v>52</v>
      </c>
      <c r="N1058" s="11" t="s">
        <v>112</v>
      </c>
      <c r="P1058" s="9" t="n">
        <v>113</v>
      </c>
      <c r="Q1058" s="11" t="s">
        <v>46</v>
      </c>
      <c r="R1058" s="11" t="s">
        <v>116</v>
      </c>
      <c r="S1058" s="9" t="n">
        <v>1110203</v>
      </c>
      <c r="T1058" s="11" t="s">
        <v>117</v>
      </c>
      <c r="U1058" s="12" t="n">
        <v>2600</v>
      </c>
      <c r="W1058" s="12" t="n">
        <v>2600</v>
      </c>
      <c r="X1058" s="11" t="s">
        <v>1029</v>
      </c>
      <c r="Z1058" s="0" t="str">
        <f aca="false">IF($T1058="","",IFERROR(INDEX('Resumo Grupos'!$AC$3:$AC$200,MATCH($T1058,'Resumo Grupos'!$AB$3:$AB$200,0)),"n/d"))</f>
        <v>Despesa</v>
      </c>
      <c r="AA1058" s="0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9" t="n">
        <v>2</v>
      </c>
      <c r="B1059" s="10" t="n">
        <v>46214</v>
      </c>
      <c r="C1059" s="10" t="n">
        <v>46227</v>
      </c>
      <c r="D1059" s="9" t="n">
        <v>1666</v>
      </c>
      <c r="E1059" s="11" t="s">
        <v>266</v>
      </c>
      <c r="F1059" s="9" t="n">
        <v>24</v>
      </c>
      <c r="G1059" s="11" t="s">
        <v>51</v>
      </c>
      <c r="H1059" s="9" t="n">
        <v>2110101</v>
      </c>
      <c r="I1059" s="11" t="s">
        <v>43</v>
      </c>
      <c r="J1059" s="9" t="n">
        <v>1381638</v>
      </c>
      <c r="L1059" s="9" t="n">
        <v>566541</v>
      </c>
      <c r="M1059" s="11" t="s">
        <v>44</v>
      </c>
      <c r="N1059" s="11" t="s">
        <v>37</v>
      </c>
      <c r="P1059" s="9" t="n">
        <v>113</v>
      </c>
      <c r="Q1059" s="11" t="s">
        <v>46</v>
      </c>
      <c r="R1059" s="11" t="s">
        <v>47</v>
      </c>
      <c r="S1059" s="9" t="n">
        <v>1130101</v>
      </c>
      <c r="T1059" s="11" t="s">
        <v>48</v>
      </c>
      <c r="U1059" s="12" t="n">
        <v>4572.86</v>
      </c>
      <c r="W1059" s="12" t="n">
        <v>0</v>
      </c>
      <c r="X1059" s="11" t="s">
        <v>933</v>
      </c>
      <c r="Z1059" s="0" t="str">
        <f aca="false">IF($T1059="","",IFERROR(INDEX('Resumo Grupos'!$AC$3:$AC$200,MATCH($T1059,'Resumo Grupos'!$AB$3:$AB$200,0)),"n/d"))</f>
        <v>Mercadoria</v>
      </c>
      <c r="AA1059" s="0" t="str">
        <f aca="false">IF($T1059="","",IF(COUNTIF('Resumo Grupos'!$AE$3:$AE$40,$T1059)&gt;0,"NAO","SIM"))</f>
        <v>SIM</v>
      </c>
      <c r="AB1059" s="0" t="str">
        <f aca="false">IFERROR(INDEX('Mov Entradas (Rel 10497)'!$L:$L,MATCH(AC1059,'Mov Entradas (Rel 10497)'!$I:$I,0)),"nao encontrado")</f>
        <v>ISQUEIRO BIC G</v>
      </c>
      <c r="AC1059" s="0" t="n">
        <v>566541</v>
      </c>
    </row>
    <row r="1060" customFormat="false" ht="12.75" hidden="false" customHeight="true" outlineLevel="0" collapsed="false">
      <c r="A1060" s="9" t="n">
        <v>2</v>
      </c>
      <c r="B1060" s="10" t="n">
        <v>46228</v>
      </c>
      <c r="C1060" s="10" t="n">
        <v>46228</v>
      </c>
      <c r="D1060" s="9" t="n">
        <v>10096</v>
      </c>
      <c r="E1060" s="11" t="s">
        <v>622</v>
      </c>
      <c r="F1060" s="9" t="n">
        <v>13</v>
      </c>
      <c r="G1060" s="11" t="s">
        <v>135</v>
      </c>
      <c r="H1060" s="9" t="n">
        <v>2110405</v>
      </c>
      <c r="I1060" s="11" t="s">
        <v>56</v>
      </c>
      <c r="J1060" s="9" t="n">
        <v>1459321</v>
      </c>
      <c r="L1060" s="9" t="n">
        <v>197503</v>
      </c>
      <c r="M1060" s="11" t="s">
        <v>52</v>
      </c>
      <c r="N1060" s="11" t="s">
        <v>45</v>
      </c>
      <c r="P1060" s="9" t="n">
        <v>113</v>
      </c>
      <c r="Q1060" s="11" t="s">
        <v>46</v>
      </c>
      <c r="R1060" s="11" t="s">
        <v>47</v>
      </c>
      <c r="S1060" s="9" t="n">
        <v>1130101</v>
      </c>
      <c r="T1060" s="11" t="s">
        <v>48</v>
      </c>
      <c r="U1060" s="12" t="n">
        <v>140</v>
      </c>
      <c r="W1060" s="12" t="n">
        <v>0</v>
      </c>
      <c r="X1060" s="11" t="s">
        <v>1030</v>
      </c>
      <c r="Z1060" s="0" t="str">
        <f aca="false">IF($T1060="","",IFERROR(INDEX('Resumo Grupos'!$AC$3:$AC$200,MATCH($T1060,'Resumo Grupos'!$AB$3:$AB$200,0)),"n/d"))</f>
        <v>Mercadoria</v>
      </c>
      <c r="AA1060" s="0" t="str">
        <f aca="false">IF($T1060="","",IF(COUNTIF('Resumo Grupos'!$AE$3:$AE$40,$T1060)&gt;0,"NAO","SIM"))</f>
        <v>SIM</v>
      </c>
      <c r="AB1060" s="0" t="str">
        <f aca="false">IFERROR(INDEX('Mov Entradas (Rel 10497)'!$L:$L,MATCH(AC1060,'Mov Entradas (Rel 10497)'!$I:$I,0)),"nao encontrado")</f>
        <v>BOLO MIYAZAKI GRANDE</v>
      </c>
      <c r="AC1060" s="0" t="n">
        <v>81</v>
      </c>
    </row>
    <row r="1061" customFormat="false" ht="12.75" hidden="false" customHeight="true" outlineLevel="0" collapsed="false">
      <c r="A1061" s="9" t="n">
        <v>2</v>
      </c>
      <c r="B1061" s="10" t="n">
        <v>46223</v>
      </c>
      <c r="C1061" s="10" t="n">
        <v>46228</v>
      </c>
      <c r="D1061" s="9" t="n">
        <v>1625</v>
      </c>
      <c r="E1061" s="11" t="s">
        <v>270</v>
      </c>
      <c r="F1061" s="9" t="n">
        <v>24</v>
      </c>
      <c r="G1061" s="11" t="s">
        <v>51</v>
      </c>
      <c r="H1061" s="9" t="n">
        <v>2110405</v>
      </c>
      <c r="I1061" s="11" t="s">
        <v>56</v>
      </c>
      <c r="J1061" s="9" t="n">
        <v>1424351</v>
      </c>
      <c r="L1061" s="9" t="n">
        <v>190901</v>
      </c>
      <c r="M1061" s="11" t="s">
        <v>52</v>
      </c>
      <c r="N1061" s="11" t="s">
        <v>45</v>
      </c>
      <c r="P1061" s="9" t="n">
        <v>113</v>
      </c>
      <c r="Q1061" s="11" t="s">
        <v>46</v>
      </c>
      <c r="R1061" s="11" t="s">
        <v>47</v>
      </c>
      <c r="S1061" s="9" t="n">
        <v>1130101</v>
      </c>
      <c r="T1061" s="11" t="s">
        <v>48</v>
      </c>
      <c r="U1061" s="12" t="n">
        <v>3804</v>
      </c>
      <c r="W1061" s="12" t="n">
        <v>0</v>
      </c>
      <c r="X1061" s="11" t="s">
        <v>1031</v>
      </c>
      <c r="Z1061" s="0" t="str">
        <f aca="false">IF($T1061="","",IFERROR(INDEX('Resumo Grupos'!$AC$3:$AC$200,MATCH($T1061,'Resumo Grupos'!$AB$3:$AB$200,0)),"n/d"))</f>
        <v>Mercadoria</v>
      </c>
      <c r="AA1061" s="0" t="str">
        <f aca="false">IF($T1061="","",IF(COUNTIF('Resumo Grupos'!$AE$3:$AE$40,$T1061)&gt;0,"NAO","SIM"))</f>
        <v>SIM</v>
      </c>
      <c r="AB1061" s="0" t="str">
        <f aca="false">IFERROR(INDEX('Mov Entradas (Rel 10497)'!$L:$L,MATCH(AC1061,'Mov Entradas (Rel 10497)'!$I:$I,0)),"nao encontrado")</f>
        <v>TRASEIRO DE BOI L1</v>
      </c>
      <c r="AC1061" s="0" t="n">
        <v>14751</v>
      </c>
    </row>
    <row r="1062" customFormat="false" ht="12.75" hidden="false" customHeight="true" outlineLevel="0" collapsed="false">
      <c r="A1062" s="9" t="n">
        <v>2</v>
      </c>
      <c r="B1062" s="10" t="n">
        <v>46228</v>
      </c>
      <c r="C1062" s="10" t="n">
        <v>46228</v>
      </c>
      <c r="D1062" s="9" t="n">
        <v>48</v>
      </c>
      <c r="E1062" s="11" t="s">
        <v>153</v>
      </c>
      <c r="F1062" s="9" t="n">
        <v>13</v>
      </c>
      <c r="G1062" s="11" t="s">
        <v>135</v>
      </c>
      <c r="H1062" s="9" t="n">
        <v>2110101</v>
      </c>
      <c r="I1062" s="11" t="s">
        <v>43</v>
      </c>
      <c r="J1062" s="9" t="n">
        <v>1448190</v>
      </c>
      <c r="L1062" s="9" t="n">
        <v>2562</v>
      </c>
      <c r="M1062" s="11" t="s">
        <v>52</v>
      </c>
      <c r="N1062" s="11" t="s">
        <v>37</v>
      </c>
      <c r="P1062" s="9" t="n">
        <v>113</v>
      </c>
      <c r="Q1062" s="11" t="s">
        <v>46</v>
      </c>
      <c r="R1062" s="11" t="s">
        <v>47</v>
      </c>
      <c r="S1062" s="9" t="n">
        <v>1130101</v>
      </c>
      <c r="T1062" s="11" t="s">
        <v>48</v>
      </c>
      <c r="U1062" s="12" t="n">
        <v>200</v>
      </c>
      <c r="W1062" s="12" t="n">
        <v>200</v>
      </c>
      <c r="X1062" s="11" t="s">
        <v>1032</v>
      </c>
      <c r="Z1062" s="0" t="str">
        <f aca="false">IF($T1062="","",IFERROR(INDEX('Resumo Grupos'!$AC$3:$AC$200,MATCH($T1062,'Resumo Grupos'!$AB$3:$AB$200,0)),"n/d"))</f>
        <v>Mercadoria</v>
      </c>
      <c r="AA1062" s="0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9" t="n">
        <v>2</v>
      </c>
      <c r="B1063" s="10" t="n">
        <v>46029</v>
      </c>
      <c r="C1063" s="10" t="n">
        <v>46228</v>
      </c>
      <c r="D1063" s="9" t="n">
        <v>17</v>
      </c>
      <c r="E1063" s="11" t="s">
        <v>489</v>
      </c>
      <c r="F1063" s="9" t="n">
        <v>48</v>
      </c>
      <c r="G1063" s="11" t="s">
        <v>581</v>
      </c>
      <c r="H1063" s="9" t="n">
        <v>2110405</v>
      </c>
      <c r="I1063" s="11" t="s">
        <v>56</v>
      </c>
      <c r="J1063" s="9" t="n">
        <v>660305</v>
      </c>
      <c r="L1063" s="9" t="n">
        <v>86116</v>
      </c>
      <c r="M1063" s="11" t="s">
        <v>80</v>
      </c>
      <c r="N1063" s="11" t="s">
        <v>45</v>
      </c>
      <c r="P1063" s="9" t="n">
        <v>101</v>
      </c>
      <c r="Q1063" s="11" t="s">
        <v>57</v>
      </c>
      <c r="R1063" s="11" t="s">
        <v>81</v>
      </c>
      <c r="S1063" s="9" t="n">
        <v>4220199</v>
      </c>
      <c r="T1063" s="11" t="s">
        <v>82</v>
      </c>
      <c r="U1063" s="12" t="n">
        <v>84.03</v>
      </c>
      <c r="W1063" s="12" t="n">
        <v>0</v>
      </c>
      <c r="X1063" s="11" t="s">
        <v>583</v>
      </c>
      <c r="Z1063" s="0" t="str">
        <f aca="false">IF($T1063="","",IFERROR(INDEX('Resumo Grupos'!$AC$3:$AC$200,MATCH($T1063,'Resumo Grupos'!$AB$3:$AB$200,0)),"n/d"))</f>
        <v>Pagamentos outros não operacionais</v>
      </c>
      <c r="AA1063" s="0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9" t="n">
        <v>2</v>
      </c>
      <c r="B1064" s="10" t="n">
        <v>46013</v>
      </c>
      <c r="C1064" s="10" t="n">
        <v>46228</v>
      </c>
      <c r="D1064" s="9" t="n">
        <v>17</v>
      </c>
      <c r="E1064" s="11" t="s">
        <v>489</v>
      </c>
      <c r="F1064" s="9" t="n">
        <v>48</v>
      </c>
      <c r="G1064" s="11" t="s">
        <v>581</v>
      </c>
      <c r="H1064" s="9" t="n">
        <v>2110405</v>
      </c>
      <c r="I1064" s="11" t="s">
        <v>56</v>
      </c>
      <c r="J1064" s="9" t="n">
        <v>660421</v>
      </c>
      <c r="L1064" s="9" t="n">
        <v>86128</v>
      </c>
      <c r="M1064" s="11" t="s">
        <v>80</v>
      </c>
      <c r="N1064" s="11" t="s">
        <v>45</v>
      </c>
      <c r="P1064" s="9" t="n">
        <v>101</v>
      </c>
      <c r="Q1064" s="11" t="s">
        <v>57</v>
      </c>
      <c r="R1064" s="11" t="s">
        <v>81</v>
      </c>
      <c r="S1064" s="9" t="n">
        <v>4220199</v>
      </c>
      <c r="T1064" s="11" t="s">
        <v>82</v>
      </c>
      <c r="U1064" s="12" t="n">
        <v>362.14</v>
      </c>
      <c r="W1064" s="12" t="n">
        <v>0</v>
      </c>
      <c r="X1064" s="11" t="s">
        <v>584</v>
      </c>
      <c r="Z1064" s="0" t="str">
        <f aca="false">IF($T1064="","",IFERROR(INDEX('Resumo Grupos'!$AC$3:$AC$200,MATCH($T1064,'Resumo Grupos'!$AB$3:$AB$200,0)),"n/d"))</f>
        <v>Pagamentos outros não operacionais</v>
      </c>
      <c r="AA1064" s="0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9" t="n">
        <v>2</v>
      </c>
      <c r="B1065" s="10" t="n">
        <v>46228</v>
      </c>
      <c r="C1065" s="10" t="n">
        <v>46228</v>
      </c>
      <c r="D1065" s="9" t="n">
        <v>0</v>
      </c>
      <c r="E1065" s="11" t="s">
        <v>109</v>
      </c>
      <c r="F1065" s="9" t="n">
        <v>17</v>
      </c>
      <c r="G1065" s="11" t="s">
        <v>110</v>
      </c>
      <c r="H1065" s="9" t="n">
        <v>1110101</v>
      </c>
      <c r="I1065" s="11" t="s">
        <v>111</v>
      </c>
      <c r="J1065" s="9" t="n">
        <v>1458788</v>
      </c>
      <c r="L1065" s="9" t="n">
        <v>1458788</v>
      </c>
      <c r="M1065" s="11" t="s">
        <v>52</v>
      </c>
      <c r="N1065" s="11" t="s">
        <v>112</v>
      </c>
      <c r="P1065" s="9" t="n">
        <v>113</v>
      </c>
      <c r="Q1065" s="11" t="s">
        <v>46</v>
      </c>
      <c r="R1065" s="11" t="s">
        <v>71</v>
      </c>
      <c r="S1065" s="9" t="n">
        <v>4210314</v>
      </c>
      <c r="T1065" s="11" t="s">
        <v>113</v>
      </c>
      <c r="U1065" s="12" t="n">
        <v>50</v>
      </c>
      <c r="W1065" s="12" t="n">
        <v>50</v>
      </c>
      <c r="X1065" s="11" t="s">
        <v>368</v>
      </c>
      <c r="Z1065" s="0" t="str">
        <f aca="false">IF($T1065="","",IFERROR(INDEX('Resumo Grupos'!$AC$3:$AC$200,MATCH($T1065,'Resumo Grupos'!$AB$3:$AB$200,0)),"n/d"))</f>
        <v>Despesa</v>
      </c>
      <c r="AA1065" s="0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9" t="n">
        <v>2</v>
      </c>
      <c r="B1066" s="10" t="n">
        <v>46228</v>
      </c>
      <c r="C1066" s="10" t="n">
        <v>46228</v>
      </c>
      <c r="D1066" s="9" t="n">
        <v>0</v>
      </c>
      <c r="E1066" s="11" t="s">
        <v>109</v>
      </c>
      <c r="F1066" s="9" t="n">
        <v>17</v>
      </c>
      <c r="G1066" s="11" t="s">
        <v>110</v>
      </c>
      <c r="H1066" s="9" t="n">
        <v>1110101</v>
      </c>
      <c r="I1066" s="11" t="s">
        <v>111</v>
      </c>
      <c r="J1066" s="9" t="n">
        <v>1458792</v>
      </c>
      <c r="L1066" s="9" t="n">
        <v>1458792</v>
      </c>
      <c r="M1066" s="11" t="s">
        <v>52</v>
      </c>
      <c r="N1066" s="11" t="s">
        <v>112</v>
      </c>
      <c r="P1066" s="9" t="n">
        <v>113</v>
      </c>
      <c r="Q1066" s="11" t="s">
        <v>46</v>
      </c>
      <c r="R1066" s="11" t="s">
        <v>47</v>
      </c>
      <c r="S1066" s="9" t="n">
        <v>1130101</v>
      </c>
      <c r="T1066" s="11" t="s">
        <v>48</v>
      </c>
      <c r="U1066" s="12" t="n">
        <v>200</v>
      </c>
      <c r="W1066" s="12" t="n">
        <v>200</v>
      </c>
      <c r="X1066" s="11" t="s">
        <v>1033</v>
      </c>
      <c r="Z1066" s="0" t="str">
        <f aca="false">IF($T1066="","",IFERROR(INDEX('Resumo Grupos'!$AC$3:$AC$200,MATCH($T1066,'Resumo Grupos'!$AB$3:$AB$200,0)),"n/d"))</f>
        <v>Mercadoria</v>
      </c>
      <c r="AA1066" s="0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9" t="n">
        <v>2</v>
      </c>
      <c r="B1067" s="10" t="n">
        <v>46228</v>
      </c>
      <c r="C1067" s="10" t="n">
        <v>46228</v>
      </c>
      <c r="D1067" s="9" t="n">
        <v>0</v>
      </c>
      <c r="E1067" s="11" t="s">
        <v>109</v>
      </c>
      <c r="F1067" s="9" t="n">
        <v>17</v>
      </c>
      <c r="G1067" s="11" t="s">
        <v>110</v>
      </c>
      <c r="H1067" s="9" t="n">
        <v>1110101</v>
      </c>
      <c r="I1067" s="11" t="s">
        <v>111</v>
      </c>
      <c r="J1067" s="9" t="n">
        <v>1458806</v>
      </c>
      <c r="L1067" s="9" t="n">
        <v>1458806</v>
      </c>
      <c r="M1067" s="11" t="s">
        <v>52</v>
      </c>
      <c r="N1067" s="11" t="s">
        <v>112</v>
      </c>
      <c r="P1067" s="9" t="n">
        <v>113</v>
      </c>
      <c r="Q1067" s="11" t="s">
        <v>46</v>
      </c>
      <c r="R1067" s="11" t="s">
        <v>71</v>
      </c>
      <c r="S1067" s="9" t="n">
        <v>4210314</v>
      </c>
      <c r="T1067" s="11" t="s">
        <v>113</v>
      </c>
      <c r="U1067" s="12" t="n">
        <v>50</v>
      </c>
      <c r="W1067" s="12" t="n">
        <v>50</v>
      </c>
      <c r="X1067" s="11" t="s">
        <v>187</v>
      </c>
      <c r="Z1067" s="0" t="str">
        <f aca="false">IF($T1067="","",IFERROR(INDEX('Resumo Grupos'!$AC$3:$AC$200,MATCH($T1067,'Resumo Grupos'!$AB$3:$AB$200,0)),"n/d"))</f>
        <v>Despesa</v>
      </c>
      <c r="AA1067" s="0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9" t="n">
        <v>2</v>
      </c>
      <c r="B1068" s="10" t="n">
        <v>46228</v>
      </c>
      <c r="C1068" s="10" t="n">
        <v>46228</v>
      </c>
      <c r="D1068" s="9" t="n">
        <v>0</v>
      </c>
      <c r="E1068" s="11" t="s">
        <v>109</v>
      </c>
      <c r="F1068" s="9" t="n">
        <v>17</v>
      </c>
      <c r="G1068" s="11" t="s">
        <v>110</v>
      </c>
      <c r="H1068" s="9" t="n">
        <v>1110101</v>
      </c>
      <c r="I1068" s="11" t="s">
        <v>111</v>
      </c>
      <c r="J1068" s="9" t="n">
        <v>1458809</v>
      </c>
      <c r="L1068" s="9" t="n">
        <v>1458809</v>
      </c>
      <c r="M1068" s="11" t="s">
        <v>52</v>
      </c>
      <c r="N1068" s="11" t="s">
        <v>112</v>
      </c>
      <c r="P1068" s="9" t="n">
        <v>113</v>
      </c>
      <c r="Q1068" s="11" t="s">
        <v>46</v>
      </c>
      <c r="R1068" s="11" t="s">
        <v>259</v>
      </c>
      <c r="S1068" s="9" t="n">
        <v>2110101</v>
      </c>
      <c r="T1068" s="11" t="s">
        <v>43</v>
      </c>
      <c r="U1068" s="12" t="n">
        <v>200</v>
      </c>
      <c r="W1068" s="12" t="n">
        <v>200</v>
      </c>
      <c r="X1068" s="11" t="s">
        <v>1034</v>
      </c>
      <c r="Z1068" s="0" t="str">
        <f aca="false">IF($T1068="","",IFERROR(INDEX('Resumo Grupos'!$AC$3:$AC$200,MATCH($T1068,'Resumo Grupos'!$AB$3:$AB$200,0)),"n/d"))</f>
        <v>Despesa</v>
      </c>
      <c r="AA1068" s="0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9" t="n">
        <v>2</v>
      </c>
      <c r="B1069" s="10" t="n">
        <v>46228</v>
      </c>
      <c r="C1069" s="10" t="n">
        <v>46228</v>
      </c>
      <c r="D1069" s="9" t="n">
        <v>0</v>
      </c>
      <c r="E1069" s="11" t="s">
        <v>109</v>
      </c>
      <c r="F1069" s="9" t="n">
        <v>17</v>
      </c>
      <c r="G1069" s="11" t="s">
        <v>110</v>
      </c>
      <c r="H1069" s="9" t="n">
        <v>1110101</v>
      </c>
      <c r="I1069" s="11" t="s">
        <v>111</v>
      </c>
      <c r="J1069" s="9" t="n">
        <v>1716254</v>
      </c>
      <c r="L1069" s="9" t="n">
        <v>1716254</v>
      </c>
      <c r="M1069" s="11" t="s">
        <v>52</v>
      </c>
      <c r="N1069" s="11" t="s">
        <v>112</v>
      </c>
      <c r="P1069" s="9" t="n">
        <v>113</v>
      </c>
      <c r="Q1069" s="11" t="s">
        <v>46</v>
      </c>
      <c r="R1069" s="11" t="s">
        <v>116</v>
      </c>
      <c r="S1069" s="9" t="n">
        <v>1110203</v>
      </c>
      <c r="T1069" s="11" t="s">
        <v>117</v>
      </c>
      <c r="U1069" s="12" t="n">
        <v>2350</v>
      </c>
      <c r="W1069" s="12" t="n">
        <v>2350</v>
      </c>
      <c r="X1069" s="11" t="s">
        <v>1035</v>
      </c>
      <c r="Z1069" s="0" t="str">
        <f aca="false">IF($T1069="","",IFERROR(INDEX('Resumo Grupos'!$AC$3:$AC$200,MATCH($T1069,'Resumo Grupos'!$AB$3:$AB$200,0)),"n/d"))</f>
        <v>Despesa</v>
      </c>
      <c r="AA1069" s="0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9" t="n">
        <v>2</v>
      </c>
      <c r="B1070" s="10" t="n">
        <v>46213</v>
      </c>
      <c r="C1070" s="10" t="n">
        <v>46228</v>
      </c>
      <c r="D1070" s="9" t="n">
        <v>18</v>
      </c>
      <c r="E1070" s="11" t="s">
        <v>121</v>
      </c>
      <c r="F1070" s="9" t="n">
        <v>34</v>
      </c>
      <c r="G1070" s="11" t="s">
        <v>55</v>
      </c>
      <c r="H1070" s="9" t="n">
        <v>2110405</v>
      </c>
      <c r="I1070" s="11" t="s">
        <v>56</v>
      </c>
      <c r="J1070" s="9" t="n">
        <v>1402866</v>
      </c>
      <c r="L1070" s="9" t="n">
        <v>188824</v>
      </c>
      <c r="M1070" s="11" t="s">
        <v>52</v>
      </c>
      <c r="N1070" s="11" t="s">
        <v>45</v>
      </c>
      <c r="P1070" s="9" t="n">
        <v>113</v>
      </c>
      <c r="Q1070" s="11" t="s">
        <v>46</v>
      </c>
      <c r="R1070" s="11" t="s">
        <v>71</v>
      </c>
      <c r="S1070" s="9" t="n">
        <v>4210301</v>
      </c>
      <c r="T1070" s="11" t="s">
        <v>220</v>
      </c>
      <c r="U1070" s="12" t="n">
        <v>200</v>
      </c>
      <c r="W1070" s="12" t="n">
        <v>0</v>
      </c>
      <c r="X1070" s="11" t="s">
        <v>883</v>
      </c>
      <c r="Z1070" s="0" t="str">
        <f aca="false">IF($T1070="","",IFERROR(INDEX('Resumo Grupos'!$AC$3:$AC$200,MATCH($T1070,'Resumo Grupos'!$AB$3:$AB$200,0)),"n/d"))</f>
        <v>Salários</v>
      </c>
      <c r="AA1070" s="0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9" t="n">
        <v>2</v>
      </c>
      <c r="B1071" s="10" t="n">
        <v>46205</v>
      </c>
      <c r="C1071" s="10" t="n">
        <v>46229</v>
      </c>
      <c r="D1071" s="9" t="n">
        <v>1217</v>
      </c>
      <c r="E1071" s="11" t="s">
        <v>776</v>
      </c>
      <c r="F1071" s="9" t="n">
        <v>24</v>
      </c>
      <c r="G1071" s="11" t="s">
        <v>51</v>
      </c>
      <c r="H1071" s="9" t="n">
        <v>2110101</v>
      </c>
      <c r="I1071" s="11" t="s">
        <v>43</v>
      </c>
      <c r="J1071" s="9" t="n">
        <v>1339965</v>
      </c>
      <c r="L1071" s="9" t="n">
        <v>4467</v>
      </c>
      <c r="M1071" s="11" t="s">
        <v>67</v>
      </c>
      <c r="N1071" s="11" t="s">
        <v>37</v>
      </c>
      <c r="P1071" s="9" t="n">
        <v>113</v>
      </c>
      <c r="Q1071" s="11" t="s">
        <v>46</v>
      </c>
      <c r="R1071" s="11" t="s">
        <v>47</v>
      </c>
      <c r="S1071" s="9" t="n">
        <v>1130101</v>
      </c>
      <c r="T1071" s="11" t="s">
        <v>48</v>
      </c>
      <c r="U1071" s="12" t="n">
        <v>819.53</v>
      </c>
      <c r="W1071" s="12" t="n">
        <v>0</v>
      </c>
      <c r="X1071" s="11" t="s">
        <v>777</v>
      </c>
      <c r="Z1071" s="0" t="str">
        <f aca="false">IF($T1071="","",IFERROR(INDEX('Resumo Grupos'!$AC$3:$AC$200,MATCH($T1071,'Resumo Grupos'!$AB$3:$AB$200,0)),"n/d"))</f>
        <v>Mercadoria</v>
      </c>
      <c r="AA1071" s="0" t="str">
        <f aca="false">IF($T1071="","",IF(COUNTIF('Resumo Grupos'!$AE$3:$AE$40,$T1071)&gt;0,"NAO","SIM"))</f>
        <v>SIM</v>
      </c>
      <c r="AB1071" s="0" t="str">
        <f aca="false">IFERROR(INDEX('Mov Entradas (Rel 10497)'!$L:$L,MATCH(AC1071,'Mov Entradas (Rel 10497)'!$I:$I,0)),"nao encontrado")</f>
        <v>REGULADOR DE GAS ALI</v>
      </c>
      <c r="AC1071" s="0" t="n">
        <v>4467</v>
      </c>
    </row>
    <row r="1072" customFormat="false" ht="12.75" hidden="false" customHeight="true" outlineLevel="0" collapsed="false">
      <c r="A1072" s="9" t="n">
        <v>2</v>
      </c>
      <c r="B1072" s="10" t="n">
        <v>46229</v>
      </c>
      <c r="C1072" s="10" t="n">
        <v>46229</v>
      </c>
      <c r="D1072" s="9" t="n">
        <v>0</v>
      </c>
      <c r="E1072" s="11" t="s">
        <v>109</v>
      </c>
      <c r="F1072" s="9" t="n">
        <v>17</v>
      </c>
      <c r="G1072" s="11" t="s">
        <v>110</v>
      </c>
      <c r="H1072" s="9" t="n">
        <v>1110101</v>
      </c>
      <c r="I1072" s="11" t="s">
        <v>111</v>
      </c>
      <c r="J1072" s="9" t="n">
        <v>1458826</v>
      </c>
      <c r="L1072" s="9" t="n">
        <v>1458826</v>
      </c>
      <c r="M1072" s="11" t="s">
        <v>52</v>
      </c>
      <c r="N1072" s="11" t="s">
        <v>112</v>
      </c>
      <c r="P1072" s="9" t="n">
        <v>113</v>
      </c>
      <c r="Q1072" s="11" t="s">
        <v>46</v>
      </c>
      <c r="R1072" s="11" t="s">
        <v>71</v>
      </c>
      <c r="S1072" s="9" t="n">
        <v>4210310</v>
      </c>
      <c r="T1072" s="11" t="s">
        <v>126</v>
      </c>
      <c r="U1072" s="12" t="n">
        <v>74</v>
      </c>
      <c r="W1072" s="12" t="n">
        <v>74</v>
      </c>
      <c r="X1072" s="11" t="s">
        <v>1036</v>
      </c>
      <c r="Z1072" s="0" t="str">
        <f aca="false">IF($T1072="","",IFERROR(INDEX('Resumo Grupos'!$AC$3:$AC$200,MATCH($T1072,'Resumo Grupos'!$AB$3:$AB$200,0)),"n/d"))</f>
        <v>Despesa</v>
      </c>
      <c r="AA1072" s="0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9" t="n">
        <v>2</v>
      </c>
      <c r="B1073" s="10" t="n">
        <v>46229</v>
      </c>
      <c r="C1073" s="10" t="n">
        <v>46229</v>
      </c>
      <c r="D1073" s="9" t="n">
        <v>0</v>
      </c>
      <c r="E1073" s="11" t="s">
        <v>109</v>
      </c>
      <c r="F1073" s="9" t="n">
        <v>17</v>
      </c>
      <c r="G1073" s="11" t="s">
        <v>110</v>
      </c>
      <c r="H1073" s="9" t="n">
        <v>1110101</v>
      </c>
      <c r="I1073" s="11" t="s">
        <v>111</v>
      </c>
      <c r="J1073" s="9" t="n">
        <v>1464637</v>
      </c>
      <c r="L1073" s="9" t="n">
        <v>1464637</v>
      </c>
      <c r="M1073" s="11" t="s">
        <v>52</v>
      </c>
      <c r="N1073" s="11" t="s">
        <v>112</v>
      </c>
      <c r="P1073" s="9" t="n">
        <v>113</v>
      </c>
      <c r="Q1073" s="11" t="s">
        <v>46</v>
      </c>
      <c r="R1073" s="11" t="s">
        <v>562</v>
      </c>
      <c r="S1073" s="9" t="n">
        <v>1120602</v>
      </c>
      <c r="T1073" s="11" t="s">
        <v>563</v>
      </c>
      <c r="U1073" s="12" t="n">
        <v>50</v>
      </c>
      <c r="W1073" s="12" t="n">
        <v>50</v>
      </c>
      <c r="X1073" s="11" t="s">
        <v>1037</v>
      </c>
      <c r="Z1073" s="0" t="str">
        <f aca="false">IF($T1073="","",IFERROR(INDEX('Resumo Grupos'!$AC$3:$AC$200,MATCH($T1073,'Resumo Grupos'!$AB$3:$AB$200,0)),"n/d"))</f>
        <v>Salários</v>
      </c>
      <c r="AA1073" s="0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9" t="n">
        <v>2</v>
      </c>
      <c r="B1074" s="10" t="n">
        <v>46229</v>
      </c>
      <c r="C1074" s="10" t="n">
        <v>46229</v>
      </c>
      <c r="D1074" s="9" t="n">
        <v>0</v>
      </c>
      <c r="E1074" s="11" t="s">
        <v>109</v>
      </c>
      <c r="F1074" s="9" t="n">
        <v>17</v>
      </c>
      <c r="G1074" s="11" t="s">
        <v>110</v>
      </c>
      <c r="H1074" s="9" t="n">
        <v>1110101</v>
      </c>
      <c r="I1074" s="11" t="s">
        <v>111</v>
      </c>
      <c r="J1074" s="9" t="n">
        <v>1716256</v>
      </c>
      <c r="L1074" s="9" t="n">
        <v>1716256</v>
      </c>
      <c r="M1074" s="11" t="s">
        <v>52</v>
      </c>
      <c r="N1074" s="11" t="s">
        <v>112</v>
      </c>
      <c r="P1074" s="9" t="n">
        <v>113</v>
      </c>
      <c r="Q1074" s="11" t="s">
        <v>46</v>
      </c>
      <c r="R1074" s="11" t="s">
        <v>116</v>
      </c>
      <c r="S1074" s="9" t="n">
        <v>1110203</v>
      </c>
      <c r="T1074" s="11" t="s">
        <v>117</v>
      </c>
      <c r="U1074" s="12" t="n">
        <v>1750</v>
      </c>
      <c r="W1074" s="12" t="n">
        <v>1750</v>
      </c>
      <c r="X1074" s="11" t="s">
        <v>1038</v>
      </c>
      <c r="Z1074" s="0" t="str">
        <f aca="false">IF($T1074="","",IFERROR(INDEX('Resumo Grupos'!$AC$3:$AC$200,MATCH($T1074,'Resumo Grupos'!$AB$3:$AB$200,0)),"n/d"))</f>
        <v>Despesa</v>
      </c>
      <c r="AA1074" s="0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9" t="n">
        <v>2</v>
      </c>
      <c r="B1075" s="10" t="n">
        <v>46229</v>
      </c>
      <c r="C1075" s="10" t="n">
        <v>46229</v>
      </c>
      <c r="D1075" s="9" t="n">
        <v>18</v>
      </c>
      <c r="E1075" s="11" t="s">
        <v>121</v>
      </c>
      <c r="F1075" s="9" t="n">
        <v>11</v>
      </c>
      <c r="G1075" s="11" t="s">
        <v>556</v>
      </c>
      <c r="H1075" s="9" t="n">
        <v>2110405</v>
      </c>
      <c r="I1075" s="11" t="s">
        <v>56</v>
      </c>
      <c r="J1075" s="9" t="n">
        <v>1509132</v>
      </c>
      <c r="L1075" s="9" t="n">
        <v>205139</v>
      </c>
      <c r="M1075" s="11" t="s">
        <v>52</v>
      </c>
      <c r="N1075" s="11" t="s">
        <v>45</v>
      </c>
      <c r="P1075" s="9" t="n">
        <v>113</v>
      </c>
      <c r="Q1075" s="11" t="s">
        <v>46</v>
      </c>
      <c r="R1075" s="11" t="s">
        <v>71</v>
      </c>
      <c r="S1075" s="9" t="n">
        <v>4210301</v>
      </c>
      <c r="T1075" s="11" t="s">
        <v>220</v>
      </c>
      <c r="U1075" s="12" t="n">
        <v>50</v>
      </c>
      <c r="W1075" s="12" t="n">
        <v>0</v>
      </c>
      <c r="X1075" s="11" t="s">
        <v>1039</v>
      </c>
      <c r="Z1075" s="0" t="str">
        <f aca="false">IF($T1075="","",IFERROR(INDEX('Resumo Grupos'!$AC$3:$AC$200,MATCH($T1075,'Resumo Grupos'!$AB$3:$AB$200,0)),"n/d"))</f>
        <v>Salários</v>
      </c>
      <c r="AA1075" s="0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9" t="n">
        <v>2</v>
      </c>
      <c r="B1076" s="10" t="n">
        <v>46218</v>
      </c>
      <c r="C1076" s="10" t="n">
        <v>46230</v>
      </c>
      <c r="D1076" s="9" t="n">
        <v>1636</v>
      </c>
      <c r="E1076" s="11" t="s">
        <v>61</v>
      </c>
      <c r="F1076" s="9" t="n">
        <v>24</v>
      </c>
      <c r="G1076" s="11" t="s">
        <v>51</v>
      </c>
      <c r="H1076" s="9" t="n">
        <v>2110405</v>
      </c>
      <c r="I1076" s="11" t="s">
        <v>56</v>
      </c>
      <c r="J1076" s="9" t="n">
        <v>1402491</v>
      </c>
      <c r="L1076" s="9" t="n">
        <v>188712</v>
      </c>
      <c r="M1076" s="11" t="s">
        <v>52</v>
      </c>
      <c r="N1076" s="11" t="s">
        <v>45</v>
      </c>
      <c r="P1076" s="9" t="n">
        <v>113</v>
      </c>
      <c r="Q1076" s="11" t="s">
        <v>46</v>
      </c>
      <c r="R1076" s="11" t="s">
        <v>47</v>
      </c>
      <c r="S1076" s="9" t="n">
        <v>1130101</v>
      </c>
      <c r="T1076" s="11" t="s">
        <v>48</v>
      </c>
      <c r="U1076" s="12" t="n">
        <v>1313.59</v>
      </c>
      <c r="W1076" s="12" t="n">
        <v>0</v>
      </c>
      <c r="X1076" s="11"/>
      <c r="Z1076" s="0" t="str">
        <f aca="false">IF($T1076="","",IFERROR(INDEX('Resumo Grupos'!$AC$3:$AC$200,MATCH($T1076,'Resumo Grupos'!$AB$3:$AB$200,0)),"n/d"))</f>
        <v>Mercadoria</v>
      </c>
      <c r="AA1076" s="0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9" t="n">
        <v>2</v>
      </c>
      <c r="B1077" s="10" t="n">
        <v>46218</v>
      </c>
      <c r="C1077" s="10" t="n">
        <v>46230</v>
      </c>
      <c r="D1077" s="9" t="n">
        <v>1636</v>
      </c>
      <c r="E1077" s="11" t="s">
        <v>61</v>
      </c>
      <c r="F1077" s="9" t="n">
        <v>24</v>
      </c>
      <c r="G1077" s="11" t="s">
        <v>51</v>
      </c>
      <c r="H1077" s="9" t="n">
        <v>2110405</v>
      </c>
      <c r="I1077" s="11" t="s">
        <v>56</v>
      </c>
      <c r="J1077" s="9" t="n">
        <v>1403003</v>
      </c>
      <c r="L1077" s="9" t="n">
        <v>188857</v>
      </c>
      <c r="M1077" s="11" t="s">
        <v>52</v>
      </c>
      <c r="N1077" s="11" t="s">
        <v>45</v>
      </c>
      <c r="P1077" s="9" t="n">
        <v>113</v>
      </c>
      <c r="Q1077" s="11" t="s">
        <v>46</v>
      </c>
      <c r="R1077" s="11" t="s">
        <v>47</v>
      </c>
      <c r="S1077" s="9" t="n">
        <v>1130101</v>
      </c>
      <c r="T1077" s="11" t="s">
        <v>48</v>
      </c>
      <c r="U1077" s="12" t="n">
        <v>1385.14</v>
      </c>
      <c r="W1077" s="12" t="n">
        <v>0</v>
      </c>
      <c r="X1077" s="11" t="s">
        <v>1040</v>
      </c>
      <c r="Z1077" s="0" t="str">
        <f aca="false">IF($T1077="","",IFERROR(INDEX('Resumo Grupos'!$AC$3:$AC$200,MATCH($T1077,'Resumo Grupos'!$AB$3:$AB$200,0)),"n/d"))</f>
        <v>Mercadoria</v>
      </c>
      <c r="AA1077" s="0" t="str">
        <f aca="false">IF($T1077="","",IF(COUNTIF('Resumo Grupos'!$AE$3:$AE$40,$T1077)&gt;0,"NAO","SIM"))</f>
        <v>SIM</v>
      </c>
      <c r="AB1077" s="0" t="str">
        <f aca="false">IFERROR(INDEX('Mov Entradas (Rel 10497)'!$L:$L,MATCH(AC1077,'Mov Entradas (Rel 10497)'!$I:$I,0)),"nao encontrado")</f>
        <v>PROTETOR DIARIO ALWAYS C/ PERFUME 15UN</v>
      </c>
      <c r="AC1077" s="0" t="n">
        <v>3218198</v>
      </c>
    </row>
    <row r="1078" customFormat="false" ht="12.75" hidden="false" customHeight="true" outlineLevel="0" collapsed="false">
      <c r="A1078" s="9" t="n">
        <v>2</v>
      </c>
      <c r="B1078" s="10" t="n">
        <v>46219</v>
      </c>
      <c r="C1078" s="10" t="n">
        <v>46230</v>
      </c>
      <c r="D1078" s="9" t="n">
        <v>1636</v>
      </c>
      <c r="E1078" s="11" t="s">
        <v>61</v>
      </c>
      <c r="F1078" s="9" t="n">
        <v>24</v>
      </c>
      <c r="G1078" s="11" t="s">
        <v>51</v>
      </c>
      <c r="H1078" s="9" t="n">
        <v>2110405</v>
      </c>
      <c r="I1078" s="11" t="s">
        <v>56</v>
      </c>
      <c r="J1078" s="9" t="n">
        <v>1406447</v>
      </c>
      <c r="L1078" s="9" t="n">
        <v>189383</v>
      </c>
      <c r="M1078" s="11" t="s">
        <v>52</v>
      </c>
      <c r="N1078" s="11" t="s">
        <v>45</v>
      </c>
      <c r="P1078" s="9" t="n">
        <v>113</v>
      </c>
      <c r="Q1078" s="11" t="s">
        <v>46</v>
      </c>
      <c r="R1078" s="11" t="s">
        <v>47</v>
      </c>
      <c r="S1078" s="9" t="n">
        <v>1130101</v>
      </c>
      <c r="T1078" s="11" t="s">
        <v>48</v>
      </c>
      <c r="U1078" s="12" t="n">
        <v>918.23</v>
      </c>
      <c r="W1078" s="12" t="n">
        <v>0</v>
      </c>
      <c r="X1078" s="11" t="s">
        <v>1041</v>
      </c>
      <c r="Z1078" s="0" t="str">
        <f aca="false">IF($T1078="","",IFERROR(INDEX('Resumo Grupos'!$AC$3:$AC$200,MATCH($T1078,'Resumo Grupos'!$AB$3:$AB$200,0)),"n/d"))</f>
        <v>Mercadoria</v>
      </c>
      <c r="AA1078" s="0" t="str">
        <f aca="false">IF($T1078="","",IF(COUNTIF('Resumo Grupos'!$AE$3:$AE$40,$T1078)&gt;0,"NAO","SIM"))</f>
        <v>SIM</v>
      </c>
      <c r="AB1078" s="0" t="str">
        <f aca="false">IFERROR(INDEX('Mov Entradas (Rel 10497)'!$L:$L,MATCH(AC1078,'Mov Entradas (Rel 10497)'!$I:$I,0)),"nao encontrado")</f>
        <v>ADOC LI ZERO-CAL 100ML</v>
      </c>
      <c r="AC1078" s="0" t="n">
        <v>3218197</v>
      </c>
    </row>
    <row r="1079" customFormat="false" ht="12.75" hidden="false" customHeight="true" outlineLevel="0" collapsed="false">
      <c r="A1079" s="9" t="n">
        <v>2</v>
      </c>
      <c r="B1079" s="10" t="n">
        <v>46216</v>
      </c>
      <c r="C1079" s="10" t="n">
        <v>46230</v>
      </c>
      <c r="D1079" s="9" t="n">
        <v>1626</v>
      </c>
      <c r="E1079" s="11" t="s">
        <v>77</v>
      </c>
      <c r="F1079" s="9" t="n">
        <v>24</v>
      </c>
      <c r="G1079" s="11" t="s">
        <v>51</v>
      </c>
      <c r="H1079" s="9" t="n">
        <v>2110101</v>
      </c>
      <c r="I1079" s="11" t="s">
        <v>43</v>
      </c>
      <c r="J1079" s="9" t="n">
        <v>1393879</v>
      </c>
      <c r="L1079" s="9" t="n">
        <v>312916</v>
      </c>
      <c r="M1079" s="11" t="s">
        <v>44</v>
      </c>
      <c r="N1079" s="11" t="s">
        <v>37</v>
      </c>
      <c r="P1079" s="9" t="n">
        <v>113</v>
      </c>
      <c r="Q1079" s="11" t="s">
        <v>46</v>
      </c>
      <c r="R1079" s="11" t="s">
        <v>47</v>
      </c>
      <c r="S1079" s="9" t="n">
        <v>1130101</v>
      </c>
      <c r="T1079" s="11" t="s">
        <v>48</v>
      </c>
      <c r="U1079" s="12" t="n">
        <v>368.06</v>
      </c>
      <c r="W1079" s="12" t="n">
        <v>0</v>
      </c>
      <c r="X1079" s="11" t="s">
        <v>949</v>
      </c>
      <c r="Z1079" s="0" t="str">
        <f aca="false">IF($T1079="","",IFERROR(INDEX('Resumo Grupos'!$AC$3:$AC$200,MATCH($T1079,'Resumo Grupos'!$AB$3:$AB$200,0)),"n/d"))</f>
        <v>Mercadoria</v>
      </c>
      <c r="AA1079" s="0" t="str">
        <f aca="false">IF($T1079="","",IF(COUNTIF('Resumo Grupos'!$AE$3:$AE$40,$T1079)&gt;0,"NAO","SIM"))</f>
        <v>SIM</v>
      </c>
      <c r="AB1079" s="0" t="str">
        <f aca="false">IFERROR(INDEX('Mov Entradas (Rel 10497)'!$L:$L,MATCH(AC1079,'Mov Entradas (Rel 10497)'!$I:$I,0)),"nao encontrado")</f>
        <v>BROCOLIS FLORETS 300</v>
      </c>
      <c r="AC1079" s="0" t="n">
        <v>312916</v>
      </c>
    </row>
    <row r="1080" customFormat="false" ht="12.75" hidden="false" customHeight="true" outlineLevel="0" collapsed="false">
      <c r="A1080" s="9" t="n">
        <v>2</v>
      </c>
      <c r="B1080" s="10" t="n">
        <v>46023</v>
      </c>
      <c r="C1080" s="10" t="n">
        <v>46230</v>
      </c>
      <c r="D1080" s="9" t="n">
        <v>515</v>
      </c>
      <c r="E1080" s="11" t="s">
        <v>137</v>
      </c>
      <c r="F1080" s="9" t="n">
        <v>34</v>
      </c>
      <c r="G1080" s="11" t="s">
        <v>55</v>
      </c>
      <c r="H1080" s="9" t="n">
        <v>2110405</v>
      </c>
      <c r="I1080" s="11" t="s">
        <v>56</v>
      </c>
      <c r="J1080" s="9" t="n">
        <v>1012266</v>
      </c>
      <c r="L1080" s="9" t="n">
        <v>133812</v>
      </c>
      <c r="M1080" s="11" t="s">
        <v>80</v>
      </c>
      <c r="N1080" s="11" t="s">
        <v>45</v>
      </c>
      <c r="P1080" s="9" t="n">
        <v>101</v>
      </c>
      <c r="Q1080" s="11" t="s">
        <v>57</v>
      </c>
      <c r="R1080" s="11" t="s">
        <v>323</v>
      </c>
      <c r="S1080" s="9" t="n">
        <v>2110901</v>
      </c>
      <c r="T1080" s="11" t="s">
        <v>324</v>
      </c>
      <c r="U1080" s="12" t="n">
        <v>4168.41</v>
      </c>
      <c r="W1080" s="12" t="n">
        <v>0</v>
      </c>
      <c r="X1080" s="11" t="s">
        <v>1042</v>
      </c>
      <c r="Z1080" s="0" t="str">
        <f aca="false">IF($T1080="","",IFERROR(INDEX('Resumo Grupos'!$AC$3:$AC$200,MATCH($T1080,'Resumo Grupos'!$AB$3:$AB$200,0)),"n/d"))</f>
        <v>Empréstimo</v>
      </c>
      <c r="AA1080" s="0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9" t="n">
        <v>2</v>
      </c>
      <c r="B1081" s="10" t="n">
        <v>46230</v>
      </c>
      <c r="C1081" s="10" t="n">
        <v>46230</v>
      </c>
      <c r="D1081" s="9" t="n">
        <v>515</v>
      </c>
      <c r="E1081" s="11" t="s">
        <v>137</v>
      </c>
      <c r="F1081" s="9" t="n">
        <v>34</v>
      </c>
      <c r="G1081" s="11" t="s">
        <v>55</v>
      </c>
      <c r="H1081" s="9" t="n">
        <v>2110405</v>
      </c>
      <c r="I1081" s="11" t="s">
        <v>56</v>
      </c>
      <c r="J1081" s="9" t="n">
        <v>1464457</v>
      </c>
      <c r="L1081" s="9" t="n">
        <v>198282</v>
      </c>
      <c r="M1081" s="11" t="s">
        <v>52</v>
      </c>
      <c r="N1081" s="11" t="s">
        <v>45</v>
      </c>
      <c r="P1081" s="9" t="n">
        <v>102</v>
      </c>
      <c r="Q1081" s="11" t="s">
        <v>308</v>
      </c>
      <c r="R1081" s="11" t="s">
        <v>138</v>
      </c>
      <c r="S1081" s="9" t="n">
        <v>4210504</v>
      </c>
      <c r="T1081" s="11" t="s">
        <v>143</v>
      </c>
      <c r="U1081" s="12" t="n">
        <v>165</v>
      </c>
      <c r="W1081" s="12" t="n">
        <v>0</v>
      </c>
      <c r="X1081" s="11" t="s">
        <v>1043</v>
      </c>
      <c r="Z1081" s="0" t="str">
        <f aca="false">IF($T1081="","",IFERROR(INDEX('Resumo Grupos'!$AC$3:$AC$200,MATCH($T1081,'Resumo Grupos'!$AB$3:$AB$200,0)),"n/d"))</f>
        <v>Despesa</v>
      </c>
      <c r="AA1081" s="0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9" t="n">
        <v>2</v>
      </c>
      <c r="B1082" s="10" t="n">
        <v>46231</v>
      </c>
      <c r="C1082" s="10" t="n">
        <v>46230</v>
      </c>
      <c r="D1082" s="9" t="n">
        <v>515</v>
      </c>
      <c r="E1082" s="11" t="s">
        <v>137</v>
      </c>
      <c r="F1082" s="9" t="n">
        <v>34</v>
      </c>
      <c r="G1082" s="11" t="s">
        <v>55</v>
      </c>
      <c r="H1082" s="9" t="n">
        <v>2110405</v>
      </c>
      <c r="I1082" s="11" t="s">
        <v>56</v>
      </c>
      <c r="J1082" s="9" t="n">
        <v>1464457</v>
      </c>
      <c r="L1082" s="9" t="n">
        <v>198282</v>
      </c>
      <c r="M1082" s="11" t="s">
        <v>44</v>
      </c>
      <c r="N1082" s="11" t="s">
        <v>45</v>
      </c>
      <c r="P1082" s="9" t="n">
        <v>102</v>
      </c>
      <c r="Q1082" s="11" t="s">
        <v>308</v>
      </c>
      <c r="R1082" s="11" t="s">
        <v>138</v>
      </c>
      <c r="S1082" s="9" t="n">
        <v>4210504</v>
      </c>
      <c r="T1082" s="11" t="s">
        <v>143</v>
      </c>
      <c r="U1082" s="12" t="n">
        <v>165</v>
      </c>
      <c r="W1082" s="12" t="n">
        <v>0</v>
      </c>
      <c r="X1082" s="11" t="s">
        <v>1043</v>
      </c>
      <c r="Z1082" s="0" t="str">
        <f aca="false">IF($T1082="","",IFERROR(INDEX('Resumo Grupos'!$AC$3:$AC$200,MATCH($T1082,'Resumo Grupos'!$AB$3:$AB$200,0)),"n/d"))</f>
        <v>Despesa</v>
      </c>
      <c r="AA1082" s="0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9" t="n">
        <v>2</v>
      </c>
      <c r="B1083" s="10" t="n">
        <v>46230</v>
      </c>
      <c r="C1083" s="10" t="n">
        <v>46230</v>
      </c>
      <c r="D1083" s="9" t="n">
        <v>515</v>
      </c>
      <c r="E1083" s="11" t="s">
        <v>137</v>
      </c>
      <c r="F1083" s="9" t="n">
        <v>34</v>
      </c>
      <c r="G1083" s="11" t="s">
        <v>55</v>
      </c>
      <c r="H1083" s="9" t="n">
        <v>2110405</v>
      </c>
      <c r="I1083" s="11" t="s">
        <v>56</v>
      </c>
      <c r="J1083" s="9" t="n">
        <v>1464466</v>
      </c>
      <c r="L1083" s="9" t="n">
        <v>198285</v>
      </c>
      <c r="M1083" s="11" t="s">
        <v>52</v>
      </c>
      <c r="N1083" s="11" t="s">
        <v>45</v>
      </c>
      <c r="P1083" s="9" t="n">
        <v>102</v>
      </c>
      <c r="Q1083" s="11" t="s">
        <v>308</v>
      </c>
      <c r="R1083" s="11" t="s">
        <v>138</v>
      </c>
      <c r="S1083" s="9" t="n">
        <v>4210502</v>
      </c>
      <c r="T1083" s="11" t="s">
        <v>246</v>
      </c>
      <c r="U1083" s="12" t="n">
        <v>1603.6</v>
      </c>
      <c r="W1083" s="12" t="n">
        <v>0</v>
      </c>
      <c r="X1083" s="11" t="s">
        <v>1044</v>
      </c>
      <c r="Z1083" s="0" t="str">
        <f aca="false">IF($T1083="","",IFERROR(INDEX('Resumo Grupos'!$AC$3:$AC$200,MATCH($T1083,'Resumo Grupos'!$AB$3:$AB$200,0)),"n/d"))</f>
        <v>Empréstimo</v>
      </c>
      <c r="AA1083" s="0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9" t="n">
        <v>2</v>
      </c>
      <c r="B1084" s="10" t="n">
        <v>46227</v>
      </c>
      <c r="C1084" s="10" t="n">
        <v>46230</v>
      </c>
      <c r="D1084" s="9" t="n">
        <v>10035</v>
      </c>
      <c r="E1084" s="11" t="s">
        <v>86</v>
      </c>
      <c r="F1084" s="9" t="n">
        <v>34</v>
      </c>
      <c r="G1084" s="11" t="s">
        <v>55</v>
      </c>
      <c r="H1084" s="9" t="n">
        <v>2110405</v>
      </c>
      <c r="I1084" s="11" t="s">
        <v>56</v>
      </c>
      <c r="J1084" s="9" t="n">
        <v>1443788</v>
      </c>
      <c r="L1084" s="9" t="n">
        <v>195252</v>
      </c>
      <c r="M1084" s="11" t="s">
        <v>52</v>
      </c>
      <c r="N1084" s="11" t="s">
        <v>45</v>
      </c>
      <c r="P1084" s="9" t="n">
        <v>113</v>
      </c>
      <c r="Q1084" s="11" t="s">
        <v>46</v>
      </c>
      <c r="R1084" s="11" t="s">
        <v>47</v>
      </c>
      <c r="S1084" s="9" t="n">
        <v>1130101</v>
      </c>
      <c r="T1084" s="11" t="s">
        <v>48</v>
      </c>
      <c r="U1084" s="12" t="n">
        <v>270</v>
      </c>
      <c r="W1084" s="12" t="n">
        <v>0</v>
      </c>
      <c r="X1084" s="11" t="s">
        <v>1045</v>
      </c>
      <c r="Z1084" s="0" t="str">
        <f aca="false">IF($T1084="","",IFERROR(INDEX('Resumo Grupos'!$AC$3:$AC$200,MATCH($T1084,'Resumo Grupos'!$AB$3:$AB$200,0)),"n/d"))</f>
        <v>Mercadoria</v>
      </c>
      <c r="AA1084" s="0" t="str">
        <f aca="false">IF($T1084="","",IF(COUNTIF('Resumo Grupos'!$AE$3:$AE$40,$T1084)&gt;0,"NAO","SIM"))</f>
        <v>SIM</v>
      </c>
      <c r="AB1084" s="0" t="str">
        <f aca="false">IFERROR(INDEX('Mov Entradas (Rel 10497)'!$L:$L,MATCH(AC1084,'Mov Entradas (Rel 10497)'!$I:$I,0)),"nao encontrado")</f>
        <v>CARVAO VEGETAL 3KG</v>
      </c>
      <c r="AC1084" s="0" t="n">
        <v>375</v>
      </c>
    </row>
    <row r="1085" customFormat="false" ht="12.75" hidden="false" customHeight="true" outlineLevel="0" collapsed="false">
      <c r="A1085" s="9" t="n">
        <v>2</v>
      </c>
      <c r="B1085" s="10" t="n">
        <v>46224</v>
      </c>
      <c r="C1085" s="10" t="n">
        <v>46230</v>
      </c>
      <c r="D1085" s="9" t="n">
        <v>1363</v>
      </c>
      <c r="E1085" s="11" t="s">
        <v>174</v>
      </c>
      <c r="F1085" s="9" t="n">
        <v>24</v>
      </c>
      <c r="G1085" s="11" t="s">
        <v>51</v>
      </c>
      <c r="H1085" s="9" t="n">
        <v>2110405</v>
      </c>
      <c r="I1085" s="11" t="s">
        <v>56</v>
      </c>
      <c r="J1085" s="9" t="n">
        <v>1427550</v>
      </c>
      <c r="L1085" s="9" t="n">
        <v>190912</v>
      </c>
      <c r="M1085" s="11" t="s">
        <v>52</v>
      </c>
      <c r="N1085" s="11" t="s">
        <v>45</v>
      </c>
      <c r="P1085" s="9" t="n">
        <v>113</v>
      </c>
      <c r="Q1085" s="11" t="s">
        <v>46</v>
      </c>
      <c r="R1085" s="11" t="s">
        <v>47</v>
      </c>
      <c r="S1085" s="9" t="n">
        <v>1130101</v>
      </c>
      <c r="T1085" s="11" t="s">
        <v>48</v>
      </c>
      <c r="U1085" s="12" t="n">
        <v>179</v>
      </c>
      <c r="W1085" s="12" t="n">
        <v>0</v>
      </c>
      <c r="X1085" s="11" t="s">
        <v>1046</v>
      </c>
      <c r="Z1085" s="0" t="str">
        <f aca="false">IF($T1085="","",IFERROR(INDEX('Resumo Grupos'!$AC$3:$AC$200,MATCH($T1085,'Resumo Grupos'!$AB$3:$AB$200,0)),"n/d"))</f>
        <v>Mercadoria</v>
      </c>
      <c r="AA1085" s="0" t="str">
        <f aca="false">IF($T1085="","",IF(COUNTIF('Resumo Grupos'!$AE$3:$AE$40,$T1085)&gt;0,"NAO","SIM"))</f>
        <v>SIM</v>
      </c>
      <c r="AB1085" s="0" t="str">
        <f aca="false">IFERROR(INDEX('Mov Entradas (Rel 10497)'!$L:$L,MATCH(AC1085,'Mov Entradas (Rel 10497)'!$I:$I,0)),"nao encontrado")</f>
        <v>PAO HAMBURGUER SANTO PAO</v>
      </c>
      <c r="AC1085" s="0" t="n">
        <v>3579</v>
      </c>
    </row>
    <row r="1086" customFormat="false" ht="12.75" hidden="false" customHeight="true" outlineLevel="0" collapsed="false">
      <c r="A1086" s="9" t="n">
        <v>2</v>
      </c>
      <c r="B1086" s="10" t="n">
        <v>46223</v>
      </c>
      <c r="C1086" s="10" t="n">
        <v>46230</v>
      </c>
      <c r="D1086" s="9" t="n">
        <v>581</v>
      </c>
      <c r="E1086" s="11" t="s">
        <v>147</v>
      </c>
      <c r="F1086" s="9" t="n">
        <v>24</v>
      </c>
      <c r="G1086" s="11" t="s">
        <v>51</v>
      </c>
      <c r="H1086" s="9" t="n">
        <v>2110405</v>
      </c>
      <c r="I1086" s="11" t="s">
        <v>56</v>
      </c>
      <c r="J1086" s="9" t="n">
        <v>1424567</v>
      </c>
      <c r="L1086" s="9" t="n">
        <v>190908</v>
      </c>
      <c r="M1086" s="11" t="s">
        <v>52</v>
      </c>
      <c r="N1086" s="11" t="s">
        <v>45</v>
      </c>
      <c r="P1086" s="9" t="n">
        <v>113</v>
      </c>
      <c r="Q1086" s="11" t="s">
        <v>46</v>
      </c>
      <c r="R1086" s="11" t="s">
        <v>47</v>
      </c>
      <c r="S1086" s="9" t="n">
        <v>1130101</v>
      </c>
      <c r="T1086" s="11" t="s">
        <v>48</v>
      </c>
      <c r="U1086" s="12" t="n">
        <v>199</v>
      </c>
      <c r="W1086" s="12" t="n">
        <v>0</v>
      </c>
      <c r="X1086" s="11" t="s">
        <v>1047</v>
      </c>
      <c r="Z1086" s="0" t="str">
        <f aca="false">IF($T1086="","",IFERROR(INDEX('Resumo Grupos'!$AC$3:$AC$200,MATCH($T1086,'Resumo Grupos'!$AB$3:$AB$200,0)),"n/d"))</f>
        <v>Mercadoria</v>
      </c>
      <c r="AA1086" s="0" t="str">
        <f aca="false">IF($T1086="","",IF(COUNTIF('Resumo Grupos'!$AE$3:$AE$40,$T1086)&gt;0,"NAO","SIM"))</f>
        <v>SIM</v>
      </c>
      <c r="AB1086" s="0" t="str">
        <f aca="false">IFERROR(INDEX('Mov Entradas (Rel 10497)'!$L:$L,MATCH(AC1086,'Mov Entradas (Rel 10497)'!$I:$I,0)),"nao encontrado")</f>
        <v>GOMA DE MANDIOCA AMA</v>
      </c>
      <c r="AC1086" s="0" t="n">
        <v>31515</v>
      </c>
    </row>
    <row r="1087" customFormat="false" ht="12.75" hidden="false" customHeight="true" outlineLevel="0" collapsed="false">
      <c r="A1087" s="9" t="n">
        <v>2</v>
      </c>
      <c r="B1087" s="10" t="n">
        <v>46223</v>
      </c>
      <c r="C1087" s="10" t="n">
        <v>46230</v>
      </c>
      <c r="D1087" s="9" t="n">
        <v>48</v>
      </c>
      <c r="E1087" s="11" t="s">
        <v>153</v>
      </c>
      <c r="F1087" s="9" t="n">
        <v>34</v>
      </c>
      <c r="G1087" s="11" t="s">
        <v>55</v>
      </c>
      <c r="H1087" s="9" t="n">
        <v>2110101</v>
      </c>
      <c r="I1087" s="11" t="s">
        <v>43</v>
      </c>
      <c r="J1087" s="9" t="n">
        <v>1423704</v>
      </c>
      <c r="L1087" s="9" t="n">
        <v>2550</v>
      </c>
      <c r="M1087" s="11" t="s">
        <v>52</v>
      </c>
      <c r="N1087" s="11" t="s">
        <v>37</v>
      </c>
      <c r="P1087" s="9" t="n">
        <v>113</v>
      </c>
      <c r="Q1087" s="11" t="s">
        <v>46</v>
      </c>
      <c r="R1087" s="11" t="s">
        <v>47</v>
      </c>
      <c r="S1087" s="9" t="n">
        <v>1130101</v>
      </c>
      <c r="T1087" s="11" t="s">
        <v>48</v>
      </c>
      <c r="U1087" s="12" t="n">
        <v>949</v>
      </c>
      <c r="W1087" s="12" t="n">
        <v>0</v>
      </c>
      <c r="X1087" s="11" t="s">
        <v>441</v>
      </c>
      <c r="Z1087" s="0" t="str">
        <f aca="false">IF($T1087="","",IFERROR(INDEX('Resumo Grupos'!$AC$3:$AC$200,MATCH($T1087,'Resumo Grupos'!$AB$3:$AB$200,0)),"n/d"))</f>
        <v>Mercadoria</v>
      </c>
      <c r="AA1087" s="0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9" t="n">
        <v>2</v>
      </c>
      <c r="B1088" s="10" t="n">
        <v>46230</v>
      </c>
      <c r="C1088" s="10" t="n">
        <v>46230</v>
      </c>
      <c r="D1088" s="9" t="n">
        <v>48</v>
      </c>
      <c r="E1088" s="11" t="s">
        <v>153</v>
      </c>
      <c r="F1088" s="9" t="n">
        <v>13</v>
      </c>
      <c r="G1088" s="11" t="s">
        <v>135</v>
      </c>
      <c r="H1088" s="9" t="n">
        <v>2110101</v>
      </c>
      <c r="I1088" s="11" t="s">
        <v>43</v>
      </c>
      <c r="J1088" s="9" t="n">
        <v>1459242</v>
      </c>
      <c r="L1088" s="9" t="n">
        <v>2563</v>
      </c>
      <c r="M1088" s="11" t="s">
        <v>52</v>
      </c>
      <c r="N1088" s="11" t="s">
        <v>37</v>
      </c>
      <c r="P1088" s="9" t="n">
        <v>113</v>
      </c>
      <c r="Q1088" s="11" t="s">
        <v>46</v>
      </c>
      <c r="R1088" s="11" t="s">
        <v>47</v>
      </c>
      <c r="S1088" s="9" t="n">
        <v>1130101</v>
      </c>
      <c r="T1088" s="11" t="s">
        <v>48</v>
      </c>
      <c r="U1088" s="12" t="n">
        <v>210</v>
      </c>
      <c r="W1088" s="12" t="n">
        <v>210</v>
      </c>
      <c r="X1088" s="11" t="s">
        <v>1048</v>
      </c>
      <c r="Z1088" s="0" t="str">
        <f aca="false">IF($T1088="","",IFERROR(INDEX('Resumo Grupos'!$AC$3:$AC$200,MATCH($T1088,'Resumo Grupos'!$AB$3:$AB$200,0)),"n/d"))</f>
        <v>Mercadoria</v>
      </c>
      <c r="AA1088" s="0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9" t="n">
        <v>2</v>
      </c>
      <c r="B1089" s="10" t="n">
        <v>46230</v>
      </c>
      <c r="C1089" s="10" t="n">
        <v>46230</v>
      </c>
      <c r="D1089" s="9" t="n">
        <v>17</v>
      </c>
      <c r="E1089" s="11" t="s">
        <v>489</v>
      </c>
      <c r="F1089" s="9" t="n">
        <v>48</v>
      </c>
      <c r="G1089" s="11" t="s">
        <v>581</v>
      </c>
      <c r="H1089" s="9" t="n">
        <v>2110405</v>
      </c>
      <c r="I1089" s="11" t="s">
        <v>56</v>
      </c>
      <c r="J1089" s="9" t="n">
        <v>1464636</v>
      </c>
      <c r="L1089" s="9" t="n">
        <v>198325</v>
      </c>
      <c r="M1089" s="11" t="s">
        <v>52</v>
      </c>
      <c r="N1089" s="11" t="s">
        <v>45</v>
      </c>
      <c r="P1089" s="9" t="n">
        <v>102</v>
      </c>
      <c r="Q1089" s="11" t="s">
        <v>308</v>
      </c>
      <c r="R1089" s="11" t="s">
        <v>81</v>
      </c>
      <c r="S1089" s="9" t="n">
        <v>4220199</v>
      </c>
      <c r="T1089" s="11" t="s">
        <v>82</v>
      </c>
      <c r="U1089" s="12" t="n">
        <v>602.1</v>
      </c>
      <c r="W1089" s="12" t="n">
        <v>0</v>
      </c>
      <c r="X1089" s="11" t="s">
        <v>1049</v>
      </c>
      <c r="Z1089" s="0" t="str">
        <f aca="false">IF($T1089="","",IFERROR(INDEX('Resumo Grupos'!$AC$3:$AC$200,MATCH($T1089,'Resumo Grupos'!$AB$3:$AB$200,0)),"n/d"))</f>
        <v>Pagamentos outros não operacionais</v>
      </c>
      <c r="AA1089" s="0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9" t="n">
        <v>2</v>
      </c>
      <c r="B1090" s="10" t="n">
        <v>46224</v>
      </c>
      <c r="C1090" s="10" t="n">
        <v>46230</v>
      </c>
      <c r="D1090" s="9" t="n">
        <v>1328</v>
      </c>
      <c r="E1090" s="11" t="s">
        <v>95</v>
      </c>
      <c r="F1090" s="9" t="n">
        <v>24</v>
      </c>
      <c r="G1090" s="11" t="s">
        <v>51</v>
      </c>
      <c r="H1090" s="9" t="n">
        <v>2110405</v>
      </c>
      <c r="I1090" s="11" t="s">
        <v>56</v>
      </c>
      <c r="J1090" s="9" t="n">
        <v>1427562</v>
      </c>
      <c r="L1090" s="9" t="n">
        <v>190913</v>
      </c>
      <c r="M1090" s="11" t="s">
        <v>52</v>
      </c>
      <c r="N1090" s="11" t="s">
        <v>45</v>
      </c>
      <c r="P1090" s="9" t="n">
        <v>113</v>
      </c>
      <c r="Q1090" s="11" t="s">
        <v>46</v>
      </c>
      <c r="R1090" s="11" t="s">
        <v>47</v>
      </c>
      <c r="S1090" s="9" t="n">
        <v>1130101</v>
      </c>
      <c r="T1090" s="11" t="s">
        <v>48</v>
      </c>
      <c r="U1090" s="12" t="n">
        <v>232.05</v>
      </c>
      <c r="W1090" s="12" t="n">
        <v>0</v>
      </c>
      <c r="X1090" s="11" t="s">
        <v>1050</v>
      </c>
      <c r="Z1090" s="0" t="str">
        <f aca="false">IF($T1090="","",IFERROR(INDEX('Resumo Grupos'!$AC$3:$AC$200,MATCH($T1090,'Resumo Grupos'!$AB$3:$AB$200,0)),"n/d"))</f>
        <v>Mercadoria</v>
      </c>
      <c r="AA1090" s="0" t="str">
        <f aca="false">IF($T1090="","",IF(COUNTIF('Resumo Grupos'!$AE$3:$AE$40,$T1090)&gt;0,"NAO","SIM"))</f>
        <v>SIM</v>
      </c>
      <c r="AB1090" s="0" t="str">
        <f aca="false">IFERROR(INDEX('Mov Entradas (Rel 10497)'!$L:$L,MATCH(AC1090,'Mov Entradas (Rel 10497)'!$I:$I,0)),"nao encontrado")</f>
        <v>PAO DE KIKAO 10</v>
      </c>
      <c r="AC1090" s="0" t="n">
        <v>4132</v>
      </c>
    </row>
    <row r="1091" customFormat="false" ht="12.75" hidden="false" customHeight="true" outlineLevel="0" collapsed="false">
      <c r="A1091" s="9" t="n">
        <v>2</v>
      </c>
      <c r="B1091" s="10" t="n">
        <v>46226</v>
      </c>
      <c r="C1091" s="10" t="n">
        <v>46230</v>
      </c>
      <c r="D1091" s="9" t="n">
        <v>1899</v>
      </c>
      <c r="E1091" s="11" t="s">
        <v>204</v>
      </c>
      <c r="F1091" s="9" t="n">
        <v>24</v>
      </c>
      <c r="G1091" s="11" t="s">
        <v>51</v>
      </c>
      <c r="H1091" s="9" t="n">
        <v>2110405</v>
      </c>
      <c r="I1091" s="11" t="s">
        <v>56</v>
      </c>
      <c r="J1091" s="9" t="n">
        <v>1438993</v>
      </c>
      <c r="L1091" s="9" t="n">
        <v>194448</v>
      </c>
      <c r="M1091" s="11" t="s">
        <v>52</v>
      </c>
      <c r="N1091" s="11" t="s">
        <v>45</v>
      </c>
      <c r="P1091" s="9" t="n">
        <v>113</v>
      </c>
      <c r="Q1091" s="11" t="s">
        <v>46</v>
      </c>
      <c r="R1091" s="11" t="s">
        <v>47</v>
      </c>
      <c r="S1091" s="9" t="n">
        <v>1130101</v>
      </c>
      <c r="T1091" s="11" t="s">
        <v>48</v>
      </c>
      <c r="U1091" s="12" t="n">
        <v>247.23</v>
      </c>
      <c r="W1091" s="12" t="n">
        <v>0</v>
      </c>
      <c r="X1091" s="11" t="s">
        <v>1051</v>
      </c>
      <c r="Z1091" s="0" t="str">
        <f aca="false">IF($T1091="","",IFERROR(INDEX('Resumo Grupos'!$AC$3:$AC$200,MATCH($T1091,'Resumo Grupos'!$AB$3:$AB$200,0)),"n/d"))</f>
        <v>Mercadoria</v>
      </c>
      <c r="AA1091" s="0" t="str">
        <f aca="false">IF($T1091="","",IF(COUNTIF('Resumo Grupos'!$AE$3:$AE$40,$T1091)&gt;0,"NAO","SIM"))</f>
        <v>SIM</v>
      </c>
      <c r="AB1091" s="0" t="str">
        <f aca="false">IFERROR(INDEX('Mov Entradas (Rel 10497)'!$L:$L,MATCH(AC1091,'Mov Entradas (Rel 10497)'!$I:$I,0)),"nao encontrado")</f>
        <v>MASSA FINA</v>
      </c>
      <c r="AC1091" s="0" t="n">
        <v>728</v>
      </c>
    </row>
    <row r="1092" customFormat="false" ht="12.75" hidden="false" customHeight="true" outlineLevel="0" collapsed="false">
      <c r="A1092" s="9" t="n">
        <v>2</v>
      </c>
      <c r="B1092" s="10" t="n">
        <v>46230</v>
      </c>
      <c r="C1092" s="10" t="n">
        <v>46230</v>
      </c>
      <c r="D1092" s="9" t="n">
        <v>0</v>
      </c>
      <c r="E1092" s="11" t="s">
        <v>109</v>
      </c>
      <c r="F1092" s="9" t="n">
        <v>17</v>
      </c>
      <c r="G1092" s="11" t="s">
        <v>110</v>
      </c>
      <c r="H1092" s="9" t="n">
        <v>1110101</v>
      </c>
      <c r="I1092" s="11" t="s">
        <v>111</v>
      </c>
      <c r="J1092" s="9" t="n">
        <v>1464679</v>
      </c>
      <c r="L1092" s="9" t="n">
        <v>1464679</v>
      </c>
      <c r="M1092" s="11" t="s">
        <v>52</v>
      </c>
      <c r="N1092" s="11" t="s">
        <v>112</v>
      </c>
      <c r="P1092" s="9" t="n">
        <v>113</v>
      </c>
      <c r="Q1092" s="11" t="s">
        <v>46</v>
      </c>
      <c r="R1092" s="11" t="s">
        <v>259</v>
      </c>
      <c r="S1092" s="9" t="n">
        <v>2110101</v>
      </c>
      <c r="T1092" s="11" t="s">
        <v>43</v>
      </c>
      <c r="U1092" s="12" t="n">
        <v>210</v>
      </c>
      <c r="W1092" s="12" t="n">
        <v>210</v>
      </c>
      <c r="X1092" s="11" t="s">
        <v>1052</v>
      </c>
      <c r="Z1092" s="0" t="str">
        <f aca="false">IF($T1092="","",IFERROR(INDEX('Resumo Grupos'!$AC$3:$AC$200,MATCH($T1092,'Resumo Grupos'!$AB$3:$AB$200,0)),"n/d"))</f>
        <v>Despesa</v>
      </c>
      <c r="AA1092" s="0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9" t="n">
        <v>2</v>
      </c>
      <c r="B1093" s="10" t="n">
        <v>46230</v>
      </c>
      <c r="C1093" s="10" t="n">
        <v>46230</v>
      </c>
      <c r="D1093" s="9" t="n">
        <v>0</v>
      </c>
      <c r="E1093" s="11" t="s">
        <v>109</v>
      </c>
      <c r="F1093" s="9" t="n">
        <v>17</v>
      </c>
      <c r="G1093" s="11" t="s">
        <v>110</v>
      </c>
      <c r="H1093" s="9" t="n">
        <v>1110101</v>
      </c>
      <c r="I1093" s="11" t="s">
        <v>111</v>
      </c>
      <c r="J1093" s="9" t="n">
        <v>1464681</v>
      </c>
      <c r="L1093" s="9" t="n">
        <v>1464681</v>
      </c>
      <c r="M1093" s="11" t="s">
        <v>52</v>
      </c>
      <c r="N1093" s="11" t="s">
        <v>112</v>
      </c>
      <c r="P1093" s="9" t="n">
        <v>113</v>
      </c>
      <c r="Q1093" s="11" t="s">
        <v>46</v>
      </c>
      <c r="R1093" s="11" t="s">
        <v>71</v>
      </c>
      <c r="S1093" s="9" t="n">
        <v>4210314</v>
      </c>
      <c r="T1093" s="11" t="s">
        <v>113</v>
      </c>
      <c r="U1093" s="12" t="n">
        <v>70</v>
      </c>
      <c r="W1093" s="12" t="n">
        <v>70</v>
      </c>
      <c r="X1093" s="11" t="s">
        <v>1053</v>
      </c>
      <c r="Z1093" s="0" t="str">
        <f aca="false">IF($T1093="","",IFERROR(INDEX('Resumo Grupos'!$AC$3:$AC$200,MATCH($T1093,'Resumo Grupos'!$AB$3:$AB$200,0)),"n/d"))</f>
        <v>Despesa</v>
      </c>
      <c r="AA1093" s="0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9" t="n">
        <v>2</v>
      </c>
      <c r="B1094" s="10" t="n">
        <v>46230</v>
      </c>
      <c r="C1094" s="10" t="n">
        <v>46230</v>
      </c>
      <c r="D1094" s="9" t="n">
        <v>0</v>
      </c>
      <c r="E1094" s="11" t="s">
        <v>109</v>
      </c>
      <c r="F1094" s="9" t="n">
        <v>17</v>
      </c>
      <c r="G1094" s="11" t="s">
        <v>110</v>
      </c>
      <c r="H1094" s="9" t="n">
        <v>1110101</v>
      </c>
      <c r="I1094" s="11" t="s">
        <v>111</v>
      </c>
      <c r="J1094" s="9" t="n">
        <v>1716265</v>
      </c>
      <c r="L1094" s="9" t="n">
        <v>1716265</v>
      </c>
      <c r="M1094" s="11" t="s">
        <v>52</v>
      </c>
      <c r="N1094" s="11" t="s">
        <v>112</v>
      </c>
      <c r="P1094" s="9" t="n">
        <v>113</v>
      </c>
      <c r="Q1094" s="11" t="s">
        <v>46</v>
      </c>
      <c r="R1094" s="11" t="s">
        <v>116</v>
      </c>
      <c r="S1094" s="9" t="n">
        <v>1110203</v>
      </c>
      <c r="T1094" s="11" t="s">
        <v>117</v>
      </c>
      <c r="U1094" s="12" t="n">
        <v>2650</v>
      </c>
      <c r="W1094" s="12" t="n">
        <v>2650</v>
      </c>
      <c r="X1094" s="11" t="s">
        <v>1054</v>
      </c>
      <c r="Z1094" s="0" t="str">
        <f aca="false">IF($T1094="","",IFERROR(INDEX('Resumo Grupos'!$AC$3:$AC$200,MATCH($T1094,'Resumo Grupos'!$AB$3:$AB$200,0)),"n/d"))</f>
        <v>Despesa</v>
      </c>
      <c r="AA1094" s="0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9" t="n">
        <v>2</v>
      </c>
      <c r="B1095" s="10" t="n">
        <v>46228</v>
      </c>
      <c r="C1095" s="10" t="n">
        <v>46231</v>
      </c>
      <c r="D1095" s="9" t="n">
        <v>642</v>
      </c>
      <c r="E1095" s="11" t="s">
        <v>123</v>
      </c>
      <c r="F1095" s="9" t="n">
        <v>24</v>
      </c>
      <c r="G1095" s="11" t="s">
        <v>51</v>
      </c>
      <c r="H1095" s="9" t="n">
        <v>2110405</v>
      </c>
      <c r="I1095" s="11" t="s">
        <v>56</v>
      </c>
      <c r="J1095" s="9" t="n">
        <v>1448216</v>
      </c>
      <c r="L1095" s="9" t="n">
        <v>196004</v>
      </c>
      <c r="M1095" s="11" t="s">
        <v>52</v>
      </c>
      <c r="N1095" s="11" t="s">
        <v>45</v>
      </c>
      <c r="P1095" s="9" t="n">
        <v>113</v>
      </c>
      <c r="Q1095" s="11" t="s">
        <v>46</v>
      </c>
      <c r="R1095" s="11" t="s">
        <v>47</v>
      </c>
      <c r="S1095" s="9" t="n">
        <v>1130101</v>
      </c>
      <c r="T1095" s="11" t="s">
        <v>48</v>
      </c>
      <c r="U1095" s="12" t="n">
        <v>168</v>
      </c>
      <c r="W1095" s="12" t="n">
        <v>0</v>
      </c>
      <c r="X1095" s="11" t="s">
        <v>1055</v>
      </c>
      <c r="Z1095" s="0" t="str">
        <f aca="false">IF($T1095="","",IFERROR(INDEX('Resumo Grupos'!$AC$3:$AC$200,MATCH($T1095,'Resumo Grupos'!$AB$3:$AB$200,0)),"n/d"))</f>
        <v>Mercadoria</v>
      </c>
      <c r="AA1095" s="0" t="str">
        <f aca="false">IF($T1095="","",IF(COUNTIF('Resumo Grupos'!$AE$3:$AE$40,$T1095)&gt;0,"NAO","SIM"))</f>
        <v>SIM</v>
      </c>
      <c r="AB1095" s="0" t="str">
        <f aca="false">IFERROR(INDEX('Mov Entradas (Rel 10497)'!$L:$L,MATCH(AC1095,'Mov Entradas (Rel 10497)'!$I:$I,0)),"nao encontrado")</f>
        <v>BOLO BLOOM 600G</v>
      </c>
      <c r="AC1095" s="0" t="n">
        <v>544</v>
      </c>
    </row>
    <row r="1096" customFormat="false" ht="12.75" hidden="false" customHeight="true" outlineLevel="0" collapsed="false">
      <c r="A1096" s="9" t="n">
        <v>2</v>
      </c>
      <c r="B1096" s="10" t="n">
        <v>46216</v>
      </c>
      <c r="C1096" s="10" t="n">
        <v>46231</v>
      </c>
      <c r="D1096" s="9" t="n">
        <v>1705</v>
      </c>
      <c r="E1096" s="11" t="s">
        <v>130</v>
      </c>
      <c r="F1096" s="9" t="n">
        <v>24</v>
      </c>
      <c r="G1096" s="11" t="s">
        <v>51</v>
      </c>
      <c r="H1096" s="9" t="n">
        <v>2110101</v>
      </c>
      <c r="I1096" s="11" t="s">
        <v>43</v>
      </c>
      <c r="J1096" s="9" t="n">
        <v>1393986</v>
      </c>
      <c r="L1096" s="9" t="n">
        <v>1931230</v>
      </c>
      <c r="M1096" s="11" t="s">
        <v>52</v>
      </c>
      <c r="N1096" s="11" t="s">
        <v>37</v>
      </c>
      <c r="P1096" s="9" t="n">
        <v>113</v>
      </c>
      <c r="Q1096" s="11" t="s">
        <v>46</v>
      </c>
      <c r="R1096" s="11" t="s">
        <v>47</v>
      </c>
      <c r="S1096" s="9" t="n">
        <v>1130101</v>
      </c>
      <c r="T1096" s="11" t="s">
        <v>48</v>
      </c>
      <c r="U1096" s="12" t="n">
        <v>419.67</v>
      </c>
      <c r="W1096" s="12" t="n">
        <v>0</v>
      </c>
      <c r="X1096" s="11" t="s">
        <v>1056</v>
      </c>
      <c r="Z1096" s="0" t="str">
        <f aca="false">IF($T1096="","",IFERROR(INDEX('Resumo Grupos'!$AC$3:$AC$200,MATCH($T1096,'Resumo Grupos'!$AB$3:$AB$200,0)),"n/d"))</f>
        <v>Mercadoria</v>
      </c>
      <c r="AA1096" s="0" t="str">
        <f aca="false">IF($T1096="","",IF(COUNTIF('Resumo Grupos'!$AE$3:$AE$40,$T1096)&gt;0,"NAO","SIM"))</f>
        <v>SIM</v>
      </c>
      <c r="AB1096" s="0" t="str">
        <f aca="false">IFERROR(INDEX('Mov Entradas (Rel 10497)'!$L:$L,MATCH(AC1096,'Mov Entradas (Rel 10497)'!$I:$I,0)),"nao encontrado")</f>
        <v>FANTA RETORNAVEL 2L</v>
      </c>
      <c r="AC1096" s="0" t="n">
        <v>1931230</v>
      </c>
    </row>
    <row r="1097" customFormat="false" ht="12.75" hidden="false" customHeight="true" outlineLevel="0" collapsed="false">
      <c r="A1097" s="9" t="n">
        <v>2</v>
      </c>
      <c r="B1097" s="10" t="n">
        <v>46216</v>
      </c>
      <c r="C1097" s="10" t="n">
        <v>46231</v>
      </c>
      <c r="D1097" s="9" t="n">
        <v>1705</v>
      </c>
      <c r="E1097" s="11" t="s">
        <v>130</v>
      </c>
      <c r="F1097" s="9" t="n">
        <v>24</v>
      </c>
      <c r="G1097" s="11" t="s">
        <v>51</v>
      </c>
      <c r="H1097" s="9" t="n">
        <v>2110101</v>
      </c>
      <c r="I1097" s="11" t="s">
        <v>43</v>
      </c>
      <c r="J1097" s="9" t="n">
        <v>1393993</v>
      </c>
      <c r="L1097" s="9" t="n">
        <v>1199257</v>
      </c>
      <c r="M1097" s="11" t="s">
        <v>52</v>
      </c>
      <c r="N1097" s="11" t="s">
        <v>37</v>
      </c>
      <c r="P1097" s="9" t="n">
        <v>113</v>
      </c>
      <c r="Q1097" s="11" t="s">
        <v>46</v>
      </c>
      <c r="R1097" s="11" t="s">
        <v>47</v>
      </c>
      <c r="S1097" s="9" t="n">
        <v>1130101</v>
      </c>
      <c r="T1097" s="11" t="s">
        <v>48</v>
      </c>
      <c r="U1097" s="12" t="n">
        <v>203.41</v>
      </c>
      <c r="W1097" s="12" t="n">
        <v>0</v>
      </c>
      <c r="X1097" s="11" t="s">
        <v>1057</v>
      </c>
      <c r="Z1097" s="0" t="str">
        <f aca="false">IF($T1097="","",IFERROR(INDEX('Resumo Grupos'!$AC$3:$AC$200,MATCH($T1097,'Resumo Grupos'!$AB$3:$AB$200,0)),"n/d"))</f>
        <v>Mercadoria</v>
      </c>
      <c r="AA1097" s="0" t="str">
        <f aca="false">IF($T1097="","",IF(COUNTIF('Resumo Grupos'!$AE$3:$AE$40,$T1097)&gt;0,"NAO","SIM"))</f>
        <v>SIM</v>
      </c>
      <c r="AB1097" s="0" t="str">
        <f aca="false">IFERROR(INDEX('Mov Entradas (Rel 10497)'!$L:$L,MATCH(AC1097,'Mov Entradas (Rel 10497)'!$I:$I,0)),"nao encontrado")</f>
        <v>ENERGY MONSTER ULTRA</v>
      </c>
      <c r="AC1097" s="0" t="n">
        <v>1199257</v>
      </c>
    </row>
    <row r="1098" customFormat="false" ht="12.75" hidden="false" customHeight="true" outlineLevel="0" collapsed="false">
      <c r="A1098" s="9" t="n">
        <v>2</v>
      </c>
      <c r="B1098" s="10" t="n">
        <v>46216</v>
      </c>
      <c r="C1098" s="10" t="n">
        <v>46231</v>
      </c>
      <c r="D1098" s="9" t="n">
        <v>1705</v>
      </c>
      <c r="E1098" s="11" t="s">
        <v>130</v>
      </c>
      <c r="F1098" s="9" t="n">
        <v>24</v>
      </c>
      <c r="G1098" s="11" t="s">
        <v>51</v>
      </c>
      <c r="H1098" s="9" t="n">
        <v>2110101</v>
      </c>
      <c r="I1098" s="11" t="s">
        <v>43</v>
      </c>
      <c r="J1098" s="9" t="n">
        <v>1394011</v>
      </c>
      <c r="L1098" s="9" t="n">
        <v>1199243</v>
      </c>
      <c r="M1098" s="11" t="s">
        <v>52</v>
      </c>
      <c r="N1098" s="11" t="s">
        <v>37</v>
      </c>
      <c r="P1098" s="9" t="n">
        <v>113</v>
      </c>
      <c r="Q1098" s="11" t="s">
        <v>46</v>
      </c>
      <c r="R1098" s="11" t="s">
        <v>47</v>
      </c>
      <c r="S1098" s="9" t="n">
        <v>1130101</v>
      </c>
      <c r="T1098" s="11" t="s">
        <v>48</v>
      </c>
      <c r="U1098" s="12" t="n">
        <v>106.21</v>
      </c>
      <c r="W1098" s="12" t="n">
        <v>0</v>
      </c>
      <c r="X1098" s="11" t="s">
        <v>1058</v>
      </c>
      <c r="Z1098" s="0" t="str">
        <f aca="false">IF($T1098="","",IFERROR(INDEX('Resumo Grupos'!$AC$3:$AC$200,MATCH($T1098,'Resumo Grupos'!$AB$3:$AB$200,0)),"n/d"))</f>
        <v>Mercadoria</v>
      </c>
      <c r="AA1098" s="0" t="str">
        <f aca="false">IF($T1098="","",IF(COUNTIF('Resumo Grupos'!$AE$3:$AE$40,$T1098)&gt;0,"NAO","SIM"))</f>
        <v>SIM</v>
      </c>
      <c r="AB1098" s="0" t="str">
        <f aca="false">IFERROR(INDEX('Mov Entradas (Rel 10497)'!$L:$L,MATCH(AC1098,'Mov Entradas (Rel 10497)'!$I:$I,0)),"nao encontrado")</f>
        <v>MONSTER ENERGY ENERG</v>
      </c>
      <c r="AC1098" s="0" t="n">
        <v>1199243</v>
      </c>
    </row>
    <row r="1099" customFormat="false" ht="12.75" hidden="false" customHeight="true" outlineLevel="0" collapsed="false">
      <c r="A1099" s="9" t="n">
        <v>2</v>
      </c>
      <c r="B1099" s="10" t="n">
        <v>46231</v>
      </c>
      <c r="C1099" s="10" t="n">
        <v>46231</v>
      </c>
      <c r="D1099" s="9" t="n">
        <v>847</v>
      </c>
      <c r="E1099" s="11" t="s">
        <v>1059</v>
      </c>
      <c r="F1099" s="9" t="n">
        <v>24</v>
      </c>
      <c r="G1099" s="11" t="s">
        <v>51</v>
      </c>
      <c r="H1099" s="9" t="n">
        <v>2110405</v>
      </c>
      <c r="I1099" s="11" t="s">
        <v>56</v>
      </c>
      <c r="J1099" s="9" t="n">
        <v>1464541</v>
      </c>
      <c r="L1099" s="9" t="n">
        <v>198302</v>
      </c>
      <c r="M1099" s="11" t="s">
        <v>52</v>
      </c>
      <c r="N1099" s="11" t="s">
        <v>45</v>
      </c>
      <c r="P1099" s="9" t="n">
        <v>101</v>
      </c>
      <c r="Q1099" s="11" t="s">
        <v>57</v>
      </c>
      <c r="R1099" s="11" t="s">
        <v>39</v>
      </c>
      <c r="S1099" s="9" t="n">
        <v>4210227</v>
      </c>
      <c r="T1099" s="11" t="s">
        <v>68</v>
      </c>
      <c r="U1099" s="12" t="n">
        <v>302.22</v>
      </c>
      <c r="W1099" s="12" t="n">
        <v>0</v>
      </c>
      <c r="X1099" s="11" t="s">
        <v>1060</v>
      </c>
      <c r="Z1099" s="0" t="str">
        <f aca="false">IF($T1099="","",IFERROR(INDEX('Resumo Grupos'!$AC$3:$AC$200,MATCH($T1099,'Resumo Grupos'!$AB$3:$AB$200,0)),"n/d"))</f>
        <v>Despesa</v>
      </c>
      <c r="AA1099" s="0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9" t="n">
        <v>2</v>
      </c>
      <c r="B1100" s="10" t="n">
        <v>46231</v>
      </c>
      <c r="C1100" s="10" t="n">
        <v>46231</v>
      </c>
      <c r="D1100" s="9" t="n">
        <v>23</v>
      </c>
      <c r="E1100" s="11" t="s">
        <v>243</v>
      </c>
      <c r="F1100" s="9" t="n">
        <v>11</v>
      </c>
      <c r="G1100" s="11" t="s">
        <v>556</v>
      </c>
      <c r="H1100" s="9" t="n">
        <v>2110405</v>
      </c>
      <c r="I1100" s="11" t="s">
        <v>56</v>
      </c>
      <c r="J1100" s="9" t="n">
        <v>1509024</v>
      </c>
      <c r="L1100" s="9" t="n">
        <v>205108</v>
      </c>
      <c r="M1100" s="11" t="s">
        <v>52</v>
      </c>
      <c r="N1100" s="11" t="s">
        <v>45</v>
      </c>
      <c r="P1100" s="9" t="n">
        <v>113</v>
      </c>
      <c r="Q1100" s="11" t="s">
        <v>46</v>
      </c>
      <c r="R1100" s="11" t="s">
        <v>71</v>
      </c>
      <c r="S1100" s="9" t="n">
        <v>4210301</v>
      </c>
      <c r="T1100" s="11" t="s">
        <v>220</v>
      </c>
      <c r="U1100" s="12" t="n">
        <v>250</v>
      </c>
      <c r="W1100" s="12" t="n">
        <v>0</v>
      </c>
      <c r="X1100" s="11" t="s">
        <v>1061</v>
      </c>
      <c r="Z1100" s="0" t="str">
        <f aca="false">IF($T1100="","",IFERROR(INDEX('Resumo Grupos'!$AC$3:$AC$200,MATCH($T1100,'Resumo Grupos'!$AB$3:$AB$200,0)),"n/d"))</f>
        <v>Salários</v>
      </c>
      <c r="AA1100" s="0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9" t="n">
        <v>2</v>
      </c>
      <c r="B1101" s="10" t="n">
        <v>46231</v>
      </c>
      <c r="C1101" s="10" t="n">
        <v>46231</v>
      </c>
      <c r="D1101" s="9" t="n">
        <v>1037</v>
      </c>
      <c r="E1101" s="11" t="s">
        <v>134</v>
      </c>
      <c r="F1101" s="9" t="n">
        <v>34</v>
      </c>
      <c r="G1101" s="11" t="s">
        <v>55</v>
      </c>
      <c r="H1101" s="9" t="n">
        <v>2110405</v>
      </c>
      <c r="I1101" s="11" t="s">
        <v>56</v>
      </c>
      <c r="J1101" s="9" t="n">
        <v>1465100</v>
      </c>
      <c r="L1101" s="9" t="n">
        <v>198379</v>
      </c>
      <c r="M1101" s="11" t="s">
        <v>52</v>
      </c>
      <c r="N1101" s="11" t="s">
        <v>45</v>
      </c>
      <c r="P1101" s="9" t="n">
        <v>113</v>
      </c>
      <c r="Q1101" s="11" t="s">
        <v>46</v>
      </c>
      <c r="R1101" s="11" t="s">
        <v>47</v>
      </c>
      <c r="S1101" s="9" t="n">
        <v>1130101</v>
      </c>
      <c r="T1101" s="11" t="s">
        <v>48</v>
      </c>
      <c r="U1101" s="12" t="n">
        <v>140</v>
      </c>
      <c r="W1101" s="12" t="n">
        <v>0</v>
      </c>
      <c r="X1101" s="11" t="s">
        <v>1062</v>
      </c>
      <c r="Z1101" s="0" t="str">
        <f aca="false">IF($T1101="","",IFERROR(INDEX('Resumo Grupos'!$AC$3:$AC$200,MATCH($T1101,'Resumo Grupos'!$AB$3:$AB$200,0)),"n/d"))</f>
        <v>Mercadoria</v>
      </c>
      <c r="AA1101" s="0" t="str">
        <f aca="false">IF($T1101="","",IF(COUNTIF('Resumo Grupos'!$AE$3:$AE$40,$T1101)&gt;0,"NAO","SIM"))</f>
        <v>SIM</v>
      </c>
      <c r="AB1101" s="0" t="str">
        <f aca="false">IFERROR(INDEX('Mov Entradas (Rel 10497)'!$L:$L,MATCH(AC1101,'Mov Entradas (Rel 10497)'!$I:$I,0)),"nao encontrado")</f>
        <v>ABACATE KG</v>
      </c>
      <c r="AC1101" s="0" t="n">
        <v>2568</v>
      </c>
    </row>
    <row r="1102" customFormat="false" ht="12.75" hidden="false" customHeight="true" outlineLevel="0" collapsed="false">
      <c r="A1102" s="9" t="n">
        <v>2</v>
      </c>
      <c r="B1102" s="10" t="n">
        <v>46189</v>
      </c>
      <c r="C1102" s="10" t="n">
        <v>46231</v>
      </c>
      <c r="D1102" s="9" t="n">
        <v>957</v>
      </c>
      <c r="E1102" s="11" t="s">
        <v>628</v>
      </c>
      <c r="F1102" s="9" t="n">
        <v>24</v>
      </c>
      <c r="G1102" s="11" t="s">
        <v>51</v>
      </c>
      <c r="H1102" s="9" t="n">
        <v>2110101</v>
      </c>
      <c r="I1102" s="11" t="s">
        <v>43</v>
      </c>
      <c r="J1102" s="9" t="n">
        <v>1261052</v>
      </c>
      <c r="L1102" s="9" t="n">
        <v>20499</v>
      </c>
      <c r="M1102" s="11" t="s">
        <v>89</v>
      </c>
      <c r="N1102" s="11" t="s">
        <v>37</v>
      </c>
      <c r="P1102" s="9" t="n">
        <v>113</v>
      </c>
      <c r="Q1102" s="11" t="s">
        <v>46</v>
      </c>
      <c r="R1102" s="11" t="s">
        <v>47</v>
      </c>
      <c r="S1102" s="9" t="n">
        <v>1130101</v>
      </c>
      <c r="T1102" s="11" t="s">
        <v>48</v>
      </c>
      <c r="U1102" s="12" t="n">
        <v>1589.28</v>
      </c>
      <c r="W1102" s="12" t="n">
        <v>0</v>
      </c>
      <c r="X1102" s="11" t="s">
        <v>629</v>
      </c>
      <c r="Z1102" s="0" t="str">
        <f aca="false">IF($T1102="","",IFERROR(INDEX('Resumo Grupos'!$AC$3:$AC$200,MATCH($T1102,'Resumo Grupos'!$AB$3:$AB$200,0)),"n/d"))</f>
        <v>Mercadoria</v>
      </c>
      <c r="AA1102" s="0" t="str">
        <f aca="false">IF($T1102="","",IF(COUNTIF('Resumo Grupos'!$AE$3:$AE$40,$T1102)&gt;0,"NAO","SIM"))</f>
        <v>SIM</v>
      </c>
      <c r="AB1102" s="0" t="str">
        <f aca="false">IFERROR(INDEX('Mov Entradas (Rel 10497)'!$L:$L,MATCH(AC1102,'Mov Entradas (Rel 10497)'!$I:$I,0)),"nao encontrado")</f>
        <v>PEDIGREE SACHE FILHO</v>
      </c>
      <c r="AC1102" s="0" t="n">
        <v>20499</v>
      </c>
    </row>
    <row r="1103" customFormat="false" ht="12.75" hidden="false" customHeight="true" outlineLevel="0" collapsed="false">
      <c r="A1103" s="9" t="n">
        <v>2</v>
      </c>
      <c r="B1103" s="10" t="n">
        <v>46204</v>
      </c>
      <c r="C1103" s="10" t="n">
        <v>46231</v>
      </c>
      <c r="D1103" s="9" t="n">
        <v>1611</v>
      </c>
      <c r="E1103" s="11" t="s">
        <v>178</v>
      </c>
      <c r="F1103" s="9" t="n">
        <v>24</v>
      </c>
      <c r="G1103" s="11" t="s">
        <v>51</v>
      </c>
      <c r="H1103" s="9" t="n">
        <v>2110101</v>
      </c>
      <c r="I1103" s="11" t="s">
        <v>43</v>
      </c>
      <c r="J1103" s="9" t="n">
        <v>1333898</v>
      </c>
      <c r="L1103" s="9" t="n">
        <v>1777487</v>
      </c>
      <c r="M1103" s="11" t="s">
        <v>67</v>
      </c>
      <c r="N1103" s="11" t="s">
        <v>37</v>
      </c>
      <c r="P1103" s="9" t="n">
        <v>113</v>
      </c>
      <c r="Q1103" s="11" t="s">
        <v>46</v>
      </c>
      <c r="R1103" s="11" t="s">
        <v>47</v>
      </c>
      <c r="S1103" s="9" t="n">
        <v>1130101</v>
      </c>
      <c r="T1103" s="11" t="s">
        <v>48</v>
      </c>
      <c r="U1103" s="12" t="n">
        <v>542.11</v>
      </c>
      <c r="W1103" s="12" t="n">
        <v>0</v>
      </c>
      <c r="X1103" s="11" t="s">
        <v>891</v>
      </c>
      <c r="Z1103" s="0" t="str">
        <f aca="false">IF($T1103="","",IFERROR(INDEX('Resumo Grupos'!$AC$3:$AC$200,MATCH($T1103,'Resumo Grupos'!$AB$3:$AB$200,0)),"n/d"))</f>
        <v>Mercadoria</v>
      </c>
      <c r="AA1103" s="0" t="str">
        <f aca="false">IF($T1103="","",IF(COUNTIF('Resumo Grupos'!$AE$3:$AE$40,$T1103)&gt;0,"NAO","SIM"))</f>
        <v>SIM</v>
      </c>
      <c r="AB1103" s="0" t="str">
        <f aca="false">IFERROR(INDEX('Mov Entradas (Rel 10497)'!$L:$L,MATCH(AC1103,'Mov Entradas (Rel 10497)'!$I:$I,0)),"nao encontrado")</f>
        <v>FIGURINHAS COPA MUNDIAL PC 7UN</v>
      </c>
      <c r="AC1103" s="0" t="n">
        <v>1777487</v>
      </c>
    </row>
    <row r="1104" customFormat="false" ht="12.75" hidden="false" customHeight="true" outlineLevel="0" collapsed="false">
      <c r="A1104" s="9" t="n">
        <v>2</v>
      </c>
      <c r="B1104" s="10" t="n">
        <v>46219</v>
      </c>
      <c r="C1104" s="10" t="n">
        <v>46231</v>
      </c>
      <c r="D1104" s="9" t="n">
        <v>10009</v>
      </c>
      <c r="E1104" s="11" t="s">
        <v>464</v>
      </c>
      <c r="F1104" s="9" t="n">
        <v>24</v>
      </c>
      <c r="G1104" s="11" t="s">
        <v>51</v>
      </c>
      <c r="H1104" s="9" t="n">
        <v>2110405</v>
      </c>
      <c r="I1104" s="11" t="s">
        <v>56</v>
      </c>
      <c r="J1104" s="9" t="n">
        <v>1406030</v>
      </c>
      <c r="L1104" s="9" t="n">
        <v>189281</v>
      </c>
      <c r="M1104" s="11" t="s">
        <v>52</v>
      </c>
      <c r="N1104" s="11" t="s">
        <v>45</v>
      </c>
      <c r="P1104" s="9" t="n">
        <v>113</v>
      </c>
      <c r="Q1104" s="11" t="s">
        <v>46</v>
      </c>
      <c r="R1104" s="11" t="s">
        <v>47</v>
      </c>
      <c r="S1104" s="9" t="n">
        <v>1130101</v>
      </c>
      <c r="T1104" s="11" t="s">
        <v>48</v>
      </c>
      <c r="U1104" s="12" t="n">
        <v>691.61</v>
      </c>
      <c r="W1104" s="12" t="n">
        <v>0</v>
      </c>
      <c r="X1104" s="11" t="s">
        <v>974</v>
      </c>
      <c r="Z1104" s="0" t="str">
        <f aca="false">IF($T1104="","",IFERROR(INDEX('Resumo Grupos'!$AC$3:$AC$200,MATCH($T1104,'Resumo Grupos'!$AB$3:$AB$200,0)),"n/d"))</f>
        <v>Mercadoria</v>
      </c>
      <c r="AA1104" s="0" t="str">
        <f aca="false">IF($T1104="","",IF(COUNTIF('Resumo Grupos'!$AE$3:$AE$40,$T1104)&gt;0,"NAO","SIM"))</f>
        <v>SIM</v>
      </c>
      <c r="AB1104" s="0" t="str">
        <f aca="false">IFERROR(INDEX('Mov Entradas (Rel 10497)'!$L:$L,MATCH(AC1104,'Mov Entradas (Rel 10497)'!$I:$I,0)),"nao encontrado")</f>
        <v>BATON CHOCO AO LEITE</v>
      </c>
      <c r="AC1104" s="0" t="n">
        <v>1427668</v>
      </c>
    </row>
    <row r="1105" customFormat="false" ht="12.75" hidden="false" customHeight="true" outlineLevel="0" collapsed="false">
      <c r="A1105" s="9" t="n">
        <v>2</v>
      </c>
      <c r="B1105" s="10" t="n">
        <v>46231</v>
      </c>
      <c r="C1105" s="10" t="n">
        <v>46231</v>
      </c>
      <c r="D1105" s="9" t="n">
        <v>48</v>
      </c>
      <c r="E1105" s="11" t="s">
        <v>153</v>
      </c>
      <c r="F1105" s="9" t="n">
        <v>34</v>
      </c>
      <c r="G1105" s="11" t="s">
        <v>55</v>
      </c>
      <c r="H1105" s="9" t="n">
        <v>2110101</v>
      </c>
      <c r="I1105" s="11" t="s">
        <v>43</v>
      </c>
      <c r="J1105" s="9" t="n">
        <v>1465066</v>
      </c>
      <c r="L1105" s="9" t="n">
        <v>2568</v>
      </c>
      <c r="M1105" s="11" t="s">
        <v>52</v>
      </c>
      <c r="N1105" s="11" t="s">
        <v>37</v>
      </c>
      <c r="P1105" s="9" t="n">
        <v>113</v>
      </c>
      <c r="Q1105" s="11" t="s">
        <v>46</v>
      </c>
      <c r="R1105" s="11" t="s">
        <v>47</v>
      </c>
      <c r="S1105" s="9" t="n">
        <v>1130101</v>
      </c>
      <c r="T1105" s="11" t="s">
        <v>48</v>
      </c>
      <c r="U1105" s="12" t="n">
        <v>1389.41</v>
      </c>
      <c r="W1105" s="12" t="n">
        <v>0</v>
      </c>
      <c r="X1105" s="11" t="s">
        <v>252</v>
      </c>
      <c r="Z1105" s="0" t="str">
        <f aca="false">IF($T1105="","",IFERROR(INDEX('Resumo Grupos'!$AC$3:$AC$200,MATCH($T1105,'Resumo Grupos'!$AB$3:$AB$200,0)),"n/d"))</f>
        <v>Mercadoria</v>
      </c>
      <c r="AA1105" s="0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9" t="n">
        <v>2</v>
      </c>
      <c r="B1106" s="10" t="n">
        <v>46214</v>
      </c>
      <c r="C1106" s="10" t="n">
        <v>46231</v>
      </c>
      <c r="D1106" s="9" t="n">
        <v>666</v>
      </c>
      <c r="E1106" s="11" t="s">
        <v>417</v>
      </c>
      <c r="F1106" s="9" t="n">
        <v>24</v>
      </c>
      <c r="G1106" s="11" t="s">
        <v>51</v>
      </c>
      <c r="H1106" s="9" t="n">
        <v>2110101</v>
      </c>
      <c r="I1106" s="11" t="s">
        <v>43</v>
      </c>
      <c r="J1106" s="9" t="n">
        <v>1381906</v>
      </c>
      <c r="L1106" s="9" t="n">
        <v>7874</v>
      </c>
      <c r="M1106" s="11" t="s">
        <v>67</v>
      </c>
      <c r="N1106" s="11" t="s">
        <v>37</v>
      </c>
      <c r="P1106" s="9" t="n">
        <v>113</v>
      </c>
      <c r="Q1106" s="11" t="s">
        <v>46</v>
      </c>
      <c r="R1106" s="11" t="s">
        <v>47</v>
      </c>
      <c r="S1106" s="9" t="n">
        <v>1130101</v>
      </c>
      <c r="T1106" s="11" t="s">
        <v>48</v>
      </c>
      <c r="U1106" s="12" t="n">
        <v>378.88</v>
      </c>
      <c r="W1106" s="12" t="n">
        <v>0</v>
      </c>
      <c r="X1106" s="11" t="s">
        <v>894</v>
      </c>
      <c r="Z1106" s="0" t="str">
        <f aca="false">IF($T1106="","",IFERROR(INDEX('Resumo Grupos'!$AC$3:$AC$200,MATCH($T1106,'Resumo Grupos'!$AB$3:$AB$200,0)),"n/d"))</f>
        <v>Mercadoria</v>
      </c>
      <c r="AA1106" s="0" t="str">
        <f aca="false">IF($T1106="","",IF(COUNTIF('Resumo Grupos'!$AE$3:$AE$40,$T1106)&gt;0,"NAO","SIM"))</f>
        <v>SIM</v>
      </c>
      <c r="AB1106" s="0" t="str">
        <f aca="false">IFERROR(INDEX('Mov Entradas (Rel 10497)'!$L:$L,MATCH(AC1106,'Mov Entradas (Rel 10497)'!$I:$I,0)),"nao encontrado")</f>
        <v>RACAO SABOR CAT KG</v>
      </c>
      <c r="AC1106" s="0" t="n">
        <v>7874</v>
      </c>
    </row>
    <row r="1107" customFormat="false" ht="12.75" hidden="false" customHeight="true" outlineLevel="0" collapsed="false">
      <c r="A1107" s="9" t="n">
        <v>2</v>
      </c>
      <c r="B1107" s="10" t="n">
        <v>46219</v>
      </c>
      <c r="C1107" s="10" t="n">
        <v>46231</v>
      </c>
      <c r="D1107" s="9" t="n">
        <v>1749</v>
      </c>
      <c r="E1107" s="11" t="s">
        <v>585</v>
      </c>
      <c r="F1107" s="9" t="n">
        <v>24</v>
      </c>
      <c r="G1107" s="11" t="s">
        <v>51</v>
      </c>
      <c r="H1107" s="9" t="n">
        <v>2110405</v>
      </c>
      <c r="I1107" s="11" t="s">
        <v>56</v>
      </c>
      <c r="J1107" s="9" t="n">
        <v>1405849</v>
      </c>
      <c r="L1107" s="9" t="n">
        <v>189248</v>
      </c>
      <c r="M1107" s="11" t="s">
        <v>52</v>
      </c>
      <c r="N1107" s="11" t="s">
        <v>45</v>
      </c>
      <c r="P1107" s="9" t="n">
        <v>113</v>
      </c>
      <c r="Q1107" s="11" t="s">
        <v>46</v>
      </c>
      <c r="R1107" s="11" t="s">
        <v>47</v>
      </c>
      <c r="S1107" s="9" t="n">
        <v>1130101</v>
      </c>
      <c r="T1107" s="11" t="s">
        <v>48</v>
      </c>
      <c r="U1107" s="12" t="n">
        <v>1501.2</v>
      </c>
      <c r="W1107" s="12" t="n">
        <v>0</v>
      </c>
      <c r="X1107" s="11" t="s">
        <v>1063</v>
      </c>
      <c r="Z1107" s="0" t="str">
        <f aca="false">IF($T1107="","",IFERROR(INDEX('Resumo Grupos'!$AC$3:$AC$200,MATCH($T1107,'Resumo Grupos'!$AB$3:$AB$200,0)),"n/d"))</f>
        <v>Mercadoria</v>
      </c>
      <c r="AA1107" s="0" t="str">
        <f aca="false">IF($T1107="","",IF(COUNTIF('Resumo Grupos'!$AE$3:$AE$40,$T1107)&gt;0,"NAO","SIM"))</f>
        <v>SIM</v>
      </c>
      <c r="AB1107" s="0" t="str">
        <f aca="false">IFERROR(INDEX('Mov Entradas (Rel 10497)'!$L:$L,MATCH(AC1107,'Mov Entradas (Rel 10497)'!$I:$I,0)),"nao encontrado")</f>
        <v>SAB BARRA ECON 500G</v>
      </c>
      <c r="AC1107" s="0" t="n">
        <v>2624</v>
      </c>
    </row>
    <row r="1108" customFormat="false" ht="12.75" hidden="false" customHeight="true" outlineLevel="0" collapsed="false">
      <c r="A1108" s="9" t="n">
        <v>2</v>
      </c>
      <c r="B1108" s="10" t="n">
        <v>46228</v>
      </c>
      <c r="C1108" s="10" t="n">
        <v>46231</v>
      </c>
      <c r="D1108" s="9" t="n">
        <v>1899</v>
      </c>
      <c r="E1108" s="11" t="s">
        <v>204</v>
      </c>
      <c r="F1108" s="9" t="n">
        <v>24</v>
      </c>
      <c r="G1108" s="11" t="s">
        <v>51</v>
      </c>
      <c r="H1108" s="9" t="n">
        <v>2110405</v>
      </c>
      <c r="I1108" s="11" t="s">
        <v>56</v>
      </c>
      <c r="J1108" s="9" t="n">
        <v>1448470</v>
      </c>
      <c r="L1108" s="9" t="n">
        <v>196059</v>
      </c>
      <c r="M1108" s="11" t="s">
        <v>52</v>
      </c>
      <c r="N1108" s="11" t="s">
        <v>45</v>
      </c>
      <c r="P1108" s="9" t="n">
        <v>113</v>
      </c>
      <c r="Q1108" s="11" t="s">
        <v>46</v>
      </c>
      <c r="R1108" s="11" t="s">
        <v>47</v>
      </c>
      <c r="S1108" s="9" t="n">
        <v>1130101</v>
      </c>
      <c r="T1108" s="11" t="s">
        <v>48</v>
      </c>
      <c r="U1108" s="12" t="n">
        <v>239.7</v>
      </c>
      <c r="W1108" s="12" t="n">
        <v>0</v>
      </c>
      <c r="X1108" s="11" t="s">
        <v>1064</v>
      </c>
      <c r="Z1108" s="0" t="str">
        <f aca="false">IF($T1108="","",IFERROR(INDEX('Resumo Grupos'!$AC$3:$AC$200,MATCH($T1108,'Resumo Grupos'!$AB$3:$AB$200,0)),"n/d"))</f>
        <v>Mercadoria</v>
      </c>
      <c r="AA1108" s="0" t="str">
        <f aca="false">IF($T1108="","",IF(COUNTIF('Resumo Grupos'!$AE$3:$AE$40,$T1108)&gt;0,"NAO","SIM"))</f>
        <v>SIM</v>
      </c>
      <c r="AB1108" s="0" t="str">
        <f aca="false">IFERROR(INDEX('Mov Entradas (Rel 10497)'!$L:$L,MATCH(AC1108,'Mov Entradas (Rel 10497)'!$I:$I,0)),"nao encontrado")</f>
        <v>PAO DE FORMA REAL MA</v>
      </c>
      <c r="AC1108" s="0" t="n">
        <v>731</v>
      </c>
    </row>
    <row r="1109" customFormat="false" ht="12.75" hidden="false" customHeight="true" outlineLevel="0" collapsed="false">
      <c r="A1109" s="9" t="n">
        <v>2</v>
      </c>
      <c r="B1109" s="10" t="n">
        <v>46230</v>
      </c>
      <c r="C1109" s="10" t="n">
        <v>46231</v>
      </c>
      <c r="D1109" s="9" t="n">
        <v>218</v>
      </c>
      <c r="E1109" s="11" t="s">
        <v>819</v>
      </c>
      <c r="F1109" s="9" t="n">
        <v>34</v>
      </c>
      <c r="G1109" s="11" t="s">
        <v>55</v>
      </c>
      <c r="H1109" s="9" t="n">
        <v>2110405</v>
      </c>
      <c r="I1109" s="11" t="s">
        <v>56</v>
      </c>
      <c r="J1109" s="9" t="n">
        <v>1459571</v>
      </c>
      <c r="L1109" s="9" t="n">
        <v>197543</v>
      </c>
      <c r="M1109" s="11" t="s">
        <v>52</v>
      </c>
      <c r="N1109" s="11" t="s">
        <v>45</v>
      </c>
      <c r="P1109" s="9" t="n">
        <v>101</v>
      </c>
      <c r="Q1109" s="11" t="s">
        <v>57</v>
      </c>
      <c r="R1109" s="11" t="s">
        <v>71</v>
      </c>
      <c r="S1109" s="9" t="n">
        <v>4210301</v>
      </c>
      <c r="T1109" s="11" t="s">
        <v>220</v>
      </c>
      <c r="U1109" s="12" t="n">
        <v>261.72</v>
      </c>
      <c r="W1109" s="12" t="n">
        <v>0</v>
      </c>
      <c r="X1109" s="11" t="s">
        <v>1065</v>
      </c>
      <c r="Z1109" s="0" t="str">
        <f aca="false">IF($T1109="","",IFERROR(INDEX('Resumo Grupos'!$AC$3:$AC$200,MATCH($T1109,'Resumo Grupos'!$AB$3:$AB$200,0)),"n/d"))</f>
        <v>Salários</v>
      </c>
      <c r="AA1109" s="0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9" t="n">
        <v>2</v>
      </c>
      <c r="B1110" s="10" t="n">
        <v>46230</v>
      </c>
      <c r="C1110" s="10" t="n">
        <v>46231</v>
      </c>
      <c r="D1110" s="9" t="n">
        <v>218</v>
      </c>
      <c r="E1110" s="11" t="s">
        <v>819</v>
      </c>
      <c r="F1110" s="9" t="n">
        <v>34</v>
      </c>
      <c r="G1110" s="11" t="s">
        <v>55</v>
      </c>
      <c r="H1110" s="9" t="n">
        <v>2110405</v>
      </c>
      <c r="I1110" s="11" t="s">
        <v>56</v>
      </c>
      <c r="J1110" s="9" t="n">
        <v>1459578</v>
      </c>
      <c r="L1110" s="9" t="n">
        <v>197545</v>
      </c>
      <c r="M1110" s="11" t="s">
        <v>52</v>
      </c>
      <c r="N1110" s="11" t="s">
        <v>45</v>
      </c>
      <c r="P1110" s="9" t="n">
        <v>101</v>
      </c>
      <c r="Q1110" s="11" t="s">
        <v>57</v>
      </c>
      <c r="R1110" s="11" t="s">
        <v>71</v>
      </c>
      <c r="S1110" s="9" t="n">
        <v>4210301</v>
      </c>
      <c r="T1110" s="11" t="s">
        <v>220</v>
      </c>
      <c r="U1110" s="12" t="n">
        <v>267.87</v>
      </c>
      <c r="W1110" s="12" t="n">
        <v>0</v>
      </c>
      <c r="X1110" s="11" t="s">
        <v>1066</v>
      </c>
      <c r="Z1110" s="0" t="str">
        <f aca="false">IF($T1110="","",IFERROR(INDEX('Resumo Grupos'!$AC$3:$AC$200,MATCH($T1110,'Resumo Grupos'!$AB$3:$AB$200,0)),"n/d"))</f>
        <v>Salários</v>
      </c>
      <c r="AA1110" s="0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9" t="n">
        <v>2</v>
      </c>
      <c r="B1111" s="10" t="n">
        <v>46231</v>
      </c>
      <c r="C1111" s="10" t="n">
        <v>46231</v>
      </c>
      <c r="D1111" s="9" t="n">
        <v>0</v>
      </c>
      <c r="E1111" s="11" t="s">
        <v>109</v>
      </c>
      <c r="F1111" s="9" t="n">
        <v>17</v>
      </c>
      <c r="G1111" s="11" t="s">
        <v>110</v>
      </c>
      <c r="H1111" s="9" t="n">
        <v>1110101</v>
      </c>
      <c r="I1111" s="11" t="s">
        <v>111</v>
      </c>
      <c r="J1111" s="9" t="n">
        <v>1468710</v>
      </c>
      <c r="L1111" s="9" t="n">
        <v>1468710</v>
      </c>
      <c r="M1111" s="11" t="s">
        <v>52</v>
      </c>
      <c r="N1111" s="11" t="s">
        <v>112</v>
      </c>
      <c r="P1111" s="9" t="n">
        <v>113</v>
      </c>
      <c r="Q1111" s="11" t="s">
        <v>46</v>
      </c>
      <c r="R1111" s="11" t="s">
        <v>39</v>
      </c>
      <c r="S1111" s="9" t="n">
        <v>4210227</v>
      </c>
      <c r="T1111" s="11" t="s">
        <v>68</v>
      </c>
      <c r="U1111" s="12" t="n">
        <v>48.32</v>
      </c>
      <c r="W1111" s="12" t="n">
        <v>48.32</v>
      </c>
      <c r="X1111" s="11" t="s">
        <v>1067</v>
      </c>
      <c r="Z1111" s="0" t="str">
        <f aca="false">IF($T1111="","",IFERROR(INDEX('Resumo Grupos'!$AC$3:$AC$200,MATCH($T1111,'Resumo Grupos'!$AB$3:$AB$200,0)),"n/d"))</f>
        <v>Despesa</v>
      </c>
      <c r="AA1111" s="0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9" t="n">
        <v>2</v>
      </c>
      <c r="B1112" s="10" t="n">
        <v>46231</v>
      </c>
      <c r="C1112" s="10" t="n">
        <v>46231</v>
      </c>
      <c r="D1112" s="9" t="n">
        <v>0</v>
      </c>
      <c r="E1112" s="11" t="s">
        <v>109</v>
      </c>
      <c r="F1112" s="9" t="n">
        <v>17</v>
      </c>
      <c r="G1112" s="11" t="s">
        <v>110</v>
      </c>
      <c r="H1112" s="9" t="n">
        <v>1110101</v>
      </c>
      <c r="I1112" s="11" t="s">
        <v>111</v>
      </c>
      <c r="J1112" s="9" t="n">
        <v>1468712</v>
      </c>
      <c r="L1112" s="9" t="n">
        <v>1468712</v>
      </c>
      <c r="M1112" s="11" t="s">
        <v>52</v>
      </c>
      <c r="N1112" s="11" t="s">
        <v>112</v>
      </c>
      <c r="P1112" s="9" t="n">
        <v>113</v>
      </c>
      <c r="Q1112" s="11" t="s">
        <v>46</v>
      </c>
      <c r="R1112" s="11" t="s">
        <v>71</v>
      </c>
      <c r="S1112" s="9" t="n">
        <v>4210314</v>
      </c>
      <c r="T1112" s="11" t="s">
        <v>113</v>
      </c>
      <c r="U1112" s="12" t="n">
        <v>50</v>
      </c>
      <c r="W1112" s="12" t="n">
        <v>50</v>
      </c>
      <c r="X1112" s="11" t="s">
        <v>368</v>
      </c>
      <c r="Z1112" s="0" t="str">
        <f aca="false">IF($T1112="","",IFERROR(INDEX('Resumo Grupos'!$AC$3:$AC$200,MATCH($T1112,'Resumo Grupos'!$AB$3:$AB$200,0)),"n/d"))</f>
        <v>Despesa</v>
      </c>
      <c r="AA1112" s="0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9" t="n">
        <v>2</v>
      </c>
      <c r="B1113" s="10" t="n">
        <v>46231</v>
      </c>
      <c r="C1113" s="10" t="n">
        <v>46231</v>
      </c>
      <c r="D1113" s="9" t="n">
        <v>0</v>
      </c>
      <c r="E1113" s="11" t="s">
        <v>109</v>
      </c>
      <c r="F1113" s="9" t="n">
        <v>17</v>
      </c>
      <c r="G1113" s="11" t="s">
        <v>110</v>
      </c>
      <c r="H1113" s="9" t="n">
        <v>1110101</v>
      </c>
      <c r="I1113" s="11" t="s">
        <v>111</v>
      </c>
      <c r="J1113" s="9" t="n">
        <v>1468721</v>
      </c>
      <c r="L1113" s="9" t="n">
        <v>1468721</v>
      </c>
      <c r="M1113" s="11" t="s">
        <v>52</v>
      </c>
      <c r="N1113" s="11" t="s">
        <v>112</v>
      </c>
      <c r="P1113" s="9" t="n">
        <v>113</v>
      </c>
      <c r="Q1113" s="11" t="s">
        <v>46</v>
      </c>
      <c r="R1113" s="11" t="s">
        <v>39</v>
      </c>
      <c r="S1113" s="9" t="n">
        <v>4210227</v>
      </c>
      <c r="T1113" s="11" t="s">
        <v>68</v>
      </c>
      <c r="U1113" s="12" t="n">
        <v>108.34</v>
      </c>
      <c r="W1113" s="12" t="n">
        <v>108.34</v>
      </c>
      <c r="X1113" s="11" t="s">
        <v>1068</v>
      </c>
      <c r="Z1113" s="0" t="str">
        <f aca="false">IF($T1113="","",IFERROR(INDEX('Resumo Grupos'!$AC$3:$AC$200,MATCH($T1113,'Resumo Grupos'!$AB$3:$AB$200,0)),"n/d"))</f>
        <v>Despesa</v>
      </c>
      <c r="AA1113" s="0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9" t="n">
        <v>2</v>
      </c>
      <c r="B1114" s="10" t="n">
        <v>46231</v>
      </c>
      <c r="C1114" s="10" t="n">
        <v>46231</v>
      </c>
      <c r="D1114" s="9" t="n">
        <v>0</v>
      </c>
      <c r="E1114" s="11" t="s">
        <v>109</v>
      </c>
      <c r="F1114" s="9" t="n">
        <v>17</v>
      </c>
      <c r="G1114" s="11" t="s">
        <v>110</v>
      </c>
      <c r="H1114" s="9" t="n">
        <v>1110101</v>
      </c>
      <c r="I1114" s="11" t="s">
        <v>111</v>
      </c>
      <c r="J1114" s="9" t="n">
        <v>1468722</v>
      </c>
      <c r="L1114" s="9" t="n">
        <v>1468722</v>
      </c>
      <c r="M1114" s="11" t="s">
        <v>52</v>
      </c>
      <c r="N1114" s="11" t="s">
        <v>112</v>
      </c>
      <c r="P1114" s="9" t="n">
        <v>113</v>
      </c>
      <c r="Q1114" s="11" t="s">
        <v>46</v>
      </c>
      <c r="R1114" s="11" t="s">
        <v>71</v>
      </c>
      <c r="S1114" s="9" t="n">
        <v>4210314</v>
      </c>
      <c r="T1114" s="11" t="s">
        <v>113</v>
      </c>
      <c r="U1114" s="12" t="n">
        <v>70</v>
      </c>
      <c r="W1114" s="12" t="n">
        <v>70</v>
      </c>
      <c r="X1114" s="11" t="s">
        <v>115</v>
      </c>
      <c r="Z1114" s="0" t="str">
        <f aca="false">IF($T1114="","",IFERROR(INDEX('Resumo Grupos'!$AC$3:$AC$200,MATCH($T1114,'Resumo Grupos'!$AB$3:$AB$200,0)),"n/d"))</f>
        <v>Despesa</v>
      </c>
      <c r="AA1114" s="0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9" t="n">
        <v>2</v>
      </c>
      <c r="B1115" s="10" t="n">
        <v>46231</v>
      </c>
      <c r="C1115" s="10" t="n">
        <v>46231</v>
      </c>
      <c r="D1115" s="9" t="n">
        <v>0</v>
      </c>
      <c r="E1115" s="11" t="s">
        <v>109</v>
      </c>
      <c r="F1115" s="9" t="n">
        <v>17</v>
      </c>
      <c r="G1115" s="11" t="s">
        <v>110</v>
      </c>
      <c r="H1115" s="9" t="n">
        <v>1110101</v>
      </c>
      <c r="I1115" s="11" t="s">
        <v>111</v>
      </c>
      <c r="J1115" s="9" t="n">
        <v>1468731</v>
      </c>
      <c r="L1115" s="9" t="n">
        <v>1468731</v>
      </c>
      <c r="M1115" s="11" t="s">
        <v>52</v>
      </c>
      <c r="N1115" s="11" t="s">
        <v>112</v>
      </c>
      <c r="P1115" s="9" t="n">
        <v>113</v>
      </c>
      <c r="Q1115" s="11" t="s">
        <v>46</v>
      </c>
      <c r="R1115" s="11" t="s">
        <v>47</v>
      </c>
      <c r="S1115" s="9" t="n">
        <v>1130101</v>
      </c>
      <c r="T1115" s="11" t="s">
        <v>48</v>
      </c>
      <c r="U1115" s="12" t="n">
        <v>120</v>
      </c>
      <c r="W1115" s="12" t="n">
        <v>120</v>
      </c>
      <c r="X1115" s="11" t="s">
        <v>1069</v>
      </c>
      <c r="Z1115" s="0" t="str">
        <f aca="false">IF($T1115="","",IFERROR(INDEX('Resumo Grupos'!$AC$3:$AC$200,MATCH($T1115,'Resumo Grupos'!$AB$3:$AB$200,0)),"n/d"))</f>
        <v>Mercadoria</v>
      </c>
      <c r="AA1115" s="0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9" t="n">
        <v>2</v>
      </c>
      <c r="B1116" s="10" t="n">
        <v>46231</v>
      </c>
      <c r="C1116" s="10" t="n">
        <v>46231</v>
      </c>
      <c r="D1116" s="9" t="n">
        <v>0</v>
      </c>
      <c r="E1116" s="11" t="s">
        <v>109</v>
      </c>
      <c r="F1116" s="9" t="n">
        <v>17</v>
      </c>
      <c r="G1116" s="11" t="s">
        <v>110</v>
      </c>
      <c r="H1116" s="9" t="n">
        <v>1110101</v>
      </c>
      <c r="I1116" s="11" t="s">
        <v>111</v>
      </c>
      <c r="J1116" s="9" t="n">
        <v>1716267</v>
      </c>
      <c r="L1116" s="9" t="n">
        <v>1716267</v>
      </c>
      <c r="M1116" s="11" t="s">
        <v>52</v>
      </c>
      <c r="N1116" s="11" t="s">
        <v>112</v>
      </c>
      <c r="P1116" s="9" t="n">
        <v>113</v>
      </c>
      <c r="Q1116" s="11" t="s">
        <v>46</v>
      </c>
      <c r="R1116" s="11" t="s">
        <v>116</v>
      </c>
      <c r="S1116" s="9" t="n">
        <v>1110203</v>
      </c>
      <c r="T1116" s="11" t="s">
        <v>117</v>
      </c>
      <c r="U1116" s="12" t="n">
        <v>1450</v>
      </c>
      <c r="W1116" s="12" t="n">
        <v>1450</v>
      </c>
      <c r="X1116" s="11" t="s">
        <v>1070</v>
      </c>
      <c r="Z1116" s="0" t="str">
        <f aca="false">IF($T1116="","",IFERROR(INDEX('Resumo Grupos'!$AC$3:$AC$200,MATCH($T1116,'Resumo Grupos'!$AB$3:$AB$200,0)),"n/d"))</f>
        <v>Despesa</v>
      </c>
      <c r="AA1116" s="0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9" t="n">
        <v>2</v>
      </c>
      <c r="B1117" s="10" t="n">
        <v>46220</v>
      </c>
      <c r="C1117" s="10" t="n">
        <v>46231</v>
      </c>
      <c r="D1117" s="9" t="n">
        <v>1676</v>
      </c>
      <c r="E1117" s="11" t="s">
        <v>729</v>
      </c>
      <c r="F1117" s="9" t="n">
        <v>24</v>
      </c>
      <c r="G1117" s="11" t="s">
        <v>51</v>
      </c>
      <c r="H1117" s="9" t="n">
        <v>2110405</v>
      </c>
      <c r="I1117" s="11" t="s">
        <v>56</v>
      </c>
      <c r="J1117" s="9" t="n">
        <v>1410574</v>
      </c>
      <c r="L1117" s="9" t="n">
        <v>190080</v>
      </c>
      <c r="M1117" s="11" t="s">
        <v>52</v>
      </c>
      <c r="N1117" s="11" t="s">
        <v>45</v>
      </c>
      <c r="P1117" s="9" t="n">
        <v>113</v>
      </c>
      <c r="Q1117" s="11" t="s">
        <v>46</v>
      </c>
      <c r="R1117" s="11" t="s">
        <v>47</v>
      </c>
      <c r="S1117" s="9" t="n">
        <v>1130101</v>
      </c>
      <c r="T1117" s="11" t="s">
        <v>48</v>
      </c>
      <c r="U1117" s="12" t="n">
        <v>505.57</v>
      </c>
      <c r="W1117" s="12" t="n">
        <v>0</v>
      </c>
      <c r="X1117" s="11" t="s">
        <v>1071</v>
      </c>
      <c r="Z1117" s="0" t="str">
        <f aca="false">IF($T1117="","",IFERROR(INDEX('Resumo Grupos'!$AC$3:$AC$200,MATCH($T1117,'Resumo Grupos'!$AB$3:$AB$200,0)),"n/d"))</f>
        <v>Mercadoria</v>
      </c>
      <c r="AA1117" s="0" t="str">
        <f aca="false">IF($T1117="","",IF(COUNTIF('Resumo Grupos'!$AE$3:$AE$40,$T1117)&gt;0,"NAO","SIM"))</f>
        <v>SIM</v>
      </c>
      <c r="AB1117" s="0" t="str">
        <f aca="false">IFERROR(INDEX('Mov Entradas (Rel 10497)'!$L:$L,MATCH(AC1117,'Mov Entradas (Rel 10497)'!$I:$I,0)),"nao encontrado")</f>
        <v>QUEIJO RAL SANTIN50G</v>
      </c>
      <c r="AC1117" s="0" t="n">
        <v>10807</v>
      </c>
    </row>
    <row r="1118" customFormat="false" ht="12.75" hidden="false" customHeight="true" outlineLevel="0" collapsed="false">
      <c r="A1118" s="9" t="n">
        <v>2</v>
      </c>
      <c r="B1118" s="10" t="n">
        <v>46217</v>
      </c>
      <c r="C1118" s="10" t="n">
        <v>46231</v>
      </c>
      <c r="D1118" s="9" t="n">
        <v>571</v>
      </c>
      <c r="E1118" s="11" t="s">
        <v>1072</v>
      </c>
      <c r="F1118" s="9" t="n">
        <v>24</v>
      </c>
      <c r="G1118" s="11" t="s">
        <v>51</v>
      </c>
      <c r="H1118" s="9" t="n">
        <v>2110405</v>
      </c>
      <c r="I1118" s="11" t="s">
        <v>56</v>
      </c>
      <c r="J1118" s="9" t="n">
        <v>1398431</v>
      </c>
      <c r="L1118" s="9" t="n">
        <v>188123</v>
      </c>
      <c r="M1118" s="11" t="s">
        <v>52</v>
      </c>
      <c r="N1118" s="11" t="s">
        <v>45</v>
      </c>
      <c r="P1118" s="9" t="n">
        <v>113</v>
      </c>
      <c r="Q1118" s="11" t="s">
        <v>46</v>
      </c>
      <c r="R1118" s="11" t="s">
        <v>47</v>
      </c>
      <c r="S1118" s="9" t="n">
        <v>1130101</v>
      </c>
      <c r="T1118" s="11" t="s">
        <v>48</v>
      </c>
      <c r="U1118" s="12" t="n">
        <v>406.11</v>
      </c>
      <c r="W1118" s="12" t="n">
        <v>0</v>
      </c>
      <c r="X1118" s="11" t="s">
        <v>1073</v>
      </c>
      <c r="Z1118" s="0" t="str">
        <f aca="false">IF($T1118="","",IFERROR(INDEX('Resumo Grupos'!$AC$3:$AC$200,MATCH($T1118,'Resumo Grupos'!$AB$3:$AB$200,0)),"n/d"))</f>
        <v>Mercadoria</v>
      </c>
      <c r="AA1118" s="0" t="str">
        <f aca="false">IF($T1118="","",IF(COUNTIF('Resumo Grupos'!$AE$3:$AE$40,$T1118)&gt;0,"NAO","SIM"))</f>
        <v>SIM</v>
      </c>
      <c r="AB1118" s="0" t="str">
        <f aca="false">IFERROR(INDEX('Mov Entradas (Rel 10497)'!$L:$L,MATCH(AC1118,'Mov Entradas (Rel 10497)'!$I:$I,0)),"nao encontrado")</f>
        <v>SAB INT CIA DA 210ML</v>
      </c>
      <c r="AC1118" s="0" t="n">
        <v>30429</v>
      </c>
    </row>
    <row r="1119" customFormat="false" ht="12.75" hidden="false" customHeight="true" outlineLevel="0" collapsed="false">
      <c r="A1119" s="9" t="n">
        <v>2</v>
      </c>
      <c r="B1119" s="10" t="n">
        <v>46211</v>
      </c>
      <c r="C1119" s="10" t="n">
        <v>46232</v>
      </c>
      <c r="D1119" s="9" t="n">
        <v>1921</v>
      </c>
      <c r="E1119" s="11" t="s">
        <v>167</v>
      </c>
      <c r="F1119" s="9" t="n">
        <v>24</v>
      </c>
      <c r="G1119" s="11" t="s">
        <v>51</v>
      </c>
      <c r="H1119" s="9" t="n">
        <v>2110101</v>
      </c>
      <c r="I1119" s="11" t="s">
        <v>43</v>
      </c>
      <c r="J1119" s="9" t="n">
        <v>1370224</v>
      </c>
      <c r="L1119" s="9" t="n">
        <v>21032</v>
      </c>
      <c r="M1119" s="11" t="s">
        <v>52</v>
      </c>
      <c r="N1119" s="11" t="s">
        <v>37</v>
      </c>
      <c r="P1119" s="9" t="n">
        <v>113</v>
      </c>
      <c r="Q1119" s="11" t="s">
        <v>46</v>
      </c>
      <c r="R1119" s="11" t="s">
        <v>47</v>
      </c>
      <c r="S1119" s="9" t="n">
        <v>1130101</v>
      </c>
      <c r="T1119" s="11" t="s">
        <v>48</v>
      </c>
      <c r="U1119" s="12" t="n">
        <v>1213.69</v>
      </c>
      <c r="W1119" s="12" t="n">
        <v>0</v>
      </c>
      <c r="X1119" s="11" t="s">
        <v>1074</v>
      </c>
      <c r="Z1119" s="0" t="str">
        <f aca="false">IF($T1119="","",IFERROR(INDEX('Resumo Grupos'!$AC$3:$AC$200,MATCH($T1119,'Resumo Grupos'!$AB$3:$AB$200,0)),"n/d"))</f>
        <v>Mercadoria</v>
      </c>
      <c r="AA1119" s="0" t="str">
        <f aca="false">IF($T1119="","",IF(COUNTIF('Resumo Grupos'!$AE$3:$AE$40,$T1119)&gt;0,"NAO","SIM"))</f>
        <v>SIM</v>
      </c>
      <c r="AB1119" s="0" t="str">
        <f aca="false">IFERROR(INDEX('Mov Entradas (Rel 10497)'!$L:$L,MATCH(AC1119,'Mov Entradas (Rel 10497)'!$I:$I,0)),"nao encontrado")</f>
        <v>MILHO PIPOCA 400G RAIZ</v>
      </c>
      <c r="AC1119" s="0" t="n">
        <v>21032</v>
      </c>
    </row>
    <row r="1120" customFormat="false" ht="12.75" hidden="false" customHeight="true" outlineLevel="0" collapsed="false">
      <c r="A1120" s="9" t="n">
        <v>2</v>
      </c>
      <c r="B1120" s="10" t="n">
        <v>46213</v>
      </c>
      <c r="C1120" s="10" t="n">
        <v>46232</v>
      </c>
      <c r="D1120" s="9" t="n">
        <v>1613</v>
      </c>
      <c r="E1120" s="11" t="s">
        <v>50</v>
      </c>
      <c r="F1120" s="9" t="n">
        <v>24</v>
      </c>
      <c r="G1120" s="11" t="s">
        <v>51</v>
      </c>
      <c r="H1120" s="9" t="n">
        <v>2110101</v>
      </c>
      <c r="I1120" s="11" t="s">
        <v>43</v>
      </c>
      <c r="J1120" s="9" t="n">
        <v>1376659</v>
      </c>
      <c r="L1120" s="9" t="n">
        <v>1605936</v>
      </c>
      <c r="M1120" s="11" t="s">
        <v>44</v>
      </c>
      <c r="N1120" s="11" t="s">
        <v>37</v>
      </c>
      <c r="P1120" s="9" t="n">
        <v>113</v>
      </c>
      <c r="Q1120" s="11" t="s">
        <v>46</v>
      </c>
      <c r="R1120" s="11" t="s">
        <v>47</v>
      </c>
      <c r="S1120" s="9" t="n">
        <v>1130101</v>
      </c>
      <c r="T1120" s="11" t="s">
        <v>48</v>
      </c>
      <c r="U1120" s="12" t="n">
        <v>1025.06</v>
      </c>
      <c r="W1120" s="12" t="n">
        <v>0</v>
      </c>
      <c r="X1120" s="11" t="s">
        <v>980</v>
      </c>
      <c r="Z1120" s="0" t="str">
        <f aca="false">IF($T1120="","",IFERROR(INDEX('Resumo Grupos'!$AC$3:$AC$200,MATCH($T1120,'Resumo Grupos'!$AB$3:$AB$200,0)),"n/d"))</f>
        <v>Mercadoria</v>
      </c>
      <c r="AA1120" s="0" t="str">
        <f aca="false">IF($T1120="","",IF(COUNTIF('Resumo Grupos'!$AE$3:$AE$40,$T1120)&gt;0,"NAO","SIM"))</f>
        <v>SIM</v>
      </c>
      <c r="AB1120" s="0" t="str">
        <f aca="false">IFERROR(INDEX('Mov Entradas (Rel 10497)'!$L:$L,MATCH(AC1120,'Mov Entradas (Rel 10497)'!$I:$I,0)),"nao encontrado")</f>
        <v>CARRE SUINO KG</v>
      </c>
      <c r="AC1120" s="0" t="n">
        <v>1605936</v>
      </c>
    </row>
    <row r="1121" customFormat="false" ht="12.75" hidden="false" customHeight="true" outlineLevel="0" collapsed="false">
      <c r="A1121" s="9" t="n">
        <v>2</v>
      </c>
      <c r="B1121" s="10" t="n">
        <v>46220</v>
      </c>
      <c r="C1121" s="10" t="n">
        <v>46232</v>
      </c>
      <c r="D1121" s="9" t="n">
        <v>1613</v>
      </c>
      <c r="E1121" s="11" t="s">
        <v>50</v>
      </c>
      <c r="F1121" s="9" t="n">
        <v>24</v>
      </c>
      <c r="G1121" s="11" t="s">
        <v>51</v>
      </c>
      <c r="H1121" s="9" t="n">
        <v>2110405</v>
      </c>
      <c r="I1121" s="11" t="s">
        <v>56</v>
      </c>
      <c r="J1121" s="9" t="n">
        <v>1410728</v>
      </c>
      <c r="L1121" s="9" t="n">
        <v>190119</v>
      </c>
      <c r="M1121" s="11" t="s">
        <v>52</v>
      </c>
      <c r="N1121" s="11" t="s">
        <v>45</v>
      </c>
      <c r="P1121" s="9" t="n">
        <v>113</v>
      </c>
      <c r="Q1121" s="11" t="s">
        <v>46</v>
      </c>
      <c r="R1121" s="11" t="s">
        <v>47</v>
      </c>
      <c r="S1121" s="9" t="n">
        <v>1130101</v>
      </c>
      <c r="T1121" s="11" t="s">
        <v>48</v>
      </c>
      <c r="U1121" s="12" t="n">
        <v>512.49</v>
      </c>
      <c r="W1121" s="12" t="n">
        <v>0</v>
      </c>
      <c r="X1121" s="11" t="s">
        <v>1075</v>
      </c>
      <c r="Z1121" s="0" t="str">
        <f aca="false">IF($T1121="","",IFERROR(INDEX('Resumo Grupos'!$AC$3:$AC$200,MATCH($T1121,'Resumo Grupos'!$AB$3:$AB$200,0)),"n/d"))</f>
        <v>Mercadoria</v>
      </c>
      <c r="AA1121" s="0" t="str">
        <f aca="false">IF($T1121="","",IF(COUNTIF('Resumo Grupos'!$AE$3:$AE$40,$T1121)&gt;0,"NAO","SIM"))</f>
        <v>SIM</v>
      </c>
      <c r="AB1121" s="0" t="str">
        <f aca="false">IFERROR(INDEX('Mov Entradas (Rel 10497)'!$L:$L,MATCH(AC1121,'Mov Entradas (Rel 10497)'!$I:$I,0)),"nao encontrado")</f>
        <v>COXINHA DA ASA SADIA</v>
      </c>
      <c r="AC1121" s="0" t="n">
        <v>1608670</v>
      </c>
    </row>
    <row r="1122" customFormat="false" ht="12.75" hidden="false" customHeight="true" outlineLevel="0" collapsed="false">
      <c r="A1122" s="9" t="n">
        <v>2</v>
      </c>
      <c r="B1122" s="10" t="n">
        <v>46218</v>
      </c>
      <c r="C1122" s="10" t="n">
        <v>46232</v>
      </c>
      <c r="D1122" s="9" t="n">
        <v>1608</v>
      </c>
      <c r="E1122" s="11" t="s">
        <v>240</v>
      </c>
      <c r="F1122" s="9" t="n">
        <v>24</v>
      </c>
      <c r="G1122" s="11" t="s">
        <v>51</v>
      </c>
      <c r="H1122" s="9" t="n">
        <v>2110405</v>
      </c>
      <c r="I1122" s="11" t="s">
        <v>56</v>
      </c>
      <c r="J1122" s="9" t="n">
        <v>1401874</v>
      </c>
      <c r="L1122" s="9" t="n">
        <v>188604</v>
      </c>
      <c r="M1122" s="11" t="s">
        <v>52</v>
      </c>
      <c r="N1122" s="11" t="s">
        <v>45</v>
      </c>
      <c r="P1122" s="9" t="n">
        <v>113</v>
      </c>
      <c r="Q1122" s="11" t="s">
        <v>46</v>
      </c>
      <c r="R1122" s="11" t="s">
        <v>47</v>
      </c>
      <c r="S1122" s="9" t="n">
        <v>1130101</v>
      </c>
      <c r="T1122" s="11" t="s">
        <v>48</v>
      </c>
      <c r="U1122" s="12" t="n">
        <v>1207.29</v>
      </c>
      <c r="W1122" s="12" t="n">
        <v>0</v>
      </c>
      <c r="X1122" s="11" t="s">
        <v>1076</v>
      </c>
      <c r="Z1122" s="0" t="str">
        <f aca="false">IF($T1122="","",IFERROR(INDEX('Resumo Grupos'!$AC$3:$AC$200,MATCH($T1122,'Resumo Grupos'!$AB$3:$AB$200,0)),"n/d"))</f>
        <v>Mercadoria</v>
      </c>
      <c r="AA1122" s="0" t="str">
        <f aca="false">IF($T1122="","",IF(COUNTIF('Resumo Grupos'!$AE$3:$AE$40,$T1122)&gt;0,"NAO","SIM"))</f>
        <v>SIM</v>
      </c>
      <c r="AB1122" s="0" t="str">
        <f aca="false">IFERROR(INDEX('Mov Entradas (Rel 10497)'!$L:$L,MATCH(AC1122,'Mov Entradas (Rel 10497)'!$I:$I,0)),"nao encontrado")</f>
        <v>ACHOC TODDY 200G</v>
      </c>
      <c r="AC1122" s="0" t="n">
        <v>1692730</v>
      </c>
    </row>
    <row r="1123" customFormat="false" ht="12.75" hidden="false" customHeight="true" outlineLevel="0" collapsed="false">
      <c r="A1123" s="9" t="n">
        <v>2</v>
      </c>
      <c r="B1123" s="10" t="n">
        <v>46219</v>
      </c>
      <c r="C1123" s="10" t="n">
        <v>46232</v>
      </c>
      <c r="D1123" s="9" t="n">
        <v>1616</v>
      </c>
      <c r="E1123" s="11" t="s">
        <v>64</v>
      </c>
      <c r="F1123" s="9" t="n">
        <v>24</v>
      </c>
      <c r="G1123" s="11" t="s">
        <v>51</v>
      </c>
      <c r="H1123" s="9" t="n">
        <v>2110405</v>
      </c>
      <c r="I1123" s="11" t="s">
        <v>56</v>
      </c>
      <c r="J1123" s="9" t="n">
        <v>1406244</v>
      </c>
      <c r="L1123" s="9" t="n">
        <v>189330</v>
      </c>
      <c r="M1123" s="11" t="s">
        <v>52</v>
      </c>
      <c r="N1123" s="11" t="s">
        <v>45</v>
      </c>
      <c r="P1123" s="9" t="n">
        <v>113</v>
      </c>
      <c r="Q1123" s="11" t="s">
        <v>46</v>
      </c>
      <c r="R1123" s="11" t="s">
        <v>47</v>
      </c>
      <c r="S1123" s="9" t="n">
        <v>1130101</v>
      </c>
      <c r="T1123" s="11" t="s">
        <v>48</v>
      </c>
      <c r="U1123" s="12" t="n">
        <v>607.57</v>
      </c>
      <c r="W1123" s="12" t="n">
        <v>0</v>
      </c>
      <c r="X1123" s="11" t="s">
        <v>1077</v>
      </c>
      <c r="Z1123" s="0" t="str">
        <f aca="false">IF($T1123="","",IFERROR(INDEX('Resumo Grupos'!$AC$3:$AC$200,MATCH($T1123,'Resumo Grupos'!$AB$3:$AB$200,0)),"n/d"))</f>
        <v>Mercadoria</v>
      </c>
      <c r="AA1123" s="0" t="str">
        <f aca="false">IF($T1123="","",IF(COUNTIF('Resumo Grupos'!$AE$3:$AE$40,$T1123)&gt;0,"NAO","SIM"))</f>
        <v>SIM</v>
      </c>
      <c r="AB1123" s="0" t="str">
        <f aca="false">IFERROR(INDEX('Mov Entradas (Rel 10497)'!$L:$L,MATCH(AC1123,'Mov Entradas (Rel 10497)'!$I:$I,0)),"nao encontrado")</f>
        <v>BARRA DE CEREAIS NUT</v>
      </c>
      <c r="AC1123" s="0" t="n">
        <v>650221</v>
      </c>
    </row>
    <row r="1124" customFormat="false" ht="12.75" hidden="false" customHeight="true" outlineLevel="0" collapsed="false">
      <c r="A1124" s="9" t="n">
        <v>2</v>
      </c>
      <c r="B1124" s="10" t="n">
        <v>46219</v>
      </c>
      <c r="C1124" s="10" t="n">
        <v>46232</v>
      </c>
      <c r="D1124" s="9" t="n">
        <v>1667</v>
      </c>
      <c r="E1124" s="11" t="s">
        <v>77</v>
      </c>
      <c r="F1124" s="9" t="n">
        <v>24</v>
      </c>
      <c r="G1124" s="11" t="s">
        <v>51</v>
      </c>
      <c r="H1124" s="9" t="n">
        <v>2110405</v>
      </c>
      <c r="I1124" s="11" t="s">
        <v>56</v>
      </c>
      <c r="J1124" s="9" t="n">
        <v>1405836</v>
      </c>
      <c r="L1124" s="9" t="n">
        <v>189244</v>
      </c>
      <c r="M1124" s="11" t="s">
        <v>52</v>
      </c>
      <c r="N1124" s="11" t="s">
        <v>45</v>
      </c>
      <c r="P1124" s="9" t="n">
        <v>113</v>
      </c>
      <c r="Q1124" s="11" t="s">
        <v>46</v>
      </c>
      <c r="R1124" s="11" t="s">
        <v>47</v>
      </c>
      <c r="S1124" s="9" t="n">
        <v>1130101</v>
      </c>
      <c r="T1124" s="11" t="s">
        <v>48</v>
      </c>
      <c r="U1124" s="12" t="n">
        <v>560.56</v>
      </c>
      <c r="W1124" s="12" t="n">
        <v>0</v>
      </c>
      <c r="X1124" s="11" t="s">
        <v>1078</v>
      </c>
      <c r="Z1124" s="0" t="str">
        <f aca="false">IF($T1124="","",IFERROR(INDEX('Resumo Grupos'!$AC$3:$AC$200,MATCH($T1124,'Resumo Grupos'!$AB$3:$AB$200,0)),"n/d"))</f>
        <v>Mercadoria</v>
      </c>
      <c r="AA1124" s="0" t="str">
        <f aca="false">IF($T1124="","",IF(COUNTIF('Resumo Grupos'!$AE$3:$AE$40,$T1124)&gt;0,"NAO","SIM"))</f>
        <v>SIM</v>
      </c>
      <c r="AB1124" s="0" t="str">
        <f aca="false">IFERROR(INDEX('Mov Entradas (Rel 10497)'!$L:$L,MATCH(AC1124,'Mov Entradas (Rel 10497)'!$I:$I,0)),"nao encontrado")</f>
        <v>SOPAO MAGGI CARN 200</v>
      </c>
      <c r="AC1124" s="0" t="n">
        <v>396500</v>
      </c>
    </row>
    <row r="1125" customFormat="false" ht="12.75" hidden="false" customHeight="true" outlineLevel="0" collapsed="false">
      <c r="A1125" s="9" t="n">
        <v>2</v>
      </c>
      <c r="B1125" s="10" t="n">
        <v>46225</v>
      </c>
      <c r="C1125" s="10" t="n">
        <v>46232</v>
      </c>
      <c r="D1125" s="9" t="n">
        <v>1609</v>
      </c>
      <c r="E1125" s="11" t="s">
        <v>84</v>
      </c>
      <c r="F1125" s="9" t="n">
        <v>24</v>
      </c>
      <c r="G1125" s="11" t="s">
        <v>51</v>
      </c>
      <c r="H1125" s="9" t="n">
        <v>2110405</v>
      </c>
      <c r="I1125" s="11" t="s">
        <v>56</v>
      </c>
      <c r="J1125" s="9" t="n">
        <v>1435780</v>
      </c>
      <c r="L1125" s="9" t="n">
        <v>193965</v>
      </c>
      <c r="M1125" s="11" t="s">
        <v>52</v>
      </c>
      <c r="N1125" s="11" t="s">
        <v>45</v>
      </c>
      <c r="P1125" s="9" t="n">
        <v>113</v>
      </c>
      <c r="Q1125" s="11" t="s">
        <v>46</v>
      </c>
      <c r="R1125" s="11" t="s">
        <v>47</v>
      </c>
      <c r="S1125" s="9" t="n">
        <v>1130101</v>
      </c>
      <c r="T1125" s="11" t="s">
        <v>48</v>
      </c>
      <c r="U1125" s="12" t="n">
        <v>409.65</v>
      </c>
      <c r="W1125" s="12" t="n">
        <v>0</v>
      </c>
      <c r="X1125" s="11" t="s">
        <v>1079</v>
      </c>
      <c r="Z1125" s="0" t="str">
        <f aca="false">IF($T1125="","",IFERROR(INDEX('Resumo Grupos'!$AC$3:$AC$200,MATCH($T1125,'Resumo Grupos'!$AB$3:$AB$200,0)),"n/d"))</f>
        <v>Mercadoria</v>
      </c>
      <c r="AA1125" s="0" t="str">
        <f aca="false">IF($T1125="","",IF(COUNTIF('Resumo Grupos'!$AE$3:$AE$40,$T1125)&gt;0,"NAO","SIM"))</f>
        <v>SIM</v>
      </c>
      <c r="AB1125" s="0" t="str">
        <f aca="false">IFERROR(INDEX('Mov Entradas (Rel 10497)'!$L:$L,MATCH(AC1125,'Mov Entradas (Rel 10497)'!$I:$I,0)),"nao encontrado")</f>
        <v>SUCO FAZENDINHA CITR</v>
      </c>
      <c r="AC1125" s="0" t="n">
        <v>5844</v>
      </c>
    </row>
    <row r="1126" customFormat="false" ht="12.75" hidden="false" customHeight="true" outlineLevel="0" collapsed="false">
      <c r="A1126" s="9" t="n">
        <v>2</v>
      </c>
      <c r="B1126" s="10" t="n">
        <v>46218</v>
      </c>
      <c r="C1126" s="10" t="n">
        <v>46232</v>
      </c>
      <c r="D1126" s="9" t="n">
        <v>1815</v>
      </c>
      <c r="E1126" s="11" t="s">
        <v>172</v>
      </c>
      <c r="F1126" s="9" t="n">
        <v>24</v>
      </c>
      <c r="G1126" s="11" t="s">
        <v>51</v>
      </c>
      <c r="H1126" s="9" t="n">
        <v>2110405</v>
      </c>
      <c r="I1126" s="11" t="s">
        <v>56</v>
      </c>
      <c r="J1126" s="9" t="n">
        <v>1403056</v>
      </c>
      <c r="L1126" s="9" t="n">
        <v>188873</v>
      </c>
      <c r="M1126" s="11" t="s">
        <v>52</v>
      </c>
      <c r="N1126" s="11" t="s">
        <v>45</v>
      </c>
      <c r="P1126" s="9" t="n">
        <v>113</v>
      </c>
      <c r="Q1126" s="11" t="s">
        <v>46</v>
      </c>
      <c r="R1126" s="11" t="s">
        <v>47</v>
      </c>
      <c r="S1126" s="9" t="n">
        <v>1130101</v>
      </c>
      <c r="T1126" s="11" t="s">
        <v>48</v>
      </c>
      <c r="U1126" s="12" t="n">
        <v>2806.49</v>
      </c>
      <c r="W1126" s="12" t="n">
        <v>0</v>
      </c>
      <c r="X1126" s="11" t="s">
        <v>982</v>
      </c>
      <c r="Z1126" s="0" t="str">
        <f aca="false">IF($T1126="","",IFERROR(INDEX('Resumo Grupos'!$AC$3:$AC$200,MATCH($T1126,'Resumo Grupos'!$AB$3:$AB$200,0)),"n/d"))</f>
        <v>Mercadoria</v>
      </c>
      <c r="AA1126" s="0" t="str">
        <f aca="false">IF($T1126="","",IF(COUNTIF('Resumo Grupos'!$AE$3:$AE$40,$T1126)&gt;0,"NAO","SIM"))</f>
        <v>SIM</v>
      </c>
      <c r="AB1126" s="0" t="str">
        <f aca="false">IFERROR(INDEX('Mov Entradas (Rel 10497)'!$L:$L,MATCH(AC1126,'Mov Entradas (Rel 10497)'!$I:$I,0)),"nao encontrado")</f>
        <v>COXÃO DURO KG</v>
      </c>
      <c r="AC1126" s="0" t="n">
        <v>392537</v>
      </c>
    </row>
    <row r="1127" customFormat="false" ht="12.75" hidden="false" customHeight="true" outlineLevel="0" collapsed="false">
      <c r="A1127" s="9" t="n">
        <v>2</v>
      </c>
      <c r="B1127" s="10" t="n">
        <v>46225</v>
      </c>
      <c r="C1127" s="10" t="n">
        <v>46232</v>
      </c>
      <c r="D1127" s="9" t="n">
        <v>1815</v>
      </c>
      <c r="E1127" s="11" t="s">
        <v>172</v>
      </c>
      <c r="F1127" s="9" t="n">
        <v>24</v>
      </c>
      <c r="G1127" s="11" t="s">
        <v>51</v>
      </c>
      <c r="H1127" s="9" t="n">
        <v>2110405</v>
      </c>
      <c r="I1127" s="11" t="s">
        <v>56</v>
      </c>
      <c r="J1127" s="9" t="n">
        <v>1436044</v>
      </c>
      <c r="L1127" s="9" t="n">
        <v>194032</v>
      </c>
      <c r="M1127" s="11" t="s">
        <v>52</v>
      </c>
      <c r="N1127" s="11" t="s">
        <v>45</v>
      </c>
      <c r="P1127" s="9" t="n">
        <v>113</v>
      </c>
      <c r="Q1127" s="11" t="s">
        <v>46</v>
      </c>
      <c r="R1127" s="11" t="s">
        <v>47</v>
      </c>
      <c r="S1127" s="9" t="n">
        <v>1130101</v>
      </c>
      <c r="T1127" s="11" t="s">
        <v>48</v>
      </c>
      <c r="U1127" s="12" t="n">
        <v>1164.4</v>
      </c>
      <c r="W1127" s="12" t="n">
        <v>0</v>
      </c>
      <c r="X1127" s="11" t="s">
        <v>1080</v>
      </c>
      <c r="Z1127" s="0" t="str">
        <f aca="false">IF($T1127="","",IFERROR(INDEX('Resumo Grupos'!$AC$3:$AC$200,MATCH($T1127,'Resumo Grupos'!$AB$3:$AB$200,0)),"n/d"))</f>
        <v>Mercadoria</v>
      </c>
      <c r="AA1127" s="0" t="str">
        <f aca="false">IF($T1127="","",IF(COUNTIF('Resumo Grupos'!$AE$3:$AE$40,$T1127)&gt;0,"NAO","SIM"))</f>
        <v>SIM</v>
      </c>
      <c r="AB1127" s="0" t="str">
        <f aca="false">IFERROR(INDEX('Mov Entradas (Rel 10497)'!$L:$L,MATCH(AC1127,'Mov Entradas (Rel 10497)'!$I:$I,0)),"nao encontrado")</f>
        <v>FILE PEITOA GRANEL</v>
      </c>
      <c r="AC1127" s="0" t="n">
        <v>393890</v>
      </c>
    </row>
    <row r="1128" customFormat="false" ht="12.75" hidden="false" customHeight="true" outlineLevel="0" collapsed="false">
      <c r="A1128" s="9" t="n">
        <v>2</v>
      </c>
      <c r="B1128" s="10" t="n">
        <v>46219</v>
      </c>
      <c r="C1128" s="10" t="n">
        <v>46232</v>
      </c>
      <c r="D1128" s="9" t="n">
        <v>1699</v>
      </c>
      <c r="E1128" s="11" t="s">
        <v>248</v>
      </c>
      <c r="F1128" s="9" t="n">
        <v>24</v>
      </c>
      <c r="G1128" s="11" t="s">
        <v>51</v>
      </c>
      <c r="H1128" s="9" t="n">
        <v>2110405</v>
      </c>
      <c r="I1128" s="11" t="s">
        <v>56</v>
      </c>
      <c r="J1128" s="9" t="n">
        <v>1406625</v>
      </c>
      <c r="L1128" s="9" t="n">
        <v>189423</v>
      </c>
      <c r="M1128" s="11" t="s">
        <v>52</v>
      </c>
      <c r="N1128" s="11" t="s">
        <v>45</v>
      </c>
      <c r="P1128" s="9" t="n">
        <v>113</v>
      </c>
      <c r="Q1128" s="11" t="s">
        <v>46</v>
      </c>
      <c r="R1128" s="11" t="s">
        <v>47</v>
      </c>
      <c r="S1128" s="9" t="n">
        <v>1130101</v>
      </c>
      <c r="T1128" s="11" t="s">
        <v>48</v>
      </c>
      <c r="U1128" s="12" t="n">
        <v>1021.83</v>
      </c>
      <c r="W1128" s="12" t="n">
        <v>0</v>
      </c>
      <c r="X1128" s="11" t="s">
        <v>983</v>
      </c>
      <c r="Z1128" s="0" t="str">
        <f aca="false">IF($T1128="","",IFERROR(INDEX('Resumo Grupos'!$AC$3:$AC$200,MATCH($T1128,'Resumo Grupos'!$AB$3:$AB$200,0)),"n/d"))</f>
        <v>Mercadoria</v>
      </c>
      <c r="AA1128" s="0" t="str">
        <f aca="false">IF($T1128="","",IF(COUNTIF('Resumo Grupos'!$AE$3:$AE$40,$T1128)&gt;0,"NAO","SIM"))</f>
        <v>SIM</v>
      </c>
      <c r="AB1128" s="0" t="str">
        <f aca="false">IFERROR(INDEX('Mov Entradas (Rel 10497)'!$L:$L,MATCH(AC1128,'Mov Entradas (Rel 10497)'!$I:$I,0)),"nao encontrado")</f>
        <v>SUCO JANDAI CAJU500M</v>
      </c>
      <c r="AC1128" s="0" t="n">
        <v>307804</v>
      </c>
    </row>
    <row r="1129" customFormat="false" ht="12.75" hidden="false" customHeight="true" outlineLevel="0" collapsed="false">
      <c r="A1129" s="9" t="n">
        <v>2</v>
      </c>
      <c r="B1129" s="10" t="n">
        <v>46232</v>
      </c>
      <c r="C1129" s="10" t="n">
        <v>46232</v>
      </c>
      <c r="D1129" s="9" t="n">
        <v>1721</v>
      </c>
      <c r="E1129" s="11" t="s">
        <v>1081</v>
      </c>
      <c r="F1129" s="9" t="n">
        <v>13</v>
      </c>
      <c r="G1129" s="11" t="s">
        <v>135</v>
      </c>
      <c r="H1129" s="9" t="n">
        <v>1110203</v>
      </c>
      <c r="I1129" s="11" t="s">
        <v>117</v>
      </c>
      <c r="J1129" s="9" t="n">
        <v>1468990</v>
      </c>
      <c r="L1129" s="9" t="n">
        <v>198997</v>
      </c>
      <c r="M1129" s="11" t="s">
        <v>52</v>
      </c>
      <c r="N1129" s="11" t="s">
        <v>45</v>
      </c>
      <c r="P1129" s="9" t="n">
        <v>113</v>
      </c>
      <c r="Q1129" s="11" t="s">
        <v>46</v>
      </c>
      <c r="R1129" s="11" t="s">
        <v>47</v>
      </c>
      <c r="S1129" s="9" t="n">
        <v>1130101</v>
      </c>
      <c r="T1129" s="11" t="s">
        <v>48</v>
      </c>
      <c r="U1129" s="12" t="n">
        <v>139</v>
      </c>
      <c r="W1129" s="12" t="n">
        <v>139</v>
      </c>
      <c r="X1129" s="11" t="s">
        <v>1082</v>
      </c>
      <c r="Z1129" s="0" t="str">
        <f aca="false">IF($T1129="","",IFERROR(INDEX('Resumo Grupos'!$AC$3:$AC$200,MATCH($T1129,'Resumo Grupos'!$AB$3:$AB$200,0)),"n/d"))</f>
        <v>Mercadoria</v>
      </c>
      <c r="AA1129" s="0" t="str">
        <f aca="false">IF($T1129="","",IF(COUNTIF('Resumo Grupos'!$AE$3:$AE$40,$T1129)&gt;0,"NAO","SIM"))</f>
        <v>SIM</v>
      </c>
      <c r="AB1129" s="0" t="str">
        <f aca="false">IFERROR(INDEX('Mov Entradas (Rel 10497)'!$L:$L,MATCH(AC1129,'Mov Entradas (Rel 10497)'!$I:$I,0)),"nao encontrado")</f>
        <v>CARVAO BRIQUETE CAPI</v>
      </c>
      <c r="AC1129" s="0" t="n">
        <v>1295</v>
      </c>
    </row>
    <row r="1130" customFormat="false" ht="12.75" hidden="false" customHeight="true" outlineLevel="0" collapsed="false">
      <c r="A1130" s="9" t="n">
        <v>2</v>
      </c>
      <c r="B1130" s="10" t="n">
        <v>46230</v>
      </c>
      <c r="C1130" s="10" t="n">
        <v>46232</v>
      </c>
      <c r="D1130" s="9" t="n">
        <v>218</v>
      </c>
      <c r="E1130" s="11" t="s">
        <v>819</v>
      </c>
      <c r="F1130" s="9" t="n">
        <v>34</v>
      </c>
      <c r="G1130" s="11" t="s">
        <v>55</v>
      </c>
      <c r="H1130" s="9" t="n">
        <v>2110405</v>
      </c>
      <c r="I1130" s="11" t="s">
        <v>56</v>
      </c>
      <c r="J1130" s="9" t="n">
        <v>1459542</v>
      </c>
      <c r="L1130" s="9" t="n">
        <v>197536</v>
      </c>
      <c r="M1130" s="11" t="s">
        <v>52</v>
      </c>
      <c r="N1130" s="11" t="s">
        <v>45</v>
      </c>
      <c r="P1130" s="9" t="n">
        <v>101</v>
      </c>
      <c r="Q1130" s="11" t="s">
        <v>57</v>
      </c>
      <c r="R1130" s="11" t="s">
        <v>71</v>
      </c>
      <c r="S1130" s="9" t="n">
        <v>4210301</v>
      </c>
      <c r="T1130" s="11" t="s">
        <v>220</v>
      </c>
      <c r="U1130" s="12" t="n">
        <v>207.18</v>
      </c>
      <c r="W1130" s="12" t="n">
        <v>0</v>
      </c>
      <c r="X1130" s="11" t="s">
        <v>1083</v>
      </c>
      <c r="Z1130" s="0" t="str">
        <f aca="false">IF($T1130="","",IFERROR(INDEX('Resumo Grupos'!$AC$3:$AC$200,MATCH($T1130,'Resumo Grupos'!$AB$3:$AB$200,0)),"n/d"))</f>
        <v>Salários</v>
      </c>
      <c r="AA1130" s="0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9" t="n">
        <v>2</v>
      </c>
      <c r="B1131" s="10" t="n">
        <v>46216</v>
      </c>
      <c r="C1131" s="10" t="n">
        <v>46232</v>
      </c>
      <c r="D1131" s="9" t="n">
        <v>10012</v>
      </c>
      <c r="E1131" s="11" t="s">
        <v>185</v>
      </c>
      <c r="F1131" s="9" t="n">
        <v>24</v>
      </c>
      <c r="G1131" s="11" t="s">
        <v>51</v>
      </c>
      <c r="H1131" s="9" t="n">
        <v>2110101</v>
      </c>
      <c r="I1131" s="11" t="s">
        <v>43</v>
      </c>
      <c r="J1131" s="9" t="n">
        <v>1393698</v>
      </c>
      <c r="L1131" s="9" t="n">
        <v>1962669</v>
      </c>
      <c r="M1131" s="11" t="s">
        <v>52</v>
      </c>
      <c r="N1131" s="11" t="s">
        <v>37</v>
      </c>
      <c r="P1131" s="9" t="n">
        <v>113</v>
      </c>
      <c r="Q1131" s="11" t="s">
        <v>46</v>
      </c>
      <c r="R1131" s="11" t="s">
        <v>47</v>
      </c>
      <c r="S1131" s="9" t="n">
        <v>1130101</v>
      </c>
      <c r="T1131" s="11" t="s">
        <v>48</v>
      </c>
      <c r="U1131" s="12" t="n">
        <v>1504.05</v>
      </c>
      <c r="W1131" s="12" t="n">
        <v>0</v>
      </c>
      <c r="X1131" s="11" t="s">
        <v>1084</v>
      </c>
      <c r="Z1131" s="0" t="str">
        <f aca="false">IF($T1131="","",IFERROR(INDEX('Resumo Grupos'!$AC$3:$AC$200,MATCH($T1131,'Resumo Grupos'!$AB$3:$AB$200,0)),"n/d"))</f>
        <v>Mercadoria</v>
      </c>
      <c r="AA1131" s="0" t="str">
        <f aca="false">IF($T1131="","",IF(COUNTIF('Resumo Grupos'!$AE$3:$AE$40,$T1131)&gt;0,"NAO","SIM"))</f>
        <v>SIM</v>
      </c>
      <c r="AB1131" s="0" t="str">
        <f aca="false">IFERROR(INDEX('Mov Entradas (Rel 10497)'!$L:$L,MATCH(AC1131,'Mov Entradas (Rel 10497)'!$I:$I,0)),"nao encontrado")</f>
        <v>ALGOD BOLAS CREMER 5</v>
      </c>
      <c r="AC1131" s="0" t="n">
        <v>1962669</v>
      </c>
    </row>
    <row r="1132" customFormat="false" ht="12.75" hidden="false" customHeight="true" outlineLevel="0" collapsed="false">
      <c r="A1132" s="9" t="n">
        <v>2</v>
      </c>
      <c r="B1132" s="10" t="n">
        <v>46232</v>
      </c>
      <c r="C1132" s="10" t="n">
        <v>46232</v>
      </c>
      <c r="D1132" s="9" t="n">
        <v>0</v>
      </c>
      <c r="E1132" s="11" t="s">
        <v>109</v>
      </c>
      <c r="F1132" s="9" t="n">
        <v>17</v>
      </c>
      <c r="G1132" s="11" t="s">
        <v>110</v>
      </c>
      <c r="H1132" s="9" t="n">
        <v>1110101</v>
      </c>
      <c r="I1132" s="11" t="s">
        <v>111</v>
      </c>
      <c r="J1132" s="9" t="n">
        <v>1473014</v>
      </c>
      <c r="L1132" s="9" t="n">
        <v>1473014</v>
      </c>
      <c r="M1132" s="11" t="s">
        <v>52</v>
      </c>
      <c r="N1132" s="11" t="s">
        <v>112</v>
      </c>
      <c r="P1132" s="9" t="n">
        <v>113</v>
      </c>
      <c r="Q1132" s="11" t="s">
        <v>46</v>
      </c>
      <c r="R1132" s="11" t="s">
        <v>116</v>
      </c>
      <c r="S1132" s="9" t="n">
        <v>1110203</v>
      </c>
      <c r="T1132" s="11" t="s">
        <v>117</v>
      </c>
      <c r="U1132" s="12" t="n">
        <v>139</v>
      </c>
      <c r="W1132" s="12" t="n">
        <v>139</v>
      </c>
      <c r="X1132" s="11" t="s">
        <v>1085</v>
      </c>
      <c r="Z1132" s="0" t="str">
        <f aca="false">IF($T1132="","",IFERROR(INDEX('Resumo Grupos'!$AC$3:$AC$200,MATCH($T1132,'Resumo Grupos'!$AB$3:$AB$200,0)),"n/d"))</f>
        <v>Despesa</v>
      </c>
      <c r="AA1132" s="0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9" t="n">
        <v>2</v>
      </c>
      <c r="B1133" s="10" t="n">
        <v>46232</v>
      </c>
      <c r="C1133" s="10" t="n">
        <v>46232</v>
      </c>
      <c r="D1133" s="9" t="n">
        <v>0</v>
      </c>
      <c r="E1133" s="11" t="s">
        <v>109</v>
      </c>
      <c r="F1133" s="9" t="n">
        <v>17</v>
      </c>
      <c r="G1133" s="11" t="s">
        <v>110</v>
      </c>
      <c r="H1133" s="9" t="n">
        <v>1110101</v>
      </c>
      <c r="I1133" s="11" t="s">
        <v>111</v>
      </c>
      <c r="J1133" s="9" t="n">
        <v>1473095</v>
      </c>
      <c r="L1133" s="9" t="n">
        <v>1473095</v>
      </c>
      <c r="M1133" s="11" t="s">
        <v>52</v>
      </c>
      <c r="N1133" s="11" t="s">
        <v>112</v>
      </c>
      <c r="P1133" s="9" t="n">
        <v>113</v>
      </c>
      <c r="Q1133" s="11" t="s">
        <v>46</v>
      </c>
      <c r="R1133" s="11" t="s">
        <v>71</v>
      </c>
      <c r="S1133" s="9" t="n">
        <v>4210314</v>
      </c>
      <c r="T1133" s="11" t="s">
        <v>113</v>
      </c>
      <c r="U1133" s="12" t="n">
        <v>70</v>
      </c>
      <c r="W1133" s="12" t="n">
        <v>70</v>
      </c>
      <c r="X1133" s="11" t="s">
        <v>187</v>
      </c>
      <c r="Z1133" s="0" t="str">
        <f aca="false">IF($T1133="","",IFERROR(INDEX('Resumo Grupos'!$AC$3:$AC$200,MATCH($T1133,'Resumo Grupos'!$AB$3:$AB$200,0)),"n/d"))</f>
        <v>Despesa</v>
      </c>
      <c r="AA1133" s="0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9" t="n">
        <v>2</v>
      </c>
      <c r="B1134" s="10" t="n">
        <v>46232</v>
      </c>
      <c r="C1134" s="10" t="n">
        <v>46232</v>
      </c>
      <c r="D1134" s="9" t="n">
        <v>0</v>
      </c>
      <c r="E1134" s="11" t="s">
        <v>109</v>
      </c>
      <c r="F1134" s="9" t="n">
        <v>17</v>
      </c>
      <c r="G1134" s="11" t="s">
        <v>110</v>
      </c>
      <c r="H1134" s="9" t="n">
        <v>1110101</v>
      </c>
      <c r="I1134" s="11" t="s">
        <v>111</v>
      </c>
      <c r="J1134" s="9" t="n">
        <v>1473097</v>
      </c>
      <c r="L1134" s="9" t="n">
        <v>1473097</v>
      </c>
      <c r="M1134" s="11" t="s">
        <v>52</v>
      </c>
      <c r="N1134" s="11" t="s">
        <v>112</v>
      </c>
      <c r="P1134" s="9" t="n">
        <v>113</v>
      </c>
      <c r="Q1134" s="11" t="s">
        <v>46</v>
      </c>
      <c r="R1134" s="11" t="s">
        <v>71</v>
      </c>
      <c r="S1134" s="9" t="n">
        <v>4210314</v>
      </c>
      <c r="T1134" s="11" t="s">
        <v>113</v>
      </c>
      <c r="U1134" s="12" t="n">
        <v>70</v>
      </c>
      <c r="W1134" s="12" t="n">
        <v>70</v>
      </c>
      <c r="X1134" s="11" t="s">
        <v>115</v>
      </c>
      <c r="Z1134" s="0" t="str">
        <f aca="false">IF($T1134="","",IFERROR(INDEX('Resumo Grupos'!$AC$3:$AC$200,MATCH($T1134,'Resumo Grupos'!$AB$3:$AB$200,0)),"n/d"))</f>
        <v>Despesa</v>
      </c>
      <c r="AA1134" s="0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9" t="n">
        <v>2</v>
      </c>
      <c r="B1135" s="10" t="n">
        <v>46232</v>
      </c>
      <c r="C1135" s="10" t="n">
        <v>46232</v>
      </c>
      <c r="D1135" s="9" t="n">
        <v>0</v>
      </c>
      <c r="E1135" s="11" t="s">
        <v>109</v>
      </c>
      <c r="F1135" s="9" t="n">
        <v>17</v>
      </c>
      <c r="G1135" s="11" t="s">
        <v>110</v>
      </c>
      <c r="H1135" s="9" t="n">
        <v>1110101</v>
      </c>
      <c r="I1135" s="11" t="s">
        <v>111</v>
      </c>
      <c r="J1135" s="9" t="n">
        <v>1716272</v>
      </c>
      <c r="L1135" s="9" t="n">
        <v>1716272</v>
      </c>
      <c r="M1135" s="11" t="s">
        <v>52</v>
      </c>
      <c r="N1135" s="11" t="s">
        <v>112</v>
      </c>
      <c r="P1135" s="9" t="n">
        <v>113</v>
      </c>
      <c r="Q1135" s="11" t="s">
        <v>46</v>
      </c>
      <c r="R1135" s="11" t="s">
        <v>116</v>
      </c>
      <c r="S1135" s="9" t="n">
        <v>1110203</v>
      </c>
      <c r="T1135" s="11" t="s">
        <v>117</v>
      </c>
      <c r="U1135" s="12" t="n">
        <v>2600</v>
      </c>
      <c r="W1135" s="12" t="n">
        <v>2600</v>
      </c>
      <c r="X1135" s="11" t="s">
        <v>1086</v>
      </c>
      <c r="Z1135" s="0" t="str">
        <f aca="false">IF($T1135="","",IFERROR(INDEX('Resumo Grupos'!$AC$3:$AC$200,MATCH($T1135,'Resumo Grupos'!$AB$3:$AB$200,0)),"n/d"))</f>
        <v>Despesa</v>
      </c>
      <c r="AA1135" s="0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9" t="n">
        <v>2</v>
      </c>
      <c r="B1136" s="10" t="n">
        <v>46219</v>
      </c>
      <c r="C1136" s="10" t="n">
        <v>46233</v>
      </c>
      <c r="D1136" s="9" t="n">
        <v>1705</v>
      </c>
      <c r="E1136" s="11" t="s">
        <v>130</v>
      </c>
      <c r="F1136" s="9" t="n">
        <v>24</v>
      </c>
      <c r="G1136" s="11" t="s">
        <v>51</v>
      </c>
      <c r="H1136" s="9" t="n">
        <v>2110405</v>
      </c>
      <c r="I1136" s="11" t="s">
        <v>56</v>
      </c>
      <c r="J1136" s="9" t="n">
        <v>1405774</v>
      </c>
      <c r="L1136" s="9" t="n">
        <v>189224</v>
      </c>
      <c r="M1136" s="11" t="s">
        <v>52</v>
      </c>
      <c r="N1136" s="11" t="s">
        <v>45</v>
      </c>
      <c r="P1136" s="9" t="n">
        <v>113</v>
      </c>
      <c r="Q1136" s="11" t="s">
        <v>46</v>
      </c>
      <c r="R1136" s="11" t="s">
        <v>47</v>
      </c>
      <c r="S1136" s="9" t="n">
        <v>1130101</v>
      </c>
      <c r="T1136" s="11" t="s">
        <v>48</v>
      </c>
      <c r="U1136" s="12" t="n">
        <v>2028.67</v>
      </c>
      <c r="W1136" s="12" t="n">
        <v>0</v>
      </c>
      <c r="X1136" s="11" t="s">
        <v>1087</v>
      </c>
      <c r="Z1136" s="0" t="str">
        <f aca="false">IF($T1136="","",IFERROR(INDEX('Resumo Grupos'!$AC$3:$AC$200,MATCH($T1136,'Resumo Grupos'!$AB$3:$AB$200,0)),"n/d"))</f>
        <v>Mercadoria</v>
      </c>
      <c r="AA1136" s="0" t="str">
        <f aca="false">IF($T1136="","",IF(COUNTIF('Resumo Grupos'!$AE$3:$AE$40,$T1136)&gt;0,"NAO","SIM"))</f>
        <v>SIM</v>
      </c>
      <c r="AB1136" s="0" t="str">
        <f aca="false">IFERROR(INDEX('Mov Entradas (Rel 10497)'!$L:$L,MATCH(AC1136,'Mov Entradas (Rel 10497)'!$I:$I,0)),"nao encontrado")</f>
        <v>REFRI. FANTA UVA 1,5</v>
      </c>
      <c r="AC1136" s="0" t="n">
        <v>1936058</v>
      </c>
    </row>
    <row r="1137" customFormat="false" ht="12.75" hidden="false" customHeight="true" outlineLevel="0" collapsed="false">
      <c r="A1137" s="9" t="n">
        <v>2</v>
      </c>
      <c r="B1137" s="10" t="n">
        <v>46219</v>
      </c>
      <c r="C1137" s="10" t="n">
        <v>46233</v>
      </c>
      <c r="D1137" s="9" t="n">
        <v>1705</v>
      </c>
      <c r="E1137" s="11" t="s">
        <v>130</v>
      </c>
      <c r="F1137" s="9" t="n">
        <v>24</v>
      </c>
      <c r="G1137" s="11" t="s">
        <v>51</v>
      </c>
      <c r="H1137" s="9" t="n">
        <v>2110405</v>
      </c>
      <c r="I1137" s="11" t="s">
        <v>56</v>
      </c>
      <c r="J1137" s="9" t="n">
        <v>1405777</v>
      </c>
      <c r="L1137" s="9" t="n">
        <v>189226</v>
      </c>
      <c r="M1137" s="11" t="s">
        <v>52</v>
      </c>
      <c r="N1137" s="11" t="s">
        <v>45</v>
      </c>
      <c r="P1137" s="9" t="n">
        <v>113</v>
      </c>
      <c r="Q1137" s="11" t="s">
        <v>46</v>
      </c>
      <c r="R1137" s="11" t="s">
        <v>47</v>
      </c>
      <c r="S1137" s="9" t="n">
        <v>1130101</v>
      </c>
      <c r="T1137" s="11" t="s">
        <v>48</v>
      </c>
      <c r="U1137" s="12" t="n">
        <v>1194.17</v>
      </c>
      <c r="W1137" s="12" t="n">
        <v>0</v>
      </c>
      <c r="X1137" s="11" t="s">
        <v>1087</v>
      </c>
      <c r="Z1137" s="0" t="str">
        <f aca="false">IF($T1137="","",IFERROR(INDEX('Resumo Grupos'!$AC$3:$AC$200,MATCH($T1137,'Resumo Grupos'!$AB$3:$AB$200,0)),"n/d"))</f>
        <v>Mercadoria</v>
      </c>
      <c r="AA1137" s="0" t="str">
        <f aca="false">IF($T1137="","",IF(COUNTIF('Resumo Grupos'!$AE$3:$AE$40,$T1137)&gt;0,"NAO","SIM"))</f>
        <v>SIM</v>
      </c>
      <c r="AB1137" s="0" t="str">
        <f aca="false">IFERROR(INDEX('Mov Entradas (Rel 10497)'!$L:$L,MATCH(AC1137,'Mov Entradas (Rel 10497)'!$I:$I,0)),"nao encontrado")</f>
        <v>REFRI. FANTA UVA 1,5</v>
      </c>
      <c r="AC1137" s="0" t="n">
        <v>1936058</v>
      </c>
    </row>
    <row r="1138" customFormat="false" ht="12.75" hidden="false" customHeight="true" outlineLevel="0" collapsed="false">
      <c r="A1138" s="9" t="n">
        <v>2</v>
      </c>
      <c r="B1138" s="10" t="n">
        <v>46219</v>
      </c>
      <c r="C1138" s="10" t="n">
        <v>46233</v>
      </c>
      <c r="D1138" s="9" t="n">
        <v>1718</v>
      </c>
      <c r="E1138" s="11" t="s">
        <v>236</v>
      </c>
      <c r="F1138" s="9" t="n">
        <v>24</v>
      </c>
      <c r="G1138" s="11" t="s">
        <v>51</v>
      </c>
      <c r="H1138" s="9" t="n">
        <v>2110405</v>
      </c>
      <c r="I1138" s="11" t="s">
        <v>56</v>
      </c>
      <c r="J1138" s="9" t="n">
        <v>1407317</v>
      </c>
      <c r="L1138" s="9" t="n">
        <v>189603</v>
      </c>
      <c r="M1138" s="11" t="s">
        <v>52</v>
      </c>
      <c r="N1138" s="11" t="s">
        <v>45</v>
      </c>
      <c r="P1138" s="9" t="n">
        <v>113</v>
      </c>
      <c r="Q1138" s="11" t="s">
        <v>46</v>
      </c>
      <c r="R1138" s="11" t="s">
        <v>47</v>
      </c>
      <c r="S1138" s="9" t="n">
        <v>1130101</v>
      </c>
      <c r="T1138" s="11" t="s">
        <v>48</v>
      </c>
      <c r="U1138" s="12" t="n">
        <v>580.89</v>
      </c>
      <c r="W1138" s="12" t="n">
        <v>0</v>
      </c>
      <c r="X1138" s="11" t="s">
        <v>1088</v>
      </c>
      <c r="Z1138" s="0" t="str">
        <f aca="false">IF($T1138="","",IFERROR(INDEX('Resumo Grupos'!$AC$3:$AC$200,MATCH($T1138,'Resumo Grupos'!$AB$3:$AB$200,0)),"n/d"))</f>
        <v>Mercadoria</v>
      </c>
      <c r="AA1138" s="0" t="str">
        <f aca="false">IF($T1138="","",IF(COUNTIF('Resumo Grupos'!$AE$3:$AE$40,$T1138)&gt;0,"NAO","SIM"))</f>
        <v>SIM</v>
      </c>
      <c r="AB1138" s="0" t="str">
        <f aca="false">IFERROR(INDEX('Mov Entradas (Rel 10497)'!$L:$L,MATCH(AC1138,'Mov Entradas (Rel 10497)'!$I:$I,0)),"nao encontrado")</f>
        <v>TRIDENT MORANGO</v>
      </c>
      <c r="AC1138" s="0" t="n">
        <v>682520</v>
      </c>
    </row>
    <row r="1139" customFormat="false" ht="12.75" hidden="false" customHeight="true" outlineLevel="0" collapsed="false">
      <c r="A1139" s="9" t="n">
        <v>2</v>
      </c>
      <c r="B1139" s="10" t="n">
        <v>46198</v>
      </c>
      <c r="C1139" s="10" t="n">
        <v>46233</v>
      </c>
      <c r="D1139" s="9" t="n">
        <v>1218</v>
      </c>
      <c r="E1139" s="11" t="s">
        <v>659</v>
      </c>
      <c r="F1139" s="9" t="n">
        <v>24</v>
      </c>
      <c r="G1139" s="11" t="s">
        <v>51</v>
      </c>
      <c r="H1139" s="9" t="n">
        <v>2110101</v>
      </c>
      <c r="I1139" s="11" t="s">
        <v>43</v>
      </c>
      <c r="J1139" s="9" t="n">
        <v>1305945</v>
      </c>
      <c r="L1139" s="9" t="n">
        <v>9495</v>
      </c>
      <c r="M1139" s="11" t="s">
        <v>89</v>
      </c>
      <c r="N1139" s="11" t="s">
        <v>37</v>
      </c>
      <c r="P1139" s="9" t="n">
        <v>113</v>
      </c>
      <c r="Q1139" s="11" t="s">
        <v>46</v>
      </c>
      <c r="R1139" s="11" t="s">
        <v>47</v>
      </c>
      <c r="S1139" s="9" t="n">
        <v>1130101</v>
      </c>
      <c r="T1139" s="11" t="s">
        <v>48</v>
      </c>
      <c r="U1139" s="12" t="n">
        <v>531.18</v>
      </c>
      <c r="W1139" s="12" t="n">
        <v>0</v>
      </c>
      <c r="X1139" s="11" t="s">
        <v>660</v>
      </c>
      <c r="Z1139" s="0" t="str">
        <f aca="false">IF($T1139="","",IFERROR(INDEX('Resumo Grupos'!$AC$3:$AC$200,MATCH($T1139,'Resumo Grupos'!$AB$3:$AB$200,0)),"n/d"))</f>
        <v>Mercadoria</v>
      </c>
      <c r="AA1139" s="0" t="str">
        <f aca="false">IF($T1139="","",IF(COUNTIF('Resumo Grupos'!$AE$3:$AE$40,$T1139)&gt;0,"NAO","SIM"))</f>
        <v>SIM</v>
      </c>
      <c r="AB1139" s="0" t="str">
        <f aca="false">IFERROR(INDEX('Mov Entradas (Rel 10497)'!$L:$L,MATCH(AC1139,'Mov Entradas (Rel 10497)'!$I:$I,0)),"nao encontrado")</f>
        <v>ANTIFER LUBFAS 300ML</v>
      </c>
      <c r="AC1139" s="0" t="n">
        <v>9495</v>
      </c>
    </row>
    <row r="1140" customFormat="false" ht="12.75" hidden="false" customHeight="true" outlineLevel="0" collapsed="false">
      <c r="A1140" s="9" t="n">
        <v>2</v>
      </c>
      <c r="B1140" s="10" t="n">
        <v>46212</v>
      </c>
      <c r="C1140" s="10" t="n">
        <v>46233</v>
      </c>
      <c r="D1140" s="9" t="n">
        <v>1612</v>
      </c>
      <c r="E1140" s="11" t="s">
        <v>74</v>
      </c>
      <c r="F1140" s="9" t="n">
        <v>24</v>
      </c>
      <c r="G1140" s="11" t="s">
        <v>51</v>
      </c>
      <c r="H1140" s="9" t="n">
        <v>2110101</v>
      </c>
      <c r="I1140" s="11" t="s">
        <v>43</v>
      </c>
      <c r="J1140" s="9" t="n">
        <v>1374035</v>
      </c>
      <c r="L1140" s="9" t="n">
        <v>2299705</v>
      </c>
      <c r="M1140" s="11" t="s">
        <v>44</v>
      </c>
      <c r="N1140" s="11" t="s">
        <v>37</v>
      </c>
      <c r="P1140" s="9" t="n">
        <v>113</v>
      </c>
      <c r="Q1140" s="11" t="s">
        <v>46</v>
      </c>
      <c r="R1140" s="11" t="s">
        <v>47</v>
      </c>
      <c r="S1140" s="9" t="n">
        <v>1130101</v>
      </c>
      <c r="T1140" s="11" t="s">
        <v>48</v>
      </c>
      <c r="U1140" s="12" t="n">
        <v>658.6</v>
      </c>
      <c r="W1140" s="12" t="n">
        <v>0</v>
      </c>
      <c r="X1140" s="11" t="s">
        <v>1004</v>
      </c>
      <c r="Z1140" s="0" t="str">
        <f aca="false">IF($T1140="","",IFERROR(INDEX('Resumo Grupos'!$AC$3:$AC$200,MATCH($T1140,'Resumo Grupos'!$AB$3:$AB$200,0)),"n/d"))</f>
        <v>Mercadoria</v>
      </c>
      <c r="AA1140" s="0" t="str">
        <f aca="false">IF($T1140="","",IF(COUNTIF('Resumo Grupos'!$AE$3:$AE$40,$T1140)&gt;0,"NAO","SIM"))</f>
        <v>SIM</v>
      </c>
      <c r="AB1140" s="0" t="str">
        <f aca="false">IFERROR(INDEX('Mov Entradas (Rel 10497)'!$L:$L,MATCH(AC1140,'Mov Entradas (Rel 10497)'!$I:$I,0)),"nao encontrado")</f>
        <v>RED BULL SUGAR FREE</v>
      </c>
      <c r="AC1140" s="0" t="n">
        <v>2299705</v>
      </c>
    </row>
    <row r="1141" customFormat="false" ht="12.75" hidden="false" customHeight="true" outlineLevel="0" collapsed="false">
      <c r="A1141" s="9" t="n">
        <v>2</v>
      </c>
      <c r="B1141" s="10" t="n">
        <v>46212</v>
      </c>
      <c r="C1141" s="10" t="n">
        <v>46233</v>
      </c>
      <c r="D1141" s="9" t="n">
        <v>1612</v>
      </c>
      <c r="E1141" s="11" t="s">
        <v>74</v>
      </c>
      <c r="F1141" s="9" t="n">
        <v>24</v>
      </c>
      <c r="G1141" s="11" t="s">
        <v>51</v>
      </c>
      <c r="H1141" s="9" t="n">
        <v>2110101</v>
      </c>
      <c r="I1141" s="11" t="s">
        <v>43</v>
      </c>
      <c r="J1141" s="9" t="n">
        <v>1374249</v>
      </c>
      <c r="L1141" s="9" t="n">
        <v>2299703</v>
      </c>
      <c r="M1141" s="11" t="s">
        <v>44</v>
      </c>
      <c r="N1141" s="11" t="s">
        <v>37</v>
      </c>
      <c r="P1141" s="9" t="n">
        <v>113</v>
      </c>
      <c r="Q1141" s="11" t="s">
        <v>46</v>
      </c>
      <c r="R1141" s="11" t="s">
        <v>47</v>
      </c>
      <c r="S1141" s="9" t="n">
        <v>1130101</v>
      </c>
      <c r="T1141" s="11" t="s">
        <v>48</v>
      </c>
      <c r="U1141" s="12" t="n">
        <v>377.46</v>
      </c>
      <c r="W1141" s="12" t="n">
        <v>0</v>
      </c>
      <c r="X1141" s="11" t="s">
        <v>1005</v>
      </c>
      <c r="Z1141" s="0" t="str">
        <f aca="false">IF($T1141="","",IFERROR(INDEX('Resumo Grupos'!$AC$3:$AC$200,MATCH($T1141,'Resumo Grupos'!$AB$3:$AB$200,0)),"n/d"))</f>
        <v>Mercadoria</v>
      </c>
      <c r="AA1141" s="0" t="str">
        <f aca="false">IF($T1141="","",IF(COUNTIF('Resumo Grupos'!$AE$3:$AE$40,$T1141)&gt;0,"NAO","SIM"))</f>
        <v>SIM</v>
      </c>
      <c r="AB1141" s="0" t="str">
        <f aca="false">IFERROR(INDEX('Mov Entradas (Rel 10497)'!$L:$L,MATCH(AC1141,'Mov Entradas (Rel 10497)'!$I:$I,0)),"nao encontrado")</f>
        <v>AGUA SANI BRILUX1L</v>
      </c>
      <c r="AC1141" s="0" t="n">
        <v>2299703</v>
      </c>
    </row>
    <row r="1142" customFormat="false" ht="12.75" hidden="false" customHeight="true" outlineLevel="0" collapsed="false">
      <c r="A1142" s="9" t="n">
        <v>2</v>
      </c>
      <c r="B1142" s="10" t="n">
        <v>46213</v>
      </c>
      <c r="C1142" s="10" t="n">
        <v>46233</v>
      </c>
      <c r="D1142" s="9" t="n">
        <v>1667</v>
      </c>
      <c r="E1142" s="11" t="s">
        <v>77</v>
      </c>
      <c r="F1142" s="9" t="n">
        <v>24</v>
      </c>
      <c r="G1142" s="11" t="s">
        <v>51</v>
      </c>
      <c r="H1142" s="9" t="n">
        <v>2110101</v>
      </c>
      <c r="I1142" s="11" t="s">
        <v>43</v>
      </c>
      <c r="J1142" s="9" t="n">
        <v>1376812</v>
      </c>
      <c r="L1142" s="9" t="n">
        <v>396261</v>
      </c>
      <c r="M1142" s="11" t="s">
        <v>44</v>
      </c>
      <c r="N1142" s="11" t="s">
        <v>37</v>
      </c>
      <c r="P1142" s="9" t="n">
        <v>113</v>
      </c>
      <c r="Q1142" s="11" t="s">
        <v>46</v>
      </c>
      <c r="R1142" s="11" t="s">
        <v>47</v>
      </c>
      <c r="S1142" s="9" t="n">
        <v>1130101</v>
      </c>
      <c r="T1142" s="11" t="s">
        <v>48</v>
      </c>
      <c r="U1142" s="12" t="n">
        <v>321.77</v>
      </c>
      <c r="W1142" s="12" t="n">
        <v>0</v>
      </c>
      <c r="X1142" s="11" t="s">
        <v>1006</v>
      </c>
      <c r="Z1142" s="0" t="str">
        <f aca="false">IF($T1142="","",IFERROR(INDEX('Resumo Grupos'!$AC$3:$AC$200,MATCH($T1142,'Resumo Grupos'!$AB$3:$AB$200,0)),"n/d"))</f>
        <v>Mercadoria</v>
      </c>
      <c r="AA1142" s="0" t="str">
        <f aca="false">IF($T1142="","",IF(COUNTIF('Resumo Grupos'!$AE$3:$AE$40,$T1142)&gt;0,"NAO","SIM"))</f>
        <v>SIM</v>
      </c>
      <c r="AB1142" s="0" t="str">
        <f aca="false">IFERROR(INDEX('Mov Entradas (Rel 10497)'!$L:$L,MATCH(AC1142,'Mov Entradas (Rel 10497)'!$I:$I,0)),"nao encontrado")</f>
        <v>CREME DE LEITE PIRAC</v>
      </c>
      <c r="AC1142" s="0" t="n">
        <v>396261</v>
      </c>
    </row>
    <row r="1143" customFormat="false" ht="12.75" hidden="false" customHeight="true" outlineLevel="0" collapsed="false">
      <c r="A1143" s="9" t="n">
        <v>2</v>
      </c>
      <c r="B1143" s="10" t="n">
        <v>46233</v>
      </c>
      <c r="C1143" s="10" t="n">
        <v>46233</v>
      </c>
      <c r="D1143" s="9" t="n">
        <v>12</v>
      </c>
      <c r="E1143" s="11" t="s">
        <v>79</v>
      </c>
      <c r="F1143" s="9" t="n">
        <v>34</v>
      </c>
      <c r="G1143" s="11" t="s">
        <v>55</v>
      </c>
      <c r="H1143" s="9" t="n">
        <v>2110405</v>
      </c>
      <c r="I1143" s="11" t="s">
        <v>56</v>
      </c>
      <c r="J1143" s="9" t="n">
        <v>1495478</v>
      </c>
      <c r="L1143" s="9" t="n">
        <v>202805</v>
      </c>
      <c r="M1143" s="11" t="s">
        <v>52</v>
      </c>
      <c r="N1143" s="11" t="s">
        <v>45</v>
      </c>
      <c r="P1143" s="9" t="n">
        <v>102</v>
      </c>
      <c r="Q1143" s="11" t="s">
        <v>308</v>
      </c>
      <c r="R1143" s="11" t="s">
        <v>71</v>
      </c>
      <c r="S1143" s="9" t="n">
        <v>4210301</v>
      </c>
      <c r="T1143" s="11" t="s">
        <v>220</v>
      </c>
      <c r="U1143" s="12" t="n">
        <v>600</v>
      </c>
      <c r="W1143" s="12" t="n">
        <v>0</v>
      </c>
      <c r="X1143" s="11" t="s">
        <v>1089</v>
      </c>
      <c r="Z1143" s="0" t="str">
        <f aca="false">IF($T1143="","",IFERROR(INDEX('Resumo Grupos'!$AC$3:$AC$200,MATCH($T1143,'Resumo Grupos'!$AB$3:$AB$200,0)),"n/d"))</f>
        <v>Salários</v>
      </c>
      <c r="AA1143" s="0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9" t="n">
        <v>2</v>
      </c>
      <c r="B1144" s="10" t="n">
        <v>46214</v>
      </c>
      <c r="C1144" s="10" t="n">
        <v>46233</v>
      </c>
      <c r="D1144" s="9" t="n">
        <v>1842</v>
      </c>
      <c r="E1144" s="11" t="s">
        <v>1090</v>
      </c>
      <c r="F1144" s="9" t="n">
        <v>24</v>
      </c>
      <c r="G1144" s="11" t="s">
        <v>51</v>
      </c>
      <c r="H1144" s="9" t="n">
        <v>2110405</v>
      </c>
      <c r="I1144" s="11" t="s">
        <v>56</v>
      </c>
      <c r="J1144" s="9" t="n">
        <v>1381793</v>
      </c>
      <c r="L1144" s="9" t="n">
        <v>186023</v>
      </c>
      <c r="M1144" s="11" t="s">
        <v>52</v>
      </c>
      <c r="N1144" s="11" t="s">
        <v>45</v>
      </c>
      <c r="P1144" s="9" t="n">
        <v>113</v>
      </c>
      <c r="Q1144" s="11" t="s">
        <v>46</v>
      </c>
      <c r="R1144" s="11" t="s">
        <v>39</v>
      </c>
      <c r="S1144" s="9" t="n">
        <v>4210229</v>
      </c>
      <c r="T1144" s="11" t="s">
        <v>1091</v>
      </c>
      <c r="U1144" s="12" t="n">
        <v>215</v>
      </c>
      <c r="W1144" s="12" t="n">
        <v>0</v>
      </c>
      <c r="X1144" s="11" t="s">
        <v>1092</v>
      </c>
      <c r="Z1144" s="0" t="str">
        <f aca="false">IF($T1144="","",IFERROR(INDEX('Resumo Grupos'!$AC$3:$AC$200,MATCH($T1144,'Resumo Grupos'!$AB$3:$AB$200,0)),"n/d"))</f>
        <v>Despesa</v>
      </c>
      <c r="AA1144" s="0" t="str">
        <f aca="false">IF($T1144="","",IF(COUNTIF('Resumo Grupos'!$AE$3:$AE$40,$T1144)&gt;0,"NAO","SIM"))</f>
        <v>SIM</v>
      </c>
      <c r="AB1144" s="0" t="str">
        <f aca="false">IFERROR(INDEX('Mov Entradas (Rel 10497)'!$L:$L,MATCH(AC1144,'Mov Entradas (Rel 10497)'!$I:$I,0)),"nao encontrado")</f>
        <v>FACA COZINHA BRANCA</v>
      </c>
      <c r="AC1144" s="0" t="n">
        <v>7646</v>
      </c>
    </row>
    <row r="1145" customFormat="false" ht="12.75" hidden="false" customHeight="true" outlineLevel="0" collapsed="false">
      <c r="A1145" s="9" t="n">
        <v>2</v>
      </c>
      <c r="B1145" s="10" t="n">
        <v>46233</v>
      </c>
      <c r="C1145" s="10" t="n">
        <v>46233</v>
      </c>
      <c r="D1145" s="9" t="n">
        <v>1783</v>
      </c>
      <c r="E1145" s="11" t="s">
        <v>340</v>
      </c>
      <c r="F1145" s="9" t="n">
        <v>13</v>
      </c>
      <c r="G1145" s="11" t="s">
        <v>135</v>
      </c>
      <c r="H1145" s="9" t="n">
        <v>1110203</v>
      </c>
      <c r="I1145" s="11" t="s">
        <v>117</v>
      </c>
      <c r="J1145" s="9" t="n">
        <v>1473878</v>
      </c>
      <c r="L1145" s="9" t="n">
        <v>199796</v>
      </c>
      <c r="M1145" s="11" t="s">
        <v>52</v>
      </c>
      <c r="N1145" s="11" t="s">
        <v>45</v>
      </c>
      <c r="P1145" s="9" t="n">
        <v>113</v>
      </c>
      <c r="Q1145" s="11" t="s">
        <v>46</v>
      </c>
      <c r="R1145" s="11" t="s">
        <v>47</v>
      </c>
      <c r="S1145" s="9" t="n">
        <v>1130101</v>
      </c>
      <c r="T1145" s="11" t="s">
        <v>48</v>
      </c>
      <c r="U1145" s="12" t="n">
        <v>160.32</v>
      </c>
      <c r="W1145" s="12" t="n">
        <v>160.32</v>
      </c>
      <c r="X1145" s="11" t="s">
        <v>1093</v>
      </c>
      <c r="Z1145" s="0" t="str">
        <f aca="false">IF($T1145="","",IFERROR(INDEX('Resumo Grupos'!$AC$3:$AC$200,MATCH($T1145,'Resumo Grupos'!$AB$3:$AB$200,0)),"n/d"))</f>
        <v>Mercadoria</v>
      </c>
      <c r="AA1145" s="0" t="str">
        <f aca="false">IF($T1145="","",IF(COUNTIF('Resumo Grupos'!$AE$3:$AE$40,$T1145)&gt;0,"NAO","SIM"))</f>
        <v>SIM</v>
      </c>
      <c r="AB1145" s="0" t="str">
        <f aca="false">IFERROR(INDEX('Mov Entradas (Rel 10497)'!$L:$L,MATCH(AC1145,'Mov Entradas (Rel 10497)'!$I:$I,0)),"nao encontrado")</f>
        <v>MARSHMALOW NO PALITO</v>
      </c>
      <c r="AC1145" s="0" t="n">
        <v>523</v>
      </c>
    </row>
    <row r="1146" customFormat="false" ht="12.75" hidden="false" customHeight="true" outlineLevel="0" collapsed="false">
      <c r="A1146" s="9" t="n">
        <v>2</v>
      </c>
      <c r="B1146" s="10" t="n">
        <v>46233</v>
      </c>
      <c r="C1146" s="10" t="n">
        <v>46233</v>
      </c>
      <c r="D1146" s="9" t="n">
        <v>48</v>
      </c>
      <c r="E1146" s="11" t="s">
        <v>153</v>
      </c>
      <c r="F1146" s="9" t="n">
        <v>13</v>
      </c>
      <c r="G1146" s="11" t="s">
        <v>135</v>
      </c>
      <c r="H1146" s="9" t="n">
        <v>2110101</v>
      </c>
      <c r="I1146" s="11" t="s">
        <v>43</v>
      </c>
      <c r="J1146" s="9" t="n">
        <v>1473455</v>
      </c>
      <c r="L1146" s="9" t="n">
        <v>2571</v>
      </c>
      <c r="M1146" s="11" t="s">
        <v>52</v>
      </c>
      <c r="N1146" s="11" t="s">
        <v>37</v>
      </c>
      <c r="P1146" s="9" t="n">
        <v>113</v>
      </c>
      <c r="Q1146" s="11" t="s">
        <v>46</v>
      </c>
      <c r="R1146" s="11" t="s">
        <v>47</v>
      </c>
      <c r="S1146" s="9" t="n">
        <v>1130101</v>
      </c>
      <c r="T1146" s="11" t="s">
        <v>48</v>
      </c>
      <c r="U1146" s="12" t="n">
        <v>196</v>
      </c>
      <c r="W1146" s="12" t="n">
        <v>0</v>
      </c>
      <c r="X1146" s="11" t="s">
        <v>1094</v>
      </c>
      <c r="Z1146" s="0" t="str">
        <f aca="false">IF($T1146="","",IFERROR(INDEX('Resumo Grupos'!$AC$3:$AC$200,MATCH($T1146,'Resumo Grupos'!$AB$3:$AB$200,0)),"n/d"))</f>
        <v>Mercadoria</v>
      </c>
      <c r="AA1146" s="0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9" t="n">
        <v>2</v>
      </c>
      <c r="B1147" s="10" t="n">
        <v>46233</v>
      </c>
      <c r="C1147" s="10" t="n">
        <v>46233</v>
      </c>
      <c r="D1147" s="9" t="n">
        <v>48</v>
      </c>
      <c r="E1147" s="11" t="s">
        <v>153</v>
      </c>
      <c r="F1147" s="9" t="n">
        <v>13</v>
      </c>
      <c r="G1147" s="11" t="s">
        <v>135</v>
      </c>
      <c r="H1147" s="9" t="n">
        <v>2110101</v>
      </c>
      <c r="I1147" s="11" t="s">
        <v>43</v>
      </c>
      <c r="J1147" s="9" t="n">
        <v>1473466</v>
      </c>
      <c r="L1147" s="9" t="n">
        <v>2572</v>
      </c>
      <c r="M1147" s="11" t="s">
        <v>52</v>
      </c>
      <c r="N1147" s="11" t="s">
        <v>37</v>
      </c>
      <c r="P1147" s="9" t="n">
        <v>113</v>
      </c>
      <c r="Q1147" s="11" t="s">
        <v>46</v>
      </c>
      <c r="R1147" s="11" t="s">
        <v>47</v>
      </c>
      <c r="S1147" s="9" t="n">
        <v>1130101</v>
      </c>
      <c r="T1147" s="11" t="s">
        <v>48</v>
      </c>
      <c r="U1147" s="12" t="n">
        <v>210</v>
      </c>
      <c r="W1147" s="12" t="n">
        <v>210</v>
      </c>
      <c r="X1147" s="11" t="s">
        <v>1095</v>
      </c>
      <c r="Z1147" s="0" t="str">
        <f aca="false">IF($T1147="","",IFERROR(INDEX('Resumo Grupos'!$AC$3:$AC$200,MATCH($T1147,'Resumo Grupos'!$AB$3:$AB$200,0)),"n/d"))</f>
        <v>Mercadoria</v>
      </c>
      <c r="AA1147" s="0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9" t="n">
        <v>2</v>
      </c>
      <c r="B1148" s="10" t="n">
        <v>46213</v>
      </c>
      <c r="C1148" s="10" t="n">
        <v>46233</v>
      </c>
      <c r="D1148" s="9" t="n">
        <v>1107</v>
      </c>
      <c r="E1148" s="11" t="s">
        <v>254</v>
      </c>
      <c r="F1148" s="9" t="n">
        <v>24</v>
      </c>
      <c r="G1148" s="11" t="s">
        <v>51</v>
      </c>
      <c r="H1148" s="9" t="n">
        <v>2110101</v>
      </c>
      <c r="I1148" s="11" t="s">
        <v>43</v>
      </c>
      <c r="J1148" s="9" t="n">
        <v>1376909</v>
      </c>
      <c r="L1148" s="9" t="n">
        <v>426652</v>
      </c>
      <c r="M1148" s="11" t="s">
        <v>44</v>
      </c>
      <c r="N1148" s="11" t="s">
        <v>37</v>
      </c>
      <c r="P1148" s="9" t="n">
        <v>113</v>
      </c>
      <c r="Q1148" s="11" t="s">
        <v>46</v>
      </c>
      <c r="R1148" s="11" t="s">
        <v>47</v>
      </c>
      <c r="S1148" s="9" t="n">
        <v>1130101</v>
      </c>
      <c r="T1148" s="11" t="s">
        <v>48</v>
      </c>
      <c r="U1148" s="12" t="n">
        <v>682.63</v>
      </c>
      <c r="W1148" s="12" t="n">
        <v>0</v>
      </c>
      <c r="X1148" s="11" t="s">
        <v>1011</v>
      </c>
      <c r="Z1148" s="0" t="str">
        <f aca="false">IF($T1148="","",IFERROR(INDEX('Resumo Grupos'!$AC$3:$AC$200,MATCH($T1148,'Resumo Grupos'!$AB$3:$AB$200,0)),"n/d"))</f>
        <v>Mercadoria</v>
      </c>
      <c r="AA1148" s="0" t="str">
        <f aca="false">IF($T1148="","",IF(COUNTIF('Resumo Grupos'!$AE$3:$AE$40,$T1148)&gt;0,"NAO","SIM"))</f>
        <v>SIM</v>
      </c>
      <c r="AB1148" s="0" t="str">
        <f aca="false">IFERROR(INDEX('Mov Entradas (Rel 10497)'!$L:$L,MATCH(AC1148,'Mov Entradas (Rel 10497)'!$I:$I,0)),"nao encontrado")</f>
        <v>GELATINA S SABOR OE</v>
      </c>
      <c r="AC1148" s="0" t="n">
        <v>426652</v>
      </c>
    </row>
    <row r="1149" customFormat="false" ht="12.75" hidden="false" customHeight="true" outlineLevel="0" collapsed="false">
      <c r="A1149" s="9" t="n">
        <v>2</v>
      </c>
      <c r="B1149" s="10" t="n">
        <v>46226</v>
      </c>
      <c r="C1149" s="10" t="n">
        <v>46233</v>
      </c>
      <c r="D1149" s="9" t="n">
        <v>1024</v>
      </c>
      <c r="E1149" s="11" t="s">
        <v>471</v>
      </c>
      <c r="F1149" s="9" t="n">
        <v>24</v>
      </c>
      <c r="G1149" s="11" t="s">
        <v>51</v>
      </c>
      <c r="H1149" s="9" t="n">
        <v>2110405</v>
      </c>
      <c r="I1149" s="11" t="s">
        <v>56</v>
      </c>
      <c r="J1149" s="9" t="n">
        <v>1439994</v>
      </c>
      <c r="L1149" s="9" t="n">
        <v>194706</v>
      </c>
      <c r="M1149" s="11" t="s">
        <v>52</v>
      </c>
      <c r="N1149" s="11" t="s">
        <v>45</v>
      </c>
      <c r="P1149" s="9" t="n">
        <v>113</v>
      </c>
      <c r="Q1149" s="11" t="s">
        <v>46</v>
      </c>
      <c r="R1149" s="11" t="s">
        <v>47</v>
      </c>
      <c r="S1149" s="9" t="n">
        <v>1130101</v>
      </c>
      <c r="T1149" s="11" t="s">
        <v>48</v>
      </c>
      <c r="U1149" s="12" t="n">
        <v>305</v>
      </c>
      <c r="W1149" s="12" t="n">
        <v>0</v>
      </c>
      <c r="X1149" s="11" t="s">
        <v>1096</v>
      </c>
      <c r="Z1149" s="0" t="str">
        <f aca="false">IF($T1149="","",IFERROR(INDEX('Resumo Grupos'!$AC$3:$AC$200,MATCH($T1149,'Resumo Grupos'!$AB$3:$AB$200,0)),"n/d"))</f>
        <v>Mercadoria</v>
      </c>
      <c r="AA1149" s="0" t="str">
        <f aca="false">IF($T1149="","",IF(COUNTIF('Resumo Grupos'!$AE$3:$AE$40,$T1149)&gt;0,"NAO","SIM"))</f>
        <v>SIM</v>
      </c>
      <c r="AB1149" s="0" t="str">
        <f aca="false">IFERROR(INDEX('Mov Entradas (Rel 10497)'!$L:$L,MATCH(AC1149,'Mov Entradas (Rel 10497)'!$I:$I,0)),"nao encontrado")</f>
        <v>REAL GOLD 250ML PET</v>
      </c>
      <c r="AC1149" s="0" t="n">
        <v>608657</v>
      </c>
    </row>
    <row r="1150" customFormat="false" ht="12.75" hidden="false" customHeight="true" outlineLevel="0" collapsed="false">
      <c r="A1150" s="9" t="n">
        <v>2</v>
      </c>
      <c r="B1150" s="10" t="n">
        <v>46230</v>
      </c>
      <c r="C1150" s="10" t="n">
        <v>46233</v>
      </c>
      <c r="D1150" s="9" t="n">
        <v>218</v>
      </c>
      <c r="E1150" s="11" t="s">
        <v>819</v>
      </c>
      <c r="F1150" s="9" t="n">
        <v>34</v>
      </c>
      <c r="G1150" s="11" t="s">
        <v>55</v>
      </c>
      <c r="H1150" s="9" t="n">
        <v>2110405</v>
      </c>
      <c r="I1150" s="11" t="s">
        <v>56</v>
      </c>
      <c r="J1150" s="9" t="n">
        <v>1459566</v>
      </c>
      <c r="L1150" s="9" t="n">
        <v>197540</v>
      </c>
      <c r="M1150" s="11" t="s">
        <v>52</v>
      </c>
      <c r="N1150" s="11" t="s">
        <v>45</v>
      </c>
      <c r="P1150" s="9" t="n">
        <v>101</v>
      </c>
      <c r="Q1150" s="11" t="s">
        <v>57</v>
      </c>
      <c r="R1150" s="11" t="s">
        <v>71</v>
      </c>
      <c r="S1150" s="9" t="n">
        <v>4210301</v>
      </c>
      <c r="T1150" s="11" t="s">
        <v>220</v>
      </c>
      <c r="U1150" s="12" t="n">
        <v>260.64</v>
      </c>
      <c r="W1150" s="12" t="n">
        <v>0</v>
      </c>
      <c r="X1150" s="11" t="s">
        <v>1097</v>
      </c>
      <c r="Z1150" s="0" t="str">
        <f aca="false">IF($T1150="","",IFERROR(INDEX('Resumo Grupos'!$AC$3:$AC$200,MATCH($T1150,'Resumo Grupos'!$AB$3:$AB$200,0)),"n/d"))</f>
        <v>Salários</v>
      </c>
      <c r="AA1150" s="0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9" t="n">
        <v>2</v>
      </c>
      <c r="B1151" s="10" t="n">
        <v>46230</v>
      </c>
      <c r="C1151" s="10" t="n">
        <v>46233</v>
      </c>
      <c r="D1151" s="9" t="n">
        <v>1807</v>
      </c>
      <c r="E1151" s="11" t="s">
        <v>1098</v>
      </c>
      <c r="F1151" s="9" t="n">
        <v>24</v>
      </c>
      <c r="G1151" s="11" t="s">
        <v>51</v>
      </c>
      <c r="H1151" s="9" t="n">
        <v>2110405</v>
      </c>
      <c r="I1151" s="11" t="s">
        <v>56</v>
      </c>
      <c r="J1151" s="9" t="n">
        <v>1459304</v>
      </c>
      <c r="L1151" s="9" t="n">
        <v>197500</v>
      </c>
      <c r="M1151" s="11" t="s">
        <v>52</v>
      </c>
      <c r="N1151" s="11" t="s">
        <v>45</v>
      </c>
      <c r="P1151" s="9" t="n">
        <v>101</v>
      </c>
      <c r="Q1151" s="11" t="s">
        <v>57</v>
      </c>
      <c r="R1151" s="11" t="s">
        <v>509</v>
      </c>
      <c r="S1151" s="9" t="n">
        <v>2110704</v>
      </c>
      <c r="T1151" s="11" t="s">
        <v>1099</v>
      </c>
      <c r="U1151" s="12" t="n">
        <v>1575</v>
      </c>
      <c r="W1151" s="12" t="n">
        <v>0</v>
      </c>
      <c r="X1151" s="11" t="s">
        <v>1100</v>
      </c>
      <c r="Z1151" s="0" t="str">
        <f aca="false">IF($T1151="","",IFERROR(INDEX('Resumo Grupos'!$AC$3:$AC$200,MATCH($T1151,'Resumo Grupos'!$AB$3:$AB$200,0)),"n/d"))</f>
        <v>Despesa</v>
      </c>
      <c r="AA1151" s="0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9" t="n">
        <v>2</v>
      </c>
      <c r="B1152" s="10" t="n">
        <v>46230</v>
      </c>
      <c r="C1152" s="10" t="n">
        <v>46233</v>
      </c>
      <c r="D1152" s="9" t="n">
        <v>1807</v>
      </c>
      <c r="E1152" s="11" t="s">
        <v>1098</v>
      </c>
      <c r="F1152" s="9" t="n">
        <v>24</v>
      </c>
      <c r="G1152" s="11" t="s">
        <v>51</v>
      </c>
      <c r="H1152" s="9" t="n">
        <v>2110405</v>
      </c>
      <c r="I1152" s="11" t="s">
        <v>56</v>
      </c>
      <c r="J1152" s="9" t="n">
        <v>1459324</v>
      </c>
      <c r="L1152" s="9" t="n">
        <v>197504</v>
      </c>
      <c r="M1152" s="11" t="s">
        <v>52</v>
      </c>
      <c r="N1152" s="11" t="s">
        <v>45</v>
      </c>
      <c r="P1152" s="9" t="n">
        <v>101</v>
      </c>
      <c r="Q1152" s="11" t="s">
        <v>57</v>
      </c>
      <c r="R1152" s="11" t="s">
        <v>509</v>
      </c>
      <c r="S1152" s="9" t="n">
        <v>2110712</v>
      </c>
      <c r="T1152" s="11" t="s">
        <v>1101</v>
      </c>
      <c r="U1152" s="12" t="n">
        <v>945</v>
      </c>
      <c r="W1152" s="12" t="n">
        <v>0</v>
      </c>
      <c r="X1152" s="11" t="s">
        <v>1102</v>
      </c>
      <c r="Z1152" s="0" t="str">
        <f aca="false">IF($T1152="","",IFERROR(INDEX('Resumo Grupos'!$AC$3:$AC$200,MATCH($T1152,'Resumo Grupos'!$AB$3:$AB$200,0)),"n/d"))</f>
        <v>Despesa</v>
      </c>
      <c r="AA1152" s="0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9" t="n">
        <v>2</v>
      </c>
      <c r="B1153" s="10" t="n">
        <v>46233</v>
      </c>
      <c r="C1153" s="10" t="n">
        <v>46233</v>
      </c>
      <c r="D1153" s="9" t="n">
        <v>0</v>
      </c>
      <c r="E1153" s="11" t="s">
        <v>109</v>
      </c>
      <c r="F1153" s="9" t="n">
        <v>17</v>
      </c>
      <c r="G1153" s="11" t="s">
        <v>110</v>
      </c>
      <c r="H1153" s="9" t="n">
        <v>1110101</v>
      </c>
      <c r="I1153" s="11" t="s">
        <v>111</v>
      </c>
      <c r="J1153" s="9" t="n">
        <v>1478889</v>
      </c>
      <c r="L1153" s="9" t="n">
        <v>1478889</v>
      </c>
      <c r="M1153" s="11" t="s">
        <v>52</v>
      </c>
      <c r="N1153" s="11" t="s">
        <v>112</v>
      </c>
      <c r="P1153" s="9" t="n">
        <v>113</v>
      </c>
      <c r="Q1153" s="11" t="s">
        <v>46</v>
      </c>
      <c r="R1153" s="11" t="s">
        <v>116</v>
      </c>
      <c r="S1153" s="9" t="n">
        <v>1110203</v>
      </c>
      <c r="T1153" s="11" t="s">
        <v>117</v>
      </c>
      <c r="U1153" s="12" t="n">
        <v>160.32</v>
      </c>
      <c r="W1153" s="12" t="n">
        <v>160.32</v>
      </c>
      <c r="X1153" s="11" t="s">
        <v>1103</v>
      </c>
      <c r="Z1153" s="0" t="str">
        <f aca="false">IF($T1153="","",IFERROR(INDEX('Resumo Grupos'!$AC$3:$AC$200,MATCH($T1153,'Resumo Grupos'!$AB$3:$AB$200,0)),"n/d"))</f>
        <v>Despesa</v>
      </c>
      <c r="AA1153" s="0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9" t="n">
        <v>2</v>
      </c>
      <c r="B1154" s="10" t="n">
        <v>46233</v>
      </c>
      <c r="C1154" s="10" t="n">
        <v>46233</v>
      </c>
      <c r="D1154" s="9" t="n">
        <v>0</v>
      </c>
      <c r="E1154" s="11" t="s">
        <v>109</v>
      </c>
      <c r="F1154" s="9" t="n">
        <v>17</v>
      </c>
      <c r="G1154" s="11" t="s">
        <v>110</v>
      </c>
      <c r="H1154" s="9" t="n">
        <v>1110101</v>
      </c>
      <c r="I1154" s="11" t="s">
        <v>111</v>
      </c>
      <c r="J1154" s="9" t="n">
        <v>1478893</v>
      </c>
      <c r="L1154" s="9" t="n">
        <v>1478893</v>
      </c>
      <c r="M1154" s="11" t="s">
        <v>52</v>
      </c>
      <c r="N1154" s="11" t="s">
        <v>112</v>
      </c>
      <c r="P1154" s="9" t="n">
        <v>113</v>
      </c>
      <c r="Q1154" s="11" t="s">
        <v>46</v>
      </c>
      <c r="R1154" s="11" t="s">
        <v>259</v>
      </c>
      <c r="S1154" s="9" t="n">
        <v>2110101</v>
      </c>
      <c r="T1154" s="11" t="s">
        <v>43</v>
      </c>
      <c r="U1154" s="12" t="n">
        <v>210</v>
      </c>
      <c r="W1154" s="12" t="n">
        <v>210</v>
      </c>
      <c r="X1154" s="11" t="s">
        <v>1104</v>
      </c>
      <c r="Z1154" s="0" t="str">
        <f aca="false">IF($T1154="","",IFERROR(INDEX('Resumo Grupos'!$AC$3:$AC$200,MATCH($T1154,'Resumo Grupos'!$AB$3:$AB$200,0)),"n/d"))</f>
        <v>Despesa</v>
      </c>
      <c r="AA1154" s="0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9" t="n">
        <v>2</v>
      </c>
      <c r="B1155" s="10" t="n">
        <v>46233</v>
      </c>
      <c r="C1155" s="10" t="n">
        <v>46233</v>
      </c>
      <c r="D1155" s="9" t="n">
        <v>0</v>
      </c>
      <c r="E1155" s="11" t="s">
        <v>109</v>
      </c>
      <c r="F1155" s="9" t="n">
        <v>17</v>
      </c>
      <c r="G1155" s="11" t="s">
        <v>110</v>
      </c>
      <c r="H1155" s="9" t="n">
        <v>1110101</v>
      </c>
      <c r="I1155" s="11" t="s">
        <v>111</v>
      </c>
      <c r="J1155" s="9" t="n">
        <v>1478894</v>
      </c>
      <c r="L1155" s="9" t="n">
        <v>1478894</v>
      </c>
      <c r="M1155" s="11" t="s">
        <v>52</v>
      </c>
      <c r="N1155" s="11" t="s">
        <v>112</v>
      </c>
      <c r="P1155" s="9" t="n">
        <v>113</v>
      </c>
      <c r="Q1155" s="11" t="s">
        <v>46</v>
      </c>
      <c r="R1155" s="11" t="s">
        <v>71</v>
      </c>
      <c r="S1155" s="9" t="n">
        <v>4210314</v>
      </c>
      <c r="T1155" s="11" t="s">
        <v>113</v>
      </c>
      <c r="U1155" s="12" t="n">
        <v>70</v>
      </c>
      <c r="W1155" s="12" t="n">
        <v>70</v>
      </c>
      <c r="X1155" s="11" t="s">
        <v>115</v>
      </c>
      <c r="Z1155" s="0" t="str">
        <f aca="false">IF($T1155="","",IFERROR(INDEX('Resumo Grupos'!$AC$3:$AC$200,MATCH($T1155,'Resumo Grupos'!$AB$3:$AB$200,0)),"n/d"))</f>
        <v>Despesa</v>
      </c>
      <c r="AA1155" s="0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9" t="n">
        <v>2</v>
      </c>
      <c r="B1156" s="10" t="n">
        <v>46233</v>
      </c>
      <c r="C1156" s="10" t="n">
        <v>46233</v>
      </c>
      <c r="D1156" s="9" t="n">
        <v>0</v>
      </c>
      <c r="E1156" s="11" t="s">
        <v>109</v>
      </c>
      <c r="F1156" s="9" t="n">
        <v>17</v>
      </c>
      <c r="G1156" s="11" t="s">
        <v>110</v>
      </c>
      <c r="H1156" s="9" t="n">
        <v>1110101</v>
      </c>
      <c r="I1156" s="11" t="s">
        <v>111</v>
      </c>
      <c r="J1156" s="9" t="n">
        <v>1478905</v>
      </c>
      <c r="L1156" s="9" t="n">
        <v>1478905</v>
      </c>
      <c r="M1156" s="11" t="s">
        <v>52</v>
      </c>
      <c r="N1156" s="11" t="s">
        <v>112</v>
      </c>
      <c r="P1156" s="9" t="n">
        <v>113</v>
      </c>
      <c r="Q1156" s="11" t="s">
        <v>46</v>
      </c>
      <c r="R1156" s="11" t="s">
        <v>39</v>
      </c>
      <c r="S1156" s="9" t="n">
        <v>4210227</v>
      </c>
      <c r="T1156" s="11" t="s">
        <v>68</v>
      </c>
      <c r="U1156" s="12" t="n">
        <v>20.9</v>
      </c>
      <c r="W1156" s="12" t="n">
        <v>20.9</v>
      </c>
      <c r="X1156" s="11" t="s">
        <v>1105</v>
      </c>
      <c r="Z1156" s="0" t="str">
        <f aca="false">IF($T1156="","",IFERROR(INDEX('Resumo Grupos'!$AC$3:$AC$200,MATCH($T1156,'Resumo Grupos'!$AB$3:$AB$200,0)),"n/d"))</f>
        <v>Despesa</v>
      </c>
      <c r="AA1156" s="0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9" t="n">
        <v>2</v>
      </c>
      <c r="B1157" s="10" t="n">
        <v>46233</v>
      </c>
      <c r="C1157" s="10" t="n">
        <v>46233</v>
      </c>
      <c r="D1157" s="9" t="n">
        <v>0</v>
      </c>
      <c r="E1157" s="11" t="s">
        <v>109</v>
      </c>
      <c r="F1157" s="9" t="n">
        <v>17</v>
      </c>
      <c r="G1157" s="11" t="s">
        <v>110</v>
      </c>
      <c r="H1157" s="9" t="n">
        <v>1110101</v>
      </c>
      <c r="I1157" s="11" t="s">
        <v>111</v>
      </c>
      <c r="J1157" s="9" t="n">
        <v>1478909</v>
      </c>
      <c r="L1157" s="9" t="n">
        <v>1478909</v>
      </c>
      <c r="M1157" s="11" t="s">
        <v>52</v>
      </c>
      <c r="N1157" s="11" t="s">
        <v>112</v>
      </c>
      <c r="P1157" s="9" t="n">
        <v>113</v>
      </c>
      <c r="Q1157" s="11" t="s">
        <v>46</v>
      </c>
      <c r="R1157" s="11" t="s">
        <v>39</v>
      </c>
      <c r="S1157" s="9" t="n">
        <v>4210227</v>
      </c>
      <c r="T1157" s="11" t="s">
        <v>68</v>
      </c>
      <c r="U1157" s="12" t="n">
        <v>400</v>
      </c>
      <c r="W1157" s="12" t="n">
        <v>400</v>
      </c>
      <c r="X1157" s="11" t="s">
        <v>1106</v>
      </c>
      <c r="Z1157" s="0" t="str">
        <f aca="false">IF($T1157="","",IFERROR(INDEX('Resumo Grupos'!$AC$3:$AC$200,MATCH($T1157,'Resumo Grupos'!$AB$3:$AB$200,0)),"n/d"))</f>
        <v>Despesa</v>
      </c>
      <c r="AA1157" s="0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9" t="n">
        <v>2</v>
      </c>
      <c r="B1158" s="10" t="n">
        <v>46233</v>
      </c>
      <c r="C1158" s="10" t="n">
        <v>46233</v>
      </c>
      <c r="D1158" s="9" t="n">
        <v>0</v>
      </c>
      <c r="E1158" s="11" t="s">
        <v>109</v>
      </c>
      <c r="F1158" s="9" t="n">
        <v>17</v>
      </c>
      <c r="G1158" s="11" t="s">
        <v>110</v>
      </c>
      <c r="H1158" s="9" t="n">
        <v>1110101</v>
      </c>
      <c r="I1158" s="11" t="s">
        <v>111</v>
      </c>
      <c r="J1158" s="9" t="n">
        <v>1716277</v>
      </c>
      <c r="L1158" s="9" t="n">
        <v>1716277</v>
      </c>
      <c r="M1158" s="11" t="s">
        <v>52</v>
      </c>
      <c r="N1158" s="11" t="s">
        <v>112</v>
      </c>
      <c r="P1158" s="9" t="n">
        <v>113</v>
      </c>
      <c r="Q1158" s="11" t="s">
        <v>46</v>
      </c>
      <c r="R1158" s="11" t="s">
        <v>116</v>
      </c>
      <c r="S1158" s="9" t="n">
        <v>1110203</v>
      </c>
      <c r="T1158" s="11" t="s">
        <v>117</v>
      </c>
      <c r="U1158" s="12" t="n">
        <v>1900</v>
      </c>
      <c r="W1158" s="12" t="n">
        <v>1900</v>
      </c>
      <c r="X1158" s="11" t="s">
        <v>1107</v>
      </c>
      <c r="Z1158" s="0" t="str">
        <f aca="false">IF($T1158="","",IFERROR(INDEX('Resumo Grupos'!$AC$3:$AC$200,MATCH($T1158,'Resumo Grupos'!$AB$3:$AB$200,0)),"n/d"))</f>
        <v>Despesa</v>
      </c>
      <c r="AA1158" s="0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9" t="n">
        <v>2</v>
      </c>
      <c r="B1159" s="10" t="n">
        <v>46230</v>
      </c>
      <c r="C1159" s="10" t="n">
        <v>46234</v>
      </c>
      <c r="D1159" s="9" t="n">
        <v>10018</v>
      </c>
      <c r="E1159" s="11" t="s">
        <v>216</v>
      </c>
      <c r="F1159" s="9" t="n">
        <v>34</v>
      </c>
      <c r="G1159" s="11" t="s">
        <v>55</v>
      </c>
      <c r="H1159" s="9" t="n">
        <v>2110405</v>
      </c>
      <c r="I1159" s="11" t="s">
        <v>56</v>
      </c>
      <c r="J1159" s="9" t="n">
        <v>1458308</v>
      </c>
      <c r="L1159" s="9" t="n">
        <v>197244</v>
      </c>
      <c r="M1159" s="11" t="s">
        <v>52</v>
      </c>
      <c r="N1159" s="11" t="s">
        <v>45</v>
      </c>
      <c r="P1159" s="9" t="n">
        <v>113</v>
      </c>
      <c r="Q1159" s="11" t="s">
        <v>46</v>
      </c>
      <c r="R1159" s="11" t="s">
        <v>47</v>
      </c>
      <c r="S1159" s="9" t="n">
        <v>1130101</v>
      </c>
      <c r="T1159" s="11" t="s">
        <v>48</v>
      </c>
      <c r="U1159" s="12" t="n">
        <v>950</v>
      </c>
      <c r="W1159" s="12" t="n">
        <v>0</v>
      </c>
      <c r="X1159" s="11" t="s">
        <v>1108</v>
      </c>
      <c r="Z1159" s="0" t="str">
        <f aca="false">IF($T1159="","",IFERROR(INDEX('Resumo Grupos'!$AC$3:$AC$200,MATCH($T1159,'Resumo Grupos'!$AB$3:$AB$200,0)),"n/d"))</f>
        <v>Mercadoria</v>
      </c>
      <c r="AA1159" s="0" t="str">
        <f aca="false">IF($T1159="","",IF(COUNTIF('Resumo Grupos'!$AE$3:$AE$40,$T1159)&gt;0,"NAO","SIM"))</f>
        <v>SIM</v>
      </c>
      <c r="AB1159" s="0" t="str">
        <f aca="false">IFERROR(INDEX('Mov Entradas (Rel 10497)'!$L:$L,MATCH(AC1159,'Mov Entradas (Rel 10497)'!$I:$I,0)),"nao encontrado")</f>
        <v>OVOS BRANCO UNID</v>
      </c>
      <c r="AC1159" s="0" t="n">
        <v>345</v>
      </c>
    </row>
    <row r="1160" customFormat="false" ht="12.75" hidden="false" customHeight="true" outlineLevel="0" collapsed="false">
      <c r="A1160" s="9" t="n">
        <v>2</v>
      </c>
      <c r="B1160" s="10" t="n">
        <v>46227</v>
      </c>
      <c r="C1160" s="10" t="n">
        <v>46234</v>
      </c>
      <c r="D1160" s="9" t="n">
        <v>1642</v>
      </c>
      <c r="E1160" s="11" t="s">
        <v>228</v>
      </c>
      <c r="F1160" s="9" t="n">
        <v>24</v>
      </c>
      <c r="G1160" s="11" t="s">
        <v>51</v>
      </c>
      <c r="H1160" s="9" t="n">
        <v>2110405</v>
      </c>
      <c r="I1160" s="11" t="s">
        <v>56</v>
      </c>
      <c r="J1160" s="9" t="n">
        <v>1443653</v>
      </c>
      <c r="L1160" s="9" t="n">
        <v>195231</v>
      </c>
      <c r="M1160" s="11" t="s">
        <v>52</v>
      </c>
      <c r="N1160" s="11" t="s">
        <v>45</v>
      </c>
      <c r="P1160" s="9" t="n">
        <v>113</v>
      </c>
      <c r="Q1160" s="11" t="s">
        <v>46</v>
      </c>
      <c r="R1160" s="11" t="s">
        <v>47</v>
      </c>
      <c r="S1160" s="9" t="n">
        <v>1130101</v>
      </c>
      <c r="T1160" s="11" t="s">
        <v>48</v>
      </c>
      <c r="U1160" s="12" t="n">
        <v>254</v>
      </c>
      <c r="W1160" s="12" t="n">
        <v>0</v>
      </c>
      <c r="X1160" s="11" t="s">
        <v>1109</v>
      </c>
      <c r="Z1160" s="0" t="str">
        <f aca="false">IF($T1160="","",IFERROR(INDEX('Resumo Grupos'!$AC$3:$AC$200,MATCH($T1160,'Resumo Grupos'!$AB$3:$AB$200,0)),"n/d"))</f>
        <v>Mercadoria</v>
      </c>
      <c r="AA1160" s="0" t="str">
        <f aca="false">IF($T1160="","",IF(COUNTIF('Resumo Grupos'!$AE$3:$AE$40,$T1160)&gt;0,"NAO","SIM"))</f>
        <v>SIM</v>
      </c>
      <c r="AB1160" s="0" t="str">
        <f aca="false">IFERROR(INDEX('Mov Entradas (Rel 10497)'!$L:$L,MATCH(AC1160,'Mov Entradas (Rel 10497)'!$I:$I,0)),"nao encontrado")</f>
        <v>PAO DE FORMA BROTHER</v>
      </c>
      <c r="AC1160" s="0" t="n">
        <v>1033458</v>
      </c>
    </row>
    <row r="1161" customFormat="false" ht="12.75" hidden="false" customHeight="true" outlineLevel="0" collapsed="false">
      <c r="A1161" s="9" t="n">
        <v>2</v>
      </c>
      <c r="B1161" s="10" t="n">
        <v>46234</v>
      </c>
      <c r="C1161" s="10" t="n">
        <v>46234</v>
      </c>
      <c r="D1161" s="9" t="n">
        <v>1642</v>
      </c>
      <c r="E1161" s="11" t="s">
        <v>228</v>
      </c>
      <c r="F1161" s="9" t="n">
        <v>24</v>
      </c>
      <c r="G1161" s="11" t="s">
        <v>51</v>
      </c>
      <c r="H1161" s="9" t="n">
        <v>2110405</v>
      </c>
      <c r="I1161" s="11" t="s">
        <v>56</v>
      </c>
      <c r="J1161" s="9" t="n">
        <v>1478227</v>
      </c>
      <c r="L1161" s="9" t="n">
        <v>200551</v>
      </c>
      <c r="M1161" s="11" t="s">
        <v>52</v>
      </c>
      <c r="N1161" s="11" t="s">
        <v>45</v>
      </c>
      <c r="P1161" s="9" t="n">
        <v>113</v>
      </c>
      <c r="Q1161" s="11" t="s">
        <v>46</v>
      </c>
      <c r="R1161" s="11" t="s">
        <v>47</v>
      </c>
      <c r="S1161" s="9" t="n">
        <v>1130101</v>
      </c>
      <c r="T1161" s="11" t="s">
        <v>48</v>
      </c>
      <c r="U1161" s="12" t="n">
        <v>296.49</v>
      </c>
      <c r="W1161" s="12" t="n">
        <v>0</v>
      </c>
      <c r="X1161" s="11" t="s">
        <v>1110</v>
      </c>
      <c r="Z1161" s="0" t="str">
        <f aca="false">IF($T1161="","",IFERROR(INDEX('Resumo Grupos'!$AC$3:$AC$200,MATCH($T1161,'Resumo Grupos'!$AB$3:$AB$200,0)),"n/d"))</f>
        <v>Mercadoria</v>
      </c>
      <c r="AA1161" s="0" t="str">
        <f aca="false">IF($T1161="","",IF(COUNTIF('Resumo Grupos'!$AE$3:$AE$40,$T1161)&gt;0,"NAO","SIM"))</f>
        <v>SIM</v>
      </c>
      <c r="AB1161" s="0" t="str">
        <f aca="false">IFERROR(INDEX('Mov Entradas (Rel 10497)'!$L:$L,MATCH(AC1161,'Mov Entradas (Rel 10497)'!$I:$I,0)),"nao encontrado")</f>
        <v>PAO DE FORMA BROTHER</v>
      </c>
      <c r="AC1161" s="0" t="n">
        <v>1032720</v>
      </c>
    </row>
    <row r="1162" customFormat="false" ht="12.75" hidden="false" customHeight="true" outlineLevel="0" collapsed="false">
      <c r="A1162" s="9" t="n">
        <v>2</v>
      </c>
      <c r="B1162" s="10" t="n">
        <v>46212</v>
      </c>
      <c r="C1162" s="10" t="n">
        <v>46234</v>
      </c>
      <c r="D1162" s="9" t="n">
        <v>1718</v>
      </c>
      <c r="E1162" s="11" t="s">
        <v>236</v>
      </c>
      <c r="F1162" s="9" t="n">
        <v>24</v>
      </c>
      <c r="G1162" s="11" t="s">
        <v>51</v>
      </c>
      <c r="H1162" s="9" t="n">
        <v>2110101</v>
      </c>
      <c r="I1162" s="11" t="s">
        <v>43</v>
      </c>
      <c r="J1162" s="9" t="n">
        <v>1374907</v>
      </c>
      <c r="L1162" s="9" t="n">
        <v>681127</v>
      </c>
      <c r="M1162" s="11" t="s">
        <v>44</v>
      </c>
      <c r="N1162" s="11" t="s">
        <v>37</v>
      </c>
      <c r="P1162" s="9" t="n">
        <v>113</v>
      </c>
      <c r="Q1162" s="11" t="s">
        <v>46</v>
      </c>
      <c r="R1162" s="11" t="s">
        <v>47</v>
      </c>
      <c r="S1162" s="9" t="n">
        <v>1130101</v>
      </c>
      <c r="T1162" s="11" t="s">
        <v>48</v>
      </c>
      <c r="U1162" s="12" t="n">
        <v>509.25</v>
      </c>
      <c r="W1162" s="12" t="n">
        <v>0</v>
      </c>
      <c r="X1162" s="11" t="s">
        <v>1019</v>
      </c>
      <c r="Z1162" s="0" t="str">
        <f aca="false">IF($T1162="","",IFERROR(INDEX('Resumo Grupos'!$AC$3:$AC$200,MATCH($T1162,'Resumo Grupos'!$AB$3:$AB$200,0)),"n/d"))</f>
        <v>Mercadoria</v>
      </c>
      <c r="AA1162" s="0" t="str">
        <f aca="false">IF($T1162="","",IF(COUNTIF('Resumo Grupos'!$AE$3:$AE$40,$T1162)&gt;0,"NAO","SIM"))</f>
        <v>SIM</v>
      </c>
      <c r="AB1162" s="0" t="str">
        <f aca="false">IFERROR(INDEX('Mov Entradas (Rel 10497)'!$L:$L,MATCH(AC1162,'Mov Entradas (Rel 10497)'!$I:$I,0)),"nao encontrado")</f>
        <v>BIS OREO 100,8G</v>
      </c>
      <c r="AC1162" s="0" t="n">
        <v>681127</v>
      </c>
    </row>
    <row r="1163" customFormat="false" ht="12.75" hidden="false" customHeight="true" outlineLevel="0" collapsed="false">
      <c r="A1163" s="9" t="n">
        <v>2</v>
      </c>
      <c r="B1163" s="10" t="n">
        <v>46227</v>
      </c>
      <c r="C1163" s="10" t="n">
        <v>46234</v>
      </c>
      <c r="D1163" s="9" t="n">
        <v>1608</v>
      </c>
      <c r="E1163" s="11" t="s">
        <v>240</v>
      </c>
      <c r="F1163" s="9" t="n">
        <v>24</v>
      </c>
      <c r="G1163" s="11" t="s">
        <v>51</v>
      </c>
      <c r="H1163" s="9" t="n">
        <v>2110405</v>
      </c>
      <c r="I1163" s="11" t="s">
        <v>56</v>
      </c>
      <c r="J1163" s="9" t="n">
        <v>1443665</v>
      </c>
      <c r="L1163" s="9" t="n">
        <v>195236</v>
      </c>
      <c r="M1163" s="11" t="s">
        <v>52</v>
      </c>
      <c r="N1163" s="11" t="s">
        <v>45</v>
      </c>
      <c r="P1163" s="9" t="n">
        <v>113</v>
      </c>
      <c r="Q1163" s="11" t="s">
        <v>46</v>
      </c>
      <c r="R1163" s="11" t="s">
        <v>47</v>
      </c>
      <c r="S1163" s="9" t="n">
        <v>1130101</v>
      </c>
      <c r="T1163" s="11" t="s">
        <v>48</v>
      </c>
      <c r="U1163" s="12" t="n">
        <v>590.09</v>
      </c>
      <c r="W1163" s="12" t="n">
        <v>0</v>
      </c>
      <c r="X1163" s="11" t="s">
        <v>1111</v>
      </c>
      <c r="Z1163" s="0" t="str">
        <f aca="false">IF($T1163="","",IFERROR(INDEX('Resumo Grupos'!$AC$3:$AC$200,MATCH($T1163,'Resumo Grupos'!$AB$3:$AB$200,0)),"n/d"))</f>
        <v>Mercadoria</v>
      </c>
      <c r="AA1163" s="0" t="str">
        <f aca="false">IF($T1163="","",IF(COUNTIF('Resumo Grupos'!$AE$3:$AE$40,$T1163)&gt;0,"NAO","SIM"))</f>
        <v>SIM</v>
      </c>
      <c r="AB1163" s="0" t="str">
        <f aca="false">IFERROR(INDEX('Mov Entradas (Rel 10497)'!$L:$L,MATCH(AC1163,'Mov Entradas (Rel 10497)'!$I:$I,0)),"nao encontrado")</f>
        <v>DANONE GREGO UNID FR</v>
      </c>
      <c r="AC1163" s="0" t="n">
        <v>1698937</v>
      </c>
    </row>
    <row r="1164" customFormat="false" ht="12.75" hidden="false" customHeight="true" outlineLevel="0" collapsed="false">
      <c r="A1164" s="9" t="n">
        <v>2</v>
      </c>
      <c r="B1164" s="10" t="n">
        <v>46221</v>
      </c>
      <c r="C1164" s="10" t="n">
        <v>46234</v>
      </c>
      <c r="D1164" s="9" t="n">
        <v>1636</v>
      </c>
      <c r="E1164" s="11" t="s">
        <v>61</v>
      </c>
      <c r="F1164" s="9" t="n">
        <v>24</v>
      </c>
      <c r="G1164" s="11" t="s">
        <v>51</v>
      </c>
      <c r="H1164" s="9" t="n">
        <v>2110405</v>
      </c>
      <c r="I1164" s="11" t="s">
        <v>56</v>
      </c>
      <c r="J1164" s="9" t="n">
        <v>1414727</v>
      </c>
      <c r="L1164" s="9" t="n">
        <v>190725</v>
      </c>
      <c r="M1164" s="11" t="s">
        <v>52</v>
      </c>
      <c r="N1164" s="11" t="s">
        <v>45</v>
      </c>
      <c r="P1164" s="9" t="n">
        <v>113</v>
      </c>
      <c r="Q1164" s="11" t="s">
        <v>46</v>
      </c>
      <c r="R1164" s="11" t="s">
        <v>47</v>
      </c>
      <c r="S1164" s="9" t="n">
        <v>1130101</v>
      </c>
      <c r="T1164" s="11" t="s">
        <v>48</v>
      </c>
      <c r="U1164" s="12" t="n">
        <v>159.4</v>
      </c>
      <c r="W1164" s="12" t="n">
        <v>0</v>
      </c>
      <c r="X1164" s="11" t="s">
        <v>1112</v>
      </c>
      <c r="Z1164" s="0" t="str">
        <f aca="false">IF($T1164="","",IFERROR(INDEX('Resumo Grupos'!$AC$3:$AC$200,MATCH($T1164,'Resumo Grupos'!$AB$3:$AB$200,0)),"n/d"))</f>
        <v>Mercadoria</v>
      </c>
      <c r="AA1164" s="0" t="str">
        <f aca="false">IF($T1164="","",IF(COUNTIF('Resumo Grupos'!$AE$3:$AE$40,$T1164)&gt;0,"NAO","SIM"))</f>
        <v>SIM</v>
      </c>
      <c r="AB1164" s="0" t="str">
        <f aca="false">IFERROR(INDEX('Mov Entradas (Rel 10497)'!$L:$L,MATCH(AC1164,'Mov Entradas (Rel 10497)'!$I:$I,0)),"nao encontrado")</f>
        <v>SAB FRANCIS CAMOMILA</v>
      </c>
      <c r="AC1164" s="0" t="n">
        <v>3221212</v>
      </c>
    </row>
    <row r="1165" customFormat="false" ht="12.75" hidden="false" customHeight="true" outlineLevel="0" collapsed="false">
      <c r="A1165" s="9" t="n">
        <v>2</v>
      </c>
      <c r="B1165" s="10" t="n">
        <v>46221</v>
      </c>
      <c r="C1165" s="10" t="n">
        <v>46234</v>
      </c>
      <c r="D1165" s="9" t="n">
        <v>1683</v>
      </c>
      <c r="E1165" s="11" t="s">
        <v>406</v>
      </c>
      <c r="F1165" s="9" t="n">
        <v>34</v>
      </c>
      <c r="G1165" s="11" t="s">
        <v>55</v>
      </c>
      <c r="H1165" s="9" t="n">
        <v>2110405</v>
      </c>
      <c r="I1165" s="11" t="s">
        <v>56</v>
      </c>
      <c r="J1165" s="9" t="n">
        <v>1414678</v>
      </c>
      <c r="L1165" s="9" t="n">
        <v>190717</v>
      </c>
      <c r="M1165" s="11" t="s">
        <v>52</v>
      </c>
      <c r="N1165" s="11" t="s">
        <v>45</v>
      </c>
      <c r="P1165" s="9" t="n">
        <v>113</v>
      </c>
      <c r="Q1165" s="11" t="s">
        <v>46</v>
      </c>
      <c r="R1165" s="11" t="s">
        <v>47</v>
      </c>
      <c r="S1165" s="9" t="n">
        <v>1130101</v>
      </c>
      <c r="T1165" s="11" t="s">
        <v>48</v>
      </c>
      <c r="U1165" s="12" t="n">
        <v>97.5</v>
      </c>
      <c r="W1165" s="12" t="n">
        <v>0</v>
      </c>
      <c r="X1165" s="11" t="s">
        <v>1113</v>
      </c>
      <c r="Z1165" s="0" t="str">
        <f aca="false">IF($T1165="","",IFERROR(INDEX('Resumo Grupos'!$AC$3:$AC$200,MATCH($T1165,'Resumo Grupos'!$AB$3:$AB$200,0)),"n/d"))</f>
        <v>Mercadoria</v>
      </c>
      <c r="AA1165" s="0" t="str">
        <f aca="false">IF($T1165="","",IF(COUNTIF('Resumo Grupos'!$AE$3:$AE$40,$T1165)&gt;0,"NAO","SIM"))</f>
        <v>SIM</v>
      </c>
      <c r="AB1165" s="0" t="str">
        <f aca="false">IFERROR(INDEX('Mov Entradas (Rel 10497)'!$L:$L,MATCH(AC1165,'Mov Entradas (Rel 10497)'!$I:$I,0)),"nao encontrado")</f>
        <v>COUVE MACO</v>
      </c>
      <c r="AC1165" s="0" t="n">
        <v>1649285</v>
      </c>
    </row>
    <row r="1166" customFormat="false" ht="12.75" hidden="false" customHeight="true" outlineLevel="0" collapsed="false">
      <c r="A1166" s="9" t="n">
        <v>2</v>
      </c>
      <c r="B1166" s="10" t="n">
        <v>46223</v>
      </c>
      <c r="C1166" s="10" t="n">
        <v>46234</v>
      </c>
      <c r="D1166" s="9" t="n">
        <v>1683</v>
      </c>
      <c r="E1166" s="11" t="s">
        <v>406</v>
      </c>
      <c r="F1166" s="9" t="n">
        <v>34</v>
      </c>
      <c r="G1166" s="11" t="s">
        <v>55</v>
      </c>
      <c r="H1166" s="9" t="n">
        <v>2110101</v>
      </c>
      <c r="I1166" s="11" t="s">
        <v>43</v>
      </c>
      <c r="J1166" s="9" t="n">
        <v>1423683</v>
      </c>
      <c r="L1166" s="9" t="n">
        <v>190891</v>
      </c>
      <c r="M1166" s="11" t="s">
        <v>52</v>
      </c>
      <c r="N1166" s="11" t="s">
        <v>45</v>
      </c>
      <c r="P1166" s="9" t="n">
        <v>113</v>
      </c>
      <c r="Q1166" s="11" t="s">
        <v>46</v>
      </c>
      <c r="R1166" s="11" t="s">
        <v>47</v>
      </c>
      <c r="S1166" s="9" t="n">
        <v>1130101</v>
      </c>
      <c r="T1166" s="11" t="s">
        <v>48</v>
      </c>
      <c r="U1166" s="12" t="n">
        <v>137</v>
      </c>
      <c r="W1166" s="12" t="n">
        <v>0</v>
      </c>
      <c r="X1166" s="11" t="s">
        <v>1114</v>
      </c>
      <c r="Z1166" s="0" t="str">
        <f aca="false">IF($T1166="","",IFERROR(INDEX('Resumo Grupos'!$AC$3:$AC$200,MATCH($T1166,'Resumo Grupos'!$AB$3:$AB$200,0)),"n/d"))</f>
        <v>Mercadoria</v>
      </c>
      <c r="AA1166" s="0" t="str">
        <f aca="false">IF($T1166="","",IF(COUNTIF('Resumo Grupos'!$AE$3:$AE$40,$T1166)&gt;0,"NAO","SIM"))</f>
        <v>SIM</v>
      </c>
      <c r="AB1166" s="0" t="str">
        <f aca="false">IFERROR(INDEX('Mov Entradas (Rel 10497)'!$L:$L,MATCH(AC1166,'Mov Entradas (Rel 10497)'!$I:$I,0)),"nao encontrado")</f>
        <v>COUVE MACO</v>
      </c>
      <c r="AC1166" s="0" t="n">
        <v>1649501</v>
      </c>
    </row>
    <row r="1167" customFormat="false" ht="12.75" hidden="false" customHeight="true" outlineLevel="0" collapsed="false">
      <c r="A1167" s="9" t="n">
        <v>2</v>
      </c>
      <c r="B1167" s="10" t="n">
        <v>46224</v>
      </c>
      <c r="C1167" s="10" t="n">
        <v>46234</v>
      </c>
      <c r="D1167" s="9" t="n">
        <v>1683</v>
      </c>
      <c r="E1167" s="11" t="s">
        <v>406</v>
      </c>
      <c r="F1167" s="9" t="n">
        <v>34</v>
      </c>
      <c r="G1167" s="11" t="s">
        <v>55</v>
      </c>
      <c r="H1167" s="9" t="n">
        <v>2110405</v>
      </c>
      <c r="I1167" s="11" t="s">
        <v>56</v>
      </c>
      <c r="J1167" s="9" t="n">
        <v>1427580</v>
      </c>
      <c r="L1167" s="9" t="n">
        <v>190915</v>
      </c>
      <c r="M1167" s="11" t="s">
        <v>52</v>
      </c>
      <c r="N1167" s="11" t="s">
        <v>45</v>
      </c>
      <c r="P1167" s="9" t="n">
        <v>113</v>
      </c>
      <c r="Q1167" s="11" t="s">
        <v>46</v>
      </c>
      <c r="R1167" s="11" t="s">
        <v>47</v>
      </c>
      <c r="S1167" s="9" t="n">
        <v>1130101</v>
      </c>
      <c r="T1167" s="11" t="s">
        <v>48</v>
      </c>
      <c r="U1167" s="12" t="n">
        <v>151</v>
      </c>
      <c r="W1167" s="12" t="n">
        <v>0</v>
      </c>
      <c r="X1167" s="11" t="s">
        <v>1115</v>
      </c>
      <c r="Z1167" s="0" t="str">
        <f aca="false">IF($T1167="","",IFERROR(INDEX('Resumo Grupos'!$AC$3:$AC$200,MATCH($T1167,'Resumo Grupos'!$AB$3:$AB$200,0)),"n/d"))</f>
        <v>Mercadoria</v>
      </c>
      <c r="AA1167" s="0" t="str">
        <f aca="false">IF($T1167="","",IF(COUNTIF('Resumo Grupos'!$AE$3:$AE$40,$T1167)&gt;0,"NAO","SIM"))</f>
        <v>SIM</v>
      </c>
      <c r="AB1167" s="0" t="str">
        <f aca="false">IFERROR(INDEX('Mov Entradas (Rel 10497)'!$L:$L,MATCH(AC1167,'Mov Entradas (Rel 10497)'!$I:$I,0)),"nao encontrado")</f>
        <v>COUVE MACO</v>
      </c>
      <c r="AC1167" s="0" t="n">
        <v>1649880</v>
      </c>
    </row>
    <row r="1168" customFormat="false" ht="12.75" hidden="false" customHeight="true" outlineLevel="0" collapsed="false">
      <c r="A1168" s="9" t="n">
        <v>2</v>
      </c>
      <c r="B1168" s="10" t="n">
        <v>46226</v>
      </c>
      <c r="C1168" s="10" t="n">
        <v>46234</v>
      </c>
      <c r="D1168" s="9" t="n">
        <v>1683</v>
      </c>
      <c r="E1168" s="11" t="s">
        <v>406</v>
      </c>
      <c r="F1168" s="9" t="n">
        <v>34</v>
      </c>
      <c r="G1168" s="11" t="s">
        <v>55</v>
      </c>
      <c r="H1168" s="9" t="n">
        <v>2110405</v>
      </c>
      <c r="I1168" s="11" t="s">
        <v>56</v>
      </c>
      <c r="J1168" s="9" t="n">
        <v>1438809</v>
      </c>
      <c r="L1168" s="9" t="n">
        <v>194390</v>
      </c>
      <c r="M1168" s="11" t="s">
        <v>52</v>
      </c>
      <c r="N1168" s="11" t="s">
        <v>45</v>
      </c>
      <c r="P1168" s="9" t="n">
        <v>113</v>
      </c>
      <c r="Q1168" s="11" t="s">
        <v>46</v>
      </c>
      <c r="R1168" s="11" t="s">
        <v>47</v>
      </c>
      <c r="S1168" s="9" t="n">
        <v>1130101</v>
      </c>
      <c r="T1168" s="11" t="s">
        <v>48</v>
      </c>
      <c r="U1168" s="12" t="n">
        <v>130.5</v>
      </c>
      <c r="W1168" s="12" t="n">
        <v>0</v>
      </c>
      <c r="X1168" s="11" t="s">
        <v>408</v>
      </c>
      <c r="Z1168" s="0" t="str">
        <f aca="false">IF($T1168="","",IFERROR(INDEX('Resumo Grupos'!$AC$3:$AC$200,MATCH($T1168,'Resumo Grupos'!$AB$3:$AB$200,0)),"n/d"))</f>
        <v>Mercadoria</v>
      </c>
      <c r="AA1168" s="0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9" t="n">
        <v>2</v>
      </c>
      <c r="B1169" s="10" t="n">
        <v>46227</v>
      </c>
      <c r="C1169" s="10" t="n">
        <v>46234</v>
      </c>
      <c r="D1169" s="9" t="n">
        <v>1683</v>
      </c>
      <c r="E1169" s="11" t="s">
        <v>406</v>
      </c>
      <c r="F1169" s="9" t="n">
        <v>34</v>
      </c>
      <c r="G1169" s="11" t="s">
        <v>55</v>
      </c>
      <c r="H1169" s="9" t="n">
        <v>2110405</v>
      </c>
      <c r="I1169" s="11" t="s">
        <v>56</v>
      </c>
      <c r="J1169" s="9" t="n">
        <v>1444720</v>
      </c>
      <c r="L1169" s="9" t="n">
        <v>195456</v>
      </c>
      <c r="M1169" s="11" t="s">
        <v>52</v>
      </c>
      <c r="N1169" s="11" t="s">
        <v>45</v>
      </c>
      <c r="P1169" s="9" t="n">
        <v>113</v>
      </c>
      <c r="Q1169" s="11" t="s">
        <v>46</v>
      </c>
      <c r="R1169" s="11" t="s">
        <v>47</v>
      </c>
      <c r="S1169" s="9" t="n">
        <v>1130101</v>
      </c>
      <c r="T1169" s="11" t="s">
        <v>48</v>
      </c>
      <c r="U1169" s="12" t="n">
        <v>71.5</v>
      </c>
      <c r="W1169" s="12" t="n">
        <v>0</v>
      </c>
      <c r="X1169" s="11" t="s">
        <v>408</v>
      </c>
      <c r="Z1169" s="0" t="str">
        <f aca="false">IF($T1169="","",IFERROR(INDEX('Resumo Grupos'!$AC$3:$AC$200,MATCH($T1169,'Resumo Grupos'!$AB$3:$AB$200,0)),"n/d"))</f>
        <v>Mercadoria</v>
      </c>
      <c r="AA1169" s="0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9" t="n">
        <v>2</v>
      </c>
      <c r="B1170" s="10" t="n">
        <v>46230</v>
      </c>
      <c r="C1170" s="10" t="n">
        <v>46234</v>
      </c>
      <c r="D1170" s="9" t="n">
        <v>1683</v>
      </c>
      <c r="E1170" s="11" t="s">
        <v>406</v>
      </c>
      <c r="F1170" s="9" t="n">
        <v>34</v>
      </c>
      <c r="G1170" s="11" t="s">
        <v>55</v>
      </c>
      <c r="H1170" s="9" t="n">
        <v>2110405</v>
      </c>
      <c r="I1170" s="11" t="s">
        <v>56</v>
      </c>
      <c r="J1170" s="9" t="n">
        <v>1458309</v>
      </c>
      <c r="L1170" s="9" t="n">
        <v>197250</v>
      </c>
      <c r="M1170" s="11" t="s">
        <v>52</v>
      </c>
      <c r="N1170" s="11" t="s">
        <v>45</v>
      </c>
      <c r="P1170" s="9" t="n">
        <v>113</v>
      </c>
      <c r="Q1170" s="11" t="s">
        <v>46</v>
      </c>
      <c r="R1170" s="11" t="s">
        <v>47</v>
      </c>
      <c r="S1170" s="9" t="n">
        <v>1130101</v>
      </c>
      <c r="T1170" s="11" t="s">
        <v>48</v>
      </c>
      <c r="U1170" s="12" t="n">
        <v>158</v>
      </c>
      <c r="W1170" s="12" t="n">
        <v>0</v>
      </c>
      <c r="X1170" s="11" t="s">
        <v>408</v>
      </c>
      <c r="Z1170" s="0" t="str">
        <f aca="false">IF($T1170="","",IFERROR(INDEX('Resumo Grupos'!$AC$3:$AC$200,MATCH($T1170,'Resumo Grupos'!$AB$3:$AB$200,0)),"n/d"))</f>
        <v>Mercadoria</v>
      </c>
      <c r="AA1170" s="0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9" t="n">
        <v>2</v>
      </c>
      <c r="B1171" s="10" t="n">
        <v>46231</v>
      </c>
      <c r="C1171" s="10" t="n">
        <v>46234</v>
      </c>
      <c r="D1171" s="9" t="n">
        <v>1683</v>
      </c>
      <c r="E1171" s="11" t="s">
        <v>406</v>
      </c>
      <c r="F1171" s="9" t="n">
        <v>34</v>
      </c>
      <c r="G1171" s="11" t="s">
        <v>55</v>
      </c>
      <c r="H1171" s="9" t="n">
        <v>2110405</v>
      </c>
      <c r="I1171" s="11" t="s">
        <v>56</v>
      </c>
      <c r="J1171" s="9" t="n">
        <v>1464423</v>
      </c>
      <c r="L1171" s="9" t="n">
        <v>198275</v>
      </c>
      <c r="M1171" s="11" t="s">
        <v>52</v>
      </c>
      <c r="N1171" s="11" t="s">
        <v>45</v>
      </c>
      <c r="P1171" s="9" t="n">
        <v>113</v>
      </c>
      <c r="Q1171" s="11" t="s">
        <v>46</v>
      </c>
      <c r="R1171" s="11" t="s">
        <v>47</v>
      </c>
      <c r="S1171" s="9" t="n">
        <v>1130101</v>
      </c>
      <c r="T1171" s="11" t="s">
        <v>48</v>
      </c>
      <c r="U1171" s="12" t="n">
        <v>54</v>
      </c>
      <c r="W1171" s="12" t="n">
        <v>0</v>
      </c>
      <c r="X1171" s="11" t="s">
        <v>408</v>
      </c>
      <c r="Z1171" s="0" t="str">
        <f aca="false">IF($T1171="","",IFERROR(INDEX('Resumo Grupos'!$AC$3:$AC$200,MATCH($T1171,'Resumo Grupos'!$AB$3:$AB$200,0)),"n/d"))</f>
        <v>Mercadoria</v>
      </c>
      <c r="AA1171" s="0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9" t="n">
        <v>2</v>
      </c>
      <c r="B1172" s="10" t="n">
        <v>46232</v>
      </c>
      <c r="C1172" s="10" t="n">
        <v>46234</v>
      </c>
      <c r="D1172" s="9" t="n">
        <v>1683</v>
      </c>
      <c r="E1172" s="11" t="s">
        <v>406</v>
      </c>
      <c r="F1172" s="9" t="n">
        <v>34</v>
      </c>
      <c r="G1172" s="11" t="s">
        <v>55</v>
      </c>
      <c r="H1172" s="9" t="n">
        <v>2110405</v>
      </c>
      <c r="I1172" s="11" t="s">
        <v>56</v>
      </c>
      <c r="J1172" s="9" t="n">
        <v>1469141</v>
      </c>
      <c r="L1172" s="9" t="n">
        <v>199026</v>
      </c>
      <c r="M1172" s="11" t="s">
        <v>52</v>
      </c>
      <c r="N1172" s="11" t="s">
        <v>45</v>
      </c>
      <c r="P1172" s="9" t="n">
        <v>113</v>
      </c>
      <c r="Q1172" s="11" t="s">
        <v>46</v>
      </c>
      <c r="R1172" s="11" t="s">
        <v>47</v>
      </c>
      <c r="S1172" s="9" t="n">
        <v>1130101</v>
      </c>
      <c r="T1172" s="11" t="s">
        <v>48</v>
      </c>
      <c r="U1172" s="12" t="n">
        <v>129.5</v>
      </c>
      <c r="W1172" s="12" t="n">
        <v>0</v>
      </c>
      <c r="X1172" s="11" t="s">
        <v>408</v>
      </c>
      <c r="Z1172" s="0" t="str">
        <f aca="false">IF($T1172="","",IFERROR(INDEX('Resumo Grupos'!$AC$3:$AC$200,MATCH($T1172,'Resumo Grupos'!$AB$3:$AB$200,0)),"n/d"))</f>
        <v>Mercadoria</v>
      </c>
      <c r="AA1172" s="0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9" t="n">
        <v>2</v>
      </c>
      <c r="B1173" s="10" t="n">
        <v>46234</v>
      </c>
      <c r="C1173" s="10" t="n">
        <v>46234</v>
      </c>
      <c r="D1173" s="9" t="n">
        <v>1683</v>
      </c>
      <c r="E1173" s="11" t="s">
        <v>406</v>
      </c>
      <c r="F1173" s="9" t="n">
        <v>34</v>
      </c>
      <c r="G1173" s="11" t="s">
        <v>55</v>
      </c>
      <c r="H1173" s="9" t="n">
        <v>2110405</v>
      </c>
      <c r="I1173" s="11" t="s">
        <v>56</v>
      </c>
      <c r="J1173" s="9" t="n">
        <v>1478661</v>
      </c>
      <c r="L1173" s="9" t="n">
        <v>200648</v>
      </c>
      <c r="M1173" s="11" t="s">
        <v>52</v>
      </c>
      <c r="N1173" s="11" t="s">
        <v>45</v>
      </c>
      <c r="P1173" s="9" t="n">
        <v>113</v>
      </c>
      <c r="Q1173" s="11" t="s">
        <v>46</v>
      </c>
      <c r="R1173" s="11" t="s">
        <v>47</v>
      </c>
      <c r="S1173" s="9" t="n">
        <v>1130101</v>
      </c>
      <c r="T1173" s="11" t="s">
        <v>48</v>
      </c>
      <c r="U1173" s="12" t="n">
        <v>125</v>
      </c>
      <c r="W1173" s="12" t="n">
        <v>0</v>
      </c>
      <c r="X1173" s="11" t="s">
        <v>408</v>
      </c>
      <c r="Z1173" s="0" t="str">
        <f aca="false">IF($T1173="","",IFERROR(INDEX('Resumo Grupos'!$AC$3:$AC$200,MATCH($T1173,'Resumo Grupos'!$AB$3:$AB$200,0)),"n/d"))</f>
        <v>Mercadoria</v>
      </c>
      <c r="AA1173" s="0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9" t="n">
        <v>2</v>
      </c>
      <c r="B1174" s="10" t="n">
        <v>46234</v>
      </c>
      <c r="C1174" s="10" t="n">
        <v>46234</v>
      </c>
      <c r="D1174" s="9" t="n">
        <v>1037</v>
      </c>
      <c r="E1174" s="11" t="s">
        <v>134</v>
      </c>
      <c r="F1174" s="9" t="n">
        <v>34</v>
      </c>
      <c r="G1174" s="11" t="s">
        <v>55</v>
      </c>
      <c r="H1174" s="9" t="n">
        <v>2110405</v>
      </c>
      <c r="I1174" s="11" t="s">
        <v>56</v>
      </c>
      <c r="J1174" s="9" t="n">
        <v>1479056</v>
      </c>
      <c r="L1174" s="9" t="n">
        <v>200715</v>
      </c>
      <c r="M1174" s="11" t="s">
        <v>52</v>
      </c>
      <c r="N1174" s="11" t="s">
        <v>45</v>
      </c>
      <c r="P1174" s="9" t="n">
        <v>113</v>
      </c>
      <c r="Q1174" s="11" t="s">
        <v>46</v>
      </c>
      <c r="R1174" s="11" t="s">
        <v>47</v>
      </c>
      <c r="S1174" s="9" t="n">
        <v>1130101</v>
      </c>
      <c r="T1174" s="11" t="s">
        <v>48</v>
      </c>
      <c r="U1174" s="12" t="n">
        <v>370</v>
      </c>
      <c r="W1174" s="12" t="n">
        <v>0</v>
      </c>
      <c r="X1174" s="11" t="s">
        <v>1116</v>
      </c>
      <c r="Z1174" s="0" t="str">
        <f aca="false">IF($T1174="","",IFERROR(INDEX('Resumo Grupos'!$AC$3:$AC$200,MATCH($T1174,'Resumo Grupos'!$AB$3:$AB$200,0)),"n/d"))</f>
        <v>Mercadoria</v>
      </c>
      <c r="AA1174" s="0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9" t="n">
        <v>2</v>
      </c>
      <c r="B1175" s="10" t="n">
        <v>46234</v>
      </c>
      <c r="C1175" s="10" t="n">
        <v>46234</v>
      </c>
      <c r="D1175" s="9" t="n">
        <v>10096</v>
      </c>
      <c r="E1175" s="11" t="s">
        <v>622</v>
      </c>
      <c r="F1175" s="9" t="n">
        <v>13</v>
      </c>
      <c r="G1175" s="11" t="s">
        <v>135</v>
      </c>
      <c r="H1175" s="9" t="n">
        <v>1110203</v>
      </c>
      <c r="I1175" s="11" t="s">
        <v>117</v>
      </c>
      <c r="J1175" s="9" t="n">
        <v>1482230</v>
      </c>
      <c r="L1175" s="9" t="n">
        <v>201194</v>
      </c>
      <c r="M1175" s="11" t="s">
        <v>52</v>
      </c>
      <c r="N1175" s="11" t="s">
        <v>45</v>
      </c>
      <c r="P1175" s="9" t="n">
        <v>113</v>
      </c>
      <c r="Q1175" s="11" t="s">
        <v>46</v>
      </c>
      <c r="R1175" s="11" t="s">
        <v>47</v>
      </c>
      <c r="S1175" s="9" t="n">
        <v>1130101</v>
      </c>
      <c r="T1175" s="11" t="s">
        <v>48</v>
      </c>
      <c r="U1175" s="12" t="n">
        <v>140</v>
      </c>
      <c r="W1175" s="12" t="n">
        <v>140</v>
      </c>
      <c r="X1175" s="11" t="s">
        <v>1117</v>
      </c>
      <c r="Z1175" s="0" t="str">
        <f aca="false">IF($T1175="","",IFERROR(INDEX('Resumo Grupos'!$AC$3:$AC$200,MATCH($T1175,'Resumo Grupos'!$AB$3:$AB$200,0)),"n/d"))</f>
        <v>Mercadoria</v>
      </c>
      <c r="AA1175" s="0" t="str">
        <f aca="false">IF($T1175="","",IF(COUNTIF('Resumo Grupos'!$AE$3:$AE$40,$T1175)&gt;0,"NAO","SIM"))</f>
        <v>SIM</v>
      </c>
      <c r="AB1175" s="0" t="str">
        <f aca="false">IFERROR(INDEX('Mov Entradas (Rel 10497)'!$L:$L,MATCH(AC1175,'Mov Entradas (Rel 10497)'!$I:$I,0)),"nao encontrado")</f>
        <v>BOLO MIYAZAKI GRANDE</v>
      </c>
      <c r="AC1175" s="0" t="n">
        <v>102</v>
      </c>
    </row>
    <row r="1176" customFormat="false" ht="12.75" hidden="false" customHeight="true" outlineLevel="0" collapsed="false">
      <c r="A1176" s="9" t="n">
        <v>2</v>
      </c>
      <c r="B1176" s="10" t="n">
        <v>46227</v>
      </c>
      <c r="C1176" s="10" t="n">
        <v>46234</v>
      </c>
      <c r="D1176" s="9" t="n">
        <v>22</v>
      </c>
      <c r="E1176" s="11" t="s">
        <v>245</v>
      </c>
      <c r="F1176" s="9" t="n">
        <v>34</v>
      </c>
      <c r="G1176" s="11" t="s">
        <v>55</v>
      </c>
      <c r="H1176" s="9" t="n">
        <v>2110405</v>
      </c>
      <c r="I1176" s="11" t="s">
        <v>56</v>
      </c>
      <c r="J1176" s="9" t="n">
        <v>1444975</v>
      </c>
      <c r="L1176" s="9" t="n">
        <v>195525</v>
      </c>
      <c r="M1176" s="11" t="s">
        <v>52</v>
      </c>
      <c r="N1176" s="11" t="s">
        <v>45</v>
      </c>
      <c r="P1176" s="9" t="n">
        <v>101</v>
      </c>
      <c r="Q1176" s="11" t="s">
        <v>57</v>
      </c>
      <c r="R1176" s="11" t="s">
        <v>71</v>
      </c>
      <c r="S1176" s="9" t="n">
        <v>4210304</v>
      </c>
      <c r="T1176" s="11" t="s">
        <v>1118</v>
      </c>
      <c r="U1176" s="12" t="n">
        <v>2355.82</v>
      </c>
      <c r="W1176" s="12" t="n">
        <v>0</v>
      </c>
      <c r="X1176" s="11" t="s">
        <v>1119</v>
      </c>
      <c r="Z1176" s="0" t="str">
        <f aca="false">IF($T1176="","",IFERROR(INDEX('Resumo Grupos'!$AC$3:$AC$200,MATCH($T1176,'Resumo Grupos'!$AB$3:$AB$200,0)),"n/d"))</f>
        <v>Salários</v>
      </c>
      <c r="AA1176" s="0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9" t="n">
        <v>2</v>
      </c>
      <c r="B1177" s="10" t="n">
        <v>46234</v>
      </c>
      <c r="C1177" s="10" t="n">
        <v>46234</v>
      </c>
      <c r="D1177" s="9" t="n">
        <v>10047</v>
      </c>
      <c r="E1177" s="11" t="s">
        <v>691</v>
      </c>
      <c r="F1177" s="9" t="n">
        <v>24</v>
      </c>
      <c r="G1177" s="11" t="s">
        <v>51</v>
      </c>
      <c r="H1177" s="9" t="n">
        <v>2110405</v>
      </c>
      <c r="I1177" s="11" t="s">
        <v>56</v>
      </c>
      <c r="J1177" s="9" t="n">
        <v>1478012</v>
      </c>
      <c r="L1177" s="9" t="n">
        <v>103272</v>
      </c>
      <c r="M1177" s="11" t="s">
        <v>52</v>
      </c>
      <c r="N1177" s="11" t="s">
        <v>45</v>
      </c>
      <c r="P1177" s="9" t="n">
        <v>101</v>
      </c>
      <c r="Q1177" s="11" t="s">
        <v>57</v>
      </c>
      <c r="R1177" s="11" t="s">
        <v>47</v>
      </c>
      <c r="S1177" s="9" t="n">
        <v>1130101</v>
      </c>
      <c r="T1177" s="11" t="s">
        <v>48</v>
      </c>
      <c r="U1177" s="12" t="n">
        <v>2.94</v>
      </c>
      <c r="W1177" s="12" t="n">
        <v>0</v>
      </c>
      <c r="X1177" s="11" t="s">
        <v>1120</v>
      </c>
      <c r="Z1177" s="0" t="str">
        <f aca="false">IF($T1177="","",IFERROR(INDEX('Resumo Grupos'!$AC$3:$AC$200,MATCH($T1177,'Resumo Grupos'!$AB$3:$AB$200,0)),"n/d"))</f>
        <v>Mercadoria</v>
      </c>
      <c r="AA1177" s="0" t="str">
        <f aca="false">IF($T1177="","",IF(COUNTIF('Resumo Grupos'!$AE$3:$AE$40,$T1177)&gt;0,"NAO","SIM"))</f>
        <v>SIM</v>
      </c>
      <c r="AB1177" s="0" t="str">
        <f aca="false">IFERROR(INDEX('Mov Entradas (Rel 10497)'!$L:$L,MATCH(AC1177,'Mov Entradas (Rel 10497)'!$I:$I,0)),"nao encontrado")</f>
        <v>nao encontrado</v>
      </c>
      <c r="AC1177" s="0" t="n">
        <v>103272</v>
      </c>
    </row>
    <row r="1178" customFormat="false" ht="12.75" hidden="false" customHeight="true" outlineLevel="0" collapsed="false">
      <c r="A1178" s="9" t="n">
        <v>2</v>
      </c>
      <c r="B1178" s="10" t="n">
        <v>46216</v>
      </c>
      <c r="C1178" s="10" t="n">
        <v>46234</v>
      </c>
      <c r="D1178" s="9" t="n">
        <v>1675</v>
      </c>
      <c r="E1178" s="11" t="s">
        <v>289</v>
      </c>
      <c r="F1178" s="9" t="n">
        <v>24</v>
      </c>
      <c r="G1178" s="11" t="s">
        <v>51</v>
      </c>
      <c r="H1178" s="9" t="n">
        <v>2110101</v>
      </c>
      <c r="I1178" s="11" t="s">
        <v>43</v>
      </c>
      <c r="J1178" s="9" t="n">
        <v>1394185</v>
      </c>
      <c r="L1178" s="9" t="n">
        <v>501201</v>
      </c>
      <c r="M1178" s="11" t="s">
        <v>44</v>
      </c>
      <c r="N1178" s="11" t="s">
        <v>37</v>
      </c>
      <c r="P1178" s="9" t="n">
        <v>113</v>
      </c>
      <c r="Q1178" s="11" t="s">
        <v>46</v>
      </c>
      <c r="R1178" s="11" t="s">
        <v>47</v>
      </c>
      <c r="S1178" s="9" t="n">
        <v>1130101</v>
      </c>
      <c r="T1178" s="11" t="s">
        <v>48</v>
      </c>
      <c r="U1178" s="12" t="n">
        <v>2112.99</v>
      </c>
      <c r="W1178" s="12" t="n">
        <v>0</v>
      </c>
      <c r="X1178" s="11" t="s">
        <v>1022</v>
      </c>
      <c r="Z1178" s="0" t="str">
        <f aca="false">IF($T1178="","",IFERROR(INDEX('Resumo Grupos'!$AC$3:$AC$200,MATCH($T1178,'Resumo Grupos'!$AB$3:$AB$200,0)),"n/d"))</f>
        <v>Mercadoria</v>
      </c>
      <c r="AA1178" s="0" t="str">
        <f aca="false">IF($T1178="","",IF(COUNTIF('Resumo Grupos'!$AE$3:$AE$40,$T1178)&gt;0,"NAO","SIM"))</f>
        <v>SIM</v>
      </c>
      <c r="AB1178" s="0" t="str">
        <f aca="false">IFERROR(INDEX('Mov Entradas (Rel 10497)'!$L:$L,MATCH(AC1178,'Mov Entradas (Rel 10497)'!$I:$I,0)),"nao encontrado")</f>
        <v>ABS NATURALME S 8UN</v>
      </c>
      <c r="AC1178" s="0" t="n">
        <v>501201</v>
      </c>
    </row>
    <row r="1179" customFormat="false" ht="12.75" hidden="false" customHeight="true" outlineLevel="0" collapsed="false">
      <c r="A1179" s="9" t="n">
        <v>2</v>
      </c>
      <c r="B1179" s="10" t="n">
        <v>46220</v>
      </c>
      <c r="C1179" s="10" t="n">
        <v>46234</v>
      </c>
      <c r="D1179" s="9" t="n">
        <v>1675</v>
      </c>
      <c r="E1179" s="11" t="s">
        <v>289</v>
      </c>
      <c r="F1179" s="9" t="n">
        <v>24</v>
      </c>
      <c r="G1179" s="11" t="s">
        <v>51</v>
      </c>
      <c r="H1179" s="9" t="n">
        <v>2110405</v>
      </c>
      <c r="I1179" s="11" t="s">
        <v>56</v>
      </c>
      <c r="J1179" s="9" t="n">
        <v>1410478</v>
      </c>
      <c r="L1179" s="9" t="n">
        <v>190062</v>
      </c>
      <c r="M1179" s="11" t="s">
        <v>52</v>
      </c>
      <c r="N1179" s="11" t="s">
        <v>45</v>
      </c>
      <c r="P1179" s="9" t="n">
        <v>113</v>
      </c>
      <c r="Q1179" s="11" t="s">
        <v>46</v>
      </c>
      <c r="R1179" s="11" t="s">
        <v>47</v>
      </c>
      <c r="S1179" s="9" t="n">
        <v>1130101</v>
      </c>
      <c r="T1179" s="11" t="s">
        <v>48</v>
      </c>
      <c r="U1179" s="12" t="n">
        <v>308.88</v>
      </c>
      <c r="W1179" s="12" t="n">
        <v>0</v>
      </c>
      <c r="X1179" s="11" t="s">
        <v>1121</v>
      </c>
      <c r="Z1179" s="0" t="str">
        <f aca="false">IF($T1179="","",IFERROR(INDEX('Resumo Grupos'!$AC$3:$AC$200,MATCH($T1179,'Resumo Grupos'!$AB$3:$AB$200,0)),"n/d"))</f>
        <v>Mercadoria</v>
      </c>
      <c r="AA1179" s="0" t="str">
        <f aca="false">IF($T1179="","",IF(COUNTIF('Resumo Grupos'!$AE$3:$AE$40,$T1179)&gt;0,"NAO","SIM"))</f>
        <v>SIM</v>
      </c>
      <c r="AB1179" s="0" t="str">
        <f aca="false">IFERROR(INDEX('Mov Entradas (Rel 10497)'!$L:$L,MATCH(AC1179,'Mov Entradas (Rel 10497)'!$I:$I,0)),"nao encontrado")</f>
        <v>MAC.D BENTA ESP 500G</v>
      </c>
      <c r="AC1179" s="0" t="n">
        <v>502367</v>
      </c>
    </row>
    <row r="1180" customFormat="false" ht="12.75" hidden="false" customHeight="true" outlineLevel="0" collapsed="false">
      <c r="A1180" s="9" t="n">
        <v>2</v>
      </c>
      <c r="B1180" s="10" t="n">
        <v>46217</v>
      </c>
      <c r="C1180" s="10" t="n">
        <v>46234</v>
      </c>
      <c r="D1180" s="9" t="n">
        <v>1611</v>
      </c>
      <c r="E1180" s="11" t="s">
        <v>178</v>
      </c>
      <c r="F1180" s="9" t="n">
        <v>24</v>
      </c>
      <c r="G1180" s="11" t="s">
        <v>51</v>
      </c>
      <c r="H1180" s="9" t="n">
        <v>2110405</v>
      </c>
      <c r="I1180" s="11" t="s">
        <v>56</v>
      </c>
      <c r="J1180" s="9" t="n">
        <v>1397328</v>
      </c>
      <c r="L1180" s="9" t="n">
        <v>187913</v>
      </c>
      <c r="M1180" s="11" t="s">
        <v>52</v>
      </c>
      <c r="N1180" s="11" t="s">
        <v>45</v>
      </c>
      <c r="P1180" s="9" t="n">
        <v>113</v>
      </c>
      <c r="Q1180" s="11" t="s">
        <v>46</v>
      </c>
      <c r="R1180" s="11" t="s">
        <v>47</v>
      </c>
      <c r="S1180" s="9" t="n">
        <v>1130101</v>
      </c>
      <c r="T1180" s="11" t="s">
        <v>48</v>
      </c>
      <c r="U1180" s="12" t="n">
        <v>278.28</v>
      </c>
      <c r="W1180" s="12" t="n">
        <v>0</v>
      </c>
      <c r="X1180" s="11" t="s">
        <v>1122</v>
      </c>
      <c r="Z1180" s="0" t="str">
        <f aca="false">IF($T1180="","",IFERROR(INDEX('Resumo Grupos'!$AC$3:$AC$200,MATCH($T1180,'Resumo Grupos'!$AB$3:$AB$200,0)),"n/d"))</f>
        <v>Mercadoria</v>
      </c>
      <c r="AA1180" s="0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9" t="n">
        <v>2</v>
      </c>
      <c r="B1181" s="10" t="n">
        <v>46234</v>
      </c>
      <c r="C1181" s="10" t="n">
        <v>46234</v>
      </c>
      <c r="D1181" s="9" t="n">
        <v>48</v>
      </c>
      <c r="E1181" s="11" t="s">
        <v>153</v>
      </c>
      <c r="F1181" s="9" t="n">
        <v>34</v>
      </c>
      <c r="G1181" s="11" t="s">
        <v>55</v>
      </c>
      <c r="H1181" s="9" t="n">
        <v>2110101</v>
      </c>
      <c r="I1181" s="11" t="s">
        <v>43</v>
      </c>
      <c r="J1181" s="9" t="n">
        <v>1479031</v>
      </c>
      <c r="L1181" s="9" t="n">
        <v>2578</v>
      </c>
      <c r="M1181" s="11" t="s">
        <v>52</v>
      </c>
      <c r="N1181" s="11" t="s">
        <v>37</v>
      </c>
      <c r="P1181" s="9" t="n">
        <v>113</v>
      </c>
      <c r="Q1181" s="11" t="s">
        <v>46</v>
      </c>
      <c r="R1181" s="11" t="s">
        <v>47</v>
      </c>
      <c r="S1181" s="9" t="n">
        <v>1130101</v>
      </c>
      <c r="T1181" s="11" t="s">
        <v>48</v>
      </c>
      <c r="U1181" s="12" t="n">
        <v>1612.25</v>
      </c>
      <c r="W1181" s="12" t="n">
        <v>0</v>
      </c>
      <c r="X1181" s="11" t="s">
        <v>252</v>
      </c>
      <c r="Z1181" s="0" t="str">
        <f aca="false">IF($T1181="","",IFERROR(INDEX('Resumo Grupos'!$AC$3:$AC$200,MATCH($T1181,'Resumo Grupos'!$AB$3:$AB$200,0)),"n/d"))</f>
        <v>Mercadoria</v>
      </c>
      <c r="AA1181" s="0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9" t="n">
        <v>2</v>
      </c>
      <c r="B1182" s="10" t="n">
        <v>46234</v>
      </c>
      <c r="C1182" s="10" t="n">
        <v>46234</v>
      </c>
      <c r="D1182" s="9" t="n">
        <v>0</v>
      </c>
      <c r="E1182" s="11" t="s">
        <v>109</v>
      </c>
      <c r="F1182" s="9" t="n">
        <v>17</v>
      </c>
      <c r="G1182" s="11" t="s">
        <v>110</v>
      </c>
      <c r="H1182" s="9" t="n">
        <v>1110101</v>
      </c>
      <c r="I1182" s="11" t="s">
        <v>111</v>
      </c>
      <c r="J1182" s="9" t="n">
        <v>1482246</v>
      </c>
      <c r="L1182" s="9" t="n">
        <v>1482246</v>
      </c>
      <c r="M1182" s="11" t="s">
        <v>52</v>
      </c>
      <c r="N1182" s="11" t="s">
        <v>112</v>
      </c>
      <c r="P1182" s="9" t="n">
        <v>113</v>
      </c>
      <c r="Q1182" s="11" t="s">
        <v>46</v>
      </c>
      <c r="R1182" s="11" t="s">
        <v>71</v>
      </c>
      <c r="S1182" s="9" t="n">
        <v>4210314</v>
      </c>
      <c r="T1182" s="11" t="s">
        <v>113</v>
      </c>
      <c r="U1182" s="12" t="n">
        <v>50</v>
      </c>
      <c r="W1182" s="12" t="n">
        <v>50</v>
      </c>
      <c r="X1182" s="11" t="s">
        <v>368</v>
      </c>
      <c r="Z1182" s="0" t="str">
        <f aca="false">IF($T1182="","",IFERROR(INDEX('Resumo Grupos'!$AC$3:$AC$200,MATCH($T1182,'Resumo Grupos'!$AB$3:$AB$200,0)),"n/d"))</f>
        <v>Despesa</v>
      </c>
      <c r="AA1182" s="0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9" t="n">
        <v>2</v>
      </c>
      <c r="B1183" s="10" t="n">
        <v>46234</v>
      </c>
      <c r="C1183" s="10" t="n">
        <v>46234</v>
      </c>
      <c r="D1183" s="9" t="n">
        <v>0</v>
      </c>
      <c r="E1183" s="11" t="s">
        <v>109</v>
      </c>
      <c r="F1183" s="9" t="n">
        <v>17</v>
      </c>
      <c r="G1183" s="11" t="s">
        <v>110</v>
      </c>
      <c r="H1183" s="9" t="n">
        <v>1110101</v>
      </c>
      <c r="I1183" s="11" t="s">
        <v>111</v>
      </c>
      <c r="J1183" s="9" t="n">
        <v>1482247</v>
      </c>
      <c r="L1183" s="9" t="n">
        <v>1482247</v>
      </c>
      <c r="M1183" s="11" t="s">
        <v>52</v>
      </c>
      <c r="N1183" s="11" t="s">
        <v>112</v>
      </c>
      <c r="P1183" s="9" t="n">
        <v>113</v>
      </c>
      <c r="Q1183" s="11" t="s">
        <v>46</v>
      </c>
      <c r="R1183" s="11" t="s">
        <v>47</v>
      </c>
      <c r="S1183" s="9" t="n">
        <v>1130101</v>
      </c>
      <c r="T1183" s="11" t="s">
        <v>48</v>
      </c>
      <c r="U1183" s="12" t="n">
        <v>108</v>
      </c>
      <c r="W1183" s="12" t="n">
        <v>108</v>
      </c>
      <c r="X1183" s="11" t="s">
        <v>1123</v>
      </c>
      <c r="Z1183" s="0" t="str">
        <f aca="false">IF($T1183="","",IFERROR(INDEX('Resumo Grupos'!$AC$3:$AC$200,MATCH($T1183,'Resumo Grupos'!$AB$3:$AB$200,0)),"n/d"))</f>
        <v>Mercadoria</v>
      </c>
      <c r="AA1183" s="0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9" t="n">
        <v>2</v>
      </c>
      <c r="B1184" s="10" t="n">
        <v>46234</v>
      </c>
      <c r="C1184" s="10" t="n">
        <v>46234</v>
      </c>
      <c r="D1184" s="9" t="n">
        <v>0</v>
      </c>
      <c r="E1184" s="11" t="s">
        <v>109</v>
      </c>
      <c r="F1184" s="9" t="n">
        <v>17</v>
      </c>
      <c r="G1184" s="11" t="s">
        <v>110</v>
      </c>
      <c r="H1184" s="9" t="n">
        <v>1110101</v>
      </c>
      <c r="I1184" s="11" t="s">
        <v>111</v>
      </c>
      <c r="J1184" s="9" t="n">
        <v>1482249</v>
      </c>
      <c r="L1184" s="9" t="n">
        <v>1482249</v>
      </c>
      <c r="M1184" s="11" t="s">
        <v>52</v>
      </c>
      <c r="N1184" s="11" t="s">
        <v>112</v>
      </c>
      <c r="P1184" s="9" t="n">
        <v>113</v>
      </c>
      <c r="Q1184" s="11" t="s">
        <v>46</v>
      </c>
      <c r="R1184" s="11" t="s">
        <v>71</v>
      </c>
      <c r="S1184" s="9" t="n">
        <v>4210314</v>
      </c>
      <c r="T1184" s="11" t="s">
        <v>113</v>
      </c>
      <c r="U1184" s="12" t="n">
        <v>70</v>
      </c>
      <c r="W1184" s="12" t="n">
        <v>70</v>
      </c>
      <c r="X1184" s="11" t="s">
        <v>115</v>
      </c>
      <c r="Z1184" s="0" t="str">
        <f aca="false">IF($T1184="","",IFERROR(INDEX('Resumo Grupos'!$AC$3:$AC$200,MATCH($T1184,'Resumo Grupos'!$AB$3:$AB$200,0)),"n/d"))</f>
        <v>Despesa</v>
      </c>
      <c r="AA1184" s="0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9" t="n">
        <v>2</v>
      </c>
      <c r="B1185" s="10" t="n">
        <v>46234</v>
      </c>
      <c r="C1185" s="10" t="n">
        <v>46234</v>
      </c>
      <c r="D1185" s="9" t="n">
        <v>0</v>
      </c>
      <c r="E1185" s="11" t="s">
        <v>109</v>
      </c>
      <c r="F1185" s="9" t="n">
        <v>17</v>
      </c>
      <c r="G1185" s="11" t="s">
        <v>110</v>
      </c>
      <c r="H1185" s="9" t="n">
        <v>1110101</v>
      </c>
      <c r="I1185" s="11" t="s">
        <v>111</v>
      </c>
      <c r="J1185" s="9" t="n">
        <v>1482252</v>
      </c>
      <c r="L1185" s="9" t="n">
        <v>1482252</v>
      </c>
      <c r="M1185" s="11" t="s">
        <v>52</v>
      </c>
      <c r="N1185" s="11" t="s">
        <v>112</v>
      </c>
      <c r="P1185" s="9" t="n">
        <v>113</v>
      </c>
      <c r="Q1185" s="11" t="s">
        <v>46</v>
      </c>
      <c r="R1185" s="11" t="s">
        <v>116</v>
      </c>
      <c r="S1185" s="9" t="n">
        <v>1110203</v>
      </c>
      <c r="T1185" s="11" t="s">
        <v>117</v>
      </c>
      <c r="U1185" s="12" t="n">
        <v>140</v>
      </c>
      <c r="W1185" s="12" t="n">
        <v>140</v>
      </c>
      <c r="X1185" s="11" t="s">
        <v>1124</v>
      </c>
      <c r="Z1185" s="0" t="str">
        <f aca="false">IF($T1185="","",IFERROR(INDEX('Resumo Grupos'!$AC$3:$AC$200,MATCH($T1185,'Resumo Grupos'!$AB$3:$AB$200,0)),"n/d"))</f>
        <v>Despesa</v>
      </c>
      <c r="AA1185" s="0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9" t="n">
        <v>2</v>
      </c>
      <c r="B1186" s="10" t="n">
        <v>46234</v>
      </c>
      <c r="C1186" s="10" t="n">
        <v>46234</v>
      </c>
      <c r="D1186" s="9" t="n">
        <v>0</v>
      </c>
      <c r="E1186" s="11" t="s">
        <v>109</v>
      </c>
      <c r="F1186" s="9" t="n">
        <v>17</v>
      </c>
      <c r="G1186" s="11" t="s">
        <v>110</v>
      </c>
      <c r="H1186" s="9" t="n">
        <v>1110101</v>
      </c>
      <c r="I1186" s="11" t="s">
        <v>111</v>
      </c>
      <c r="J1186" s="9" t="n">
        <v>1716280</v>
      </c>
      <c r="L1186" s="9" t="n">
        <v>1716280</v>
      </c>
      <c r="M1186" s="11" t="s">
        <v>52</v>
      </c>
      <c r="N1186" s="11" t="s">
        <v>112</v>
      </c>
      <c r="P1186" s="9" t="n">
        <v>113</v>
      </c>
      <c r="Q1186" s="11" t="s">
        <v>46</v>
      </c>
      <c r="R1186" s="11" t="s">
        <v>116</v>
      </c>
      <c r="S1186" s="9" t="n">
        <v>1110203</v>
      </c>
      <c r="T1186" s="11" t="s">
        <v>117</v>
      </c>
      <c r="U1186" s="12" t="n">
        <v>2500</v>
      </c>
      <c r="W1186" s="12" t="n">
        <v>2500</v>
      </c>
      <c r="X1186" s="11" t="s">
        <v>1125</v>
      </c>
      <c r="Z1186" s="0" t="str">
        <f aca="false">IF($T1186="","",IFERROR(INDEX('Resumo Grupos'!$AC$3:$AC$200,MATCH($T1186,'Resumo Grupos'!$AB$3:$AB$200,0)),"n/d"))</f>
        <v>Despesa</v>
      </c>
      <c r="AA1186" s="0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9" t="n">
        <v>2</v>
      </c>
      <c r="B1187" s="10" t="n">
        <v>46227</v>
      </c>
      <c r="C1187" s="10" t="n">
        <v>46234</v>
      </c>
      <c r="D1187" s="9" t="n">
        <v>1666</v>
      </c>
      <c r="E1187" s="11" t="s">
        <v>266</v>
      </c>
      <c r="F1187" s="9" t="n">
        <v>24</v>
      </c>
      <c r="G1187" s="11" t="s">
        <v>51</v>
      </c>
      <c r="H1187" s="9" t="n">
        <v>2110405</v>
      </c>
      <c r="I1187" s="11" t="s">
        <v>56</v>
      </c>
      <c r="J1187" s="9" t="n">
        <v>1443858</v>
      </c>
      <c r="L1187" s="9" t="n">
        <v>195263</v>
      </c>
      <c r="M1187" s="11" t="s">
        <v>52</v>
      </c>
      <c r="N1187" s="11" t="s">
        <v>45</v>
      </c>
      <c r="P1187" s="9" t="n">
        <v>113</v>
      </c>
      <c r="Q1187" s="11" t="s">
        <v>46</v>
      </c>
      <c r="R1187" s="11" t="s">
        <v>47</v>
      </c>
      <c r="S1187" s="9" t="n">
        <v>1130101</v>
      </c>
      <c r="T1187" s="11" t="s">
        <v>48</v>
      </c>
      <c r="U1187" s="12" t="n">
        <v>6361.07</v>
      </c>
      <c r="W1187" s="12" t="n">
        <v>0</v>
      </c>
      <c r="X1187" s="11" t="s">
        <v>1126</v>
      </c>
      <c r="Z1187" s="0" t="str">
        <f aca="false">IF($T1187="","",IFERROR(INDEX('Resumo Grupos'!$AC$3:$AC$200,MATCH($T1187,'Resumo Grupos'!$AB$3:$AB$200,0)),"n/d"))</f>
        <v>Mercadoria</v>
      </c>
      <c r="AA1187" s="0" t="str">
        <f aca="false">IF($T1187="","",IF(COUNTIF('Resumo Grupos'!$AE$3:$AE$40,$T1187)&gt;0,"NAO","SIM"))</f>
        <v>SIM</v>
      </c>
      <c r="AB1187" s="0" t="str">
        <f aca="false">IFERROR(INDEX('Mov Entradas (Rel 10497)'!$L:$L,MATCH(AC1187,'Mov Entradas (Rel 10497)'!$I:$I,0)),"nao encontrado")</f>
        <v>TABACO TREVO NAT.45G</v>
      </c>
      <c r="AC1187" s="0" t="n">
        <v>568309</v>
      </c>
    </row>
    <row r="1188" customFormat="false" ht="12.75" hidden="false" customHeight="true" outlineLevel="0" collapsed="false">
      <c r="A1188" s="9" t="n">
        <v>2</v>
      </c>
      <c r="B1188" s="10" t="n">
        <v>46213</v>
      </c>
      <c r="C1188" s="10" t="n">
        <v>46234</v>
      </c>
      <c r="D1188" s="9" t="n">
        <v>1708</v>
      </c>
      <c r="E1188" s="11" t="s">
        <v>275</v>
      </c>
      <c r="F1188" s="9" t="n">
        <v>24</v>
      </c>
      <c r="G1188" s="11" t="s">
        <v>51</v>
      </c>
      <c r="H1188" s="9" t="n">
        <v>2110101</v>
      </c>
      <c r="I1188" s="11" t="s">
        <v>43</v>
      </c>
      <c r="J1188" s="9" t="n">
        <v>1377397</v>
      </c>
      <c r="L1188" s="9" t="n">
        <v>262932</v>
      </c>
      <c r="M1188" s="11" t="s">
        <v>52</v>
      </c>
      <c r="N1188" s="11" t="s">
        <v>37</v>
      </c>
      <c r="P1188" s="9" t="n">
        <v>113</v>
      </c>
      <c r="Q1188" s="11" t="s">
        <v>46</v>
      </c>
      <c r="R1188" s="11" t="s">
        <v>47</v>
      </c>
      <c r="S1188" s="9" t="n">
        <v>1130101</v>
      </c>
      <c r="T1188" s="11" t="s">
        <v>48</v>
      </c>
      <c r="U1188" s="12" t="n">
        <v>1123.86</v>
      </c>
      <c r="W1188" s="12" t="n">
        <v>0</v>
      </c>
      <c r="X1188" s="11" t="s">
        <v>1127</v>
      </c>
      <c r="Z1188" s="0" t="str">
        <f aca="false">IF($T1188="","",IFERROR(INDEX('Resumo Grupos'!$AC$3:$AC$200,MATCH($T1188,'Resumo Grupos'!$AB$3:$AB$200,0)),"n/d"))</f>
        <v>Mercadoria</v>
      </c>
      <c r="AA1188" s="0" t="str">
        <f aca="false">IF($T1188="","",IF(COUNTIF('Resumo Grupos'!$AE$3:$AE$40,$T1188)&gt;0,"NAO","SIM"))</f>
        <v>SIM</v>
      </c>
      <c r="AB1188" s="0" t="str">
        <f aca="false">IFERROR(INDEX('Mov Entradas (Rel 10497)'!$L:$L,MATCH(AC1188,'Mov Entradas (Rel 10497)'!$I:$I,0)),"nao encontrado")</f>
        <v>PRATO DURALEX 22,4CM</v>
      </c>
      <c r="AC1188" s="0" t="n">
        <v>262932</v>
      </c>
    </row>
    <row r="1189" customFormat="false" ht="12.75" hidden="false" customHeight="true" outlineLevel="0" collapsed="false">
      <c r="A1189" s="9" t="n">
        <v>2</v>
      </c>
      <c r="B1189" s="10" t="n">
        <v>46196</v>
      </c>
      <c r="C1189" s="10" t="n">
        <v>46235</v>
      </c>
      <c r="D1189" s="9" t="n">
        <v>875</v>
      </c>
      <c r="E1189" s="11" t="s">
        <v>42</v>
      </c>
      <c r="F1189" s="9" t="n">
        <v>47</v>
      </c>
      <c r="G1189" s="11" t="s">
        <v>34</v>
      </c>
      <c r="H1189" s="9" t="n">
        <v>2110101</v>
      </c>
      <c r="I1189" s="11" t="s">
        <v>43</v>
      </c>
      <c r="J1189" s="9" t="n">
        <v>1295066</v>
      </c>
      <c r="L1189" s="9" t="n">
        <v>173322</v>
      </c>
      <c r="M1189" s="11" t="s">
        <v>44</v>
      </c>
      <c r="N1189" s="11" t="s">
        <v>45</v>
      </c>
      <c r="P1189" s="9" t="n">
        <v>113</v>
      </c>
      <c r="Q1189" s="11" t="s">
        <v>46</v>
      </c>
      <c r="R1189" s="11" t="s">
        <v>47</v>
      </c>
      <c r="S1189" s="9" t="n">
        <v>1130101</v>
      </c>
      <c r="T1189" s="11" t="s">
        <v>48</v>
      </c>
      <c r="U1189" s="12" t="n">
        <v>1290.17</v>
      </c>
      <c r="W1189" s="12" t="n">
        <v>1290.17</v>
      </c>
      <c r="X1189" s="11" t="s">
        <v>1128</v>
      </c>
      <c r="Z1189" s="0" t="str">
        <f aca="false">IF($T1189="","",IFERROR(INDEX('Resumo Grupos'!$AC$3:$AC$200,MATCH($T1189,'Resumo Grupos'!$AB$3:$AB$200,0)),"n/d"))</f>
        <v>Mercadoria</v>
      </c>
      <c r="AA1189" s="0" t="str">
        <f aca="false">IF($T1189="","",IF(COUNTIF('Resumo Grupos'!$AE$3:$AE$40,$T1189)&gt;0,"NAO","SIM"))</f>
        <v>SIM</v>
      </c>
      <c r="AB1189" s="0" t="str">
        <f aca="false">IFERROR(INDEX('Mov Entradas (Rel 10497)'!$L:$L,MATCH(AC1189,'Mov Entradas (Rel 10497)'!$I:$I,0)),"nao encontrado")</f>
        <v>SUPORTE DE TV CANAA</v>
      </c>
      <c r="AC1189" s="0" t="n">
        <v>1829</v>
      </c>
    </row>
    <row r="1190" customFormat="false" ht="12.75" hidden="false" customHeight="true" outlineLevel="0" collapsed="false">
      <c r="A1190" s="9" t="n">
        <v>2</v>
      </c>
      <c r="B1190" s="10" t="n">
        <v>46226</v>
      </c>
      <c r="C1190" s="10" t="n">
        <v>46235</v>
      </c>
      <c r="D1190" s="9" t="n">
        <v>1723</v>
      </c>
      <c r="E1190" s="11" t="s">
        <v>371</v>
      </c>
      <c r="F1190" s="9" t="n">
        <v>24</v>
      </c>
      <c r="G1190" s="11" t="s">
        <v>51</v>
      </c>
      <c r="H1190" s="9" t="n">
        <v>2110405</v>
      </c>
      <c r="I1190" s="11" t="s">
        <v>56</v>
      </c>
      <c r="J1190" s="9" t="n">
        <v>1439261</v>
      </c>
      <c r="L1190" s="9" t="n">
        <v>194516</v>
      </c>
      <c r="M1190" s="11" t="s">
        <v>52</v>
      </c>
      <c r="N1190" s="11" t="s">
        <v>45</v>
      </c>
      <c r="P1190" s="9" t="n">
        <v>113</v>
      </c>
      <c r="Q1190" s="11" t="s">
        <v>46</v>
      </c>
      <c r="R1190" s="11" t="s">
        <v>47</v>
      </c>
      <c r="S1190" s="9" t="n">
        <v>1130101</v>
      </c>
      <c r="T1190" s="11" t="s">
        <v>48</v>
      </c>
      <c r="U1190" s="12" t="n">
        <v>3811.4</v>
      </c>
      <c r="W1190" s="12" t="n">
        <v>3811.4</v>
      </c>
      <c r="X1190" s="11" t="s">
        <v>1129</v>
      </c>
      <c r="Z1190" s="0" t="str">
        <f aca="false">IF($T1190="","",IFERROR(INDEX('Resumo Grupos'!$AC$3:$AC$200,MATCH($T1190,'Resumo Grupos'!$AB$3:$AB$200,0)),"n/d"))</f>
        <v>Mercadoria</v>
      </c>
      <c r="AA1190" s="0" t="str">
        <f aca="false">IF($T1190="","",IF(COUNTIF('Resumo Grupos'!$AE$3:$AE$40,$T1190)&gt;0,"NAO","SIM"))</f>
        <v>SIM</v>
      </c>
      <c r="AB1190" s="0" t="str">
        <f aca="false">IFERROR(INDEX('Mov Entradas (Rel 10497)'!$L:$L,MATCH(AC1190,'Mov Entradas (Rel 10497)'!$I:$I,0)),"nao encontrado")</f>
        <v>TRASEIRO DE BOI L1</v>
      </c>
      <c r="AC1190" s="0" t="n">
        <v>173594</v>
      </c>
    </row>
    <row r="1191" customFormat="false" ht="12.75" hidden="false" customHeight="true" outlineLevel="0" collapsed="false">
      <c r="A1191" s="9" t="n">
        <v>2</v>
      </c>
      <c r="B1191" s="10" t="n">
        <v>46235</v>
      </c>
      <c r="C1191" s="10" t="n">
        <v>46235</v>
      </c>
      <c r="D1191" s="9" t="n">
        <v>73</v>
      </c>
      <c r="E1191" s="11" t="s">
        <v>70</v>
      </c>
      <c r="F1191" s="9" t="n">
        <v>34</v>
      </c>
      <c r="G1191" s="11" t="s">
        <v>55</v>
      </c>
      <c r="H1191" s="9" t="n">
        <v>2110405</v>
      </c>
      <c r="I1191" s="11" t="s">
        <v>56</v>
      </c>
      <c r="J1191" s="9" t="n">
        <v>1493507</v>
      </c>
      <c r="L1191" s="9" t="n">
        <v>202583</v>
      </c>
      <c r="M1191" s="11" t="s">
        <v>52</v>
      </c>
      <c r="N1191" s="11" t="s">
        <v>45</v>
      </c>
      <c r="P1191" s="9" t="n">
        <v>113</v>
      </c>
      <c r="Q1191" s="11" t="s">
        <v>46</v>
      </c>
      <c r="R1191" s="11" t="s">
        <v>71</v>
      </c>
      <c r="S1191" s="9" t="n">
        <v>4210309</v>
      </c>
      <c r="T1191" s="11" t="s">
        <v>72</v>
      </c>
      <c r="U1191" s="12" t="n">
        <v>260</v>
      </c>
      <c r="W1191" s="12" t="n">
        <v>260</v>
      </c>
      <c r="X1191" s="11" t="s">
        <v>1130</v>
      </c>
      <c r="Z1191" s="0" t="str">
        <f aca="false">IF($T1191="","",IFERROR(INDEX('Resumo Grupos'!$AC$3:$AC$200,MATCH($T1191,'Resumo Grupos'!$AB$3:$AB$200,0)),"n/d"))</f>
        <v>Salários</v>
      </c>
      <c r="AA1191" s="0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9" t="n">
        <v>2</v>
      </c>
      <c r="B1192" s="10" t="n">
        <v>46055</v>
      </c>
      <c r="C1192" s="10" t="n">
        <v>46235</v>
      </c>
      <c r="D1192" s="9" t="n">
        <v>10039</v>
      </c>
      <c r="E1192" s="11" t="s">
        <v>88</v>
      </c>
      <c r="F1192" s="9" t="n">
        <v>47</v>
      </c>
      <c r="G1192" s="11" t="s">
        <v>34</v>
      </c>
      <c r="H1192" s="9" t="n">
        <v>2110405</v>
      </c>
      <c r="I1192" s="11" t="s">
        <v>56</v>
      </c>
      <c r="J1192" s="9" t="n">
        <v>846832</v>
      </c>
      <c r="L1192" s="9" t="n">
        <v>111506</v>
      </c>
      <c r="M1192" s="11" t="s">
        <v>102</v>
      </c>
      <c r="N1192" s="11" t="s">
        <v>45</v>
      </c>
      <c r="P1192" s="9" t="n">
        <v>113</v>
      </c>
      <c r="Q1192" s="11" t="s">
        <v>46</v>
      </c>
      <c r="R1192" s="11" t="s">
        <v>39</v>
      </c>
      <c r="S1192" s="9" t="n">
        <v>4210227</v>
      </c>
      <c r="T1192" s="11" t="s">
        <v>68</v>
      </c>
      <c r="U1192" s="12" t="n">
        <v>378.82</v>
      </c>
      <c r="W1192" s="12" t="n">
        <v>378.82</v>
      </c>
      <c r="X1192" s="11" t="s">
        <v>1131</v>
      </c>
      <c r="Z1192" s="0" t="str">
        <f aca="false">IF($T1192="","",IFERROR(INDEX('Resumo Grupos'!$AC$3:$AC$200,MATCH($T1192,'Resumo Grupos'!$AB$3:$AB$200,0)),"n/d"))</f>
        <v>Despesa</v>
      </c>
      <c r="AA1192" s="0" t="str">
        <f aca="false">IF($T1192="","",IF(COUNTIF('Resumo Grupos'!$AE$3:$AE$40,$T1192)&gt;0,"NAO","SIM"))</f>
        <v>SIM</v>
      </c>
      <c r="AB1192" s="0" t="str">
        <f aca="false">IFERROR(INDEX('Mov Entradas (Rel 10497)'!$L:$L,MATCH(AC1192,'Mov Entradas (Rel 10497)'!$I:$I,0)),"nao encontrado")</f>
        <v>nao encontrado</v>
      </c>
      <c r="AC1192" s="0" t="n">
        <v>258</v>
      </c>
    </row>
    <row r="1193" customFormat="false" ht="12.75" hidden="false" customHeight="true" outlineLevel="0" collapsed="false">
      <c r="A1193" s="9" t="n">
        <v>2</v>
      </c>
      <c r="B1193" s="10" t="n">
        <v>46196</v>
      </c>
      <c r="C1193" s="10" t="n">
        <v>46235</v>
      </c>
      <c r="D1193" s="9" t="n">
        <v>10080</v>
      </c>
      <c r="E1193" s="11" t="s">
        <v>696</v>
      </c>
      <c r="F1193" s="9" t="n">
        <v>47</v>
      </c>
      <c r="G1193" s="11" t="s">
        <v>34</v>
      </c>
      <c r="H1193" s="9" t="n">
        <v>2110101</v>
      </c>
      <c r="I1193" s="11" t="s">
        <v>43</v>
      </c>
      <c r="J1193" s="9" t="n">
        <v>1295126</v>
      </c>
      <c r="L1193" s="9" t="n">
        <v>173344</v>
      </c>
      <c r="M1193" s="11" t="s">
        <v>44</v>
      </c>
      <c r="N1193" s="11" t="s">
        <v>45</v>
      </c>
      <c r="P1193" s="9" t="n">
        <v>113</v>
      </c>
      <c r="Q1193" s="11" t="s">
        <v>46</v>
      </c>
      <c r="R1193" s="11" t="s">
        <v>47</v>
      </c>
      <c r="S1193" s="9" t="n">
        <v>1130101</v>
      </c>
      <c r="T1193" s="11" t="s">
        <v>48</v>
      </c>
      <c r="U1193" s="12" t="n">
        <v>351.53</v>
      </c>
      <c r="W1193" s="12" t="n">
        <v>351.53</v>
      </c>
      <c r="X1193" s="11" t="s">
        <v>1132</v>
      </c>
      <c r="Z1193" s="0" t="str">
        <f aca="false">IF($T1193="","",IFERROR(INDEX('Resumo Grupos'!$AC$3:$AC$200,MATCH($T1193,'Resumo Grupos'!$AB$3:$AB$200,0)),"n/d"))</f>
        <v>Mercadoria</v>
      </c>
      <c r="AA1193" s="0" t="str">
        <f aca="false">IF($T1193="","",IF(COUNTIF('Resumo Grupos'!$AE$3:$AE$40,$T1193)&gt;0,"NAO","SIM"))</f>
        <v>SIM</v>
      </c>
      <c r="AB1193" s="0" t="str">
        <f aca="false">IFERROR(INDEX('Mov Entradas (Rel 10497)'!$L:$L,MATCH(AC1193,'Mov Entradas (Rel 10497)'!$I:$I,0)),"nao encontrado")</f>
        <v>nao encontrado</v>
      </c>
      <c r="AC1193" s="0" t="n">
        <v>1948</v>
      </c>
    </row>
    <row r="1194" customFormat="false" ht="12.75" hidden="false" customHeight="true" outlineLevel="0" collapsed="false">
      <c r="A1194" s="9" t="n">
        <v>2</v>
      </c>
      <c r="B1194" s="10" t="n">
        <v>46230</v>
      </c>
      <c r="C1194" s="10" t="n">
        <v>46235</v>
      </c>
      <c r="D1194" s="9" t="n">
        <v>1625</v>
      </c>
      <c r="E1194" s="11" t="s">
        <v>270</v>
      </c>
      <c r="F1194" s="9" t="n">
        <v>24</v>
      </c>
      <c r="G1194" s="11" t="s">
        <v>51</v>
      </c>
      <c r="H1194" s="9" t="n">
        <v>2110405</v>
      </c>
      <c r="I1194" s="11" t="s">
        <v>56</v>
      </c>
      <c r="J1194" s="9" t="n">
        <v>1459682</v>
      </c>
      <c r="L1194" s="9" t="n">
        <v>197569</v>
      </c>
      <c r="M1194" s="11" t="s">
        <v>52</v>
      </c>
      <c r="N1194" s="11" t="s">
        <v>45</v>
      </c>
      <c r="P1194" s="9" t="n">
        <v>113</v>
      </c>
      <c r="Q1194" s="11" t="s">
        <v>46</v>
      </c>
      <c r="R1194" s="11" t="s">
        <v>47</v>
      </c>
      <c r="S1194" s="9" t="n">
        <v>1130101</v>
      </c>
      <c r="T1194" s="11" t="s">
        <v>48</v>
      </c>
      <c r="U1194" s="12" t="n">
        <v>4958.1</v>
      </c>
      <c r="W1194" s="12" t="n">
        <v>4958.1</v>
      </c>
      <c r="X1194" s="11" t="s">
        <v>1133</v>
      </c>
      <c r="Z1194" s="0" t="str">
        <f aca="false">IF($T1194="","",IFERROR(INDEX('Resumo Grupos'!$AC$3:$AC$200,MATCH($T1194,'Resumo Grupos'!$AB$3:$AB$200,0)),"n/d"))</f>
        <v>Mercadoria</v>
      </c>
      <c r="AA1194" s="0" t="str">
        <f aca="false">IF($T1194="","",IF(COUNTIF('Resumo Grupos'!$AE$3:$AE$40,$T1194)&gt;0,"NAO","SIM"))</f>
        <v>SIM</v>
      </c>
      <c r="AB1194" s="0" t="str">
        <f aca="false">IFERROR(INDEX('Mov Entradas (Rel 10497)'!$L:$L,MATCH(AC1194,'Mov Entradas (Rel 10497)'!$I:$I,0)),"nao encontrado")</f>
        <v>TRASEIRO DE BOI L1</v>
      </c>
      <c r="AC1194" s="0" t="n">
        <v>14816</v>
      </c>
    </row>
    <row r="1195" customFormat="false" ht="12.75" hidden="false" customHeight="true" outlineLevel="0" collapsed="false">
      <c r="A1195" s="9" t="n">
        <v>2</v>
      </c>
      <c r="B1195" s="10" t="n">
        <v>45992</v>
      </c>
      <c r="C1195" s="10" t="n">
        <v>46235</v>
      </c>
      <c r="D1195" s="9" t="n">
        <v>983</v>
      </c>
      <c r="E1195" s="11" t="s">
        <v>97</v>
      </c>
      <c r="F1195" s="9" t="n">
        <v>47</v>
      </c>
      <c r="G1195" s="11" t="s">
        <v>34</v>
      </c>
      <c r="H1195" s="9" t="n">
        <v>2110101</v>
      </c>
      <c r="I1195" s="11" t="s">
        <v>43</v>
      </c>
      <c r="J1195" s="9" t="n">
        <v>361903</v>
      </c>
      <c r="L1195" s="9" t="n">
        <v>47174</v>
      </c>
      <c r="M1195" s="11" t="s">
        <v>1134</v>
      </c>
      <c r="N1195" s="11" t="s">
        <v>45</v>
      </c>
      <c r="P1195" s="9" t="n">
        <v>113</v>
      </c>
      <c r="Q1195" s="11" t="s">
        <v>46</v>
      </c>
      <c r="R1195" s="11" t="s">
        <v>98</v>
      </c>
      <c r="S1195" s="9" t="n">
        <v>1240103</v>
      </c>
      <c r="T1195" s="11" t="s">
        <v>99</v>
      </c>
      <c r="U1195" s="12" t="n">
        <v>1898</v>
      </c>
      <c r="W1195" s="12" t="n">
        <v>1898</v>
      </c>
      <c r="X1195" s="11" t="s">
        <v>1135</v>
      </c>
      <c r="Z1195" s="0" t="str">
        <f aca="false">IF($T1195="","",IFERROR(INDEX('Resumo Grupos'!$AC$3:$AC$200,MATCH($T1195,'Resumo Grupos'!$AB$3:$AB$200,0)),"n/d"))</f>
        <v>Despesa</v>
      </c>
      <c r="AA1195" s="0" t="str">
        <f aca="false">IF($T1195="","",IF(COUNTIF('Resumo Grupos'!$AE$3:$AE$40,$T1195)&gt;0,"NAO","SIM"))</f>
        <v>SIM</v>
      </c>
      <c r="AB1195" s="0" t="str">
        <f aca="false">IFERROR(INDEX('Mov Entradas (Rel 10497)'!$L:$L,MATCH(AC1195,'Mov Entradas (Rel 10497)'!$I:$I,0)),"nao encontrado")</f>
        <v>nao encontrado</v>
      </c>
      <c r="AC1195" s="0" t="n">
        <v>17382</v>
      </c>
    </row>
    <row r="1196" customFormat="false" ht="12.75" hidden="false" customHeight="true" outlineLevel="0" collapsed="false">
      <c r="A1196" s="9" t="n">
        <v>2</v>
      </c>
      <c r="B1196" s="10" t="n">
        <v>46197</v>
      </c>
      <c r="C1196" s="10" t="n">
        <v>46235</v>
      </c>
      <c r="D1196" s="9" t="n">
        <v>607</v>
      </c>
      <c r="E1196" s="11" t="s">
        <v>281</v>
      </c>
      <c r="F1196" s="9" t="n">
        <v>24</v>
      </c>
      <c r="G1196" s="11" t="s">
        <v>51</v>
      </c>
      <c r="H1196" s="9" t="n">
        <v>2110101</v>
      </c>
      <c r="I1196" s="11" t="s">
        <v>43</v>
      </c>
      <c r="J1196" s="9" t="n">
        <v>1300232</v>
      </c>
      <c r="L1196" s="9" t="n">
        <v>10860</v>
      </c>
      <c r="M1196" s="11" t="s">
        <v>67</v>
      </c>
      <c r="N1196" s="11" t="s">
        <v>37</v>
      </c>
      <c r="P1196" s="9" t="n">
        <v>113</v>
      </c>
      <c r="Q1196" s="11" t="s">
        <v>46</v>
      </c>
      <c r="R1196" s="11" t="s">
        <v>47</v>
      </c>
      <c r="S1196" s="9" t="n">
        <v>1130101</v>
      </c>
      <c r="T1196" s="11" t="s">
        <v>48</v>
      </c>
      <c r="U1196" s="12" t="n">
        <v>1361.81</v>
      </c>
      <c r="W1196" s="12" t="n">
        <v>1361.81</v>
      </c>
      <c r="X1196" s="11" t="s">
        <v>867</v>
      </c>
      <c r="Z1196" s="0" t="str">
        <f aca="false">IF($T1196="","",IFERROR(INDEX('Resumo Grupos'!$AC$3:$AC$200,MATCH($T1196,'Resumo Grupos'!$AB$3:$AB$200,0)),"n/d"))</f>
        <v>Mercadoria</v>
      </c>
      <c r="AA1196" s="0" t="str">
        <f aca="false">IF($T1196="","",IF(COUNTIF('Resumo Grupos'!$AE$3:$AE$40,$T1196)&gt;0,"NAO","SIM"))</f>
        <v>SIM</v>
      </c>
      <c r="AB1196" s="0" t="str">
        <f aca="false">IFERROR(INDEX('Mov Entradas (Rel 10497)'!$L:$L,MATCH(AC1196,'Mov Entradas (Rel 10497)'!$I:$I,0)),"nao encontrado")</f>
        <v>RC JAPI PREM.FILH25K</v>
      </c>
      <c r="AC1196" s="0" t="n">
        <v>10860</v>
      </c>
    </row>
    <row r="1197" customFormat="false" ht="12.75" hidden="false" customHeight="true" outlineLevel="0" collapsed="false">
      <c r="A1197" s="9" t="n">
        <v>2</v>
      </c>
      <c r="B1197" s="10" t="n">
        <v>46235</v>
      </c>
      <c r="C1197" s="10" t="n">
        <v>46235</v>
      </c>
      <c r="D1197" s="9" t="n">
        <v>21</v>
      </c>
      <c r="E1197" s="11" t="s">
        <v>107</v>
      </c>
      <c r="F1197" s="9" t="n">
        <v>34</v>
      </c>
      <c r="G1197" s="11" t="s">
        <v>55</v>
      </c>
      <c r="H1197" s="9" t="n">
        <v>2110405</v>
      </c>
      <c r="I1197" s="11" t="s">
        <v>56</v>
      </c>
      <c r="J1197" s="9" t="n">
        <v>1493508</v>
      </c>
      <c r="L1197" s="9" t="n">
        <v>202584</v>
      </c>
      <c r="M1197" s="11" t="s">
        <v>52</v>
      </c>
      <c r="N1197" s="11" t="s">
        <v>45</v>
      </c>
      <c r="P1197" s="9" t="n">
        <v>113</v>
      </c>
      <c r="Q1197" s="11" t="s">
        <v>46</v>
      </c>
      <c r="R1197" s="11" t="s">
        <v>71</v>
      </c>
      <c r="S1197" s="9" t="n">
        <v>4210309</v>
      </c>
      <c r="T1197" s="11" t="s">
        <v>72</v>
      </c>
      <c r="U1197" s="12" t="n">
        <v>260</v>
      </c>
      <c r="W1197" s="12" t="n">
        <v>260</v>
      </c>
      <c r="X1197" s="11" t="s">
        <v>1130</v>
      </c>
      <c r="Z1197" s="0" t="str">
        <f aca="false">IF($T1197="","",IFERROR(INDEX('Resumo Grupos'!$AC$3:$AC$200,MATCH($T1197,'Resumo Grupos'!$AB$3:$AB$200,0)),"n/d"))</f>
        <v>Salários</v>
      </c>
      <c r="AA1197" s="0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9" t="n">
        <v>2</v>
      </c>
      <c r="B1198" s="10" t="n">
        <v>46235</v>
      </c>
      <c r="C1198" s="10" t="n">
        <v>46235</v>
      </c>
      <c r="D1198" s="9" t="n">
        <v>0</v>
      </c>
      <c r="E1198" s="11" t="s">
        <v>109</v>
      </c>
      <c r="F1198" s="9" t="n">
        <v>17</v>
      </c>
      <c r="G1198" s="11" t="s">
        <v>110</v>
      </c>
      <c r="H1198" s="9" t="n">
        <v>1110101</v>
      </c>
      <c r="I1198" s="11" t="s">
        <v>111</v>
      </c>
      <c r="J1198" s="9" t="n">
        <v>1495209</v>
      </c>
      <c r="L1198" s="9" t="n">
        <v>1495209</v>
      </c>
      <c r="M1198" s="11" t="s">
        <v>52</v>
      </c>
      <c r="N1198" s="11" t="s">
        <v>112</v>
      </c>
      <c r="P1198" s="9" t="n">
        <v>113</v>
      </c>
      <c r="Q1198" s="11" t="s">
        <v>46</v>
      </c>
      <c r="R1198" s="11" t="s">
        <v>71</v>
      </c>
      <c r="S1198" s="9" t="n">
        <v>4210314</v>
      </c>
      <c r="T1198" s="11" t="s">
        <v>113</v>
      </c>
      <c r="U1198" s="12" t="n">
        <v>50</v>
      </c>
      <c r="W1198" s="12" t="n">
        <v>50</v>
      </c>
      <c r="X1198" s="11" t="s">
        <v>368</v>
      </c>
      <c r="Z1198" s="0" t="str">
        <f aca="false">IF($T1198="","",IFERROR(INDEX('Resumo Grupos'!$AC$3:$AC$200,MATCH($T1198,'Resumo Grupos'!$AB$3:$AB$200,0)),"n/d"))</f>
        <v>Despesa</v>
      </c>
      <c r="AA1198" s="0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9" t="n">
        <v>2</v>
      </c>
      <c r="B1199" s="10" t="n">
        <v>46235</v>
      </c>
      <c r="C1199" s="10" t="n">
        <v>46235</v>
      </c>
      <c r="D1199" s="9" t="n">
        <v>0</v>
      </c>
      <c r="E1199" s="11" t="s">
        <v>109</v>
      </c>
      <c r="F1199" s="9" t="n">
        <v>17</v>
      </c>
      <c r="G1199" s="11" t="s">
        <v>110</v>
      </c>
      <c r="H1199" s="9" t="n">
        <v>1110101</v>
      </c>
      <c r="I1199" s="11" t="s">
        <v>111</v>
      </c>
      <c r="J1199" s="9" t="n">
        <v>1716286</v>
      </c>
      <c r="L1199" s="9" t="n">
        <v>1716286</v>
      </c>
      <c r="M1199" s="11" t="s">
        <v>52</v>
      </c>
      <c r="N1199" s="11" t="s">
        <v>112</v>
      </c>
      <c r="P1199" s="9" t="n">
        <v>113</v>
      </c>
      <c r="Q1199" s="11" t="s">
        <v>46</v>
      </c>
      <c r="R1199" s="11" t="s">
        <v>116</v>
      </c>
      <c r="S1199" s="9" t="n">
        <v>1110203</v>
      </c>
      <c r="T1199" s="11" t="s">
        <v>117</v>
      </c>
      <c r="U1199" s="12" t="n">
        <v>3200</v>
      </c>
      <c r="W1199" s="12" t="n">
        <v>3200</v>
      </c>
      <c r="X1199" s="11" t="s">
        <v>1136</v>
      </c>
      <c r="Z1199" s="0" t="str">
        <f aca="false">IF($T1199="","",IFERROR(INDEX('Resumo Grupos'!$AC$3:$AC$200,MATCH($T1199,'Resumo Grupos'!$AB$3:$AB$200,0)),"n/d"))</f>
        <v>Despesa</v>
      </c>
      <c r="AA1199" s="0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9" t="n">
        <v>2</v>
      </c>
      <c r="B1200" s="10" t="n">
        <v>46230</v>
      </c>
      <c r="C1200" s="10" t="n">
        <v>46235</v>
      </c>
      <c r="D1200" s="9" t="n">
        <v>754</v>
      </c>
      <c r="E1200" s="11" t="s">
        <v>162</v>
      </c>
      <c r="F1200" s="9" t="n">
        <v>24</v>
      </c>
      <c r="G1200" s="11" t="s">
        <v>51</v>
      </c>
      <c r="H1200" s="9" t="n">
        <v>2110405</v>
      </c>
      <c r="I1200" s="11" t="s">
        <v>56</v>
      </c>
      <c r="J1200" s="9" t="n">
        <v>1458315</v>
      </c>
      <c r="L1200" s="9" t="n">
        <v>197252</v>
      </c>
      <c r="M1200" s="11" t="s">
        <v>52</v>
      </c>
      <c r="N1200" s="11" t="s">
        <v>45</v>
      </c>
      <c r="P1200" s="9" t="n">
        <v>113</v>
      </c>
      <c r="Q1200" s="11" t="s">
        <v>46</v>
      </c>
      <c r="R1200" s="11" t="s">
        <v>47</v>
      </c>
      <c r="S1200" s="9" t="n">
        <v>1130101</v>
      </c>
      <c r="T1200" s="11" t="s">
        <v>48</v>
      </c>
      <c r="U1200" s="12" t="n">
        <v>528</v>
      </c>
      <c r="W1200" s="12" t="n">
        <v>528</v>
      </c>
      <c r="X1200" s="11" t="s">
        <v>1137</v>
      </c>
      <c r="Z1200" s="0" t="str">
        <f aca="false">IF($T1200="","",IFERROR(INDEX('Resumo Grupos'!$AC$3:$AC$200,MATCH($T1200,'Resumo Grupos'!$AB$3:$AB$200,0)),"n/d"))</f>
        <v>Mercadoria</v>
      </c>
      <c r="AA1200" s="0" t="str">
        <f aca="false">IF($T1200="","",IF(COUNTIF('Resumo Grupos'!$AE$3:$AE$40,$T1200)&gt;0,"NAO","SIM"))</f>
        <v>SIM</v>
      </c>
      <c r="AB1200" s="0" t="str">
        <f aca="false">IFERROR(INDEX('Mov Entradas (Rel 10497)'!$L:$L,MATCH(AC1200,'Mov Entradas (Rel 10497)'!$I:$I,0)),"nao encontrado")</f>
        <v>FRANGO MARINGA KG</v>
      </c>
      <c r="AC1200" s="0" t="n">
        <v>32052</v>
      </c>
    </row>
    <row r="1201" customFormat="false" ht="12.75" hidden="false" customHeight="true" outlineLevel="0" collapsed="false">
      <c r="A1201" s="9" t="n">
        <v>2</v>
      </c>
      <c r="B1201" s="10" t="n">
        <v>46235</v>
      </c>
      <c r="C1201" s="10" t="n">
        <v>46235</v>
      </c>
      <c r="D1201" s="9" t="n">
        <v>18</v>
      </c>
      <c r="E1201" s="11" t="s">
        <v>121</v>
      </c>
      <c r="F1201" s="9" t="n">
        <v>34</v>
      </c>
      <c r="G1201" s="11" t="s">
        <v>55</v>
      </c>
      <c r="H1201" s="9" t="n">
        <v>2110405</v>
      </c>
      <c r="I1201" s="11" t="s">
        <v>56</v>
      </c>
      <c r="J1201" s="9" t="n">
        <v>1493512</v>
      </c>
      <c r="L1201" s="9" t="n">
        <v>202585</v>
      </c>
      <c r="M1201" s="11" t="s">
        <v>52</v>
      </c>
      <c r="N1201" s="11" t="s">
        <v>45</v>
      </c>
      <c r="P1201" s="9" t="n">
        <v>113</v>
      </c>
      <c r="Q1201" s="11" t="s">
        <v>46</v>
      </c>
      <c r="R1201" s="11" t="s">
        <v>71</v>
      </c>
      <c r="S1201" s="9" t="n">
        <v>4210309</v>
      </c>
      <c r="T1201" s="11" t="s">
        <v>72</v>
      </c>
      <c r="U1201" s="12" t="n">
        <v>260</v>
      </c>
      <c r="W1201" s="12" t="n">
        <v>260</v>
      </c>
      <c r="X1201" s="11" t="s">
        <v>1130</v>
      </c>
      <c r="Z1201" s="0" t="str">
        <f aca="false">IF($T1201="","",IFERROR(INDEX('Resumo Grupos'!$AC$3:$AC$200,MATCH($T1201,'Resumo Grupos'!$AB$3:$AB$200,0)),"n/d"))</f>
        <v>Salários</v>
      </c>
      <c r="AA1201" s="0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9" t="n">
        <v>2</v>
      </c>
      <c r="B1202" s="10" t="n">
        <v>46196</v>
      </c>
      <c r="C1202" s="10" t="n">
        <v>46235</v>
      </c>
      <c r="D1202" s="9" t="n">
        <v>796</v>
      </c>
      <c r="E1202" s="11" t="s">
        <v>711</v>
      </c>
      <c r="F1202" s="9" t="n">
        <v>47</v>
      </c>
      <c r="G1202" s="11" t="s">
        <v>34</v>
      </c>
      <c r="H1202" s="9" t="n">
        <v>2110101</v>
      </c>
      <c r="I1202" s="11" t="s">
        <v>43</v>
      </c>
      <c r="J1202" s="9" t="n">
        <v>1295074</v>
      </c>
      <c r="L1202" s="9" t="n">
        <v>173327</v>
      </c>
      <c r="M1202" s="11" t="s">
        <v>44</v>
      </c>
      <c r="N1202" s="11" t="s">
        <v>45</v>
      </c>
      <c r="P1202" s="9" t="n">
        <v>113</v>
      </c>
      <c r="Q1202" s="11" t="s">
        <v>46</v>
      </c>
      <c r="R1202" s="11" t="s">
        <v>47</v>
      </c>
      <c r="S1202" s="9" t="n">
        <v>1130101</v>
      </c>
      <c r="T1202" s="11" t="s">
        <v>48</v>
      </c>
      <c r="U1202" s="12" t="n">
        <v>683.06</v>
      </c>
      <c r="W1202" s="12" t="n">
        <v>683.06</v>
      </c>
      <c r="X1202" s="11" t="s">
        <v>1138</v>
      </c>
      <c r="Z1202" s="0" t="str">
        <f aca="false">IF($T1202="","",IFERROR(INDEX('Resumo Grupos'!$AC$3:$AC$200,MATCH($T1202,'Resumo Grupos'!$AB$3:$AB$200,0)),"n/d"))</f>
        <v>Mercadoria</v>
      </c>
      <c r="AA1202" s="0" t="str">
        <f aca="false">IF($T1202="","",IF(COUNTIF('Resumo Grupos'!$AE$3:$AE$40,$T1202)&gt;0,"NAO","SIM"))</f>
        <v>SIM</v>
      </c>
      <c r="AB1202" s="0" t="str">
        <f aca="false">IFERROR(INDEX('Mov Entradas (Rel 10497)'!$L:$L,MATCH(AC1202,'Mov Entradas (Rel 10497)'!$I:$I,0)),"nao encontrado")</f>
        <v>ABRACADEIRA 3X150 AR</v>
      </c>
      <c r="AC1202" s="0" t="n">
        <v>1006</v>
      </c>
    </row>
    <row r="1203" customFormat="false" ht="12.75" hidden="false" customHeight="true" outlineLevel="0" collapsed="false">
      <c r="A1203" s="9" t="n">
        <v>2</v>
      </c>
      <c r="B1203" s="10" t="n">
        <v>46236</v>
      </c>
      <c r="C1203" s="10" t="n">
        <v>46236</v>
      </c>
      <c r="D1203" s="9" t="n">
        <v>0</v>
      </c>
      <c r="E1203" s="11" t="s">
        <v>109</v>
      </c>
      <c r="F1203" s="9" t="n">
        <v>17</v>
      </c>
      <c r="G1203" s="11" t="s">
        <v>110</v>
      </c>
      <c r="H1203" s="9" t="n">
        <v>1110101</v>
      </c>
      <c r="I1203" s="11" t="s">
        <v>111</v>
      </c>
      <c r="J1203" s="9" t="n">
        <v>1495235</v>
      </c>
      <c r="L1203" s="9" t="n">
        <v>1495235</v>
      </c>
      <c r="M1203" s="11" t="s">
        <v>52</v>
      </c>
      <c r="N1203" s="11" t="s">
        <v>112</v>
      </c>
      <c r="P1203" s="9" t="n">
        <v>113</v>
      </c>
      <c r="Q1203" s="11" t="s">
        <v>46</v>
      </c>
      <c r="R1203" s="11" t="s">
        <v>71</v>
      </c>
      <c r="S1203" s="9" t="n">
        <v>4210314</v>
      </c>
      <c r="T1203" s="11" t="s">
        <v>113</v>
      </c>
      <c r="U1203" s="12" t="n">
        <v>70</v>
      </c>
      <c r="W1203" s="12" t="n">
        <v>70</v>
      </c>
      <c r="X1203" s="11" t="s">
        <v>368</v>
      </c>
      <c r="Z1203" s="0" t="str">
        <f aca="false">IF($T1203="","",IFERROR(INDEX('Resumo Grupos'!$AC$3:$AC$200,MATCH($T1203,'Resumo Grupos'!$AB$3:$AB$200,0)),"n/d"))</f>
        <v>Despesa</v>
      </c>
      <c r="AA1203" s="0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9" t="n">
        <v>2</v>
      </c>
      <c r="B1204" s="10" t="n">
        <v>46236</v>
      </c>
      <c r="C1204" s="10" t="n">
        <v>46236</v>
      </c>
      <c r="D1204" s="9" t="n">
        <v>0</v>
      </c>
      <c r="E1204" s="11" t="s">
        <v>109</v>
      </c>
      <c r="F1204" s="9" t="n">
        <v>17</v>
      </c>
      <c r="G1204" s="11" t="s">
        <v>110</v>
      </c>
      <c r="H1204" s="9" t="n">
        <v>1110101</v>
      </c>
      <c r="I1204" s="11" t="s">
        <v>111</v>
      </c>
      <c r="J1204" s="9" t="n">
        <v>1495249</v>
      </c>
      <c r="L1204" s="9" t="n">
        <v>1495249</v>
      </c>
      <c r="M1204" s="11" t="s">
        <v>52</v>
      </c>
      <c r="N1204" s="11" t="s">
        <v>112</v>
      </c>
      <c r="P1204" s="9" t="n">
        <v>113</v>
      </c>
      <c r="Q1204" s="11" t="s">
        <v>46</v>
      </c>
      <c r="R1204" s="11" t="s">
        <v>71</v>
      </c>
      <c r="S1204" s="9" t="n">
        <v>4210310</v>
      </c>
      <c r="T1204" s="11" t="s">
        <v>126</v>
      </c>
      <c r="U1204" s="12" t="n">
        <v>112</v>
      </c>
      <c r="W1204" s="12" t="n">
        <v>112</v>
      </c>
      <c r="X1204" s="11" t="s">
        <v>1139</v>
      </c>
      <c r="Z1204" s="0" t="str">
        <f aca="false">IF($T1204="","",IFERROR(INDEX('Resumo Grupos'!$AC$3:$AC$200,MATCH($T1204,'Resumo Grupos'!$AB$3:$AB$200,0)),"n/d"))</f>
        <v>Despesa</v>
      </c>
      <c r="AA1204" s="0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9" t="n">
        <v>2</v>
      </c>
      <c r="B1205" s="10" t="n">
        <v>46236</v>
      </c>
      <c r="C1205" s="10" t="n">
        <v>46236</v>
      </c>
      <c r="D1205" s="9" t="n">
        <v>0</v>
      </c>
      <c r="E1205" s="11" t="s">
        <v>109</v>
      </c>
      <c r="F1205" s="9" t="n">
        <v>17</v>
      </c>
      <c r="G1205" s="11" t="s">
        <v>110</v>
      </c>
      <c r="H1205" s="9" t="n">
        <v>1110101</v>
      </c>
      <c r="I1205" s="11" t="s">
        <v>111</v>
      </c>
      <c r="J1205" s="9" t="n">
        <v>1716288</v>
      </c>
      <c r="L1205" s="9" t="n">
        <v>1716288</v>
      </c>
      <c r="M1205" s="11" t="s">
        <v>52</v>
      </c>
      <c r="N1205" s="11" t="s">
        <v>112</v>
      </c>
      <c r="P1205" s="9" t="n">
        <v>113</v>
      </c>
      <c r="Q1205" s="11" t="s">
        <v>46</v>
      </c>
      <c r="R1205" s="11" t="s">
        <v>116</v>
      </c>
      <c r="S1205" s="9" t="n">
        <v>1110203</v>
      </c>
      <c r="T1205" s="11" t="s">
        <v>117</v>
      </c>
      <c r="U1205" s="12" t="n">
        <v>2300</v>
      </c>
      <c r="W1205" s="12" t="n">
        <v>2300</v>
      </c>
      <c r="X1205" s="11" t="s">
        <v>1140</v>
      </c>
      <c r="Z1205" s="0" t="str">
        <f aca="false">IF($T1205="","",IFERROR(INDEX('Resumo Grupos'!$AC$3:$AC$200,MATCH($T1205,'Resumo Grupos'!$AB$3:$AB$200,0)),"n/d"))</f>
        <v>Despesa</v>
      </c>
      <c r="AA1205" s="0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9" t="n">
        <v>2</v>
      </c>
      <c r="B1206" s="10" t="n">
        <v>46233</v>
      </c>
      <c r="C1206" s="10" t="n">
        <v>46237</v>
      </c>
      <c r="D1206" s="9" t="n">
        <v>642</v>
      </c>
      <c r="E1206" s="11" t="s">
        <v>123</v>
      </c>
      <c r="F1206" s="9" t="n">
        <v>24</v>
      </c>
      <c r="G1206" s="11" t="s">
        <v>51</v>
      </c>
      <c r="H1206" s="9" t="n">
        <v>2110405</v>
      </c>
      <c r="I1206" s="11" t="s">
        <v>56</v>
      </c>
      <c r="J1206" s="9" t="n">
        <v>1472583</v>
      </c>
      <c r="L1206" s="9" t="n">
        <v>199510</v>
      </c>
      <c r="M1206" s="11" t="s">
        <v>52</v>
      </c>
      <c r="N1206" s="11" t="s">
        <v>45</v>
      </c>
      <c r="P1206" s="9" t="n">
        <v>113</v>
      </c>
      <c r="Q1206" s="11" t="s">
        <v>46</v>
      </c>
      <c r="R1206" s="11" t="s">
        <v>47</v>
      </c>
      <c r="S1206" s="9" t="n">
        <v>1130101</v>
      </c>
      <c r="T1206" s="11" t="s">
        <v>48</v>
      </c>
      <c r="U1206" s="12" t="n">
        <v>180</v>
      </c>
      <c r="W1206" s="12" t="n">
        <v>180</v>
      </c>
      <c r="X1206" s="11" t="s">
        <v>1141</v>
      </c>
      <c r="Z1206" s="0" t="str">
        <f aca="false">IF($T1206="","",IFERROR(INDEX('Resumo Grupos'!$AC$3:$AC$200,MATCH($T1206,'Resumo Grupos'!$AB$3:$AB$200,0)),"n/d"))</f>
        <v>Mercadoria</v>
      </c>
      <c r="AA1206" s="0" t="str">
        <f aca="false">IF($T1206="","",IF(COUNTIF('Resumo Grupos'!$AE$3:$AE$40,$T1206)&gt;0,"NAO","SIM"))</f>
        <v>SIM</v>
      </c>
      <c r="AB1206" s="0" t="str">
        <f aca="false">IFERROR(INDEX('Mov Entradas (Rel 10497)'!$L:$L,MATCH(AC1206,'Mov Entradas (Rel 10497)'!$I:$I,0)),"nao encontrado")</f>
        <v>BOLO BLOOM 600G</v>
      </c>
      <c r="AC1206" s="0" t="n">
        <v>562</v>
      </c>
    </row>
    <row r="1207" customFormat="false" ht="12.75" hidden="false" customHeight="true" outlineLevel="0" collapsed="false">
      <c r="A1207" s="9" t="n">
        <v>2</v>
      </c>
      <c r="B1207" s="10" t="n">
        <v>46223</v>
      </c>
      <c r="C1207" s="10" t="n">
        <v>46237</v>
      </c>
      <c r="D1207" s="9" t="n">
        <v>1601</v>
      </c>
      <c r="E1207" s="11" t="s">
        <v>193</v>
      </c>
      <c r="F1207" s="9" t="n">
        <v>24</v>
      </c>
      <c r="G1207" s="11" t="s">
        <v>51</v>
      </c>
      <c r="H1207" s="9" t="n">
        <v>2110405</v>
      </c>
      <c r="I1207" s="11" t="s">
        <v>56</v>
      </c>
      <c r="J1207" s="9" t="n">
        <v>1424074</v>
      </c>
      <c r="L1207" s="9" t="n">
        <v>190897</v>
      </c>
      <c r="M1207" s="11" t="s">
        <v>52</v>
      </c>
      <c r="N1207" s="11" t="s">
        <v>45</v>
      </c>
      <c r="P1207" s="9" t="n">
        <v>113</v>
      </c>
      <c r="Q1207" s="11" t="s">
        <v>46</v>
      </c>
      <c r="R1207" s="11" t="s">
        <v>47</v>
      </c>
      <c r="S1207" s="9" t="n">
        <v>1130101</v>
      </c>
      <c r="T1207" s="11" t="s">
        <v>48</v>
      </c>
      <c r="U1207" s="12" t="n">
        <v>676.97</v>
      </c>
      <c r="W1207" s="12" t="n">
        <v>676.97</v>
      </c>
      <c r="X1207" s="11" t="s">
        <v>1142</v>
      </c>
      <c r="Z1207" s="0" t="str">
        <f aca="false">IF($T1207="","",IFERROR(INDEX('Resumo Grupos'!$AC$3:$AC$200,MATCH($T1207,'Resumo Grupos'!$AB$3:$AB$200,0)),"n/d"))</f>
        <v>Mercadoria</v>
      </c>
      <c r="AA1207" s="0" t="str">
        <f aca="false">IF($T1207="","",IF(COUNTIF('Resumo Grupos'!$AE$3:$AE$40,$T1207)&gt;0,"NAO","SIM"))</f>
        <v>SIM</v>
      </c>
      <c r="AB1207" s="0" t="str">
        <f aca="false">IFERROR(INDEX('Mov Entradas (Rel 10497)'!$L:$L,MATCH(AC1207,'Mov Entradas (Rel 10497)'!$I:$I,0)),"nao encontrado")</f>
        <v>KETCH TOMAT HEIN397G</v>
      </c>
      <c r="AC1207" s="0" t="n">
        <v>854967</v>
      </c>
    </row>
    <row r="1208" customFormat="false" ht="12.75" hidden="false" customHeight="true" outlineLevel="0" collapsed="false">
      <c r="A1208" s="9" t="n">
        <v>2</v>
      </c>
      <c r="B1208" s="10" t="n">
        <v>46230</v>
      </c>
      <c r="C1208" s="10" t="n">
        <v>46237</v>
      </c>
      <c r="D1208" s="9" t="n">
        <v>1269</v>
      </c>
      <c r="E1208" s="11" t="s">
        <v>1143</v>
      </c>
      <c r="F1208" s="9" t="n">
        <v>24</v>
      </c>
      <c r="G1208" s="11" t="s">
        <v>51</v>
      </c>
      <c r="H1208" s="9" t="n">
        <v>2110405</v>
      </c>
      <c r="I1208" s="11" t="s">
        <v>56</v>
      </c>
      <c r="J1208" s="9" t="n">
        <v>1458373</v>
      </c>
      <c r="L1208" s="9" t="n">
        <v>197275</v>
      </c>
      <c r="M1208" s="11" t="s">
        <v>52</v>
      </c>
      <c r="N1208" s="11" t="s">
        <v>45</v>
      </c>
      <c r="P1208" s="9" t="n">
        <v>113</v>
      </c>
      <c r="Q1208" s="11" t="s">
        <v>46</v>
      </c>
      <c r="R1208" s="11" t="s">
        <v>47</v>
      </c>
      <c r="S1208" s="9" t="n">
        <v>1130101</v>
      </c>
      <c r="T1208" s="11" t="s">
        <v>48</v>
      </c>
      <c r="U1208" s="12" t="n">
        <v>778</v>
      </c>
      <c r="W1208" s="12" t="n">
        <v>778</v>
      </c>
      <c r="X1208" s="11" t="s">
        <v>1144</v>
      </c>
      <c r="Z1208" s="0" t="str">
        <f aca="false">IF($T1208="","",IFERROR(INDEX('Resumo Grupos'!$AC$3:$AC$200,MATCH($T1208,'Resumo Grupos'!$AB$3:$AB$200,0)),"n/d"))</f>
        <v>Mercadoria</v>
      </c>
      <c r="AA1208" s="0" t="str">
        <f aca="false">IF($T1208="","",IF(COUNTIF('Resumo Grupos'!$AE$3:$AE$40,$T1208)&gt;0,"NAO","SIM"))</f>
        <v>SIM</v>
      </c>
      <c r="AB1208" s="0" t="str">
        <f aca="false">IFERROR(INDEX('Mov Entradas (Rel 10497)'!$L:$L,MATCH(AC1208,'Mov Entradas (Rel 10497)'!$I:$I,0)),"nao encontrado")</f>
        <v>SAC LIXO MER OLI30 L</v>
      </c>
      <c r="AC1208" s="0" t="n">
        <v>749</v>
      </c>
    </row>
    <row r="1209" customFormat="false" ht="12.75" hidden="false" customHeight="true" outlineLevel="0" collapsed="false">
      <c r="A1209" s="9" t="n">
        <v>2</v>
      </c>
      <c r="B1209" s="10" t="n">
        <v>46218</v>
      </c>
      <c r="C1209" s="10" t="n">
        <v>46237</v>
      </c>
      <c r="D1209" s="9" t="n">
        <v>1636</v>
      </c>
      <c r="E1209" s="11" t="s">
        <v>61</v>
      </c>
      <c r="F1209" s="9" t="n">
        <v>24</v>
      </c>
      <c r="G1209" s="11" t="s">
        <v>51</v>
      </c>
      <c r="H1209" s="9" t="n">
        <v>2110405</v>
      </c>
      <c r="I1209" s="11" t="s">
        <v>56</v>
      </c>
      <c r="J1209" s="9" t="n">
        <v>1402499</v>
      </c>
      <c r="L1209" s="9" t="n">
        <v>188735</v>
      </c>
      <c r="M1209" s="11" t="s">
        <v>52</v>
      </c>
      <c r="N1209" s="11" t="s">
        <v>45</v>
      </c>
      <c r="P1209" s="9" t="n">
        <v>113</v>
      </c>
      <c r="Q1209" s="11" t="s">
        <v>46</v>
      </c>
      <c r="R1209" s="11" t="s">
        <v>47</v>
      </c>
      <c r="S1209" s="9" t="n">
        <v>1130101</v>
      </c>
      <c r="T1209" s="11" t="s">
        <v>48</v>
      </c>
      <c r="U1209" s="12" t="n">
        <v>1315.48</v>
      </c>
      <c r="W1209" s="12" t="n">
        <v>1315.48</v>
      </c>
      <c r="X1209" s="11" t="s">
        <v>1145</v>
      </c>
      <c r="Z1209" s="0" t="str">
        <f aca="false">IF($T1209="","",IFERROR(INDEX('Resumo Grupos'!$AC$3:$AC$200,MATCH($T1209,'Resumo Grupos'!$AB$3:$AB$200,0)),"n/d"))</f>
        <v>Mercadoria</v>
      </c>
      <c r="AA1209" s="0" t="str">
        <f aca="false">IF($T1209="","",IF(COUNTIF('Resumo Grupos'!$AE$3:$AE$40,$T1209)&gt;0,"NAO","SIM"))</f>
        <v>SIM</v>
      </c>
      <c r="AB1209" s="0" t="str">
        <f aca="false">IFERROR(INDEX('Mov Entradas (Rel 10497)'!$L:$L,MATCH(AC1209,'Mov Entradas (Rel 10497)'!$I:$I,0)),"nao encontrado")</f>
        <v>KARO ARISCO 350G</v>
      </c>
      <c r="AC1209" s="0" t="n">
        <v>3218196</v>
      </c>
    </row>
    <row r="1210" customFormat="false" ht="12.75" hidden="false" customHeight="true" outlineLevel="0" collapsed="false">
      <c r="A1210" s="9" t="n">
        <v>2</v>
      </c>
      <c r="B1210" s="10" t="n">
        <v>46218</v>
      </c>
      <c r="C1210" s="10" t="n">
        <v>46237</v>
      </c>
      <c r="D1210" s="9" t="n">
        <v>1636</v>
      </c>
      <c r="E1210" s="11" t="s">
        <v>61</v>
      </c>
      <c r="F1210" s="9" t="n">
        <v>24</v>
      </c>
      <c r="G1210" s="11" t="s">
        <v>51</v>
      </c>
      <c r="H1210" s="9" t="n">
        <v>2110405</v>
      </c>
      <c r="I1210" s="11" t="s">
        <v>56</v>
      </c>
      <c r="J1210" s="9" t="n">
        <v>1403005</v>
      </c>
      <c r="L1210" s="9" t="n">
        <v>188858</v>
      </c>
      <c r="M1210" s="11" t="s">
        <v>52</v>
      </c>
      <c r="N1210" s="11" t="s">
        <v>45</v>
      </c>
      <c r="P1210" s="9" t="n">
        <v>113</v>
      </c>
      <c r="Q1210" s="11" t="s">
        <v>46</v>
      </c>
      <c r="R1210" s="11" t="s">
        <v>47</v>
      </c>
      <c r="S1210" s="9" t="n">
        <v>1130101</v>
      </c>
      <c r="T1210" s="11" t="s">
        <v>48</v>
      </c>
      <c r="U1210" s="12" t="n">
        <v>1387.05</v>
      </c>
      <c r="W1210" s="12" t="n">
        <v>1387.05</v>
      </c>
      <c r="X1210" s="11" t="s">
        <v>1040</v>
      </c>
      <c r="Z1210" s="0" t="str">
        <f aca="false">IF($T1210="","",IFERROR(INDEX('Resumo Grupos'!$AC$3:$AC$200,MATCH($T1210,'Resumo Grupos'!$AB$3:$AB$200,0)),"n/d"))</f>
        <v>Mercadoria</v>
      </c>
      <c r="AA1210" s="0" t="str">
        <f aca="false">IF($T1210="","",IF(COUNTIF('Resumo Grupos'!$AE$3:$AE$40,$T1210)&gt;0,"NAO","SIM"))</f>
        <v>SIM</v>
      </c>
      <c r="AB1210" s="0" t="str">
        <f aca="false">IFERROR(INDEX('Mov Entradas (Rel 10497)'!$L:$L,MATCH(AC1210,'Mov Entradas (Rel 10497)'!$I:$I,0)),"nao encontrado")</f>
        <v>PROTETOR DIARIO ALWAYS C/ PERFUME 15UN</v>
      </c>
      <c r="AC1210" s="0" t="n">
        <v>3218198</v>
      </c>
    </row>
    <row r="1211" customFormat="false" ht="12.75" hidden="false" customHeight="true" outlineLevel="0" collapsed="false">
      <c r="A1211" s="9" t="n">
        <v>2</v>
      </c>
      <c r="B1211" s="10" t="n">
        <v>46219</v>
      </c>
      <c r="C1211" s="10" t="n">
        <v>46237</v>
      </c>
      <c r="D1211" s="9" t="n">
        <v>1636</v>
      </c>
      <c r="E1211" s="11" t="s">
        <v>61</v>
      </c>
      <c r="F1211" s="9" t="n">
        <v>24</v>
      </c>
      <c r="G1211" s="11" t="s">
        <v>51</v>
      </c>
      <c r="H1211" s="9" t="n">
        <v>2110405</v>
      </c>
      <c r="I1211" s="11" t="s">
        <v>56</v>
      </c>
      <c r="J1211" s="9" t="n">
        <v>1406470</v>
      </c>
      <c r="L1211" s="9" t="n">
        <v>189390</v>
      </c>
      <c r="M1211" s="11" t="s">
        <v>52</v>
      </c>
      <c r="N1211" s="11" t="s">
        <v>45</v>
      </c>
      <c r="P1211" s="9" t="n">
        <v>113</v>
      </c>
      <c r="Q1211" s="11" t="s">
        <v>46</v>
      </c>
      <c r="R1211" s="11" t="s">
        <v>47</v>
      </c>
      <c r="S1211" s="9" t="n">
        <v>1130101</v>
      </c>
      <c r="T1211" s="11" t="s">
        <v>48</v>
      </c>
      <c r="U1211" s="12" t="n">
        <v>920.12</v>
      </c>
      <c r="W1211" s="12" t="n">
        <v>920.12</v>
      </c>
      <c r="X1211" s="11" t="s">
        <v>1041</v>
      </c>
      <c r="Z1211" s="0" t="str">
        <f aca="false">IF($T1211="","",IFERROR(INDEX('Resumo Grupos'!$AC$3:$AC$200,MATCH($T1211,'Resumo Grupos'!$AB$3:$AB$200,0)),"n/d"))</f>
        <v>Mercadoria</v>
      </c>
      <c r="AA1211" s="0" t="str">
        <f aca="false">IF($T1211="","",IF(COUNTIF('Resumo Grupos'!$AE$3:$AE$40,$T1211)&gt;0,"NAO","SIM"))</f>
        <v>SIM</v>
      </c>
      <c r="AB1211" s="0" t="str">
        <f aca="false">IFERROR(INDEX('Mov Entradas (Rel 10497)'!$L:$L,MATCH(AC1211,'Mov Entradas (Rel 10497)'!$I:$I,0)),"nao encontrado")</f>
        <v>ADOC LI ZERO-CAL 100ML</v>
      </c>
      <c r="AC1211" s="0" t="n">
        <v>3218197</v>
      </c>
    </row>
    <row r="1212" customFormat="false" ht="12.75" hidden="false" customHeight="true" outlineLevel="0" collapsed="false">
      <c r="A1212" s="9" t="n">
        <v>2</v>
      </c>
      <c r="B1212" s="10" t="n">
        <v>46217</v>
      </c>
      <c r="C1212" s="10" t="n">
        <v>46237</v>
      </c>
      <c r="D1212" s="9" t="n">
        <v>1612</v>
      </c>
      <c r="E1212" s="11" t="s">
        <v>74</v>
      </c>
      <c r="F1212" s="9" t="n">
        <v>24</v>
      </c>
      <c r="G1212" s="11" t="s">
        <v>51</v>
      </c>
      <c r="H1212" s="9" t="n">
        <v>2110405</v>
      </c>
      <c r="I1212" s="11" t="s">
        <v>56</v>
      </c>
      <c r="J1212" s="9" t="n">
        <v>1397698</v>
      </c>
      <c r="L1212" s="9" t="n">
        <v>188008</v>
      </c>
      <c r="M1212" s="11" t="s">
        <v>52</v>
      </c>
      <c r="N1212" s="11" t="s">
        <v>45</v>
      </c>
      <c r="P1212" s="9" t="n">
        <v>113</v>
      </c>
      <c r="Q1212" s="11" t="s">
        <v>46</v>
      </c>
      <c r="R1212" s="11" t="s">
        <v>47</v>
      </c>
      <c r="S1212" s="9" t="n">
        <v>1130101</v>
      </c>
      <c r="T1212" s="11" t="s">
        <v>48</v>
      </c>
      <c r="U1212" s="12" t="n">
        <v>550.37</v>
      </c>
      <c r="W1212" s="12" t="n">
        <v>550.37</v>
      </c>
      <c r="X1212" s="11" t="s">
        <v>1146</v>
      </c>
      <c r="Z1212" s="0" t="str">
        <f aca="false">IF($T1212="","",IFERROR(INDEX('Resumo Grupos'!$AC$3:$AC$200,MATCH($T1212,'Resumo Grupos'!$AB$3:$AB$200,0)),"n/d"))</f>
        <v>Mercadoria</v>
      </c>
      <c r="AA1212" s="0" t="str">
        <f aca="false">IF($T1212="","",IF(COUNTIF('Resumo Grupos'!$AE$3:$AE$40,$T1212)&gt;0,"NAO","SIM"))</f>
        <v>SIM</v>
      </c>
      <c r="AB1212" s="0" t="str">
        <f aca="false">IFERROR(INDEX('Mov Entradas (Rel 10497)'!$L:$L,MATCH(AC1212,'Mov Entradas (Rel 10497)'!$I:$I,0)),"nao encontrado")</f>
        <v>DETERG YPE LIMAO 500ML</v>
      </c>
      <c r="AC1212" s="0" t="n">
        <v>2300746</v>
      </c>
    </row>
    <row r="1213" customFormat="false" ht="12.75" hidden="false" customHeight="true" outlineLevel="0" collapsed="false">
      <c r="A1213" s="9" t="n">
        <v>2</v>
      </c>
      <c r="B1213" s="10" t="n">
        <v>46216</v>
      </c>
      <c r="C1213" s="10" t="n">
        <v>46237</v>
      </c>
      <c r="D1213" s="9" t="n">
        <v>1626</v>
      </c>
      <c r="E1213" s="11" t="s">
        <v>77</v>
      </c>
      <c r="F1213" s="9" t="n">
        <v>24</v>
      </c>
      <c r="G1213" s="11" t="s">
        <v>51</v>
      </c>
      <c r="H1213" s="9" t="n">
        <v>2110101</v>
      </c>
      <c r="I1213" s="11" t="s">
        <v>43</v>
      </c>
      <c r="J1213" s="9" t="n">
        <v>1393879</v>
      </c>
      <c r="L1213" s="9" t="n">
        <v>312916</v>
      </c>
      <c r="M1213" s="11" t="s">
        <v>67</v>
      </c>
      <c r="N1213" s="11" t="s">
        <v>37</v>
      </c>
      <c r="P1213" s="9" t="n">
        <v>113</v>
      </c>
      <c r="Q1213" s="11" t="s">
        <v>46</v>
      </c>
      <c r="R1213" s="11" t="s">
        <v>47</v>
      </c>
      <c r="S1213" s="9" t="n">
        <v>1130101</v>
      </c>
      <c r="T1213" s="11" t="s">
        <v>48</v>
      </c>
      <c r="U1213" s="12" t="n">
        <v>368.06</v>
      </c>
      <c r="W1213" s="12" t="n">
        <v>368.06</v>
      </c>
      <c r="X1213" s="11" t="s">
        <v>949</v>
      </c>
      <c r="Z1213" s="0" t="str">
        <f aca="false">IF($T1213="","",IFERROR(INDEX('Resumo Grupos'!$AC$3:$AC$200,MATCH($T1213,'Resumo Grupos'!$AB$3:$AB$200,0)),"n/d"))</f>
        <v>Mercadoria</v>
      </c>
      <c r="AA1213" s="0" t="str">
        <f aca="false">IF($T1213="","",IF(COUNTIF('Resumo Grupos'!$AE$3:$AE$40,$T1213)&gt;0,"NAO","SIM"))</f>
        <v>SIM</v>
      </c>
      <c r="AB1213" s="0" t="str">
        <f aca="false">IFERROR(INDEX('Mov Entradas (Rel 10497)'!$L:$L,MATCH(AC1213,'Mov Entradas (Rel 10497)'!$I:$I,0)),"nao encontrado")</f>
        <v>BROCOLIS FLORETS 300</v>
      </c>
      <c r="AC1213" s="0" t="n">
        <v>312916</v>
      </c>
    </row>
    <row r="1214" customFormat="false" ht="12.75" hidden="false" customHeight="true" outlineLevel="0" collapsed="false">
      <c r="A1214" s="9" t="n">
        <v>2</v>
      </c>
      <c r="B1214" s="10" t="n">
        <v>46234</v>
      </c>
      <c r="C1214" s="10" t="n">
        <v>46237</v>
      </c>
      <c r="D1214" s="9" t="n">
        <v>10035</v>
      </c>
      <c r="E1214" s="11" t="s">
        <v>86</v>
      </c>
      <c r="F1214" s="9" t="n">
        <v>34</v>
      </c>
      <c r="G1214" s="11" t="s">
        <v>55</v>
      </c>
      <c r="H1214" s="9" t="n">
        <v>2110405</v>
      </c>
      <c r="I1214" s="11" t="s">
        <v>56</v>
      </c>
      <c r="J1214" s="9" t="n">
        <v>1477872</v>
      </c>
      <c r="L1214" s="9" t="n">
        <v>200494</v>
      </c>
      <c r="M1214" s="11" t="s">
        <v>52</v>
      </c>
      <c r="N1214" s="11" t="s">
        <v>45</v>
      </c>
      <c r="P1214" s="9" t="n">
        <v>113</v>
      </c>
      <c r="Q1214" s="11" t="s">
        <v>46</v>
      </c>
      <c r="R1214" s="11" t="s">
        <v>47</v>
      </c>
      <c r="S1214" s="9" t="n">
        <v>1130101</v>
      </c>
      <c r="T1214" s="11" t="s">
        <v>48</v>
      </c>
      <c r="U1214" s="12" t="n">
        <v>228</v>
      </c>
      <c r="W1214" s="12" t="n">
        <v>228</v>
      </c>
      <c r="X1214" s="11" t="s">
        <v>1147</v>
      </c>
      <c r="Z1214" s="0" t="str">
        <f aca="false">IF($T1214="","",IFERROR(INDEX('Resumo Grupos'!$AC$3:$AC$200,MATCH($T1214,'Resumo Grupos'!$AB$3:$AB$200,0)),"n/d"))</f>
        <v>Mercadoria</v>
      </c>
      <c r="AA1214" s="0" t="str">
        <f aca="false">IF($T1214="","",IF(COUNTIF('Resumo Grupos'!$AE$3:$AE$40,$T1214)&gt;0,"NAO","SIM"))</f>
        <v>SIM</v>
      </c>
      <c r="AB1214" s="0" t="str">
        <f aca="false">IFERROR(INDEX('Mov Entradas (Rel 10497)'!$L:$L,MATCH(AC1214,'Mov Entradas (Rel 10497)'!$I:$I,0)),"nao encontrado")</f>
        <v>CARVAO VEGETAL 3KG</v>
      </c>
      <c r="AC1214" s="0" t="n">
        <v>389</v>
      </c>
    </row>
    <row r="1215" customFormat="false" ht="12.75" hidden="false" customHeight="true" outlineLevel="0" collapsed="false">
      <c r="A1215" s="9" t="n">
        <v>2</v>
      </c>
      <c r="B1215" s="10" t="n">
        <v>46230</v>
      </c>
      <c r="C1215" s="10" t="n">
        <v>46237</v>
      </c>
      <c r="D1215" s="9" t="n">
        <v>1363</v>
      </c>
      <c r="E1215" s="11" t="s">
        <v>174</v>
      </c>
      <c r="F1215" s="9" t="n">
        <v>24</v>
      </c>
      <c r="G1215" s="11" t="s">
        <v>51</v>
      </c>
      <c r="H1215" s="9" t="n">
        <v>2110405</v>
      </c>
      <c r="I1215" s="11" t="s">
        <v>56</v>
      </c>
      <c r="J1215" s="9" t="n">
        <v>1459559</v>
      </c>
      <c r="L1215" s="9" t="n">
        <v>197539</v>
      </c>
      <c r="M1215" s="11" t="s">
        <v>52</v>
      </c>
      <c r="N1215" s="11" t="s">
        <v>45</v>
      </c>
      <c r="P1215" s="9" t="n">
        <v>113</v>
      </c>
      <c r="Q1215" s="11" t="s">
        <v>46</v>
      </c>
      <c r="R1215" s="11" t="s">
        <v>47</v>
      </c>
      <c r="S1215" s="9" t="n">
        <v>1130101</v>
      </c>
      <c r="T1215" s="11" t="s">
        <v>48</v>
      </c>
      <c r="U1215" s="12" t="n">
        <v>125</v>
      </c>
      <c r="W1215" s="12" t="n">
        <v>125</v>
      </c>
      <c r="X1215" s="11" t="s">
        <v>1148</v>
      </c>
      <c r="Z1215" s="0" t="str">
        <f aca="false">IF($T1215="","",IFERROR(INDEX('Resumo Grupos'!$AC$3:$AC$200,MATCH($T1215,'Resumo Grupos'!$AB$3:$AB$200,0)),"n/d"))</f>
        <v>Mercadoria</v>
      </c>
      <c r="AA1215" s="0" t="str">
        <f aca="false">IF($T1215="","",IF(COUNTIF('Resumo Grupos'!$AE$3:$AE$40,$T1215)&gt;0,"NAO","SIM"))</f>
        <v>SIM</v>
      </c>
      <c r="AB1215" s="0" t="str">
        <f aca="false">IFERROR(INDEX('Mov Entradas (Rel 10497)'!$L:$L,MATCH(AC1215,'Mov Entradas (Rel 10497)'!$I:$I,0)),"nao encontrado")</f>
        <v>PAO HAMBURGUER SANTO PAO</v>
      </c>
      <c r="AC1215" s="0" t="n">
        <v>3618</v>
      </c>
    </row>
    <row r="1216" customFormat="false" ht="12.75" hidden="false" customHeight="true" outlineLevel="0" collapsed="false">
      <c r="A1216" s="9" t="n">
        <v>2</v>
      </c>
      <c r="B1216" s="10" t="n">
        <v>46237</v>
      </c>
      <c r="C1216" s="10" t="n">
        <v>46237</v>
      </c>
      <c r="D1216" s="9" t="n">
        <v>48</v>
      </c>
      <c r="E1216" s="11" t="s">
        <v>153</v>
      </c>
      <c r="F1216" s="9" t="n">
        <v>13</v>
      </c>
      <c r="G1216" s="11" t="s">
        <v>135</v>
      </c>
      <c r="H1216" s="9" t="n">
        <v>2110101</v>
      </c>
      <c r="I1216" s="11" t="s">
        <v>43</v>
      </c>
      <c r="J1216" s="9" t="n">
        <v>1493407</v>
      </c>
      <c r="L1216" s="9" t="n">
        <v>2581</v>
      </c>
      <c r="M1216" s="11" t="s">
        <v>52</v>
      </c>
      <c r="N1216" s="11" t="s">
        <v>37</v>
      </c>
      <c r="P1216" s="9" t="n">
        <v>113</v>
      </c>
      <c r="Q1216" s="11" t="s">
        <v>46</v>
      </c>
      <c r="R1216" s="11" t="s">
        <v>47</v>
      </c>
      <c r="S1216" s="9" t="n">
        <v>1130101</v>
      </c>
      <c r="T1216" s="11" t="s">
        <v>48</v>
      </c>
      <c r="U1216" s="12" t="n">
        <v>280</v>
      </c>
      <c r="W1216" s="12" t="n">
        <v>0</v>
      </c>
      <c r="X1216" s="11" t="s">
        <v>1149</v>
      </c>
      <c r="Z1216" s="0" t="str">
        <f aca="false">IF($T1216="","",IFERROR(INDEX('Resumo Grupos'!$AC$3:$AC$200,MATCH($T1216,'Resumo Grupos'!$AB$3:$AB$200,0)),"n/d"))</f>
        <v>Mercadoria</v>
      </c>
      <c r="AA1216" s="0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9" t="n">
        <v>2</v>
      </c>
      <c r="B1217" s="10" t="n">
        <v>46237</v>
      </c>
      <c r="C1217" s="10" t="n">
        <v>46237</v>
      </c>
      <c r="D1217" s="9" t="n">
        <v>48</v>
      </c>
      <c r="E1217" s="11" t="s">
        <v>153</v>
      </c>
      <c r="F1217" s="9" t="n">
        <v>13</v>
      </c>
      <c r="G1217" s="11" t="s">
        <v>135</v>
      </c>
      <c r="H1217" s="9" t="n">
        <v>2110101</v>
      </c>
      <c r="I1217" s="11" t="s">
        <v>43</v>
      </c>
      <c r="J1217" s="9" t="n">
        <v>1493427</v>
      </c>
      <c r="L1217" s="9" t="n">
        <v>2582</v>
      </c>
      <c r="M1217" s="11" t="s">
        <v>52</v>
      </c>
      <c r="N1217" s="11" t="s">
        <v>37</v>
      </c>
      <c r="P1217" s="9" t="n">
        <v>113</v>
      </c>
      <c r="Q1217" s="11" t="s">
        <v>46</v>
      </c>
      <c r="R1217" s="11" t="s">
        <v>47</v>
      </c>
      <c r="S1217" s="9" t="n">
        <v>1130101</v>
      </c>
      <c r="T1217" s="11" t="s">
        <v>48</v>
      </c>
      <c r="U1217" s="12" t="n">
        <v>210</v>
      </c>
      <c r="W1217" s="12" t="n">
        <v>210</v>
      </c>
      <c r="X1217" s="11" t="s">
        <v>1150</v>
      </c>
      <c r="Z1217" s="0" t="str">
        <f aca="false">IF($T1217="","",IFERROR(INDEX('Resumo Grupos'!$AC$3:$AC$200,MATCH($T1217,'Resumo Grupos'!$AB$3:$AB$200,0)),"n/d"))</f>
        <v>Mercadoria</v>
      </c>
      <c r="AA1217" s="0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9" t="n">
        <v>2</v>
      </c>
      <c r="B1218" s="10" t="n">
        <v>46231</v>
      </c>
      <c r="C1218" s="10" t="n">
        <v>46237</v>
      </c>
      <c r="D1218" s="9" t="n">
        <v>1328</v>
      </c>
      <c r="E1218" s="11" t="s">
        <v>95</v>
      </c>
      <c r="F1218" s="9" t="n">
        <v>24</v>
      </c>
      <c r="G1218" s="11" t="s">
        <v>51</v>
      </c>
      <c r="H1218" s="9" t="n">
        <v>2110405</v>
      </c>
      <c r="I1218" s="11" t="s">
        <v>56</v>
      </c>
      <c r="J1218" s="9" t="n">
        <v>1464443</v>
      </c>
      <c r="L1218" s="9" t="n">
        <v>198279</v>
      </c>
      <c r="M1218" s="11" t="s">
        <v>52</v>
      </c>
      <c r="N1218" s="11" t="s">
        <v>45</v>
      </c>
      <c r="P1218" s="9" t="n">
        <v>113</v>
      </c>
      <c r="Q1218" s="11" t="s">
        <v>46</v>
      </c>
      <c r="R1218" s="11" t="s">
        <v>47</v>
      </c>
      <c r="S1218" s="9" t="n">
        <v>1130101</v>
      </c>
      <c r="T1218" s="11" t="s">
        <v>48</v>
      </c>
      <c r="U1218" s="12" t="n">
        <v>244</v>
      </c>
      <c r="W1218" s="12" t="n">
        <v>244</v>
      </c>
      <c r="X1218" s="11" t="s">
        <v>1151</v>
      </c>
      <c r="Z1218" s="0" t="str">
        <f aca="false">IF($T1218="","",IFERROR(INDEX('Resumo Grupos'!$AC$3:$AC$200,MATCH($T1218,'Resumo Grupos'!$AB$3:$AB$200,0)),"n/d"))</f>
        <v>Mercadoria</v>
      </c>
      <c r="AA1218" s="0" t="str">
        <f aca="false">IF($T1218="","",IF(COUNTIF('Resumo Grupos'!$AE$3:$AE$40,$T1218)&gt;0,"NAO","SIM"))</f>
        <v>SIM</v>
      </c>
      <c r="AB1218" s="0" t="str">
        <f aca="false">IFERROR(INDEX('Mov Entradas (Rel 10497)'!$L:$L,MATCH(AC1218,'Mov Entradas (Rel 10497)'!$I:$I,0)),"nao encontrado")</f>
        <v>PAO BISNAGUIN</v>
      </c>
      <c r="AC1218" s="0" t="n">
        <v>4207</v>
      </c>
    </row>
    <row r="1219" customFormat="false" ht="12.75" hidden="false" customHeight="true" outlineLevel="0" collapsed="false">
      <c r="A1219" s="9" t="n">
        <v>2</v>
      </c>
      <c r="B1219" s="10" t="n">
        <v>46233</v>
      </c>
      <c r="C1219" s="10" t="n">
        <v>46237</v>
      </c>
      <c r="D1219" s="9" t="n">
        <v>1899</v>
      </c>
      <c r="E1219" s="11" t="s">
        <v>204</v>
      </c>
      <c r="F1219" s="9" t="n">
        <v>24</v>
      </c>
      <c r="G1219" s="11" t="s">
        <v>51</v>
      </c>
      <c r="H1219" s="9" t="n">
        <v>2110405</v>
      </c>
      <c r="I1219" s="11" t="s">
        <v>56</v>
      </c>
      <c r="J1219" s="9" t="n">
        <v>1472608</v>
      </c>
      <c r="L1219" s="9" t="n">
        <v>199512</v>
      </c>
      <c r="M1219" s="11" t="s">
        <v>52</v>
      </c>
      <c r="N1219" s="11" t="s">
        <v>45</v>
      </c>
      <c r="P1219" s="9" t="n">
        <v>113</v>
      </c>
      <c r="Q1219" s="11" t="s">
        <v>46</v>
      </c>
      <c r="R1219" s="11" t="s">
        <v>47</v>
      </c>
      <c r="S1219" s="9" t="n">
        <v>1130101</v>
      </c>
      <c r="T1219" s="11" t="s">
        <v>48</v>
      </c>
      <c r="U1219" s="12" t="n">
        <v>284.7</v>
      </c>
      <c r="W1219" s="12" t="n">
        <v>284.7</v>
      </c>
      <c r="X1219" s="11" t="s">
        <v>1152</v>
      </c>
      <c r="Z1219" s="0" t="str">
        <f aca="false">IF($T1219="","",IFERROR(INDEX('Resumo Grupos'!$AC$3:$AC$200,MATCH($T1219,'Resumo Grupos'!$AB$3:$AB$200,0)),"n/d"))</f>
        <v>Mercadoria</v>
      </c>
      <c r="AA1219" s="0" t="str">
        <f aca="false">IF($T1219="","",IF(COUNTIF('Resumo Grupos'!$AE$3:$AE$40,$T1219)&gt;0,"NAO","SIM"))</f>
        <v>SIM</v>
      </c>
      <c r="AB1219" s="0" t="str">
        <f aca="false">IFERROR(INDEX('Mov Entradas (Rel 10497)'!$L:$L,MATCH(AC1219,'Mov Entradas (Rel 10497)'!$I:$I,0)),"nao encontrado")</f>
        <v>PAO DE FORMA REAL MA</v>
      </c>
      <c r="AC1219" s="0" t="n">
        <v>737</v>
      </c>
    </row>
    <row r="1220" customFormat="false" ht="12.75" hidden="false" customHeight="true" outlineLevel="0" collapsed="false">
      <c r="A1220" s="9" t="n">
        <v>2</v>
      </c>
      <c r="B1220" s="10" t="n">
        <v>46237</v>
      </c>
      <c r="C1220" s="10" t="n">
        <v>46237</v>
      </c>
      <c r="D1220" s="9" t="n">
        <v>514</v>
      </c>
      <c r="E1220" s="11" t="s">
        <v>759</v>
      </c>
      <c r="F1220" s="9" t="n">
        <v>34</v>
      </c>
      <c r="G1220" s="11" t="s">
        <v>55</v>
      </c>
      <c r="H1220" s="9" t="n">
        <v>2110405</v>
      </c>
      <c r="I1220" s="11" t="s">
        <v>56</v>
      </c>
      <c r="J1220" s="9" t="n">
        <v>1736062</v>
      </c>
      <c r="L1220" s="9" t="n">
        <v>238785</v>
      </c>
      <c r="M1220" s="11" t="s">
        <v>52</v>
      </c>
      <c r="N1220" s="11" t="s">
        <v>45</v>
      </c>
      <c r="P1220" s="9" t="n">
        <v>101</v>
      </c>
      <c r="Q1220" s="11" t="s">
        <v>57</v>
      </c>
      <c r="R1220" s="11" t="s">
        <v>138</v>
      </c>
      <c r="S1220" s="9" t="n">
        <v>4210505</v>
      </c>
      <c r="T1220" s="11" t="s">
        <v>139</v>
      </c>
      <c r="U1220" s="12" t="n">
        <v>0.39</v>
      </c>
      <c r="W1220" s="12" t="n">
        <v>0</v>
      </c>
      <c r="X1220" s="11" t="s">
        <v>1153</v>
      </c>
      <c r="Z1220" s="0" t="str">
        <f aca="false">IF($T1220="","",IFERROR(INDEX('Resumo Grupos'!$AC$3:$AC$200,MATCH($T1220,'Resumo Grupos'!$AB$3:$AB$200,0)),"n/d"))</f>
        <v>Despesa</v>
      </c>
      <c r="AA1220" s="0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9" t="n">
        <v>2</v>
      </c>
      <c r="B1221" s="10" t="n">
        <v>46237</v>
      </c>
      <c r="C1221" s="10" t="n">
        <v>46237</v>
      </c>
      <c r="D1221" s="9" t="n">
        <v>514</v>
      </c>
      <c r="E1221" s="11" t="s">
        <v>759</v>
      </c>
      <c r="F1221" s="9" t="n">
        <v>34</v>
      </c>
      <c r="G1221" s="11" t="s">
        <v>55</v>
      </c>
      <c r="H1221" s="9" t="n">
        <v>2110405</v>
      </c>
      <c r="I1221" s="11" t="s">
        <v>56</v>
      </c>
      <c r="J1221" s="9" t="n">
        <v>1736064</v>
      </c>
      <c r="L1221" s="9" t="n">
        <v>238786</v>
      </c>
      <c r="M1221" s="11" t="s">
        <v>52</v>
      </c>
      <c r="N1221" s="11" t="s">
        <v>45</v>
      </c>
      <c r="P1221" s="9" t="n">
        <v>101</v>
      </c>
      <c r="Q1221" s="11" t="s">
        <v>57</v>
      </c>
      <c r="R1221" s="11" t="s">
        <v>138</v>
      </c>
      <c r="S1221" s="9" t="n">
        <v>4210504</v>
      </c>
      <c r="T1221" s="11" t="s">
        <v>143</v>
      </c>
      <c r="U1221" s="12" t="n">
        <v>237</v>
      </c>
      <c r="W1221" s="12" t="n">
        <v>0</v>
      </c>
      <c r="X1221" s="11" t="s">
        <v>1154</v>
      </c>
      <c r="Z1221" s="0" t="str">
        <f aca="false">IF($T1221="","",IFERROR(INDEX('Resumo Grupos'!$AC$3:$AC$200,MATCH($T1221,'Resumo Grupos'!$AB$3:$AB$200,0)),"n/d"))</f>
        <v>Despesa</v>
      </c>
      <c r="AA1221" s="0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9" t="n">
        <v>2</v>
      </c>
      <c r="B1222" s="10" t="n">
        <v>46231</v>
      </c>
      <c r="C1222" s="10" t="n">
        <v>46237</v>
      </c>
      <c r="D1222" s="9" t="n">
        <v>1292</v>
      </c>
      <c r="E1222" s="11" t="s">
        <v>209</v>
      </c>
      <c r="F1222" s="9" t="n">
        <v>24</v>
      </c>
      <c r="G1222" s="11" t="s">
        <v>51</v>
      </c>
      <c r="H1222" s="9" t="n">
        <v>2110405</v>
      </c>
      <c r="I1222" s="11" t="s">
        <v>56</v>
      </c>
      <c r="J1222" s="9" t="n">
        <v>1464433</v>
      </c>
      <c r="L1222" s="9" t="n">
        <v>198276</v>
      </c>
      <c r="M1222" s="11" t="s">
        <v>52</v>
      </c>
      <c r="N1222" s="11" t="s">
        <v>45</v>
      </c>
      <c r="P1222" s="9" t="n">
        <v>113</v>
      </c>
      <c r="Q1222" s="11" t="s">
        <v>46</v>
      </c>
      <c r="R1222" s="11" t="s">
        <v>47</v>
      </c>
      <c r="S1222" s="9" t="n">
        <v>1130101</v>
      </c>
      <c r="T1222" s="11" t="s">
        <v>48</v>
      </c>
      <c r="U1222" s="12" t="n">
        <v>505.5</v>
      </c>
      <c r="W1222" s="12" t="n">
        <v>505.5</v>
      </c>
      <c r="X1222" s="11" t="s">
        <v>1155</v>
      </c>
      <c r="Z1222" s="0" t="str">
        <f aca="false">IF($T1222="","",IFERROR(INDEX('Resumo Grupos'!$AC$3:$AC$200,MATCH($T1222,'Resumo Grupos'!$AB$3:$AB$200,0)),"n/d"))</f>
        <v>Mercadoria</v>
      </c>
      <c r="AA1222" s="0" t="str">
        <f aca="false">IF($T1222="","",IF(COUNTIF('Resumo Grupos'!$AE$3:$AE$40,$T1222)&gt;0,"NAO","SIM"))</f>
        <v>SIM</v>
      </c>
      <c r="AB1222" s="0" t="str">
        <f aca="false">IFERROR(INDEX('Mov Entradas (Rel 10497)'!$L:$L,MATCH(AC1222,'Mov Entradas (Rel 10497)'!$I:$I,0)),"nao encontrado")</f>
        <v>PRESUNTO DELICE DE PERU 200G</v>
      </c>
      <c r="AC1222" s="0" t="n">
        <v>3718</v>
      </c>
    </row>
    <row r="1223" customFormat="false" ht="12.75" hidden="false" customHeight="true" outlineLevel="0" collapsed="false">
      <c r="A1223" s="9" t="n">
        <v>2</v>
      </c>
      <c r="B1223" s="10" t="n">
        <v>46237</v>
      </c>
      <c r="C1223" s="10" t="n">
        <v>46237</v>
      </c>
      <c r="D1223" s="9" t="n">
        <v>0</v>
      </c>
      <c r="E1223" s="11" t="s">
        <v>109</v>
      </c>
      <c r="F1223" s="9" t="n">
        <v>17</v>
      </c>
      <c r="G1223" s="11" t="s">
        <v>110</v>
      </c>
      <c r="H1223" s="9" t="n">
        <v>1110101</v>
      </c>
      <c r="I1223" s="11" t="s">
        <v>111</v>
      </c>
      <c r="J1223" s="9" t="n">
        <v>1503781</v>
      </c>
      <c r="L1223" s="9" t="n">
        <v>1503781</v>
      </c>
      <c r="M1223" s="11" t="s">
        <v>52</v>
      </c>
      <c r="N1223" s="11" t="s">
        <v>112</v>
      </c>
      <c r="P1223" s="9" t="n">
        <v>113</v>
      </c>
      <c r="Q1223" s="11" t="s">
        <v>46</v>
      </c>
      <c r="R1223" s="11" t="s">
        <v>259</v>
      </c>
      <c r="S1223" s="9" t="n">
        <v>2110101</v>
      </c>
      <c r="T1223" s="11" t="s">
        <v>43</v>
      </c>
      <c r="U1223" s="12" t="n">
        <v>210</v>
      </c>
      <c r="W1223" s="12" t="n">
        <v>210</v>
      </c>
      <c r="X1223" s="11" t="s">
        <v>1156</v>
      </c>
      <c r="Z1223" s="0" t="str">
        <f aca="false">IF($T1223="","",IFERROR(INDEX('Resumo Grupos'!$AC$3:$AC$200,MATCH($T1223,'Resumo Grupos'!$AB$3:$AB$200,0)),"n/d"))</f>
        <v>Despesa</v>
      </c>
      <c r="AA1223" s="0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9" t="n">
        <v>2</v>
      </c>
      <c r="B1224" s="10" t="n">
        <v>46237</v>
      </c>
      <c r="C1224" s="10" t="n">
        <v>46237</v>
      </c>
      <c r="D1224" s="9" t="n">
        <v>0</v>
      </c>
      <c r="E1224" s="11" t="s">
        <v>109</v>
      </c>
      <c r="F1224" s="9" t="n">
        <v>17</v>
      </c>
      <c r="G1224" s="11" t="s">
        <v>110</v>
      </c>
      <c r="H1224" s="9" t="n">
        <v>1110101</v>
      </c>
      <c r="I1224" s="11" t="s">
        <v>111</v>
      </c>
      <c r="J1224" s="9" t="n">
        <v>1503804</v>
      </c>
      <c r="L1224" s="9" t="n">
        <v>1503804</v>
      </c>
      <c r="M1224" s="11" t="s">
        <v>52</v>
      </c>
      <c r="N1224" s="11" t="s">
        <v>112</v>
      </c>
      <c r="P1224" s="9" t="n">
        <v>113</v>
      </c>
      <c r="Q1224" s="11" t="s">
        <v>46</v>
      </c>
      <c r="R1224" s="11" t="s">
        <v>71</v>
      </c>
      <c r="S1224" s="9" t="n">
        <v>4210314</v>
      </c>
      <c r="T1224" s="11" t="s">
        <v>113</v>
      </c>
      <c r="U1224" s="12" t="n">
        <v>70</v>
      </c>
      <c r="W1224" s="12" t="n">
        <v>70</v>
      </c>
      <c r="X1224" s="11" t="s">
        <v>1157</v>
      </c>
      <c r="Z1224" s="0" t="str">
        <f aca="false">IF($T1224="","",IFERROR(INDEX('Resumo Grupos'!$AC$3:$AC$200,MATCH($T1224,'Resumo Grupos'!$AB$3:$AB$200,0)),"n/d"))</f>
        <v>Despesa</v>
      </c>
      <c r="AA1224" s="0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9" t="n">
        <v>2</v>
      </c>
      <c r="B1225" s="10" t="n">
        <v>46237</v>
      </c>
      <c r="C1225" s="10" t="n">
        <v>46237</v>
      </c>
      <c r="D1225" s="9" t="n">
        <v>0</v>
      </c>
      <c r="E1225" s="11" t="s">
        <v>109</v>
      </c>
      <c r="F1225" s="9" t="n">
        <v>17</v>
      </c>
      <c r="G1225" s="11" t="s">
        <v>110</v>
      </c>
      <c r="H1225" s="9" t="n">
        <v>1110101</v>
      </c>
      <c r="I1225" s="11" t="s">
        <v>111</v>
      </c>
      <c r="J1225" s="9" t="n">
        <v>1503807</v>
      </c>
      <c r="L1225" s="9" t="n">
        <v>1503807</v>
      </c>
      <c r="M1225" s="11" t="s">
        <v>52</v>
      </c>
      <c r="N1225" s="11" t="s">
        <v>112</v>
      </c>
      <c r="P1225" s="9" t="n">
        <v>113</v>
      </c>
      <c r="Q1225" s="11" t="s">
        <v>46</v>
      </c>
      <c r="R1225" s="11" t="s">
        <v>71</v>
      </c>
      <c r="S1225" s="9" t="n">
        <v>4210314</v>
      </c>
      <c r="T1225" s="11" t="s">
        <v>113</v>
      </c>
      <c r="U1225" s="12" t="n">
        <v>70</v>
      </c>
      <c r="W1225" s="12" t="n">
        <v>70</v>
      </c>
      <c r="X1225" s="11" t="s">
        <v>187</v>
      </c>
      <c r="Z1225" s="0" t="str">
        <f aca="false">IF($T1225="","",IFERROR(INDEX('Resumo Grupos'!$AC$3:$AC$200,MATCH($T1225,'Resumo Grupos'!$AB$3:$AB$200,0)),"n/d"))</f>
        <v>Despesa</v>
      </c>
      <c r="AA1225" s="0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9" t="n">
        <v>2</v>
      </c>
      <c r="B1226" s="10" t="n">
        <v>46237</v>
      </c>
      <c r="C1226" s="10" t="n">
        <v>46237</v>
      </c>
      <c r="D1226" s="9" t="n">
        <v>0</v>
      </c>
      <c r="E1226" s="11" t="s">
        <v>109</v>
      </c>
      <c r="F1226" s="9" t="n">
        <v>17</v>
      </c>
      <c r="G1226" s="11" t="s">
        <v>110</v>
      </c>
      <c r="H1226" s="9" t="n">
        <v>1110101</v>
      </c>
      <c r="I1226" s="11" t="s">
        <v>111</v>
      </c>
      <c r="J1226" s="9" t="n">
        <v>1716291</v>
      </c>
      <c r="L1226" s="9" t="n">
        <v>1716291</v>
      </c>
      <c r="M1226" s="11" t="s">
        <v>52</v>
      </c>
      <c r="N1226" s="11" t="s">
        <v>112</v>
      </c>
      <c r="P1226" s="9" t="n">
        <v>113</v>
      </c>
      <c r="Q1226" s="11" t="s">
        <v>46</v>
      </c>
      <c r="R1226" s="11" t="s">
        <v>116</v>
      </c>
      <c r="S1226" s="9" t="n">
        <v>1110203</v>
      </c>
      <c r="T1226" s="11" t="s">
        <v>117</v>
      </c>
      <c r="U1226" s="12" t="n">
        <v>2800</v>
      </c>
      <c r="W1226" s="12" t="n">
        <v>2800</v>
      </c>
      <c r="X1226" s="11" t="s">
        <v>1158</v>
      </c>
      <c r="Z1226" s="0" t="str">
        <f aca="false">IF($T1226="","",IFERROR(INDEX('Resumo Grupos'!$AC$3:$AC$200,MATCH($T1226,'Resumo Grupos'!$AB$3:$AB$200,0)),"n/d"))</f>
        <v>Despesa</v>
      </c>
      <c r="AA1226" s="0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9" t="n">
        <v>2</v>
      </c>
      <c r="B1227" s="10" t="n">
        <v>46230</v>
      </c>
      <c r="C1227" s="10" t="n">
        <v>46237</v>
      </c>
      <c r="D1227" s="9" t="n">
        <v>1631</v>
      </c>
      <c r="E1227" s="11" t="s">
        <v>299</v>
      </c>
      <c r="F1227" s="9" t="n">
        <v>24</v>
      </c>
      <c r="G1227" s="11" t="s">
        <v>51</v>
      </c>
      <c r="H1227" s="9" t="n">
        <v>2110405</v>
      </c>
      <c r="I1227" s="11" t="s">
        <v>56</v>
      </c>
      <c r="J1227" s="9" t="n">
        <v>1459264</v>
      </c>
      <c r="L1227" s="9" t="n">
        <v>197493</v>
      </c>
      <c r="M1227" s="11" t="s">
        <v>52</v>
      </c>
      <c r="N1227" s="11" t="s">
        <v>45</v>
      </c>
      <c r="P1227" s="9" t="n">
        <v>113</v>
      </c>
      <c r="Q1227" s="11" t="s">
        <v>46</v>
      </c>
      <c r="R1227" s="11" t="s">
        <v>47</v>
      </c>
      <c r="S1227" s="9" t="n">
        <v>1130101</v>
      </c>
      <c r="T1227" s="11" t="s">
        <v>48</v>
      </c>
      <c r="U1227" s="12" t="n">
        <v>272.52</v>
      </c>
      <c r="W1227" s="12" t="n">
        <v>272.52</v>
      </c>
      <c r="X1227" s="11" t="s">
        <v>1159</v>
      </c>
      <c r="Z1227" s="0" t="str">
        <f aca="false">IF($T1227="","",IFERROR(INDEX('Resumo Grupos'!$AC$3:$AC$200,MATCH($T1227,'Resumo Grupos'!$AB$3:$AB$200,0)),"n/d"))</f>
        <v>Mercadoria</v>
      </c>
      <c r="AA1227" s="0" t="str">
        <f aca="false">IF($T1227="","",IF(COUNTIF('Resumo Grupos'!$AE$3:$AE$40,$T1227)&gt;0,"NAO","SIM"))</f>
        <v>SIM</v>
      </c>
      <c r="AB1227" s="0" t="str">
        <f aca="false">IFERROR(INDEX('Mov Entradas (Rel 10497)'!$L:$L,MATCH(AC1227,'Mov Entradas (Rel 10497)'!$I:$I,0)),"nao encontrado")</f>
        <v>IOGURTE AMAZONGURT D</v>
      </c>
      <c r="AC1227" s="0" t="n">
        <v>15180</v>
      </c>
    </row>
    <row r="1228" customFormat="false" ht="12.75" hidden="false" customHeight="true" outlineLevel="0" collapsed="false">
      <c r="A1228" s="9" t="n">
        <v>2</v>
      </c>
      <c r="B1228" s="10" t="n">
        <v>46238</v>
      </c>
      <c r="C1228" s="10" t="n">
        <v>46238</v>
      </c>
      <c r="D1228" s="9" t="n">
        <v>862</v>
      </c>
      <c r="E1228" s="11" t="s">
        <v>318</v>
      </c>
      <c r="F1228" s="9" t="n">
        <v>24</v>
      </c>
      <c r="G1228" s="11" t="s">
        <v>51</v>
      </c>
      <c r="H1228" s="9" t="n">
        <v>2110405</v>
      </c>
      <c r="I1228" s="11" t="s">
        <v>56</v>
      </c>
      <c r="J1228" s="9" t="n">
        <v>1498421</v>
      </c>
      <c r="L1228" s="9" t="n">
        <v>202608</v>
      </c>
      <c r="M1228" s="11" t="s">
        <v>52</v>
      </c>
      <c r="N1228" s="11" t="s">
        <v>45</v>
      </c>
      <c r="P1228" s="9" t="n">
        <v>101</v>
      </c>
      <c r="Q1228" s="11" t="s">
        <v>57</v>
      </c>
      <c r="R1228" s="11" t="s">
        <v>39</v>
      </c>
      <c r="S1228" s="9" t="n">
        <v>4210233</v>
      </c>
      <c r="T1228" s="11" t="s">
        <v>207</v>
      </c>
      <c r="U1228" s="12" t="n">
        <v>270.9</v>
      </c>
      <c r="W1228" s="12" t="n">
        <v>270.9</v>
      </c>
      <c r="X1228" s="11" t="s">
        <v>1160</v>
      </c>
      <c r="Z1228" s="0" t="str">
        <f aca="false">IF($T1228="","",IFERROR(INDEX('Resumo Grupos'!$AC$3:$AC$200,MATCH($T1228,'Resumo Grupos'!$AB$3:$AB$200,0)),"n/d"))</f>
        <v>Despesa</v>
      </c>
      <c r="AA1228" s="0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9" t="n">
        <v>2</v>
      </c>
      <c r="B1229" s="10" t="n">
        <v>46235</v>
      </c>
      <c r="C1229" s="10" t="n">
        <v>46238</v>
      </c>
      <c r="D1229" s="9" t="n">
        <v>642</v>
      </c>
      <c r="E1229" s="11" t="s">
        <v>123</v>
      </c>
      <c r="F1229" s="9" t="n">
        <v>24</v>
      </c>
      <c r="G1229" s="11" t="s">
        <v>51</v>
      </c>
      <c r="H1229" s="9" t="n">
        <v>2110405</v>
      </c>
      <c r="I1229" s="11" t="s">
        <v>56</v>
      </c>
      <c r="J1229" s="9" t="n">
        <v>1481858</v>
      </c>
      <c r="L1229" s="9" t="n">
        <v>201136</v>
      </c>
      <c r="M1229" s="11" t="s">
        <v>52</v>
      </c>
      <c r="N1229" s="11" t="s">
        <v>45</v>
      </c>
      <c r="P1229" s="9" t="n">
        <v>113</v>
      </c>
      <c r="Q1229" s="11" t="s">
        <v>46</v>
      </c>
      <c r="R1229" s="11" t="s">
        <v>47</v>
      </c>
      <c r="S1229" s="9" t="n">
        <v>1130101</v>
      </c>
      <c r="T1229" s="11" t="s">
        <v>48</v>
      </c>
      <c r="U1229" s="12" t="n">
        <v>180</v>
      </c>
      <c r="W1229" s="12" t="n">
        <v>180</v>
      </c>
      <c r="X1229" s="11" t="s">
        <v>1161</v>
      </c>
      <c r="Z1229" s="0" t="str">
        <f aca="false">IF($T1229="","",IFERROR(INDEX('Resumo Grupos'!$AC$3:$AC$200,MATCH($T1229,'Resumo Grupos'!$AB$3:$AB$200,0)),"n/d"))</f>
        <v>Mercadoria</v>
      </c>
      <c r="AA1229" s="0" t="str">
        <f aca="false">IF($T1229="","",IF(COUNTIF('Resumo Grupos'!$AE$3:$AE$40,$T1229)&gt;0,"NAO","SIM"))</f>
        <v>SIM</v>
      </c>
      <c r="AB1229" s="0" t="str">
        <f aca="false">IFERROR(INDEX('Mov Entradas (Rel 10497)'!$L:$L,MATCH(AC1229,'Mov Entradas (Rel 10497)'!$I:$I,0)),"nao encontrado")</f>
        <v>BOLO BLOOM 600G</v>
      </c>
      <c r="AC1229" s="0" t="n">
        <v>569</v>
      </c>
    </row>
    <row r="1230" customFormat="false" ht="12.75" hidden="false" customHeight="true" outlineLevel="0" collapsed="false">
      <c r="A1230" s="9" t="n">
        <v>2</v>
      </c>
      <c r="B1230" s="10" t="n">
        <v>46238</v>
      </c>
      <c r="C1230" s="10" t="n">
        <v>46238</v>
      </c>
      <c r="D1230" s="9" t="n">
        <v>1961</v>
      </c>
      <c r="E1230" s="11" t="s">
        <v>125</v>
      </c>
      <c r="F1230" s="9" t="n">
        <v>34</v>
      </c>
      <c r="G1230" s="11" t="s">
        <v>55</v>
      </c>
      <c r="H1230" s="9" t="n">
        <v>2110405</v>
      </c>
      <c r="I1230" s="11" t="s">
        <v>56</v>
      </c>
      <c r="J1230" s="9" t="n">
        <v>1500425</v>
      </c>
      <c r="L1230" s="9" t="n">
        <v>203688</v>
      </c>
      <c r="M1230" s="11" t="s">
        <v>52</v>
      </c>
      <c r="N1230" s="11" t="s">
        <v>45</v>
      </c>
      <c r="P1230" s="9" t="n">
        <v>101</v>
      </c>
      <c r="Q1230" s="11" t="s">
        <v>57</v>
      </c>
      <c r="R1230" s="11" t="s">
        <v>71</v>
      </c>
      <c r="S1230" s="9" t="n">
        <v>4210310</v>
      </c>
      <c r="T1230" s="11" t="s">
        <v>126</v>
      </c>
      <c r="U1230" s="12" t="n">
        <v>100</v>
      </c>
      <c r="W1230" s="12" t="n">
        <v>100</v>
      </c>
      <c r="X1230" s="11" t="s">
        <v>1162</v>
      </c>
      <c r="Z1230" s="0" t="str">
        <f aca="false">IF($T1230="","",IFERROR(INDEX('Resumo Grupos'!$AC$3:$AC$200,MATCH($T1230,'Resumo Grupos'!$AB$3:$AB$200,0)),"n/d"))</f>
        <v>Despesa</v>
      </c>
      <c r="AA1230" s="0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9" t="n">
        <v>2</v>
      </c>
      <c r="B1231" s="10" t="n">
        <v>46218</v>
      </c>
      <c r="C1231" s="10" t="n">
        <v>46238</v>
      </c>
      <c r="D1231" s="9" t="n">
        <v>1637</v>
      </c>
      <c r="E1231" s="11" t="s">
        <v>871</v>
      </c>
      <c r="F1231" s="9" t="n">
        <v>24</v>
      </c>
      <c r="G1231" s="11" t="s">
        <v>51</v>
      </c>
      <c r="H1231" s="9" t="n">
        <v>2110405</v>
      </c>
      <c r="I1231" s="11" t="s">
        <v>56</v>
      </c>
      <c r="J1231" s="9" t="n">
        <v>1401287</v>
      </c>
      <c r="L1231" s="9" t="n">
        <v>188467</v>
      </c>
      <c r="M1231" s="11" t="s">
        <v>52</v>
      </c>
      <c r="N1231" s="11" t="s">
        <v>45</v>
      </c>
      <c r="P1231" s="9" t="n">
        <v>113</v>
      </c>
      <c r="Q1231" s="11" t="s">
        <v>46</v>
      </c>
      <c r="R1231" s="11" t="s">
        <v>47</v>
      </c>
      <c r="S1231" s="9" t="n">
        <v>1130101</v>
      </c>
      <c r="T1231" s="11" t="s">
        <v>48</v>
      </c>
      <c r="U1231" s="12" t="n">
        <v>479.64</v>
      </c>
      <c r="W1231" s="12" t="n">
        <v>479.64</v>
      </c>
      <c r="X1231" s="11" t="s">
        <v>1163</v>
      </c>
      <c r="Z1231" s="0" t="str">
        <f aca="false">IF($T1231="","",IFERROR(INDEX('Resumo Grupos'!$AC$3:$AC$200,MATCH($T1231,'Resumo Grupos'!$AB$3:$AB$200,0)),"n/d"))</f>
        <v>Mercadoria</v>
      </c>
      <c r="AA1231" s="0" t="str">
        <f aca="false">IF($T1231="","",IF(COUNTIF('Resumo Grupos'!$AE$3:$AE$40,$T1231)&gt;0,"NAO","SIM"))</f>
        <v>SIM</v>
      </c>
      <c r="AB1231" s="0" t="str">
        <f aca="false">IFERROR(INDEX('Mov Entradas (Rel 10497)'!$L:$L,MATCH(AC1231,'Mov Entradas (Rel 10497)'!$I:$I,0)),"nao encontrado")</f>
        <v>CAFE DO NORT 250G</v>
      </c>
      <c r="AC1231" s="0" t="n">
        <v>1905831</v>
      </c>
    </row>
    <row r="1232" customFormat="false" ht="12.75" hidden="false" customHeight="true" outlineLevel="0" collapsed="false">
      <c r="A1232" s="9" t="n">
        <v>2</v>
      </c>
      <c r="B1232" s="10" t="n">
        <v>46223</v>
      </c>
      <c r="C1232" s="10" t="n">
        <v>46238</v>
      </c>
      <c r="D1232" s="9" t="n">
        <v>1705</v>
      </c>
      <c r="E1232" s="11" t="s">
        <v>130</v>
      </c>
      <c r="F1232" s="9" t="n">
        <v>24</v>
      </c>
      <c r="G1232" s="11" t="s">
        <v>51</v>
      </c>
      <c r="H1232" s="9" t="n">
        <v>2110405</v>
      </c>
      <c r="I1232" s="11" t="s">
        <v>56</v>
      </c>
      <c r="J1232" s="9" t="n">
        <v>1424528</v>
      </c>
      <c r="L1232" s="9" t="n">
        <v>190903</v>
      </c>
      <c r="M1232" s="11" t="s">
        <v>52</v>
      </c>
      <c r="N1232" s="11" t="s">
        <v>45</v>
      </c>
      <c r="P1232" s="9" t="n">
        <v>113</v>
      </c>
      <c r="Q1232" s="11" t="s">
        <v>46</v>
      </c>
      <c r="R1232" s="11" t="s">
        <v>47</v>
      </c>
      <c r="S1232" s="9" t="n">
        <v>1130101</v>
      </c>
      <c r="T1232" s="11" t="s">
        <v>48</v>
      </c>
      <c r="U1232" s="12" t="n">
        <v>53.95</v>
      </c>
      <c r="W1232" s="12" t="n">
        <v>53.95</v>
      </c>
      <c r="X1232" s="11" t="s">
        <v>1164</v>
      </c>
      <c r="Z1232" s="0" t="str">
        <f aca="false">IF($T1232="","",IFERROR(INDEX('Resumo Grupos'!$AC$3:$AC$200,MATCH($T1232,'Resumo Grupos'!$AB$3:$AB$200,0)),"n/d"))</f>
        <v>Mercadoria</v>
      </c>
      <c r="AA1232" s="0" t="str">
        <f aca="false">IF($T1232="","",IF(COUNTIF('Resumo Grupos'!$AE$3:$AE$40,$T1232)&gt;0,"NAO","SIM"))</f>
        <v>SIM</v>
      </c>
      <c r="AB1232" s="0" t="str">
        <f aca="false">IFERROR(INDEX('Mov Entradas (Rel 10497)'!$L:$L,MATCH(AC1232,'Mov Entradas (Rel 10497)'!$I:$I,0)),"nao encontrado")</f>
        <v>FANTA UVA LATA 350ML</v>
      </c>
      <c r="AC1232" s="0" t="n">
        <v>1210020</v>
      </c>
    </row>
    <row r="1233" customFormat="false" ht="12.75" hidden="false" customHeight="true" outlineLevel="0" collapsed="false">
      <c r="A1233" s="9" t="n">
        <v>2</v>
      </c>
      <c r="B1233" s="10" t="n">
        <v>46223</v>
      </c>
      <c r="C1233" s="10" t="n">
        <v>46238</v>
      </c>
      <c r="D1233" s="9" t="n">
        <v>1705</v>
      </c>
      <c r="E1233" s="11" t="s">
        <v>130</v>
      </c>
      <c r="F1233" s="9" t="n">
        <v>24</v>
      </c>
      <c r="G1233" s="11" t="s">
        <v>51</v>
      </c>
      <c r="H1233" s="9" t="n">
        <v>2110405</v>
      </c>
      <c r="I1233" s="11" t="s">
        <v>56</v>
      </c>
      <c r="J1233" s="9" t="n">
        <v>1424532</v>
      </c>
      <c r="L1233" s="9" t="n">
        <v>190904</v>
      </c>
      <c r="M1233" s="11" t="s">
        <v>52</v>
      </c>
      <c r="N1233" s="11" t="s">
        <v>45</v>
      </c>
      <c r="P1233" s="9" t="n">
        <v>113</v>
      </c>
      <c r="Q1233" s="11" t="s">
        <v>46</v>
      </c>
      <c r="R1233" s="11" t="s">
        <v>47</v>
      </c>
      <c r="S1233" s="9" t="n">
        <v>1130101</v>
      </c>
      <c r="T1233" s="11" t="s">
        <v>48</v>
      </c>
      <c r="U1233" s="12" t="n">
        <v>637.11</v>
      </c>
      <c r="W1233" s="12" t="n">
        <v>637.11</v>
      </c>
      <c r="X1233" s="11" t="s">
        <v>1165</v>
      </c>
      <c r="Z1233" s="0" t="str">
        <f aca="false">IF($T1233="","",IFERROR(INDEX('Resumo Grupos'!$AC$3:$AC$200,MATCH($T1233,'Resumo Grupos'!$AB$3:$AB$200,0)),"n/d"))</f>
        <v>Mercadoria</v>
      </c>
      <c r="AA1233" s="0" t="str">
        <f aca="false">IF($T1233="","",IF(COUNTIF('Resumo Grupos'!$AE$3:$AE$40,$T1233)&gt;0,"NAO","SIM"))</f>
        <v>SIM</v>
      </c>
      <c r="AB1233" s="0" t="str">
        <f aca="false">IFERROR(INDEX('Mov Entradas (Rel 10497)'!$L:$L,MATCH(AC1233,'Mov Entradas (Rel 10497)'!$I:$I,0)),"nao encontrado")</f>
        <v>REF COCA LT 350ML</v>
      </c>
      <c r="AC1233" s="0" t="n">
        <v>1943423</v>
      </c>
    </row>
    <row r="1234" customFormat="false" ht="12.75" hidden="false" customHeight="true" outlineLevel="0" collapsed="false">
      <c r="A1234" s="9" t="n">
        <v>2</v>
      </c>
      <c r="B1234" s="10" t="n">
        <v>46231</v>
      </c>
      <c r="C1234" s="10" t="n">
        <v>46238</v>
      </c>
      <c r="D1234" s="9" t="n">
        <v>1642</v>
      </c>
      <c r="E1234" s="11" t="s">
        <v>228</v>
      </c>
      <c r="F1234" s="9" t="n">
        <v>24</v>
      </c>
      <c r="G1234" s="11" t="s">
        <v>51</v>
      </c>
      <c r="H1234" s="9" t="n">
        <v>2110405</v>
      </c>
      <c r="I1234" s="11" t="s">
        <v>56</v>
      </c>
      <c r="J1234" s="9" t="n">
        <v>1464440</v>
      </c>
      <c r="L1234" s="9" t="n">
        <v>198277</v>
      </c>
      <c r="M1234" s="11" t="s">
        <v>52</v>
      </c>
      <c r="N1234" s="11" t="s">
        <v>45</v>
      </c>
      <c r="P1234" s="9" t="n">
        <v>113</v>
      </c>
      <c r="Q1234" s="11" t="s">
        <v>46</v>
      </c>
      <c r="R1234" s="11" t="s">
        <v>47</v>
      </c>
      <c r="S1234" s="9" t="n">
        <v>1130101</v>
      </c>
      <c r="T1234" s="11" t="s">
        <v>48</v>
      </c>
      <c r="U1234" s="12" t="n">
        <v>355.62</v>
      </c>
      <c r="W1234" s="12" t="n">
        <v>355.62</v>
      </c>
      <c r="X1234" s="11" t="s">
        <v>1166</v>
      </c>
      <c r="Z1234" s="0" t="str">
        <f aca="false">IF($T1234="","",IFERROR(INDEX('Resumo Grupos'!$AC$3:$AC$200,MATCH($T1234,'Resumo Grupos'!$AB$3:$AB$200,0)),"n/d"))</f>
        <v>Mercadoria</v>
      </c>
      <c r="AA1234" s="0" t="str">
        <f aca="false">IF($T1234="","",IF(COUNTIF('Resumo Grupos'!$AE$3:$AE$40,$T1234)&gt;0,"NAO","SIM"))</f>
        <v>SIM</v>
      </c>
      <c r="AB1234" s="0" t="str">
        <f aca="false">IFERROR(INDEX('Mov Entradas (Rel 10497)'!$L:$L,MATCH(AC1234,'Mov Entradas (Rel 10497)'!$I:$I,0)),"nao encontrado")</f>
        <v>PAO DE FORMA BROTHER</v>
      </c>
      <c r="AC1234" s="0" t="n">
        <v>1033945</v>
      </c>
    </row>
    <row r="1235" customFormat="false" ht="12.75" hidden="false" customHeight="true" outlineLevel="0" collapsed="false">
      <c r="A1235" s="9" t="n">
        <v>2</v>
      </c>
      <c r="B1235" s="10" t="n">
        <v>46225</v>
      </c>
      <c r="C1235" s="10" t="n">
        <v>46238</v>
      </c>
      <c r="D1235" s="9" t="n">
        <v>1608</v>
      </c>
      <c r="E1235" s="11" t="s">
        <v>240</v>
      </c>
      <c r="F1235" s="9" t="n">
        <v>24</v>
      </c>
      <c r="G1235" s="11" t="s">
        <v>51</v>
      </c>
      <c r="H1235" s="9" t="n">
        <v>2110405</v>
      </c>
      <c r="I1235" s="11" t="s">
        <v>56</v>
      </c>
      <c r="J1235" s="9" t="n">
        <v>1434778</v>
      </c>
      <c r="L1235" s="9" t="n">
        <v>193756</v>
      </c>
      <c r="M1235" s="11" t="s">
        <v>52</v>
      </c>
      <c r="N1235" s="11" t="s">
        <v>45</v>
      </c>
      <c r="P1235" s="9" t="n">
        <v>113</v>
      </c>
      <c r="Q1235" s="11" t="s">
        <v>46</v>
      </c>
      <c r="R1235" s="11" t="s">
        <v>47</v>
      </c>
      <c r="S1235" s="9" t="n">
        <v>1130101</v>
      </c>
      <c r="T1235" s="11" t="s">
        <v>48</v>
      </c>
      <c r="U1235" s="12" t="n">
        <v>554.4</v>
      </c>
      <c r="W1235" s="12" t="n">
        <v>554.4</v>
      </c>
      <c r="X1235" s="11" t="s">
        <v>1167</v>
      </c>
      <c r="Z1235" s="0" t="str">
        <f aca="false">IF($T1235="","",IFERROR(INDEX('Resumo Grupos'!$AC$3:$AC$200,MATCH($T1235,'Resumo Grupos'!$AB$3:$AB$200,0)),"n/d"))</f>
        <v>Mercadoria</v>
      </c>
      <c r="AA1235" s="0" t="str">
        <f aca="false">IF($T1235="","",IF(COUNTIF('Resumo Grupos'!$AE$3:$AE$40,$T1235)&gt;0,"NAO","SIM"))</f>
        <v>SIM</v>
      </c>
      <c r="AB1235" s="0" t="str">
        <f aca="false">IFERROR(INDEX('Mov Entradas (Rel 10497)'!$L:$L,MATCH(AC1235,'Mov Entradas (Rel 10497)'!$I:$I,0)),"nao encontrado")</f>
        <v>CHEETOS BOLA 33G</v>
      </c>
      <c r="AC1235" s="0" t="n">
        <v>1695862</v>
      </c>
    </row>
    <row r="1236" customFormat="false" ht="12.75" hidden="false" customHeight="true" outlineLevel="0" collapsed="false">
      <c r="A1236" s="9" t="n">
        <v>2</v>
      </c>
      <c r="B1236" s="10" t="n">
        <v>46238</v>
      </c>
      <c r="C1236" s="10" t="n">
        <v>46238</v>
      </c>
      <c r="D1236" s="9" t="n">
        <v>1037</v>
      </c>
      <c r="E1236" s="11" t="s">
        <v>134</v>
      </c>
      <c r="F1236" s="9" t="n">
        <v>34</v>
      </c>
      <c r="G1236" s="11" t="s">
        <v>55</v>
      </c>
      <c r="H1236" s="9" t="n">
        <v>2110405</v>
      </c>
      <c r="I1236" s="11" t="s">
        <v>56</v>
      </c>
      <c r="J1236" s="9" t="n">
        <v>1500239</v>
      </c>
      <c r="L1236" s="9" t="n">
        <v>203659</v>
      </c>
      <c r="M1236" s="11" t="s">
        <v>52</v>
      </c>
      <c r="N1236" s="11" t="s">
        <v>45</v>
      </c>
      <c r="P1236" s="9" t="n">
        <v>113</v>
      </c>
      <c r="Q1236" s="11" t="s">
        <v>46</v>
      </c>
      <c r="R1236" s="11" t="s">
        <v>47</v>
      </c>
      <c r="S1236" s="9" t="n">
        <v>1130101</v>
      </c>
      <c r="T1236" s="11" t="s">
        <v>48</v>
      </c>
      <c r="U1236" s="12" t="n">
        <v>380</v>
      </c>
      <c r="W1236" s="12" t="n">
        <v>380</v>
      </c>
      <c r="X1236" s="11" t="s">
        <v>1168</v>
      </c>
      <c r="Z1236" s="0" t="str">
        <f aca="false">IF($T1236="","",IFERROR(INDEX('Resumo Grupos'!$AC$3:$AC$200,MATCH($T1236,'Resumo Grupos'!$AB$3:$AB$200,0)),"n/d"))</f>
        <v>Mercadoria</v>
      </c>
      <c r="AA1236" s="0" t="str">
        <f aca="false">IF($T1236="","",IF(COUNTIF('Resumo Grupos'!$AE$3:$AE$40,$T1236)&gt;0,"NAO","SIM"))</f>
        <v>SIM</v>
      </c>
      <c r="AB1236" s="0" t="str">
        <f aca="false">IFERROR(INDEX('Mov Entradas (Rel 10497)'!$L:$L,MATCH(AC1236,'Mov Entradas (Rel 10497)'!$I:$I,0)),"nao encontrado")</f>
        <v>BATATA PORTUGUESA KG</v>
      </c>
      <c r="AC1236" s="0" t="n">
        <v>2585</v>
      </c>
    </row>
    <row r="1237" customFormat="false" ht="12.75" hidden="false" customHeight="true" outlineLevel="0" collapsed="false">
      <c r="A1237" s="9" t="n">
        <v>2</v>
      </c>
      <c r="B1237" s="10" t="n">
        <v>46238</v>
      </c>
      <c r="C1237" s="10" t="n">
        <v>46238</v>
      </c>
      <c r="D1237" s="9" t="n">
        <v>515</v>
      </c>
      <c r="E1237" s="11" t="s">
        <v>137</v>
      </c>
      <c r="F1237" s="9" t="n">
        <v>34</v>
      </c>
      <c r="G1237" s="11" t="s">
        <v>55</v>
      </c>
      <c r="H1237" s="9" t="n">
        <v>2110405</v>
      </c>
      <c r="I1237" s="11" t="s">
        <v>56</v>
      </c>
      <c r="J1237" s="9" t="n">
        <v>1504762</v>
      </c>
      <c r="L1237" s="9" t="n">
        <v>204417</v>
      </c>
      <c r="M1237" s="11" t="s">
        <v>52</v>
      </c>
      <c r="N1237" s="11" t="s">
        <v>45</v>
      </c>
      <c r="P1237" s="9" t="n">
        <v>102</v>
      </c>
      <c r="Q1237" s="11" t="s">
        <v>308</v>
      </c>
      <c r="R1237" s="11" t="s">
        <v>138</v>
      </c>
      <c r="S1237" s="9" t="n">
        <v>4210504</v>
      </c>
      <c r="T1237" s="11" t="s">
        <v>143</v>
      </c>
      <c r="U1237" s="12" t="n">
        <v>3.92</v>
      </c>
      <c r="W1237" s="12" t="n">
        <v>3.92</v>
      </c>
      <c r="X1237" s="11" t="s">
        <v>1169</v>
      </c>
      <c r="Z1237" s="0" t="str">
        <f aca="false">IF($T1237="","",IFERROR(INDEX('Resumo Grupos'!$AC$3:$AC$200,MATCH($T1237,'Resumo Grupos'!$AB$3:$AB$200,0)),"n/d"))</f>
        <v>Despesa</v>
      </c>
      <c r="AA1237" s="0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9" t="n">
        <v>2</v>
      </c>
      <c r="B1238" s="10" t="n">
        <v>46238</v>
      </c>
      <c r="C1238" s="10" t="n">
        <v>46238</v>
      </c>
      <c r="D1238" s="9" t="n">
        <v>515</v>
      </c>
      <c r="E1238" s="11" t="s">
        <v>137</v>
      </c>
      <c r="F1238" s="9" t="n">
        <v>34</v>
      </c>
      <c r="G1238" s="11" t="s">
        <v>55</v>
      </c>
      <c r="H1238" s="9" t="n">
        <v>2110405</v>
      </c>
      <c r="I1238" s="11" t="s">
        <v>56</v>
      </c>
      <c r="J1238" s="9" t="n">
        <v>1504763</v>
      </c>
      <c r="L1238" s="9" t="n">
        <v>204422</v>
      </c>
      <c r="M1238" s="11" t="s">
        <v>52</v>
      </c>
      <c r="N1238" s="11" t="s">
        <v>45</v>
      </c>
      <c r="P1238" s="9" t="n">
        <v>102</v>
      </c>
      <c r="Q1238" s="11" t="s">
        <v>308</v>
      </c>
      <c r="R1238" s="11" t="s">
        <v>138</v>
      </c>
      <c r="S1238" s="9" t="n">
        <v>4210504</v>
      </c>
      <c r="T1238" s="11" t="s">
        <v>143</v>
      </c>
      <c r="U1238" s="12" t="n">
        <v>76.71</v>
      </c>
      <c r="W1238" s="12" t="n">
        <v>76.71</v>
      </c>
      <c r="X1238" s="11" t="s">
        <v>1170</v>
      </c>
      <c r="Z1238" s="0" t="str">
        <f aca="false">IF($T1238="","",IFERROR(INDEX('Resumo Grupos'!$AC$3:$AC$200,MATCH($T1238,'Resumo Grupos'!$AB$3:$AB$200,0)),"n/d"))</f>
        <v>Despesa</v>
      </c>
      <c r="AA1238" s="0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9" t="n">
        <v>2</v>
      </c>
      <c r="B1239" s="10" t="n">
        <v>46238</v>
      </c>
      <c r="C1239" s="10" t="n">
        <v>46238</v>
      </c>
      <c r="D1239" s="9" t="n">
        <v>515</v>
      </c>
      <c r="E1239" s="11" t="s">
        <v>137</v>
      </c>
      <c r="F1239" s="9" t="n">
        <v>34</v>
      </c>
      <c r="G1239" s="11" t="s">
        <v>55</v>
      </c>
      <c r="H1239" s="9" t="n">
        <v>2110405</v>
      </c>
      <c r="I1239" s="11" t="s">
        <v>56</v>
      </c>
      <c r="J1239" s="9" t="n">
        <v>1504785</v>
      </c>
      <c r="L1239" s="9" t="n">
        <v>204428</v>
      </c>
      <c r="M1239" s="11" t="s">
        <v>52</v>
      </c>
      <c r="N1239" s="11" t="s">
        <v>45</v>
      </c>
      <c r="P1239" s="9" t="n">
        <v>102</v>
      </c>
      <c r="Q1239" s="11" t="s">
        <v>308</v>
      </c>
      <c r="R1239" s="11" t="s">
        <v>138</v>
      </c>
      <c r="S1239" s="9" t="n">
        <v>4210505</v>
      </c>
      <c r="T1239" s="11" t="s">
        <v>139</v>
      </c>
      <c r="U1239" s="12" t="n">
        <v>107.27</v>
      </c>
      <c r="W1239" s="12" t="n">
        <v>107.27</v>
      </c>
      <c r="X1239" s="11" t="s">
        <v>1171</v>
      </c>
      <c r="Z1239" s="0" t="str">
        <f aca="false">IF($T1239="","",IFERROR(INDEX('Resumo Grupos'!$AC$3:$AC$200,MATCH($T1239,'Resumo Grupos'!$AB$3:$AB$200,0)),"n/d"))</f>
        <v>Despesa</v>
      </c>
      <c r="AA1239" s="0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9" t="n">
        <v>2</v>
      </c>
      <c r="B1240" s="10" t="n">
        <v>46238</v>
      </c>
      <c r="C1240" s="10" t="n">
        <v>46238</v>
      </c>
      <c r="D1240" s="9" t="n">
        <v>515</v>
      </c>
      <c r="E1240" s="11" t="s">
        <v>137</v>
      </c>
      <c r="F1240" s="9" t="n">
        <v>34</v>
      </c>
      <c r="G1240" s="11" t="s">
        <v>55</v>
      </c>
      <c r="H1240" s="9" t="n">
        <v>2110405</v>
      </c>
      <c r="I1240" s="11" t="s">
        <v>56</v>
      </c>
      <c r="J1240" s="9" t="n">
        <v>1504793</v>
      </c>
      <c r="L1240" s="9" t="n">
        <v>204432</v>
      </c>
      <c r="M1240" s="11" t="s">
        <v>52</v>
      </c>
      <c r="N1240" s="11" t="s">
        <v>45</v>
      </c>
      <c r="P1240" s="9" t="n">
        <v>102</v>
      </c>
      <c r="Q1240" s="11" t="s">
        <v>308</v>
      </c>
      <c r="R1240" s="11" t="s">
        <v>138</v>
      </c>
      <c r="S1240" s="9" t="n">
        <v>4210505</v>
      </c>
      <c r="T1240" s="11" t="s">
        <v>139</v>
      </c>
      <c r="U1240" s="12" t="n">
        <v>327.4</v>
      </c>
      <c r="W1240" s="12" t="n">
        <v>327.4</v>
      </c>
      <c r="X1240" s="11" t="s">
        <v>1172</v>
      </c>
      <c r="Z1240" s="0" t="str">
        <f aca="false">IF($T1240="","",IFERROR(INDEX('Resumo Grupos'!$AC$3:$AC$200,MATCH($T1240,'Resumo Grupos'!$AB$3:$AB$200,0)),"n/d"))</f>
        <v>Despesa</v>
      </c>
      <c r="AA1240" s="0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9" t="n">
        <v>2</v>
      </c>
      <c r="B1241" s="10" t="n">
        <v>46238</v>
      </c>
      <c r="C1241" s="10" t="n">
        <v>46238</v>
      </c>
      <c r="D1241" s="9" t="n">
        <v>515</v>
      </c>
      <c r="E1241" s="11" t="s">
        <v>137</v>
      </c>
      <c r="F1241" s="9" t="n">
        <v>34</v>
      </c>
      <c r="G1241" s="11" t="s">
        <v>55</v>
      </c>
      <c r="H1241" s="9" t="n">
        <v>2110405</v>
      </c>
      <c r="I1241" s="11" t="s">
        <v>56</v>
      </c>
      <c r="J1241" s="9" t="n">
        <v>1504794</v>
      </c>
      <c r="L1241" s="9" t="n">
        <v>204434</v>
      </c>
      <c r="M1241" s="11" t="s">
        <v>52</v>
      </c>
      <c r="N1241" s="11" t="s">
        <v>45</v>
      </c>
      <c r="P1241" s="9" t="n">
        <v>102</v>
      </c>
      <c r="Q1241" s="11" t="s">
        <v>308</v>
      </c>
      <c r="R1241" s="11" t="s">
        <v>138</v>
      </c>
      <c r="S1241" s="9" t="n">
        <v>4210505</v>
      </c>
      <c r="T1241" s="11" t="s">
        <v>139</v>
      </c>
      <c r="U1241" s="12" t="n">
        <v>421.04</v>
      </c>
      <c r="W1241" s="12" t="n">
        <v>421.04</v>
      </c>
      <c r="X1241" s="11" t="s">
        <v>1173</v>
      </c>
      <c r="Z1241" s="0" t="str">
        <f aca="false">IF($T1241="","",IFERROR(INDEX('Resumo Grupos'!$AC$3:$AC$200,MATCH($T1241,'Resumo Grupos'!$AB$3:$AB$200,0)),"n/d"))</f>
        <v>Despesa</v>
      </c>
      <c r="AA1241" s="0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9" t="n">
        <v>2</v>
      </c>
      <c r="B1242" s="10" t="n">
        <v>46238</v>
      </c>
      <c r="C1242" s="10" t="n">
        <v>46238</v>
      </c>
      <c r="D1242" s="9" t="n">
        <v>515</v>
      </c>
      <c r="E1242" s="11" t="s">
        <v>137</v>
      </c>
      <c r="F1242" s="9" t="n">
        <v>34</v>
      </c>
      <c r="G1242" s="11" t="s">
        <v>55</v>
      </c>
      <c r="H1242" s="9" t="n">
        <v>2110405</v>
      </c>
      <c r="I1242" s="11" t="s">
        <v>56</v>
      </c>
      <c r="J1242" s="9" t="n">
        <v>1504797</v>
      </c>
      <c r="L1242" s="9" t="n">
        <v>204435</v>
      </c>
      <c r="M1242" s="11" t="s">
        <v>52</v>
      </c>
      <c r="N1242" s="11" t="s">
        <v>45</v>
      </c>
      <c r="P1242" s="9" t="n">
        <v>102</v>
      </c>
      <c r="Q1242" s="11" t="s">
        <v>308</v>
      </c>
      <c r="R1242" s="11" t="s">
        <v>138</v>
      </c>
      <c r="S1242" s="9" t="n">
        <v>4210504</v>
      </c>
      <c r="T1242" s="11" t="s">
        <v>143</v>
      </c>
      <c r="U1242" s="12" t="n">
        <v>527.9</v>
      </c>
      <c r="W1242" s="12" t="n">
        <v>527.9</v>
      </c>
      <c r="X1242" s="11" t="s">
        <v>1174</v>
      </c>
      <c r="Z1242" s="0" t="str">
        <f aca="false">IF($T1242="","",IFERROR(INDEX('Resumo Grupos'!$AC$3:$AC$200,MATCH($T1242,'Resumo Grupos'!$AB$3:$AB$200,0)),"n/d"))</f>
        <v>Despesa</v>
      </c>
      <c r="AA1242" s="0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9" t="n">
        <v>2</v>
      </c>
      <c r="B1243" s="10" t="n">
        <v>46219</v>
      </c>
      <c r="C1243" s="10" t="n">
        <v>46238</v>
      </c>
      <c r="D1243" s="9" t="n">
        <v>10009</v>
      </c>
      <c r="E1243" s="11" t="s">
        <v>464</v>
      </c>
      <c r="F1243" s="9" t="n">
        <v>24</v>
      </c>
      <c r="G1243" s="11" t="s">
        <v>51</v>
      </c>
      <c r="H1243" s="9" t="n">
        <v>2110405</v>
      </c>
      <c r="I1243" s="11" t="s">
        <v>56</v>
      </c>
      <c r="J1243" s="9" t="n">
        <v>1406034</v>
      </c>
      <c r="L1243" s="9" t="n">
        <v>189282</v>
      </c>
      <c r="M1243" s="11" t="s">
        <v>52</v>
      </c>
      <c r="N1243" s="11" t="s">
        <v>45</v>
      </c>
      <c r="P1243" s="9" t="n">
        <v>113</v>
      </c>
      <c r="Q1243" s="11" t="s">
        <v>46</v>
      </c>
      <c r="R1243" s="11" t="s">
        <v>47</v>
      </c>
      <c r="S1243" s="9" t="n">
        <v>1130101</v>
      </c>
      <c r="T1243" s="11" t="s">
        <v>48</v>
      </c>
      <c r="U1243" s="12" t="n">
        <v>691.62</v>
      </c>
      <c r="W1243" s="12" t="n">
        <v>691.62</v>
      </c>
      <c r="X1243" s="11" t="s">
        <v>974</v>
      </c>
      <c r="Z1243" s="0" t="str">
        <f aca="false">IF($T1243="","",IFERROR(INDEX('Resumo Grupos'!$AC$3:$AC$200,MATCH($T1243,'Resumo Grupos'!$AB$3:$AB$200,0)),"n/d"))</f>
        <v>Mercadoria</v>
      </c>
      <c r="AA1243" s="0" t="str">
        <f aca="false">IF($T1243="","",IF(COUNTIF('Resumo Grupos'!$AE$3:$AE$40,$T1243)&gt;0,"NAO","SIM"))</f>
        <v>SIM</v>
      </c>
      <c r="AB1243" s="0" t="str">
        <f aca="false">IFERROR(INDEX('Mov Entradas (Rel 10497)'!$L:$L,MATCH(AC1243,'Mov Entradas (Rel 10497)'!$I:$I,0)),"nao encontrado")</f>
        <v>BATON CHOCO AO LEITE</v>
      </c>
      <c r="AC1243" s="0" t="n">
        <v>1427668</v>
      </c>
    </row>
    <row r="1244" customFormat="false" ht="12.75" hidden="false" customHeight="true" outlineLevel="0" collapsed="false">
      <c r="A1244" s="9" t="n">
        <v>2</v>
      </c>
      <c r="B1244" s="10" t="n">
        <v>46238</v>
      </c>
      <c r="C1244" s="10" t="n">
        <v>46238</v>
      </c>
      <c r="D1244" s="9" t="n">
        <v>48</v>
      </c>
      <c r="E1244" s="11" t="s">
        <v>153</v>
      </c>
      <c r="F1244" s="9" t="n">
        <v>34</v>
      </c>
      <c r="G1244" s="11" t="s">
        <v>55</v>
      </c>
      <c r="H1244" s="9" t="n">
        <v>2110101</v>
      </c>
      <c r="I1244" s="11" t="s">
        <v>43</v>
      </c>
      <c r="J1244" s="9" t="n">
        <v>1500211</v>
      </c>
      <c r="L1244" s="9" t="n">
        <v>2585</v>
      </c>
      <c r="M1244" s="11" t="s">
        <v>52</v>
      </c>
      <c r="N1244" s="11" t="s">
        <v>37</v>
      </c>
      <c r="P1244" s="9" t="n">
        <v>113</v>
      </c>
      <c r="Q1244" s="11" t="s">
        <v>46</v>
      </c>
      <c r="R1244" s="11" t="s">
        <v>47</v>
      </c>
      <c r="S1244" s="9" t="n">
        <v>1130101</v>
      </c>
      <c r="T1244" s="11" t="s">
        <v>48</v>
      </c>
      <c r="U1244" s="12" t="n">
        <v>1910</v>
      </c>
      <c r="W1244" s="12" t="n">
        <v>1910</v>
      </c>
      <c r="X1244" s="11" t="s">
        <v>1175</v>
      </c>
      <c r="Z1244" s="0" t="str">
        <f aca="false">IF($T1244="","",IFERROR(INDEX('Resumo Grupos'!$AC$3:$AC$200,MATCH($T1244,'Resumo Grupos'!$AB$3:$AB$200,0)),"n/d"))</f>
        <v>Mercadoria</v>
      </c>
      <c r="AA1244" s="0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9" t="n">
        <v>2</v>
      </c>
      <c r="B1245" s="10" t="n">
        <v>46238</v>
      </c>
      <c r="C1245" s="10" t="n">
        <v>46238</v>
      </c>
      <c r="D1245" s="9" t="n">
        <v>48</v>
      </c>
      <c r="E1245" s="11" t="s">
        <v>153</v>
      </c>
      <c r="F1245" s="9" t="n">
        <v>34</v>
      </c>
      <c r="G1245" s="11" t="s">
        <v>55</v>
      </c>
      <c r="H1245" s="9" t="n">
        <v>2110101</v>
      </c>
      <c r="I1245" s="11" t="s">
        <v>43</v>
      </c>
      <c r="J1245" s="9" t="n">
        <v>1503895</v>
      </c>
      <c r="L1245" s="9" t="n">
        <v>408</v>
      </c>
      <c r="M1245" s="11" t="s">
        <v>52</v>
      </c>
      <c r="N1245" s="11" t="s">
        <v>112</v>
      </c>
      <c r="P1245" s="9" t="n">
        <v>101</v>
      </c>
      <c r="Q1245" s="11" t="s">
        <v>57</v>
      </c>
      <c r="R1245" s="11" t="s">
        <v>259</v>
      </c>
      <c r="S1245" s="9" t="n">
        <v>2110101</v>
      </c>
      <c r="T1245" s="11" t="s">
        <v>43</v>
      </c>
      <c r="U1245" s="12" t="n">
        <v>2290</v>
      </c>
      <c r="W1245" s="12" t="n">
        <v>2290</v>
      </c>
      <c r="X1245" s="11" t="s">
        <v>1176</v>
      </c>
      <c r="Z1245" s="0" t="str">
        <f aca="false">IF($T1245="","",IFERROR(INDEX('Resumo Grupos'!$AC$3:$AC$200,MATCH($T1245,'Resumo Grupos'!$AB$3:$AB$200,0)),"n/d"))</f>
        <v>Despesa</v>
      </c>
      <c r="AA1245" s="0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9" t="n">
        <v>2</v>
      </c>
      <c r="B1246" s="10" t="n">
        <v>46214</v>
      </c>
      <c r="C1246" s="10" t="n">
        <v>46238</v>
      </c>
      <c r="D1246" s="9" t="n">
        <v>666</v>
      </c>
      <c r="E1246" s="11" t="s">
        <v>417</v>
      </c>
      <c r="F1246" s="9" t="n">
        <v>24</v>
      </c>
      <c r="G1246" s="11" t="s">
        <v>51</v>
      </c>
      <c r="H1246" s="9" t="n">
        <v>2110101</v>
      </c>
      <c r="I1246" s="11" t="s">
        <v>43</v>
      </c>
      <c r="J1246" s="9" t="n">
        <v>1381906</v>
      </c>
      <c r="L1246" s="9" t="n">
        <v>7874</v>
      </c>
      <c r="M1246" s="11" t="s">
        <v>89</v>
      </c>
      <c r="N1246" s="11" t="s">
        <v>37</v>
      </c>
      <c r="P1246" s="9" t="n">
        <v>113</v>
      </c>
      <c r="Q1246" s="11" t="s">
        <v>46</v>
      </c>
      <c r="R1246" s="11" t="s">
        <v>47</v>
      </c>
      <c r="S1246" s="9" t="n">
        <v>1130101</v>
      </c>
      <c r="T1246" s="11" t="s">
        <v>48</v>
      </c>
      <c r="U1246" s="12" t="n">
        <v>378.88</v>
      </c>
      <c r="W1246" s="12" t="n">
        <v>378.88</v>
      </c>
      <c r="X1246" s="11" t="s">
        <v>894</v>
      </c>
      <c r="Z1246" s="0" t="str">
        <f aca="false">IF($T1246="","",IFERROR(INDEX('Resumo Grupos'!$AC$3:$AC$200,MATCH($T1246,'Resumo Grupos'!$AB$3:$AB$200,0)),"n/d"))</f>
        <v>Mercadoria</v>
      </c>
      <c r="AA1246" s="0" t="str">
        <f aca="false">IF($T1246="","",IF(COUNTIF('Resumo Grupos'!$AE$3:$AE$40,$T1246)&gt;0,"NAO","SIM"))</f>
        <v>SIM</v>
      </c>
      <c r="AB1246" s="0" t="str">
        <f aca="false">IFERROR(INDEX('Mov Entradas (Rel 10497)'!$L:$L,MATCH(AC1246,'Mov Entradas (Rel 10497)'!$I:$I,0)),"nao encontrado")</f>
        <v>RACAO SABOR CAT KG</v>
      </c>
      <c r="AC1246" s="0" t="n">
        <v>7874</v>
      </c>
    </row>
    <row r="1247" customFormat="false" ht="12.75" hidden="false" customHeight="true" outlineLevel="0" collapsed="false">
      <c r="A1247" s="9" t="n">
        <v>2</v>
      </c>
      <c r="B1247" s="10" t="n">
        <v>46238</v>
      </c>
      <c r="C1247" s="10" t="n">
        <v>46238</v>
      </c>
      <c r="D1247" s="9" t="n">
        <v>0</v>
      </c>
      <c r="E1247" s="11" t="s">
        <v>109</v>
      </c>
      <c r="F1247" s="9" t="n">
        <v>17</v>
      </c>
      <c r="G1247" s="11" t="s">
        <v>110</v>
      </c>
      <c r="H1247" s="9" t="n">
        <v>1110101</v>
      </c>
      <c r="I1247" s="11" t="s">
        <v>111</v>
      </c>
      <c r="J1247" s="9" t="n">
        <v>1503836</v>
      </c>
      <c r="L1247" s="9" t="n">
        <v>1503836</v>
      </c>
      <c r="M1247" s="11" t="s">
        <v>52</v>
      </c>
      <c r="N1247" s="11" t="s">
        <v>112</v>
      </c>
      <c r="P1247" s="9" t="n">
        <v>113</v>
      </c>
      <c r="Q1247" s="11" t="s">
        <v>46</v>
      </c>
      <c r="R1247" s="11" t="s">
        <v>39</v>
      </c>
      <c r="S1247" s="9" t="n">
        <v>4210227</v>
      </c>
      <c r="T1247" s="11" t="s">
        <v>68</v>
      </c>
      <c r="U1247" s="12" t="n">
        <v>60</v>
      </c>
      <c r="W1247" s="12" t="n">
        <v>60</v>
      </c>
      <c r="X1247" s="11" t="s">
        <v>1177</v>
      </c>
      <c r="Z1247" s="0" t="str">
        <f aca="false">IF($T1247="","",IFERROR(INDEX('Resumo Grupos'!$AC$3:$AC$200,MATCH($T1247,'Resumo Grupos'!$AB$3:$AB$200,0)),"n/d"))</f>
        <v>Despesa</v>
      </c>
      <c r="AA1247" s="0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9" t="n">
        <v>2</v>
      </c>
      <c r="B1248" s="10" t="n">
        <v>46238</v>
      </c>
      <c r="C1248" s="10" t="n">
        <v>46238</v>
      </c>
      <c r="D1248" s="9" t="n">
        <v>0</v>
      </c>
      <c r="E1248" s="11" t="s">
        <v>109</v>
      </c>
      <c r="F1248" s="9" t="n">
        <v>17</v>
      </c>
      <c r="G1248" s="11" t="s">
        <v>110</v>
      </c>
      <c r="H1248" s="9" t="n">
        <v>1110101</v>
      </c>
      <c r="I1248" s="11" t="s">
        <v>111</v>
      </c>
      <c r="J1248" s="9" t="n">
        <v>1503838</v>
      </c>
      <c r="L1248" s="9" t="n">
        <v>1503838</v>
      </c>
      <c r="M1248" s="11" t="s">
        <v>52</v>
      </c>
      <c r="N1248" s="11" t="s">
        <v>112</v>
      </c>
      <c r="P1248" s="9" t="n">
        <v>113</v>
      </c>
      <c r="Q1248" s="11" t="s">
        <v>46</v>
      </c>
      <c r="R1248" s="11" t="s">
        <v>39</v>
      </c>
      <c r="S1248" s="9" t="n">
        <v>4210227</v>
      </c>
      <c r="T1248" s="11" t="s">
        <v>68</v>
      </c>
      <c r="U1248" s="12" t="n">
        <v>19</v>
      </c>
      <c r="W1248" s="12" t="n">
        <v>19</v>
      </c>
      <c r="X1248" s="11" t="s">
        <v>1178</v>
      </c>
      <c r="Z1248" s="0" t="str">
        <f aca="false">IF($T1248="","",IFERROR(INDEX('Resumo Grupos'!$AC$3:$AC$200,MATCH($T1248,'Resumo Grupos'!$AB$3:$AB$200,0)),"n/d"))</f>
        <v>Despesa</v>
      </c>
      <c r="AA1248" s="0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9" t="n">
        <v>2</v>
      </c>
      <c r="B1249" s="10" t="n">
        <v>46238</v>
      </c>
      <c r="C1249" s="10" t="n">
        <v>46238</v>
      </c>
      <c r="D1249" s="9" t="n">
        <v>0</v>
      </c>
      <c r="E1249" s="11" t="s">
        <v>109</v>
      </c>
      <c r="F1249" s="9" t="n">
        <v>17</v>
      </c>
      <c r="G1249" s="11" t="s">
        <v>110</v>
      </c>
      <c r="H1249" s="9" t="n">
        <v>1110101</v>
      </c>
      <c r="I1249" s="11" t="s">
        <v>111</v>
      </c>
      <c r="J1249" s="9" t="n">
        <v>1716305</v>
      </c>
      <c r="L1249" s="9" t="n">
        <v>1716305</v>
      </c>
      <c r="M1249" s="11" t="s">
        <v>52</v>
      </c>
      <c r="N1249" s="11" t="s">
        <v>112</v>
      </c>
      <c r="P1249" s="9" t="n">
        <v>113</v>
      </c>
      <c r="Q1249" s="11" t="s">
        <v>46</v>
      </c>
      <c r="R1249" s="11" t="s">
        <v>116</v>
      </c>
      <c r="S1249" s="9" t="n">
        <v>1110203</v>
      </c>
      <c r="T1249" s="11" t="s">
        <v>117</v>
      </c>
      <c r="U1249" s="12" t="n">
        <v>3150</v>
      </c>
      <c r="W1249" s="12" t="n">
        <v>3150</v>
      </c>
      <c r="X1249" s="11" t="s">
        <v>1179</v>
      </c>
      <c r="Z1249" s="0" t="str">
        <f aca="false">IF($T1249="","",IFERROR(INDEX('Resumo Grupos'!$AC$3:$AC$200,MATCH($T1249,'Resumo Grupos'!$AB$3:$AB$200,0)),"n/d"))</f>
        <v>Despesa</v>
      </c>
      <c r="AA1249" s="0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9" t="n">
        <v>2</v>
      </c>
      <c r="B1250" s="10" t="n">
        <v>46220</v>
      </c>
      <c r="C1250" s="10" t="n">
        <v>46238</v>
      </c>
      <c r="D1250" s="9" t="n">
        <v>1676</v>
      </c>
      <c r="E1250" s="11" t="s">
        <v>729</v>
      </c>
      <c r="F1250" s="9" t="n">
        <v>24</v>
      </c>
      <c r="G1250" s="11" t="s">
        <v>51</v>
      </c>
      <c r="H1250" s="9" t="n">
        <v>2110405</v>
      </c>
      <c r="I1250" s="11" t="s">
        <v>56</v>
      </c>
      <c r="J1250" s="9" t="n">
        <v>1410577</v>
      </c>
      <c r="L1250" s="9" t="n">
        <v>190085</v>
      </c>
      <c r="M1250" s="11" t="s">
        <v>52</v>
      </c>
      <c r="N1250" s="11" t="s">
        <v>45</v>
      </c>
      <c r="P1250" s="9" t="n">
        <v>113</v>
      </c>
      <c r="Q1250" s="11" t="s">
        <v>46</v>
      </c>
      <c r="R1250" s="11" t="s">
        <v>47</v>
      </c>
      <c r="S1250" s="9" t="n">
        <v>1130101</v>
      </c>
      <c r="T1250" s="11" t="s">
        <v>48</v>
      </c>
      <c r="U1250" s="12" t="n">
        <v>505.58</v>
      </c>
      <c r="W1250" s="12" t="n">
        <v>505.58</v>
      </c>
      <c r="X1250" s="11" t="s">
        <v>1071</v>
      </c>
      <c r="Z1250" s="0" t="str">
        <f aca="false">IF($T1250="","",IFERROR(INDEX('Resumo Grupos'!$AC$3:$AC$200,MATCH($T1250,'Resumo Grupos'!$AB$3:$AB$200,0)),"n/d"))</f>
        <v>Mercadoria</v>
      </c>
      <c r="AA1250" s="0" t="str">
        <f aca="false">IF($T1250="","",IF(COUNTIF('Resumo Grupos'!$AE$3:$AE$40,$T1250)&gt;0,"NAO","SIM"))</f>
        <v>SIM</v>
      </c>
      <c r="AB1250" s="0" t="str">
        <f aca="false">IFERROR(INDEX('Mov Entradas (Rel 10497)'!$L:$L,MATCH(AC1250,'Mov Entradas (Rel 10497)'!$I:$I,0)),"nao encontrado")</f>
        <v>QUEIJO RAL SANTIN50G</v>
      </c>
      <c r="AC1250" s="0" t="n">
        <v>10807</v>
      </c>
    </row>
    <row r="1251" customFormat="false" ht="12.75" hidden="false" customHeight="true" outlineLevel="0" collapsed="false">
      <c r="A1251" s="9" t="n">
        <v>2</v>
      </c>
      <c r="B1251" s="10" t="n">
        <v>46239</v>
      </c>
      <c r="C1251" s="10" t="n">
        <v>46239</v>
      </c>
      <c r="D1251" s="9" t="n">
        <v>52</v>
      </c>
      <c r="E1251" s="11" t="s">
        <v>219</v>
      </c>
      <c r="F1251" s="9" t="n">
        <v>34</v>
      </c>
      <c r="G1251" s="11" t="s">
        <v>55</v>
      </c>
      <c r="H1251" s="9" t="n">
        <v>2110405</v>
      </c>
      <c r="I1251" s="11" t="s">
        <v>56</v>
      </c>
      <c r="J1251" s="9" t="n">
        <v>1508630</v>
      </c>
      <c r="L1251" s="9" t="n">
        <v>204972</v>
      </c>
      <c r="M1251" s="11" t="s">
        <v>52</v>
      </c>
      <c r="N1251" s="11" t="s">
        <v>45</v>
      </c>
      <c r="P1251" s="9" t="n">
        <v>113</v>
      </c>
      <c r="Q1251" s="11" t="s">
        <v>46</v>
      </c>
      <c r="R1251" s="11" t="s">
        <v>71</v>
      </c>
      <c r="S1251" s="9" t="n">
        <v>4210301</v>
      </c>
      <c r="T1251" s="11" t="s">
        <v>220</v>
      </c>
      <c r="U1251" s="12" t="n">
        <v>488.26</v>
      </c>
      <c r="W1251" s="12" t="n">
        <v>0</v>
      </c>
      <c r="X1251" s="11" t="s">
        <v>1180</v>
      </c>
      <c r="Z1251" s="0" t="str">
        <f aca="false">IF($T1251="","",IFERROR(INDEX('Resumo Grupos'!$AC$3:$AC$200,MATCH($T1251,'Resumo Grupos'!$AB$3:$AB$200,0)),"n/d"))</f>
        <v>Salários</v>
      </c>
      <c r="AA1251" s="0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9" t="n">
        <v>2</v>
      </c>
      <c r="B1252" s="10" t="n">
        <v>46239</v>
      </c>
      <c r="C1252" s="10" t="n">
        <v>46239</v>
      </c>
      <c r="D1252" s="9" t="n">
        <v>52</v>
      </c>
      <c r="E1252" s="11" t="s">
        <v>219</v>
      </c>
      <c r="F1252" s="9" t="n">
        <v>7</v>
      </c>
      <c r="G1252" s="11" t="s">
        <v>222</v>
      </c>
      <c r="H1252" s="9" t="n">
        <v>2110405</v>
      </c>
      <c r="I1252" s="11" t="s">
        <v>56</v>
      </c>
      <c r="J1252" s="9" t="n">
        <v>1508664</v>
      </c>
      <c r="L1252" s="9" t="n">
        <v>205002</v>
      </c>
      <c r="M1252" s="11" t="s">
        <v>52</v>
      </c>
      <c r="N1252" s="11" t="s">
        <v>45</v>
      </c>
      <c r="P1252" s="9" t="n">
        <v>113</v>
      </c>
      <c r="Q1252" s="11" t="s">
        <v>46</v>
      </c>
      <c r="R1252" s="11" t="s">
        <v>71</v>
      </c>
      <c r="S1252" s="9" t="n">
        <v>4210301</v>
      </c>
      <c r="T1252" s="11" t="s">
        <v>220</v>
      </c>
      <c r="U1252" s="12" t="n">
        <v>487.61</v>
      </c>
      <c r="W1252" s="12" t="n">
        <v>0</v>
      </c>
      <c r="X1252" s="11" t="s">
        <v>1181</v>
      </c>
      <c r="Z1252" s="0" t="str">
        <f aca="false">IF($T1252="","",IFERROR(INDEX('Resumo Grupos'!$AC$3:$AC$200,MATCH($T1252,'Resumo Grupos'!$AB$3:$AB$200,0)),"n/d"))</f>
        <v>Salários</v>
      </c>
      <c r="AA1252" s="0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9" t="n">
        <v>2</v>
      </c>
      <c r="B1253" s="10" t="n">
        <v>46225</v>
      </c>
      <c r="C1253" s="10" t="n">
        <v>46239</v>
      </c>
      <c r="D1253" s="9" t="n">
        <v>1635</v>
      </c>
      <c r="E1253" s="11" t="s">
        <v>128</v>
      </c>
      <c r="F1253" s="9" t="n">
        <v>24</v>
      </c>
      <c r="G1253" s="11" t="s">
        <v>51</v>
      </c>
      <c r="H1253" s="9" t="n">
        <v>2110405</v>
      </c>
      <c r="I1253" s="11" t="s">
        <v>56</v>
      </c>
      <c r="J1253" s="9" t="n">
        <v>1435985</v>
      </c>
      <c r="L1253" s="9" t="n">
        <v>194025</v>
      </c>
      <c r="M1253" s="11" t="s">
        <v>52</v>
      </c>
      <c r="N1253" s="11" t="s">
        <v>45</v>
      </c>
      <c r="P1253" s="9" t="n">
        <v>113</v>
      </c>
      <c r="Q1253" s="11" t="s">
        <v>46</v>
      </c>
      <c r="R1253" s="11" t="s">
        <v>47</v>
      </c>
      <c r="S1253" s="9" t="n">
        <v>1130101</v>
      </c>
      <c r="T1253" s="11" t="s">
        <v>48</v>
      </c>
      <c r="U1253" s="12" t="n">
        <v>109.52</v>
      </c>
      <c r="W1253" s="12" t="n">
        <v>0</v>
      </c>
      <c r="X1253" s="11" t="s">
        <v>1182</v>
      </c>
      <c r="Z1253" s="0" t="str">
        <f aca="false">IF($T1253="","",IFERROR(INDEX('Resumo Grupos'!$AC$3:$AC$200,MATCH($T1253,'Resumo Grupos'!$AB$3:$AB$200,0)),"n/d"))</f>
        <v>Mercadoria</v>
      </c>
      <c r="AA1253" s="0" t="str">
        <f aca="false">IF($T1253="","",IF(COUNTIF('Resumo Grupos'!$AE$3:$AE$40,$T1253)&gt;0,"NAO","SIM"))</f>
        <v>SIM</v>
      </c>
      <c r="AB1253" s="0" t="str">
        <f aca="false">IFERROR(INDEX('Mov Entradas (Rel 10497)'!$L:$L,MATCH(AC1253,'Mov Entradas (Rel 10497)'!$I:$I,0)),"nao encontrado")</f>
        <v>CHÁ BARÃO CAMOMIL10G</v>
      </c>
      <c r="AC1253" s="0" t="n">
        <v>1625</v>
      </c>
    </row>
    <row r="1254" customFormat="false" ht="12.75" hidden="false" customHeight="true" outlineLevel="0" collapsed="false">
      <c r="A1254" s="9" t="n">
        <v>2</v>
      </c>
      <c r="B1254" s="10" t="n">
        <v>46220</v>
      </c>
      <c r="C1254" s="10" t="n">
        <v>46239</v>
      </c>
      <c r="D1254" s="9" t="n">
        <v>1613</v>
      </c>
      <c r="E1254" s="11" t="s">
        <v>50</v>
      </c>
      <c r="F1254" s="9" t="n">
        <v>24</v>
      </c>
      <c r="G1254" s="11" t="s">
        <v>51</v>
      </c>
      <c r="H1254" s="9" t="n">
        <v>2110405</v>
      </c>
      <c r="I1254" s="11" t="s">
        <v>56</v>
      </c>
      <c r="J1254" s="9" t="n">
        <v>1410738</v>
      </c>
      <c r="L1254" s="9" t="n">
        <v>190120</v>
      </c>
      <c r="M1254" s="11" t="s">
        <v>52</v>
      </c>
      <c r="N1254" s="11" t="s">
        <v>45</v>
      </c>
      <c r="P1254" s="9" t="n">
        <v>113</v>
      </c>
      <c r="Q1254" s="11" t="s">
        <v>46</v>
      </c>
      <c r="R1254" s="11" t="s">
        <v>47</v>
      </c>
      <c r="S1254" s="9" t="n">
        <v>1130101</v>
      </c>
      <c r="T1254" s="11" t="s">
        <v>48</v>
      </c>
      <c r="U1254" s="12" t="n">
        <v>512.49</v>
      </c>
      <c r="W1254" s="12" t="n">
        <v>0</v>
      </c>
      <c r="X1254" s="11" t="s">
        <v>1075</v>
      </c>
      <c r="Z1254" s="0" t="str">
        <f aca="false">IF($T1254="","",IFERROR(INDEX('Resumo Grupos'!$AC$3:$AC$200,MATCH($T1254,'Resumo Grupos'!$AB$3:$AB$200,0)),"n/d"))</f>
        <v>Mercadoria</v>
      </c>
      <c r="AA1254" s="0" t="str">
        <f aca="false">IF($T1254="","",IF(COUNTIF('Resumo Grupos'!$AE$3:$AE$40,$T1254)&gt;0,"NAO","SIM"))</f>
        <v>SIM</v>
      </c>
      <c r="AB1254" s="0" t="str">
        <f aca="false">IFERROR(INDEX('Mov Entradas (Rel 10497)'!$L:$L,MATCH(AC1254,'Mov Entradas (Rel 10497)'!$I:$I,0)),"nao encontrado")</f>
        <v>COXINHA DA ASA SADIA</v>
      </c>
      <c r="AC1254" s="0" t="n">
        <v>1608670</v>
      </c>
    </row>
    <row r="1255" customFormat="false" ht="12.75" hidden="false" customHeight="true" outlineLevel="0" collapsed="false">
      <c r="A1255" s="9" t="n">
        <v>2</v>
      </c>
      <c r="B1255" s="10" t="n">
        <v>46227</v>
      </c>
      <c r="C1255" s="10" t="n">
        <v>46239</v>
      </c>
      <c r="D1255" s="9" t="n">
        <v>1613</v>
      </c>
      <c r="E1255" s="11" t="s">
        <v>50</v>
      </c>
      <c r="F1255" s="9" t="n">
        <v>24</v>
      </c>
      <c r="G1255" s="11" t="s">
        <v>51</v>
      </c>
      <c r="H1255" s="9" t="n">
        <v>2110405</v>
      </c>
      <c r="I1255" s="11" t="s">
        <v>56</v>
      </c>
      <c r="J1255" s="9" t="n">
        <v>1443755</v>
      </c>
      <c r="L1255" s="9" t="n">
        <v>195248</v>
      </c>
      <c r="M1255" s="11" t="s">
        <v>52</v>
      </c>
      <c r="N1255" s="11" t="s">
        <v>45</v>
      </c>
      <c r="P1255" s="9" t="n">
        <v>113</v>
      </c>
      <c r="Q1255" s="11" t="s">
        <v>46</v>
      </c>
      <c r="R1255" s="11" t="s">
        <v>47</v>
      </c>
      <c r="S1255" s="9" t="n">
        <v>1130101</v>
      </c>
      <c r="T1255" s="11" t="s">
        <v>48</v>
      </c>
      <c r="U1255" s="12" t="n">
        <v>395.62</v>
      </c>
      <c r="W1255" s="12" t="n">
        <v>0</v>
      </c>
      <c r="X1255" s="11" t="s">
        <v>1183</v>
      </c>
      <c r="Z1255" s="0" t="str">
        <f aca="false">IF($T1255="","",IFERROR(INDEX('Resumo Grupos'!$AC$3:$AC$200,MATCH($T1255,'Resumo Grupos'!$AB$3:$AB$200,0)),"n/d"))</f>
        <v>Mercadoria</v>
      </c>
      <c r="AA1255" s="0" t="str">
        <f aca="false">IF($T1255="","",IF(COUNTIF('Resumo Grupos'!$AE$3:$AE$40,$T1255)&gt;0,"NAO","SIM"))</f>
        <v>SIM</v>
      </c>
      <c r="AB1255" s="0" t="str">
        <f aca="false">IFERROR(INDEX('Mov Entradas (Rel 10497)'!$L:$L,MATCH(AC1255,'Mov Entradas (Rel 10497)'!$I:$I,0)),"nao encontrado")</f>
        <v>MARGARINA DELINE 500</v>
      </c>
      <c r="AC1255" s="0" t="n">
        <v>1611346</v>
      </c>
    </row>
    <row r="1256" customFormat="false" ht="12.75" hidden="false" customHeight="true" outlineLevel="0" collapsed="false">
      <c r="A1256" s="9" t="n">
        <v>2</v>
      </c>
      <c r="B1256" s="10" t="n">
        <v>46239</v>
      </c>
      <c r="C1256" s="10" t="n">
        <v>46239</v>
      </c>
      <c r="D1256" s="9" t="n">
        <v>340</v>
      </c>
      <c r="E1256" s="11" t="s">
        <v>235</v>
      </c>
      <c r="F1256" s="9" t="n">
        <v>34</v>
      </c>
      <c r="G1256" s="11" t="s">
        <v>55</v>
      </c>
      <c r="H1256" s="9" t="n">
        <v>2110405</v>
      </c>
      <c r="I1256" s="11" t="s">
        <v>56</v>
      </c>
      <c r="J1256" s="9" t="n">
        <v>1509008</v>
      </c>
      <c r="L1256" s="9" t="n">
        <v>205103</v>
      </c>
      <c r="M1256" s="11" t="s">
        <v>52</v>
      </c>
      <c r="N1256" s="11" t="s">
        <v>45</v>
      </c>
      <c r="P1256" s="9" t="n">
        <v>113</v>
      </c>
      <c r="Q1256" s="11" t="s">
        <v>46</v>
      </c>
      <c r="R1256" s="11" t="s">
        <v>71</v>
      </c>
      <c r="S1256" s="9" t="n">
        <v>4210301</v>
      </c>
      <c r="T1256" s="11" t="s">
        <v>220</v>
      </c>
      <c r="U1256" s="12" t="n">
        <v>1400.04</v>
      </c>
      <c r="W1256" s="12" t="n">
        <v>0</v>
      </c>
      <c r="X1256" s="11" t="s">
        <v>1180</v>
      </c>
      <c r="Z1256" s="0" t="str">
        <f aca="false">IF($T1256="","",IFERROR(INDEX('Resumo Grupos'!$AC$3:$AC$200,MATCH($T1256,'Resumo Grupos'!$AB$3:$AB$200,0)),"n/d"))</f>
        <v>Salários</v>
      </c>
      <c r="AA1256" s="0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9" t="n">
        <v>2</v>
      </c>
      <c r="B1257" s="10" t="n">
        <v>46239</v>
      </c>
      <c r="C1257" s="10" t="n">
        <v>46239</v>
      </c>
      <c r="D1257" s="9" t="n">
        <v>340</v>
      </c>
      <c r="E1257" s="11" t="s">
        <v>235</v>
      </c>
      <c r="F1257" s="9" t="n">
        <v>7</v>
      </c>
      <c r="G1257" s="11" t="s">
        <v>222</v>
      </c>
      <c r="H1257" s="9" t="n">
        <v>2110405</v>
      </c>
      <c r="I1257" s="11" t="s">
        <v>56</v>
      </c>
      <c r="J1257" s="9" t="n">
        <v>1509011</v>
      </c>
      <c r="L1257" s="9" t="n">
        <v>205104</v>
      </c>
      <c r="M1257" s="11" t="s">
        <v>52</v>
      </c>
      <c r="N1257" s="11" t="s">
        <v>45</v>
      </c>
      <c r="P1257" s="9" t="n">
        <v>113</v>
      </c>
      <c r="Q1257" s="11" t="s">
        <v>46</v>
      </c>
      <c r="R1257" s="11" t="s">
        <v>71</v>
      </c>
      <c r="S1257" s="9" t="n">
        <v>4210301</v>
      </c>
      <c r="T1257" s="11" t="s">
        <v>220</v>
      </c>
      <c r="U1257" s="12" t="n">
        <v>92</v>
      </c>
      <c r="W1257" s="12" t="n">
        <v>0</v>
      </c>
      <c r="X1257" s="11" t="s">
        <v>733</v>
      </c>
      <c r="Z1257" s="0" t="str">
        <f aca="false">IF($T1257="","",IFERROR(INDEX('Resumo Grupos'!$AC$3:$AC$200,MATCH($T1257,'Resumo Grupos'!$AB$3:$AB$200,0)),"n/d"))</f>
        <v>Salários</v>
      </c>
      <c r="AA1257" s="0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9" t="n">
        <v>2</v>
      </c>
      <c r="B1258" s="10" t="n">
        <v>46218</v>
      </c>
      <c r="C1258" s="10" t="n">
        <v>46239</v>
      </c>
      <c r="D1258" s="9" t="n">
        <v>1608</v>
      </c>
      <c r="E1258" s="11" t="s">
        <v>240</v>
      </c>
      <c r="F1258" s="9" t="n">
        <v>24</v>
      </c>
      <c r="G1258" s="11" t="s">
        <v>51</v>
      </c>
      <c r="H1258" s="9" t="n">
        <v>2110405</v>
      </c>
      <c r="I1258" s="11" t="s">
        <v>56</v>
      </c>
      <c r="J1258" s="9" t="n">
        <v>1401884</v>
      </c>
      <c r="L1258" s="9" t="n">
        <v>188607</v>
      </c>
      <c r="M1258" s="11" t="s">
        <v>52</v>
      </c>
      <c r="N1258" s="11" t="s">
        <v>45</v>
      </c>
      <c r="P1258" s="9" t="n">
        <v>113</v>
      </c>
      <c r="Q1258" s="11" t="s">
        <v>46</v>
      </c>
      <c r="R1258" s="11" t="s">
        <v>47</v>
      </c>
      <c r="S1258" s="9" t="n">
        <v>1130101</v>
      </c>
      <c r="T1258" s="11" t="s">
        <v>48</v>
      </c>
      <c r="U1258" s="12" t="n">
        <v>1207.28</v>
      </c>
      <c r="W1258" s="12" t="n">
        <v>0</v>
      </c>
      <c r="X1258" s="11" t="s">
        <v>1076</v>
      </c>
      <c r="Z1258" s="0" t="str">
        <f aca="false">IF($T1258="","",IFERROR(INDEX('Resumo Grupos'!$AC$3:$AC$200,MATCH($T1258,'Resumo Grupos'!$AB$3:$AB$200,0)),"n/d"))</f>
        <v>Mercadoria</v>
      </c>
      <c r="AA1258" s="0" t="str">
        <f aca="false">IF($T1258="","",IF(COUNTIF('Resumo Grupos'!$AE$3:$AE$40,$T1258)&gt;0,"NAO","SIM"))</f>
        <v>SIM</v>
      </c>
      <c r="AB1258" s="0" t="str">
        <f aca="false">IFERROR(INDEX('Mov Entradas (Rel 10497)'!$L:$L,MATCH(AC1258,'Mov Entradas (Rel 10497)'!$I:$I,0)),"nao encontrado")</f>
        <v>ACHOC TODDY 200G</v>
      </c>
      <c r="AC1258" s="0" t="n">
        <v>1692730</v>
      </c>
    </row>
    <row r="1259" customFormat="false" ht="12.75" hidden="false" customHeight="true" outlineLevel="0" collapsed="false">
      <c r="A1259" s="9" t="n">
        <v>2</v>
      </c>
      <c r="B1259" s="10" t="n">
        <v>46219</v>
      </c>
      <c r="C1259" s="10" t="n">
        <v>46239</v>
      </c>
      <c r="D1259" s="9" t="n">
        <v>1616</v>
      </c>
      <c r="E1259" s="11" t="s">
        <v>64</v>
      </c>
      <c r="F1259" s="9" t="n">
        <v>24</v>
      </c>
      <c r="G1259" s="11" t="s">
        <v>51</v>
      </c>
      <c r="H1259" s="9" t="n">
        <v>2110405</v>
      </c>
      <c r="I1259" s="11" t="s">
        <v>56</v>
      </c>
      <c r="J1259" s="9" t="n">
        <v>1406257</v>
      </c>
      <c r="L1259" s="9" t="n">
        <v>189335</v>
      </c>
      <c r="M1259" s="11" t="s">
        <v>52</v>
      </c>
      <c r="N1259" s="11" t="s">
        <v>45</v>
      </c>
      <c r="P1259" s="9" t="n">
        <v>113</v>
      </c>
      <c r="Q1259" s="11" t="s">
        <v>46</v>
      </c>
      <c r="R1259" s="11" t="s">
        <v>47</v>
      </c>
      <c r="S1259" s="9" t="n">
        <v>1130101</v>
      </c>
      <c r="T1259" s="11" t="s">
        <v>48</v>
      </c>
      <c r="U1259" s="12" t="n">
        <v>607.58</v>
      </c>
      <c r="W1259" s="12" t="n">
        <v>0</v>
      </c>
      <c r="X1259" s="11" t="s">
        <v>1077</v>
      </c>
      <c r="Z1259" s="0" t="str">
        <f aca="false">IF($T1259="","",IFERROR(INDEX('Resumo Grupos'!$AC$3:$AC$200,MATCH($T1259,'Resumo Grupos'!$AB$3:$AB$200,0)),"n/d"))</f>
        <v>Mercadoria</v>
      </c>
      <c r="AA1259" s="0" t="str">
        <f aca="false">IF($T1259="","",IF(COUNTIF('Resumo Grupos'!$AE$3:$AE$40,$T1259)&gt;0,"NAO","SIM"))</f>
        <v>SIM</v>
      </c>
      <c r="AB1259" s="0" t="str">
        <f aca="false">IFERROR(INDEX('Mov Entradas (Rel 10497)'!$L:$L,MATCH(AC1259,'Mov Entradas (Rel 10497)'!$I:$I,0)),"nao encontrado")</f>
        <v>BARRA DE CEREAIS NUT</v>
      </c>
      <c r="AC1259" s="0" t="n">
        <v>650221</v>
      </c>
    </row>
    <row r="1260" customFormat="false" ht="12.75" hidden="false" customHeight="true" outlineLevel="0" collapsed="false">
      <c r="A1260" s="9" t="n">
        <v>2</v>
      </c>
      <c r="B1260" s="10" t="n">
        <v>46239</v>
      </c>
      <c r="C1260" s="10" t="n">
        <v>46239</v>
      </c>
      <c r="D1260" s="9" t="n">
        <v>23</v>
      </c>
      <c r="E1260" s="11" t="s">
        <v>243</v>
      </c>
      <c r="F1260" s="9" t="n">
        <v>7</v>
      </c>
      <c r="G1260" s="11" t="s">
        <v>222</v>
      </c>
      <c r="H1260" s="9" t="n">
        <v>2110405</v>
      </c>
      <c r="I1260" s="11" t="s">
        <v>56</v>
      </c>
      <c r="J1260" s="9" t="n">
        <v>1509023</v>
      </c>
      <c r="L1260" s="9" t="n">
        <v>205107</v>
      </c>
      <c r="M1260" s="11" t="s">
        <v>52</v>
      </c>
      <c r="N1260" s="11" t="s">
        <v>45</v>
      </c>
      <c r="P1260" s="9" t="n">
        <v>113</v>
      </c>
      <c r="Q1260" s="11" t="s">
        <v>46</v>
      </c>
      <c r="R1260" s="11" t="s">
        <v>71</v>
      </c>
      <c r="S1260" s="9" t="n">
        <v>4210301</v>
      </c>
      <c r="T1260" s="11" t="s">
        <v>220</v>
      </c>
      <c r="U1260" s="12" t="n">
        <v>675.8</v>
      </c>
      <c r="W1260" s="12" t="n">
        <v>0</v>
      </c>
      <c r="X1260" s="11" t="s">
        <v>733</v>
      </c>
      <c r="Z1260" s="0" t="str">
        <f aca="false">IF($T1260="","",IFERROR(INDEX('Resumo Grupos'!$AC$3:$AC$200,MATCH($T1260,'Resumo Grupos'!$AB$3:$AB$200,0)),"n/d"))</f>
        <v>Salários</v>
      </c>
      <c r="AA1260" s="0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9" t="n">
        <v>2</v>
      </c>
      <c r="B1261" s="10" t="n">
        <v>46239</v>
      </c>
      <c r="C1261" s="10" t="n">
        <v>46239</v>
      </c>
      <c r="D1261" s="9" t="n">
        <v>73</v>
      </c>
      <c r="E1261" s="11" t="s">
        <v>70</v>
      </c>
      <c r="F1261" s="9" t="n">
        <v>34</v>
      </c>
      <c r="G1261" s="11" t="s">
        <v>55</v>
      </c>
      <c r="H1261" s="9" t="n">
        <v>2110405</v>
      </c>
      <c r="I1261" s="11" t="s">
        <v>56</v>
      </c>
      <c r="J1261" s="9" t="n">
        <v>1509064</v>
      </c>
      <c r="L1261" s="9" t="n">
        <v>205112</v>
      </c>
      <c r="M1261" s="11" t="s">
        <v>52</v>
      </c>
      <c r="N1261" s="11" t="s">
        <v>45</v>
      </c>
      <c r="P1261" s="9" t="n">
        <v>113</v>
      </c>
      <c r="Q1261" s="11" t="s">
        <v>46</v>
      </c>
      <c r="R1261" s="11" t="s">
        <v>71</v>
      </c>
      <c r="S1261" s="9" t="n">
        <v>4210301</v>
      </c>
      <c r="T1261" s="11" t="s">
        <v>220</v>
      </c>
      <c r="U1261" s="12" t="n">
        <v>1499.7</v>
      </c>
      <c r="W1261" s="12" t="n">
        <v>0</v>
      </c>
      <c r="X1261" s="11" t="s">
        <v>1180</v>
      </c>
      <c r="Z1261" s="0" t="str">
        <f aca="false">IF($T1261="","",IFERROR(INDEX('Resumo Grupos'!$AC$3:$AC$200,MATCH($T1261,'Resumo Grupos'!$AB$3:$AB$200,0)),"n/d"))</f>
        <v>Salários</v>
      </c>
      <c r="AA1261" s="0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9" t="n">
        <v>2</v>
      </c>
      <c r="B1262" s="10" t="n">
        <v>46239</v>
      </c>
      <c r="C1262" s="10" t="n">
        <v>46239</v>
      </c>
      <c r="D1262" s="9" t="n">
        <v>73</v>
      </c>
      <c r="E1262" s="11" t="s">
        <v>70</v>
      </c>
      <c r="F1262" s="9" t="n">
        <v>7</v>
      </c>
      <c r="G1262" s="11" t="s">
        <v>222</v>
      </c>
      <c r="H1262" s="9" t="n">
        <v>2110405</v>
      </c>
      <c r="I1262" s="11" t="s">
        <v>56</v>
      </c>
      <c r="J1262" s="9" t="n">
        <v>1509070</v>
      </c>
      <c r="L1262" s="9" t="n">
        <v>205117</v>
      </c>
      <c r="M1262" s="11" t="s">
        <v>52</v>
      </c>
      <c r="N1262" s="11" t="s">
        <v>45</v>
      </c>
      <c r="P1262" s="9" t="n">
        <v>113</v>
      </c>
      <c r="Q1262" s="11" t="s">
        <v>46</v>
      </c>
      <c r="R1262" s="11" t="s">
        <v>71</v>
      </c>
      <c r="S1262" s="9" t="n">
        <v>4210301</v>
      </c>
      <c r="T1262" s="11" t="s">
        <v>220</v>
      </c>
      <c r="U1262" s="12" t="n">
        <v>71.69</v>
      </c>
      <c r="W1262" s="12" t="n">
        <v>0</v>
      </c>
      <c r="X1262" s="11" t="s">
        <v>733</v>
      </c>
      <c r="Z1262" s="0" t="str">
        <f aca="false">IF($T1262="","",IFERROR(INDEX('Resumo Grupos'!$AC$3:$AC$200,MATCH($T1262,'Resumo Grupos'!$AB$3:$AB$200,0)),"n/d"))</f>
        <v>Salários</v>
      </c>
      <c r="AA1262" s="0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9" t="n">
        <v>2</v>
      </c>
      <c r="B1263" s="10" t="n">
        <v>46205</v>
      </c>
      <c r="C1263" s="10" t="n">
        <v>46239</v>
      </c>
      <c r="D1263" s="9" t="n">
        <v>1217</v>
      </c>
      <c r="E1263" s="11" t="s">
        <v>776</v>
      </c>
      <c r="F1263" s="9" t="n">
        <v>24</v>
      </c>
      <c r="G1263" s="11" t="s">
        <v>51</v>
      </c>
      <c r="H1263" s="9" t="n">
        <v>2110101</v>
      </c>
      <c r="I1263" s="11" t="s">
        <v>43</v>
      </c>
      <c r="J1263" s="9" t="n">
        <v>1339965</v>
      </c>
      <c r="L1263" s="9" t="n">
        <v>4467</v>
      </c>
      <c r="M1263" s="11" t="s">
        <v>89</v>
      </c>
      <c r="N1263" s="11" t="s">
        <v>37</v>
      </c>
      <c r="P1263" s="9" t="n">
        <v>113</v>
      </c>
      <c r="Q1263" s="11" t="s">
        <v>46</v>
      </c>
      <c r="R1263" s="11" t="s">
        <v>47</v>
      </c>
      <c r="S1263" s="9" t="n">
        <v>1130101</v>
      </c>
      <c r="T1263" s="11" t="s">
        <v>48</v>
      </c>
      <c r="U1263" s="12" t="n">
        <v>819.53</v>
      </c>
      <c r="W1263" s="12" t="n">
        <v>0</v>
      </c>
      <c r="X1263" s="11" t="s">
        <v>777</v>
      </c>
      <c r="Z1263" s="0" t="str">
        <f aca="false">IF($T1263="","",IFERROR(INDEX('Resumo Grupos'!$AC$3:$AC$200,MATCH($T1263,'Resumo Grupos'!$AB$3:$AB$200,0)),"n/d"))</f>
        <v>Mercadoria</v>
      </c>
      <c r="AA1263" s="0" t="str">
        <f aca="false">IF($T1263="","",IF(COUNTIF('Resumo Grupos'!$AE$3:$AE$40,$T1263)&gt;0,"NAO","SIM"))</f>
        <v>SIM</v>
      </c>
      <c r="AB1263" s="0" t="str">
        <f aca="false">IFERROR(INDEX('Mov Entradas (Rel 10497)'!$L:$L,MATCH(AC1263,'Mov Entradas (Rel 10497)'!$I:$I,0)),"nao encontrado")</f>
        <v>REGULADOR DE GAS ALI</v>
      </c>
      <c r="AC1263" s="0" t="n">
        <v>4467</v>
      </c>
    </row>
    <row r="1264" customFormat="false" ht="12.75" hidden="false" customHeight="true" outlineLevel="0" collapsed="false">
      <c r="A1264" s="9" t="n">
        <v>2</v>
      </c>
      <c r="B1264" s="10" t="n">
        <v>46239</v>
      </c>
      <c r="C1264" s="10" t="n">
        <v>46239</v>
      </c>
      <c r="D1264" s="9" t="n">
        <v>12</v>
      </c>
      <c r="E1264" s="11" t="s">
        <v>79</v>
      </c>
      <c r="F1264" s="9" t="n">
        <v>34</v>
      </c>
      <c r="G1264" s="11" t="s">
        <v>55</v>
      </c>
      <c r="H1264" s="9" t="n">
        <v>2110405</v>
      </c>
      <c r="I1264" s="11" t="s">
        <v>56</v>
      </c>
      <c r="J1264" s="9" t="n">
        <v>1509085</v>
      </c>
      <c r="L1264" s="9" t="n">
        <v>205118</v>
      </c>
      <c r="M1264" s="11" t="s">
        <v>52</v>
      </c>
      <c r="N1264" s="11" t="s">
        <v>45</v>
      </c>
      <c r="P1264" s="9" t="n">
        <v>113</v>
      </c>
      <c r="Q1264" s="11" t="s">
        <v>46</v>
      </c>
      <c r="R1264" s="11" t="s">
        <v>71</v>
      </c>
      <c r="S1264" s="9" t="n">
        <v>4210301</v>
      </c>
      <c r="T1264" s="11" t="s">
        <v>220</v>
      </c>
      <c r="U1264" s="12" t="n">
        <v>328.62</v>
      </c>
      <c r="W1264" s="12" t="n">
        <v>0</v>
      </c>
      <c r="X1264" s="11" t="s">
        <v>1180</v>
      </c>
      <c r="Z1264" s="0" t="str">
        <f aca="false">IF($T1264="","",IFERROR(INDEX('Resumo Grupos'!$AC$3:$AC$200,MATCH($T1264,'Resumo Grupos'!$AB$3:$AB$200,0)),"n/d"))</f>
        <v>Salários</v>
      </c>
      <c r="AA1264" s="0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9" t="n">
        <v>2</v>
      </c>
      <c r="B1265" s="10" t="n">
        <v>46239</v>
      </c>
      <c r="C1265" s="10" t="n">
        <v>46239</v>
      </c>
      <c r="D1265" s="9" t="n">
        <v>12</v>
      </c>
      <c r="E1265" s="11" t="s">
        <v>79</v>
      </c>
      <c r="F1265" s="9" t="n">
        <v>7</v>
      </c>
      <c r="G1265" s="11" t="s">
        <v>222</v>
      </c>
      <c r="H1265" s="9" t="n">
        <v>2110405</v>
      </c>
      <c r="I1265" s="11" t="s">
        <v>56</v>
      </c>
      <c r="J1265" s="9" t="n">
        <v>1509091</v>
      </c>
      <c r="L1265" s="9" t="n">
        <v>205120</v>
      </c>
      <c r="M1265" s="11" t="s">
        <v>52</v>
      </c>
      <c r="N1265" s="11" t="s">
        <v>45</v>
      </c>
      <c r="P1265" s="9" t="n">
        <v>113</v>
      </c>
      <c r="Q1265" s="11" t="s">
        <v>46</v>
      </c>
      <c r="R1265" s="11" t="s">
        <v>71</v>
      </c>
      <c r="S1265" s="9" t="n">
        <v>4210301</v>
      </c>
      <c r="T1265" s="11" t="s">
        <v>220</v>
      </c>
      <c r="U1265" s="12" t="n">
        <v>401.97</v>
      </c>
      <c r="W1265" s="12" t="n">
        <v>0</v>
      </c>
      <c r="X1265" s="11" t="s">
        <v>733</v>
      </c>
      <c r="Z1265" s="0" t="str">
        <f aca="false">IF($T1265="","",IFERROR(INDEX('Resumo Grupos'!$AC$3:$AC$200,MATCH($T1265,'Resumo Grupos'!$AB$3:$AB$200,0)),"n/d"))</f>
        <v>Salários</v>
      </c>
      <c r="AA1265" s="0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9" t="n">
        <v>2</v>
      </c>
      <c r="B1266" s="10" t="n">
        <v>46209</v>
      </c>
      <c r="C1266" s="10" t="n">
        <v>46239</v>
      </c>
      <c r="D1266" s="9" t="n">
        <v>1768</v>
      </c>
      <c r="E1266" s="11" t="s">
        <v>378</v>
      </c>
      <c r="F1266" s="9" t="n">
        <v>34</v>
      </c>
      <c r="G1266" s="11" t="s">
        <v>55</v>
      </c>
      <c r="H1266" s="9" t="n">
        <v>2110405</v>
      </c>
      <c r="I1266" s="11" t="s">
        <v>56</v>
      </c>
      <c r="J1266" s="9" t="n">
        <v>628286</v>
      </c>
      <c r="L1266" s="9" t="n">
        <v>81552</v>
      </c>
      <c r="M1266" s="11" t="s">
        <v>102</v>
      </c>
      <c r="N1266" s="11" t="s">
        <v>45</v>
      </c>
      <c r="P1266" s="9" t="n">
        <v>102</v>
      </c>
      <c r="Q1266" s="11" t="s">
        <v>308</v>
      </c>
      <c r="R1266" s="11" t="s">
        <v>39</v>
      </c>
      <c r="S1266" s="9" t="n">
        <v>4210202</v>
      </c>
      <c r="T1266" s="11" t="s">
        <v>379</v>
      </c>
      <c r="U1266" s="12" t="n">
        <v>2431.5</v>
      </c>
      <c r="W1266" s="12" t="n">
        <v>0</v>
      </c>
      <c r="X1266" s="11" t="s">
        <v>380</v>
      </c>
      <c r="Z1266" s="0" t="str">
        <f aca="false">IF($T1266="","",IFERROR(INDEX('Resumo Grupos'!$AC$3:$AC$200,MATCH($T1266,'Resumo Grupos'!$AB$3:$AB$200,0)),"n/d"))</f>
        <v>Despesa</v>
      </c>
      <c r="AA1266" s="0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9" t="n">
        <v>2</v>
      </c>
      <c r="B1267" s="10" t="n">
        <v>46239</v>
      </c>
      <c r="C1267" s="10" t="n">
        <v>46239</v>
      </c>
      <c r="D1267" s="9" t="n">
        <v>10096</v>
      </c>
      <c r="E1267" s="11" t="s">
        <v>622</v>
      </c>
      <c r="F1267" s="9" t="n">
        <v>13</v>
      </c>
      <c r="G1267" s="11" t="s">
        <v>135</v>
      </c>
      <c r="H1267" s="9" t="n">
        <v>2110405</v>
      </c>
      <c r="I1267" s="11" t="s">
        <v>56</v>
      </c>
      <c r="J1267" s="9" t="n">
        <v>1508129</v>
      </c>
      <c r="L1267" s="9" t="n">
        <v>204882</v>
      </c>
      <c r="M1267" s="11" t="s">
        <v>52</v>
      </c>
      <c r="N1267" s="11" t="s">
        <v>45</v>
      </c>
      <c r="P1267" s="9" t="n">
        <v>113</v>
      </c>
      <c r="Q1267" s="11" t="s">
        <v>46</v>
      </c>
      <c r="R1267" s="11" t="s">
        <v>47</v>
      </c>
      <c r="S1267" s="9" t="n">
        <v>1130101</v>
      </c>
      <c r="T1267" s="11" t="s">
        <v>48</v>
      </c>
      <c r="U1267" s="12" t="n">
        <v>200</v>
      </c>
      <c r="W1267" s="12" t="n">
        <v>200</v>
      </c>
      <c r="X1267" s="11" t="s">
        <v>1184</v>
      </c>
      <c r="Z1267" s="0" t="str">
        <f aca="false">IF($T1267="","",IFERROR(INDEX('Resumo Grupos'!$AC$3:$AC$200,MATCH($T1267,'Resumo Grupos'!$AB$3:$AB$200,0)),"n/d"))</f>
        <v>Mercadoria</v>
      </c>
      <c r="AA1267" s="0" t="str">
        <f aca="false">IF($T1267="","",IF(COUNTIF('Resumo Grupos'!$AE$3:$AE$40,$T1267)&gt;0,"NAO","SIM"))</f>
        <v>SIM</v>
      </c>
      <c r="AB1267" s="0" t="str">
        <f aca="false">IFERROR(INDEX('Mov Entradas (Rel 10497)'!$L:$L,MATCH(AC1267,'Mov Entradas (Rel 10497)'!$I:$I,0)),"nao encontrado")</f>
        <v>BOLO MIYAZAKI GRANDE</v>
      </c>
      <c r="AC1267" s="0" t="n">
        <v>123</v>
      </c>
    </row>
    <row r="1268" customFormat="false" ht="12.75" hidden="false" customHeight="true" outlineLevel="0" collapsed="false">
      <c r="A1268" s="9" t="n">
        <v>2</v>
      </c>
      <c r="B1268" s="10" t="n">
        <v>46239</v>
      </c>
      <c r="C1268" s="10" t="n">
        <v>46239</v>
      </c>
      <c r="D1268" s="9" t="n">
        <v>22</v>
      </c>
      <c r="E1268" s="11" t="s">
        <v>245</v>
      </c>
      <c r="F1268" s="9" t="n">
        <v>34</v>
      </c>
      <c r="G1268" s="11" t="s">
        <v>55</v>
      </c>
      <c r="H1268" s="9" t="n">
        <v>2110405</v>
      </c>
      <c r="I1268" s="11" t="s">
        <v>56</v>
      </c>
      <c r="J1268" s="9" t="n">
        <v>1509107</v>
      </c>
      <c r="L1268" s="9" t="n">
        <v>205123</v>
      </c>
      <c r="M1268" s="11" t="s">
        <v>52</v>
      </c>
      <c r="N1268" s="11" t="s">
        <v>45</v>
      </c>
      <c r="P1268" s="9" t="n">
        <v>113</v>
      </c>
      <c r="Q1268" s="11" t="s">
        <v>46</v>
      </c>
      <c r="R1268" s="11" t="s">
        <v>71</v>
      </c>
      <c r="S1268" s="9" t="n">
        <v>4210301</v>
      </c>
      <c r="T1268" s="11" t="s">
        <v>220</v>
      </c>
      <c r="U1268" s="12" t="n">
        <v>1681.03</v>
      </c>
      <c r="W1268" s="12" t="n">
        <v>0</v>
      </c>
      <c r="X1268" s="11" t="s">
        <v>1180</v>
      </c>
      <c r="Z1268" s="0" t="str">
        <f aca="false">IF($T1268="","",IFERROR(INDEX('Resumo Grupos'!$AC$3:$AC$200,MATCH($T1268,'Resumo Grupos'!$AB$3:$AB$200,0)),"n/d"))</f>
        <v>Salários</v>
      </c>
      <c r="AA1268" s="0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9" t="n">
        <v>2</v>
      </c>
      <c r="B1269" s="10" t="n">
        <v>46239</v>
      </c>
      <c r="C1269" s="10" t="n">
        <v>46239</v>
      </c>
      <c r="D1269" s="9" t="n">
        <v>515</v>
      </c>
      <c r="E1269" s="11" t="s">
        <v>137</v>
      </c>
      <c r="F1269" s="9" t="n">
        <v>34</v>
      </c>
      <c r="G1269" s="11" t="s">
        <v>55</v>
      </c>
      <c r="H1269" s="9" t="n">
        <v>2110405</v>
      </c>
      <c r="I1269" s="11" t="s">
        <v>56</v>
      </c>
      <c r="J1269" s="9" t="n">
        <v>1509221</v>
      </c>
      <c r="L1269" s="9" t="n">
        <v>205157</v>
      </c>
      <c r="M1269" s="11" t="s">
        <v>52</v>
      </c>
      <c r="N1269" s="11" t="s">
        <v>45</v>
      </c>
      <c r="P1269" s="9" t="n">
        <v>102</v>
      </c>
      <c r="Q1269" s="11" t="s">
        <v>308</v>
      </c>
      <c r="R1269" s="11" t="s">
        <v>138</v>
      </c>
      <c r="S1269" s="9" t="n">
        <v>4210502</v>
      </c>
      <c r="T1269" s="11" t="s">
        <v>246</v>
      </c>
      <c r="U1269" s="12" t="n">
        <v>2356.13</v>
      </c>
      <c r="W1269" s="12" t="n">
        <v>0</v>
      </c>
      <c r="X1269" s="11" t="s">
        <v>1185</v>
      </c>
      <c r="Z1269" s="0" t="str">
        <f aca="false">IF($T1269="","",IFERROR(INDEX('Resumo Grupos'!$AC$3:$AC$200,MATCH($T1269,'Resumo Grupos'!$AB$3:$AB$200,0)),"n/d"))</f>
        <v>Empréstimo</v>
      </c>
      <c r="AA1269" s="0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9" t="n">
        <v>2</v>
      </c>
      <c r="B1270" s="10" t="n">
        <v>46218</v>
      </c>
      <c r="C1270" s="10" t="n">
        <v>46239</v>
      </c>
      <c r="D1270" s="9" t="n">
        <v>1815</v>
      </c>
      <c r="E1270" s="11" t="s">
        <v>172</v>
      </c>
      <c r="F1270" s="9" t="n">
        <v>24</v>
      </c>
      <c r="G1270" s="11" t="s">
        <v>51</v>
      </c>
      <c r="H1270" s="9" t="n">
        <v>2110405</v>
      </c>
      <c r="I1270" s="11" t="s">
        <v>56</v>
      </c>
      <c r="J1270" s="9" t="n">
        <v>1403062</v>
      </c>
      <c r="L1270" s="9" t="n">
        <v>188874</v>
      </c>
      <c r="M1270" s="11" t="s">
        <v>52</v>
      </c>
      <c r="N1270" s="11" t="s">
        <v>45</v>
      </c>
      <c r="P1270" s="9" t="n">
        <v>113</v>
      </c>
      <c r="Q1270" s="11" t="s">
        <v>46</v>
      </c>
      <c r="R1270" s="11" t="s">
        <v>47</v>
      </c>
      <c r="S1270" s="9" t="n">
        <v>1130101</v>
      </c>
      <c r="T1270" s="11" t="s">
        <v>48</v>
      </c>
      <c r="U1270" s="12" t="n">
        <v>2806.5</v>
      </c>
      <c r="W1270" s="12" t="n">
        <v>0</v>
      </c>
      <c r="X1270" s="11" t="s">
        <v>982</v>
      </c>
      <c r="Z1270" s="0" t="str">
        <f aca="false">IF($T1270="","",IFERROR(INDEX('Resumo Grupos'!$AC$3:$AC$200,MATCH($T1270,'Resumo Grupos'!$AB$3:$AB$200,0)),"n/d"))</f>
        <v>Mercadoria</v>
      </c>
      <c r="AA1270" s="0" t="str">
        <f aca="false">IF($T1270="","",IF(COUNTIF('Resumo Grupos'!$AE$3:$AE$40,$T1270)&gt;0,"NAO","SIM"))</f>
        <v>SIM</v>
      </c>
      <c r="AB1270" s="0" t="str">
        <f aca="false">IFERROR(INDEX('Mov Entradas (Rel 10497)'!$L:$L,MATCH(AC1270,'Mov Entradas (Rel 10497)'!$I:$I,0)),"nao encontrado")</f>
        <v>COXÃO DURO KG</v>
      </c>
      <c r="AC1270" s="0" t="n">
        <v>392537</v>
      </c>
    </row>
    <row r="1271" customFormat="false" ht="12.75" hidden="false" customHeight="true" outlineLevel="0" collapsed="false">
      <c r="A1271" s="9" t="n">
        <v>2</v>
      </c>
      <c r="B1271" s="10" t="n">
        <v>46225</v>
      </c>
      <c r="C1271" s="10" t="n">
        <v>46239</v>
      </c>
      <c r="D1271" s="9" t="n">
        <v>1815</v>
      </c>
      <c r="E1271" s="11" t="s">
        <v>172</v>
      </c>
      <c r="F1271" s="9" t="n">
        <v>24</v>
      </c>
      <c r="G1271" s="11" t="s">
        <v>51</v>
      </c>
      <c r="H1271" s="9" t="n">
        <v>2110405</v>
      </c>
      <c r="I1271" s="11" t="s">
        <v>56</v>
      </c>
      <c r="J1271" s="9" t="n">
        <v>1436047</v>
      </c>
      <c r="L1271" s="9" t="n">
        <v>194034</v>
      </c>
      <c r="M1271" s="11" t="s">
        <v>52</v>
      </c>
      <c r="N1271" s="11" t="s">
        <v>45</v>
      </c>
      <c r="P1271" s="9" t="n">
        <v>113</v>
      </c>
      <c r="Q1271" s="11" t="s">
        <v>46</v>
      </c>
      <c r="R1271" s="11" t="s">
        <v>47</v>
      </c>
      <c r="S1271" s="9" t="n">
        <v>1130101</v>
      </c>
      <c r="T1271" s="11" t="s">
        <v>48</v>
      </c>
      <c r="U1271" s="12" t="n">
        <v>1164.4</v>
      </c>
      <c r="W1271" s="12" t="n">
        <v>0</v>
      </c>
      <c r="X1271" s="11" t="s">
        <v>1080</v>
      </c>
      <c r="Z1271" s="0" t="str">
        <f aca="false">IF($T1271="","",IFERROR(INDEX('Resumo Grupos'!$AC$3:$AC$200,MATCH($T1271,'Resumo Grupos'!$AB$3:$AB$200,0)),"n/d"))</f>
        <v>Mercadoria</v>
      </c>
      <c r="AA1271" s="0" t="str">
        <f aca="false">IF($T1271="","",IF(COUNTIF('Resumo Grupos'!$AE$3:$AE$40,$T1271)&gt;0,"NAO","SIM"))</f>
        <v>SIM</v>
      </c>
      <c r="AB1271" s="0" t="str">
        <f aca="false">IFERROR(INDEX('Mov Entradas (Rel 10497)'!$L:$L,MATCH(AC1271,'Mov Entradas (Rel 10497)'!$I:$I,0)),"nao encontrado")</f>
        <v>FILE PEITOA GRANEL</v>
      </c>
      <c r="AC1271" s="0" t="n">
        <v>393890</v>
      </c>
    </row>
    <row r="1272" customFormat="false" ht="12.75" hidden="false" customHeight="true" outlineLevel="0" collapsed="false">
      <c r="A1272" s="9" t="n">
        <v>2</v>
      </c>
      <c r="B1272" s="10" t="n">
        <v>46219</v>
      </c>
      <c r="C1272" s="10" t="n">
        <v>46239</v>
      </c>
      <c r="D1272" s="9" t="n">
        <v>1699</v>
      </c>
      <c r="E1272" s="11" t="s">
        <v>248</v>
      </c>
      <c r="F1272" s="9" t="n">
        <v>24</v>
      </c>
      <c r="G1272" s="11" t="s">
        <v>51</v>
      </c>
      <c r="H1272" s="9" t="n">
        <v>2110405</v>
      </c>
      <c r="I1272" s="11" t="s">
        <v>56</v>
      </c>
      <c r="J1272" s="9" t="n">
        <v>1406627</v>
      </c>
      <c r="L1272" s="9" t="n">
        <v>189424</v>
      </c>
      <c r="M1272" s="11" t="s">
        <v>52</v>
      </c>
      <c r="N1272" s="11" t="s">
        <v>45</v>
      </c>
      <c r="P1272" s="9" t="n">
        <v>113</v>
      </c>
      <c r="Q1272" s="11" t="s">
        <v>46</v>
      </c>
      <c r="R1272" s="11" t="s">
        <v>47</v>
      </c>
      <c r="S1272" s="9" t="n">
        <v>1130101</v>
      </c>
      <c r="T1272" s="11" t="s">
        <v>48</v>
      </c>
      <c r="U1272" s="12" t="n">
        <v>1021.84</v>
      </c>
      <c r="W1272" s="12" t="n">
        <v>0</v>
      </c>
      <c r="X1272" s="11" t="s">
        <v>983</v>
      </c>
      <c r="Z1272" s="0" t="str">
        <f aca="false">IF($T1272="","",IFERROR(INDEX('Resumo Grupos'!$AC$3:$AC$200,MATCH($T1272,'Resumo Grupos'!$AB$3:$AB$200,0)),"n/d"))</f>
        <v>Mercadoria</v>
      </c>
      <c r="AA1272" s="0" t="str">
        <f aca="false">IF($T1272="","",IF(COUNTIF('Resumo Grupos'!$AE$3:$AE$40,$T1272)&gt;0,"NAO","SIM"))</f>
        <v>SIM</v>
      </c>
      <c r="AB1272" s="0" t="str">
        <f aca="false">IFERROR(INDEX('Mov Entradas (Rel 10497)'!$L:$L,MATCH(AC1272,'Mov Entradas (Rel 10497)'!$I:$I,0)),"nao encontrado")</f>
        <v>SUCO JANDAI CAJU500M</v>
      </c>
      <c r="AC1272" s="0" t="n">
        <v>307804</v>
      </c>
    </row>
    <row r="1273" customFormat="false" ht="12.75" hidden="false" customHeight="true" outlineLevel="0" collapsed="false">
      <c r="A1273" s="9" t="n">
        <v>2</v>
      </c>
      <c r="B1273" s="10" t="n">
        <v>46234</v>
      </c>
      <c r="C1273" s="10" t="n">
        <v>46239</v>
      </c>
      <c r="D1273" s="9" t="n">
        <v>581</v>
      </c>
      <c r="E1273" s="11" t="s">
        <v>147</v>
      </c>
      <c r="F1273" s="9" t="n">
        <v>24</v>
      </c>
      <c r="G1273" s="11" t="s">
        <v>51</v>
      </c>
      <c r="H1273" s="9" t="n">
        <v>2110405</v>
      </c>
      <c r="I1273" s="11" t="s">
        <v>56</v>
      </c>
      <c r="J1273" s="9" t="n">
        <v>1477772</v>
      </c>
      <c r="L1273" s="9" t="n">
        <v>200463</v>
      </c>
      <c r="M1273" s="11" t="s">
        <v>52</v>
      </c>
      <c r="N1273" s="11" t="s">
        <v>45</v>
      </c>
      <c r="P1273" s="9" t="n">
        <v>113</v>
      </c>
      <c r="Q1273" s="11" t="s">
        <v>46</v>
      </c>
      <c r="R1273" s="11" t="s">
        <v>47</v>
      </c>
      <c r="S1273" s="9" t="n">
        <v>1130101</v>
      </c>
      <c r="T1273" s="11" t="s">
        <v>48</v>
      </c>
      <c r="U1273" s="12" t="n">
        <v>266</v>
      </c>
      <c r="W1273" s="12" t="n">
        <v>0</v>
      </c>
      <c r="X1273" s="11" t="s">
        <v>1186</v>
      </c>
      <c r="Z1273" s="0" t="str">
        <f aca="false">IF($T1273="","",IFERROR(INDEX('Resumo Grupos'!$AC$3:$AC$200,MATCH($T1273,'Resumo Grupos'!$AB$3:$AB$200,0)),"n/d"))</f>
        <v>Mercadoria</v>
      </c>
      <c r="AA1273" s="0" t="str">
        <f aca="false">IF($T1273="","",IF(COUNTIF('Resumo Grupos'!$AE$3:$AE$40,$T1273)&gt;0,"NAO","SIM"))</f>
        <v>SIM</v>
      </c>
      <c r="AB1273" s="0" t="str">
        <f aca="false">IFERROR(INDEX('Mov Entradas (Rel 10497)'!$L:$L,MATCH(AC1273,'Mov Entradas (Rel 10497)'!$I:$I,0)),"nao encontrado")</f>
        <v>GOMA DE MANDIOCA AMA</v>
      </c>
      <c r="AC1273" s="0" t="n">
        <v>31668</v>
      </c>
    </row>
    <row r="1274" customFormat="false" ht="12.75" hidden="false" customHeight="true" outlineLevel="0" collapsed="false">
      <c r="A1274" s="9" t="n">
        <v>2</v>
      </c>
      <c r="B1274" s="10" t="n">
        <v>46239</v>
      </c>
      <c r="C1274" s="10" t="n">
        <v>46239</v>
      </c>
      <c r="D1274" s="9" t="n">
        <v>1979</v>
      </c>
      <c r="E1274" s="11" t="s">
        <v>250</v>
      </c>
      <c r="F1274" s="9" t="n">
        <v>34</v>
      </c>
      <c r="G1274" s="11" t="s">
        <v>55</v>
      </c>
      <c r="H1274" s="9" t="n">
        <v>2110405</v>
      </c>
      <c r="I1274" s="11" t="s">
        <v>56</v>
      </c>
      <c r="J1274" s="9" t="n">
        <v>1509109</v>
      </c>
      <c r="L1274" s="9" t="n">
        <v>205126</v>
      </c>
      <c r="M1274" s="11" t="s">
        <v>52</v>
      </c>
      <c r="N1274" s="11" t="s">
        <v>45</v>
      </c>
      <c r="P1274" s="9" t="n">
        <v>113</v>
      </c>
      <c r="Q1274" s="11" t="s">
        <v>46</v>
      </c>
      <c r="R1274" s="11" t="s">
        <v>71</v>
      </c>
      <c r="S1274" s="9" t="n">
        <v>4210301</v>
      </c>
      <c r="T1274" s="11" t="s">
        <v>220</v>
      </c>
      <c r="U1274" s="12" t="n">
        <v>1021.2</v>
      </c>
      <c r="W1274" s="12" t="n">
        <v>0</v>
      </c>
      <c r="X1274" s="11" t="s">
        <v>1180</v>
      </c>
      <c r="Z1274" s="0" t="str">
        <f aca="false">IF($T1274="","",IFERROR(INDEX('Resumo Grupos'!$AC$3:$AC$200,MATCH($T1274,'Resumo Grupos'!$AB$3:$AB$200,0)),"n/d"))</f>
        <v>Salários</v>
      </c>
      <c r="AA1274" s="0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9" t="n">
        <v>2</v>
      </c>
      <c r="B1275" s="10" t="n">
        <v>46239</v>
      </c>
      <c r="C1275" s="10" t="n">
        <v>46239</v>
      </c>
      <c r="D1275" s="9" t="n">
        <v>1979</v>
      </c>
      <c r="E1275" s="11" t="s">
        <v>250</v>
      </c>
      <c r="F1275" s="9" t="n">
        <v>7</v>
      </c>
      <c r="G1275" s="11" t="s">
        <v>222</v>
      </c>
      <c r="H1275" s="9" t="n">
        <v>2110405</v>
      </c>
      <c r="I1275" s="11" t="s">
        <v>56</v>
      </c>
      <c r="J1275" s="9" t="n">
        <v>1509112</v>
      </c>
      <c r="L1275" s="9" t="n">
        <v>205129</v>
      </c>
      <c r="M1275" s="11" t="s">
        <v>52</v>
      </c>
      <c r="N1275" s="11" t="s">
        <v>45</v>
      </c>
      <c r="P1275" s="9" t="n">
        <v>113</v>
      </c>
      <c r="Q1275" s="11" t="s">
        <v>46</v>
      </c>
      <c r="R1275" s="11" t="s">
        <v>71</v>
      </c>
      <c r="S1275" s="9" t="n">
        <v>4210301</v>
      </c>
      <c r="T1275" s="11" t="s">
        <v>220</v>
      </c>
      <c r="U1275" s="12" t="n">
        <v>214.98</v>
      </c>
      <c r="W1275" s="12" t="n">
        <v>0</v>
      </c>
      <c r="X1275" s="11" t="s">
        <v>733</v>
      </c>
      <c r="Z1275" s="0" t="str">
        <f aca="false">IF($T1275="","",IFERROR(INDEX('Resumo Grupos'!$AC$3:$AC$200,MATCH($T1275,'Resumo Grupos'!$AB$3:$AB$200,0)),"n/d"))</f>
        <v>Salários</v>
      </c>
      <c r="AA1275" s="0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9" t="n">
        <v>2</v>
      </c>
      <c r="B1276" s="10" t="n">
        <v>46233</v>
      </c>
      <c r="C1276" s="10" t="n">
        <v>46239</v>
      </c>
      <c r="D1276" s="9" t="n">
        <v>1778</v>
      </c>
      <c r="E1276" s="11" t="s">
        <v>200</v>
      </c>
      <c r="F1276" s="9" t="n">
        <v>24</v>
      </c>
      <c r="G1276" s="11" t="s">
        <v>51</v>
      </c>
      <c r="H1276" s="9" t="n">
        <v>2110405</v>
      </c>
      <c r="I1276" s="11" t="s">
        <v>56</v>
      </c>
      <c r="J1276" s="9" t="n">
        <v>1474004</v>
      </c>
      <c r="L1276" s="9" t="n">
        <v>199826</v>
      </c>
      <c r="M1276" s="11" t="s">
        <v>52</v>
      </c>
      <c r="N1276" s="11" t="s">
        <v>45</v>
      </c>
      <c r="P1276" s="9" t="n">
        <v>113</v>
      </c>
      <c r="Q1276" s="11" t="s">
        <v>46</v>
      </c>
      <c r="R1276" s="11" t="s">
        <v>39</v>
      </c>
      <c r="S1276" s="9" t="n">
        <v>4210207</v>
      </c>
      <c r="T1276" s="11" t="s">
        <v>201</v>
      </c>
      <c r="U1276" s="12" t="n">
        <v>620.88</v>
      </c>
      <c r="W1276" s="12" t="n">
        <v>0</v>
      </c>
      <c r="X1276" s="11" t="s">
        <v>202</v>
      </c>
      <c r="Z1276" s="0" t="str">
        <f aca="false">IF($T1276="","",IFERROR(INDEX('Resumo Grupos'!$AC$3:$AC$200,MATCH($T1276,'Resumo Grupos'!$AB$3:$AB$200,0)),"n/d"))</f>
        <v>Despesa</v>
      </c>
      <c r="AA1276" s="0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9" t="n">
        <v>2</v>
      </c>
      <c r="B1277" s="10" t="n">
        <v>46233</v>
      </c>
      <c r="C1277" s="10" t="n">
        <v>46239</v>
      </c>
      <c r="D1277" s="9" t="n">
        <v>1625</v>
      </c>
      <c r="E1277" s="11" t="s">
        <v>270</v>
      </c>
      <c r="F1277" s="9" t="n">
        <v>24</v>
      </c>
      <c r="G1277" s="11" t="s">
        <v>51</v>
      </c>
      <c r="H1277" s="9" t="n">
        <v>2110405</v>
      </c>
      <c r="I1277" s="11" t="s">
        <v>56</v>
      </c>
      <c r="J1277" s="9" t="n">
        <v>1472784</v>
      </c>
      <c r="L1277" s="9" t="n">
        <v>199543</v>
      </c>
      <c r="M1277" s="11" t="s">
        <v>52</v>
      </c>
      <c r="N1277" s="11" t="s">
        <v>45</v>
      </c>
      <c r="P1277" s="9" t="n">
        <v>113</v>
      </c>
      <c r="Q1277" s="11" t="s">
        <v>46</v>
      </c>
      <c r="R1277" s="11" t="s">
        <v>47</v>
      </c>
      <c r="S1277" s="9" t="n">
        <v>1130101</v>
      </c>
      <c r="T1277" s="11" t="s">
        <v>48</v>
      </c>
      <c r="U1277" s="12" t="n">
        <v>3840</v>
      </c>
      <c r="W1277" s="12" t="n">
        <v>0</v>
      </c>
      <c r="X1277" s="11" t="s">
        <v>1187</v>
      </c>
      <c r="Z1277" s="0" t="str">
        <f aca="false">IF($T1277="","",IFERROR(INDEX('Resumo Grupos'!$AC$3:$AC$200,MATCH($T1277,'Resumo Grupos'!$AB$3:$AB$200,0)),"n/d"))</f>
        <v>Mercadoria</v>
      </c>
      <c r="AA1277" s="0" t="str">
        <f aca="false">IF($T1277="","",IF(COUNTIF('Resumo Grupos'!$AE$3:$AE$40,$T1277)&gt;0,"NAO","SIM"))</f>
        <v>SIM</v>
      </c>
      <c r="AB1277" s="0" t="str">
        <f aca="false">IFERROR(INDEX('Mov Entradas (Rel 10497)'!$L:$L,MATCH(AC1277,'Mov Entradas (Rel 10497)'!$I:$I,0)),"nao encontrado")</f>
        <v>TRASEIRO DE BOI L1</v>
      </c>
      <c r="AC1277" s="0" t="n">
        <v>14864</v>
      </c>
    </row>
    <row r="1278" customFormat="false" ht="12.75" hidden="false" customHeight="true" outlineLevel="0" collapsed="false">
      <c r="A1278" s="9" t="n">
        <v>2</v>
      </c>
      <c r="B1278" s="10" t="n">
        <v>46239</v>
      </c>
      <c r="C1278" s="10" t="n">
        <v>46239</v>
      </c>
      <c r="D1278" s="9" t="n">
        <v>48</v>
      </c>
      <c r="E1278" s="11" t="s">
        <v>153</v>
      </c>
      <c r="F1278" s="9" t="n">
        <v>13</v>
      </c>
      <c r="G1278" s="11" t="s">
        <v>135</v>
      </c>
      <c r="H1278" s="9" t="n">
        <v>2110101</v>
      </c>
      <c r="I1278" s="11" t="s">
        <v>43</v>
      </c>
      <c r="J1278" s="9" t="n">
        <v>1503494</v>
      </c>
      <c r="L1278" s="9" t="n">
        <v>2586</v>
      </c>
      <c r="M1278" s="11" t="s">
        <v>52</v>
      </c>
      <c r="N1278" s="11" t="s">
        <v>37</v>
      </c>
      <c r="P1278" s="9" t="n">
        <v>113</v>
      </c>
      <c r="Q1278" s="11" t="s">
        <v>46</v>
      </c>
      <c r="R1278" s="11" t="s">
        <v>47</v>
      </c>
      <c r="S1278" s="9" t="n">
        <v>1130101</v>
      </c>
      <c r="T1278" s="11" t="s">
        <v>48</v>
      </c>
      <c r="U1278" s="12" t="n">
        <v>210</v>
      </c>
      <c r="W1278" s="12" t="n">
        <v>0</v>
      </c>
      <c r="X1278" s="11" t="s">
        <v>1188</v>
      </c>
      <c r="Z1278" s="0" t="str">
        <f aca="false">IF($T1278="","",IFERROR(INDEX('Resumo Grupos'!$AC$3:$AC$200,MATCH($T1278,'Resumo Grupos'!$AB$3:$AB$200,0)),"n/d"))</f>
        <v>Mercadoria</v>
      </c>
      <c r="AA1278" s="0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9" t="n">
        <v>2</v>
      </c>
      <c r="B1279" s="10" t="n">
        <v>46239</v>
      </c>
      <c r="C1279" s="10" t="n">
        <v>46239</v>
      </c>
      <c r="D1279" s="9" t="n">
        <v>16</v>
      </c>
      <c r="E1279" s="11" t="s">
        <v>257</v>
      </c>
      <c r="F1279" s="9" t="n">
        <v>7</v>
      </c>
      <c r="G1279" s="11" t="s">
        <v>222</v>
      </c>
      <c r="H1279" s="9" t="n">
        <v>2110405</v>
      </c>
      <c r="I1279" s="11" t="s">
        <v>56</v>
      </c>
      <c r="J1279" s="9" t="n">
        <v>1509141</v>
      </c>
      <c r="L1279" s="9" t="n">
        <v>205141</v>
      </c>
      <c r="M1279" s="11" t="s">
        <v>52</v>
      </c>
      <c r="N1279" s="11" t="s">
        <v>45</v>
      </c>
      <c r="P1279" s="9" t="n">
        <v>113</v>
      </c>
      <c r="Q1279" s="11" t="s">
        <v>46</v>
      </c>
      <c r="R1279" s="11" t="s">
        <v>71</v>
      </c>
      <c r="S1279" s="9" t="n">
        <v>4210301</v>
      </c>
      <c r="T1279" s="11" t="s">
        <v>220</v>
      </c>
      <c r="U1279" s="12" t="n">
        <v>208.61</v>
      </c>
      <c r="W1279" s="12" t="n">
        <v>0</v>
      </c>
      <c r="X1279" s="11" t="s">
        <v>733</v>
      </c>
      <c r="Z1279" s="0" t="str">
        <f aca="false">IF($T1279="","",IFERROR(INDEX('Resumo Grupos'!$AC$3:$AC$200,MATCH($T1279,'Resumo Grupos'!$AB$3:$AB$200,0)),"n/d"))</f>
        <v>Salários</v>
      </c>
      <c r="AA1279" s="0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9" t="n">
        <v>2</v>
      </c>
      <c r="B1280" s="10" t="n">
        <v>46239</v>
      </c>
      <c r="C1280" s="10" t="n">
        <v>46239</v>
      </c>
      <c r="D1280" s="9" t="n">
        <v>16</v>
      </c>
      <c r="E1280" s="11" t="s">
        <v>257</v>
      </c>
      <c r="F1280" s="9" t="n">
        <v>34</v>
      </c>
      <c r="G1280" s="11" t="s">
        <v>55</v>
      </c>
      <c r="H1280" s="9" t="n">
        <v>2110405</v>
      </c>
      <c r="I1280" s="11" t="s">
        <v>56</v>
      </c>
      <c r="J1280" s="9" t="n">
        <v>1509239</v>
      </c>
      <c r="L1280" s="9" t="n">
        <v>205164</v>
      </c>
      <c r="M1280" s="11" t="s">
        <v>52</v>
      </c>
      <c r="N1280" s="11" t="s">
        <v>45</v>
      </c>
      <c r="P1280" s="9" t="n">
        <v>102</v>
      </c>
      <c r="Q1280" s="11" t="s">
        <v>308</v>
      </c>
      <c r="R1280" s="11" t="s">
        <v>71</v>
      </c>
      <c r="S1280" s="9" t="n">
        <v>4210301</v>
      </c>
      <c r="T1280" s="11" t="s">
        <v>220</v>
      </c>
      <c r="U1280" s="12" t="n">
        <v>500</v>
      </c>
      <c r="W1280" s="12" t="n">
        <v>0</v>
      </c>
      <c r="X1280" s="11" t="s">
        <v>1189</v>
      </c>
      <c r="Z1280" s="0" t="str">
        <f aca="false">IF($T1280="","",IFERROR(INDEX('Resumo Grupos'!$AC$3:$AC$200,MATCH($T1280,'Resumo Grupos'!$AB$3:$AB$200,0)),"n/d"))</f>
        <v>Salários</v>
      </c>
      <c r="AA1280" s="0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9" t="n">
        <v>2</v>
      </c>
      <c r="B1281" s="10" t="n">
        <v>46239</v>
      </c>
      <c r="C1281" s="10" t="n">
        <v>46239</v>
      </c>
      <c r="D1281" s="9" t="n">
        <v>21</v>
      </c>
      <c r="E1281" s="11" t="s">
        <v>107</v>
      </c>
      <c r="F1281" s="9" t="n">
        <v>34</v>
      </c>
      <c r="G1281" s="11" t="s">
        <v>55</v>
      </c>
      <c r="H1281" s="9" t="n">
        <v>2110405</v>
      </c>
      <c r="I1281" s="11" t="s">
        <v>56</v>
      </c>
      <c r="J1281" s="9" t="n">
        <v>1509119</v>
      </c>
      <c r="L1281" s="9" t="n">
        <v>205132</v>
      </c>
      <c r="M1281" s="11" t="s">
        <v>52</v>
      </c>
      <c r="N1281" s="11" t="s">
        <v>45</v>
      </c>
      <c r="P1281" s="9" t="n">
        <v>113</v>
      </c>
      <c r="Q1281" s="11" t="s">
        <v>46</v>
      </c>
      <c r="R1281" s="11" t="s">
        <v>71</v>
      </c>
      <c r="S1281" s="9" t="n">
        <v>4210301</v>
      </c>
      <c r="T1281" s="11" t="s">
        <v>220</v>
      </c>
      <c r="U1281" s="12" t="n">
        <v>442.76</v>
      </c>
      <c r="W1281" s="12" t="n">
        <v>0</v>
      </c>
      <c r="X1281" s="11" t="s">
        <v>1180</v>
      </c>
      <c r="Z1281" s="0" t="str">
        <f aca="false">IF($T1281="","",IFERROR(INDEX('Resumo Grupos'!$AC$3:$AC$200,MATCH($T1281,'Resumo Grupos'!$AB$3:$AB$200,0)),"n/d"))</f>
        <v>Salários</v>
      </c>
      <c r="AA1281" s="0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9" t="n">
        <v>2</v>
      </c>
      <c r="B1282" s="10" t="n">
        <v>46239</v>
      </c>
      <c r="C1282" s="10" t="n">
        <v>46239</v>
      </c>
      <c r="D1282" s="9" t="n">
        <v>21</v>
      </c>
      <c r="E1282" s="11" t="s">
        <v>107</v>
      </c>
      <c r="F1282" s="9" t="n">
        <v>7</v>
      </c>
      <c r="G1282" s="11" t="s">
        <v>222</v>
      </c>
      <c r="H1282" s="9" t="n">
        <v>2110405</v>
      </c>
      <c r="I1282" s="11" t="s">
        <v>56</v>
      </c>
      <c r="J1282" s="9" t="n">
        <v>1509120</v>
      </c>
      <c r="L1282" s="9" t="n">
        <v>205134</v>
      </c>
      <c r="M1282" s="11" t="s">
        <v>52</v>
      </c>
      <c r="N1282" s="11" t="s">
        <v>45</v>
      </c>
      <c r="P1282" s="9" t="n">
        <v>113</v>
      </c>
      <c r="Q1282" s="11" t="s">
        <v>46</v>
      </c>
      <c r="R1282" s="11" t="s">
        <v>71</v>
      </c>
      <c r="S1282" s="9" t="n">
        <v>4210301</v>
      </c>
      <c r="T1282" s="11" t="s">
        <v>220</v>
      </c>
      <c r="U1282" s="12" t="n">
        <v>299.87</v>
      </c>
      <c r="W1282" s="12" t="n">
        <v>0</v>
      </c>
      <c r="X1282" s="11" t="s">
        <v>733</v>
      </c>
      <c r="Z1282" s="0" t="str">
        <f aca="false">IF($T1282="","",IFERROR(INDEX('Resumo Grupos'!$AC$3:$AC$200,MATCH($T1282,'Resumo Grupos'!$AB$3:$AB$200,0)),"n/d"))</f>
        <v>Salários</v>
      </c>
      <c r="AA1282" s="0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9" t="n">
        <v>2</v>
      </c>
      <c r="B1283" s="10" t="n">
        <v>46216</v>
      </c>
      <c r="C1283" s="10" t="n">
        <v>46239</v>
      </c>
      <c r="D1283" s="9" t="n">
        <v>10012</v>
      </c>
      <c r="E1283" s="11" t="s">
        <v>185</v>
      </c>
      <c r="F1283" s="9" t="n">
        <v>24</v>
      </c>
      <c r="G1283" s="11" t="s">
        <v>51</v>
      </c>
      <c r="H1283" s="9" t="n">
        <v>2110101</v>
      </c>
      <c r="I1283" s="11" t="s">
        <v>43</v>
      </c>
      <c r="J1283" s="9" t="n">
        <v>1393698</v>
      </c>
      <c r="L1283" s="9" t="n">
        <v>1962669</v>
      </c>
      <c r="M1283" s="11" t="s">
        <v>44</v>
      </c>
      <c r="N1283" s="11" t="s">
        <v>37</v>
      </c>
      <c r="P1283" s="9" t="n">
        <v>113</v>
      </c>
      <c r="Q1283" s="11" t="s">
        <v>46</v>
      </c>
      <c r="R1283" s="11" t="s">
        <v>47</v>
      </c>
      <c r="S1283" s="9" t="n">
        <v>1130101</v>
      </c>
      <c r="T1283" s="11" t="s">
        <v>48</v>
      </c>
      <c r="U1283" s="12" t="n">
        <v>1504.05</v>
      </c>
      <c r="W1283" s="12" t="n">
        <v>0</v>
      </c>
      <c r="X1283" s="11" t="s">
        <v>1084</v>
      </c>
      <c r="Z1283" s="0" t="str">
        <f aca="false">IF($T1283="","",IFERROR(INDEX('Resumo Grupos'!$AC$3:$AC$200,MATCH($T1283,'Resumo Grupos'!$AB$3:$AB$200,0)),"n/d"))</f>
        <v>Mercadoria</v>
      </c>
      <c r="AA1283" s="0" t="str">
        <f aca="false">IF($T1283="","",IF(COUNTIF('Resumo Grupos'!$AE$3:$AE$40,$T1283)&gt;0,"NAO","SIM"))</f>
        <v>SIM</v>
      </c>
      <c r="AB1283" s="0" t="str">
        <f aca="false">IFERROR(INDEX('Mov Entradas (Rel 10497)'!$L:$L,MATCH(AC1283,'Mov Entradas (Rel 10497)'!$I:$I,0)),"nao encontrado")</f>
        <v>ALGOD BOLAS CREMER 5</v>
      </c>
      <c r="AC1283" s="0" t="n">
        <v>1962669</v>
      </c>
    </row>
    <row r="1284" customFormat="false" ht="12.75" hidden="false" customHeight="true" outlineLevel="0" collapsed="false">
      <c r="A1284" s="9" t="n">
        <v>2</v>
      </c>
      <c r="B1284" s="10" t="n">
        <v>46239</v>
      </c>
      <c r="C1284" s="10" t="n">
        <v>46239</v>
      </c>
      <c r="D1284" s="9" t="n">
        <v>0</v>
      </c>
      <c r="E1284" s="11" t="s">
        <v>109</v>
      </c>
      <c r="F1284" s="9" t="n">
        <v>17</v>
      </c>
      <c r="G1284" s="11" t="s">
        <v>110</v>
      </c>
      <c r="H1284" s="9" t="n">
        <v>1110101</v>
      </c>
      <c r="I1284" s="11" t="s">
        <v>111</v>
      </c>
      <c r="J1284" s="9" t="n">
        <v>1503858</v>
      </c>
      <c r="L1284" s="9" t="n">
        <v>1503858</v>
      </c>
      <c r="M1284" s="11" t="s">
        <v>52</v>
      </c>
      <c r="N1284" s="11" t="s">
        <v>112</v>
      </c>
      <c r="P1284" s="9" t="n">
        <v>101</v>
      </c>
      <c r="Q1284" s="11" t="s">
        <v>57</v>
      </c>
      <c r="R1284" s="11" t="s">
        <v>562</v>
      </c>
      <c r="S1284" s="9" t="n">
        <v>1120602</v>
      </c>
      <c r="T1284" s="11" t="s">
        <v>563</v>
      </c>
      <c r="U1284" s="12" t="n">
        <v>100</v>
      </c>
      <c r="W1284" s="12" t="n">
        <v>100</v>
      </c>
      <c r="X1284" s="11" t="s">
        <v>1190</v>
      </c>
      <c r="Z1284" s="0" t="str">
        <f aca="false">IF($T1284="","",IFERROR(INDEX('Resumo Grupos'!$AC$3:$AC$200,MATCH($T1284,'Resumo Grupos'!$AB$3:$AB$200,0)),"n/d"))</f>
        <v>Salários</v>
      </c>
      <c r="AA1284" s="0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9" t="n">
        <v>2</v>
      </c>
      <c r="B1285" s="10" t="n">
        <v>46239</v>
      </c>
      <c r="C1285" s="10" t="n">
        <v>46239</v>
      </c>
      <c r="D1285" s="9" t="n">
        <v>0</v>
      </c>
      <c r="E1285" s="11" t="s">
        <v>109</v>
      </c>
      <c r="F1285" s="9" t="n">
        <v>17</v>
      </c>
      <c r="G1285" s="11" t="s">
        <v>110</v>
      </c>
      <c r="H1285" s="9" t="n">
        <v>1110101</v>
      </c>
      <c r="I1285" s="11" t="s">
        <v>111</v>
      </c>
      <c r="J1285" s="9" t="n">
        <v>1509397</v>
      </c>
      <c r="L1285" s="9" t="n">
        <v>1509397</v>
      </c>
      <c r="M1285" s="11" t="s">
        <v>52</v>
      </c>
      <c r="N1285" s="11" t="s">
        <v>112</v>
      </c>
      <c r="P1285" s="9" t="n">
        <v>113</v>
      </c>
      <c r="Q1285" s="11" t="s">
        <v>46</v>
      </c>
      <c r="R1285" s="11" t="s">
        <v>56</v>
      </c>
      <c r="S1285" s="9" t="n">
        <v>2110405</v>
      </c>
      <c r="T1285" s="11" t="s">
        <v>56</v>
      </c>
      <c r="U1285" s="12" t="n">
        <v>200</v>
      </c>
      <c r="W1285" s="12" t="n">
        <v>200</v>
      </c>
      <c r="X1285" s="11" t="s">
        <v>1191</v>
      </c>
      <c r="Z1285" s="0" t="str">
        <f aca="false">IF($T1285="","",IFERROR(INDEX('Resumo Grupos'!$AC$3:$AC$200,MATCH($T1285,'Resumo Grupos'!$AB$3:$AB$200,0)),"n/d"))</f>
        <v>Cobertura de conta</v>
      </c>
      <c r="AA1285" s="0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9" t="n">
        <v>2</v>
      </c>
      <c r="B1286" s="10" t="n">
        <v>46239</v>
      </c>
      <c r="C1286" s="10" t="n">
        <v>46239</v>
      </c>
      <c r="D1286" s="9" t="n">
        <v>0</v>
      </c>
      <c r="E1286" s="11" t="s">
        <v>109</v>
      </c>
      <c r="F1286" s="9" t="n">
        <v>17</v>
      </c>
      <c r="G1286" s="11" t="s">
        <v>110</v>
      </c>
      <c r="H1286" s="9" t="n">
        <v>1110101</v>
      </c>
      <c r="I1286" s="11" t="s">
        <v>111</v>
      </c>
      <c r="J1286" s="9" t="n">
        <v>1509399</v>
      </c>
      <c r="L1286" s="9" t="n">
        <v>1509399</v>
      </c>
      <c r="M1286" s="11" t="s">
        <v>52</v>
      </c>
      <c r="N1286" s="11" t="s">
        <v>112</v>
      </c>
      <c r="P1286" s="9" t="n">
        <v>113</v>
      </c>
      <c r="Q1286" s="11" t="s">
        <v>46</v>
      </c>
      <c r="R1286" s="11" t="s">
        <v>71</v>
      </c>
      <c r="S1286" s="9" t="n">
        <v>4210314</v>
      </c>
      <c r="T1286" s="11" t="s">
        <v>113</v>
      </c>
      <c r="U1286" s="12" t="n">
        <v>70</v>
      </c>
      <c r="W1286" s="12" t="n">
        <v>70</v>
      </c>
      <c r="X1286" s="11" t="s">
        <v>263</v>
      </c>
      <c r="Z1286" s="0" t="str">
        <f aca="false">IF($T1286="","",IFERROR(INDEX('Resumo Grupos'!$AC$3:$AC$200,MATCH($T1286,'Resumo Grupos'!$AB$3:$AB$200,0)),"n/d"))</f>
        <v>Despesa</v>
      </c>
      <c r="AA1286" s="0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9" t="n">
        <v>2</v>
      </c>
      <c r="B1287" s="10" t="n">
        <v>46239</v>
      </c>
      <c r="C1287" s="10" t="n">
        <v>46239</v>
      </c>
      <c r="D1287" s="9" t="n">
        <v>0</v>
      </c>
      <c r="E1287" s="11" t="s">
        <v>109</v>
      </c>
      <c r="F1287" s="9" t="n">
        <v>17</v>
      </c>
      <c r="G1287" s="11" t="s">
        <v>110</v>
      </c>
      <c r="H1287" s="9" t="n">
        <v>1110101</v>
      </c>
      <c r="I1287" s="11" t="s">
        <v>111</v>
      </c>
      <c r="J1287" s="9" t="n">
        <v>1716293</v>
      </c>
      <c r="L1287" s="9" t="n">
        <v>1716293</v>
      </c>
      <c r="M1287" s="11" t="s">
        <v>52</v>
      </c>
      <c r="N1287" s="11" t="s">
        <v>112</v>
      </c>
      <c r="P1287" s="9" t="n">
        <v>113</v>
      </c>
      <c r="Q1287" s="11" t="s">
        <v>46</v>
      </c>
      <c r="R1287" s="11" t="s">
        <v>116</v>
      </c>
      <c r="S1287" s="9" t="n">
        <v>1110203</v>
      </c>
      <c r="T1287" s="11" t="s">
        <v>117</v>
      </c>
      <c r="U1287" s="12" t="n">
        <v>2550</v>
      </c>
      <c r="W1287" s="12" t="n">
        <v>2550</v>
      </c>
      <c r="X1287" s="11" t="s">
        <v>1192</v>
      </c>
      <c r="Z1287" s="0" t="str">
        <f aca="false">IF($T1287="","",IFERROR(INDEX('Resumo Grupos'!$AC$3:$AC$200,MATCH($T1287,'Resumo Grupos'!$AB$3:$AB$200,0)),"n/d"))</f>
        <v>Despesa</v>
      </c>
      <c r="AA1287" s="0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9" t="n">
        <v>2</v>
      </c>
      <c r="B1288" s="10" t="n">
        <v>46239</v>
      </c>
      <c r="C1288" s="10" t="n">
        <v>46239</v>
      </c>
      <c r="D1288" s="9" t="n">
        <v>18</v>
      </c>
      <c r="E1288" s="11" t="s">
        <v>121</v>
      </c>
      <c r="F1288" s="9" t="n">
        <v>7</v>
      </c>
      <c r="G1288" s="11" t="s">
        <v>222</v>
      </c>
      <c r="H1288" s="9" t="n">
        <v>2110405</v>
      </c>
      <c r="I1288" s="11" t="s">
        <v>56</v>
      </c>
      <c r="J1288" s="9" t="n">
        <v>1509126</v>
      </c>
      <c r="L1288" s="9" t="n">
        <v>205138</v>
      </c>
      <c r="M1288" s="11" t="s">
        <v>52</v>
      </c>
      <c r="N1288" s="11" t="s">
        <v>45</v>
      </c>
      <c r="P1288" s="9" t="n">
        <v>113</v>
      </c>
      <c r="Q1288" s="11" t="s">
        <v>46</v>
      </c>
      <c r="R1288" s="11" t="s">
        <v>71</v>
      </c>
      <c r="S1288" s="9" t="n">
        <v>4210301</v>
      </c>
      <c r="T1288" s="11" t="s">
        <v>220</v>
      </c>
      <c r="U1288" s="12" t="n">
        <v>467.17</v>
      </c>
      <c r="W1288" s="12" t="n">
        <v>0</v>
      </c>
      <c r="X1288" s="11" t="s">
        <v>733</v>
      </c>
      <c r="Z1288" s="0" t="str">
        <f aca="false">IF($T1288="","",IFERROR(INDEX('Resumo Grupos'!$AC$3:$AC$200,MATCH($T1288,'Resumo Grupos'!$AB$3:$AB$200,0)),"n/d"))</f>
        <v>Salários</v>
      </c>
      <c r="AA1288" s="0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9" t="n">
        <v>2</v>
      </c>
      <c r="B1289" s="10" t="n">
        <v>46218</v>
      </c>
      <c r="C1289" s="10" t="n">
        <v>46239</v>
      </c>
      <c r="D1289" s="9" t="n">
        <v>1136</v>
      </c>
      <c r="E1289" s="11" t="s">
        <v>1193</v>
      </c>
      <c r="F1289" s="9" t="n">
        <v>24</v>
      </c>
      <c r="G1289" s="11" t="s">
        <v>51</v>
      </c>
      <c r="H1289" s="9" t="n">
        <v>2110405</v>
      </c>
      <c r="I1289" s="11" t="s">
        <v>56</v>
      </c>
      <c r="J1289" s="9" t="n">
        <v>1401333</v>
      </c>
      <c r="L1289" s="9" t="n">
        <v>188482</v>
      </c>
      <c r="M1289" s="11" t="s">
        <v>52</v>
      </c>
      <c r="N1289" s="11" t="s">
        <v>45</v>
      </c>
      <c r="P1289" s="9" t="n">
        <v>113</v>
      </c>
      <c r="Q1289" s="11" t="s">
        <v>46</v>
      </c>
      <c r="R1289" s="11" t="s">
        <v>47</v>
      </c>
      <c r="S1289" s="9" t="n">
        <v>1130101</v>
      </c>
      <c r="T1289" s="11" t="s">
        <v>48</v>
      </c>
      <c r="U1289" s="12" t="n">
        <v>665.28</v>
      </c>
      <c r="W1289" s="12" t="n">
        <v>0</v>
      </c>
      <c r="X1289" s="11" t="s">
        <v>1194</v>
      </c>
      <c r="Z1289" s="0" t="str">
        <f aca="false">IF($T1289="","",IFERROR(INDEX('Resumo Grupos'!$AC$3:$AC$200,MATCH($T1289,'Resumo Grupos'!$AB$3:$AB$200,0)),"n/d"))</f>
        <v>Mercadoria</v>
      </c>
      <c r="AA1289" s="0" t="str">
        <f aca="false">IF($T1289="","",IF(COUNTIF('Resumo Grupos'!$AE$3:$AE$40,$T1289)&gt;0,"NAO","SIM"))</f>
        <v>SIM</v>
      </c>
      <c r="AB1289" s="0" t="str">
        <f aca="false">IFERROR(INDEX('Mov Entradas (Rel 10497)'!$L:$L,MATCH(AC1289,'Mov Entradas (Rel 10497)'!$I:$I,0)),"nao encontrado")</f>
        <v>KRO QUEIJO 100G</v>
      </c>
      <c r="AC1289" s="0" t="n">
        <v>51899</v>
      </c>
    </row>
    <row r="1290" customFormat="false" ht="12.75" hidden="false" customHeight="true" outlineLevel="0" collapsed="false">
      <c r="A1290" s="9" t="n">
        <v>2</v>
      </c>
      <c r="B1290" s="10" t="n">
        <v>46218</v>
      </c>
      <c r="C1290" s="10" t="n">
        <v>46239</v>
      </c>
      <c r="D1290" s="9" t="n">
        <v>10010</v>
      </c>
      <c r="E1290" s="11" t="s">
        <v>837</v>
      </c>
      <c r="F1290" s="9" t="n">
        <v>24</v>
      </c>
      <c r="G1290" s="11" t="s">
        <v>51</v>
      </c>
      <c r="H1290" s="9" t="n">
        <v>2110405</v>
      </c>
      <c r="I1290" s="11" t="s">
        <v>56</v>
      </c>
      <c r="J1290" s="9" t="n">
        <v>1401340</v>
      </c>
      <c r="L1290" s="9" t="n">
        <v>188485</v>
      </c>
      <c r="M1290" s="11" t="s">
        <v>52</v>
      </c>
      <c r="N1290" s="11" t="s">
        <v>45</v>
      </c>
      <c r="P1290" s="9" t="n">
        <v>113</v>
      </c>
      <c r="Q1290" s="11" t="s">
        <v>46</v>
      </c>
      <c r="R1290" s="11" t="s">
        <v>47</v>
      </c>
      <c r="S1290" s="9" t="n">
        <v>1130101</v>
      </c>
      <c r="T1290" s="11" t="s">
        <v>48</v>
      </c>
      <c r="U1290" s="12" t="n">
        <v>306.48</v>
      </c>
      <c r="W1290" s="12" t="n">
        <v>0</v>
      </c>
      <c r="X1290" s="11" t="s">
        <v>1195</v>
      </c>
      <c r="Z1290" s="0" t="str">
        <f aca="false">IF($T1290="","",IFERROR(INDEX('Resumo Grupos'!$AC$3:$AC$200,MATCH($T1290,'Resumo Grupos'!$AB$3:$AB$200,0)),"n/d"))</f>
        <v>Mercadoria</v>
      </c>
      <c r="AA1290" s="0" t="str">
        <f aca="false">IF($T1290="","",IF(COUNTIF('Resumo Grupos'!$AE$3:$AE$40,$T1290)&gt;0,"NAO","SIM"))</f>
        <v>SIM</v>
      </c>
      <c r="AB1290" s="0" t="str">
        <f aca="false">IFERROR(INDEX('Mov Entradas (Rel 10497)'!$L:$L,MATCH(AC1290,'Mov Entradas (Rel 10497)'!$I:$I,0)),"nao encontrado")</f>
        <v>DESINFETANTE TOPAZIO</v>
      </c>
      <c r="AC1290" s="0" t="n">
        <v>42898</v>
      </c>
    </row>
    <row r="1291" customFormat="false" ht="12.75" hidden="false" customHeight="true" outlineLevel="0" collapsed="false">
      <c r="A1291" s="9" t="n">
        <v>2</v>
      </c>
      <c r="B1291" s="10" t="n">
        <v>46238</v>
      </c>
      <c r="C1291" s="10" t="n">
        <v>46240</v>
      </c>
      <c r="D1291" s="9" t="n">
        <v>642</v>
      </c>
      <c r="E1291" s="11" t="s">
        <v>123</v>
      </c>
      <c r="F1291" s="9" t="n">
        <v>24</v>
      </c>
      <c r="G1291" s="11" t="s">
        <v>51</v>
      </c>
      <c r="H1291" s="9" t="n">
        <v>1110203</v>
      </c>
      <c r="I1291" s="11" t="s">
        <v>117</v>
      </c>
      <c r="J1291" s="9" t="n">
        <v>1499220</v>
      </c>
      <c r="L1291" s="9" t="n">
        <v>203399</v>
      </c>
      <c r="M1291" s="11" t="s">
        <v>52</v>
      </c>
      <c r="N1291" s="11" t="s">
        <v>45</v>
      </c>
      <c r="P1291" s="9" t="n">
        <v>113</v>
      </c>
      <c r="Q1291" s="11" t="s">
        <v>46</v>
      </c>
      <c r="R1291" s="11" t="s">
        <v>47</v>
      </c>
      <c r="S1291" s="9" t="n">
        <v>1130101</v>
      </c>
      <c r="T1291" s="11" t="s">
        <v>48</v>
      </c>
      <c r="U1291" s="12" t="n">
        <v>180</v>
      </c>
      <c r="W1291" s="12" t="n">
        <v>180</v>
      </c>
      <c r="X1291" s="11" t="s">
        <v>1196</v>
      </c>
      <c r="Z1291" s="0" t="str">
        <f aca="false">IF($T1291="","",IFERROR(INDEX('Resumo Grupos'!$AC$3:$AC$200,MATCH($T1291,'Resumo Grupos'!$AB$3:$AB$200,0)),"n/d"))</f>
        <v>Mercadoria</v>
      </c>
      <c r="AA1291" s="0" t="str">
        <f aca="false">IF($T1291="","",IF(COUNTIF('Resumo Grupos'!$AE$3:$AE$40,$T1291)&gt;0,"NAO","SIM"))</f>
        <v>SIM</v>
      </c>
      <c r="AB1291" s="0" t="str">
        <f aca="false">IFERROR(INDEX('Mov Entradas (Rel 10497)'!$L:$L,MATCH(AC1291,'Mov Entradas (Rel 10497)'!$I:$I,0)),"nao encontrado")</f>
        <v>BOLO BLOOM 600G</v>
      </c>
      <c r="AC1291" s="0" t="n">
        <v>577</v>
      </c>
    </row>
    <row r="1292" customFormat="false" ht="12.75" hidden="false" customHeight="true" outlineLevel="0" collapsed="false">
      <c r="A1292" s="9" t="n">
        <v>2</v>
      </c>
      <c r="B1292" s="10" t="n">
        <v>46233</v>
      </c>
      <c r="C1292" s="10" t="n">
        <v>46240</v>
      </c>
      <c r="D1292" s="9" t="n">
        <v>10018</v>
      </c>
      <c r="E1292" s="11" t="s">
        <v>216</v>
      </c>
      <c r="F1292" s="9" t="n">
        <v>34</v>
      </c>
      <c r="G1292" s="11" t="s">
        <v>55</v>
      </c>
      <c r="H1292" s="9" t="n">
        <v>1110203</v>
      </c>
      <c r="I1292" s="11" t="s">
        <v>117</v>
      </c>
      <c r="J1292" s="9" t="n">
        <v>1473982</v>
      </c>
      <c r="L1292" s="9" t="n">
        <v>199815</v>
      </c>
      <c r="M1292" s="11" t="s">
        <v>52</v>
      </c>
      <c r="N1292" s="11" t="s">
        <v>45</v>
      </c>
      <c r="P1292" s="9" t="n">
        <v>113</v>
      </c>
      <c r="Q1292" s="11" t="s">
        <v>46</v>
      </c>
      <c r="R1292" s="11" t="s">
        <v>47</v>
      </c>
      <c r="S1292" s="9" t="n">
        <v>1130101</v>
      </c>
      <c r="T1292" s="11" t="s">
        <v>48</v>
      </c>
      <c r="U1292" s="12" t="n">
        <v>733.78</v>
      </c>
      <c r="W1292" s="12" t="n">
        <v>733.78</v>
      </c>
      <c r="X1292" s="11" t="s">
        <v>874</v>
      </c>
      <c r="Z1292" s="0" t="str">
        <f aca="false">IF($T1292="","",IFERROR(INDEX('Resumo Grupos'!$AC$3:$AC$200,MATCH($T1292,'Resumo Grupos'!$AB$3:$AB$200,0)),"n/d"))</f>
        <v>Mercadoria</v>
      </c>
      <c r="AA1292" s="0" t="str">
        <f aca="false">IF($T1292="","",IF(COUNTIF('Resumo Grupos'!$AE$3:$AE$40,$T1292)&gt;0,"NAO","SIM"))</f>
        <v>SIM</v>
      </c>
      <c r="AB1292" s="0" t="str">
        <f aca="false">IFERROR(INDEX('Mov Entradas (Rel 10497)'!$L:$L,MATCH(AC1292,'Mov Entradas (Rel 10497)'!$I:$I,0)),"nao encontrado")</f>
        <v>CARVAO VEGETAL 3KG</v>
      </c>
      <c r="AC1292" s="0" t="n">
        <v>351</v>
      </c>
    </row>
    <row r="1293" customFormat="false" ht="12.75" hidden="false" customHeight="true" outlineLevel="0" collapsed="false">
      <c r="A1293" s="9" t="n">
        <v>2</v>
      </c>
      <c r="B1293" s="10" t="n">
        <v>46225</v>
      </c>
      <c r="C1293" s="10" t="n">
        <v>46240</v>
      </c>
      <c r="D1293" s="9" t="n">
        <v>1705</v>
      </c>
      <c r="E1293" s="11" t="s">
        <v>130</v>
      </c>
      <c r="F1293" s="9" t="n">
        <v>24</v>
      </c>
      <c r="G1293" s="11" t="s">
        <v>51</v>
      </c>
      <c r="H1293" s="9" t="n">
        <v>1110203</v>
      </c>
      <c r="I1293" s="11" t="s">
        <v>117</v>
      </c>
      <c r="J1293" s="9" t="n">
        <v>1435833</v>
      </c>
      <c r="L1293" s="9" t="n">
        <v>193984</v>
      </c>
      <c r="M1293" s="11" t="s">
        <v>52</v>
      </c>
      <c r="N1293" s="11" t="s">
        <v>45</v>
      </c>
      <c r="P1293" s="9" t="n">
        <v>113</v>
      </c>
      <c r="Q1293" s="11" t="s">
        <v>46</v>
      </c>
      <c r="R1293" s="11" t="s">
        <v>47</v>
      </c>
      <c r="S1293" s="9" t="n">
        <v>1130101</v>
      </c>
      <c r="T1293" s="11" t="s">
        <v>48</v>
      </c>
      <c r="U1293" s="12" t="n">
        <v>1717.19</v>
      </c>
      <c r="W1293" s="12" t="n">
        <v>1717.19</v>
      </c>
      <c r="X1293" s="11" t="s">
        <v>1197</v>
      </c>
      <c r="Z1293" s="0" t="str">
        <f aca="false">IF($T1293="","",IFERROR(INDEX('Resumo Grupos'!$AC$3:$AC$200,MATCH($T1293,'Resumo Grupos'!$AB$3:$AB$200,0)),"n/d"))</f>
        <v>Mercadoria</v>
      </c>
      <c r="AA1293" s="0" t="str">
        <f aca="false">IF($T1293="","",IF(COUNTIF('Resumo Grupos'!$AE$3:$AE$40,$T1293)&gt;0,"NAO","SIM"))</f>
        <v>SIM</v>
      </c>
      <c r="AB1293" s="0" t="str">
        <f aca="false">IFERROR(INDEX('Mov Entradas (Rel 10497)'!$L:$L,MATCH(AC1293,'Mov Entradas (Rel 10497)'!$I:$I,0)),"nao encontrado")</f>
        <v>REFRI. COCA COLA ORI</v>
      </c>
      <c r="AC1293" s="0" t="n">
        <v>1949480</v>
      </c>
    </row>
    <row r="1294" customFormat="false" ht="12.75" hidden="false" customHeight="true" outlineLevel="0" collapsed="false">
      <c r="A1294" s="9" t="n">
        <v>2</v>
      </c>
      <c r="B1294" s="10" t="n">
        <v>46225</v>
      </c>
      <c r="C1294" s="10" t="n">
        <v>46240</v>
      </c>
      <c r="D1294" s="9" t="n">
        <v>1705</v>
      </c>
      <c r="E1294" s="11" t="s">
        <v>130</v>
      </c>
      <c r="F1294" s="9" t="n">
        <v>24</v>
      </c>
      <c r="G1294" s="11" t="s">
        <v>51</v>
      </c>
      <c r="H1294" s="9" t="n">
        <v>1110203</v>
      </c>
      <c r="I1294" s="11" t="s">
        <v>117</v>
      </c>
      <c r="J1294" s="9" t="n">
        <v>1435843</v>
      </c>
      <c r="L1294" s="9" t="n">
        <v>193986</v>
      </c>
      <c r="M1294" s="11" t="s">
        <v>52</v>
      </c>
      <c r="N1294" s="11" t="s">
        <v>45</v>
      </c>
      <c r="P1294" s="9" t="n">
        <v>113</v>
      </c>
      <c r="Q1294" s="11" t="s">
        <v>46</v>
      </c>
      <c r="R1294" s="11" t="s">
        <v>47</v>
      </c>
      <c r="S1294" s="9" t="n">
        <v>1130101</v>
      </c>
      <c r="T1294" s="11" t="s">
        <v>48</v>
      </c>
      <c r="U1294" s="12" t="n">
        <v>203.42</v>
      </c>
      <c r="W1294" s="12" t="n">
        <v>203.42</v>
      </c>
      <c r="X1294" s="11" t="s">
        <v>1198</v>
      </c>
      <c r="Z1294" s="0" t="str">
        <f aca="false">IF($T1294="","",IFERROR(INDEX('Resumo Grupos'!$AC$3:$AC$200,MATCH($T1294,'Resumo Grupos'!$AB$3:$AB$200,0)),"n/d"))</f>
        <v>Mercadoria</v>
      </c>
      <c r="AA1294" s="0" t="str">
        <f aca="false">IF($T1294="","",IF(COUNTIF('Resumo Grupos'!$AE$3:$AE$40,$T1294)&gt;0,"NAO","SIM"))</f>
        <v>SIM</v>
      </c>
      <c r="AB1294" s="0" t="str">
        <f aca="false">IFERROR(INDEX('Mov Entradas (Rel 10497)'!$L:$L,MATCH(AC1294,'Mov Entradas (Rel 10497)'!$I:$I,0)),"nao encontrado")</f>
        <v>REFRI. FANTA UVA 1,5</v>
      </c>
      <c r="AC1294" s="0" t="n">
        <v>1215300</v>
      </c>
    </row>
    <row r="1295" customFormat="false" ht="12.75" hidden="false" customHeight="true" outlineLevel="0" collapsed="false">
      <c r="A1295" s="9" t="n">
        <v>2</v>
      </c>
      <c r="B1295" s="10" t="n">
        <v>46230</v>
      </c>
      <c r="C1295" s="10" t="n">
        <v>46240</v>
      </c>
      <c r="D1295" s="9" t="n">
        <v>1621</v>
      </c>
      <c r="E1295" s="11" t="s">
        <v>232</v>
      </c>
      <c r="F1295" s="9" t="n">
        <v>24</v>
      </c>
      <c r="G1295" s="11" t="s">
        <v>51</v>
      </c>
      <c r="H1295" s="9" t="n">
        <v>1110203</v>
      </c>
      <c r="I1295" s="11" t="s">
        <v>117</v>
      </c>
      <c r="J1295" s="9" t="n">
        <v>1459311</v>
      </c>
      <c r="L1295" s="9" t="n">
        <v>197502</v>
      </c>
      <c r="M1295" s="11" t="s">
        <v>52</v>
      </c>
      <c r="N1295" s="11" t="s">
        <v>45</v>
      </c>
      <c r="P1295" s="9" t="n">
        <v>113</v>
      </c>
      <c r="Q1295" s="11" t="s">
        <v>46</v>
      </c>
      <c r="R1295" s="11" t="s">
        <v>47</v>
      </c>
      <c r="S1295" s="9" t="n">
        <v>1130101</v>
      </c>
      <c r="T1295" s="11" t="s">
        <v>48</v>
      </c>
      <c r="U1295" s="12" t="n">
        <v>305.98</v>
      </c>
      <c r="W1295" s="12" t="n">
        <v>305.98</v>
      </c>
      <c r="X1295" s="11" t="s">
        <v>1199</v>
      </c>
      <c r="Z1295" s="0" t="str">
        <f aca="false">IF($T1295="","",IFERROR(INDEX('Resumo Grupos'!$AC$3:$AC$200,MATCH($T1295,'Resumo Grupos'!$AB$3:$AB$200,0)),"n/d"))</f>
        <v>Mercadoria</v>
      </c>
      <c r="AA1295" s="0" t="str">
        <f aca="false">IF($T1295="","",IF(COUNTIF('Resumo Grupos'!$AE$3:$AE$40,$T1295)&gt;0,"NAO","SIM"))</f>
        <v>SIM</v>
      </c>
      <c r="AB1295" s="0" t="str">
        <f aca="false">IFERROR(INDEX('Mov Entradas (Rel 10497)'!$L:$L,MATCH(AC1295,'Mov Entradas (Rel 10497)'!$I:$I,0)),"nao encontrado")</f>
        <v>REFR. ANTAR DIET 350ML</v>
      </c>
      <c r="AC1295" s="0" t="n">
        <v>924535</v>
      </c>
    </row>
    <row r="1296" customFormat="false" ht="12.75" hidden="false" customHeight="true" outlineLevel="0" collapsed="false">
      <c r="A1296" s="9" t="n">
        <v>2</v>
      </c>
      <c r="B1296" s="10" t="n">
        <v>46225</v>
      </c>
      <c r="C1296" s="10" t="n">
        <v>46240</v>
      </c>
      <c r="D1296" s="9" t="n">
        <v>1152</v>
      </c>
      <c r="E1296" s="11" t="s">
        <v>812</v>
      </c>
      <c r="F1296" s="9" t="n">
        <v>24</v>
      </c>
      <c r="G1296" s="11" t="s">
        <v>51</v>
      </c>
      <c r="H1296" s="9" t="n">
        <v>1110203</v>
      </c>
      <c r="I1296" s="11" t="s">
        <v>117</v>
      </c>
      <c r="J1296" s="9" t="n">
        <v>1435813</v>
      </c>
      <c r="L1296" s="9" t="n">
        <v>193974</v>
      </c>
      <c r="M1296" s="11" t="s">
        <v>52</v>
      </c>
      <c r="N1296" s="11" t="s">
        <v>45</v>
      </c>
      <c r="P1296" s="9" t="n">
        <v>113</v>
      </c>
      <c r="Q1296" s="11" t="s">
        <v>46</v>
      </c>
      <c r="R1296" s="11" t="s">
        <v>47</v>
      </c>
      <c r="S1296" s="9" t="n">
        <v>1130101</v>
      </c>
      <c r="T1296" s="11" t="s">
        <v>48</v>
      </c>
      <c r="U1296" s="12" t="n">
        <v>1040</v>
      </c>
      <c r="W1296" s="12" t="n">
        <v>1040</v>
      </c>
      <c r="X1296" s="11" t="s">
        <v>1200</v>
      </c>
      <c r="Z1296" s="0" t="str">
        <f aca="false">IF($T1296="","",IFERROR(INDEX('Resumo Grupos'!$AC$3:$AC$200,MATCH($T1296,'Resumo Grupos'!$AB$3:$AB$200,0)),"n/d"))</f>
        <v>Mercadoria</v>
      </c>
      <c r="AA1296" s="0" t="str">
        <f aca="false">IF($T1296="","",IF(COUNTIF('Resumo Grupos'!$AE$3:$AE$40,$T1296)&gt;0,"NAO","SIM"))</f>
        <v>SIM</v>
      </c>
      <c r="AB1296" s="0" t="str">
        <f aca="false">IFERROR(INDEX('Mov Entradas (Rel 10497)'!$L:$L,MATCH(AC1296,'Mov Entradas (Rel 10497)'!$I:$I,0)),"nao encontrado")</f>
        <v>DELICIA DE FARINHA UARINI OVA 1KG</v>
      </c>
      <c r="AC1296" s="0" t="n">
        <v>261</v>
      </c>
    </row>
    <row r="1297" customFormat="false" ht="12.75" hidden="false" customHeight="true" outlineLevel="0" collapsed="false">
      <c r="A1297" s="9" t="n">
        <v>2</v>
      </c>
      <c r="B1297" s="10" t="n">
        <v>46219</v>
      </c>
      <c r="C1297" s="10" t="n">
        <v>46240</v>
      </c>
      <c r="D1297" s="9" t="n">
        <v>1718</v>
      </c>
      <c r="E1297" s="11" t="s">
        <v>236</v>
      </c>
      <c r="F1297" s="9" t="n">
        <v>24</v>
      </c>
      <c r="G1297" s="11" t="s">
        <v>51</v>
      </c>
      <c r="H1297" s="9" t="n">
        <v>1110203</v>
      </c>
      <c r="I1297" s="11" t="s">
        <v>117</v>
      </c>
      <c r="J1297" s="9" t="n">
        <v>1407321</v>
      </c>
      <c r="L1297" s="9" t="n">
        <v>189605</v>
      </c>
      <c r="M1297" s="11" t="s">
        <v>52</v>
      </c>
      <c r="N1297" s="11" t="s">
        <v>45</v>
      </c>
      <c r="P1297" s="9" t="n">
        <v>113</v>
      </c>
      <c r="Q1297" s="11" t="s">
        <v>46</v>
      </c>
      <c r="R1297" s="11" t="s">
        <v>47</v>
      </c>
      <c r="S1297" s="9" t="n">
        <v>1130101</v>
      </c>
      <c r="T1297" s="11" t="s">
        <v>48</v>
      </c>
      <c r="U1297" s="12" t="n">
        <v>580.89</v>
      </c>
      <c r="W1297" s="12" t="n">
        <v>580.89</v>
      </c>
      <c r="X1297" s="11" t="s">
        <v>1088</v>
      </c>
      <c r="Z1297" s="0" t="str">
        <f aca="false">IF($T1297="","",IFERROR(INDEX('Resumo Grupos'!$AC$3:$AC$200,MATCH($T1297,'Resumo Grupos'!$AB$3:$AB$200,0)),"n/d"))</f>
        <v>Mercadoria</v>
      </c>
      <c r="AA1297" s="0" t="str">
        <f aca="false">IF($T1297="","",IF(COUNTIF('Resumo Grupos'!$AE$3:$AE$40,$T1297)&gt;0,"NAO","SIM"))</f>
        <v>SIM</v>
      </c>
      <c r="AB1297" s="0" t="str">
        <f aca="false">IFERROR(INDEX('Mov Entradas (Rel 10497)'!$L:$L,MATCH(AC1297,'Mov Entradas (Rel 10497)'!$I:$I,0)),"nao encontrado")</f>
        <v>TRIDENT MORANGO</v>
      </c>
      <c r="AC1297" s="0" t="n">
        <v>682520</v>
      </c>
    </row>
    <row r="1298" customFormat="false" ht="12.75" hidden="false" customHeight="true" outlineLevel="0" collapsed="false">
      <c r="A1298" s="9" t="n">
        <v>2</v>
      </c>
      <c r="B1298" s="10" t="n">
        <v>46212</v>
      </c>
      <c r="C1298" s="10" t="n">
        <v>46240</v>
      </c>
      <c r="D1298" s="9" t="n">
        <v>1612</v>
      </c>
      <c r="E1298" s="11" t="s">
        <v>74</v>
      </c>
      <c r="F1298" s="9" t="n">
        <v>24</v>
      </c>
      <c r="G1298" s="11" t="s">
        <v>51</v>
      </c>
      <c r="H1298" s="9" t="n">
        <v>2110101</v>
      </c>
      <c r="I1298" s="11" t="s">
        <v>43</v>
      </c>
      <c r="J1298" s="9" t="n">
        <v>1374035</v>
      </c>
      <c r="L1298" s="9" t="n">
        <v>2299705</v>
      </c>
      <c r="M1298" s="11" t="s">
        <v>67</v>
      </c>
      <c r="N1298" s="11" t="s">
        <v>37</v>
      </c>
      <c r="P1298" s="9" t="n">
        <v>113</v>
      </c>
      <c r="Q1298" s="11" t="s">
        <v>46</v>
      </c>
      <c r="R1298" s="11" t="s">
        <v>47</v>
      </c>
      <c r="S1298" s="9" t="n">
        <v>1130101</v>
      </c>
      <c r="T1298" s="11" t="s">
        <v>48</v>
      </c>
      <c r="U1298" s="12" t="n">
        <v>658.6</v>
      </c>
      <c r="W1298" s="12" t="n">
        <v>658.6</v>
      </c>
      <c r="X1298" s="11" t="s">
        <v>1004</v>
      </c>
      <c r="Z1298" s="0" t="str">
        <f aca="false">IF($T1298="","",IFERROR(INDEX('Resumo Grupos'!$AC$3:$AC$200,MATCH($T1298,'Resumo Grupos'!$AB$3:$AB$200,0)),"n/d"))</f>
        <v>Mercadoria</v>
      </c>
      <c r="AA1298" s="0" t="str">
        <f aca="false">IF($T1298="","",IF(COUNTIF('Resumo Grupos'!$AE$3:$AE$40,$T1298)&gt;0,"NAO","SIM"))</f>
        <v>SIM</v>
      </c>
      <c r="AB1298" s="0" t="str">
        <f aca="false">IFERROR(INDEX('Mov Entradas (Rel 10497)'!$L:$L,MATCH(AC1298,'Mov Entradas (Rel 10497)'!$I:$I,0)),"nao encontrado")</f>
        <v>RED BULL SUGAR FREE</v>
      </c>
      <c r="AC1298" s="0" t="n">
        <v>2299705</v>
      </c>
    </row>
    <row r="1299" customFormat="false" ht="12.75" hidden="false" customHeight="true" outlineLevel="0" collapsed="false">
      <c r="A1299" s="9" t="n">
        <v>2</v>
      </c>
      <c r="B1299" s="10" t="n">
        <v>46212</v>
      </c>
      <c r="C1299" s="10" t="n">
        <v>46240</v>
      </c>
      <c r="D1299" s="9" t="n">
        <v>1612</v>
      </c>
      <c r="E1299" s="11" t="s">
        <v>74</v>
      </c>
      <c r="F1299" s="9" t="n">
        <v>24</v>
      </c>
      <c r="G1299" s="11" t="s">
        <v>51</v>
      </c>
      <c r="H1299" s="9" t="n">
        <v>2110101</v>
      </c>
      <c r="I1299" s="11" t="s">
        <v>43</v>
      </c>
      <c r="J1299" s="9" t="n">
        <v>1374249</v>
      </c>
      <c r="L1299" s="9" t="n">
        <v>2299703</v>
      </c>
      <c r="M1299" s="11" t="s">
        <v>67</v>
      </c>
      <c r="N1299" s="11" t="s">
        <v>37</v>
      </c>
      <c r="P1299" s="9" t="n">
        <v>113</v>
      </c>
      <c r="Q1299" s="11" t="s">
        <v>46</v>
      </c>
      <c r="R1299" s="11" t="s">
        <v>47</v>
      </c>
      <c r="S1299" s="9" t="n">
        <v>1130101</v>
      </c>
      <c r="T1299" s="11" t="s">
        <v>48</v>
      </c>
      <c r="U1299" s="12" t="n">
        <v>377.46</v>
      </c>
      <c r="W1299" s="12" t="n">
        <v>377.46</v>
      </c>
      <c r="X1299" s="11" t="s">
        <v>1005</v>
      </c>
      <c r="Z1299" s="0" t="str">
        <f aca="false">IF($T1299="","",IFERROR(INDEX('Resumo Grupos'!$AC$3:$AC$200,MATCH($T1299,'Resumo Grupos'!$AB$3:$AB$200,0)),"n/d"))</f>
        <v>Mercadoria</v>
      </c>
      <c r="AA1299" s="0" t="str">
        <f aca="false">IF($T1299="","",IF(COUNTIF('Resumo Grupos'!$AE$3:$AE$40,$T1299)&gt;0,"NAO","SIM"))</f>
        <v>SIM</v>
      </c>
      <c r="AB1299" s="0" t="str">
        <f aca="false">IFERROR(INDEX('Mov Entradas (Rel 10497)'!$L:$L,MATCH(AC1299,'Mov Entradas (Rel 10497)'!$I:$I,0)),"nao encontrado")</f>
        <v>AGUA SANI BRILUX1L</v>
      </c>
      <c r="AC1299" s="0" t="n">
        <v>2299703</v>
      </c>
    </row>
    <row r="1300" customFormat="false" ht="12.75" hidden="false" customHeight="true" outlineLevel="0" collapsed="false">
      <c r="A1300" s="9" t="n">
        <v>2</v>
      </c>
      <c r="B1300" s="10" t="n">
        <v>46233</v>
      </c>
      <c r="C1300" s="10" t="n">
        <v>46240</v>
      </c>
      <c r="D1300" s="9" t="n">
        <v>1609</v>
      </c>
      <c r="E1300" s="11" t="s">
        <v>84</v>
      </c>
      <c r="F1300" s="9" t="n">
        <v>24</v>
      </c>
      <c r="G1300" s="11" t="s">
        <v>51</v>
      </c>
      <c r="H1300" s="9" t="n">
        <v>1110203</v>
      </c>
      <c r="I1300" s="11" t="s">
        <v>117</v>
      </c>
      <c r="J1300" s="9" t="n">
        <v>1472930</v>
      </c>
      <c r="L1300" s="9" t="n">
        <v>199578</v>
      </c>
      <c r="M1300" s="11" t="s">
        <v>52</v>
      </c>
      <c r="N1300" s="11" t="s">
        <v>45</v>
      </c>
      <c r="P1300" s="9" t="n">
        <v>113</v>
      </c>
      <c r="Q1300" s="11" t="s">
        <v>46</v>
      </c>
      <c r="R1300" s="11" t="s">
        <v>47</v>
      </c>
      <c r="S1300" s="9" t="n">
        <v>1130101</v>
      </c>
      <c r="T1300" s="11" t="s">
        <v>48</v>
      </c>
      <c r="U1300" s="12" t="n">
        <v>524.65</v>
      </c>
      <c r="W1300" s="12" t="n">
        <v>524.65</v>
      </c>
      <c r="X1300" s="11" t="s">
        <v>1201</v>
      </c>
      <c r="Z1300" s="0" t="str">
        <f aca="false">IF($T1300="","",IFERROR(INDEX('Resumo Grupos'!$AC$3:$AC$200,MATCH($T1300,'Resumo Grupos'!$AB$3:$AB$200,0)),"n/d"))</f>
        <v>Mercadoria</v>
      </c>
      <c r="AA1300" s="0" t="str">
        <f aca="false">IF($T1300="","",IF(COUNTIF('Resumo Grupos'!$AE$3:$AE$40,$T1300)&gt;0,"NAO","SIM"))</f>
        <v>SIM</v>
      </c>
      <c r="AB1300" s="0" t="str">
        <f aca="false">IFERROR(INDEX('Mov Entradas (Rel 10497)'!$L:$L,MATCH(AC1300,'Mov Entradas (Rel 10497)'!$I:$I,0)),"nao encontrado")</f>
        <v>FAZENDINH LAR 500 ML</v>
      </c>
      <c r="AC1300" s="0" t="n">
        <v>5889</v>
      </c>
    </row>
    <row r="1301" customFormat="false" ht="12.75" hidden="false" customHeight="true" outlineLevel="0" collapsed="false">
      <c r="A1301" s="9" t="n">
        <v>2</v>
      </c>
      <c r="B1301" s="10" t="n">
        <v>46240</v>
      </c>
      <c r="C1301" s="10" t="n">
        <v>46240</v>
      </c>
      <c r="D1301" s="9" t="n">
        <v>10092</v>
      </c>
      <c r="E1301" s="11" t="s">
        <v>814</v>
      </c>
      <c r="F1301" s="9" t="n">
        <v>13</v>
      </c>
      <c r="G1301" s="11" t="s">
        <v>135</v>
      </c>
      <c r="H1301" s="9" t="n">
        <v>2110405</v>
      </c>
      <c r="I1301" s="11" t="s">
        <v>56</v>
      </c>
      <c r="J1301" s="9" t="n">
        <v>1508293</v>
      </c>
      <c r="L1301" s="9" t="n">
        <v>204907</v>
      </c>
      <c r="M1301" s="11" t="s">
        <v>52</v>
      </c>
      <c r="N1301" s="11" t="s">
        <v>45</v>
      </c>
      <c r="P1301" s="9" t="n">
        <v>113</v>
      </c>
      <c r="Q1301" s="11" t="s">
        <v>46</v>
      </c>
      <c r="R1301" s="11" t="s">
        <v>47</v>
      </c>
      <c r="S1301" s="9" t="n">
        <v>1130101</v>
      </c>
      <c r="T1301" s="11" t="s">
        <v>48</v>
      </c>
      <c r="U1301" s="12" t="n">
        <v>136.5</v>
      </c>
      <c r="W1301" s="12" t="n">
        <v>136.5</v>
      </c>
      <c r="X1301" s="11" t="s">
        <v>1202</v>
      </c>
      <c r="Z1301" s="0" t="str">
        <f aca="false">IF($T1301="","",IFERROR(INDEX('Resumo Grupos'!$AC$3:$AC$200,MATCH($T1301,'Resumo Grupos'!$AB$3:$AB$200,0)),"n/d"))</f>
        <v>Mercadoria</v>
      </c>
      <c r="AA1301" s="0" t="str">
        <f aca="false">IF($T1301="","",IF(COUNTIF('Resumo Grupos'!$AE$3:$AE$40,$T1301)&gt;0,"NAO","SIM"))</f>
        <v>SIM</v>
      </c>
      <c r="AB1301" s="0" t="str">
        <f aca="false">IFERROR(INDEX('Mov Entradas (Rel 10497)'!$L:$L,MATCH(AC1301,'Mov Entradas (Rel 10497)'!$I:$I,0)),"nao encontrado")</f>
        <v>LULU IOGURTE CASEIRO SABOR MORANGO 300ML</v>
      </c>
      <c r="AC1301" s="0" t="n">
        <v>306</v>
      </c>
    </row>
    <row r="1302" customFormat="false" ht="12.75" hidden="false" customHeight="true" outlineLevel="0" collapsed="false">
      <c r="A1302" s="9" t="n">
        <v>2</v>
      </c>
      <c r="B1302" s="10" t="n">
        <v>46240</v>
      </c>
      <c r="C1302" s="10" t="n">
        <v>46240</v>
      </c>
      <c r="D1302" s="9" t="n">
        <v>48</v>
      </c>
      <c r="E1302" s="11" t="s">
        <v>153</v>
      </c>
      <c r="F1302" s="9" t="n">
        <v>13</v>
      </c>
      <c r="G1302" s="11" t="s">
        <v>135</v>
      </c>
      <c r="H1302" s="9" t="n">
        <v>2110101</v>
      </c>
      <c r="I1302" s="11" t="s">
        <v>43</v>
      </c>
      <c r="J1302" s="9" t="n">
        <v>1509485</v>
      </c>
      <c r="L1302" s="9" t="n">
        <v>2589</v>
      </c>
      <c r="M1302" s="11" t="s">
        <v>52</v>
      </c>
      <c r="N1302" s="11" t="s">
        <v>37</v>
      </c>
      <c r="P1302" s="9" t="n">
        <v>113</v>
      </c>
      <c r="Q1302" s="11" t="s">
        <v>46</v>
      </c>
      <c r="R1302" s="11" t="s">
        <v>47</v>
      </c>
      <c r="S1302" s="9" t="n">
        <v>1130101</v>
      </c>
      <c r="T1302" s="11" t="s">
        <v>48</v>
      </c>
      <c r="U1302" s="12" t="n">
        <v>300</v>
      </c>
      <c r="W1302" s="12" t="n">
        <v>300</v>
      </c>
      <c r="X1302" s="11" t="s">
        <v>1203</v>
      </c>
      <c r="Z1302" s="0" t="str">
        <f aca="false">IF($T1302="","",IFERROR(INDEX('Resumo Grupos'!$AC$3:$AC$200,MATCH($T1302,'Resumo Grupos'!$AB$3:$AB$200,0)),"n/d"))</f>
        <v>Mercadoria</v>
      </c>
      <c r="AA1302" s="0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9" t="n">
        <v>2</v>
      </c>
      <c r="B1303" s="10" t="n">
        <v>46213</v>
      </c>
      <c r="C1303" s="10" t="n">
        <v>46240</v>
      </c>
      <c r="D1303" s="9" t="n">
        <v>1107</v>
      </c>
      <c r="E1303" s="11" t="s">
        <v>254</v>
      </c>
      <c r="F1303" s="9" t="n">
        <v>24</v>
      </c>
      <c r="G1303" s="11" t="s">
        <v>51</v>
      </c>
      <c r="H1303" s="9" t="n">
        <v>2110101</v>
      </c>
      <c r="I1303" s="11" t="s">
        <v>43</v>
      </c>
      <c r="J1303" s="9" t="n">
        <v>1376909</v>
      </c>
      <c r="L1303" s="9" t="n">
        <v>426652</v>
      </c>
      <c r="M1303" s="11" t="s">
        <v>67</v>
      </c>
      <c r="N1303" s="11" t="s">
        <v>37</v>
      </c>
      <c r="P1303" s="9" t="n">
        <v>113</v>
      </c>
      <c r="Q1303" s="11" t="s">
        <v>46</v>
      </c>
      <c r="R1303" s="11" t="s">
        <v>47</v>
      </c>
      <c r="S1303" s="9" t="n">
        <v>1130101</v>
      </c>
      <c r="T1303" s="11" t="s">
        <v>48</v>
      </c>
      <c r="U1303" s="12" t="n">
        <v>682.63</v>
      </c>
      <c r="W1303" s="12" t="n">
        <v>682.63</v>
      </c>
      <c r="X1303" s="11" t="s">
        <v>1011</v>
      </c>
      <c r="Z1303" s="0" t="str">
        <f aca="false">IF($T1303="","",IFERROR(INDEX('Resumo Grupos'!$AC$3:$AC$200,MATCH($T1303,'Resumo Grupos'!$AB$3:$AB$200,0)),"n/d"))</f>
        <v>Mercadoria</v>
      </c>
      <c r="AA1303" s="0" t="str">
        <f aca="false">IF($T1303="","",IF(COUNTIF('Resumo Grupos'!$AE$3:$AE$40,$T1303)&gt;0,"NAO","SIM"))</f>
        <v>SIM</v>
      </c>
      <c r="AB1303" s="0" t="str">
        <f aca="false">IFERROR(INDEX('Mov Entradas (Rel 10497)'!$L:$L,MATCH(AC1303,'Mov Entradas (Rel 10497)'!$I:$I,0)),"nao encontrado")</f>
        <v>GELATINA S SABOR OE</v>
      </c>
      <c r="AC1303" s="0" t="n">
        <v>426652</v>
      </c>
    </row>
    <row r="1304" customFormat="false" ht="12.75" hidden="false" customHeight="true" outlineLevel="0" collapsed="false">
      <c r="A1304" s="9" t="n">
        <v>2</v>
      </c>
      <c r="B1304" s="10" t="n">
        <v>46235</v>
      </c>
      <c r="C1304" s="10" t="n">
        <v>46240</v>
      </c>
      <c r="D1304" s="9" t="n">
        <v>1899</v>
      </c>
      <c r="E1304" s="11" t="s">
        <v>204</v>
      </c>
      <c r="F1304" s="9" t="n">
        <v>24</v>
      </c>
      <c r="G1304" s="11" t="s">
        <v>51</v>
      </c>
      <c r="H1304" s="9" t="n">
        <v>1110203</v>
      </c>
      <c r="I1304" s="11" t="s">
        <v>117</v>
      </c>
      <c r="J1304" s="9" t="n">
        <v>1481877</v>
      </c>
      <c r="L1304" s="9" t="n">
        <v>201140</v>
      </c>
      <c r="M1304" s="11" t="s">
        <v>52</v>
      </c>
      <c r="N1304" s="11" t="s">
        <v>45</v>
      </c>
      <c r="P1304" s="9" t="n">
        <v>113</v>
      </c>
      <c r="Q1304" s="11" t="s">
        <v>46</v>
      </c>
      <c r="R1304" s="11" t="s">
        <v>47</v>
      </c>
      <c r="S1304" s="9" t="n">
        <v>1130101</v>
      </c>
      <c r="T1304" s="11" t="s">
        <v>48</v>
      </c>
      <c r="U1304" s="12" t="n">
        <v>357.1</v>
      </c>
      <c r="W1304" s="12" t="n">
        <v>357.1</v>
      </c>
      <c r="X1304" s="11" t="s">
        <v>1204</v>
      </c>
      <c r="Z1304" s="0" t="str">
        <f aca="false">IF($T1304="","",IFERROR(INDEX('Resumo Grupos'!$AC$3:$AC$200,MATCH($T1304,'Resumo Grupos'!$AB$3:$AB$200,0)),"n/d"))</f>
        <v>Mercadoria</v>
      </c>
      <c r="AA1304" s="0" t="str">
        <f aca="false">IF($T1304="","",IF(COUNTIF('Resumo Grupos'!$AE$3:$AE$40,$T1304)&gt;0,"NAO","SIM"))</f>
        <v>SIM</v>
      </c>
      <c r="AB1304" s="0" t="str">
        <f aca="false">IFERROR(INDEX('Mov Entradas (Rel 10497)'!$L:$L,MATCH(AC1304,'Mov Entradas (Rel 10497)'!$I:$I,0)),"nao encontrado")</f>
        <v>PAO DE FORMA REAL MA</v>
      </c>
      <c r="AC1304" s="0" t="n">
        <v>740</v>
      </c>
    </row>
    <row r="1305" customFormat="false" ht="12.75" hidden="false" customHeight="true" outlineLevel="0" collapsed="false">
      <c r="A1305" s="9" t="n">
        <v>2</v>
      </c>
      <c r="B1305" s="10" t="n">
        <v>46223</v>
      </c>
      <c r="C1305" s="10" t="n">
        <v>46240</v>
      </c>
      <c r="D1305" s="9" t="n">
        <v>1624</v>
      </c>
      <c r="E1305" s="11" t="s">
        <v>351</v>
      </c>
      <c r="F1305" s="9" t="n">
        <v>24</v>
      </c>
      <c r="G1305" s="11" t="s">
        <v>51</v>
      </c>
      <c r="H1305" s="9" t="n">
        <v>1110203</v>
      </c>
      <c r="I1305" s="11" t="s">
        <v>117</v>
      </c>
      <c r="J1305" s="9" t="n">
        <v>1423731</v>
      </c>
      <c r="L1305" s="9" t="n">
        <v>190892</v>
      </c>
      <c r="M1305" s="11" t="s">
        <v>52</v>
      </c>
      <c r="N1305" s="11" t="s">
        <v>45</v>
      </c>
      <c r="P1305" s="9" t="n">
        <v>113</v>
      </c>
      <c r="Q1305" s="11" t="s">
        <v>46</v>
      </c>
      <c r="R1305" s="11" t="s">
        <v>47</v>
      </c>
      <c r="S1305" s="9" t="n">
        <v>1130101</v>
      </c>
      <c r="T1305" s="11" t="s">
        <v>48</v>
      </c>
      <c r="U1305" s="12" t="n">
        <v>381</v>
      </c>
      <c r="W1305" s="12" t="n">
        <v>381</v>
      </c>
      <c r="X1305" s="11" t="s">
        <v>1205</v>
      </c>
      <c r="Z1305" s="0" t="str">
        <f aca="false">IF($T1305="","",IFERROR(INDEX('Resumo Grupos'!$AC$3:$AC$200,MATCH($T1305,'Resumo Grupos'!$AB$3:$AB$200,0)),"n/d"))</f>
        <v>Mercadoria</v>
      </c>
      <c r="AA1305" s="0" t="str">
        <f aca="false">IF($T1305="","",IF(COUNTIF('Resumo Grupos'!$AE$3:$AE$40,$T1305)&gt;0,"NAO","SIM"))</f>
        <v>SIM</v>
      </c>
      <c r="AB1305" s="0" t="str">
        <f aca="false">IFERROR(INDEX('Mov Entradas (Rel 10497)'!$L:$L,MATCH(AC1305,'Mov Entradas (Rel 10497)'!$I:$I,0)),"nao encontrado")</f>
        <v>AREIA HIG P GATO CARECAT PERFUMADO 4KG</v>
      </c>
      <c r="AC1305" s="0" t="n">
        <v>664184</v>
      </c>
    </row>
    <row r="1306" customFormat="false" ht="12.75" hidden="false" customHeight="true" outlineLevel="0" collapsed="false">
      <c r="A1306" s="9" t="n">
        <v>2</v>
      </c>
      <c r="B1306" s="10" t="n">
        <v>46232</v>
      </c>
      <c r="C1306" s="10" t="n">
        <v>46240</v>
      </c>
      <c r="D1306" s="9" t="n">
        <v>1739</v>
      </c>
      <c r="E1306" s="11" t="s">
        <v>1206</v>
      </c>
      <c r="F1306" s="9" t="n">
        <v>24</v>
      </c>
      <c r="G1306" s="11" t="s">
        <v>51</v>
      </c>
      <c r="H1306" s="9" t="n">
        <v>1110203</v>
      </c>
      <c r="I1306" s="11" t="s">
        <v>117</v>
      </c>
      <c r="J1306" s="9" t="n">
        <v>1468979</v>
      </c>
      <c r="L1306" s="9" t="n">
        <v>198994</v>
      </c>
      <c r="M1306" s="11" t="s">
        <v>52</v>
      </c>
      <c r="N1306" s="11" t="s">
        <v>45</v>
      </c>
      <c r="P1306" s="9" t="n">
        <v>113</v>
      </c>
      <c r="Q1306" s="11" t="s">
        <v>46</v>
      </c>
      <c r="R1306" s="11" t="s">
        <v>47</v>
      </c>
      <c r="S1306" s="9" t="n">
        <v>1130101</v>
      </c>
      <c r="T1306" s="11" t="s">
        <v>48</v>
      </c>
      <c r="U1306" s="12" t="n">
        <v>306.18</v>
      </c>
      <c r="W1306" s="12" t="n">
        <v>306.18</v>
      </c>
      <c r="X1306" s="11" t="s">
        <v>1207</v>
      </c>
      <c r="Z1306" s="0" t="str">
        <f aca="false">IF($T1306="","",IFERROR(INDEX('Resumo Grupos'!$AC$3:$AC$200,MATCH($T1306,'Resumo Grupos'!$AB$3:$AB$200,0)),"n/d"))</f>
        <v>Mercadoria</v>
      </c>
      <c r="AA1306" s="0" t="str">
        <f aca="false">IF($T1306="","",IF(COUNTIF('Resumo Grupos'!$AE$3:$AE$40,$T1306)&gt;0,"NAO","SIM"))</f>
        <v>SIM</v>
      </c>
      <c r="AB1306" s="0" t="str">
        <f aca="false">IFERROR(INDEX('Mov Entradas (Rel 10497)'!$L:$L,MATCH(AC1306,'Mov Entradas (Rel 10497)'!$I:$I,0)),"nao encontrado")</f>
        <v>NOVEX VITAY SH+CON</v>
      </c>
      <c r="AC1306" s="0" t="n">
        <v>253576</v>
      </c>
    </row>
    <row r="1307" customFormat="false" ht="12.75" hidden="false" customHeight="true" outlineLevel="0" collapsed="false">
      <c r="A1307" s="9" t="n">
        <v>2</v>
      </c>
      <c r="B1307" s="10" t="n">
        <v>46240</v>
      </c>
      <c r="C1307" s="10" t="n">
        <v>46240</v>
      </c>
      <c r="D1307" s="9" t="n">
        <v>0</v>
      </c>
      <c r="E1307" s="11" t="s">
        <v>109</v>
      </c>
      <c r="F1307" s="9" t="n">
        <v>17</v>
      </c>
      <c r="G1307" s="11" t="s">
        <v>110</v>
      </c>
      <c r="H1307" s="9" t="n">
        <v>1110101</v>
      </c>
      <c r="I1307" s="11" t="s">
        <v>111</v>
      </c>
      <c r="J1307" s="9" t="n">
        <v>1514197</v>
      </c>
      <c r="L1307" s="9" t="n">
        <v>1514197</v>
      </c>
      <c r="M1307" s="11" t="s">
        <v>52</v>
      </c>
      <c r="N1307" s="11" t="s">
        <v>112</v>
      </c>
      <c r="P1307" s="9" t="n">
        <v>113</v>
      </c>
      <c r="Q1307" s="11" t="s">
        <v>46</v>
      </c>
      <c r="R1307" s="11" t="s">
        <v>259</v>
      </c>
      <c r="S1307" s="9" t="n">
        <v>2110101</v>
      </c>
      <c r="T1307" s="11" t="s">
        <v>43</v>
      </c>
      <c r="U1307" s="12" t="n">
        <v>300</v>
      </c>
      <c r="W1307" s="12" t="n">
        <v>300</v>
      </c>
      <c r="X1307" s="11" t="s">
        <v>1208</v>
      </c>
      <c r="Z1307" s="0" t="str">
        <f aca="false">IF($T1307="","",IFERROR(INDEX('Resumo Grupos'!$AC$3:$AC$200,MATCH($T1307,'Resumo Grupos'!$AB$3:$AB$200,0)),"n/d"))</f>
        <v>Despesa</v>
      </c>
      <c r="AA1307" s="0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9" t="n">
        <v>2</v>
      </c>
      <c r="B1308" s="10" t="n">
        <v>46240</v>
      </c>
      <c r="C1308" s="10" t="n">
        <v>46240</v>
      </c>
      <c r="D1308" s="9" t="n">
        <v>0</v>
      </c>
      <c r="E1308" s="11" t="s">
        <v>109</v>
      </c>
      <c r="F1308" s="9" t="n">
        <v>17</v>
      </c>
      <c r="G1308" s="11" t="s">
        <v>110</v>
      </c>
      <c r="H1308" s="9" t="n">
        <v>1110101</v>
      </c>
      <c r="I1308" s="11" t="s">
        <v>111</v>
      </c>
      <c r="J1308" s="9" t="n">
        <v>1514204</v>
      </c>
      <c r="L1308" s="9" t="n">
        <v>1514204</v>
      </c>
      <c r="M1308" s="11" t="s">
        <v>52</v>
      </c>
      <c r="N1308" s="11" t="s">
        <v>112</v>
      </c>
      <c r="P1308" s="9" t="n">
        <v>113</v>
      </c>
      <c r="Q1308" s="11" t="s">
        <v>46</v>
      </c>
      <c r="R1308" s="11" t="s">
        <v>56</v>
      </c>
      <c r="S1308" s="9" t="n">
        <v>2110405</v>
      </c>
      <c r="T1308" s="11" t="s">
        <v>56</v>
      </c>
      <c r="U1308" s="12" t="n">
        <v>136.5</v>
      </c>
      <c r="W1308" s="12" t="n">
        <v>136.5</v>
      </c>
      <c r="X1308" s="11" t="s">
        <v>1209</v>
      </c>
      <c r="Z1308" s="0" t="str">
        <f aca="false">IF($T1308="","",IFERROR(INDEX('Resumo Grupos'!$AC$3:$AC$200,MATCH($T1308,'Resumo Grupos'!$AB$3:$AB$200,0)),"n/d"))</f>
        <v>Cobertura de conta</v>
      </c>
      <c r="AA1308" s="0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9" t="n">
        <v>2</v>
      </c>
      <c r="B1309" s="10" t="n">
        <v>46240</v>
      </c>
      <c r="C1309" s="10" t="n">
        <v>46240</v>
      </c>
      <c r="D1309" s="9" t="n">
        <v>0</v>
      </c>
      <c r="E1309" s="11" t="s">
        <v>109</v>
      </c>
      <c r="F1309" s="9" t="n">
        <v>17</v>
      </c>
      <c r="G1309" s="11" t="s">
        <v>110</v>
      </c>
      <c r="H1309" s="9" t="n">
        <v>1110101</v>
      </c>
      <c r="I1309" s="11" t="s">
        <v>111</v>
      </c>
      <c r="J1309" s="9" t="n">
        <v>1514214</v>
      </c>
      <c r="L1309" s="9" t="n">
        <v>1514214</v>
      </c>
      <c r="M1309" s="11" t="s">
        <v>52</v>
      </c>
      <c r="N1309" s="11" t="s">
        <v>112</v>
      </c>
      <c r="P1309" s="9" t="n">
        <v>113</v>
      </c>
      <c r="Q1309" s="11" t="s">
        <v>46</v>
      </c>
      <c r="R1309" s="11" t="s">
        <v>71</v>
      </c>
      <c r="S1309" s="9" t="n">
        <v>4210314</v>
      </c>
      <c r="T1309" s="11" t="s">
        <v>113</v>
      </c>
      <c r="U1309" s="12" t="n">
        <v>50</v>
      </c>
      <c r="W1309" s="12" t="n">
        <v>50</v>
      </c>
      <c r="X1309" s="11" t="s">
        <v>368</v>
      </c>
      <c r="Z1309" s="0" t="str">
        <f aca="false">IF($T1309="","",IFERROR(INDEX('Resumo Grupos'!$AC$3:$AC$200,MATCH($T1309,'Resumo Grupos'!$AB$3:$AB$200,0)),"n/d"))</f>
        <v>Despesa</v>
      </c>
      <c r="AA1309" s="0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9" t="n">
        <v>2</v>
      </c>
      <c r="B1310" s="10" t="n">
        <v>46240</v>
      </c>
      <c r="C1310" s="10" t="n">
        <v>46240</v>
      </c>
      <c r="D1310" s="9" t="n">
        <v>0</v>
      </c>
      <c r="E1310" s="11" t="s">
        <v>109</v>
      </c>
      <c r="F1310" s="9" t="n">
        <v>17</v>
      </c>
      <c r="G1310" s="11" t="s">
        <v>110</v>
      </c>
      <c r="H1310" s="9" t="n">
        <v>1110101</v>
      </c>
      <c r="I1310" s="11" t="s">
        <v>111</v>
      </c>
      <c r="J1310" s="9" t="n">
        <v>1716308</v>
      </c>
      <c r="L1310" s="9" t="n">
        <v>1716308</v>
      </c>
      <c r="M1310" s="11" t="s">
        <v>52</v>
      </c>
      <c r="N1310" s="11" t="s">
        <v>112</v>
      </c>
      <c r="P1310" s="9" t="n">
        <v>113</v>
      </c>
      <c r="Q1310" s="11" t="s">
        <v>46</v>
      </c>
      <c r="R1310" s="11" t="s">
        <v>116</v>
      </c>
      <c r="S1310" s="9" t="n">
        <v>1110203</v>
      </c>
      <c r="T1310" s="11" t="s">
        <v>117</v>
      </c>
      <c r="U1310" s="12" t="n">
        <v>1800</v>
      </c>
      <c r="W1310" s="12" t="n">
        <v>1800</v>
      </c>
      <c r="X1310" s="11" t="s">
        <v>1210</v>
      </c>
      <c r="Z1310" s="0" t="str">
        <f aca="false">IF($T1310="","",IFERROR(INDEX('Resumo Grupos'!$AC$3:$AC$200,MATCH($T1310,'Resumo Grupos'!$AB$3:$AB$200,0)),"n/d"))</f>
        <v>Despesa</v>
      </c>
      <c r="AA1310" s="0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9" t="n">
        <v>2</v>
      </c>
      <c r="B1311" s="10" t="n">
        <v>46228</v>
      </c>
      <c r="C1311" s="10" t="n">
        <v>46241</v>
      </c>
      <c r="D1311" s="9" t="n">
        <v>1635</v>
      </c>
      <c r="E1311" s="11" t="s">
        <v>128</v>
      </c>
      <c r="F1311" s="9" t="n">
        <v>24</v>
      </c>
      <c r="G1311" s="11" t="s">
        <v>51</v>
      </c>
      <c r="H1311" s="9" t="n">
        <v>2110405</v>
      </c>
      <c r="I1311" s="11" t="s">
        <v>56</v>
      </c>
      <c r="J1311" s="9" t="n">
        <v>1448481</v>
      </c>
      <c r="L1311" s="9" t="n">
        <v>196060</v>
      </c>
      <c r="M1311" s="11" t="s">
        <v>52</v>
      </c>
      <c r="N1311" s="11" t="s">
        <v>45</v>
      </c>
      <c r="P1311" s="9" t="n">
        <v>113</v>
      </c>
      <c r="Q1311" s="11" t="s">
        <v>46</v>
      </c>
      <c r="R1311" s="11" t="s">
        <v>47</v>
      </c>
      <c r="S1311" s="9" t="n">
        <v>1130101</v>
      </c>
      <c r="T1311" s="11" t="s">
        <v>48</v>
      </c>
      <c r="U1311" s="12" t="n">
        <v>740.52</v>
      </c>
      <c r="W1311" s="12" t="n">
        <v>740.52</v>
      </c>
      <c r="X1311" s="11" t="s">
        <v>1211</v>
      </c>
      <c r="Z1311" s="0" t="str">
        <f aca="false">IF($T1311="","",IFERROR(INDEX('Resumo Grupos'!$AC$3:$AC$200,MATCH($T1311,'Resumo Grupos'!$AB$3:$AB$200,0)),"n/d"))</f>
        <v>Mercadoria</v>
      </c>
      <c r="AA1311" s="0" t="str">
        <f aca="false">IF($T1311="","",IF(COUNTIF('Resumo Grupos'!$AE$3:$AE$40,$T1311)&gt;0,"NAO","SIM"))</f>
        <v>SIM</v>
      </c>
      <c r="AB1311" s="0" t="str">
        <f aca="false">IFERROR(INDEX('Mov Entradas (Rel 10497)'!$L:$L,MATCH(AC1311,'Mov Entradas (Rel 10497)'!$I:$I,0)),"nao encontrado")</f>
        <v>COXA E SOBRECOXA KG</v>
      </c>
      <c r="AC1311" s="0" t="n">
        <v>1842</v>
      </c>
    </row>
    <row r="1312" customFormat="false" ht="12.75" hidden="false" customHeight="true" outlineLevel="0" collapsed="false">
      <c r="A1312" s="9" t="n">
        <v>2</v>
      </c>
      <c r="B1312" s="10" t="n">
        <v>46231</v>
      </c>
      <c r="C1312" s="10" t="n">
        <v>46241</v>
      </c>
      <c r="D1312" s="9" t="n">
        <v>1723</v>
      </c>
      <c r="E1312" s="11" t="s">
        <v>371</v>
      </c>
      <c r="F1312" s="9" t="n">
        <v>24</v>
      </c>
      <c r="G1312" s="11" t="s">
        <v>51</v>
      </c>
      <c r="H1312" s="9" t="n">
        <v>2110405</v>
      </c>
      <c r="I1312" s="11" t="s">
        <v>56</v>
      </c>
      <c r="J1312" s="9" t="n">
        <v>1464594</v>
      </c>
      <c r="L1312" s="9" t="n">
        <v>198316</v>
      </c>
      <c r="M1312" s="11" t="s">
        <v>52</v>
      </c>
      <c r="N1312" s="11" t="s">
        <v>45</v>
      </c>
      <c r="P1312" s="9" t="n">
        <v>113</v>
      </c>
      <c r="Q1312" s="11" t="s">
        <v>46</v>
      </c>
      <c r="R1312" s="11" t="s">
        <v>47</v>
      </c>
      <c r="S1312" s="9" t="n">
        <v>1130101</v>
      </c>
      <c r="T1312" s="11" t="s">
        <v>48</v>
      </c>
      <c r="U1312" s="12" t="n">
        <v>1262.8</v>
      </c>
      <c r="W1312" s="12" t="n">
        <v>1262.8</v>
      </c>
      <c r="X1312" s="11" t="s">
        <v>1212</v>
      </c>
      <c r="Z1312" s="0" t="str">
        <f aca="false">IF($T1312="","",IFERROR(INDEX('Resumo Grupos'!$AC$3:$AC$200,MATCH($T1312,'Resumo Grupos'!$AB$3:$AB$200,0)),"n/d"))</f>
        <v>Mercadoria</v>
      </c>
      <c r="AA1312" s="0" t="str">
        <f aca="false">IF($T1312="","",IF(COUNTIF('Resumo Grupos'!$AE$3:$AE$40,$T1312)&gt;0,"NAO","SIM"))</f>
        <v>SIM</v>
      </c>
      <c r="AB1312" s="0" t="str">
        <f aca="false">IFERROR(INDEX('Mov Entradas (Rel 10497)'!$L:$L,MATCH(AC1312,'Mov Entradas (Rel 10497)'!$I:$I,0)),"nao encontrado")</f>
        <v>DIANTEIRO DE BOI L</v>
      </c>
      <c r="AC1312" s="0" t="n">
        <v>173885</v>
      </c>
    </row>
    <row r="1313" customFormat="false" ht="12.75" hidden="false" customHeight="true" outlineLevel="0" collapsed="false">
      <c r="A1313" s="9" t="n">
        <v>2</v>
      </c>
      <c r="B1313" s="10" t="n">
        <v>46212</v>
      </c>
      <c r="C1313" s="10" t="n">
        <v>46241</v>
      </c>
      <c r="D1313" s="9" t="n">
        <v>1718</v>
      </c>
      <c r="E1313" s="11" t="s">
        <v>236</v>
      </c>
      <c r="F1313" s="9" t="n">
        <v>24</v>
      </c>
      <c r="G1313" s="11" t="s">
        <v>51</v>
      </c>
      <c r="H1313" s="9" t="n">
        <v>2110101</v>
      </c>
      <c r="I1313" s="11" t="s">
        <v>43</v>
      </c>
      <c r="J1313" s="9" t="n">
        <v>1374907</v>
      </c>
      <c r="L1313" s="9" t="n">
        <v>681127</v>
      </c>
      <c r="M1313" s="11" t="s">
        <v>67</v>
      </c>
      <c r="N1313" s="11" t="s">
        <v>37</v>
      </c>
      <c r="P1313" s="9" t="n">
        <v>113</v>
      </c>
      <c r="Q1313" s="11" t="s">
        <v>46</v>
      </c>
      <c r="R1313" s="11" t="s">
        <v>47</v>
      </c>
      <c r="S1313" s="9" t="n">
        <v>1130101</v>
      </c>
      <c r="T1313" s="11" t="s">
        <v>48</v>
      </c>
      <c r="U1313" s="12" t="n">
        <v>509.25</v>
      </c>
      <c r="W1313" s="12" t="n">
        <v>509.25</v>
      </c>
      <c r="X1313" s="11" t="s">
        <v>1019</v>
      </c>
      <c r="Z1313" s="0" t="str">
        <f aca="false">IF($T1313="","",IFERROR(INDEX('Resumo Grupos'!$AC$3:$AC$200,MATCH($T1313,'Resumo Grupos'!$AB$3:$AB$200,0)),"n/d"))</f>
        <v>Mercadoria</v>
      </c>
      <c r="AA1313" s="0" t="str">
        <f aca="false">IF($T1313="","",IF(COUNTIF('Resumo Grupos'!$AE$3:$AE$40,$T1313)&gt;0,"NAO","SIM"))</f>
        <v>SIM</v>
      </c>
      <c r="AB1313" s="0" t="str">
        <f aca="false">IFERROR(INDEX('Mov Entradas (Rel 10497)'!$L:$L,MATCH(AC1313,'Mov Entradas (Rel 10497)'!$I:$I,0)),"nao encontrado")</f>
        <v>BIS OREO 100,8G</v>
      </c>
      <c r="AC1313" s="0" t="n">
        <v>681127</v>
      </c>
    </row>
    <row r="1314" customFormat="false" ht="12.75" hidden="false" customHeight="true" outlineLevel="0" collapsed="false">
      <c r="A1314" s="9" t="n">
        <v>2</v>
      </c>
      <c r="B1314" s="10" t="n">
        <v>46234</v>
      </c>
      <c r="C1314" s="10" t="n">
        <v>46241</v>
      </c>
      <c r="D1314" s="9" t="n">
        <v>1608</v>
      </c>
      <c r="E1314" s="11" t="s">
        <v>240</v>
      </c>
      <c r="F1314" s="9" t="n">
        <v>24</v>
      </c>
      <c r="G1314" s="11" t="s">
        <v>51</v>
      </c>
      <c r="H1314" s="9" t="n">
        <v>2110405</v>
      </c>
      <c r="I1314" s="11" t="s">
        <v>56</v>
      </c>
      <c r="J1314" s="9" t="n">
        <v>1477793</v>
      </c>
      <c r="L1314" s="9" t="n">
        <v>200474</v>
      </c>
      <c r="M1314" s="11" t="s">
        <v>52</v>
      </c>
      <c r="N1314" s="11" t="s">
        <v>45</v>
      </c>
      <c r="P1314" s="9" t="n">
        <v>113</v>
      </c>
      <c r="Q1314" s="11" t="s">
        <v>46</v>
      </c>
      <c r="R1314" s="11" t="s">
        <v>47</v>
      </c>
      <c r="S1314" s="9" t="n">
        <v>1130101</v>
      </c>
      <c r="T1314" s="11" t="s">
        <v>48</v>
      </c>
      <c r="U1314" s="12" t="n">
        <v>328.14</v>
      </c>
      <c r="W1314" s="12" t="n">
        <v>328.14</v>
      </c>
      <c r="X1314" s="11" t="s">
        <v>1213</v>
      </c>
      <c r="Z1314" s="0" t="str">
        <f aca="false">IF($T1314="","",IFERROR(INDEX('Resumo Grupos'!$AC$3:$AC$200,MATCH($T1314,'Resumo Grupos'!$AB$3:$AB$200,0)),"n/d"))</f>
        <v>Mercadoria</v>
      </c>
      <c r="AA1314" s="0" t="str">
        <f aca="false">IF($T1314="","",IF(COUNTIF('Resumo Grupos'!$AE$3:$AE$40,$T1314)&gt;0,"NAO","SIM"))</f>
        <v>SIM</v>
      </c>
      <c r="AB1314" s="0" t="str">
        <f aca="false">IFERROR(INDEX('Mov Entradas (Rel 10497)'!$L:$L,MATCH(AC1314,'Mov Entradas (Rel 10497)'!$I:$I,0)),"nao encontrado")</f>
        <v>REQUEIJÃO CREM. DANONE TRAD. 200G</v>
      </c>
      <c r="AC1314" s="0" t="n">
        <v>1702357</v>
      </c>
    </row>
    <row r="1315" customFormat="false" ht="12.75" hidden="false" customHeight="true" outlineLevel="0" collapsed="false">
      <c r="A1315" s="9" t="n">
        <v>2</v>
      </c>
      <c r="B1315" s="10" t="n">
        <v>46241</v>
      </c>
      <c r="C1315" s="10" t="n">
        <v>46241</v>
      </c>
      <c r="D1315" s="9" t="n">
        <v>1037</v>
      </c>
      <c r="E1315" s="11" t="s">
        <v>134</v>
      </c>
      <c r="F1315" s="9" t="n">
        <v>34</v>
      </c>
      <c r="G1315" s="11" t="s">
        <v>55</v>
      </c>
      <c r="H1315" s="9" t="n">
        <v>2110405</v>
      </c>
      <c r="I1315" s="11" t="s">
        <v>56</v>
      </c>
      <c r="J1315" s="9" t="n">
        <v>1514697</v>
      </c>
      <c r="L1315" s="9" t="n">
        <v>206062</v>
      </c>
      <c r="M1315" s="11" t="s">
        <v>52</v>
      </c>
      <c r="N1315" s="11" t="s">
        <v>45</v>
      </c>
      <c r="P1315" s="9" t="n">
        <v>113</v>
      </c>
      <c r="Q1315" s="11" t="s">
        <v>46</v>
      </c>
      <c r="R1315" s="11" t="s">
        <v>47</v>
      </c>
      <c r="S1315" s="9" t="n">
        <v>1130101</v>
      </c>
      <c r="T1315" s="11" t="s">
        <v>48</v>
      </c>
      <c r="U1315" s="12" t="n">
        <v>320</v>
      </c>
      <c r="W1315" s="12" t="n">
        <v>320</v>
      </c>
      <c r="X1315" s="11" t="s">
        <v>1214</v>
      </c>
      <c r="Z1315" s="0" t="str">
        <f aca="false">IF($T1315="","",IFERROR(INDEX('Resumo Grupos'!$AC$3:$AC$200,MATCH($T1315,'Resumo Grupos'!$AB$3:$AB$200,0)),"n/d"))</f>
        <v>Mercadoria</v>
      </c>
      <c r="AA1315" s="0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9" t="n">
        <v>2</v>
      </c>
      <c r="B1316" s="10" t="n">
        <v>46217</v>
      </c>
      <c r="C1316" s="10" t="n">
        <v>46241</v>
      </c>
      <c r="D1316" s="9" t="n">
        <v>1611</v>
      </c>
      <c r="E1316" s="11" t="s">
        <v>178</v>
      </c>
      <c r="F1316" s="9" t="n">
        <v>24</v>
      </c>
      <c r="G1316" s="11" t="s">
        <v>51</v>
      </c>
      <c r="H1316" s="9" t="n">
        <v>2110405</v>
      </c>
      <c r="I1316" s="11" t="s">
        <v>56</v>
      </c>
      <c r="J1316" s="9" t="n">
        <v>1397337</v>
      </c>
      <c r="L1316" s="9" t="n">
        <v>187915</v>
      </c>
      <c r="M1316" s="11" t="s">
        <v>52</v>
      </c>
      <c r="N1316" s="11" t="s">
        <v>45</v>
      </c>
      <c r="P1316" s="9" t="n">
        <v>113</v>
      </c>
      <c r="Q1316" s="11" t="s">
        <v>46</v>
      </c>
      <c r="R1316" s="11" t="s">
        <v>47</v>
      </c>
      <c r="S1316" s="9" t="n">
        <v>1130101</v>
      </c>
      <c r="T1316" s="11" t="s">
        <v>48</v>
      </c>
      <c r="U1316" s="12" t="n">
        <v>278.28</v>
      </c>
      <c r="W1316" s="12" t="n">
        <v>278.28</v>
      </c>
      <c r="X1316" s="11" t="s">
        <v>1122</v>
      </c>
      <c r="Z1316" s="0" t="str">
        <f aca="false">IF($T1316="","",IFERROR(INDEX('Resumo Grupos'!$AC$3:$AC$200,MATCH($T1316,'Resumo Grupos'!$AB$3:$AB$200,0)),"n/d"))</f>
        <v>Mercadoria</v>
      </c>
      <c r="AA1316" s="0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9" t="n">
        <v>2</v>
      </c>
      <c r="B1317" s="10" t="n">
        <v>46227</v>
      </c>
      <c r="C1317" s="10" t="n">
        <v>46241</v>
      </c>
      <c r="D1317" s="9" t="n">
        <v>1700</v>
      </c>
      <c r="E1317" s="11" t="s">
        <v>1215</v>
      </c>
      <c r="F1317" s="9" t="n">
        <v>24</v>
      </c>
      <c r="G1317" s="11" t="s">
        <v>51</v>
      </c>
      <c r="H1317" s="9" t="n">
        <v>2110405</v>
      </c>
      <c r="I1317" s="11" t="s">
        <v>56</v>
      </c>
      <c r="J1317" s="9" t="n">
        <v>1444956</v>
      </c>
      <c r="L1317" s="9" t="n">
        <v>195512</v>
      </c>
      <c r="M1317" s="11" t="s">
        <v>52</v>
      </c>
      <c r="N1317" s="11" t="s">
        <v>45</v>
      </c>
      <c r="P1317" s="9" t="n">
        <v>113</v>
      </c>
      <c r="Q1317" s="11" t="s">
        <v>46</v>
      </c>
      <c r="R1317" s="11" t="s">
        <v>47</v>
      </c>
      <c r="S1317" s="9" t="n">
        <v>1130101</v>
      </c>
      <c r="T1317" s="11" t="s">
        <v>48</v>
      </c>
      <c r="U1317" s="12" t="n">
        <v>690</v>
      </c>
      <c r="W1317" s="12" t="n">
        <v>690</v>
      </c>
      <c r="X1317" s="11" t="s">
        <v>1216</v>
      </c>
      <c r="Z1317" s="0" t="str">
        <f aca="false">IF($T1317="","",IFERROR(INDEX('Resumo Grupos'!$AC$3:$AC$200,MATCH($T1317,'Resumo Grupos'!$AB$3:$AB$200,0)),"n/d"))</f>
        <v>Mercadoria</v>
      </c>
      <c r="AA1317" s="0" t="str">
        <f aca="false">IF($T1317="","",IF(COUNTIF('Resumo Grupos'!$AE$3:$AE$40,$T1317)&gt;0,"NAO","SIM"))</f>
        <v>SIM</v>
      </c>
      <c r="AB1317" s="0" t="str">
        <f aca="false">IFERROR(INDEX('Mov Entradas (Rel 10497)'!$L:$L,MATCH(AC1317,'Mov Entradas (Rel 10497)'!$I:$I,0)),"nao encontrado")</f>
        <v>OLEO DE SOJA CONCORD</v>
      </c>
      <c r="AC1317" s="0" t="n">
        <v>294640</v>
      </c>
    </row>
    <row r="1318" customFormat="false" ht="12.75" hidden="false" customHeight="true" outlineLevel="0" collapsed="false">
      <c r="A1318" s="9" t="n">
        <v>2</v>
      </c>
      <c r="B1318" s="10" t="n">
        <v>46241</v>
      </c>
      <c r="C1318" s="10" t="n">
        <v>46241</v>
      </c>
      <c r="D1318" s="9" t="n">
        <v>48</v>
      </c>
      <c r="E1318" s="11" t="s">
        <v>153</v>
      </c>
      <c r="F1318" s="9" t="n">
        <v>13</v>
      </c>
      <c r="G1318" s="11" t="s">
        <v>135</v>
      </c>
      <c r="H1318" s="9" t="n">
        <v>2110101</v>
      </c>
      <c r="I1318" s="11" t="s">
        <v>43</v>
      </c>
      <c r="J1318" s="9" t="n">
        <v>1513987</v>
      </c>
      <c r="L1318" s="9" t="n">
        <v>2590</v>
      </c>
      <c r="M1318" s="11" t="s">
        <v>52</v>
      </c>
      <c r="N1318" s="11" t="s">
        <v>37</v>
      </c>
      <c r="P1318" s="9" t="n">
        <v>113</v>
      </c>
      <c r="Q1318" s="11" t="s">
        <v>46</v>
      </c>
      <c r="R1318" s="11" t="s">
        <v>47</v>
      </c>
      <c r="S1318" s="9" t="n">
        <v>1130101</v>
      </c>
      <c r="T1318" s="11" t="s">
        <v>48</v>
      </c>
      <c r="U1318" s="12" t="n">
        <v>300</v>
      </c>
      <c r="W1318" s="12" t="n">
        <v>300</v>
      </c>
      <c r="X1318" s="11" t="s">
        <v>1217</v>
      </c>
      <c r="Z1318" s="0" t="str">
        <f aca="false">IF($T1318="","",IFERROR(INDEX('Resumo Grupos'!$AC$3:$AC$200,MATCH($T1318,'Resumo Grupos'!$AB$3:$AB$200,0)),"n/d"))</f>
        <v>Mercadoria</v>
      </c>
      <c r="AA1318" s="0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9" t="n">
        <v>2</v>
      </c>
      <c r="B1319" s="10" t="n">
        <v>46241</v>
      </c>
      <c r="C1319" s="10" t="n">
        <v>46241</v>
      </c>
      <c r="D1319" s="9" t="n">
        <v>48</v>
      </c>
      <c r="E1319" s="11" t="s">
        <v>153</v>
      </c>
      <c r="F1319" s="9" t="n">
        <v>34</v>
      </c>
      <c r="G1319" s="11" t="s">
        <v>55</v>
      </c>
      <c r="H1319" s="9" t="n">
        <v>2110101</v>
      </c>
      <c r="I1319" s="11" t="s">
        <v>43</v>
      </c>
      <c r="J1319" s="9" t="n">
        <v>1514649</v>
      </c>
      <c r="L1319" s="9" t="n">
        <v>2594</v>
      </c>
      <c r="M1319" s="11" t="s">
        <v>52</v>
      </c>
      <c r="N1319" s="11" t="s">
        <v>37</v>
      </c>
      <c r="P1319" s="9" t="n">
        <v>113</v>
      </c>
      <c r="Q1319" s="11" t="s">
        <v>46</v>
      </c>
      <c r="R1319" s="11" t="s">
        <v>47</v>
      </c>
      <c r="S1319" s="9" t="n">
        <v>1130101</v>
      </c>
      <c r="T1319" s="11" t="s">
        <v>48</v>
      </c>
      <c r="U1319" s="12" t="n">
        <v>175</v>
      </c>
      <c r="W1319" s="12" t="n">
        <v>175</v>
      </c>
      <c r="X1319" s="11" t="s">
        <v>1218</v>
      </c>
      <c r="Z1319" s="0" t="str">
        <f aca="false">IF($T1319="","",IFERROR(INDEX('Resumo Grupos'!$AC$3:$AC$200,MATCH($T1319,'Resumo Grupos'!$AB$3:$AB$200,0)),"n/d"))</f>
        <v>Mercadoria</v>
      </c>
      <c r="AA1319" s="0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9" t="n">
        <v>2</v>
      </c>
      <c r="B1320" s="10" t="n">
        <v>46241</v>
      </c>
      <c r="C1320" s="10" t="n">
        <v>46241</v>
      </c>
      <c r="D1320" s="9" t="n">
        <v>48</v>
      </c>
      <c r="E1320" s="11" t="s">
        <v>153</v>
      </c>
      <c r="F1320" s="9" t="n">
        <v>34</v>
      </c>
      <c r="G1320" s="11" t="s">
        <v>55</v>
      </c>
      <c r="H1320" s="9" t="n">
        <v>2110101</v>
      </c>
      <c r="I1320" s="11" t="s">
        <v>43</v>
      </c>
      <c r="J1320" s="9" t="n">
        <v>1514680</v>
      </c>
      <c r="L1320" s="9" t="n">
        <v>2595</v>
      </c>
      <c r="M1320" s="11" t="s">
        <v>52</v>
      </c>
      <c r="N1320" s="11" t="s">
        <v>37</v>
      </c>
      <c r="P1320" s="9" t="n">
        <v>113</v>
      </c>
      <c r="Q1320" s="11" t="s">
        <v>46</v>
      </c>
      <c r="R1320" s="11" t="s">
        <v>47</v>
      </c>
      <c r="S1320" s="9" t="n">
        <v>1130101</v>
      </c>
      <c r="T1320" s="11" t="s">
        <v>48</v>
      </c>
      <c r="U1320" s="12" t="n">
        <v>1848.86</v>
      </c>
      <c r="W1320" s="12" t="n">
        <v>1848.86</v>
      </c>
      <c r="X1320" s="11" t="s">
        <v>1219</v>
      </c>
      <c r="Z1320" s="0" t="str">
        <f aca="false">IF($T1320="","",IFERROR(INDEX('Resumo Grupos'!$AC$3:$AC$200,MATCH($T1320,'Resumo Grupos'!$AB$3:$AB$200,0)),"n/d"))</f>
        <v>Mercadoria</v>
      </c>
      <c r="AA1320" s="0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9" t="n">
        <v>2</v>
      </c>
      <c r="B1321" s="10" t="n">
        <v>46232</v>
      </c>
      <c r="C1321" s="10" t="n">
        <v>46241</v>
      </c>
      <c r="D1321" s="9" t="n">
        <v>1932</v>
      </c>
      <c r="E1321" s="11" t="s">
        <v>278</v>
      </c>
      <c r="F1321" s="9" t="n">
        <v>34</v>
      </c>
      <c r="G1321" s="11" t="s">
        <v>55</v>
      </c>
      <c r="H1321" s="9" t="n">
        <v>2110405</v>
      </c>
      <c r="I1321" s="11" t="s">
        <v>56</v>
      </c>
      <c r="J1321" s="9" t="n">
        <v>1469462</v>
      </c>
      <c r="L1321" s="9" t="n">
        <v>199057</v>
      </c>
      <c r="M1321" s="11" t="s">
        <v>52</v>
      </c>
      <c r="N1321" s="11" t="s">
        <v>45</v>
      </c>
      <c r="P1321" s="9" t="n">
        <v>101</v>
      </c>
      <c r="Q1321" s="11" t="s">
        <v>57</v>
      </c>
      <c r="R1321" s="11" t="s">
        <v>71</v>
      </c>
      <c r="S1321" s="9" t="n">
        <v>4210315</v>
      </c>
      <c r="T1321" s="11" t="s">
        <v>279</v>
      </c>
      <c r="U1321" s="12" t="n">
        <v>119.97</v>
      </c>
      <c r="W1321" s="12" t="n">
        <v>119.97</v>
      </c>
      <c r="X1321" s="11" t="s">
        <v>1220</v>
      </c>
      <c r="Z1321" s="0" t="str">
        <f aca="false">IF($T1321="","",IFERROR(INDEX('Resumo Grupos'!$AC$3:$AC$200,MATCH($T1321,'Resumo Grupos'!$AB$3:$AB$200,0)),"n/d"))</f>
        <v>Despesa</v>
      </c>
      <c r="AA1321" s="0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9" t="n">
        <v>2</v>
      </c>
      <c r="B1322" s="10" t="n">
        <v>46241</v>
      </c>
      <c r="C1322" s="10" t="n">
        <v>46241</v>
      </c>
      <c r="D1322" s="9" t="n">
        <v>0</v>
      </c>
      <c r="E1322" s="11" t="s">
        <v>109</v>
      </c>
      <c r="F1322" s="9" t="n">
        <v>17</v>
      </c>
      <c r="G1322" s="11" t="s">
        <v>110</v>
      </c>
      <c r="H1322" s="9" t="n">
        <v>1110101</v>
      </c>
      <c r="I1322" s="11" t="s">
        <v>111</v>
      </c>
      <c r="J1322" s="9" t="n">
        <v>1528752</v>
      </c>
      <c r="L1322" s="9" t="n">
        <v>1528752</v>
      </c>
      <c r="M1322" s="11" t="s">
        <v>52</v>
      </c>
      <c r="N1322" s="11" t="s">
        <v>112</v>
      </c>
      <c r="P1322" s="9" t="n">
        <v>113</v>
      </c>
      <c r="Q1322" s="11" t="s">
        <v>46</v>
      </c>
      <c r="R1322" s="11" t="s">
        <v>259</v>
      </c>
      <c r="S1322" s="9" t="n">
        <v>2110101</v>
      </c>
      <c r="T1322" s="11" t="s">
        <v>43</v>
      </c>
      <c r="U1322" s="12" t="n">
        <v>300</v>
      </c>
      <c r="W1322" s="12" t="n">
        <v>300</v>
      </c>
      <c r="X1322" s="11" t="s">
        <v>1221</v>
      </c>
      <c r="Z1322" s="0" t="str">
        <f aca="false">IF($T1322="","",IFERROR(INDEX('Resumo Grupos'!$AC$3:$AC$200,MATCH($T1322,'Resumo Grupos'!$AB$3:$AB$200,0)),"n/d"))</f>
        <v>Despesa</v>
      </c>
      <c r="AA1322" s="0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9" t="n">
        <v>2</v>
      </c>
      <c r="B1323" s="10" t="n">
        <v>46241</v>
      </c>
      <c r="C1323" s="10" t="n">
        <v>46241</v>
      </c>
      <c r="D1323" s="9" t="n">
        <v>0</v>
      </c>
      <c r="E1323" s="11" t="s">
        <v>109</v>
      </c>
      <c r="F1323" s="9" t="n">
        <v>17</v>
      </c>
      <c r="G1323" s="11" t="s">
        <v>110</v>
      </c>
      <c r="H1323" s="9" t="n">
        <v>1110101</v>
      </c>
      <c r="I1323" s="11" t="s">
        <v>111</v>
      </c>
      <c r="J1323" s="9" t="n">
        <v>1528765</v>
      </c>
      <c r="L1323" s="9" t="n">
        <v>1528765</v>
      </c>
      <c r="M1323" s="11" t="s">
        <v>52</v>
      </c>
      <c r="N1323" s="11" t="s">
        <v>112</v>
      </c>
      <c r="P1323" s="9" t="n">
        <v>113</v>
      </c>
      <c r="Q1323" s="11" t="s">
        <v>46</v>
      </c>
      <c r="R1323" s="11" t="s">
        <v>71</v>
      </c>
      <c r="S1323" s="9" t="n">
        <v>4210314</v>
      </c>
      <c r="T1323" s="11" t="s">
        <v>113</v>
      </c>
      <c r="U1323" s="12" t="n">
        <v>50</v>
      </c>
      <c r="W1323" s="12" t="n">
        <v>50</v>
      </c>
      <c r="X1323" s="11" t="s">
        <v>368</v>
      </c>
      <c r="Z1323" s="0" t="str">
        <f aca="false">IF($T1323="","",IFERROR(INDEX('Resumo Grupos'!$AC$3:$AC$200,MATCH($T1323,'Resumo Grupos'!$AB$3:$AB$200,0)),"n/d"))</f>
        <v>Despesa</v>
      </c>
      <c r="AA1323" s="0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9" t="n">
        <v>2</v>
      </c>
      <c r="B1324" s="10" t="n">
        <v>46241</v>
      </c>
      <c r="C1324" s="10" t="n">
        <v>46241</v>
      </c>
      <c r="D1324" s="9" t="n">
        <v>0</v>
      </c>
      <c r="E1324" s="11" t="s">
        <v>109</v>
      </c>
      <c r="F1324" s="9" t="n">
        <v>17</v>
      </c>
      <c r="G1324" s="11" t="s">
        <v>110</v>
      </c>
      <c r="H1324" s="9" t="n">
        <v>1110101</v>
      </c>
      <c r="I1324" s="11" t="s">
        <v>111</v>
      </c>
      <c r="J1324" s="9" t="n">
        <v>1528767</v>
      </c>
      <c r="L1324" s="9" t="n">
        <v>1528767</v>
      </c>
      <c r="M1324" s="11" t="s">
        <v>52</v>
      </c>
      <c r="N1324" s="11" t="s">
        <v>112</v>
      </c>
      <c r="P1324" s="9" t="n">
        <v>113</v>
      </c>
      <c r="Q1324" s="11" t="s">
        <v>46</v>
      </c>
      <c r="R1324" s="11" t="s">
        <v>71</v>
      </c>
      <c r="S1324" s="9" t="n">
        <v>4210314</v>
      </c>
      <c r="T1324" s="11" t="s">
        <v>113</v>
      </c>
      <c r="U1324" s="12" t="n">
        <v>80</v>
      </c>
      <c r="W1324" s="12" t="n">
        <v>80</v>
      </c>
      <c r="X1324" s="11" t="s">
        <v>1222</v>
      </c>
      <c r="Z1324" s="0" t="str">
        <f aca="false">IF($T1324="","",IFERROR(INDEX('Resumo Grupos'!$AC$3:$AC$200,MATCH($T1324,'Resumo Grupos'!$AB$3:$AB$200,0)),"n/d"))</f>
        <v>Despesa</v>
      </c>
      <c r="AA1324" s="0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9" t="n">
        <v>2</v>
      </c>
      <c r="B1325" s="10" t="n">
        <v>46241</v>
      </c>
      <c r="C1325" s="10" t="n">
        <v>46241</v>
      </c>
      <c r="D1325" s="9" t="n">
        <v>0</v>
      </c>
      <c r="E1325" s="11" t="s">
        <v>109</v>
      </c>
      <c r="F1325" s="9" t="n">
        <v>17</v>
      </c>
      <c r="G1325" s="11" t="s">
        <v>110</v>
      </c>
      <c r="H1325" s="9" t="n">
        <v>1110101</v>
      </c>
      <c r="I1325" s="11" t="s">
        <v>111</v>
      </c>
      <c r="J1325" s="9" t="n">
        <v>1716310</v>
      </c>
      <c r="L1325" s="9" t="n">
        <v>1716310</v>
      </c>
      <c r="M1325" s="11" t="s">
        <v>52</v>
      </c>
      <c r="N1325" s="11" t="s">
        <v>112</v>
      </c>
      <c r="P1325" s="9" t="n">
        <v>113</v>
      </c>
      <c r="Q1325" s="11" t="s">
        <v>46</v>
      </c>
      <c r="R1325" s="11" t="s">
        <v>116</v>
      </c>
      <c r="S1325" s="9" t="n">
        <v>1110203</v>
      </c>
      <c r="T1325" s="11" t="s">
        <v>117</v>
      </c>
      <c r="U1325" s="12" t="n">
        <v>3050</v>
      </c>
      <c r="W1325" s="12" t="n">
        <v>3050</v>
      </c>
      <c r="X1325" s="11" t="s">
        <v>1223</v>
      </c>
      <c r="Z1325" s="0" t="str">
        <f aca="false">IF($T1325="","",IFERROR(INDEX('Resumo Grupos'!$AC$3:$AC$200,MATCH($T1325,'Resumo Grupos'!$AB$3:$AB$200,0)),"n/d"))</f>
        <v>Despesa</v>
      </c>
      <c r="AA1325" s="0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9" t="n">
        <v>2</v>
      </c>
      <c r="B1326" s="10" t="n">
        <v>46227</v>
      </c>
      <c r="C1326" s="10" t="n">
        <v>46241</v>
      </c>
      <c r="D1326" s="9" t="n">
        <v>1666</v>
      </c>
      <c r="E1326" s="11" t="s">
        <v>266</v>
      </c>
      <c r="F1326" s="9" t="n">
        <v>24</v>
      </c>
      <c r="G1326" s="11" t="s">
        <v>51</v>
      </c>
      <c r="H1326" s="9" t="n">
        <v>2110405</v>
      </c>
      <c r="I1326" s="11" t="s">
        <v>56</v>
      </c>
      <c r="J1326" s="9" t="n">
        <v>1443864</v>
      </c>
      <c r="L1326" s="9" t="n">
        <v>195265</v>
      </c>
      <c r="M1326" s="11" t="s">
        <v>52</v>
      </c>
      <c r="N1326" s="11" t="s">
        <v>45</v>
      </c>
      <c r="P1326" s="9" t="n">
        <v>113</v>
      </c>
      <c r="Q1326" s="11" t="s">
        <v>46</v>
      </c>
      <c r="R1326" s="11" t="s">
        <v>47</v>
      </c>
      <c r="S1326" s="9" t="n">
        <v>1130101</v>
      </c>
      <c r="T1326" s="11" t="s">
        <v>48</v>
      </c>
      <c r="U1326" s="12" t="n">
        <v>6221.08</v>
      </c>
      <c r="W1326" s="12" t="n">
        <v>6221.08</v>
      </c>
      <c r="X1326" s="11" t="s">
        <v>1126</v>
      </c>
      <c r="Z1326" s="0" t="str">
        <f aca="false">IF($T1326="","",IFERROR(INDEX('Resumo Grupos'!$AC$3:$AC$200,MATCH($T1326,'Resumo Grupos'!$AB$3:$AB$200,0)),"n/d"))</f>
        <v>Mercadoria</v>
      </c>
      <c r="AA1326" s="0" t="str">
        <f aca="false">IF($T1326="","",IF(COUNTIF('Resumo Grupos'!$AE$3:$AE$40,$T1326)&gt;0,"NAO","SIM"))</f>
        <v>SIM</v>
      </c>
      <c r="AB1326" s="0" t="str">
        <f aca="false">IFERROR(INDEX('Mov Entradas (Rel 10497)'!$L:$L,MATCH(AC1326,'Mov Entradas (Rel 10497)'!$I:$I,0)),"nao encontrado")</f>
        <v>TABACO TREVO NAT.45G</v>
      </c>
      <c r="AC1326" s="0" t="n">
        <v>568309</v>
      </c>
    </row>
    <row r="1327" customFormat="false" ht="12.75" hidden="false" customHeight="true" outlineLevel="0" collapsed="false">
      <c r="A1327" s="9" t="n">
        <v>2</v>
      </c>
      <c r="B1327" s="10" t="n">
        <v>46228</v>
      </c>
      <c r="C1327" s="10" t="n">
        <v>46241</v>
      </c>
      <c r="D1327" s="9" t="n">
        <v>1643</v>
      </c>
      <c r="E1327" s="11" t="s">
        <v>212</v>
      </c>
      <c r="F1327" s="9" t="n">
        <v>24</v>
      </c>
      <c r="G1327" s="11" t="s">
        <v>51</v>
      </c>
      <c r="H1327" s="9" t="n">
        <v>2110405</v>
      </c>
      <c r="I1327" s="11" t="s">
        <v>56</v>
      </c>
      <c r="J1327" s="9" t="n">
        <v>1448223</v>
      </c>
      <c r="L1327" s="9" t="n">
        <v>196009</v>
      </c>
      <c r="M1327" s="11" t="s">
        <v>52</v>
      </c>
      <c r="N1327" s="11" t="s">
        <v>45</v>
      </c>
      <c r="P1327" s="9" t="n">
        <v>113</v>
      </c>
      <c r="Q1327" s="11" t="s">
        <v>46</v>
      </c>
      <c r="R1327" s="11" t="s">
        <v>47</v>
      </c>
      <c r="S1327" s="9" t="n">
        <v>1130101</v>
      </c>
      <c r="T1327" s="11" t="s">
        <v>48</v>
      </c>
      <c r="U1327" s="12" t="n">
        <v>228</v>
      </c>
      <c r="W1327" s="12" t="n">
        <v>228</v>
      </c>
      <c r="X1327" s="11" t="s">
        <v>1224</v>
      </c>
      <c r="Z1327" s="0" t="str">
        <f aca="false">IF($T1327="","",IFERROR(INDEX('Resumo Grupos'!$AC$3:$AC$200,MATCH($T1327,'Resumo Grupos'!$AB$3:$AB$200,0)),"n/d"))</f>
        <v>Mercadoria</v>
      </c>
      <c r="AA1327" s="0" t="str">
        <f aca="false">IF($T1327="","",IF(COUNTIF('Resumo Grupos'!$AE$3:$AE$40,$T1327)&gt;0,"NAO","SIM"))</f>
        <v>SIM</v>
      </c>
      <c r="AB1327" s="0" t="str">
        <f aca="false">IFERROR(INDEX('Mov Entradas (Rel 10497)'!$L:$L,MATCH(AC1327,'Mov Entradas (Rel 10497)'!$I:$I,0)),"nao encontrado")</f>
        <v>COCADA CASMORENINH</v>
      </c>
      <c r="AC1327" s="0" t="n">
        <v>10760</v>
      </c>
    </row>
    <row r="1328" customFormat="false" ht="12.75" hidden="false" customHeight="true" outlineLevel="0" collapsed="false">
      <c r="A1328" s="9" t="n">
        <v>2</v>
      </c>
      <c r="B1328" s="10" t="n">
        <v>46221</v>
      </c>
      <c r="C1328" s="10" t="n">
        <v>46241</v>
      </c>
      <c r="D1328" s="9" t="n">
        <v>1402</v>
      </c>
      <c r="E1328" s="11" t="s">
        <v>1225</v>
      </c>
      <c r="F1328" s="9" t="n">
        <v>24</v>
      </c>
      <c r="G1328" s="11" t="s">
        <v>51</v>
      </c>
      <c r="H1328" s="9" t="n">
        <v>2110405</v>
      </c>
      <c r="I1328" s="11" t="s">
        <v>56</v>
      </c>
      <c r="J1328" s="9" t="n">
        <v>1414989</v>
      </c>
      <c r="L1328" s="9" t="n">
        <v>190765</v>
      </c>
      <c r="M1328" s="11" t="s">
        <v>52</v>
      </c>
      <c r="N1328" s="11" t="s">
        <v>45</v>
      </c>
      <c r="P1328" s="9" t="n">
        <v>113</v>
      </c>
      <c r="Q1328" s="11" t="s">
        <v>46</v>
      </c>
      <c r="R1328" s="11" t="s">
        <v>39</v>
      </c>
      <c r="S1328" s="9" t="n">
        <v>4210299</v>
      </c>
      <c r="T1328" s="11" t="s">
        <v>165</v>
      </c>
      <c r="U1328" s="12" t="n">
        <v>1109.15</v>
      </c>
      <c r="W1328" s="12" t="n">
        <v>1109.15</v>
      </c>
      <c r="X1328" s="11" t="s">
        <v>1226</v>
      </c>
      <c r="Z1328" s="0" t="str">
        <f aca="false">IF($T1328="","",IFERROR(INDEX('Resumo Grupos'!$AC$3:$AC$200,MATCH($T1328,'Resumo Grupos'!$AB$3:$AB$200,0)),"n/d"))</f>
        <v>Despesa</v>
      </c>
      <c r="AA1328" s="0" t="str">
        <f aca="false">IF($T1328="","",IF(COUNTIF('Resumo Grupos'!$AE$3:$AE$40,$T1328)&gt;0,"NAO","SIM"))</f>
        <v>SIM</v>
      </c>
      <c r="AB1328" s="0" t="str">
        <f aca="false">IFERROR(INDEX('Mov Entradas (Rel 10497)'!$L:$L,MATCH(AC1328,'Mov Entradas (Rel 10497)'!$I:$I,0)),"nao encontrado")</f>
        <v>SACOLA REC.LEITOSA 5KG 30X45X0,30</v>
      </c>
      <c r="AC1328" s="0" t="n">
        <v>3855</v>
      </c>
    </row>
    <row r="1329" customFormat="false" ht="12.75" hidden="false" customHeight="true" outlineLevel="0" collapsed="false">
      <c r="A1329" s="9" t="n">
        <v>2</v>
      </c>
      <c r="B1329" s="10" t="n">
        <v>46226</v>
      </c>
      <c r="C1329" s="10" t="n">
        <v>46242</v>
      </c>
      <c r="D1329" s="9" t="n">
        <v>1659</v>
      </c>
      <c r="E1329" s="11" t="s">
        <v>214</v>
      </c>
      <c r="F1329" s="9" t="n">
        <v>24</v>
      </c>
      <c r="G1329" s="11" t="s">
        <v>51</v>
      </c>
      <c r="H1329" s="9" t="n">
        <v>2110405</v>
      </c>
      <c r="I1329" s="11" t="s">
        <v>56</v>
      </c>
      <c r="J1329" s="9" t="n">
        <v>1439433</v>
      </c>
      <c r="L1329" s="9" t="n">
        <v>194549</v>
      </c>
      <c r="M1329" s="11" t="s">
        <v>52</v>
      </c>
      <c r="N1329" s="11" t="s">
        <v>45</v>
      </c>
      <c r="P1329" s="9" t="n">
        <v>113</v>
      </c>
      <c r="Q1329" s="11" t="s">
        <v>46</v>
      </c>
      <c r="R1329" s="11" t="s">
        <v>47</v>
      </c>
      <c r="S1329" s="9" t="n">
        <v>1130101</v>
      </c>
      <c r="T1329" s="11" t="s">
        <v>48</v>
      </c>
      <c r="U1329" s="12" t="n">
        <v>1006.04</v>
      </c>
      <c r="W1329" s="12" t="n">
        <v>1006.04</v>
      </c>
      <c r="X1329" s="11" t="s">
        <v>1227</v>
      </c>
      <c r="Z1329" s="0" t="str">
        <f aca="false">IF($T1329="","",IFERROR(INDEX('Resumo Grupos'!$AC$3:$AC$200,MATCH($T1329,'Resumo Grupos'!$AB$3:$AB$200,0)),"n/d"))</f>
        <v>Mercadoria</v>
      </c>
      <c r="AA1329" s="0" t="str">
        <f aca="false">IF($T1329="","",IF(COUNTIF('Resumo Grupos'!$AE$3:$AE$40,$T1329)&gt;0,"NAO","SIM"))</f>
        <v>SIM</v>
      </c>
      <c r="AB1329" s="0" t="str">
        <f aca="false">IFERROR(INDEX('Mov Entradas (Rel 10497)'!$L:$L,MATCH(AC1329,'Mov Entradas (Rel 10497)'!$I:$I,0)),"nao encontrado")</f>
        <v>MOCOQUINHA 200ML</v>
      </c>
      <c r="AC1329" s="0" t="n">
        <v>886799</v>
      </c>
    </row>
    <row r="1330" customFormat="false" ht="12.75" hidden="false" customHeight="true" outlineLevel="0" collapsed="false">
      <c r="A1330" s="9" t="n">
        <v>2</v>
      </c>
      <c r="B1330" s="10" t="n">
        <v>46237</v>
      </c>
      <c r="C1330" s="10" t="n">
        <v>46242</v>
      </c>
      <c r="D1330" s="9" t="n">
        <v>1695</v>
      </c>
      <c r="E1330" s="11" t="s">
        <v>390</v>
      </c>
      <c r="F1330" s="9" t="n">
        <v>24</v>
      </c>
      <c r="G1330" s="11" t="s">
        <v>51</v>
      </c>
      <c r="H1330" s="9" t="n">
        <v>2110405</v>
      </c>
      <c r="I1330" s="11" t="s">
        <v>56</v>
      </c>
      <c r="J1330" s="9" t="n">
        <v>1493381</v>
      </c>
      <c r="L1330" s="9" t="n">
        <v>202553</v>
      </c>
      <c r="M1330" s="11" t="s">
        <v>52</v>
      </c>
      <c r="N1330" s="11" t="s">
        <v>45</v>
      </c>
      <c r="P1330" s="9" t="n">
        <v>113</v>
      </c>
      <c r="Q1330" s="11" t="s">
        <v>46</v>
      </c>
      <c r="R1330" s="11" t="s">
        <v>47</v>
      </c>
      <c r="S1330" s="9" t="n">
        <v>1130101</v>
      </c>
      <c r="T1330" s="11" t="s">
        <v>48</v>
      </c>
      <c r="U1330" s="12" t="n">
        <v>1563.41</v>
      </c>
      <c r="W1330" s="12" t="n">
        <v>1563.41</v>
      </c>
      <c r="X1330" s="11" t="s">
        <v>1228</v>
      </c>
      <c r="Z1330" s="0" t="str">
        <f aca="false">IF($T1330="","",IFERROR(INDEX('Resumo Grupos'!$AC$3:$AC$200,MATCH($T1330,'Resumo Grupos'!$AB$3:$AB$200,0)),"n/d"))</f>
        <v>Mercadoria</v>
      </c>
      <c r="AA1330" s="0" t="str">
        <f aca="false">IF($T1330="","",IF(COUNTIF('Resumo Grupos'!$AE$3:$AE$40,$T1330)&gt;0,"NAO","SIM"))</f>
        <v>SIM</v>
      </c>
      <c r="AB1330" s="0" t="str">
        <f aca="false">IFERROR(INDEX('Mov Entradas (Rel 10497)'!$L:$L,MATCH(AC1330,'Mov Entradas (Rel 10497)'!$I:$I,0)),"nao encontrado")</f>
        <v>SALSICHA PERDIGÃO KG</v>
      </c>
      <c r="AC1330" s="0" t="n">
        <v>19579</v>
      </c>
    </row>
    <row r="1331" customFormat="false" ht="12.75" hidden="false" customHeight="true" outlineLevel="0" collapsed="false">
      <c r="A1331" s="9" t="n">
        <v>2</v>
      </c>
      <c r="B1331" s="10" t="n">
        <v>46242</v>
      </c>
      <c r="C1331" s="10" t="n">
        <v>46242</v>
      </c>
      <c r="D1331" s="9" t="n">
        <v>10096</v>
      </c>
      <c r="E1331" s="11" t="s">
        <v>622</v>
      </c>
      <c r="F1331" s="9" t="n">
        <v>13</v>
      </c>
      <c r="G1331" s="11" t="s">
        <v>135</v>
      </c>
      <c r="H1331" s="9" t="n">
        <v>2110405</v>
      </c>
      <c r="I1331" s="11" t="s">
        <v>56</v>
      </c>
      <c r="J1331" s="9" t="n">
        <v>1528797</v>
      </c>
      <c r="L1331" s="9" t="n">
        <v>207868</v>
      </c>
      <c r="M1331" s="11" t="s">
        <v>52</v>
      </c>
      <c r="N1331" s="11" t="s">
        <v>45</v>
      </c>
      <c r="P1331" s="9" t="n">
        <v>113</v>
      </c>
      <c r="Q1331" s="11" t="s">
        <v>46</v>
      </c>
      <c r="R1331" s="11" t="s">
        <v>47</v>
      </c>
      <c r="S1331" s="9" t="n">
        <v>1130101</v>
      </c>
      <c r="T1331" s="11" t="s">
        <v>48</v>
      </c>
      <c r="U1331" s="12" t="n">
        <v>200</v>
      </c>
      <c r="W1331" s="12" t="n">
        <v>200</v>
      </c>
      <c r="X1331" s="11" t="s">
        <v>1229</v>
      </c>
      <c r="Z1331" s="0" t="str">
        <f aca="false">IF($T1331="","",IFERROR(INDEX('Resumo Grupos'!$AC$3:$AC$200,MATCH($T1331,'Resumo Grupos'!$AB$3:$AB$200,0)),"n/d"))</f>
        <v>Mercadoria</v>
      </c>
      <c r="AA1331" s="0" t="str">
        <f aca="false">IF($T1331="","",IF(COUNTIF('Resumo Grupos'!$AE$3:$AE$40,$T1331)&gt;0,"NAO","SIM"))</f>
        <v>SIM</v>
      </c>
      <c r="AB1331" s="0" t="str">
        <f aca="false">IFERROR(INDEX('Mov Entradas (Rel 10497)'!$L:$L,MATCH(AC1331,'Mov Entradas (Rel 10497)'!$I:$I,0)),"nao encontrado")</f>
        <v>BOLO MIYAZAKI GRANDE</v>
      </c>
      <c r="AC1331" s="0" t="n">
        <v>138</v>
      </c>
    </row>
    <row r="1332" customFormat="false" ht="12.75" hidden="false" customHeight="true" outlineLevel="0" collapsed="false">
      <c r="A1332" s="9" t="n">
        <v>2</v>
      </c>
      <c r="B1332" s="10" t="n">
        <v>46237</v>
      </c>
      <c r="C1332" s="10" t="n">
        <v>46242</v>
      </c>
      <c r="D1332" s="9" t="n">
        <v>1815</v>
      </c>
      <c r="E1332" s="11" t="s">
        <v>172</v>
      </c>
      <c r="F1332" s="9" t="n">
        <v>24</v>
      </c>
      <c r="G1332" s="11" t="s">
        <v>51</v>
      </c>
      <c r="H1332" s="9" t="n">
        <v>2110405</v>
      </c>
      <c r="I1332" s="11" t="s">
        <v>56</v>
      </c>
      <c r="J1332" s="9" t="n">
        <v>1493125</v>
      </c>
      <c r="L1332" s="9" t="n">
        <v>202488</v>
      </c>
      <c r="M1332" s="11" t="s">
        <v>52</v>
      </c>
      <c r="N1332" s="11" t="s">
        <v>45</v>
      </c>
      <c r="P1332" s="9" t="n">
        <v>113</v>
      </c>
      <c r="Q1332" s="11" t="s">
        <v>46</v>
      </c>
      <c r="R1332" s="11" t="s">
        <v>47</v>
      </c>
      <c r="S1332" s="9" t="n">
        <v>1130101</v>
      </c>
      <c r="T1332" s="11" t="s">
        <v>48</v>
      </c>
      <c r="U1332" s="12" t="n">
        <v>439.5</v>
      </c>
      <c r="W1332" s="12" t="n">
        <v>439.5</v>
      </c>
      <c r="X1332" s="11" t="s">
        <v>1230</v>
      </c>
      <c r="Z1332" s="0" t="str">
        <f aca="false">IF($T1332="","",IFERROR(INDEX('Resumo Grupos'!$AC$3:$AC$200,MATCH($T1332,'Resumo Grupos'!$AB$3:$AB$200,0)),"n/d"))</f>
        <v>Mercadoria</v>
      </c>
      <c r="AA1332" s="0" t="str">
        <f aca="false">IF($T1332="","",IF(COUNTIF('Resumo Grupos'!$AE$3:$AE$40,$T1332)&gt;0,"NAO","SIM"))</f>
        <v>SIM</v>
      </c>
      <c r="AB1332" s="0" t="str">
        <f aca="false">IFERROR(INDEX('Mov Entradas (Rel 10497)'!$L:$L,MATCH(AC1332,'Mov Entradas (Rel 10497)'!$I:$I,0)),"nao encontrado")</f>
        <v>SALSICHA MANA KG</v>
      </c>
      <c r="AC1332" s="0" t="n">
        <v>395656</v>
      </c>
    </row>
    <row r="1333" customFormat="false" ht="12.75" hidden="false" customHeight="true" outlineLevel="0" collapsed="false">
      <c r="A1333" s="9" t="n">
        <v>2</v>
      </c>
      <c r="B1333" s="10" t="n">
        <v>46225</v>
      </c>
      <c r="C1333" s="10" t="n">
        <v>46242</v>
      </c>
      <c r="D1333" s="9" t="n">
        <v>1672</v>
      </c>
      <c r="E1333" s="11" t="s">
        <v>343</v>
      </c>
      <c r="F1333" s="9" t="n">
        <v>24</v>
      </c>
      <c r="G1333" s="11" t="s">
        <v>51</v>
      </c>
      <c r="H1333" s="9" t="n">
        <v>2110405</v>
      </c>
      <c r="I1333" s="11" t="s">
        <v>56</v>
      </c>
      <c r="J1333" s="9" t="n">
        <v>1435902</v>
      </c>
      <c r="L1333" s="9" t="n">
        <v>194002</v>
      </c>
      <c r="M1333" s="11" t="s">
        <v>52</v>
      </c>
      <c r="N1333" s="11" t="s">
        <v>45</v>
      </c>
      <c r="P1333" s="9" t="n">
        <v>113</v>
      </c>
      <c r="Q1333" s="11" t="s">
        <v>46</v>
      </c>
      <c r="R1333" s="11" t="s">
        <v>47</v>
      </c>
      <c r="S1333" s="9" t="n">
        <v>1130101</v>
      </c>
      <c r="T1333" s="11" t="s">
        <v>48</v>
      </c>
      <c r="U1333" s="12" t="n">
        <v>1821.1</v>
      </c>
      <c r="W1333" s="12" t="n">
        <v>1821.1</v>
      </c>
      <c r="X1333" s="11" t="s">
        <v>1231</v>
      </c>
      <c r="Z1333" s="0" t="str">
        <f aca="false">IF($T1333="","",IFERROR(INDEX('Resumo Grupos'!$AC$3:$AC$200,MATCH($T1333,'Resumo Grupos'!$AB$3:$AB$200,0)),"n/d"))</f>
        <v>Mercadoria</v>
      </c>
      <c r="AA1333" s="0" t="str">
        <f aca="false">IF($T1333="","",IF(COUNTIF('Resumo Grupos'!$AE$3:$AE$40,$T1333)&gt;0,"NAO","SIM"))</f>
        <v>SIM</v>
      </c>
      <c r="AB1333" s="0" t="str">
        <f aca="false">IFERROR(INDEX('Mov Entradas (Rel 10497)'!$L:$L,MATCH(AC1333,'Mov Entradas (Rel 10497)'!$I:$I,0)),"nao encontrado")</f>
        <v>REFRIG MAGISTRAL 2L</v>
      </c>
      <c r="AC1333" s="0" t="n">
        <v>1401844</v>
      </c>
    </row>
    <row r="1334" customFormat="false" ht="12.75" hidden="false" customHeight="true" outlineLevel="0" collapsed="false">
      <c r="A1334" s="9" t="n">
        <v>2</v>
      </c>
      <c r="B1334" s="10" t="n">
        <v>46242</v>
      </c>
      <c r="C1334" s="10" t="n">
        <v>46242</v>
      </c>
      <c r="D1334" s="9" t="n">
        <v>0</v>
      </c>
      <c r="E1334" s="11" t="s">
        <v>109</v>
      </c>
      <c r="F1334" s="9" t="n">
        <v>17</v>
      </c>
      <c r="G1334" s="11" t="s">
        <v>110</v>
      </c>
      <c r="H1334" s="9" t="n">
        <v>1110101</v>
      </c>
      <c r="I1334" s="11" t="s">
        <v>111</v>
      </c>
      <c r="J1334" s="9" t="n">
        <v>1528801</v>
      </c>
      <c r="L1334" s="9" t="n">
        <v>1528801</v>
      </c>
      <c r="M1334" s="11" t="s">
        <v>52</v>
      </c>
      <c r="N1334" s="11" t="s">
        <v>112</v>
      </c>
      <c r="P1334" s="9" t="n">
        <v>113</v>
      </c>
      <c r="Q1334" s="11" t="s">
        <v>46</v>
      </c>
      <c r="R1334" s="11" t="s">
        <v>56</v>
      </c>
      <c r="S1334" s="9" t="n">
        <v>2110405</v>
      </c>
      <c r="T1334" s="11" t="s">
        <v>56</v>
      </c>
      <c r="U1334" s="12" t="n">
        <v>200</v>
      </c>
      <c r="W1334" s="12" t="n">
        <v>200</v>
      </c>
      <c r="X1334" s="11" t="s">
        <v>1232</v>
      </c>
      <c r="Z1334" s="0" t="str">
        <f aca="false">IF($T1334="","",IFERROR(INDEX('Resumo Grupos'!$AC$3:$AC$200,MATCH($T1334,'Resumo Grupos'!$AB$3:$AB$200,0)),"n/d"))</f>
        <v>Cobertura de conta</v>
      </c>
      <c r="AA1334" s="0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9" t="n">
        <v>2</v>
      </c>
      <c r="B1335" s="10" t="n">
        <v>46242</v>
      </c>
      <c r="C1335" s="10" t="n">
        <v>46242</v>
      </c>
      <c r="D1335" s="9" t="n">
        <v>0</v>
      </c>
      <c r="E1335" s="11" t="s">
        <v>109</v>
      </c>
      <c r="F1335" s="9" t="n">
        <v>17</v>
      </c>
      <c r="G1335" s="11" t="s">
        <v>110</v>
      </c>
      <c r="H1335" s="9" t="n">
        <v>1110101</v>
      </c>
      <c r="I1335" s="11" t="s">
        <v>111</v>
      </c>
      <c r="J1335" s="9" t="n">
        <v>1528806</v>
      </c>
      <c r="L1335" s="9" t="n">
        <v>1528806</v>
      </c>
      <c r="M1335" s="11" t="s">
        <v>52</v>
      </c>
      <c r="N1335" s="11" t="s">
        <v>112</v>
      </c>
      <c r="P1335" s="9" t="n">
        <v>113</v>
      </c>
      <c r="Q1335" s="11" t="s">
        <v>46</v>
      </c>
      <c r="R1335" s="11" t="s">
        <v>71</v>
      </c>
      <c r="S1335" s="9" t="n">
        <v>4210314</v>
      </c>
      <c r="T1335" s="11" t="s">
        <v>113</v>
      </c>
      <c r="U1335" s="12" t="n">
        <v>50</v>
      </c>
      <c r="W1335" s="12" t="n">
        <v>50</v>
      </c>
      <c r="X1335" s="11" t="s">
        <v>368</v>
      </c>
      <c r="Z1335" s="0" t="str">
        <f aca="false">IF($T1335="","",IFERROR(INDEX('Resumo Grupos'!$AC$3:$AC$200,MATCH($T1335,'Resumo Grupos'!$AB$3:$AB$200,0)),"n/d"))</f>
        <v>Despesa</v>
      </c>
      <c r="AA1335" s="0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9" t="n">
        <v>2</v>
      </c>
      <c r="B1336" s="10" t="n">
        <v>46242</v>
      </c>
      <c r="C1336" s="10" t="n">
        <v>46242</v>
      </c>
      <c r="D1336" s="9" t="n">
        <v>0</v>
      </c>
      <c r="E1336" s="11" t="s">
        <v>109</v>
      </c>
      <c r="F1336" s="9" t="n">
        <v>17</v>
      </c>
      <c r="G1336" s="11" t="s">
        <v>110</v>
      </c>
      <c r="H1336" s="9" t="n">
        <v>1110101</v>
      </c>
      <c r="I1336" s="11" t="s">
        <v>111</v>
      </c>
      <c r="J1336" s="9" t="n">
        <v>1716312</v>
      </c>
      <c r="L1336" s="9" t="n">
        <v>1716312</v>
      </c>
      <c r="M1336" s="11" t="s">
        <v>52</v>
      </c>
      <c r="N1336" s="11" t="s">
        <v>112</v>
      </c>
      <c r="P1336" s="9" t="n">
        <v>113</v>
      </c>
      <c r="Q1336" s="11" t="s">
        <v>46</v>
      </c>
      <c r="R1336" s="11" t="s">
        <v>116</v>
      </c>
      <c r="S1336" s="9" t="n">
        <v>1110203</v>
      </c>
      <c r="T1336" s="11" t="s">
        <v>117</v>
      </c>
      <c r="U1336" s="12" t="n">
        <v>2800</v>
      </c>
      <c r="W1336" s="12" t="n">
        <v>2800</v>
      </c>
      <c r="X1336" s="11" t="s">
        <v>1233</v>
      </c>
      <c r="Z1336" s="0" t="str">
        <f aca="false">IF($T1336="","",IFERROR(INDEX('Resumo Grupos'!$AC$3:$AC$200,MATCH($T1336,'Resumo Grupos'!$AB$3:$AB$200,0)),"n/d"))</f>
        <v>Despesa</v>
      </c>
      <c r="AA1336" s="0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9" t="n">
        <v>2</v>
      </c>
      <c r="B1337" s="10" t="n">
        <v>46237</v>
      </c>
      <c r="C1337" s="10" t="n">
        <v>46242</v>
      </c>
      <c r="D1337" s="9" t="n">
        <v>754</v>
      </c>
      <c r="E1337" s="11" t="s">
        <v>162</v>
      </c>
      <c r="F1337" s="9" t="n">
        <v>24</v>
      </c>
      <c r="G1337" s="11" t="s">
        <v>51</v>
      </c>
      <c r="H1337" s="9" t="n">
        <v>2110405</v>
      </c>
      <c r="I1337" s="11" t="s">
        <v>56</v>
      </c>
      <c r="J1337" s="9" t="n">
        <v>1495072</v>
      </c>
      <c r="L1337" s="9" t="n">
        <v>202733</v>
      </c>
      <c r="M1337" s="11" t="s">
        <v>52</v>
      </c>
      <c r="N1337" s="11" t="s">
        <v>45</v>
      </c>
      <c r="P1337" s="9" t="n">
        <v>113</v>
      </c>
      <c r="Q1337" s="11" t="s">
        <v>46</v>
      </c>
      <c r="R1337" s="11" t="s">
        <v>47</v>
      </c>
      <c r="S1337" s="9" t="n">
        <v>1130101</v>
      </c>
      <c r="T1337" s="11" t="s">
        <v>48</v>
      </c>
      <c r="U1337" s="12" t="n">
        <v>3277.5</v>
      </c>
      <c r="W1337" s="12" t="n">
        <v>3277.5</v>
      </c>
      <c r="X1337" s="11" t="s">
        <v>1234</v>
      </c>
      <c r="Z1337" s="0" t="str">
        <f aca="false">IF($T1337="","",IFERROR(INDEX('Resumo Grupos'!$AC$3:$AC$200,MATCH($T1337,'Resumo Grupos'!$AB$3:$AB$200,0)),"n/d"))</f>
        <v>Mercadoria</v>
      </c>
      <c r="AA1337" s="0" t="str">
        <f aca="false">IF($T1337="","",IF(COUNTIF('Resumo Grupos'!$AE$3:$AE$40,$T1337)&gt;0,"NAO","SIM"))</f>
        <v>SIM</v>
      </c>
      <c r="AB1337" s="0" t="str">
        <f aca="false">IFERROR(INDEX('Mov Entradas (Rel 10497)'!$L:$L,MATCH(AC1337,'Mov Entradas (Rel 10497)'!$I:$I,0)),"nao encontrado")</f>
        <v>TRASEIRO DE BOI L1</v>
      </c>
      <c r="AC1337" s="0" t="n">
        <v>32186</v>
      </c>
    </row>
    <row r="1338" customFormat="false" ht="12.75" hidden="false" customHeight="true" outlineLevel="0" collapsed="false">
      <c r="A1338" s="9" t="n">
        <v>2</v>
      </c>
      <c r="B1338" s="10" t="n">
        <v>46216</v>
      </c>
      <c r="C1338" s="10" t="n">
        <v>46243</v>
      </c>
      <c r="D1338" s="9" t="n">
        <v>1636</v>
      </c>
      <c r="E1338" s="11" t="s">
        <v>61</v>
      </c>
      <c r="F1338" s="9" t="n">
        <v>24</v>
      </c>
      <c r="G1338" s="11" t="s">
        <v>51</v>
      </c>
      <c r="H1338" s="9" t="n">
        <v>2110405</v>
      </c>
      <c r="I1338" s="11" t="s">
        <v>56</v>
      </c>
      <c r="J1338" s="9" t="n">
        <v>1393186</v>
      </c>
      <c r="L1338" s="9" t="n">
        <v>187324</v>
      </c>
      <c r="M1338" s="11" t="s">
        <v>52</v>
      </c>
      <c r="N1338" s="11" t="s">
        <v>45</v>
      </c>
      <c r="P1338" s="9" t="n">
        <v>113</v>
      </c>
      <c r="Q1338" s="11" t="s">
        <v>46</v>
      </c>
      <c r="R1338" s="11" t="s">
        <v>39</v>
      </c>
      <c r="S1338" s="9" t="n">
        <v>4210227</v>
      </c>
      <c r="T1338" s="11" t="s">
        <v>68</v>
      </c>
      <c r="U1338" s="12" t="n">
        <v>292.39</v>
      </c>
      <c r="W1338" s="12" t="n">
        <v>292.39</v>
      </c>
      <c r="X1338" s="11" t="s">
        <v>1235</v>
      </c>
      <c r="Z1338" s="0" t="str">
        <f aca="false">IF($T1338="","",IFERROR(INDEX('Resumo Grupos'!$AC$3:$AC$200,MATCH($T1338,'Resumo Grupos'!$AB$3:$AB$200,0)),"n/d"))</f>
        <v>Despesa</v>
      </c>
      <c r="AA1338" s="0" t="str">
        <f aca="false">IF($T1338="","",IF(COUNTIF('Resumo Grupos'!$AE$3:$AE$40,$T1338)&gt;0,"NAO","SIM"))</f>
        <v>SIM</v>
      </c>
      <c r="AB1338" s="0" t="str">
        <f aca="false">IFERROR(INDEX('Mov Entradas (Rel 10497)'!$L:$L,MATCH(AC1338,'Mov Entradas (Rel 10497)'!$I:$I,0)),"nao encontrado")</f>
        <v>PAPEL HIG ELITE ROLO</v>
      </c>
      <c r="AC1338" s="0" t="n">
        <v>3217924</v>
      </c>
    </row>
    <row r="1339" customFormat="false" ht="12.75" hidden="false" customHeight="true" outlineLevel="0" collapsed="false">
      <c r="A1339" s="9" t="n">
        <v>2</v>
      </c>
      <c r="B1339" s="10" t="n">
        <v>46153</v>
      </c>
      <c r="C1339" s="10" t="n">
        <v>46243</v>
      </c>
      <c r="D1339" s="9" t="n">
        <v>10006</v>
      </c>
      <c r="E1339" s="11" t="s">
        <v>206</v>
      </c>
      <c r="F1339" s="9" t="n">
        <v>46</v>
      </c>
      <c r="G1339" s="11" t="s">
        <v>319</v>
      </c>
      <c r="H1339" s="9" t="n">
        <v>2110405</v>
      </c>
      <c r="I1339" s="11" t="s">
        <v>56</v>
      </c>
      <c r="J1339" s="9" t="n">
        <v>1230712</v>
      </c>
      <c r="L1339" s="9" t="n">
        <v>163750</v>
      </c>
      <c r="M1339" s="11" t="s">
        <v>67</v>
      </c>
      <c r="N1339" s="11" t="s">
        <v>45</v>
      </c>
      <c r="P1339" s="9" t="n">
        <v>101</v>
      </c>
      <c r="Q1339" s="11" t="s">
        <v>57</v>
      </c>
      <c r="R1339" s="11" t="s">
        <v>39</v>
      </c>
      <c r="S1339" s="9" t="n">
        <v>4210232</v>
      </c>
      <c r="T1339" s="11" t="s">
        <v>320</v>
      </c>
      <c r="U1339" s="12" t="n">
        <v>415.26</v>
      </c>
      <c r="W1339" s="12" t="n">
        <v>415.26</v>
      </c>
      <c r="X1339" s="11" t="s">
        <v>353</v>
      </c>
      <c r="Z1339" s="0" t="str">
        <f aca="false">IF($T1339="","",IFERROR(INDEX('Resumo Grupos'!$AC$3:$AC$200,MATCH($T1339,'Resumo Grupos'!$AB$3:$AB$200,0)),"n/d"))</f>
        <v>Despesa</v>
      </c>
      <c r="AA1339" s="0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9" t="n">
        <v>2</v>
      </c>
      <c r="B1340" s="10" t="n">
        <v>46243</v>
      </c>
      <c r="C1340" s="10" t="n">
        <v>46243</v>
      </c>
      <c r="D1340" s="9" t="n">
        <v>0</v>
      </c>
      <c r="E1340" s="11" t="s">
        <v>109</v>
      </c>
      <c r="F1340" s="9" t="n">
        <v>17</v>
      </c>
      <c r="G1340" s="11" t="s">
        <v>110</v>
      </c>
      <c r="H1340" s="9" t="n">
        <v>1110101</v>
      </c>
      <c r="I1340" s="11" t="s">
        <v>111</v>
      </c>
      <c r="J1340" s="9" t="n">
        <v>1528835</v>
      </c>
      <c r="L1340" s="9" t="n">
        <v>1528835</v>
      </c>
      <c r="M1340" s="11" t="s">
        <v>52</v>
      </c>
      <c r="N1340" s="11" t="s">
        <v>112</v>
      </c>
      <c r="P1340" s="9" t="n">
        <v>113</v>
      </c>
      <c r="Q1340" s="11" t="s">
        <v>46</v>
      </c>
      <c r="R1340" s="11" t="s">
        <v>71</v>
      </c>
      <c r="S1340" s="9" t="n">
        <v>4210310</v>
      </c>
      <c r="T1340" s="11" t="s">
        <v>126</v>
      </c>
      <c r="U1340" s="12" t="n">
        <v>92</v>
      </c>
      <c r="W1340" s="12" t="n">
        <v>92</v>
      </c>
      <c r="X1340" s="11" t="s">
        <v>283</v>
      </c>
      <c r="Z1340" s="0" t="str">
        <f aca="false">IF($T1340="","",IFERROR(INDEX('Resumo Grupos'!$AC$3:$AC$200,MATCH($T1340,'Resumo Grupos'!$AB$3:$AB$200,0)),"n/d"))</f>
        <v>Despesa</v>
      </c>
      <c r="AA1340" s="0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9" t="n">
        <v>2</v>
      </c>
      <c r="B1341" s="10" t="n">
        <v>46243</v>
      </c>
      <c r="C1341" s="10" t="n">
        <v>46243</v>
      </c>
      <c r="D1341" s="9" t="n">
        <v>0</v>
      </c>
      <c r="E1341" s="11" t="s">
        <v>109</v>
      </c>
      <c r="F1341" s="9" t="n">
        <v>17</v>
      </c>
      <c r="G1341" s="11" t="s">
        <v>110</v>
      </c>
      <c r="H1341" s="9" t="n">
        <v>1110101</v>
      </c>
      <c r="I1341" s="11" t="s">
        <v>111</v>
      </c>
      <c r="J1341" s="9" t="n">
        <v>1528837</v>
      </c>
      <c r="L1341" s="9" t="n">
        <v>1528837</v>
      </c>
      <c r="M1341" s="11" t="s">
        <v>52</v>
      </c>
      <c r="N1341" s="11" t="s">
        <v>112</v>
      </c>
      <c r="P1341" s="9" t="n">
        <v>113</v>
      </c>
      <c r="Q1341" s="11" t="s">
        <v>46</v>
      </c>
      <c r="R1341" s="11" t="s">
        <v>71</v>
      </c>
      <c r="S1341" s="9" t="n">
        <v>4210314</v>
      </c>
      <c r="T1341" s="11" t="s">
        <v>113</v>
      </c>
      <c r="U1341" s="12" t="n">
        <v>70</v>
      </c>
      <c r="W1341" s="12" t="n">
        <v>70</v>
      </c>
      <c r="X1341" s="11" t="s">
        <v>187</v>
      </c>
      <c r="Z1341" s="0" t="str">
        <f aca="false">IF($T1341="","",IFERROR(INDEX('Resumo Grupos'!$AC$3:$AC$200,MATCH($T1341,'Resumo Grupos'!$AB$3:$AB$200,0)),"n/d"))</f>
        <v>Despesa</v>
      </c>
      <c r="AA1341" s="0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9" t="n">
        <v>2</v>
      </c>
      <c r="B1342" s="10" t="n">
        <v>46243</v>
      </c>
      <c r="C1342" s="10" t="n">
        <v>46243</v>
      </c>
      <c r="D1342" s="9" t="n">
        <v>0</v>
      </c>
      <c r="E1342" s="11" t="s">
        <v>109</v>
      </c>
      <c r="F1342" s="9" t="n">
        <v>17</v>
      </c>
      <c r="G1342" s="11" t="s">
        <v>110</v>
      </c>
      <c r="H1342" s="9" t="n">
        <v>1110101</v>
      </c>
      <c r="I1342" s="11" t="s">
        <v>111</v>
      </c>
      <c r="J1342" s="9" t="n">
        <v>1528839</v>
      </c>
      <c r="L1342" s="9" t="n">
        <v>1528839</v>
      </c>
      <c r="M1342" s="11" t="s">
        <v>52</v>
      </c>
      <c r="N1342" s="11" t="s">
        <v>112</v>
      </c>
      <c r="P1342" s="9" t="n">
        <v>113</v>
      </c>
      <c r="Q1342" s="11" t="s">
        <v>46</v>
      </c>
      <c r="R1342" s="11" t="s">
        <v>71</v>
      </c>
      <c r="S1342" s="9" t="n">
        <v>4210314</v>
      </c>
      <c r="T1342" s="11" t="s">
        <v>113</v>
      </c>
      <c r="U1342" s="12" t="n">
        <v>70</v>
      </c>
      <c r="W1342" s="12" t="n">
        <v>70</v>
      </c>
      <c r="X1342" s="11" t="s">
        <v>368</v>
      </c>
      <c r="Z1342" s="0" t="str">
        <f aca="false">IF($T1342="","",IFERROR(INDEX('Resumo Grupos'!$AC$3:$AC$200,MATCH($T1342,'Resumo Grupos'!$AB$3:$AB$200,0)),"n/d"))</f>
        <v>Despesa</v>
      </c>
      <c r="AA1342" s="0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9" t="n">
        <v>2</v>
      </c>
      <c r="B1343" s="10" t="n">
        <v>46243</v>
      </c>
      <c r="C1343" s="10" t="n">
        <v>46243</v>
      </c>
      <c r="D1343" s="9" t="n">
        <v>0</v>
      </c>
      <c r="E1343" s="11" t="s">
        <v>109</v>
      </c>
      <c r="F1343" s="9" t="n">
        <v>17</v>
      </c>
      <c r="G1343" s="11" t="s">
        <v>110</v>
      </c>
      <c r="H1343" s="9" t="n">
        <v>1110101</v>
      </c>
      <c r="I1343" s="11" t="s">
        <v>111</v>
      </c>
      <c r="J1343" s="9" t="n">
        <v>1716370</v>
      </c>
      <c r="L1343" s="9" t="n">
        <v>1716370</v>
      </c>
      <c r="M1343" s="11" t="s">
        <v>52</v>
      </c>
      <c r="N1343" s="11" t="s">
        <v>112</v>
      </c>
      <c r="P1343" s="9" t="n">
        <v>113</v>
      </c>
      <c r="Q1343" s="11" t="s">
        <v>46</v>
      </c>
      <c r="R1343" s="11" t="s">
        <v>116</v>
      </c>
      <c r="S1343" s="9" t="n">
        <v>1110203</v>
      </c>
      <c r="T1343" s="11" t="s">
        <v>117</v>
      </c>
      <c r="U1343" s="12" t="n">
        <v>2100</v>
      </c>
      <c r="W1343" s="12" t="n">
        <v>2100</v>
      </c>
      <c r="X1343" s="11" t="s">
        <v>1236</v>
      </c>
      <c r="Z1343" s="0" t="str">
        <f aca="false">IF($T1343="","",IFERROR(INDEX('Resumo Grupos'!$AC$3:$AC$200,MATCH($T1343,'Resumo Grupos'!$AB$3:$AB$200,0)),"n/d"))</f>
        <v>Despesa</v>
      </c>
      <c r="AA1343" s="0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9" t="n">
        <v>2</v>
      </c>
      <c r="B1344" s="10" t="n">
        <v>46244</v>
      </c>
      <c r="C1344" s="10" t="n">
        <v>46244</v>
      </c>
      <c r="D1344" s="9" t="n">
        <v>642</v>
      </c>
      <c r="E1344" s="11" t="s">
        <v>123</v>
      </c>
      <c r="F1344" s="9" t="n">
        <v>24</v>
      </c>
      <c r="G1344" s="11" t="s">
        <v>51</v>
      </c>
      <c r="H1344" s="9" t="n">
        <v>2110405</v>
      </c>
      <c r="I1344" s="11" t="s">
        <v>56</v>
      </c>
      <c r="J1344" s="9" t="n">
        <v>1529101</v>
      </c>
      <c r="L1344" s="9" t="n">
        <v>207943</v>
      </c>
      <c r="M1344" s="11" t="s">
        <v>52</v>
      </c>
      <c r="N1344" s="11" t="s">
        <v>45</v>
      </c>
      <c r="P1344" s="9" t="n">
        <v>113</v>
      </c>
      <c r="Q1344" s="11" t="s">
        <v>46</v>
      </c>
      <c r="R1344" s="11" t="s">
        <v>47</v>
      </c>
      <c r="S1344" s="9" t="n">
        <v>1130101</v>
      </c>
      <c r="T1344" s="11" t="s">
        <v>48</v>
      </c>
      <c r="U1344" s="12" t="n">
        <v>420</v>
      </c>
      <c r="W1344" s="12" t="n">
        <v>420</v>
      </c>
      <c r="X1344" s="11" t="s">
        <v>1237</v>
      </c>
      <c r="Z1344" s="0" t="str">
        <f aca="false">IF($T1344="","",IFERROR(INDEX('Resumo Grupos'!$AC$3:$AC$200,MATCH($T1344,'Resumo Grupos'!$AB$3:$AB$200,0)),"n/d"))</f>
        <v>Mercadoria</v>
      </c>
      <c r="AA1344" s="0" t="str">
        <f aca="false">IF($T1344="","",IF(COUNTIF('Resumo Grupos'!$AE$3:$AE$40,$T1344)&gt;0,"NAO","SIM"))</f>
        <v>SIM</v>
      </c>
      <c r="AB1344" s="0" t="str">
        <f aca="false">IFERROR(INDEX('Mov Entradas (Rel 10497)'!$L:$L,MATCH(AC1344,'Mov Entradas (Rel 10497)'!$I:$I,0)),"nao encontrado")</f>
        <v>BOLO BLOOM 600G</v>
      </c>
      <c r="AC1344" s="0" t="n">
        <v>579</v>
      </c>
    </row>
    <row r="1345" customFormat="false" ht="12.75" hidden="false" customHeight="true" outlineLevel="0" collapsed="false">
      <c r="A1345" s="9" t="n">
        <v>2</v>
      </c>
      <c r="B1345" s="10" t="n">
        <v>46153</v>
      </c>
      <c r="C1345" s="10" t="n">
        <v>46244</v>
      </c>
      <c r="D1345" s="9" t="n">
        <v>1176</v>
      </c>
      <c r="E1345" s="11" t="s">
        <v>322</v>
      </c>
      <c r="F1345" s="9" t="n">
        <v>24</v>
      </c>
      <c r="G1345" s="11" t="s">
        <v>51</v>
      </c>
      <c r="H1345" s="9" t="n">
        <v>2110405</v>
      </c>
      <c r="I1345" s="11" t="s">
        <v>56</v>
      </c>
      <c r="J1345" s="9" t="n">
        <v>1083394</v>
      </c>
      <c r="L1345" s="9" t="n">
        <v>143444</v>
      </c>
      <c r="M1345" s="11" t="s">
        <v>89</v>
      </c>
      <c r="N1345" s="11" t="s">
        <v>45</v>
      </c>
      <c r="P1345" s="9" t="n">
        <v>101</v>
      </c>
      <c r="Q1345" s="11" t="s">
        <v>57</v>
      </c>
      <c r="R1345" s="11" t="s">
        <v>323</v>
      </c>
      <c r="S1345" s="9" t="n">
        <v>2110901</v>
      </c>
      <c r="T1345" s="11" t="s">
        <v>324</v>
      </c>
      <c r="U1345" s="12" t="n">
        <v>2340.56</v>
      </c>
      <c r="W1345" s="12" t="n">
        <v>2340.56</v>
      </c>
      <c r="X1345" s="11" t="s">
        <v>1238</v>
      </c>
      <c r="Z1345" s="0" t="str">
        <f aca="false">IF($T1345="","",IFERROR(INDEX('Resumo Grupos'!$AC$3:$AC$200,MATCH($T1345,'Resumo Grupos'!$AB$3:$AB$200,0)),"n/d"))</f>
        <v>Empréstimo</v>
      </c>
      <c r="AA1345" s="0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9" t="n">
        <v>2</v>
      </c>
      <c r="B1346" s="10" t="n">
        <v>46239</v>
      </c>
      <c r="C1346" s="10" t="n">
        <v>46244</v>
      </c>
      <c r="D1346" s="9" t="n">
        <v>1695</v>
      </c>
      <c r="E1346" s="11" t="s">
        <v>390</v>
      </c>
      <c r="F1346" s="9" t="n">
        <v>34</v>
      </c>
      <c r="G1346" s="11" t="s">
        <v>55</v>
      </c>
      <c r="H1346" s="9" t="n">
        <v>2110405</v>
      </c>
      <c r="I1346" s="11" t="s">
        <v>56</v>
      </c>
      <c r="J1346" s="9" t="n">
        <v>1503728</v>
      </c>
      <c r="L1346" s="9" t="n">
        <v>204165</v>
      </c>
      <c r="M1346" s="11" t="s">
        <v>52</v>
      </c>
      <c r="N1346" s="11" t="s">
        <v>45</v>
      </c>
      <c r="P1346" s="9" t="n">
        <v>113</v>
      </c>
      <c r="Q1346" s="11" t="s">
        <v>46</v>
      </c>
      <c r="R1346" s="11" t="s">
        <v>47</v>
      </c>
      <c r="S1346" s="9" t="n">
        <v>1130101</v>
      </c>
      <c r="T1346" s="11" t="s">
        <v>48</v>
      </c>
      <c r="U1346" s="12" t="n">
        <v>795.6</v>
      </c>
      <c r="W1346" s="12" t="n">
        <v>795.6</v>
      </c>
      <c r="X1346" s="11" t="s">
        <v>1239</v>
      </c>
      <c r="Z1346" s="0" t="str">
        <f aca="false">IF($T1346="","",IFERROR(INDEX('Resumo Grupos'!$AC$3:$AC$200,MATCH($T1346,'Resumo Grupos'!$AB$3:$AB$200,0)),"n/d"))</f>
        <v>Mercadoria</v>
      </c>
      <c r="AA1346" s="0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9" t="n">
        <v>2</v>
      </c>
      <c r="B1347" s="10" t="n">
        <v>46183</v>
      </c>
      <c r="C1347" s="10" t="n">
        <v>46244</v>
      </c>
      <c r="D1347" s="9" t="n">
        <v>1100</v>
      </c>
      <c r="E1347" s="11" t="s">
        <v>327</v>
      </c>
      <c r="F1347" s="9" t="n">
        <v>46</v>
      </c>
      <c r="G1347" s="11" t="s">
        <v>319</v>
      </c>
      <c r="H1347" s="9" t="n">
        <v>2110101</v>
      </c>
      <c r="I1347" s="11" t="s">
        <v>43</v>
      </c>
      <c r="J1347" s="9" t="n">
        <v>1230732</v>
      </c>
      <c r="L1347" s="9" t="n">
        <v>1399</v>
      </c>
      <c r="M1347" s="11" t="s">
        <v>67</v>
      </c>
      <c r="N1347" s="11" t="s">
        <v>112</v>
      </c>
      <c r="P1347" s="9" t="n">
        <v>101</v>
      </c>
      <c r="Q1347" s="11" t="s">
        <v>57</v>
      </c>
      <c r="R1347" s="11" t="s">
        <v>259</v>
      </c>
      <c r="S1347" s="9" t="n">
        <v>2110101</v>
      </c>
      <c r="T1347" s="11" t="s">
        <v>43</v>
      </c>
      <c r="U1347" s="12" t="n">
        <v>226.66</v>
      </c>
      <c r="W1347" s="12" t="n">
        <v>226.66</v>
      </c>
      <c r="X1347" s="11" t="s">
        <v>1240</v>
      </c>
      <c r="Z1347" s="0" t="str">
        <f aca="false">IF($T1347="","",IFERROR(INDEX('Resumo Grupos'!$AC$3:$AC$200,MATCH($T1347,'Resumo Grupos'!$AB$3:$AB$200,0)),"n/d"))</f>
        <v>Despesa</v>
      </c>
      <c r="AA1347" s="0" t="str">
        <f aca="false">IF($T1347="","",IF(COUNTIF('Resumo Grupos'!$AE$3:$AE$40,$T1347)&gt;0,"NAO","SIM"))</f>
        <v>SIM</v>
      </c>
      <c r="AB1347" s="0" t="str">
        <f aca="false">IFERROR(INDEX('Mov Entradas (Rel 10497)'!$L:$L,MATCH(AC1347,'Mov Entradas (Rel 10497)'!$I:$I,0)),"nao encontrado")</f>
        <v>nao encontrado</v>
      </c>
      <c r="AC1347" s="0" t="n">
        <v>8973</v>
      </c>
    </row>
    <row r="1348" customFormat="false" ht="12.75" hidden="false" customHeight="true" outlineLevel="0" collapsed="false">
      <c r="A1348" s="9" t="n">
        <v>2</v>
      </c>
      <c r="B1348" s="10" t="n">
        <v>46224</v>
      </c>
      <c r="C1348" s="10" t="n">
        <v>46244</v>
      </c>
      <c r="D1348" s="9" t="n">
        <v>1100</v>
      </c>
      <c r="E1348" s="11" t="s">
        <v>327</v>
      </c>
      <c r="F1348" s="9" t="n">
        <v>46</v>
      </c>
      <c r="G1348" s="11" t="s">
        <v>319</v>
      </c>
      <c r="H1348" s="9" t="n">
        <v>2110405</v>
      </c>
      <c r="I1348" s="11" t="s">
        <v>56</v>
      </c>
      <c r="J1348" s="9" t="n">
        <v>1427624</v>
      </c>
      <c r="L1348" s="9" t="n">
        <v>190916</v>
      </c>
      <c r="M1348" s="11" t="s">
        <v>52</v>
      </c>
      <c r="N1348" s="11" t="s">
        <v>45</v>
      </c>
      <c r="P1348" s="9" t="n">
        <v>113</v>
      </c>
      <c r="Q1348" s="11" t="s">
        <v>46</v>
      </c>
      <c r="R1348" s="11" t="s">
        <v>39</v>
      </c>
      <c r="S1348" s="9" t="n">
        <v>4210227</v>
      </c>
      <c r="T1348" s="11" t="s">
        <v>68</v>
      </c>
      <c r="U1348" s="12" t="n">
        <v>266.68</v>
      </c>
      <c r="W1348" s="12" t="n">
        <v>266.68</v>
      </c>
      <c r="X1348" s="11" t="s">
        <v>1241</v>
      </c>
      <c r="Z1348" s="0" t="str">
        <f aca="false">IF($T1348="","",IFERROR(INDEX('Resumo Grupos'!$AC$3:$AC$200,MATCH($T1348,'Resumo Grupos'!$AB$3:$AB$200,0)),"n/d"))</f>
        <v>Despesa</v>
      </c>
      <c r="AA1348" s="0" t="str">
        <f aca="false">IF($T1348="","",IF(COUNTIF('Resumo Grupos'!$AE$3:$AE$40,$T1348)&gt;0,"NAO","SIM"))</f>
        <v>SIM</v>
      </c>
      <c r="AB1348" s="0" t="str">
        <f aca="false">IFERROR(INDEX('Mov Entradas (Rel 10497)'!$L:$L,MATCH(AC1348,'Mov Entradas (Rel 10497)'!$I:$I,0)),"nao encontrado")</f>
        <v>MEMORIA HIKSEMI HIKER 8GB DDR4 3200 - HS</v>
      </c>
      <c r="AC1348" s="0" t="n">
        <v>9481</v>
      </c>
    </row>
    <row r="1349" customFormat="false" ht="12.75" hidden="false" customHeight="true" outlineLevel="0" collapsed="false">
      <c r="A1349" s="9" t="n">
        <v>2</v>
      </c>
      <c r="B1349" s="10" t="n">
        <v>46223</v>
      </c>
      <c r="C1349" s="10" t="n">
        <v>46244</v>
      </c>
      <c r="D1349" s="9" t="n">
        <v>1601</v>
      </c>
      <c r="E1349" s="11" t="s">
        <v>193</v>
      </c>
      <c r="F1349" s="9" t="n">
        <v>24</v>
      </c>
      <c r="G1349" s="11" t="s">
        <v>51</v>
      </c>
      <c r="H1349" s="9" t="n">
        <v>2110405</v>
      </c>
      <c r="I1349" s="11" t="s">
        <v>56</v>
      </c>
      <c r="J1349" s="9" t="n">
        <v>1424091</v>
      </c>
      <c r="L1349" s="9" t="n">
        <v>190898</v>
      </c>
      <c r="M1349" s="11" t="s">
        <v>52</v>
      </c>
      <c r="N1349" s="11" t="s">
        <v>45</v>
      </c>
      <c r="P1349" s="9" t="n">
        <v>113</v>
      </c>
      <c r="Q1349" s="11" t="s">
        <v>46</v>
      </c>
      <c r="R1349" s="11" t="s">
        <v>47</v>
      </c>
      <c r="S1349" s="9" t="n">
        <v>1130101</v>
      </c>
      <c r="T1349" s="11" t="s">
        <v>48</v>
      </c>
      <c r="U1349" s="12" t="n">
        <v>676.97</v>
      </c>
      <c r="W1349" s="12" t="n">
        <v>676.97</v>
      </c>
      <c r="X1349" s="11" t="s">
        <v>1142</v>
      </c>
      <c r="Z1349" s="0" t="str">
        <f aca="false">IF($T1349="","",IFERROR(INDEX('Resumo Grupos'!$AC$3:$AC$200,MATCH($T1349,'Resumo Grupos'!$AB$3:$AB$200,0)),"n/d"))</f>
        <v>Mercadoria</v>
      </c>
      <c r="AA1349" s="0" t="str">
        <f aca="false">IF($T1349="","",IF(COUNTIF('Resumo Grupos'!$AE$3:$AE$40,$T1349)&gt;0,"NAO","SIM"))</f>
        <v>SIM</v>
      </c>
      <c r="AB1349" s="0" t="str">
        <f aca="false">IFERROR(INDEX('Mov Entradas (Rel 10497)'!$L:$L,MATCH(AC1349,'Mov Entradas (Rel 10497)'!$I:$I,0)),"nao encontrado")</f>
        <v>KETCH TOMAT HEIN397G</v>
      </c>
      <c r="AC1349" s="0" t="n">
        <v>854967</v>
      </c>
    </row>
    <row r="1350" customFormat="false" ht="12.75" hidden="false" customHeight="true" outlineLevel="0" collapsed="false">
      <c r="A1350" s="9" t="n">
        <v>2</v>
      </c>
      <c r="B1350" s="10" t="n">
        <v>46078</v>
      </c>
      <c r="C1350" s="10" t="n">
        <v>46244</v>
      </c>
      <c r="D1350" s="9" t="n">
        <v>1869</v>
      </c>
      <c r="E1350" s="11" t="s">
        <v>330</v>
      </c>
      <c r="F1350" s="9" t="n">
        <v>46</v>
      </c>
      <c r="G1350" s="11" t="s">
        <v>319</v>
      </c>
      <c r="H1350" s="9" t="n">
        <v>2110101</v>
      </c>
      <c r="I1350" s="11" t="s">
        <v>43</v>
      </c>
      <c r="J1350" s="9" t="n">
        <v>717667</v>
      </c>
      <c r="L1350" s="9" t="n">
        <v>93850</v>
      </c>
      <c r="M1350" s="11" t="s">
        <v>102</v>
      </c>
      <c r="N1350" s="11" t="s">
        <v>45</v>
      </c>
      <c r="P1350" s="9" t="n">
        <v>113</v>
      </c>
      <c r="Q1350" s="11" t="s">
        <v>46</v>
      </c>
      <c r="R1350" s="11" t="s">
        <v>39</v>
      </c>
      <c r="S1350" s="9" t="n">
        <v>4210227</v>
      </c>
      <c r="T1350" s="11" t="s">
        <v>68</v>
      </c>
      <c r="U1350" s="12" t="n">
        <v>283.66</v>
      </c>
      <c r="W1350" s="12" t="n">
        <v>283.66</v>
      </c>
      <c r="X1350" s="11" t="s">
        <v>1242</v>
      </c>
      <c r="Z1350" s="0" t="str">
        <f aca="false">IF($T1350="","",IFERROR(INDEX('Resumo Grupos'!$AC$3:$AC$200,MATCH($T1350,'Resumo Grupos'!$AB$3:$AB$200,0)),"n/d"))</f>
        <v>Despesa</v>
      </c>
      <c r="AA1350" s="0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9" t="n">
        <v>2</v>
      </c>
      <c r="B1351" s="10" t="n">
        <v>46235</v>
      </c>
      <c r="C1351" s="10" t="n">
        <v>46244</v>
      </c>
      <c r="D1351" s="9" t="n">
        <v>1723</v>
      </c>
      <c r="E1351" s="11" t="s">
        <v>371</v>
      </c>
      <c r="F1351" s="9" t="n">
        <v>24</v>
      </c>
      <c r="G1351" s="11" t="s">
        <v>51</v>
      </c>
      <c r="H1351" s="9" t="n">
        <v>2110405</v>
      </c>
      <c r="I1351" s="11" t="s">
        <v>56</v>
      </c>
      <c r="J1351" s="9" t="n">
        <v>1482026</v>
      </c>
      <c r="L1351" s="9" t="n">
        <v>201167</v>
      </c>
      <c r="M1351" s="11" t="s">
        <v>52</v>
      </c>
      <c r="N1351" s="11" t="s">
        <v>45</v>
      </c>
      <c r="P1351" s="9" t="n">
        <v>113</v>
      </c>
      <c r="Q1351" s="11" t="s">
        <v>46</v>
      </c>
      <c r="R1351" s="11" t="s">
        <v>47</v>
      </c>
      <c r="S1351" s="9" t="n">
        <v>1130101</v>
      </c>
      <c r="T1351" s="11" t="s">
        <v>48</v>
      </c>
      <c r="U1351" s="12" t="n">
        <v>1349.7</v>
      </c>
      <c r="W1351" s="12" t="n">
        <v>1349.7</v>
      </c>
      <c r="X1351" s="11" t="s">
        <v>1243</v>
      </c>
      <c r="Z1351" s="0" t="str">
        <f aca="false">IF($T1351="","",IFERROR(INDEX('Resumo Grupos'!$AC$3:$AC$200,MATCH($T1351,'Resumo Grupos'!$AB$3:$AB$200,0)),"n/d"))</f>
        <v>Mercadoria</v>
      </c>
      <c r="AA1351" s="0" t="str">
        <f aca="false">IF($T1351="","",IF(COUNTIF('Resumo Grupos'!$AE$3:$AE$40,$T1351)&gt;0,"NAO","SIM"))</f>
        <v>SIM</v>
      </c>
      <c r="AB1351" s="0" t="str">
        <f aca="false">IFERROR(INDEX('Mov Entradas (Rel 10497)'!$L:$L,MATCH(AC1351,'Mov Entradas (Rel 10497)'!$I:$I,0)),"nao encontrado")</f>
        <v>DIANTEIRO DE BOI L</v>
      </c>
      <c r="AC1351" s="0" t="n">
        <v>174094</v>
      </c>
    </row>
    <row r="1352" customFormat="false" ht="12.75" hidden="false" customHeight="true" outlineLevel="0" collapsed="false">
      <c r="A1352" s="9" t="n">
        <v>2</v>
      </c>
      <c r="B1352" s="10" t="n">
        <v>46234</v>
      </c>
      <c r="C1352" s="10" t="n">
        <v>46244</v>
      </c>
      <c r="D1352" s="9" t="n">
        <v>1621</v>
      </c>
      <c r="E1352" s="11" t="s">
        <v>232</v>
      </c>
      <c r="F1352" s="9" t="n">
        <v>24</v>
      </c>
      <c r="G1352" s="11" t="s">
        <v>51</v>
      </c>
      <c r="H1352" s="9" t="n">
        <v>2110405</v>
      </c>
      <c r="I1352" s="11" t="s">
        <v>56</v>
      </c>
      <c r="J1352" s="9" t="n">
        <v>1478276</v>
      </c>
      <c r="L1352" s="9" t="n">
        <v>200565</v>
      </c>
      <c r="M1352" s="11" t="s">
        <v>52</v>
      </c>
      <c r="N1352" s="11" t="s">
        <v>45</v>
      </c>
      <c r="P1352" s="9" t="n">
        <v>113</v>
      </c>
      <c r="Q1352" s="11" t="s">
        <v>46</v>
      </c>
      <c r="R1352" s="11" t="s">
        <v>47</v>
      </c>
      <c r="S1352" s="9" t="n">
        <v>1130101</v>
      </c>
      <c r="T1352" s="11" t="s">
        <v>48</v>
      </c>
      <c r="U1352" s="12" t="n">
        <v>315.97</v>
      </c>
      <c r="W1352" s="12" t="n">
        <v>315.97</v>
      </c>
      <c r="X1352" s="11" t="s">
        <v>1244</v>
      </c>
      <c r="Z1352" s="0" t="str">
        <f aca="false">IF($T1352="","",IFERROR(INDEX('Resumo Grupos'!$AC$3:$AC$200,MATCH($T1352,'Resumo Grupos'!$AB$3:$AB$200,0)),"n/d"))</f>
        <v>Mercadoria</v>
      </c>
      <c r="AA1352" s="0" t="str">
        <f aca="false">IF($T1352="","",IF(COUNTIF('Resumo Grupos'!$AE$3:$AE$40,$T1352)&gt;0,"NAO","SIM"))</f>
        <v>SIM</v>
      </c>
      <c r="AB1352" s="0" t="str">
        <f aca="false">IFERROR(INDEX('Mov Entradas (Rel 10497)'!$L:$L,MATCH(AC1352,'Mov Entradas (Rel 10497)'!$I:$I,0)),"nao encontrado")</f>
        <v>CERV BRAHMA ZERO 350ML</v>
      </c>
      <c r="AC1352" s="0" t="n">
        <v>932576</v>
      </c>
    </row>
    <row r="1353" customFormat="false" ht="12.75" hidden="false" customHeight="true" outlineLevel="0" collapsed="false">
      <c r="A1353" s="9" t="n">
        <v>2</v>
      </c>
      <c r="B1353" s="10" t="n">
        <v>46218</v>
      </c>
      <c r="C1353" s="10" t="n">
        <v>46244</v>
      </c>
      <c r="D1353" s="9" t="n">
        <v>1636</v>
      </c>
      <c r="E1353" s="11" t="s">
        <v>61</v>
      </c>
      <c r="F1353" s="9" t="n">
        <v>24</v>
      </c>
      <c r="G1353" s="11" t="s">
        <v>51</v>
      </c>
      <c r="H1353" s="9" t="n">
        <v>2110405</v>
      </c>
      <c r="I1353" s="11" t="s">
        <v>56</v>
      </c>
      <c r="J1353" s="9" t="n">
        <v>1402501</v>
      </c>
      <c r="L1353" s="9" t="n">
        <v>188736</v>
      </c>
      <c r="M1353" s="11" t="s">
        <v>52</v>
      </c>
      <c r="N1353" s="11" t="s">
        <v>45</v>
      </c>
      <c r="P1353" s="9" t="n">
        <v>113</v>
      </c>
      <c r="Q1353" s="11" t="s">
        <v>46</v>
      </c>
      <c r="R1353" s="11" t="s">
        <v>47</v>
      </c>
      <c r="S1353" s="9" t="n">
        <v>1130101</v>
      </c>
      <c r="T1353" s="11" t="s">
        <v>48</v>
      </c>
      <c r="U1353" s="12" t="n">
        <v>1315.48</v>
      </c>
      <c r="W1353" s="12" t="n">
        <v>1315.48</v>
      </c>
      <c r="X1353" s="11" t="s">
        <v>1145</v>
      </c>
      <c r="Z1353" s="0" t="str">
        <f aca="false">IF($T1353="","",IFERROR(INDEX('Resumo Grupos'!$AC$3:$AC$200,MATCH($T1353,'Resumo Grupos'!$AB$3:$AB$200,0)),"n/d"))</f>
        <v>Mercadoria</v>
      </c>
      <c r="AA1353" s="0" t="str">
        <f aca="false">IF($T1353="","",IF(COUNTIF('Resumo Grupos'!$AE$3:$AE$40,$T1353)&gt;0,"NAO","SIM"))</f>
        <v>SIM</v>
      </c>
      <c r="AB1353" s="0" t="str">
        <f aca="false">IFERROR(INDEX('Mov Entradas (Rel 10497)'!$L:$L,MATCH(AC1353,'Mov Entradas (Rel 10497)'!$I:$I,0)),"nao encontrado")</f>
        <v>KARO ARISCO 350G</v>
      </c>
      <c r="AC1353" s="0" t="n">
        <v>3218196</v>
      </c>
    </row>
    <row r="1354" customFormat="false" ht="12.75" hidden="false" customHeight="true" outlineLevel="0" collapsed="false">
      <c r="A1354" s="9" t="n">
        <v>2</v>
      </c>
      <c r="B1354" s="10" t="n">
        <v>46218</v>
      </c>
      <c r="C1354" s="10" t="n">
        <v>46244</v>
      </c>
      <c r="D1354" s="9" t="n">
        <v>1636</v>
      </c>
      <c r="E1354" s="11" t="s">
        <v>61</v>
      </c>
      <c r="F1354" s="9" t="n">
        <v>24</v>
      </c>
      <c r="G1354" s="11" t="s">
        <v>51</v>
      </c>
      <c r="H1354" s="9" t="n">
        <v>2110405</v>
      </c>
      <c r="I1354" s="11" t="s">
        <v>56</v>
      </c>
      <c r="J1354" s="9" t="n">
        <v>1403006</v>
      </c>
      <c r="L1354" s="9" t="n">
        <v>188859</v>
      </c>
      <c r="M1354" s="11" t="s">
        <v>52</v>
      </c>
      <c r="N1354" s="11" t="s">
        <v>45</v>
      </c>
      <c r="P1354" s="9" t="n">
        <v>113</v>
      </c>
      <c r="Q1354" s="11" t="s">
        <v>46</v>
      </c>
      <c r="R1354" s="11" t="s">
        <v>47</v>
      </c>
      <c r="S1354" s="9" t="n">
        <v>1130101</v>
      </c>
      <c r="T1354" s="11" t="s">
        <v>48</v>
      </c>
      <c r="U1354" s="12" t="n">
        <v>1387.05</v>
      </c>
      <c r="W1354" s="12" t="n">
        <v>1387.05</v>
      </c>
      <c r="X1354" s="11" t="s">
        <v>1040</v>
      </c>
      <c r="Z1354" s="0" t="str">
        <f aca="false">IF($T1354="","",IFERROR(INDEX('Resumo Grupos'!$AC$3:$AC$200,MATCH($T1354,'Resumo Grupos'!$AB$3:$AB$200,0)),"n/d"))</f>
        <v>Mercadoria</v>
      </c>
      <c r="AA1354" s="0" t="str">
        <f aca="false">IF($T1354="","",IF(COUNTIF('Resumo Grupos'!$AE$3:$AE$40,$T1354)&gt;0,"NAO","SIM"))</f>
        <v>SIM</v>
      </c>
      <c r="AB1354" s="0" t="str">
        <f aca="false">IFERROR(INDEX('Mov Entradas (Rel 10497)'!$L:$L,MATCH(AC1354,'Mov Entradas (Rel 10497)'!$I:$I,0)),"nao encontrado")</f>
        <v>PROTETOR DIARIO ALWAYS C/ PERFUME 15UN</v>
      </c>
      <c r="AC1354" s="0" t="n">
        <v>3218198</v>
      </c>
    </row>
    <row r="1355" customFormat="false" ht="12.75" hidden="false" customHeight="true" outlineLevel="0" collapsed="false">
      <c r="A1355" s="9" t="n">
        <v>2</v>
      </c>
      <c r="B1355" s="10" t="n">
        <v>46219</v>
      </c>
      <c r="C1355" s="10" t="n">
        <v>46244</v>
      </c>
      <c r="D1355" s="9" t="n">
        <v>1636</v>
      </c>
      <c r="E1355" s="11" t="s">
        <v>61</v>
      </c>
      <c r="F1355" s="9" t="n">
        <v>24</v>
      </c>
      <c r="G1355" s="11" t="s">
        <v>51</v>
      </c>
      <c r="H1355" s="9" t="n">
        <v>2110405</v>
      </c>
      <c r="I1355" s="11" t="s">
        <v>56</v>
      </c>
      <c r="J1355" s="9" t="n">
        <v>1406454</v>
      </c>
      <c r="L1355" s="9" t="n">
        <v>189386</v>
      </c>
      <c r="M1355" s="11" t="s">
        <v>52</v>
      </c>
      <c r="N1355" s="11" t="s">
        <v>45</v>
      </c>
      <c r="P1355" s="9" t="n">
        <v>113</v>
      </c>
      <c r="Q1355" s="11" t="s">
        <v>46</v>
      </c>
      <c r="R1355" s="11" t="s">
        <v>47</v>
      </c>
      <c r="S1355" s="9" t="n">
        <v>1130101</v>
      </c>
      <c r="T1355" s="11" t="s">
        <v>48</v>
      </c>
      <c r="U1355" s="12" t="n">
        <v>920.12</v>
      </c>
      <c r="W1355" s="12" t="n">
        <v>920.12</v>
      </c>
      <c r="X1355" s="11" t="s">
        <v>1041</v>
      </c>
      <c r="Z1355" s="0" t="str">
        <f aca="false">IF($T1355="","",IFERROR(INDEX('Resumo Grupos'!$AC$3:$AC$200,MATCH($T1355,'Resumo Grupos'!$AB$3:$AB$200,0)),"n/d"))</f>
        <v>Mercadoria</v>
      </c>
      <c r="AA1355" s="0" t="str">
        <f aca="false">IF($T1355="","",IF(COUNTIF('Resumo Grupos'!$AE$3:$AE$40,$T1355)&gt;0,"NAO","SIM"))</f>
        <v>SIM</v>
      </c>
      <c r="AB1355" s="0" t="str">
        <f aca="false">IFERROR(INDEX('Mov Entradas (Rel 10497)'!$L:$L,MATCH(AC1355,'Mov Entradas (Rel 10497)'!$I:$I,0)),"nao encontrado")</f>
        <v>ADOC LI ZERO-CAL 100ML</v>
      </c>
      <c r="AC1355" s="0" t="n">
        <v>3218197</v>
      </c>
    </row>
    <row r="1356" customFormat="false" ht="12.75" hidden="false" customHeight="true" outlineLevel="0" collapsed="false">
      <c r="A1356" s="9" t="n">
        <v>2</v>
      </c>
      <c r="B1356" s="10" t="n">
        <v>46198</v>
      </c>
      <c r="C1356" s="10" t="n">
        <v>46244</v>
      </c>
      <c r="D1356" s="9" t="n">
        <v>1218</v>
      </c>
      <c r="E1356" s="11" t="s">
        <v>659</v>
      </c>
      <c r="F1356" s="9" t="n">
        <v>24</v>
      </c>
      <c r="G1356" s="11" t="s">
        <v>51</v>
      </c>
      <c r="H1356" s="9" t="n">
        <v>2110101</v>
      </c>
      <c r="I1356" s="11" t="s">
        <v>43</v>
      </c>
      <c r="J1356" s="9" t="n">
        <v>1305945</v>
      </c>
      <c r="L1356" s="9" t="n">
        <v>9495</v>
      </c>
      <c r="M1356" s="11" t="s">
        <v>36</v>
      </c>
      <c r="N1356" s="11" t="s">
        <v>37</v>
      </c>
      <c r="P1356" s="9" t="n">
        <v>113</v>
      </c>
      <c r="Q1356" s="11" t="s">
        <v>46</v>
      </c>
      <c r="R1356" s="11" t="s">
        <v>47</v>
      </c>
      <c r="S1356" s="9" t="n">
        <v>1130101</v>
      </c>
      <c r="T1356" s="11" t="s">
        <v>48</v>
      </c>
      <c r="U1356" s="12" t="n">
        <v>531.18</v>
      </c>
      <c r="W1356" s="12" t="n">
        <v>531.18</v>
      </c>
      <c r="X1356" s="11" t="s">
        <v>660</v>
      </c>
      <c r="Z1356" s="0" t="str">
        <f aca="false">IF($T1356="","",IFERROR(INDEX('Resumo Grupos'!$AC$3:$AC$200,MATCH($T1356,'Resumo Grupos'!$AB$3:$AB$200,0)),"n/d"))</f>
        <v>Mercadoria</v>
      </c>
      <c r="AA1356" s="0" t="str">
        <f aca="false">IF($T1356="","",IF(COUNTIF('Resumo Grupos'!$AE$3:$AE$40,$T1356)&gt;0,"NAO","SIM"))</f>
        <v>SIM</v>
      </c>
      <c r="AB1356" s="0" t="str">
        <f aca="false">IFERROR(INDEX('Mov Entradas (Rel 10497)'!$L:$L,MATCH(AC1356,'Mov Entradas (Rel 10497)'!$I:$I,0)),"nao encontrado")</f>
        <v>ANTIFER LUBFAS 300ML</v>
      </c>
      <c r="AC1356" s="0" t="n">
        <v>9495</v>
      </c>
    </row>
    <row r="1357" customFormat="false" ht="12.75" hidden="false" customHeight="true" outlineLevel="0" collapsed="false">
      <c r="A1357" s="9" t="n">
        <v>2</v>
      </c>
      <c r="B1357" s="10" t="n">
        <v>46237</v>
      </c>
      <c r="C1357" s="10" t="n">
        <v>46244</v>
      </c>
      <c r="D1357" s="9" t="n">
        <v>1626</v>
      </c>
      <c r="E1357" s="11" t="s">
        <v>77</v>
      </c>
      <c r="F1357" s="9" t="n">
        <v>24</v>
      </c>
      <c r="G1357" s="11" t="s">
        <v>51</v>
      </c>
      <c r="H1357" s="9" t="n">
        <v>2110405</v>
      </c>
      <c r="I1357" s="11" t="s">
        <v>56</v>
      </c>
      <c r="J1357" s="9" t="n">
        <v>1495125</v>
      </c>
      <c r="L1357" s="9" t="n">
        <v>202737</v>
      </c>
      <c r="M1357" s="11" t="s">
        <v>52</v>
      </c>
      <c r="N1357" s="11" t="s">
        <v>45</v>
      </c>
      <c r="P1357" s="9" t="n">
        <v>113</v>
      </c>
      <c r="Q1357" s="11" t="s">
        <v>46</v>
      </c>
      <c r="R1357" s="11" t="s">
        <v>47</v>
      </c>
      <c r="S1357" s="9" t="n">
        <v>1130101</v>
      </c>
      <c r="T1357" s="11" t="s">
        <v>48</v>
      </c>
      <c r="U1357" s="12" t="n">
        <v>416.64</v>
      </c>
      <c r="W1357" s="12" t="n">
        <v>416.64</v>
      </c>
      <c r="X1357" s="11" t="s">
        <v>1245</v>
      </c>
      <c r="Z1357" s="0" t="str">
        <f aca="false">IF($T1357="","",IFERROR(INDEX('Resumo Grupos'!$AC$3:$AC$200,MATCH($T1357,'Resumo Grupos'!$AB$3:$AB$200,0)),"n/d"))</f>
        <v>Mercadoria</v>
      </c>
      <c r="AA1357" s="0" t="str">
        <f aca="false">IF($T1357="","",IF(COUNTIF('Resumo Grupos'!$AE$3:$AE$40,$T1357)&gt;0,"NAO","SIM"))</f>
        <v>SIM</v>
      </c>
      <c r="AB1357" s="0" t="str">
        <f aca="false">IFERROR(INDEX('Mov Entradas (Rel 10497)'!$L:$L,MATCH(AC1357,'Mov Entradas (Rel 10497)'!$I:$I,0)),"nao encontrado")</f>
        <v>TEKITOS TRAD 300G</v>
      </c>
      <c r="AC1357" s="0" t="n">
        <v>315892</v>
      </c>
    </row>
    <row r="1358" customFormat="false" ht="12.75" hidden="false" customHeight="true" outlineLevel="0" collapsed="false">
      <c r="A1358" s="9" t="n">
        <v>2</v>
      </c>
      <c r="B1358" s="10" t="n">
        <v>46241</v>
      </c>
      <c r="C1358" s="10" t="n">
        <v>46244</v>
      </c>
      <c r="D1358" s="9" t="n">
        <v>10035</v>
      </c>
      <c r="E1358" s="11" t="s">
        <v>86</v>
      </c>
      <c r="F1358" s="9" t="n">
        <v>34</v>
      </c>
      <c r="G1358" s="11" t="s">
        <v>55</v>
      </c>
      <c r="H1358" s="9" t="n">
        <v>2110405</v>
      </c>
      <c r="I1358" s="11" t="s">
        <v>56</v>
      </c>
      <c r="J1358" s="9" t="n">
        <v>1514033</v>
      </c>
      <c r="L1358" s="9" t="n">
        <v>205939</v>
      </c>
      <c r="M1358" s="11" t="s">
        <v>52</v>
      </c>
      <c r="N1358" s="11" t="s">
        <v>45</v>
      </c>
      <c r="P1358" s="9" t="n">
        <v>113</v>
      </c>
      <c r="Q1358" s="11" t="s">
        <v>46</v>
      </c>
      <c r="R1358" s="11" t="s">
        <v>47</v>
      </c>
      <c r="S1358" s="9" t="n">
        <v>1130101</v>
      </c>
      <c r="T1358" s="11" t="s">
        <v>48</v>
      </c>
      <c r="U1358" s="12" t="n">
        <v>183</v>
      </c>
      <c r="W1358" s="12" t="n">
        <v>183</v>
      </c>
      <c r="X1358" s="11" t="s">
        <v>1246</v>
      </c>
      <c r="Z1358" s="0" t="str">
        <f aca="false">IF($T1358="","",IFERROR(INDEX('Resumo Grupos'!$AC$3:$AC$200,MATCH($T1358,'Resumo Grupos'!$AB$3:$AB$200,0)),"n/d"))</f>
        <v>Mercadoria</v>
      </c>
      <c r="AA1358" s="0" t="str">
        <f aca="false">IF($T1358="","",IF(COUNTIF('Resumo Grupos'!$AE$3:$AE$40,$T1358)&gt;0,"NAO","SIM"))</f>
        <v>SIM</v>
      </c>
      <c r="AB1358" s="0" t="str">
        <f aca="false">IFERROR(INDEX('Mov Entradas (Rel 10497)'!$L:$L,MATCH(AC1358,'Mov Entradas (Rel 10497)'!$I:$I,0)),"nao encontrado")</f>
        <v>CARVAO VEGETAL 3KG</v>
      </c>
      <c r="AC1358" s="0" t="n">
        <v>395</v>
      </c>
    </row>
    <row r="1359" customFormat="false" ht="12.75" hidden="false" customHeight="true" outlineLevel="0" collapsed="false">
      <c r="A1359" s="9" t="n">
        <v>2</v>
      </c>
      <c r="B1359" s="10" t="n">
        <v>46240</v>
      </c>
      <c r="C1359" s="10" t="n">
        <v>46244</v>
      </c>
      <c r="D1359" s="9" t="n">
        <v>10103</v>
      </c>
      <c r="E1359" s="11" t="s">
        <v>1247</v>
      </c>
      <c r="F1359" s="9" t="n">
        <v>34</v>
      </c>
      <c r="G1359" s="11" t="s">
        <v>55</v>
      </c>
      <c r="H1359" s="9" t="n">
        <v>2110405</v>
      </c>
      <c r="I1359" s="11" t="s">
        <v>56</v>
      </c>
      <c r="J1359" s="9" t="n">
        <v>1508229</v>
      </c>
      <c r="L1359" s="9" t="n">
        <v>204893</v>
      </c>
      <c r="M1359" s="11" t="s">
        <v>52</v>
      </c>
      <c r="N1359" s="11" t="s">
        <v>45</v>
      </c>
      <c r="P1359" s="9" t="n">
        <v>113</v>
      </c>
      <c r="Q1359" s="11" t="s">
        <v>46</v>
      </c>
      <c r="R1359" s="11" t="s">
        <v>47</v>
      </c>
      <c r="S1359" s="9" t="n">
        <v>1130101</v>
      </c>
      <c r="T1359" s="11" t="s">
        <v>48</v>
      </c>
      <c r="U1359" s="12" t="n">
        <v>390</v>
      </c>
      <c r="W1359" s="12" t="n">
        <v>390</v>
      </c>
      <c r="X1359" s="11" t="s">
        <v>1248</v>
      </c>
      <c r="Z1359" s="0" t="str">
        <f aca="false">IF($T1359="","",IFERROR(INDEX('Resumo Grupos'!$AC$3:$AC$200,MATCH($T1359,'Resumo Grupos'!$AB$3:$AB$200,0)),"n/d"))</f>
        <v>Mercadoria</v>
      </c>
      <c r="AA1359" s="0" t="str">
        <f aca="false">IF($T1359="","",IF(COUNTIF('Resumo Grupos'!$AE$3:$AE$40,$T1359)&gt;0,"NAO","SIM"))</f>
        <v>SIM</v>
      </c>
      <c r="AB1359" s="0" t="str">
        <f aca="false">IFERROR(INDEX('Mov Entradas (Rel 10497)'!$L:$L,MATCH(AC1359,'Mov Entradas (Rel 10497)'!$I:$I,0)),"nao encontrado")</f>
        <v>BISCOITO AGUA E SAL</v>
      </c>
      <c r="AC1359" s="0" t="n">
        <v>367</v>
      </c>
    </row>
    <row r="1360" customFormat="false" ht="12.75" hidden="false" customHeight="true" outlineLevel="0" collapsed="false">
      <c r="A1360" s="9" t="n">
        <v>2</v>
      </c>
      <c r="B1360" s="10" t="n">
        <v>46230</v>
      </c>
      <c r="C1360" s="10" t="n">
        <v>46244</v>
      </c>
      <c r="D1360" s="9" t="n">
        <v>513</v>
      </c>
      <c r="E1360" s="11" t="s">
        <v>346</v>
      </c>
      <c r="F1360" s="9" t="n">
        <v>24</v>
      </c>
      <c r="G1360" s="11" t="s">
        <v>51</v>
      </c>
      <c r="H1360" s="9" t="n">
        <v>2110405</v>
      </c>
      <c r="I1360" s="11" t="s">
        <v>56</v>
      </c>
      <c r="J1360" s="9" t="n">
        <v>1459285</v>
      </c>
      <c r="L1360" s="9" t="n">
        <v>197498</v>
      </c>
      <c r="M1360" s="11" t="s">
        <v>52</v>
      </c>
      <c r="N1360" s="11" t="s">
        <v>45</v>
      </c>
      <c r="P1360" s="9" t="n">
        <v>101</v>
      </c>
      <c r="Q1360" s="11" t="s">
        <v>57</v>
      </c>
      <c r="R1360" s="11" t="s">
        <v>71</v>
      </c>
      <c r="S1360" s="9" t="n">
        <v>4210315</v>
      </c>
      <c r="T1360" s="11" t="s">
        <v>279</v>
      </c>
      <c r="U1360" s="12" t="n">
        <v>160</v>
      </c>
      <c r="W1360" s="12" t="n">
        <v>160</v>
      </c>
      <c r="X1360" s="11" t="s">
        <v>803</v>
      </c>
      <c r="Z1360" s="0" t="str">
        <f aca="false">IF($T1360="","",IFERROR(INDEX('Resumo Grupos'!$AC$3:$AC$200,MATCH($T1360,'Resumo Grupos'!$AB$3:$AB$200,0)),"n/d"))</f>
        <v>Despesa</v>
      </c>
      <c r="AA1360" s="0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9" t="n">
        <v>2</v>
      </c>
      <c r="B1361" s="10" t="n">
        <v>46244</v>
      </c>
      <c r="C1361" s="10" t="n">
        <v>46244</v>
      </c>
      <c r="D1361" s="9" t="n">
        <v>48</v>
      </c>
      <c r="E1361" s="11" t="s">
        <v>153</v>
      </c>
      <c r="F1361" s="9" t="n">
        <v>13</v>
      </c>
      <c r="G1361" s="11" t="s">
        <v>135</v>
      </c>
      <c r="H1361" s="9" t="n">
        <v>2110101</v>
      </c>
      <c r="I1361" s="11" t="s">
        <v>43</v>
      </c>
      <c r="J1361" s="9" t="n">
        <v>1529194</v>
      </c>
      <c r="L1361" s="9" t="n">
        <v>2596</v>
      </c>
      <c r="M1361" s="11" t="s">
        <v>52</v>
      </c>
      <c r="N1361" s="11" t="s">
        <v>37</v>
      </c>
      <c r="P1361" s="9" t="n">
        <v>113</v>
      </c>
      <c r="Q1361" s="11" t="s">
        <v>46</v>
      </c>
      <c r="R1361" s="11" t="s">
        <v>47</v>
      </c>
      <c r="S1361" s="9" t="n">
        <v>1130101</v>
      </c>
      <c r="T1361" s="11" t="s">
        <v>48</v>
      </c>
      <c r="U1361" s="12" t="n">
        <v>375</v>
      </c>
      <c r="W1361" s="12" t="n">
        <v>0</v>
      </c>
      <c r="X1361" s="11" t="s">
        <v>1249</v>
      </c>
      <c r="Z1361" s="0" t="str">
        <f aca="false">IF($T1361="","",IFERROR(INDEX('Resumo Grupos'!$AC$3:$AC$200,MATCH($T1361,'Resumo Grupos'!$AB$3:$AB$200,0)),"n/d"))</f>
        <v>Mercadoria</v>
      </c>
      <c r="AA1361" s="0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9" t="n">
        <v>2</v>
      </c>
      <c r="B1362" s="10" t="n">
        <v>46238</v>
      </c>
      <c r="C1362" s="10" t="n">
        <v>46244</v>
      </c>
      <c r="D1362" s="9" t="n">
        <v>1328</v>
      </c>
      <c r="E1362" s="11" t="s">
        <v>95</v>
      </c>
      <c r="F1362" s="9" t="n">
        <v>24</v>
      </c>
      <c r="G1362" s="11" t="s">
        <v>51</v>
      </c>
      <c r="H1362" s="9" t="n">
        <v>2110405</v>
      </c>
      <c r="I1362" s="11" t="s">
        <v>56</v>
      </c>
      <c r="J1362" s="9" t="n">
        <v>1499888</v>
      </c>
      <c r="L1362" s="9" t="n">
        <v>203578</v>
      </c>
      <c r="M1362" s="11" t="s">
        <v>52</v>
      </c>
      <c r="N1362" s="11" t="s">
        <v>45</v>
      </c>
      <c r="P1362" s="9" t="n">
        <v>113</v>
      </c>
      <c r="Q1362" s="11" t="s">
        <v>46</v>
      </c>
      <c r="R1362" s="11" t="s">
        <v>47</v>
      </c>
      <c r="S1362" s="9" t="n">
        <v>1130101</v>
      </c>
      <c r="T1362" s="11" t="s">
        <v>48</v>
      </c>
      <c r="U1362" s="12" t="n">
        <v>219.3</v>
      </c>
      <c r="W1362" s="12" t="n">
        <v>219.3</v>
      </c>
      <c r="X1362" s="11" t="s">
        <v>1250</v>
      </c>
      <c r="Z1362" s="0" t="str">
        <f aca="false">IF($T1362="","",IFERROR(INDEX('Resumo Grupos'!$AC$3:$AC$200,MATCH($T1362,'Resumo Grupos'!$AB$3:$AB$200,0)),"n/d"))</f>
        <v>Mercadoria</v>
      </c>
      <c r="AA1362" s="0" t="str">
        <f aca="false">IF($T1362="","",IF(COUNTIF('Resumo Grupos'!$AE$3:$AE$40,$T1362)&gt;0,"NAO","SIM"))</f>
        <v>SIM</v>
      </c>
      <c r="AB1362" s="0" t="str">
        <f aca="false">IFERROR(INDEX('Mov Entradas (Rel 10497)'!$L:$L,MATCH(AC1362,'Mov Entradas (Rel 10497)'!$I:$I,0)),"nao encontrado")</f>
        <v>PAO DE KIKAO 10</v>
      </c>
      <c r="AC1362" s="0" t="n">
        <v>4280</v>
      </c>
    </row>
    <row r="1363" customFormat="false" ht="36.75" hidden="false" customHeight="true" outlineLevel="0" collapsed="false">
      <c r="A1363" s="9" t="n">
        <v>2</v>
      </c>
      <c r="B1363" s="10" t="n">
        <v>46239</v>
      </c>
      <c r="C1363" s="10" t="n">
        <v>46244</v>
      </c>
      <c r="D1363" s="9" t="n">
        <v>1899</v>
      </c>
      <c r="E1363" s="11" t="s">
        <v>204</v>
      </c>
      <c r="F1363" s="9" t="n">
        <v>24</v>
      </c>
      <c r="G1363" s="11" t="s">
        <v>51</v>
      </c>
      <c r="H1363" s="9" t="n">
        <v>2110405</v>
      </c>
      <c r="I1363" s="11" t="s">
        <v>56</v>
      </c>
      <c r="J1363" s="9" t="n">
        <v>1503447</v>
      </c>
      <c r="L1363" s="9" t="n">
        <v>204125</v>
      </c>
      <c r="M1363" s="11" t="s">
        <v>52</v>
      </c>
      <c r="N1363" s="11" t="s">
        <v>45</v>
      </c>
      <c r="P1363" s="9" t="n">
        <v>113</v>
      </c>
      <c r="Q1363" s="11" t="s">
        <v>46</v>
      </c>
      <c r="R1363" s="11" t="s">
        <v>47</v>
      </c>
      <c r="S1363" s="9" t="n">
        <v>1130101</v>
      </c>
      <c r="T1363" s="11" t="s">
        <v>48</v>
      </c>
      <c r="U1363" s="12" t="n">
        <v>312.1</v>
      </c>
      <c r="W1363" s="12" t="n">
        <v>312.1</v>
      </c>
      <c r="X1363" s="11" t="s">
        <v>1251</v>
      </c>
      <c r="Z1363" s="0" t="str">
        <f aca="false">IF($T1363="","",IFERROR(INDEX('Resumo Grupos'!$AC$3:$AC$200,MATCH($T1363,'Resumo Grupos'!$AB$3:$AB$200,0)),"n/d"))</f>
        <v>Mercadoria</v>
      </c>
      <c r="AA1363" s="0" t="str">
        <f aca="false">IF($T1363="","",IF(COUNTIF('Resumo Grupos'!$AE$3:$AE$40,$T1363)&gt;0,"NAO","SIM"))</f>
        <v>SIM</v>
      </c>
      <c r="AB1363" s="0" t="str">
        <f aca="false">IFERROR(INDEX('Mov Entradas (Rel 10497)'!$L:$L,MATCH(AC1363,'Mov Entradas (Rel 10497)'!$I:$I,0)),"nao encontrado")</f>
        <v>PAO DE FORMA REAL MA</v>
      </c>
      <c r="AC1363" s="0" t="n">
        <v>747</v>
      </c>
    </row>
    <row r="1364" customFormat="false" ht="36.75" hidden="false" customHeight="true" outlineLevel="0" collapsed="false">
      <c r="A1364" s="9" t="n">
        <v>2</v>
      </c>
      <c r="B1364" s="10" t="n">
        <v>46244</v>
      </c>
      <c r="C1364" s="10" t="n">
        <v>46244</v>
      </c>
      <c r="D1364" s="9" t="n">
        <v>1899</v>
      </c>
      <c r="E1364" s="11" t="s">
        <v>204</v>
      </c>
      <c r="F1364" s="9" t="n">
        <v>24</v>
      </c>
      <c r="G1364" s="11" t="s">
        <v>51</v>
      </c>
      <c r="H1364" s="9" t="n">
        <v>2110405</v>
      </c>
      <c r="I1364" s="11" t="s">
        <v>56</v>
      </c>
      <c r="J1364" s="9" t="n">
        <v>1529094</v>
      </c>
      <c r="L1364" s="9" t="n">
        <v>207942</v>
      </c>
      <c r="M1364" s="11" t="s">
        <v>52</v>
      </c>
      <c r="N1364" s="11" t="s">
        <v>45</v>
      </c>
      <c r="P1364" s="9" t="n">
        <v>113</v>
      </c>
      <c r="Q1364" s="11" t="s">
        <v>46</v>
      </c>
      <c r="R1364" s="11" t="s">
        <v>47</v>
      </c>
      <c r="S1364" s="9" t="n">
        <v>1130101</v>
      </c>
      <c r="T1364" s="11" t="s">
        <v>48</v>
      </c>
      <c r="U1364" s="12" t="n">
        <v>374.7</v>
      </c>
      <c r="W1364" s="12" t="n">
        <v>374.7</v>
      </c>
      <c r="X1364" s="11" t="s">
        <v>1252</v>
      </c>
      <c r="Z1364" s="0" t="str">
        <f aca="false">IF($T1364="","",IFERROR(INDEX('Resumo Grupos'!$AC$3:$AC$200,MATCH($T1364,'Resumo Grupos'!$AB$3:$AB$200,0)),"n/d"))</f>
        <v>Mercadoria</v>
      </c>
      <c r="AA1364" s="0" t="str">
        <f aca="false">IF($T1364="","",IF(COUNTIF('Resumo Grupos'!$AE$3:$AE$40,$T1364)&gt;0,"NAO","SIM"))</f>
        <v>SIM</v>
      </c>
      <c r="AB1364" s="0" t="str">
        <f aca="false">IFERROR(INDEX('Mov Entradas (Rel 10497)'!$L:$L,MATCH(AC1364,'Mov Entradas (Rel 10497)'!$I:$I,0)),"nao encontrado")</f>
        <v>PAO DE FORMA REAL MA</v>
      </c>
      <c r="AC1364" s="0" t="n">
        <v>752</v>
      </c>
    </row>
    <row r="1365" customFormat="false" ht="54.75" hidden="false" customHeight="true" outlineLevel="0" collapsed="false">
      <c r="A1365" s="9" t="n">
        <v>2</v>
      </c>
      <c r="B1365" s="10" t="n">
        <v>46220</v>
      </c>
      <c r="C1365" s="10" t="n">
        <v>46244</v>
      </c>
      <c r="D1365" s="9" t="n">
        <v>1331</v>
      </c>
      <c r="E1365" s="11" t="s">
        <v>1253</v>
      </c>
      <c r="F1365" s="9" t="n">
        <v>46</v>
      </c>
      <c r="G1365" s="11" t="s">
        <v>319</v>
      </c>
      <c r="H1365" s="9" t="n">
        <v>2110405</v>
      </c>
      <c r="I1365" s="11" t="s">
        <v>56</v>
      </c>
      <c r="J1365" s="9" t="n">
        <v>1529103</v>
      </c>
      <c r="L1365" s="9" t="n">
        <v>207945</v>
      </c>
      <c r="M1365" s="11" t="s">
        <v>52</v>
      </c>
      <c r="N1365" s="11" t="s">
        <v>45</v>
      </c>
      <c r="P1365" s="9" t="n">
        <v>101</v>
      </c>
      <c r="Q1365" s="11" t="s">
        <v>57</v>
      </c>
      <c r="R1365" s="11" t="s">
        <v>39</v>
      </c>
      <c r="S1365" s="9" t="n">
        <v>4210209</v>
      </c>
      <c r="T1365" s="11" t="s">
        <v>682</v>
      </c>
      <c r="U1365" s="12" t="n">
        <v>106.35</v>
      </c>
      <c r="W1365" s="12" t="n">
        <v>106.35</v>
      </c>
      <c r="X1365" s="11" t="s">
        <v>1254</v>
      </c>
      <c r="Z1365" s="0" t="str">
        <f aca="false">IF($T1365="","",IFERROR(INDEX('Resumo Grupos'!$AC$3:$AC$200,MATCH($T1365,'Resumo Grupos'!$AB$3:$AB$200,0)),"n/d"))</f>
        <v>Despesa</v>
      </c>
      <c r="AA1365" s="0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9" t="n">
        <v>2</v>
      </c>
      <c r="B1366" s="10" t="n">
        <v>46223</v>
      </c>
      <c r="C1366" s="10" t="n">
        <v>46244</v>
      </c>
      <c r="D1366" s="9" t="n">
        <v>607</v>
      </c>
      <c r="E1366" s="11" t="s">
        <v>281</v>
      </c>
      <c r="F1366" s="9" t="n">
        <v>24</v>
      </c>
      <c r="G1366" s="11" t="s">
        <v>51</v>
      </c>
      <c r="H1366" s="9" t="n">
        <v>2110405</v>
      </c>
      <c r="I1366" s="11" t="s">
        <v>56</v>
      </c>
      <c r="J1366" s="9" t="n">
        <v>1424634</v>
      </c>
      <c r="L1366" s="9" t="n">
        <v>190909</v>
      </c>
      <c r="M1366" s="11" t="s">
        <v>52</v>
      </c>
      <c r="N1366" s="11" t="s">
        <v>45</v>
      </c>
      <c r="P1366" s="9" t="n">
        <v>113</v>
      </c>
      <c r="Q1366" s="11" t="s">
        <v>46</v>
      </c>
      <c r="R1366" s="11" t="s">
        <v>47</v>
      </c>
      <c r="S1366" s="9" t="n">
        <v>1130101</v>
      </c>
      <c r="T1366" s="11" t="s">
        <v>48</v>
      </c>
      <c r="U1366" s="12" t="n">
        <v>446.28</v>
      </c>
      <c r="W1366" s="12" t="n">
        <v>446.28</v>
      </c>
      <c r="X1366" s="11" t="s">
        <v>1255</v>
      </c>
      <c r="Z1366" s="0" t="str">
        <f aca="false">IF($T1366="","",IFERROR(INDEX('Resumo Grupos'!$AC$3:$AC$200,MATCH($T1366,'Resumo Grupos'!$AB$3:$AB$200,0)),"n/d"))</f>
        <v>Mercadoria</v>
      </c>
      <c r="AA1366" s="0" t="str">
        <f aca="false">IF($T1366="","",IF(COUNTIF('Resumo Grupos'!$AE$3:$AE$40,$T1366)&gt;0,"NAO","SIM"))</f>
        <v>SIM</v>
      </c>
      <c r="AB1366" s="0" t="str">
        <f aca="false">IFERROR(INDEX('Mov Entradas (Rel 10497)'!$L:$L,MATCH(AC1366,'Mov Entradas (Rel 10497)'!$I:$I,0)),"nao encontrado")</f>
        <v>RC JAPI PREM.FILH25K</v>
      </c>
      <c r="AC1366" s="0" t="n">
        <v>11173</v>
      </c>
    </row>
    <row r="1367" customFormat="false" ht="36.75" hidden="false" customHeight="true" outlineLevel="0" collapsed="false">
      <c r="A1367" s="9" t="n">
        <v>2</v>
      </c>
      <c r="B1367" s="10" t="n">
        <v>46211</v>
      </c>
      <c r="C1367" s="10" t="n">
        <v>46244</v>
      </c>
      <c r="D1367" s="9" t="n">
        <v>33</v>
      </c>
      <c r="E1367" s="11" t="s">
        <v>313</v>
      </c>
      <c r="F1367" s="9" t="n">
        <v>34</v>
      </c>
      <c r="G1367" s="11" t="s">
        <v>55</v>
      </c>
      <c r="H1367" s="9" t="n">
        <v>2110405</v>
      </c>
      <c r="I1367" s="11" t="s">
        <v>56</v>
      </c>
      <c r="J1367" s="9" t="n">
        <v>1370733</v>
      </c>
      <c r="L1367" s="9" t="n">
        <v>184338</v>
      </c>
      <c r="M1367" s="11" t="s">
        <v>52</v>
      </c>
      <c r="N1367" s="11" t="s">
        <v>45</v>
      </c>
      <c r="P1367" s="9" t="n">
        <v>101</v>
      </c>
      <c r="Q1367" s="11" t="s">
        <v>57</v>
      </c>
      <c r="R1367" s="11" t="s">
        <v>39</v>
      </c>
      <c r="S1367" s="9" t="n">
        <v>4210222</v>
      </c>
      <c r="T1367" s="11" t="s">
        <v>1256</v>
      </c>
      <c r="U1367" s="12" t="n">
        <v>666.67</v>
      </c>
      <c r="W1367" s="12" t="n">
        <v>666.67</v>
      </c>
      <c r="X1367" s="11" t="s">
        <v>1257</v>
      </c>
      <c r="Z1367" s="0" t="str">
        <f aca="false">IF($T1367="","",IFERROR(INDEX('Resumo Grupos'!$AC$3:$AC$200,MATCH($T1367,'Resumo Grupos'!$AB$3:$AB$200,0)),"n/d"))</f>
        <v>Despesa</v>
      </c>
      <c r="AA1367" s="0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9" t="n">
        <v>2</v>
      </c>
      <c r="B1368" s="10" t="n">
        <v>46244</v>
      </c>
      <c r="C1368" s="10" t="n">
        <v>46244</v>
      </c>
      <c r="D1368" s="9" t="n">
        <v>33</v>
      </c>
      <c r="E1368" s="11" t="s">
        <v>313</v>
      </c>
      <c r="F1368" s="9" t="n">
        <v>34</v>
      </c>
      <c r="G1368" s="11" t="s">
        <v>55</v>
      </c>
      <c r="H1368" s="9" t="n">
        <v>2110405</v>
      </c>
      <c r="I1368" s="11" t="s">
        <v>56</v>
      </c>
      <c r="J1368" s="9" t="n">
        <v>1537293</v>
      </c>
      <c r="L1368" s="9" t="n">
        <v>209752</v>
      </c>
      <c r="M1368" s="11" t="s">
        <v>52</v>
      </c>
      <c r="N1368" s="11" t="s">
        <v>45</v>
      </c>
      <c r="P1368" s="9" t="n">
        <v>102</v>
      </c>
      <c r="Q1368" s="11" t="s">
        <v>308</v>
      </c>
      <c r="R1368" s="11" t="s">
        <v>81</v>
      </c>
      <c r="S1368" s="9" t="n">
        <v>4220199</v>
      </c>
      <c r="T1368" s="11" t="s">
        <v>82</v>
      </c>
      <c r="U1368" s="12" t="n">
        <v>666.66</v>
      </c>
      <c r="W1368" s="12" t="n">
        <v>666.66</v>
      </c>
      <c r="X1368" s="11" t="s">
        <v>1258</v>
      </c>
      <c r="Z1368" s="0" t="str">
        <f aca="false">IF($T1368="","",IFERROR(INDEX('Resumo Grupos'!$AC$3:$AC$200,MATCH($T1368,'Resumo Grupos'!$AB$3:$AB$200,0)),"n/d"))</f>
        <v>Pagamentos outros não operacionais</v>
      </c>
      <c r="AA1368" s="0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9" t="n">
        <v>2</v>
      </c>
      <c r="B1369" s="10" t="n">
        <v>46244</v>
      </c>
      <c r="C1369" s="10" t="n">
        <v>46244</v>
      </c>
      <c r="D1369" s="9" t="n">
        <v>0</v>
      </c>
      <c r="E1369" s="11" t="s">
        <v>109</v>
      </c>
      <c r="F1369" s="9" t="n">
        <v>17</v>
      </c>
      <c r="G1369" s="11" t="s">
        <v>110</v>
      </c>
      <c r="H1369" s="9" t="n">
        <v>1110101</v>
      </c>
      <c r="I1369" s="11" t="s">
        <v>111</v>
      </c>
      <c r="J1369" s="9" t="n">
        <v>1532662</v>
      </c>
      <c r="L1369" s="9" t="n">
        <v>1532662</v>
      </c>
      <c r="M1369" s="11" t="s">
        <v>52</v>
      </c>
      <c r="N1369" s="11" t="s">
        <v>112</v>
      </c>
      <c r="P1369" s="9" t="n">
        <v>113</v>
      </c>
      <c r="Q1369" s="11" t="s">
        <v>46</v>
      </c>
      <c r="R1369" s="11" t="s">
        <v>39</v>
      </c>
      <c r="S1369" s="9" t="n">
        <v>4210227</v>
      </c>
      <c r="T1369" s="11" t="s">
        <v>68</v>
      </c>
      <c r="U1369" s="12" t="n">
        <v>100</v>
      </c>
      <c r="W1369" s="12" t="n">
        <v>100</v>
      </c>
      <c r="X1369" s="11" t="s">
        <v>1259</v>
      </c>
      <c r="Z1369" s="0" t="str">
        <f aca="false">IF($T1369="","",IFERROR(INDEX('Resumo Grupos'!$AC$3:$AC$200,MATCH($T1369,'Resumo Grupos'!$AB$3:$AB$200,0)),"n/d"))</f>
        <v>Despesa</v>
      </c>
      <c r="AA1369" s="0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9" t="n">
        <v>2</v>
      </c>
      <c r="B1370" s="10" t="n">
        <v>46244</v>
      </c>
      <c r="C1370" s="10" t="n">
        <v>46244</v>
      </c>
      <c r="D1370" s="9" t="n">
        <v>0</v>
      </c>
      <c r="E1370" s="11" t="s">
        <v>109</v>
      </c>
      <c r="F1370" s="9" t="n">
        <v>17</v>
      </c>
      <c r="G1370" s="11" t="s">
        <v>110</v>
      </c>
      <c r="H1370" s="9" t="n">
        <v>1110101</v>
      </c>
      <c r="I1370" s="11" t="s">
        <v>111</v>
      </c>
      <c r="J1370" s="9" t="n">
        <v>1716372</v>
      </c>
      <c r="L1370" s="9" t="n">
        <v>1716372</v>
      </c>
      <c r="M1370" s="11" t="s">
        <v>52</v>
      </c>
      <c r="N1370" s="11" t="s">
        <v>112</v>
      </c>
      <c r="P1370" s="9" t="n">
        <v>113</v>
      </c>
      <c r="Q1370" s="11" t="s">
        <v>46</v>
      </c>
      <c r="R1370" s="11" t="s">
        <v>116</v>
      </c>
      <c r="S1370" s="9" t="n">
        <v>1110203</v>
      </c>
      <c r="T1370" s="11" t="s">
        <v>117</v>
      </c>
      <c r="U1370" s="12" t="n">
        <v>2800</v>
      </c>
      <c r="W1370" s="12" t="n">
        <v>2800</v>
      </c>
      <c r="X1370" s="11" t="s">
        <v>1260</v>
      </c>
      <c r="Z1370" s="0" t="str">
        <f aca="false">IF($T1370="","",IFERROR(INDEX('Resumo Grupos'!$AC$3:$AC$200,MATCH($T1370,'Resumo Grupos'!$AB$3:$AB$200,0)),"n/d"))</f>
        <v>Despesa</v>
      </c>
      <c r="AA1370" s="0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9" t="n">
        <v>2</v>
      </c>
      <c r="B1371" s="10" t="n">
        <v>46221</v>
      </c>
      <c r="C1371" s="10" t="n">
        <v>46244</v>
      </c>
      <c r="D1371" s="9" t="n">
        <v>1671</v>
      </c>
      <c r="E1371" s="11" t="s">
        <v>119</v>
      </c>
      <c r="F1371" s="9" t="n">
        <v>24</v>
      </c>
      <c r="G1371" s="11" t="s">
        <v>51</v>
      </c>
      <c r="H1371" s="9" t="n">
        <v>2110405</v>
      </c>
      <c r="I1371" s="11" t="s">
        <v>56</v>
      </c>
      <c r="J1371" s="9" t="n">
        <v>1415173</v>
      </c>
      <c r="L1371" s="9" t="n">
        <v>190798</v>
      </c>
      <c r="M1371" s="11" t="s">
        <v>52</v>
      </c>
      <c r="N1371" s="11" t="s">
        <v>45</v>
      </c>
      <c r="P1371" s="9" t="n">
        <v>113</v>
      </c>
      <c r="Q1371" s="11" t="s">
        <v>46</v>
      </c>
      <c r="R1371" s="11" t="s">
        <v>47</v>
      </c>
      <c r="S1371" s="9" t="n">
        <v>1130101</v>
      </c>
      <c r="T1371" s="11" t="s">
        <v>48</v>
      </c>
      <c r="U1371" s="12" t="n">
        <v>823.61</v>
      </c>
      <c r="W1371" s="12" t="n">
        <v>823.61</v>
      </c>
      <c r="X1371" s="11" t="s">
        <v>1261</v>
      </c>
      <c r="Z1371" s="0" t="str">
        <f aca="false">IF($T1371="","",IFERROR(INDEX('Resumo Grupos'!$AC$3:$AC$200,MATCH($T1371,'Resumo Grupos'!$AB$3:$AB$200,0)),"n/d"))</f>
        <v>Mercadoria</v>
      </c>
      <c r="AA1371" s="0" t="str">
        <f aca="false">IF($T1371="","",IF(COUNTIF('Resumo Grupos'!$AE$3:$AE$40,$T1371)&gt;0,"NAO","SIM"))</f>
        <v>SIM</v>
      </c>
      <c r="AB1371" s="0" t="str">
        <f aca="false">IFERROR(INDEX('Mov Entradas (Rel 10497)'!$L:$L,MATCH(AC1371,'Mov Entradas (Rel 10497)'!$I:$I,0)),"nao encontrado")</f>
        <v>ALICATEUNHA MUNDIA</v>
      </c>
      <c r="AC1371" s="0" t="n">
        <v>580865</v>
      </c>
    </row>
    <row r="1372" customFormat="false" ht="45.75" hidden="false" customHeight="true" outlineLevel="0" collapsed="false">
      <c r="A1372" s="9" t="n">
        <v>2</v>
      </c>
      <c r="B1372" s="10" t="n">
        <v>46221</v>
      </c>
      <c r="C1372" s="10" t="n">
        <v>46244</v>
      </c>
      <c r="D1372" s="9" t="n">
        <v>1671</v>
      </c>
      <c r="E1372" s="11" t="s">
        <v>119</v>
      </c>
      <c r="F1372" s="9" t="n">
        <v>24</v>
      </c>
      <c r="G1372" s="11" t="s">
        <v>51</v>
      </c>
      <c r="H1372" s="9" t="n">
        <v>2110405</v>
      </c>
      <c r="I1372" s="11" t="s">
        <v>56</v>
      </c>
      <c r="J1372" s="9" t="n">
        <v>1415222</v>
      </c>
      <c r="L1372" s="9" t="n">
        <v>190799</v>
      </c>
      <c r="M1372" s="11" t="s">
        <v>52</v>
      </c>
      <c r="N1372" s="11" t="s">
        <v>45</v>
      </c>
      <c r="P1372" s="9" t="n">
        <v>113</v>
      </c>
      <c r="Q1372" s="11" t="s">
        <v>46</v>
      </c>
      <c r="R1372" s="11" t="s">
        <v>47</v>
      </c>
      <c r="S1372" s="9" t="n">
        <v>1130101</v>
      </c>
      <c r="T1372" s="11" t="s">
        <v>48</v>
      </c>
      <c r="U1372" s="12" t="n">
        <v>1472.09</v>
      </c>
      <c r="W1372" s="12" t="n">
        <v>1472.09</v>
      </c>
      <c r="X1372" s="11" t="s">
        <v>1262</v>
      </c>
      <c r="Z1372" s="0" t="str">
        <f aca="false">IF($T1372="","",IFERROR(INDEX('Resumo Grupos'!$AC$3:$AC$200,MATCH($T1372,'Resumo Grupos'!$AB$3:$AB$200,0)),"n/d"))</f>
        <v>Mercadoria</v>
      </c>
      <c r="AA1372" s="0" t="str">
        <f aca="false">IF($T1372="","",IF(COUNTIF('Resumo Grupos'!$AE$3:$AE$40,$T1372)&gt;0,"NAO","SIM"))</f>
        <v>SIM</v>
      </c>
      <c r="AB1372" s="0" t="str">
        <f aca="false">IFERROR(INDEX('Mov Entradas (Rel 10497)'!$L:$L,MATCH(AC1372,'Mov Entradas (Rel 10497)'!$I:$I,0)),"nao encontrado")</f>
        <v>AER NIVEA DRY 150ML</v>
      </c>
      <c r="AC1372" s="0" t="n">
        <v>580864</v>
      </c>
    </row>
    <row r="1373" customFormat="false" ht="45.75" hidden="false" customHeight="true" outlineLevel="0" collapsed="false">
      <c r="A1373" s="9" t="n">
        <v>2</v>
      </c>
      <c r="B1373" s="10" t="n">
        <v>46221</v>
      </c>
      <c r="C1373" s="10" t="n">
        <v>46244</v>
      </c>
      <c r="D1373" s="9" t="n">
        <v>1671</v>
      </c>
      <c r="E1373" s="11" t="s">
        <v>119</v>
      </c>
      <c r="F1373" s="9" t="n">
        <v>24</v>
      </c>
      <c r="G1373" s="11" t="s">
        <v>51</v>
      </c>
      <c r="H1373" s="9" t="n">
        <v>2110405</v>
      </c>
      <c r="I1373" s="11" t="s">
        <v>56</v>
      </c>
      <c r="J1373" s="9" t="n">
        <v>1415252</v>
      </c>
      <c r="L1373" s="9" t="n">
        <v>190805</v>
      </c>
      <c r="M1373" s="11" t="s">
        <v>52</v>
      </c>
      <c r="N1373" s="11" t="s">
        <v>45</v>
      </c>
      <c r="P1373" s="9" t="n">
        <v>113</v>
      </c>
      <c r="Q1373" s="11" t="s">
        <v>46</v>
      </c>
      <c r="R1373" s="11" t="s">
        <v>47</v>
      </c>
      <c r="S1373" s="9" t="n">
        <v>1130101</v>
      </c>
      <c r="T1373" s="11" t="s">
        <v>48</v>
      </c>
      <c r="U1373" s="12" t="n">
        <v>1413.72</v>
      </c>
      <c r="W1373" s="12" t="n">
        <v>1413.72</v>
      </c>
      <c r="X1373" s="11" t="s">
        <v>1263</v>
      </c>
      <c r="Z1373" s="0" t="str">
        <f aca="false">IF($T1373="","",IFERROR(INDEX('Resumo Grupos'!$AC$3:$AC$200,MATCH($T1373,'Resumo Grupos'!$AB$3:$AB$200,0)),"n/d"))</f>
        <v>Mercadoria</v>
      </c>
      <c r="AA1373" s="0" t="str">
        <f aca="false">IF($T1373="","",IF(COUNTIF('Resumo Grupos'!$AE$3:$AE$40,$T1373)&gt;0,"NAO","SIM"))</f>
        <v>SIM</v>
      </c>
      <c r="AB1373" s="0" t="str">
        <f aca="false">IFERROR(INDEX('Mov Entradas (Rel 10497)'!$L:$L,MATCH(AC1373,'Mov Entradas (Rel 10497)'!$I:$I,0)),"nao encontrado")</f>
        <v>SAB LIQ PROTEX CREAM</v>
      </c>
      <c r="AC1373" s="0" t="n">
        <v>580863</v>
      </c>
    </row>
    <row r="1374" customFormat="false" ht="27.75" hidden="false" customHeight="true" outlineLevel="0" collapsed="false">
      <c r="A1374" s="9" t="n">
        <v>2</v>
      </c>
      <c r="B1374" s="10" t="n">
        <v>46221</v>
      </c>
      <c r="C1374" s="10" t="n">
        <v>46244</v>
      </c>
      <c r="D1374" s="9" t="n">
        <v>1671</v>
      </c>
      <c r="E1374" s="11" t="s">
        <v>119</v>
      </c>
      <c r="F1374" s="9" t="n">
        <v>24</v>
      </c>
      <c r="G1374" s="11" t="s">
        <v>51</v>
      </c>
      <c r="H1374" s="9" t="n">
        <v>2110405</v>
      </c>
      <c r="I1374" s="11" t="s">
        <v>56</v>
      </c>
      <c r="J1374" s="9" t="n">
        <v>1415265</v>
      </c>
      <c r="L1374" s="9" t="n">
        <v>190811</v>
      </c>
      <c r="M1374" s="11" t="s">
        <v>52</v>
      </c>
      <c r="N1374" s="11" t="s">
        <v>45</v>
      </c>
      <c r="P1374" s="9" t="n">
        <v>113</v>
      </c>
      <c r="Q1374" s="11" t="s">
        <v>46</v>
      </c>
      <c r="R1374" s="11" t="s">
        <v>47</v>
      </c>
      <c r="S1374" s="9" t="n">
        <v>1130101</v>
      </c>
      <c r="T1374" s="11" t="s">
        <v>48</v>
      </c>
      <c r="U1374" s="12" t="n">
        <v>1142.36</v>
      </c>
      <c r="W1374" s="12" t="n">
        <v>1142.36</v>
      </c>
      <c r="X1374" s="11" t="s">
        <v>1264</v>
      </c>
      <c r="Z1374" s="0" t="str">
        <f aca="false">IF($T1374="","",IFERROR(INDEX('Resumo Grupos'!$AC$3:$AC$200,MATCH($T1374,'Resumo Grupos'!$AB$3:$AB$200,0)),"n/d"))</f>
        <v>Mercadoria</v>
      </c>
      <c r="AA1374" s="0" t="str">
        <f aca="false">IF($T1374="","",IF(COUNTIF('Resumo Grupos'!$AE$3:$AE$40,$T1374)&gt;0,"NAO","SIM"))</f>
        <v>SIM</v>
      </c>
      <c r="AB1374" s="0" t="str">
        <f aca="false">IFERROR(INDEX('Mov Entradas (Rel 10497)'!$L:$L,MATCH(AC1374,'Mov Entradas (Rel 10497)'!$I:$I,0)),"nao encontrado")</f>
        <v>FINI BEIJOS MORANGO 90G</v>
      </c>
      <c r="AC1374" s="0" t="n">
        <v>580861</v>
      </c>
    </row>
    <row r="1375" customFormat="false" ht="54.75" hidden="false" customHeight="true" outlineLevel="0" collapsed="false">
      <c r="A1375" s="9" t="n">
        <v>2</v>
      </c>
      <c r="B1375" s="10" t="n">
        <v>46218</v>
      </c>
      <c r="C1375" s="10" t="n">
        <v>46245</v>
      </c>
      <c r="D1375" s="9" t="n">
        <v>1637</v>
      </c>
      <c r="E1375" s="11" t="s">
        <v>871</v>
      </c>
      <c r="F1375" s="9" t="n">
        <v>24</v>
      </c>
      <c r="G1375" s="11" t="s">
        <v>51</v>
      </c>
      <c r="H1375" s="9" t="n">
        <v>2110405</v>
      </c>
      <c r="I1375" s="11" t="s">
        <v>56</v>
      </c>
      <c r="J1375" s="9" t="n">
        <v>1401272</v>
      </c>
      <c r="L1375" s="9" t="n">
        <v>188461</v>
      </c>
      <c r="M1375" s="11" t="s">
        <v>52</v>
      </c>
      <c r="N1375" s="11" t="s">
        <v>45</v>
      </c>
      <c r="P1375" s="9" t="n">
        <v>113</v>
      </c>
      <c r="Q1375" s="11" t="s">
        <v>46</v>
      </c>
      <c r="R1375" s="11" t="s">
        <v>47</v>
      </c>
      <c r="S1375" s="9" t="n">
        <v>1130101</v>
      </c>
      <c r="T1375" s="11" t="s">
        <v>48</v>
      </c>
      <c r="U1375" s="12" t="n">
        <v>639.52</v>
      </c>
      <c r="W1375" s="12" t="n">
        <v>639.52</v>
      </c>
      <c r="X1375" s="11" t="s">
        <v>1265</v>
      </c>
      <c r="Z1375" s="0" t="str">
        <f aca="false">IF($T1375="","",IFERROR(INDEX('Resumo Grupos'!$AC$3:$AC$200,MATCH($T1375,'Resumo Grupos'!$AB$3:$AB$200,0)),"n/d"))</f>
        <v>Mercadoria</v>
      </c>
      <c r="AA1375" s="0" t="str">
        <f aca="false">IF($T1375="","",IF(COUNTIF('Resumo Grupos'!$AE$3:$AE$40,$T1375)&gt;0,"NAO","SIM"))</f>
        <v>SIM</v>
      </c>
      <c r="AB1375" s="0" t="str">
        <f aca="false">IFERROR(INDEX('Mov Entradas (Rel 10497)'!$L:$L,MATCH(AC1375,'Mov Entradas (Rel 10497)'!$I:$I,0)),"nao encontrado")</f>
        <v>CAFE DO NORT 250G</v>
      </c>
      <c r="AC1375" s="0" t="n">
        <v>1905832</v>
      </c>
    </row>
    <row r="1376" customFormat="false" ht="63.75" hidden="false" customHeight="true" outlineLevel="0" collapsed="false">
      <c r="A1376" s="9" t="n">
        <v>2</v>
      </c>
      <c r="B1376" s="10" t="n">
        <v>46232</v>
      </c>
      <c r="C1376" s="10" t="n">
        <v>46245</v>
      </c>
      <c r="D1376" s="9" t="n">
        <v>1635</v>
      </c>
      <c r="E1376" s="11" t="s">
        <v>128</v>
      </c>
      <c r="F1376" s="9" t="n">
        <v>24</v>
      </c>
      <c r="G1376" s="11" t="s">
        <v>51</v>
      </c>
      <c r="H1376" s="9" t="n">
        <v>2110405</v>
      </c>
      <c r="I1376" s="11" t="s">
        <v>56</v>
      </c>
      <c r="J1376" s="9" t="n">
        <v>1469137</v>
      </c>
      <c r="L1376" s="9" t="n">
        <v>199023</v>
      </c>
      <c r="M1376" s="11" t="s">
        <v>52</v>
      </c>
      <c r="N1376" s="11" t="s">
        <v>45</v>
      </c>
      <c r="P1376" s="9" t="n">
        <v>113</v>
      </c>
      <c r="Q1376" s="11" t="s">
        <v>46</v>
      </c>
      <c r="R1376" s="11" t="s">
        <v>47</v>
      </c>
      <c r="S1376" s="9" t="n">
        <v>1130101</v>
      </c>
      <c r="T1376" s="11" t="s">
        <v>48</v>
      </c>
      <c r="U1376" s="12" t="n">
        <v>926.71</v>
      </c>
      <c r="W1376" s="12" t="n">
        <v>926.71</v>
      </c>
      <c r="X1376" s="11" t="s">
        <v>1266</v>
      </c>
      <c r="Z1376" s="0" t="str">
        <f aca="false">IF($T1376="","",IFERROR(INDEX('Resumo Grupos'!$AC$3:$AC$200,MATCH($T1376,'Resumo Grupos'!$AB$3:$AB$200,0)),"n/d"))</f>
        <v>Mercadoria</v>
      </c>
      <c r="AA1376" s="0" t="str">
        <f aca="false">IF($T1376="","",IF(COUNTIF('Resumo Grupos'!$AE$3:$AE$40,$T1376)&gt;0,"NAO","SIM"))</f>
        <v>SIM</v>
      </c>
      <c r="AB1376" s="0" t="str">
        <f aca="false">IFERROR(INDEX('Mov Entradas (Rel 10497)'!$L:$L,MATCH(AC1376,'Mov Entradas (Rel 10497)'!$I:$I,0)),"nao encontrado")</f>
        <v>FIGADO BOVINO KG</v>
      </c>
      <c r="AC1376" s="0" t="n">
        <v>2078</v>
      </c>
    </row>
    <row r="1377" customFormat="false" ht="36.75" hidden="false" customHeight="true" outlineLevel="0" collapsed="false">
      <c r="A1377" s="9" t="n">
        <v>2</v>
      </c>
      <c r="B1377" s="10" t="n">
        <v>46230</v>
      </c>
      <c r="C1377" s="10" t="n">
        <v>46245</v>
      </c>
      <c r="D1377" s="9" t="n">
        <v>1705</v>
      </c>
      <c r="E1377" s="11" t="s">
        <v>130</v>
      </c>
      <c r="F1377" s="9" t="n">
        <v>24</v>
      </c>
      <c r="G1377" s="11" t="s">
        <v>51</v>
      </c>
      <c r="H1377" s="9" t="n">
        <v>2110405</v>
      </c>
      <c r="I1377" s="11" t="s">
        <v>56</v>
      </c>
      <c r="J1377" s="9" t="n">
        <v>1459409</v>
      </c>
      <c r="L1377" s="9" t="n">
        <v>197513</v>
      </c>
      <c r="M1377" s="11" t="s">
        <v>52</v>
      </c>
      <c r="N1377" s="11" t="s">
        <v>45</v>
      </c>
      <c r="P1377" s="9" t="n">
        <v>113</v>
      </c>
      <c r="Q1377" s="11" t="s">
        <v>46</v>
      </c>
      <c r="R1377" s="11" t="s">
        <v>47</v>
      </c>
      <c r="S1377" s="9" t="n">
        <v>1130101</v>
      </c>
      <c r="T1377" s="11" t="s">
        <v>48</v>
      </c>
      <c r="U1377" s="12" t="n">
        <v>868.27</v>
      </c>
      <c r="W1377" s="12" t="n">
        <v>868.27</v>
      </c>
      <c r="X1377" s="11" t="s">
        <v>1267</v>
      </c>
      <c r="Z1377" s="0" t="str">
        <f aca="false">IF($T1377="","",IFERROR(INDEX('Resumo Grupos'!$AC$3:$AC$200,MATCH($T1377,'Resumo Grupos'!$AB$3:$AB$200,0)),"n/d"))</f>
        <v>Mercadoria</v>
      </c>
      <c r="AA1377" s="0" t="str">
        <f aca="false">IF($T1377="","",IF(COUNTIF('Resumo Grupos'!$AE$3:$AE$40,$T1377)&gt;0,"NAO","SIM"))</f>
        <v>SIM</v>
      </c>
      <c r="AB1377" s="0" t="str">
        <f aca="false">IFERROR(INDEX('Mov Entradas (Rel 10497)'!$L:$L,MATCH(AC1377,'Mov Entradas (Rel 10497)'!$I:$I,0)),"nao encontrado")</f>
        <v>REFR COCA COLA 200ML</v>
      </c>
      <c r="AC1377" s="0" t="n">
        <v>1955856</v>
      </c>
    </row>
    <row r="1378" customFormat="false" ht="91.5" hidden="false" customHeight="true" outlineLevel="0" collapsed="false">
      <c r="A1378" s="9" t="n">
        <v>2</v>
      </c>
      <c r="B1378" s="10" t="n">
        <v>46230</v>
      </c>
      <c r="C1378" s="10" t="n">
        <v>46245</v>
      </c>
      <c r="D1378" s="9" t="n">
        <v>1705</v>
      </c>
      <c r="E1378" s="11" t="s">
        <v>130</v>
      </c>
      <c r="F1378" s="9" t="n">
        <v>24</v>
      </c>
      <c r="G1378" s="11" t="s">
        <v>51</v>
      </c>
      <c r="H1378" s="9" t="n">
        <v>2110405</v>
      </c>
      <c r="I1378" s="11" t="s">
        <v>56</v>
      </c>
      <c r="J1378" s="9" t="n">
        <v>1459418</v>
      </c>
      <c r="L1378" s="9" t="n">
        <v>197514</v>
      </c>
      <c r="M1378" s="11" t="s">
        <v>52</v>
      </c>
      <c r="N1378" s="11" t="s">
        <v>45</v>
      </c>
      <c r="P1378" s="9" t="n">
        <v>113</v>
      </c>
      <c r="Q1378" s="11" t="s">
        <v>46</v>
      </c>
      <c r="R1378" s="11" t="s">
        <v>47</v>
      </c>
      <c r="S1378" s="9" t="n">
        <v>1130101</v>
      </c>
      <c r="T1378" s="11" t="s">
        <v>48</v>
      </c>
      <c r="U1378" s="12" t="n">
        <v>659.74</v>
      </c>
      <c r="W1378" s="12" t="n">
        <v>659.74</v>
      </c>
      <c r="X1378" s="11" t="s">
        <v>1268</v>
      </c>
      <c r="Z1378" s="0" t="str">
        <f aca="false">IF($T1378="","",IFERROR(INDEX('Resumo Grupos'!$AC$3:$AC$200,MATCH($T1378,'Resumo Grupos'!$AB$3:$AB$200,0)),"n/d"))</f>
        <v>Mercadoria</v>
      </c>
      <c r="AA1378" s="0" t="str">
        <f aca="false">IF($T1378="","",IF(COUNTIF('Resumo Grupos'!$AE$3:$AE$40,$T1378)&gt;0,"NAO","SIM"))</f>
        <v>SIM</v>
      </c>
      <c r="AB1378" s="0" t="str">
        <f aca="false">IFERROR(INDEX('Mov Entradas (Rel 10497)'!$L:$L,MATCH(AC1378,'Mov Entradas (Rel 10497)'!$I:$I,0)),"nao encontrado")</f>
        <v>SPRITE LT 350ML</v>
      </c>
      <c r="AC1378" s="0" t="n">
        <v>1221623</v>
      </c>
    </row>
    <row r="1379" customFormat="false" ht="36.75" hidden="false" customHeight="true" outlineLevel="0" collapsed="false">
      <c r="A1379" s="9" t="n">
        <v>2</v>
      </c>
      <c r="B1379" s="10" t="n">
        <v>46245</v>
      </c>
      <c r="C1379" s="10" t="n">
        <v>46245</v>
      </c>
      <c r="D1379" s="9" t="n">
        <v>1037</v>
      </c>
      <c r="E1379" s="11" t="s">
        <v>134</v>
      </c>
      <c r="F1379" s="9" t="n">
        <v>34</v>
      </c>
      <c r="G1379" s="11" t="s">
        <v>55</v>
      </c>
      <c r="H1379" s="9" t="n">
        <v>2110405</v>
      </c>
      <c r="I1379" s="11" t="s">
        <v>56</v>
      </c>
      <c r="J1379" s="9" t="n">
        <v>1533142</v>
      </c>
      <c r="L1379" s="9" t="n">
        <v>209012</v>
      </c>
      <c r="M1379" s="11" t="s">
        <v>52</v>
      </c>
      <c r="N1379" s="11" t="s">
        <v>45</v>
      </c>
      <c r="P1379" s="9" t="n">
        <v>113</v>
      </c>
      <c r="Q1379" s="11" t="s">
        <v>46</v>
      </c>
      <c r="R1379" s="11" t="s">
        <v>47</v>
      </c>
      <c r="S1379" s="9" t="n">
        <v>1130101</v>
      </c>
      <c r="T1379" s="11" t="s">
        <v>48</v>
      </c>
      <c r="U1379" s="12" t="n">
        <v>550</v>
      </c>
      <c r="W1379" s="12" t="n">
        <v>550</v>
      </c>
      <c r="X1379" s="11" t="s">
        <v>1269</v>
      </c>
      <c r="Z1379" s="0" t="str">
        <f aca="false">IF($T1379="","",IFERROR(INDEX('Resumo Grupos'!$AC$3:$AC$200,MATCH($T1379,'Resumo Grupos'!$AB$3:$AB$200,0)),"n/d"))</f>
        <v>Mercadoria</v>
      </c>
      <c r="AA1379" s="0" t="str">
        <f aca="false">IF($T1379="","",IF(COUNTIF('Resumo Grupos'!$AE$3:$AE$40,$T1379)&gt;0,"NAO","SIM"))</f>
        <v>SIM</v>
      </c>
      <c r="AB1379" s="0" t="str">
        <f aca="false">IFERROR(INDEX('Mov Entradas (Rel 10497)'!$L:$L,MATCH(AC1379,'Mov Entradas (Rel 10497)'!$I:$I,0)),"nao encontrado")</f>
        <v>ABOBRINHA KG</v>
      </c>
      <c r="AC1379" s="0" t="n">
        <v>2600</v>
      </c>
    </row>
    <row r="1380" customFormat="false" ht="54.75" hidden="false" customHeight="true" outlineLevel="0" collapsed="false">
      <c r="A1380" s="9" t="n">
        <v>2</v>
      </c>
      <c r="B1380" s="10" t="n">
        <v>46239</v>
      </c>
      <c r="C1380" s="10" t="n">
        <v>46245</v>
      </c>
      <c r="D1380" s="9" t="n">
        <v>1650</v>
      </c>
      <c r="E1380" s="11" t="s">
        <v>438</v>
      </c>
      <c r="F1380" s="9" t="n">
        <v>24</v>
      </c>
      <c r="G1380" s="11" t="s">
        <v>51</v>
      </c>
      <c r="H1380" s="9" t="n">
        <v>2110405</v>
      </c>
      <c r="I1380" s="11" t="s">
        <v>56</v>
      </c>
      <c r="J1380" s="9" t="n">
        <v>1503398</v>
      </c>
      <c r="L1380" s="9" t="n">
        <v>204108</v>
      </c>
      <c r="M1380" s="11" t="s">
        <v>52</v>
      </c>
      <c r="N1380" s="11" t="s">
        <v>45</v>
      </c>
      <c r="P1380" s="9" t="n">
        <v>113</v>
      </c>
      <c r="Q1380" s="11" t="s">
        <v>46</v>
      </c>
      <c r="R1380" s="11" t="s">
        <v>47</v>
      </c>
      <c r="S1380" s="9" t="n">
        <v>1130101</v>
      </c>
      <c r="T1380" s="11" t="s">
        <v>48</v>
      </c>
      <c r="U1380" s="12" t="n">
        <v>362.06</v>
      </c>
      <c r="W1380" s="12" t="n">
        <v>362.06</v>
      </c>
      <c r="X1380" s="11" t="s">
        <v>1270</v>
      </c>
      <c r="Z1380" s="0" t="str">
        <f aca="false">IF($T1380="","",IFERROR(INDEX('Resumo Grupos'!$AC$3:$AC$200,MATCH($T1380,'Resumo Grupos'!$AB$3:$AB$200,0)),"n/d"))</f>
        <v>Mercadoria</v>
      </c>
      <c r="AA1380" s="0" t="str">
        <f aca="false">IF($T1380="","",IF(COUNTIF('Resumo Grupos'!$AE$3:$AE$40,$T1380)&gt;0,"NAO","SIM"))</f>
        <v>SIM</v>
      </c>
      <c r="AB1380" s="0" t="str">
        <f aca="false">IFERROR(INDEX('Mov Entradas (Rel 10497)'!$L:$L,MATCH(AC1380,'Mov Entradas (Rel 10497)'!$I:$I,0)),"nao encontrado")</f>
        <v>IOG.B.COMODORO SAC</v>
      </c>
      <c r="AC1380" s="0" t="n">
        <v>227803</v>
      </c>
    </row>
    <row r="1381" customFormat="false" ht="36.75" hidden="false" customHeight="true" outlineLevel="0" collapsed="false">
      <c r="A1381" s="9" t="n">
        <v>2</v>
      </c>
      <c r="B1381" s="10" t="n">
        <v>46239</v>
      </c>
      <c r="C1381" s="10" t="n">
        <v>46245</v>
      </c>
      <c r="D1381" s="9" t="n">
        <v>1363</v>
      </c>
      <c r="E1381" s="11" t="s">
        <v>174</v>
      </c>
      <c r="F1381" s="9" t="n">
        <v>24</v>
      </c>
      <c r="G1381" s="11" t="s">
        <v>51</v>
      </c>
      <c r="H1381" s="9" t="n">
        <v>2110405</v>
      </c>
      <c r="I1381" s="11" t="s">
        <v>56</v>
      </c>
      <c r="J1381" s="9" t="n">
        <v>1503436</v>
      </c>
      <c r="L1381" s="9" t="n">
        <v>204120</v>
      </c>
      <c r="M1381" s="11" t="s">
        <v>52</v>
      </c>
      <c r="N1381" s="11" t="s">
        <v>45</v>
      </c>
      <c r="P1381" s="9" t="n">
        <v>113</v>
      </c>
      <c r="Q1381" s="11" t="s">
        <v>46</v>
      </c>
      <c r="R1381" s="11" t="s">
        <v>47</v>
      </c>
      <c r="S1381" s="9" t="n">
        <v>1130101</v>
      </c>
      <c r="T1381" s="11" t="s">
        <v>48</v>
      </c>
      <c r="U1381" s="12" t="n">
        <v>166</v>
      </c>
      <c r="W1381" s="12" t="n">
        <v>166</v>
      </c>
      <c r="X1381" s="11" t="s">
        <v>1271</v>
      </c>
      <c r="Z1381" s="0" t="str">
        <f aca="false">IF($T1381="","",IFERROR(INDEX('Resumo Grupos'!$AC$3:$AC$200,MATCH($T1381,'Resumo Grupos'!$AB$3:$AB$200,0)),"n/d"))</f>
        <v>Mercadoria</v>
      </c>
      <c r="AA1381" s="0" t="str">
        <f aca="false">IF($T1381="","",IF(COUNTIF('Resumo Grupos'!$AE$3:$AE$40,$T1381)&gt;0,"NAO","SIM"))</f>
        <v>SIM</v>
      </c>
      <c r="AB1381" s="0" t="str">
        <f aca="false">IFERROR(INDEX('Mov Entradas (Rel 10497)'!$L:$L,MATCH(AC1381,'Mov Entradas (Rel 10497)'!$I:$I,0)),"nao encontrado")</f>
        <v>PAO HAMBURGUER SANTO PAO</v>
      </c>
      <c r="AC1381" s="0" t="n">
        <v>3674</v>
      </c>
    </row>
    <row r="1382" customFormat="false" ht="36.75" hidden="false" customHeight="true" outlineLevel="0" collapsed="false">
      <c r="A1382" s="9" t="n">
        <v>2</v>
      </c>
      <c r="B1382" s="10" t="n">
        <v>46226</v>
      </c>
      <c r="C1382" s="10" t="n">
        <v>46245</v>
      </c>
      <c r="D1382" s="9" t="n">
        <v>10014</v>
      </c>
      <c r="E1382" s="11" t="s">
        <v>176</v>
      </c>
      <c r="F1382" s="9" t="n">
        <v>24</v>
      </c>
      <c r="G1382" s="11" t="s">
        <v>51</v>
      </c>
      <c r="H1382" s="9" t="n">
        <v>2110405</v>
      </c>
      <c r="I1382" s="11" t="s">
        <v>56</v>
      </c>
      <c r="J1382" s="9" t="n">
        <v>1439368</v>
      </c>
      <c r="L1382" s="9" t="n">
        <v>194537</v>
      </c>
      <c r="M1382" s="11" t="s">
        <v>52</v>
      </c>
      <c r="N1382" s="11" t="s">
        <v>45</v>
      </c>
      <c r="P1382" s="9" t="n">
        <v>113</v>
      </c>
      <c r="Q1382" s="11" t="s">
        <v>46</v>
      </c>
      <c r="R1382" s="11" t="s">
        <v>47</v>
      </c>
      <c r="S1382" s="9" t="n">
        <v>1130101</v>
      </c>
      <c r="T1382" s="11" t="s">
        <v>48</v>
      </c>
      <c r="U1382" s="12" t="n">
        <v>1009.92</v>
      </c>
      <c r="W1382" s="12" t="n">
        <v>1009.92</v>
      </c>
      <c r="X1382" s="11" t="s">
        <v>1272</v>
      </c>
      <c r="Z1382" s="0" t="str">
        <f aca="false">IF($T1382="","",IFERROR(INDEX('Resumo Grupos'!$AC$3:$AC$200,MATCH($T1382,'Resumo Grupos'!$AB$3:$AB$200,0)),"n/d"))</f>
        <v>Mercadoria</v>
      </c>
      <c r="AA1382" s="0" t="str">
        <f aca="false">IF($T1382="","",IF(COUNTIF('Resumo Grupos'!$AE$3:$AE$40,$T1382)&gt;0,"NAO","SIM"))</f>
        <v>SIM</v>
      </c>
      <c r="AB1382" s="0" t="str">
        <f aca="false">IFERROR(INDEX('Mov Entradas (Rel 10497)'!$L:$L,MATCH(AC1382,'Mov Entradas (Rel 10497)'!$I:$I,0)),"nao encontrado")</f>
        <v>COLEIRA N 104</v>
      </c>
      <c r="AC1382" s="0" t="n">
        <v>3551</v>
      </c>
    </row>
    <row r="1383" customFormat="false" ht="36.75" hidden="false" customHeight="true" outlineLevel="0" collapsed="false">
      <c r="A1383" s="9" t="n">
        <v>2</v>
      </c>
      <c r="B1383" s="10" t="n">
        <v>46225</v>
      </c>
      <c r="C1383" s="10" t="n">
        <v>46245</v>
      </c>
      <c r="D1383" s="9" t="n">
        <v>1668</v>
      </c>
      <c r="E1383" s="11" t="s">
        <v>151</v>
      </c>
      <c r="F1383" s="9" t="n">
        <v>24</v>
      </c>
      <c r="G1383" s="11" t="s">
        <v>51</v>
      </c>
      <c r="H1383" s="9" t="n">
        <v>2110405</v>
      </c>
      <c r="I1383" s="11" t="s">
        <v>56</v>
      </c>
      <c r="J1383" s="9" t="n">
        <v>1436109</v>
      </c>
      <c r="L1383" s="9" t="n">
        <v>194046</v>
      </c>
      <c r="M1383" s="11" t="s">
        <v>52</v>
      </c>
      <c r="N1383" s="11" t="s">
        <v>45</v>
      </c>
      <c r="P1383" s="9" t="n">
        <v>113</v>
      </c>
      <c r="Q1383" s="11" t="s">
        <v>46</v>
      </c>
      <c r="R1383" s="11" t="s">
        <v>39</v>
      </c>
      <c r="S1383" s="9" t="n">
        <v>4210299</v>
      </c>
      <c r="T1383" s="11" t="s">
        <v>165</v>
      </c>
      <c r="U1383" s="12" t="n">
        <v>391.26</v>
      </c>
      <c r="W1383" s="12" t="n">
        <v>391.26</v>
      </c>
      <c r="X1383" s="11" t="s">
        <v>1273</v>
      </c>
      <c r="Z1383" s="0" t="str">
        <f aca="false">IF($T1383="","",IFERROR(INDEX('Resumo Grupos'!$AC$3:$AC$200,MATCH($T1383,'Resumo Grupos'!$AB$3:$AB$200,0)),"n/d"))</f>
        <v>Despesa</v>
      </c>
      <c r="AA1383" s="0" t="str">
        <f aca="false">IF($T1383="","",IF(COUNTIF('Resumo Grupos'!$AE$3:$AE$40,$T1383)&gt;0,"NAO","SIM"))</f>
        <v>SIM</v>
      </c>
      <c r="AB1383" s="0" t="str">
        <f aca="false">IFERROR(INDEX('Mov Entradas (Rel 10497)'!$L:$L,MATCH(AC1383,'Mov Entradas (Rel 10497)'!$I:$I,0)),"nao encontrado")</f>
        <v>BANDEJA B1 BRANCA C/</v>
      </c>
      <c r="AC1383" s="0" t="n">
        <v>740921</v>
      </c>
    </row>
    <row r="1384" customFormat="false" ht="45.75" hidden="false" customHeight="true" outlineLevel="0" collapsed="false">
      <c r="A1384" s="9" t="n">
        <v>2</v>
      </c>
      <c r="B1384" s="10" t="n">
        <v>46245</v>
      </c>
      <c r="C1384" s="10" t="n">
        <v>46245</v>
      </c>
      <c r="D1384" s="9" t="n">
        <v>48</v>
      </c>
      <c r="E1384" s="11" t="s">
        <v>153</v>
      </c>
      <c r="F1384" s="9" t="n">
        <v>34</v>
      </c>
      <c r="G1384" s="11" t="s">
        <v>55</v>
      </c>
      <c r="H1384" s="9" t="n">
        <v>2110101</v>
      </c>
      <c r="I1384" s="11" t="s">
        <v>43</v>
      </c>
      <c r="J1384" s="9" t="n">
        <v>1533103</v>
      </c>
      <c r="L1384" s="9" t="n">
        <v>2599</v>
      </c>
      <c r="M1384" s="11" t="s">
        <v>52</v>
      </c>
      <c r="N1384" s="11" t="s">
        <v>37</v>
      </c>
      <c r="P1384" s="9" t="n">
        <v>113</v>
      </c>
      <c r="Q1384" s="11" t="s">
        <v>46</v>
      </c>
      <c r="R1384" s="11" t="s">
        <v>47</v>
      </c>
      <c r="S1384" s="9" t="n">
        <v>1130101</v>
      </c>
      <c r="T1384" s="11" t="s">
        <v>48</v>
      </c>
      <c r="U1384" s="12" t="n">
        <v>175</v>
      </c>
      <c r="W1384" s="12" t="n">
        <v>175</v>
      </c>
      <c r="X1384" s="11" t="s">
        <v>1274</v>
      </c>
      <c r="Z1384" s="0" t="str">
        <f aca="false">IF($T1384="","",IFERROR(INDEX('Resumo Grupos'!$AC$3:$AC$200,MATCH($T1384,'Resumo Grupos'!$AB$3:$AB$200,0)),"n/d"))</f>
        <v>Mercadoria</v>
      </c>
      <c r="AA1384" s="0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9" t="n">
        <v>2</v>
      </c>
      <c r="B1385" s="10" t="n">
        <v>46245</v>
      </c>
      <c r="C1385" s="10" t="n">
        <v>46245</v>
      </c>
      <c r="D1385" s="9" t="n">
        <v>48</v>
      </c>
      <c r="E1385" s="11" t="s">
        <v>153</v>
      </c>
      <c r="F1385" s="9" t="n">
        <v>34</v>
      </c>
      <c r="G1385" s="11" t="s">
        <v>55</v>
      </c>
      <c r="H1385" s="9" t="n">
        <v>2110101</v>
      </c>
      <c r="I1385" s="11" t="s">
        <v>43</v>
      </c>
      <c r="J1385" s="9" t="n">
        <v>1533121</v>
      </c>
      <c r="L1385" s="9" t="n">
        <v>2600</v>
      </c>
      <c r="M1385" s="11" t="s">
        <v>52</v>
      </c>
      <c r="N1385" s="11" t="s">
        <v>37</v>
      </c>
      <c r="P1385" s="9" t="n">
        <v>113</v>
      </c>
      <c r="Q1385" s="11" t="s">
        <v>46</v>
      </c>
      <c r="R1385" s="11" t="s">
        <v>47</v>
      </c>
      <c r="S1385" s="9" t="n">
        <v>1130101</v>
      </c>
      <c r="T1385" s="11" t="s">
        <v>48</v>
      </c>
      <c r="U1385" s="12" t="n">
        <v>1838.25</v>
      </c>
      <c r="W1385" s="12" t="n">
        <v>1838.25</v>
      </c>
      <c r="X1385" s="11" t="s">
        <v>1275</v>
      </c>
      <c r="Z1385" s="0" t="str">
        <f aca="false">IF($T1385="","",IFERROR(INDEX('Resumo Grupos'!$AC$3:$AC$200,MATCH($T1385,'Resumo Grupos'!$AB$3:$AB$200,0)),"n/d"))</f>
        <v>Mercadoria</v>
      </c>
      <c r="AA1385" s="0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9" t="n">
        <v>2</v>
      </c>
      <c r="B1386" s="10" t="n">
        <v>46197</v>
      </c>
      <c r="C1386" s="10" t="n">
        <v>46245</v>
      </c>
      <c r="D1386" s="9" t="n">
        <v>607</v>
      </c>
      <c r="E1386" s="11" t="s">
        <v>281</v>
      </c>
      <c r="F1386" s="9" t="n">
        <v>24</v>
      </c>
      <c r="G1386" s="11" t="s">
        <v>51</v>
      </c>
      <c r="H1386" s="9" t="n">
        <v>2110101</v>
      </c>
      <c r="I1386" s="11" t="s">
        <v>43</v>
      </c>
      <c r="J1386" s="9" t="n">
        <v>1300232</v>
      </c>
      <c r="L1386" s="9" t="n">
        <v>10860</v>
      </c>
      <c r="M1386" s="11" t="s">
        <v>89</v>
      </c>
      <c r="N1386" s="11" t="s">
        <v>37</v>
      </c>
      <c r="P1386" s="9" t="n">
        <v>113</v>
      </c>
      <c r="Q1386" s="11" t="s">
        <v>46</v>
      </c>
      <c r="R1386" s="11" t="s">
        <v>47</v>
      </c>
      <c r="S1386" s="9" t="n">
        <v>1130101</v>
      </c>
      <c r="T1386" s="11" t="s">
        <v>48</v>
      </c>
      <c r="U1386" s="12" t="n">
        <v>1361.81</v>
      </c>
      <c r="W1386" s="12" t="n">
        <v>1361.81</v>
      </c>
      <c r="X1386" s="11" t="s">
        <v>867</v>
      </c>
      <c r="Z1386" s="0" t="str">
        <f aca="false">IF($T1386="","",IFERROR(INDEX('Resumo Grupos'!$AC$3:$AC$200,MATCH($T1386,'Resumo Grupos'!$AB$3:$AB$200,0)),"n/d"))</f>
        <v>Mercadoria</v>
      </c>
      <c r="AA1386" s="0" t="str">
        <f aca="false">IF($T1386="","",IF(COUNTIF('Resumo Grupos'!$AE$3:$AE$40,$T1386)&gt;0,"NAO","SIM"))</f>
        <v>SIM</v>
      </c>
      <c r="AB1386" s="0" t="str">
        <f aca="false">IFERROR(INDEX('Mov Entradas (Rel 10497)'!$L:$L,MATCH(AC1386,'Mov Entradas (Rel 10497)'!$I:$I,0)),"nao encontrado")</f>
        <v>RC JAPI PREM.FILH25K</v>
      </c>
      <c r="AC1386" s="0" t="n">
        <v>10860</v>
      </c>
    </row>
    <row r="1387" customFormat="false" ht="36.75" hidden="false" customHeight="true" outlineLevel="0" collapsed="false">
      <c r="A1387" s="9" t="n">
        <v>2</v>
      </c>
      <c r="B1387" s="10" t="n">
        <v>46212</v>
      </c>
      <c r="C1387" s="10" t="n">
        <v>46245</v>
      </c>
      <c r="D1387" s="9" t="n">
        <v>33</v>
      </c>
      <c r="E1387" s="11" t="s">
        <v>313</v>
      </c>
      <c r="F1387" s="9" t="n">
        <v>34</v>
      </c>
      <c r="G1387" s="11" t="s">
        <v>55</v>
      </c>
      <c r="H1387" s="9" t="n">
        <v>2110405</v>
      </c>
      <c r="I1387" s="11" t="s">
        <v>56</v>
      </c>
      <c r="J1387" s="9" t="n">
        <v>910921</v>
      </c>
      <c r="L1387" s="9" t="n">
        <v>120198</v>
      </c>
      <c r="M1387" s="11" t="s">
        <v>89</v>
      </c>
      <c r="N1387" s="11" t="s">
        <v>45</v>
      </c>
      <c r="P1387" s="9" t="n">
        <v>102</v>
      </c>
      <c r="Q1387" s="11" t="s">
        <v>308</v>
      </c>
      <c r="R1387" s="11" t="s">
        <v>71</v>
      </c>
      <c r="S1387" s="9" t="n">
        <v>4210301</v>
      </c>
      <c r="T1387" s="11" t="s">
        <v>220</v>
      </c>
      <c r="U1387" s="12" t="n">
        <v>250.1</v>
      </c>
      <c r="W1387" s="12" t="n">
        <v>250.1</v>
      </c>
      <c r="X1387" s="11" t="s">
        <v>1276</v>
      </c>
      <c r="Z1387" s="0" t="str">
        <f aca="false">IF($T1387="","",IFERROR(INDEX('Resumo Grupos'!$AC$3:$AC$200,MATCH($T1387,'Resumo Grupos'!$AB$3:$AB$200,0)),"n/d"))</f>
        <v>Salários</v>
      </c>
      <c r="AA1387" s="0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9" t="n">
        <v>2</v>
      </c>
      <c r="B1388" s="10" t="n">
        <v>46245</v>
      </c>
      <c r="C1388" s="10" t="n">
        <v>46245</v>
      </c>
      <c r="D1388" s="9" t="n">
        <v>1936</v>
      </c>
      <c r="E1388" s="11" t="s">
        <v>1277</v>
      </c>
      <c r="F1388" s="9" t="n">
        <v>24</v>
      </c>
      <c r="G1388" s="11" t="s">
        <v>51</v>
      </c>
      <c r="H1388" s="9" t="n">
        <v>2110405</v>
      </c>
      <c r="I1388" s="11" t="s">
        <v>56</v>
      </c>
      <c r="J1388" s="9" t="n">
        <v>1531490</v>
      </c>
      <c r="L1388" s="9" t="n">
        <v>208541</v>
      </c>
      <c r="M1388" s="11" t="s">
        <v>52</v>
      </c>
      <c r="N1388" s="11" t="s">
        <v>45</v>
      </c>
      <c r="P1388" s="9" t="n">
        <v>101</v>
      </c>
      <c r="Q1388" s="11" t="s">
        <v>57</v>
      </c>
      <c r="R1388" s="11" t="s">
        <v>47</v>
      </c>
      <c r="S1388" s="9" t="n">
        <v>1130101</v>
      </c>
      <c r="T1388" s="11" t="s">
        <v>48</v>
      </c>
      <c r="U1388" s="12" t="n">
        <v>640</v>
      </c>
      <c r="W1388" s="12" t="n">
        <v>640</v>
      </c>
      <c r="X1388" s="11" t="s">
        <v>1278</v>
      </c>
      <c r="Z1388" s="0" t="str">
        <f aca="false">IF($T1388="","",IFERROR(INDEX('Resumo Grupos'!$AC$3:$AC$200,MATCH($T1388,'Resumo Grupos'!$AB$3:$AB$200,0)),"n/d"))</f>
        <v>Mercadoria</v>
      </c>
      <c r="AA1388" s="0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9" t="n">
        <v>2</v>
      </c>
      <c r="B1389" s="10" t="n">
        <v>46245</v>
      </c>
      <c r="C1389" s="10" t="n">
        <v>46245</v>
      </c>
      <c r="D1389" s="9" t="n">
        <v>514</v>
      </c>
      <c r="E1389" s="11" t="s">
        <v>759</v>
      </c>
      <c r="F1389" s="9" t="n">
        <v>34</v>
      </c>
      <c r="G1389" s="11" t="s">
        <v>55</v>
      </c>
      <c r="H1389" s="9" t="n">
        <v>2110405</v>
      </c>
      <c r="I1389" s="11" t="s">
        <v>56</v>
      </c>
      <c r="J1389" s="9" t="n">
        <v>1736053</v>
      </c>
      <c r="L1389" s="9" t="n">
        <v>238783</v>
      </c>
      <c r="M1389" s="11" t="s">
        <v>52</v>
      </c>
      <c r="N1389" s="11" t="s">
        <v>45</v>
      </c>
      <c r="P1389" s="9" t="n">
        <v>101</v>
      </c>
      <c r="Q1389" s="11" t="s">
        <v>57</v>
      </c>
      <c r="R1389" s="11" t="s">
        <v>138</v>
      </c>
      <c r="S1389" s="9" t="n">
        <v>4210504</v>
      </c>
      <c r="T1389" s="11" t="s">
        <v>143</v>
      </c>
      <c r="U1389" s="12" t="n">
        <v>82.27</v>
      </c>
      <c r="W1389" s="12" t="n">
        <v>0</v>
      </c>
      <c r="X1389" s="11" t="s">
        <v>1279</v>
      </c>
      <c r="Z1389" s="0" t="str">
        <f aca="false">IF($T1389="","",IFERROR(INDEX('Resumo Grupos'!$AC$3:$AC$200,MATCH($T1389,'Resumo Grupos'!$AB$3:$AB$200,0)),"n/d"))</f>
        <v>Despesa</v>
      </c>
      <c r="AA1389" s="0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9" t="n">
        <v>2</v>
      </c>
      <c r="B1390" s="10" t="n">
        <v>46245</v>
      </c>
      <c r="C1390" s="10" t="n">
        <v>46245</v>
      </c>
      <c r="D1390" s="9" t="n">
        <v>514</v>
      </c>
      <c r="E1390" s="11" t="s">
        <v>759</v>
      </c>
      <c r="F1390" s="9" t="n">
        <v>34</v>
      </c>
      <c r="G1390" s="11" t="s">
        <v>55</v>
      </c>
      <c r="H1390" s="9" t="n">
        <v>2110405</v>
      </c>
      <c r="I1390" s="11" t="s">
        <v>56</v>
      </c>
      <c r="J1390" s="9" t="n">
        <v>1736057</v>
      </c>
      <c r="L1390" s="9" t="n">
        <v>238784</v>
      </c>
      <c r="M1390" s="11" t="s">
        <v>52</v>
      </c>
      <c r="N1390" s="11" t="s">
        <v>45</v>
      </c>
      <c r="P1390" s="9" t="n">
        <v>101</v>
      </c>
      <c r="Q1390" s="11" t="s">
        <v>57</v>
      </c>
      <c r="R1390" s="11" t="s">
        <v>138</v>
      </c>
      <c r="S1390" s="9" t="n">
        <v>4210504</v>
      </c>
      <c r="T1390" s="11" t="s">
        <v>143</v>
      </c>
      <c r="U1390" s="12" t="n">
        <v>0.04</v>
      </c>
      <c r="W1390" s="12" t="n">
        <v>0</v>
      </c>
      <c r="X1390" s="11" t="s">
        <v>1280</v>
      </c>
      <c r="Z1390" s="0" t="str">
        <f aca="false">IF($T1390="","",IFERROR(INDEX('Resumo Grupos'!$AC$3:$AC$200,MATCH($T1390,'Resumo Grupos'!$AB$3:$AB$200,0)),"n/d"))</f>
        <v>Despesa</v>
      </c>
      <c r="AA1390" s="0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9" t="n">
        <v>2</v>
      </c>
      <c r="B1391" s="10" t="n">
        <v>46245</v>
      </c>
      <c r="C1391" s="10" t="n">
        <v>46245</v>
      </c>
      <c r="D1391" s="9" t="n">
        <v>0</v>
      </c>
      <c r="E1391" s="11" t="s">
        <v>109</v>
      </c>
      <c r="F1391" s="9" t="n">
        <v>17</v>
      </c>
      <c r="G1391" s="11" t="s">
        <v>110</v>
      </c>
      <c r="H1391" s="9" t="n">
        <v>1110101</v>
      </c>
      <c r="I1391" s="11" t="s">
        <v>111</v>
      </c>
      <c r="J1391" s="9" t="n">
        <v>1537159</v>
      </c>
      <c r="L1391" s="9" t="n">
        <v>1537159</v>
      </c>
      <c r="M1391" s="11" t="s">
        <v>52</v>
      </c>
      <c r="N1391" s="11" t="s">
        <v>112</v>
      </c>
      <c r="P1391" s="9" t="n">
        <v>113</v>
      </c>
      <c r="Q1391" s="11" t="s">
        <v>46</v>
      </c>
      <c r="R1391" s="11" t="s">
        <v>47</v>
      </c>
      <c r="S1391" s="9" t="n">
        <v>1130101</v>
      </c>
      <c r="T1391" s="11" t="s">
        <v>48</v>
      </c>
      <c r="U1391" s="12" t="n">
        <v>72</v>
      </c>
      <c r="W1391" s="12" t="n">
        <v>72</v>
      </c>
      <c r="X1391" s="11" t="s">
        <v>1281</v>
      </c>
      <c r="Z1391" s="0" t="str">
        <f aca="false">IF($T1391="","",IFERROR(INDEX('Resumo Grupos'!$AC$3:$AC$200,MATCH($T1391,'Resumo Grupos'!$AB$3:$AB$200,0)),"n/d"))</f>
        <v>Mercadoria</v>
      </c>
      <c r="AA1391" s="0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9" t="n">
        <v>2</v>
      </c>
      <c r="B1392" s="10" t="n">
        <v>46245</v>
      </c>
      <c r="C1392" s="10" t="n">
        <v>46245</v>
      </c>
      <c r="D1392" s="9" t="n">
        <v>0</v>
      </c>
      <c r="E1392" s="11" t="s">
        <v>109</v>
      </c>
      <c r="F1392" s="9" t="n">
        <v>17</v>
      </c>
      <c r="G1392" s="11" t="s">
        <v>110</v>
      </c>
      <c r="H1392" s="9" t="n">
        <v>1110101</v>
      </c>
      <c r="I1392" s="11" t="s">
        <v>111</v>
      </c>
      <c r="J1392" s="9" t="n">
        <v>1537168</v>
      </c>
      <c r="L1392" s="9" t="n">
        <v>1537168</v>
      </c>
      <c r="M1392" s="11" t="s">
        <v>52</v>
      </c>
      <c r="N1392" s="11" t="s">
        <v>112</v>
      </c>
      <c r="P1392" s="9" t="n">
        <v>113</v>
      </c>
      <c r="Q1392" s="11" t="s">
        <v>46</v>
      </c>
      <c r="R1392" s="11" t="s">
        <v>47</v>
      </c>
      <c r="S1392" s="9" t="n">
        <v>1130101</v>
      </c>
      <c r="T1392" s="11" t="s">
        <v>48</v>
      </c>
      <c r="U1392" s="12" t="n">
        <v>200</v>
      </c>
      <c r="W1392" s="12" t="n">
        <v>200</v>
      </c>
      <c r="X1392" s="11" t="s">
        <v>1282</v>
      </c>
      <c r="Z1392" s="0" t="str">
        <f aca="false">IF($T1392="","",IFERROR(INDEX('Resumo Grupos'!$AC$3:$AC$200,MATCH($T1392,'Resumo Grupos'!$AB$3:$AB$200,0)),"n/d"))</f>
        <v>Mercadoria</v>
      </c>
      <c r="AA1392" s="0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9" t="n">
        <v>2</v>
      </c>
      <c r="B1393" s="10" t="n">
        <v>46245</v>
      </c>
      <c r="C1393" s="10" t="n">
        <v>46245</v>
      </c>
      <c r="D1393" s="9" t="n">
        <v>0</v>
      </c>
      <c r="E1393" s="11" t="s">
        <v>109</v>
      </c>
      <c r="F1393" s="9" t="n">
        <v>17</v>
      </c>
      <c r="G1393" s="11" t="s">
        <v>110</v>
      </c>
      <c r="H1393" s="9" t="n">
        <v>1110101</v>
      </c>
      <c r="I1393" s="11" t="s">
        <v>111</v>
      </c>
      <c r="J1393" s="9" t="n">
        <v>1537171</v>
      </c>
      <c r="L1393" s="9" t="n">
        <v>1537171</v>
      </c>
      <c r="M1393" s="11" t="s">
        <v>52</v>
      </c>
      <c r="N1393" s="11" t="s">
        <v>112</v>
      </c>
      <c r="P1393" s="9" t="n">
        <v>113</v>
      </c>
      <c r="Q1393" s="11" t="s">
        <v>46</v>
      </c>
      <c r="R1393" s="11" t="s">
        <v>71</v>
      </c>
      <c r="S1393" s="9" t="n">
        <v>4210314</v>
      </c>
      <c r="T1393" s="11" t="s">
        <v>113</v>
      </c>
      <c r="U1393" s="12" t="n">
        <v>50</v>
      </c>
      <c r="W1393" s="12" t="n">
        <v>50</v>
      </c>
      <c r="X1393" s="11" t="s">
        <v>263</v>
      </c>
      <c r="Z1393" s="0" t="str">
        <f aca="false">IF($T1393="","",IFERROR(INDEX('Resumo Grupos'!$AC$3:$AC$200,MATCH($T1393,'Resumo Grupos'!$AB$3:$AB$200,0)),"n/d"))</f>
        <v>Despesa</v>
      </c>
      <c r="AA1393" s="0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9" t="n">
        <v>2</v>
      </c>
      <c r="B1394" s="10" t="n">
        <v>46245</v>
      </c>
      <c r="C1394" s="10" t="n">
        <v>46245</v>
      </c>
      <c r="D1394" s="9" t="n">
        <v>0</v>
      </c>
      <c r="E1394" s="11" t="s">
        <v>109</v>
      </c>
      <c r="F1394" s="9" t="n">
        <v>17</v>
      </c>
      <c r="G1394" s="11" t="s">
        <v>110</v>
      </c>
      <c r="H1394" s="9" t="n">
        <v>1110101</v>
      </c>
      <c r="I1394" s="11" t="s">
        <v>111</v>
      </c>
      <c r="J1394" s="9" t="n">
        <v>1716375</v>
      </c>
      <c r="L1394" s="9" t="n">
        <v>1716375</v>
      </c>
      <c r="M1394" s="11" t="s">
        <v>52</v>
      </c>
      <c r="N1394" s="11" t="s">
        <v>112</v>
      </c>
      <c r="P1394" s="9" t="n">
        <v>113</v>
      </c>
      <c r="Q1394" s="11" t="s">
        <v>46</v>
      </c>
      <c r="R1394" s="11" t="s">
        <v>116</v>
      </c>
      <c r="S1394" s="9" t="n">
        <v>1110203</v>
      </c>
      <c r="T1394" s="11" t="s">
        <v>117</v>
      </c>
      <c r="U1394" s="12" t="n">
        <v>2600</v>
      </c>
      <c r="W1394" s="12" t="n">
        <v>2600</v>
      </c>
      <c r="X1394" s="11" t="s">
        <v>1283</v>
      </c>
      <c r="Z1394" s="0" t="str">
        <f aca="false">IF($T1394="","",IFERROR(INDEX('Resumo Grupos'!$AC$3:$AC$200,MATCH($T1394,'Resumo Grupos'!$AB$3:$AB$200,0)),"n/d"))</f>
        <v>Despesa</v>
      </c>
      <c r="AA1394" s="0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9" t="n">
        <v>2</v>
      </c>
      <c r="B1395" s="10" t="n">
        <v>46225</v>
      </c>
      <c r="C1395" s="10" t="n">
        <v>46246</v>
      </c>
      <c r="D1395" s="9" t="n">
        <v>1635</v>
      </c>
      <c r="E1395" s="11" t="s">
        <v>128</v>
      </c>
      <c r="F1395" s="9" t="n">
        <v>24</v>
      </c>
      <c r="G1395" s="11" t="s">
        <v>51</v>
      </c>
      <c r="H1395" s="9" t="n">
        <v>2110405</v>
      </c>
      <c r="I1395" s="11" t="s">
        <v>56</v>
      </c>
      <c r="J1395" s="9" t="n">
        <v>1436001</v>
      </c>
      <c r="L1395" s="9" t="n">
        <v>194026</v>
      </c>
      <c r="M1395" s="11" t="s">
        <v>52</v>
      </c>
      <c r="N1395" s="11" t="s">
        <v>45</v>
      </c>
      <c r="P1395" s="9" t="n">
        <v>113</v>
      </c>
      <c r="Q1395" s="11" t="s">
        <v>46</v>
      </c>
      <c r="R1395" s="11" t="s">
        <v>47</v>
      </c>
      <c r="S1395" s="9" t="n">
        <v>1130101</v>
      </c>
      <c r="T1395" s="11" t="s">
        <v>48</v>
      </c>
      <c r="U1395" s="12" t="n">
        <v>109.51</v>
      </c>
      <c r="W1395" s="12" t="n">
        <v>109.51</v>
      </c>
      <c r="X1395" s="11" t="s">
        <v>1182</v>
      </c>
      <c r="Z1395" s="0" t="str">
        <f aca="false">IF($T1395="","",IFERROR(INDEX('Resumo Grupos'!$AC$3:$AC$200,MATCH($T1395,'Resumo Grupos'!$AB$3:$AB$200,0)),"n/d"))</f>
        <v>Mercadoria</v>
      </c>
      <c r="AA1395" s="0" t="str">
        <f aca="false">IF($T1395="","",IF(COUNTIF('Resumo Grupos'!$AE$3:$AE$40,$T1395)&gt;0,"NAO","SIM"))</f>
        <v>SIM</v>
      </c>
      <c r="AB1395" s="0" t="str">
        <f aca="false">IFERROR(INDEX('Mov Entradas (Rel 10497)'!$L:$L,MATCH(AC1395,'Mov Entradas (Rel 10497)'!$I:$I,0)),"nao encontrado")</f>
        <v>CHÁ BARÃO CAMOMIL10G</v>
      </c>
      <c r="AC1395" s="0" t="n">
        <v>1625</v>
      </c>
    </row>
    <row r="1396" customFormat="false" ht="54.75" hidden="false" customHeight="true" outlineLevel="0" collapsed="false">
      <c r="A1396" s="9" t="n">
        <v>2</v>
      </c>
      <c r="B1396" s="10" t="n">
        <v>46227</v>
      </c>
      <c r="C1396" s="10" t="n">
        <v>46246</v>
      </c>
      <c r="D1396" s="9" t="n">
        <v>1613</v>
      </c>
      <c r="E1396" s="11" t="s">
        <v>50</v>
      </c>
      <c r="F1396" s="9" t="n">
        <v>24</v>
      </c>
      <c r="G1396" s="11" t="s">
        <v>51</v>
      </c>
      <c r="H1396" s="9" t="n">
        <v>2110405</v>
      </c>
      <c r="I1396" s="11" t="s">
        <v>56</v>
      </c>
      <c r="J1396" s="9" t="n">
        <v>1443769</v>
      </c>
      <c r="L1396" s="9" t="n">
        <v>195249</v>
      </c>
      <c r="M1396" s="11" t="s">
        <v>52</v>
      </c>
      <c r="N1396" s="11" t="s">
        <v>45</v>
      </c>
      <c r="P1396" s="9" t="n">
        <v>113</v>
      </c>
      <c r="Q1396" s="11" t="s">
        <v>46</v>
      </c>
      <c r="R1396" s="11" t="s">
        <v>47</v>
      </c>
      <c r="S1396" s="9" t="n">
        <v>1130101</v>
      </c>
      <c r="T1396" s="11" t="s">
        <v>48</v>
      </c>
      <c r="U1396" s="12" t="n">
        <v>395.62</v>
      </c>
      <c r="W1396" s="12" t="n">
        <v>395.62</v>
      </c>
      <c r="X1396" s="11" t="s">
        <v>1183</v>
      </c>
      <c r="Z1396" s="0" t="str">
        <f aca="false">IF($T1396="","",IFERROR(INDEX('Resumo Grupos'!$AC$3:$AC$200,MATCH($T1396,'Resumo Grupos'!$AB$3:$AB$200,0)),"n/d"))</f>
        <v>Mercadoria</v>
      </c>
      <c r="AA1396" s="0" t="str">
        <f aca="false">IF($T1396="","",IF(COUNTIF('Resumo Grupos'!$AE$3:$AE$40,$T1396)&gt;0,"NAO","SIM"))</f>
        <v>SIM</v>
      </c>
      <c r="AB1396" s="0" t="str">
        <f aca="false">IFERROR(INDEX('Mov Entradas (Rel 10497)'!$L:$L,MATCH(AC1396,'Mov Entradas (Rel 10497)'!$I:$I,0)),"nao encontrado")</f>
        <v>MARGARINA DELINE 500</v>
      </c>
      <c r="AC1396" s="0" t="n">
        <v>1611346</v>
      </c>
    </row>
    <row r="1397" customFormat="false" ht="54.75" hidden="false" customHeight="true" outlineLevel="0" collapsed="false">
      <c r="A1397" s="9" t="n">
        <v>2</v>
      </c>
      <c r="B1397" s="10" t="n">
        <v>46234</v>
      </c>
      <c r="C1397" s="10" t="n">
        <v>46246</v>
      </c>
      <c r="D1397" s="9" t="n">
        <v>1613</v>
      </c>
      <c r="E1397" s="11" t="s">
        <v>50</v>
      </c>
      <c r="F1397" s="9" t="n">
        <v>24</v>
      </c>
      <c r="G1397" s="11" t="s">
        <v>51</v>
      </c>
      <c r="H1397" s="9" t="n">
        <v>2110405</v>
      </c>
      <c r="I1397" s="11" t="s">
        <v>56</v>
      </c>
      <c r="J1397" s="9" t="n">
        <v>1478653</v>
      </c>
      <c r="L1397" s="9" t="n">
        <v>200645</v>
      </c>
      <c r="M1397" s="11" t="s">
        <v>52</v>
      </c>
      <c r="N1397" s="11" t="s">
        <v>45</v>
      </c>
      <c r="P1397" s="9" t="n">
        <v>113</v>
      </c>
      <c r="Q1397" s="11" t="s">
        <v>46</v>
      </c>
      <c r="R1397" s="11" t="s">
        <v>47</v>
      </c>
      <c r="S1397" s="9" t="n">
        <v>1130101</v>
      </c>
      <c r="T1397" s="11" t="s">
        <v>48</v>
      </c>
      <c r="U1397" s="12" t="n">
        <v>1190.19</v>
      </c>
      <c r="W1397" s="12" t="n">
        <v>1190.19</v>
      </c>
      <c r="X1397" s="11" t="s">
        <v>1284</v>
      </c>
      <c r="Z1397" s="0" t="str">
        <f aca="false">IF($T1397="","",IFERROR(INDEX('Resumo Grupos'!$AC$3:$AC$200,MATCH($T1397,'Resumo Grupos'!$AB$3:$AB$200,0)),"n/d"))</f>
        <v>Mercadoria</v>
      </c>
      <c r="AA1397" s="0" t="str">
        <f aca="false">IF($T1397="","",IF(COUNTIF('Resumo Grupos'!$AE$3:$AE$40,$T1397)&gt;0,"NAO","SIM"))</f>
        <v>SIM</v>
      </c>
      <c r="AB1397" s="0" t="str">
        <f aca="false">IFERROR(INDEX('Mov Entradas (Rel 10497)'!$L:$L,MATCH(AC1397,'Mov Entradas (Rel 10497)'!$I:$I,0)),"nao encontrado")</f>
        <v>CARRE SUINO KG</v>
      </c>
      <c r="AC1397" s="0" t="n">
        <v>1614426</v>
      </c>
    </row>
    <row r="1398" customFormat="false" ht="36.75" hidden="false" customHeight="true" outlineLevel="0" collapsed="false">
      <c r="A1398" s="9" t="n">
        <v>2</v>
      </c>
      <c r="B1398" s="10" t="n">
        <v>46218</v>
      </c>
      <c r="C1398" s="10" t="n">
        <v>46246</v>
      </c>
      <c r="D1398" s="9" t="n">
        <v>1608</v>
      </c>
      <c r="E1398" s="11" t="s">
        <v>240</v>
      </c>
      <c r="F1398" s="9" t="n">
        <v>24</v>
      </c>
      <c r="G1398" s="11" t="s">
        <v>51</v>
      </c>
      <c r="H1398" s="9" t="n">
        <v>2110405</v>
      </c>
      <c r="I1398" s="11" t="s">
        <v>56</v>
      </c>
      <c r="J1398" s="9" t="n">
        <v>1401887</v>
      </c>
      <c r="L1398" s="9" t="n">
        <v>188609</v>
      </c>
      <c r="M1398" s="11" t="s">
        <v>52</v>
      </c>
      <c r="N1398" s="11" t="s">
        <v>45</v>
      </c>
      <c r="P1398" s="9" t="n">
        <v>113</v>
      </c>
      <c r="Q1398" s="11" t="s">
        <v>46</v>
      </c>
      <c r="R1398" s="11" t="s">
        <v>47</v>
      </c>
      <c r="S1398" s="9" t="n">
        <v>1130101</v>
      </c>
      <c r="T1398" s="11" t="s">
        <v>48</v>
      </c>
      <c r="U1398" s="12" t="n">
        <v>1207.28</v>
      </c>
      <c r="W1398" s="12" t="n">
        <v>1207.28</v>
      </c>
      <c r="X1398" s="11" t="s">
        <v>1076</v>
      </c>
      <c r="Z1398" s="0" t="str">
        <f aca="false">IF($T1398="","",IFERROR(INDEX('Resumo Grupos'!$AC$3:$AC$200,MATCH($T1398,'Resumo Grupos'!$AB$3:$AB$200,0)),"n/d"))</f>
        <v>Mercadoria</v>
      </c>
      <c r="AA1398" s="0" t="str">
        <f aca="false">IF($T1398="","",IF(COUNTIF('Resumo Grupos'!$AE$3:$AE$40,$T1398)&gt;0,"NAO","SIM"))</f>
        <v>SIM</v>
      </c>
      <c r="AB1398" s="0" t="str">
        <f aca="false">IFERROR(INDEX('Mov Entradas (Rel 10497)'!$L:$L,MATCH(AC1398,'Mov Entradas (Rel 10497)'!$I:$I,0)),"nao encontrado")</f>
        <v>ACHOC TODDY 200G</v>
      </c>
      <c r="AC1398" s="0" t="n">
        <v>1692730</v>
      </c>
    </row>
    <row r="1399" customFormat="false" ht="36.75" hidden="false" customHeight="true" outlineLevel="0" collapsed="false">
      <c r="A1399" s="9" t="n">
        <v>2</v>
      </c>
      <c r="B1399" s="10" t="n">
        <v>46226</v>
      </c>
      <c r="C1399" s="10" t="n">
        <v>46246</v>
      </c>
      <c r="D1399" s="9" t="n">
        <v>1608</v>
      </c>
      <c r="E1399" s="11" t="s">
        <v>240</v>
      </c>
      <c r="F1399" s="9" t="n">
        <v>24</v>
      </c>
      <c r="G1399" s="11" t="s">
        <v>51</v>
      </c>
      <c r="H1399" s="9" t="n">
        <v>2110405</v>
      </c>
      <c r="I1399" s="11" t="s">
        <v>56</v>
      </c>
      <c r="J1399" s="9" t="n">
        <v>1439299</v>
      </c>
      <c r="L1399" s="9" t="n">
        <v>194524</v>
      </c>
      <c r="M1399" s="11" t="s">
        <v>52</v>
      </c>
      <c r="N1399" s="11" t="s">
        <v>45</v>
      </c>
      <c r="P1399" s="9" t="n">
        <v>113</v>
      </c>
      <c r="Q1399" s="11" t="s">
        <v>46</v>
      </c>
      <c r="R1399" s="11" t="s">
        <v>47</v>
      </c>
      <c r="S1399" s="9" t="n">
        <v>1130101</v>
      </c>
      <c r="T1399" s="11" t="s">
        <v>48</v>
      </c>
      <c r="U1399" s="12" t="n">
        <v>1188</v>
      </c>
      <c r="W1399" s="12" t="n">
        <v>1188</v>
      </c>
      <c r="X1399" s="11" t="s">
        <v>1285</v>
      </c>
      <c r="Z1399" s="0" t="str">
        <f aca="false">IF($T1399="","",IFERROR(INDEX('Resumo Grupos'!$AC$3:$AC$200,MATCH($T1399,'Resumo Grupos'!$AB$3:$AB$200,0)),"n/d"))</f>
        <v>Mercadoria</v>
      </c>
      <c r="AA1399" s="0" t="str">
        <f aca="false">IF($T1399="","",IF(COUNTIF('Resumo Grupos'!$AE$3:$AE$40,$T1399)&gt;0,"NAO","SIM"))</f>
        <v>SIM</v>
      </c>
      <c r="AB1399" s="0" t="str">
        <f aca="false">IFERROR(INDEX('Mov Entradas (Rel 10497)'!$L:$L,MATCH(AC1399,'Mov Entradas (Rel 10497)'!$I:$I,0)),"nao encontrado")</f>
        <v>CHEETOS ONDA REQUEIJAO 160G</v>
      </c>
      <c r="AC1399" s="0" t="n">
        <v>1697796</v>
      </c>
    </row>
    <row r="1400" customFormat="false" ht="45.75" hidden="false" customHeight="true" outlineLevel="0" collapsed="false">
      <c r="A1400" s="9" t="n">
        <v>2</v>
      </c>
      <c r="B1400" s="10" t="n">
        <v>46219</v>
      </c>
      <c r="C1400" s="10" t="n">
        <v>46246</v>
      </c>
      <c r="D1400" s="9" t="n">
        <v>1616</v>
      </c>
      <c r="E1400" s="11" t="s">
        <v>64</v>
      </c>
      <c r="F1400" s="9" t="n">
        <v>24</v>
      </c>
      <c r="G1400" s="11" t="s">
        <v>51</v>
      </c>
      <c r="H1400" s="9" t="n">
        <v>2110405</v>
      </c>
      <c r="I1400" s="11" t="s">
        <v>56</v>
      </c>
      <c r="J1400" s="9" t="n">
        <v>1406260</v>
      </c>
      <c r="L1400" s="9" t="n">
        <v>189338</v>
      </c>
      <c r="M1400" s="11" t="s">
        <v>52</v>
      </c>
      <c r="N1400" s="11" t="s">
        <v>45</v>
      </c>
      <c r="P1400" s="9" t="n">
        <v>113</v>
      </c>
      <c r="Q1400" s="11" t="s">
        <v>46</v>
      </c>
      <c r="R1400" s="11" t="s">
        <v>47</v>
      </c>
      <c r="S1400" s="9" t="n">
        <v>1130101</v>
      </c>
      <c r="T1400" s="11" t="s">
        <v>48</v>
      </c>
      <c r="U1400" s="12" t="n">
        <v>607.58</v>
      </c>
      <c r="W1400" s="12" t="n">
        <v>607.58</v>
      </c>
      <c r="X1400" s="11" t="s">
        <v>1077</v>
      </c>
      <c r="Z1400" s="0" t="str">
        <f aca="false">IF($T1400="","",IFERROR(INDEX('Resumo Grupos'!$AC$3:$AC$200,MATCH($T1400,'Resumo Grupos'!$AB$3:$AB$200,0)),"n/d"))</f>
        <v>Mercadoria</v>
      </c>
      <c r="AA1400" s="0" t="str">
        <f aca="false">IF($T1400="","",IF(COUNTIF('Resumo Grupos'!$AE$3:$AE$40,$T1400)&gt;0,"NAO","SIM"))</f>
        <v>SIM</v>
      </c>
      <c r="AB1400" s="0" t="str">
        <f aca="false">IFERROR(INDEX('Mov Entradas (Rel 10497)'!$L:$L,MATCH(AC1400,'Mov Entradas (Rel 10497)'!$I:$I,0)),"nao encontrado")</f>
        <v>BARRA DE CEREAIS NUT</v>
      </c>
      <c r="AC1400" s="0" t="n">
        <v>650221</v>
      </c>
    </row>
    <row r="1401" customFormat="false" ht="45.75" hidden="false" customHeight="true" outlineLevel="0" collapsed="false">
      <c r="A1401" s="9" t="n">
        <v>2</v>
      </c>
      <c r="B1401" s="10" t="n">
        <v>46226</v>
      </c>
      <c r="C1401" s="10" t="n">
        <v>46246</v>
      </c>
      <c r="D1401" s="9" t="n">
        <v>957</v>
      </c>
      <c r="E1401" s="11" t="s">
        <v>628</v>
      </c>
      <c r="F1401" s="9" t="n">
        <v>24</v>
      </c>
      <c r="G1401" s="11" t="s">
        <v>51</v>
      </c>
      <c r="H1401" s="9" t="n">
        <v>2110405</v>
      </c>
      <c r="I1401" s="11" t="s">
        <v>56</v>
      </c>
      <c r="J1401" s="9" t="n">
        <v>1438915</v>
      </c>
      <c r="L1401" s="9" t="n">
        <v>194428</v>
      </c>
      <c r="M1401" s="11" t="s">
        <v>52</v>
      </c>
      <c r="N1401" s="11" t="s">
        <v>45</v>
      </c>
      <c r="P1401" s="9" t="n">
        <v>113</v>
      </c>
      <c r="Q1401" s="11" t="s">
        <v>46</v>
      </c>
      <c r="R1401" s="11" t="s">
        <v>47</v>
      </c>
      <c r="S1401" s="9" t="n">
        <v>1130101</v>
      </c>
      <c r="T1401" s="11" t="s">
        <v>48</v>
      </c>
      <c r="U1401" s="12" t="n">
        <v>1501.36</v>
      </c>
      <c r="W1401" s="12" t="n">
        <v>1501.36</v>
      </c>
      <c r="X1401" s="11" t="s">
        <v>1286</v>
      </c>
      <c r="Z1401" s="0" t="str">
        <f aca="false">IF($T1401="","",IFERROR(INDEX('Resumo Grupos'!$AC$3:$AC$200,MATCH($T1401,'Resumo Grupos'!$AB$3:$AB$200,0)),"n/d"))</f>
        <v>Mercadoria</v>
      </c>
      <c r="AA1401" s="0" t="str">
        <f aca="false">IF($T1401="","",IF(COUNTIF('Resumo Grupos'!$AE$3:$AE$40,$T1401)&gt;0,"NAO","SIM"))</f>
        <v>SIM</v>
      </c>
      <c r="AB1401" s="0" t="str">
        <f aca="false">IFERROR(INDEX('Mov Entradas (Rel 10497)'!$L:$L,MATCH(AC1401,'Mov Entradas (Rel 10497)'!$I:$I,0)),"nao encontrado")</f>
        <v>WHISKA FRANGO KG AGR</v>
      </c>
      <c r="AC1401" s="0" t="n">
        <v>21189</v>
      </c>
    </row>
    <row r="1402" customFormat="false" ht="45.75" hidden="false" customHeight="true" outlineLevel="0" collapsed="false">
      <c r="A1402" s="9" t="n">
        <v>2</v>
      </c>
      <c r="B1402" s="10" t="n">
        <v>46246</v>
      </c>
      <c r="C1402" s="10" t="n">
        <v>46246</v>
      </c>
      <c r="D1402" s="9" t="n">
        <v>10096</v>
      </c>
      <c r="E1402" s="11" t="s">
        <v>622</v>
      </c>
      <c r="F1402" s="9" t="n">
        <v>13</v>
      </c>
      <c r="G1402" s="11" t="s">
        <v>135</v>
      </c>
      <c r="H1402" s="9" t="n">
        <v>2110405</v>
      </c>
      <c r="I1402" s="11" t="s">
        <v>56</v>
      </c>
      <c r="J1402" s="9" t="n">
        <v>1545498</v>
      </c>
      <c r="L1402" s="9" t="n">
        <v>210984</v>
      </c>
      <c r="M1402" s="11" t="s">
        <v>52</v>
      </c>
      <c r="N1402" s="11" t="s">
        <v>45</v>
      </c>
      <c r="P1402" s="9" t="n">
        <v>113</v>
      </c>
      <c r="Q1402" s="11" t="s">
        <v>46</v>
      </c>
      <c r="R1402" s="11" t="s">
        <v>47</v>
      </c>
      <c r="S1402" s="9" t="n">
        <v>1130101</v>
      </c>
      <c r="T1402" s="11" t="s">
        <v>48</v>
      </c>
      <c r="U1402" s="12" t="n">
        <v>140</v>
      </c>
      <c r="W1402" s="12" t="n">
        <v>140</v>
      </c>
      <c r="X1402" s="11" t="s">
        <v>1287</v>
      </c>
      <c r="Z1402" s="0" t="str">
        <f aca="false">IF($T1402="","",IFERROR(INDEX('Resumo Grupos'!$AC$3:$AC$200,MATCH($T1402,'Resumo Grupos'!$AB$3:$AB$200,0)),"n/d"))</f>
        <v>Mercadoria</v>
      </c>
      <c r="AA1402" s="0" t="str">
        <f aca="false">IF($T1402="","",IF(COUNTIF('Resumo Grupos'!$AE$3:$AE$40,$T1402)&gt;0,"NAO","SIM"))</f>
        <v>SIM</v>
      </c>
      <c r="AB1402" s="0" t="str">
        <f aca="false">IFERROR(INDEX('Mov Entradas (Rel 10497)'!$L:$L,MATCH(AC1402,'Mov Entradas (Rel 10497)'!$I:$I,0)),"nao encontrado")</f>
        <v>BOLO MIYAZAKI GRANDE</v>
      </c>
      <c r="AC1402" s="0" t="n">
        <v>153</v>
      </c>
    </row>
    <row r="1403" customFormat="false" ht="45.75" hidden="false" customHeight="true" outlineLevel="0" collapsed="false">
      <c r="A1403" s="9" t="n">
        <v>2</v>
      </c>
      <c r="B1403" s="10" t="n">
        <v>46227</v>
      </c>
      <c r="C1403" s="10" t="n">
        <v>46246</v>
      </c>
      <c r="D1403" s="9" t="n">
        <v>1842</v>
      </c>
      <c r="E1403" s="11" t="s">
        <v>1090</v>
      </c>
      <c r="F1403" s="9" t="n">
        <v>24</v>
      </c>
      <c r="G1403" s="11" t="s">
        <v>51</v>
      </c>
      <c r="H1403" s="9" t="n">
        <v>2110405</v>
      </c>
      <c r="I1403" s="11" t="s">
        <v>56</v>
      </c>
      <c r="J1403" s="9" t="n">
        <v>1443912</v>
      </c>
      <c r="L1403" s="9" t="n">
        <v>195274</v>
      </c>
      <c r="M1403" s="11" t="s">
        <v>52</v>
      </c>
      <c r="N1403" s="11" t="s">
        <v>45</v>
      </c>
      <c r="P1403" s="9" t="n">
        <v>113</v>
      </c>
      <c r="Q1403" s="11" t="s">
        <v>46</v>
      </c>
      <c r="R1403" s="11" t="s">
        <v>39</v>
      </c>
      <c r="S1403" s="9" t="n">
        <v>4210229</v>
      </c>
      <c r="T1403" s="11" t="s">
        <v>1091</v>
      </c>
      <c r="U1403" s="12" t="n">
        <v>325</v>
      </c>
      <c r="W1403" s="12" t="n">
        <v>325</v>
      </c>
      <c r="X1403" s="11" t="s">
        <v>1288</v>
      </c>
      <c r="Z1403" s="0" t="str">
        <f aca="false">IF($T1403="","",IFERROR(INDEX('Resumo Grupos'!$AC$3:$AC$200,MATCH($T1403,'Resumo Grupos'!$AB$3:$AB$200,0)),"n/d"))</f>
        <v>Despesa</v>
      </c>
      <c r="AA1403" s="0" t="str">
        <f aca="false">IF($T1403="","",IF(COUNTIF('Resumo Grupos'!$AE$3:$AE$40,$T1403)&gt;0,"NAO","SIM"))</f>
        <v>SIM</v>
      </c>
      <c r="AB1403" s="0" t="str">
        <f aca="false">IFERROR(INDEX('Mov Entradas (Rel 10497)'!$L:$L,MATCH(AC1403,'Mov Entradas (Rel 10497)'!$I:$I,0)),"nao encontrado")</f>
        <v>AVENTAL PVC C/ FORRO</v>
      </c>
      <c r="AC1403" s="0" t="n">
        <v>7695</v>
      </c>
    </row>
    <row r="1404" customFormat="false" ht="45.75" hidden="false" customHeight="true" outlineLevel="0" collapsed="false">
      <c r="A1404" s="9" t="n">
        <v>2</v>
      </c>
      <c r="B1404" s="10" t="n">
        <v>46225</v>
      </c>
      <c r="C1404" s="10" t="n">
        <v>46246</v>
      </c>
      <c r="D1404" s="9" t="n">
        <v>1815</v>
      </c>
      <c r="E1404" s="11" t="s">
        <v>172</v>
      </c>
      <c r="F1404" s="9" t="n">
        <v>24</v>
      </c>
      <c r="G1404" s="11" t="s">
        <v>51</v>
      </c>
      <c r="H1404" s="9" t="n">
        <v>2110405</v>
      </c>
      <c r="I1404" s="11" t="s">
        <v>56</v>
      </c>
      <c r="J1404" s="9" t="n">
        <v>1436049</v>
      </c>
      <c r="L1404" s="9" t="n">
        <v>194036</v>
      </c>
      <c r="M1404" s="11" t="s">
        <v>52</v>
      </c>
      <c r="N1404" s="11" t="s">
        <v>45</v>
      </c>
      <c r="P1404" s="9" t="n">
        <v>113</v>
      </c>
      <c r="Q1404" s="11" t="s">
        <v>46</v>
      </c>
      <c r="R1404" s="11" t="s">
        <v>47</v>
      </c>
      <c r="S1404" s="9" t="n">
        <v>1130101</v>
      </c>
      <c r="T1404" s="11" t="s">
        <v>48</v>
      </c>
      <c r="U1404" s="12" t="n">
        <v>1164.4</v>
      </c>
      <c r="W1404" s="12" t="n">
        <v>1164.4</v>
      </c>
      <c r="X1404" s="11" t="s">
        <v>1080</v>
      </c>
      <c r="Z1404" s="0" t="str">
        <f aca="false">IF($T1404="","",IFERROR(INDEX('Resumo Grupos'!$AC$3:$AC$200,MATCH($T1404,'Resumo Grupos'!$AB$3:$AB$200,0)),"n/d"))</f>
        <v>Mercadoria</v>
      </c>
      <c r="AA1404" s="0" t="str">
        <f aca="false">IF($T1404="","",IF(COUNTIF('Resumo Grupos'!$AE$3:$AE$40,$T1404)&gt;0,"NAO","SIM"))</f>
        <v>SIM</v>
      </c>
      <c r="AB1404" s="0" t="str">
        <f aca="false">IFERROR(INDEX('Mov Entradas (Rel 10497)'!$L:$L,MATCH(AC1404,'Mov Entradas (Rel 10497)'!$I:$I,0)),"nao encontrado")</f>
        <v>FILE PEITOA GRANEL</v>
      </c>
      <c r="AC1404" s="0" t="n">
        <v>393890</v>
      </c>
    </row>
    <row r="1405" customFormat="false" ht="36.75" hidden="false" customHeight="true" outlineLevel="0" collapsed="false">
      <c r="A1405" s="9" t="n">
        <v>2</v>
      </c>
      <c r="B1405" s="10" t="n">
        <v>46240</v>
      </c>
      <c r="C1405" s="10" t="n">
        <v>46246</v>
      </c>
      <c r="D1405" s="9" t="n">
        <v>1123</v>
      </c>
      <c r="E1405" s="11" t="s">
        <v>443</v>
      </c>
      <c r="F1405" s="9" t="n">
        <v>24</v>
      </c>
      <c r="G1405" s="11" t="s">
        <v>51</v>
      </c>
      <c r="H1405" s="9" t="n">
        <v>2110405</v>
      </c>
      <c r="I1405" s="11" t="s">
        <v>56</v>
      </c>
      <c r="J1405" s="9" t="n">
        <v>1508168</v>
      </c>
      <c r="L1405" s="9" t="n">
        <v>204888</v>
      </c>
      <c r="M1405" s="11" t="s">
        <v>52</v>
      </c>
      <c r="N1405" s="11" t="s">
        <v>45</v>
      </c>
      <c r="P1405" s="9" t="n">
        <v>113</v>
      </c>
      <c r="Q1405" s="11" t="s">
        <v>46</v>
      </c>
      <c r="R1405" s="11" t="s">
        <v>47</v>
      </c>
      <c r="S1405" s="9" t="n">
        <v>1130101</v>
      </c>
      <c r="T1405" s="11" t="s">
        <v>48</v>
      </c>
      <c r="U1405" s="12" t="n">
        <v>460</v>
      </c>
      <c r="W1405" s="12" t="n">
        <v>460</v>
      </c>
      <c r="X1405" s="11" t="s">
        <v>1289</v>
      </c>
      <c r="Z1405" s="0" t="str">
        <f aca="false">IF($T1405="","",IFERROR(INDEX('Resumo Grupos'!$AC$3:$AC$200,MATCH($T1405,'Resumo Grupos'!$AB$3:$AB$200,0)),"n/d"))</f>
        <v>Mercadoria</v>
      </c>
      <c r="AA1405" s="0" t="str">
        <f aca="false">IF($T1405="","",IF(COUNTIF('Resumo Grupos'!$AE$3:$AE$40,$T1405)&gt;0,"NAO","SIM"))</f>
        <v>SIM</v>
      </c>
      <c r="AB1405" s="0" t="str">
        <f aca="false">IFERROR(INDEX('Mov Entradas (Rel 10497)'!$L:$L,MATCH(AC1405,'Mov Entradas (Rel 10497)'!$I:$I,0)),"nao encontrado")</f>
        <v>QUEIJO MUSSARELA INT</v>
      </c>
      <c r="AC1405" s="0" t="n">
        <v>45441</v>
      </c>
    </row>
    <row r="1406" customFormat="false" ht="63.75" hidden="false" customHeight="true" outlineLevel="0" collapsed="false">
      <c r="A1406" s="9" t="n">
        <v>2</v>
      </c>
      <c r="B1406" s="10" t="n">
        <v>46226</v>
      </c>
      <c r="C1406" s="10" t="n">
        <v>46246</v>
      </c>
      <c r="D1406" s="9" t="n">
        <v>10011</v>
      </c>
      <c r="E1406" s="11" t="s">
        <v>349</v>
      </c>
      <c r="F1406" s="9" t="n">
        <v>24</v>
      </c>
      <c r="G1406" s="11" t="s">
        <v>51</v>
      </c>
      <c r="H1406" s="9" t="n">
        <v>2110405</v>
      </c>
      <c r="I1406" s="11" t="s">
        <v>56</v>
      </c>
      <c r="J1406" s="9" t="n">
        <v>1438950</v>
      </c>
      <c r="L1406" s="9" t="n">
        <v>194437</v>
      </c>
      <c r="M1406" s="11" t="s">
        <v>52</v>
      </c>
      <c r="N1406" s="11" t="s">
        <v>45</v>
      </c>
      <c r="P1406" s="9" t="n">
        <v>113</v>
      </c>
      <c r="Q1406" s="11" t="s">
        <v>46</v>
      </c>
      <c r="R1406" s="11" t="s">
        <v>47</v>
      </c>
      <c r="S1406" s="9" t="n">
        <v>1130101</v>
      </c>
      <c r="T1406" s="11" t="s">
        <v>48</v>
      </c>
      <c r="U1406" s="12" t="n">
        <v>591.06</v>
      </c>
      <c r="W1406" s="12" t="n">
        <v>591.06</v>
      </c>
      <c r="X1406" s="11" t="s">
        <v>1290</v>
      </c>
      <c r="Z1406" s="0" t="str">
        <f aca="false">IF($T1406="","",IFERROR(INDEX('Resumo Grupos'!$AC$3:$AC$200,MATCH($T1406,'Resumo Grupos'!$AB$3:$AB$200,0)),"n/d"))</f>
        <v>Mercadoria</v>
      </c>
      <c r="AA1406" s="0" t="str">
        <f aca="false">IF($T1406="","",IF(COUNTIF('Resumo Grupos'!$AE$3:$AE$40,$T1406)&gt;0,"NAO","SIM"))</f>
        <v>SIM</v>
      </c>
      <c r="AB1406" s="0" t="str">
        <f aca="false">IFERROR(INDEX('Mov Entradas (Rel 10497)'!$L:$L,MATCH(AC1406,'Mov Entradas (Rel 10497)'!$I:$I,0)),"nao encontrado")</f>
        <v>GRAN PLUS MENU KG</v>
      </c>
      <c r="AC1406" s="0" t="n">
        <v>34738</v>
      </c>
    </row>
    <row r="1407" customFormat="false" ht="36.75" hidden="false" customHeight="true" outlineLevel="0" collapsed="false">
      <c r="A1407" s="9" t="n">
        <v>2</v>
      </c>
      <c r="B1407" s="10" t="n">
        <v>46245</v>
      </c>
      <c r="C1407" s="10" t="n">
        <v>46246</v>
      </c>
      <c r="D1407" s="9" t="n">
        <v>306</v>
      </c>
      <c r="E1407" s="11" t="s">
        <v>524</v>
      </c>
      <c r="F1407" s="9" t="n">
        <v>34</v>
      </c>
      <c r="G1407" s="11" t="s">
        <v>55</v>
      </c>
      <c r="H1407" s="9" t="n">
        <v>2110405</v>
      </c>
      <c r="I1407" s="11" t="s">
        <v>56</v>
      </c>
      <c r="J1407" s="9" t="n">
        <v>1533213</v>
      </c>
      <c r="L1407" s="9" t="n">
        <v>209017</v>
      </c>
      <c r="M1407" s="11" t="s">
        <v>52</v>
      </c>
      <c r="N1407" s="11" t="s">
        <v>45</v>
      </c>
      <c r="P1407" s="9" t="n">
        <v>113</v>
      </c>
      <c r="Q1407" s="11" t="s">
        <v>46</v>
      </c>
      <c r="R1407" s="11" t="s">
        <v>47</v>
      </c>
      <c r="S1407" s="9" t="n">
        <v>1130101</v>
      </c>
      <c r="T1407" s="11" t="s">
        <v>48</v>
      </c>
      <c r="U1407" s="12" t="n">
        <v>370.49</v>
      </c>
      <c r="W1407" s="12" t="n">
        <v>370.49</v>
      </c>
      <c r="X1407" s="11" t="s">
        <v>1291</v>
      </c>
      <c r="Z1407" s="0" t="str">
        <f aca="false">IF($T1407="","",IFERROR(INDEX('Resumo Grupos'!$AC$3:$AC$200,MATCH($T1407,'Resumo Grupos'!$AB$3:$AB$200,0)),"n/d"))</f>
        <v>Mercadoria</v>
      </c>
      <c r="AA1407" s="0" t="str">
        <f aca="false">IF($T1407="","",IF(COUNTIF('Resumo Grupos'!$AE$3:$AE$40,$T1407)&gt;0,"NAO","SIM"))</f>
        <v>SIM</v>
      </c>
      <c r="AB1407" s="0" t="str">
        <f aca="false">IFERROR(INDEX('Mov Entradas (Rel 10497)'!$L:$L,MATCH(AC1407,'Mov Entradas (Rel 10497)'!$I:$I,0)),"nao encontrado")</f>
        <v>CIGARRO OUTBACK</v>
      </c>
      <c r="AC1407" s="0" t="n">
        <v>394</v>
      </c>
    </row>
    <row r="1408" customFormat="false" ht="36.75" hidden="false" customHeight="true" outlineLevel="0" collapsed="false">
      <c r="A1408" s="9" t="n">
        <v>2</v>
      </c>
      <c r="B1408" s="10" t="n">
        <v>46245</v>
      </c>
      <c r="C1408" s="10" t="n">
        <v>46246</v>
      </c>
      <c r="D1408" s="9" t="n">
        <v>306</v>
      </c>
      <c r="E1408" s="11" t="s">
        <v>524</v>
      </c>
      <c r="F1408" s="9" t="n">
        <v>34</v>
      </c>
      <c r="G1408" s="11" t="s">
        <v>55</v>
      </c>
      <c r="H1408" s="9" t="n">
        <v>2110405</v>
      </c>
      <c r="I1408" s="11" t="s">
        <v>56</v>
      </c>
      <c r="J1408" s="9" t="n">
        <v>1533216</v>
      </c>
      <c r="L1408" s="9" t="n">
        <v>209019</v>
      </c>
      <c r="M1408" s="11" t="s">
        <v>52</v>
      </c>
      <c r="N1408" s="11" t="s">
        <v>45</v>
      </c>
      <c r="P1408" s="9" t="n">
        <v>113</v>
      </c>
      <c r="Q1408" s="11" t="s">
        <v>46</v>
      </c>
      <c r="R1408" s="11" t="s">
        <v>47</v>
      </c>
      <c r="S1408" s="9" t="n">
        <v>1130101</v>
      </c>
      <c r="T1408" s="11" t="s">
        <v>48</v>
      </c>
      <c r="U1408" s="12" t="n">
        <v>346</v>
      </c>
      <c r="W1408" s="12" t="n">
        <v>346</v>
      </c>
      <c r="X1408" s="11" t="s">
        <v>1292</v>
      </c>
      <c r="Z1408" s="0" t="str">
        <f aca="false">IF($T1408="","",IFERROR(INDEX('Resumo Grupos'!$AC$3:$AC$200,MATCH($T1408,'Resumo Grupos'!$AB$3:$AB$200,0)),"n/d"))</f>
        <v>Mercadoria</v>
      </c>
      <c r="AA1408" s="0" t="str">
        <f aca="false">IF($T1408="","",IF(COUNTIF('Resumo Grupos'!$AE$3:$AE$40,$T1408)&gt;0,"NAO","SIM"))</f>
        <v>SIM</v>
      </c>
      <c r="AB1408" s="0" t="str">
        <f aca="false">IFERROR(INDEX('Mov Entradas (Rel 10497)'!$L:$L,MATCH(AC1408,'Mov Entradas (Rel 10497)'!$I:$I,0)),"nao encontrado")</f>
        <v>FAR DONA CLARA FLOC</v>
      </c>
      <c r="AC1408" s="0" t="n">
        <v>399</v>
      </c>
    </row>
    <row r="1409" customFormat="false" ht="54.75" hidden="false" customHeight="true" outlineLevel="0" collapsed="false">
      <c r="A1409" s="9" t="n">
        <v>2</v>
      </c>
      <c r="B1409" s="10" t="n">
        <v>46246</v>
      </c>
      <c r="C1409" s="10" t="n">
        <v>46246</v>
      </c>
      <c r="D1409" s="9" t="n">
        <v>306</v>
      </c>
      <c r="E1409" s="11" t="s">
        <v>524</v>
      </c>
      <c r="F1409" s="9" t="n">
        <v>34</v>
      </c>
      <c r="G1409" s="11" t="s">
        <v>55</v>
      </c>
      <c r="H1409" s="9" t="n">
        <v>2110405</v>
      </c>
      <c r="I1409" s="11" t="s">
        <v>56</v>
      </c>
      <c r="J1409" s="9" t="n">
        <v>1537349</v>
      </c>
      <c r="L1409" s="9" t="n">
        <v>209755</v>
      </c>
      <c r="M1409" s="11" t="s">
        <v>52</v>
      </c>
      <c r="N1409" s="11" t="s">
        <v>45</v>
      </c>
      <c r="P1409" s="9" t="n">
        <v>113</v>
      </c>
      <c r="Q1409" s="11" t="s">
        <v>46</v>
      </c>
      <c r="R1409" s="11" t="s">
        <v>47</v>
      </c>
      <c r="S1409" s="9" t="n">
        <v>1130101</v>
      </c>
      <c r="T1409" s="11" t="s">
        <v>48</v>
      </c>
      <c r="U1409" s="12" t="n">
        <v>710</v>
      </c>
      <c r="W1409" s="12" t="n">
        <v>710</v>
      </c>
      <c r="X1409" s="11" t="s">
        <v>1293</v>
      </c>
      <c r="Z1409" s="0" t="str">
        <f aca="false">IF($T1409="","",IFERROR(INDEX('Resumo Grupos'!$AC$3:$AC$200,MATCH($T1409,'Resumo Grupos'!$AB$3:$AB$200,0)),"n/d"))</f>
        <v>Mercadoria</v>
      </c>
      <c r="AA1409" s="0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9" t="n">
        <v>2</v>
      </c>
      <c r="B1410" s="10" t="n">
        <v>46216</v>
      </c>
      <c r="C1410" s="10" t="n">
        <v>46246</v>
      </c>
      <c r="D1410" s="9" t="n">
        <v>10012</v>
      </c>
      <c r="E1410" s="11" t="s">
        <v>185</v>
      </c>
      <c r="F1410" s="9" t="n">
        <v>24</v>
      </c>
      <c r="G1410" s="11" t="s">
        <v>51</v>
      </c>
      <c r="H1410" s="9" t="n">
        <v>2110101</v>
      </c>
      <c r="I1410" s="11" t="s">
        <v>43</v>
      </c>
      <c r="J1410" s="9" t="n">
        <v>1393698</v>
      </c>
      <c r="L1410" s="9" t="n">
        <v>1962669</v>
      </c>
      <c r="M1410" s="11" t="s">
        <v>67</v>
      </c>
      <c r="N1410" s="11" t="s">
        <v>37</v>
      </c>
      <c r="P1410" s="9" t="n">
        <v>113</v>
      </c>
      <c r="Q1410" s="11" t="s">
        <v>46</v>
      </c>
      <c r="R1410" s="11" t="s">
        <v>47</v>
      </c>
      <c r="S1410" s="9" t="n">
        <v>1130101</v>
      </c>
      <c r="T1410" s="11" t="s">
        <v>48</v>
      </c>
      <c r="U1410" s="12" t="n">
        <v>1504.05</v>
      </c>
      <c r="W1410" s="12" t="n">
        <v>1504.05</v>
      </c>
      <c r="X1410" s="11" t="s">
        <v>1084</v>
      </c>
      <c r="Z1410" s="0" t="str">
        <f aca="false">IF($T1410="","",IFERROR(INDEX('Resumo Grupos'!$AC$3:$AC$200,MATCH($T1410,'Resumo Grupos'!$AB$3:$AB$200,0)),"n/d"))</f>
        <v>Mercadoria</v>
      </c>
      <c r="AA1410" s="0" t="str">
        <f aca="false">IF($T1410="","",IF(COUNTIF('Resumo Grupos'!$AE$3:$AE$40,$T1410)&gt;0,"NAO","SIM"))</f>
        <v>SIM</v>
      </c>
      <c r="AB1410" s="0" t="str">
        <f aca="false">IFERROR(INDEX('Mov Entradas (Rel 10497)'!$L:$L,MATCH(AC1410,'Mov Entradas (Rel 10497)'!$I:$I,0)),"nao encontrado")</f>
        <v>ALGOD BOLAS CREMER 5</v>
      </c>
      <c r="AC1410" s="0" t="n">
        <v>1962669</v>
      </c>
    </row>
    <row r="1411" customFormat="false" ht="45.75" hidden="false" customHeight="true" outlineLevel="0" collapsed="false">
      <c r="A1411" s="9" t="n">
        <v>2</v>
      </c>
      <c r="B1411" s="10" t="n">
        <v>46246</v>
      </c>
      <c r="C1411" s="10" t="n">
        <v>46246</v>
      </c>
      <c r="D1411" s="9" t="n">
        <v>0</v>
      </c>
      <c r="E1411" s="11" t="s">
        <v>109</v>
      </c>
      <c r="F1411" s="9" t="n">
        <v>17</v>
      </c>
      <c r="G1411" s="11" t="s">
        <v>110</v>
      </c>
      <c r="H1411" s="9" t="n">
        <v>1110101</v>
      </c>
      <c r="I1411" s="11" t="s">
        <v>111</v>
      </c>
      <c r="J1411" s="9" t="n">
        <v>1540637</v>
      </c>
      <c r="L1411" s="9" t="n">
        <v>1540637</v>
      </c>
      <c r="M1411" s="11" t="s">
        <v>52</v>
      </c>
      <c r="N1411" s="11" t="s">
        <v>112</v>
      </c>
      <c r="P1411" s="9" t="n">
        <v>113</v>
      </c>
      <c r="Q1411" s="11" t="s">
        <v>46</v>
      </c>
      <c r="R1411" s="11" t="s">
        <v>71</v>
      </c>
      <c r="S1411" s="9" t="n">
        <v>4210314</v>
      </c>
      <c r="T1411" s="11" t="s">
        <v>113</v>
      </c>
      <c r="U1411" s="12" t="n">
        <v>70</v>
      </c>
      <c r="W1411" s="12" t="n">
        <v>70</v>
      </c>
      <c r="X1411" s="11" t="s">
        <v>368</v>
      </c>
      <c r="Z1411" s="0" t="str">
        <f aca="false">IF($T1411="","",IFERROR(INDEX('Resumo Grupos'!$AC$3:$AC$200,MATCH($T1411,'Resumo Grupos'!$AB$3:$AB$200,0)),"n/d"))</f>
        <v>Despesa</v>
      </c>
      <c r="AA1411" s="0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9" t="n">
        <v>2</v>
      </c>
      <c r="B1412" s="10" t="n">
        <v>46246</v>
      </c>
      <c r="C1412" s="10" t="n">
        <v>46246</v>
      </c>
      <c r="D1412" s="9" t="n">
        <v>0</v>
      </c>
      <c r="E1412" s="11" t="s">
        <v>109</v>
      </c>
      <c r="F1412" s="9" t="n">
        <v>17</v>
      </c>
      <c r="G1412" s="11" t="s">
        <v>110</v>
      </c>
      <c r="H1412" s="9" t="n">
        <v>1110101</v>
      </c>
      <c r="I1412" s="11" t="s">
        <v>111</v>
      </c>
      <c r="J1412" s="9" t="n">
        <v>1545529</v>
      </c>
      <c r="L1412" s="9" t="n">
        <v>1545529</v>
      </c>
      <c r="M1412" s="11" t="s">
        <v>52</v>
      </c>
      <c r="N1412" s="11" t="s">
        <v>112</v>
      </c>
      <c r="P1412" s="9" t="n">
        <v>113</v>
      </c>
      <c r="Q1412" s="11" t="s">
        <v>46</v>
      </c>
      <c r="R1412" s="11" t="s">
        <v>56</v>
      </c>
      <c r="S1412" s="9" t="n">
        <v>2110405</v>
      </c>
      <c r="T1412" s="11" t="s">
        <v>56</v>
      </c>
      <c r="U1412" s="12" t="n">
        <v>140</v>
      </c>
      <c r="W1412" s="12" t="n">
        <v>140</v>
      </c>
      <c r="X1412" s="11" t="s">
        <v>1294</v>
      </c>
      <c r="Z1412" s="0" t="str">
        <f aca="false">IF($T1412="","",IFERROR(INDEX('Resumo Grupos'!$AC$3:$AC$200,MATCH($T1412,'Resumo Grupos'!$AB$3:$AB$200,0)),"n/d"))</f>
        <v>Cobertura de conta</v>
      </c>
      <c r="AA1412" s="0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9" t="n">
        <v>2</v>
      </c>
      <c r="B1413" s="10" t="n">
        <v>46246</v>
      </c>
      <c r="C1413" s="10" t="n">
        <v>46246</v>
      </c>
      <c r="D1413" s="9" t="n">
        <v>0</v>
      </c>
      <c r="E1413" s="11" t="s">
        <v>109</v>
      </c>
      <c r="F1413" s="9" t="n">
        <v>17</v>
      </c>
      <c r="G1413" s="11" t="s">
        <v>110</v>
      </c>
      <c r="H1413" s="9" t="n">
        <v>1110101</v>
      </c>
      <c r="I1413" s="11" t="s">
        <v>111</v>
      </c>
      <c r="J1413" s="9" t="n">
        <v>1716379</v>
      </c>
      <c r="L1413" s="9" t="n">
        <v>1716379</v>
      </c>
      <c r="M1413" s="11" t="s">
        <v>52</v>
      </c>
      <c r="N1413" s="11" t="s">
        <v>112</v>
      </c>
      <c r="P1413" s="9" t="n">
        <v>113</v>
      </c>
      <c r="Q1413" s="11" t="s">
        <v>46</v>
      </c>
      <c r="R1413" s="11" t="s">
        <v>116</v>
      </c>
      <c r="S1413" s="9" t="n">
        <v>1110203</v>
      </c>
      <c r="T1413" s="11" t="s">
        <v>117</v>
      </c>
      <c r="U1413" s="12" t="n">
        <v>2350</v>
      </c>
      <c r="W1413" s="12" t="n">
        <v>2350</v>
      </c>
      <c r="X1413" s="11" t="s">
        <v>1295</v>
      </c>
      <c r="Z1413" s="0" t="str">
        <f aca="false">IF($T1413="","",IFERROR(INDEX('Resumo Grupos'!$AC$3:$AC$200,MATCH($T1413,'Resumo Grupos'!$AB$3:$AB$200,0)),"n/d"))</f>
        <v>Despesa</v>
      </c>
      <c r="AA1413" s="0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9" t="n">
        <v>2</v>
      </c>
      <c r="B1414" s="10" t="n">
        <v>46233</v>
      </c>
      <c r="C1414" s="10" t="n">
        <v>46246</v>
      </c>
      <c r="D1414" s="9" t="n">
        <v>1734</v>
      </c>
      <c r="E1414" s="11" t="s">
        <v>566</v>
      </c>
      <c r="F1414" s="9" t="n">
        <v>24</v>
      </c>
      <c r="G1414" s="11" t="s">
        <v>51</v>
      </c>
      <c r="H1414" s="9" t="n">
        <v>2110405</v>
      </c>
      <c r="I1414" s="11" t="s">
        <v>56</v>
      </c>
      <c r="J1414" s="9" t="n">
        <v>1473551</v>
      </c>
      <c r="L1414" s="9" t="n">
        <v>199710</v>
      </c>
      <c r="M1414" s="11" t="s">
        <v>52</v>
      </c>
      <c r="N1414" s="11" t="s">
        <v>45</v>
      </c>
      <c r="P1414" s="9" t="n">
        <v>113</v>
      </c>
      <c r="Q1414" s="11" t="s">
        <v>46</v>
      </c>
      <c r="R1414" s="11" t="s">
        <v>47</v>
      </c>
      <c r="S1414" s="9" t="n">
        <v>1130101</v>
      </c>
      <c r="T1414" s="11" t="s">
        <v>48</v>
      </c>
      <c r="U1414" s="12" t="n">
        <v>894.16</v>
      </c>
      <c r="W1414" s="12" t="n">
        <v>894.16</v>
      </c>
      <c r="X1414" s="11" t="s">
        <v>1296</v>
      </c>
      <c r="Z1414" s="0" t="str">
        <f aca="false">IF($T1414="","",IFERROR(INDEX('Resumo Grupos'!$AC$3:$AC$200,MATCH($T1414,'Resumo Grupos'!$AB$3:$AB$200,0)),"n/d"))</f>
        <v>Mercadoria</v>
      </c>
      <c r="AA1414" s="0" t="str">
        <f aca="false">IF($T1414="","",IF(COUNTIF('Resumo Grupos'!$AE$3:$AE$40,$T1414)&gt;0,"NAO","SIM"))</f>
        <v>SIM</v>
      </c>
      <c r="AB1414" s="0" t="str">
        <f aca="false">IFERROR(INDEX('Mov Entradas (Rel 10497)'!$L:$L,MATCH(AC1414,'Mov Entradas (Rel 10497)'!$I:$I,0)),"nao encontrado")</f>
        <v>SORVETE 2 LTS CHOCOL</v>
      </c>
      <c r="AC1414" s="0" t="n">
        <v>256582</v>
      </c>
    </row>
    <row r="1415" customFormat="false" ht="45.75" hidden="false" customHeight="true" outlineLevel="0" collapsed="false">
      <c r="A1415" s="9" t="n">
        <v>2</v>
      </c>
      <c r="B1415" s="10" t="n">
        <v>46241</v>
      </c>
      <c r="C1415" s="10" t="n">
        <v>46247</v>
      </c>
      <c r="D1415" s="9" t="n">
        <v>10018</v>
      </c>
      <c r="E1415" s="11" t="s">
        <v>216</v>
      </c>
      <c r="F1415" s="9" t="n">
        <v>34</v>
      </c>
      <c r="G1415" s="11" t="s">
        <v>55</v>
      </c>
      <c r="H1415" s="9" t="n">
        <v>2110405</v>
      </c>
      <c r="I1415" s="11" t="s">
        <v>56</v>
      </c>
      <c r="J1415" s="9" t="n">
        <v>1513590</v>
      </c>
      <c r="L1415" s="9" t="n">
        <v>205797</v>
      </c>
      <c r="M1415" s="11" t="s">
        <v>52</v>
      </c>
      <c r="N1415" s="11" t="s">
        <v>45</v>
      </c>
      <c r="P1415" s="9" t="n">
        <v>113</v>
      </c>
      <c r="Q1415" s="11" t="s">
        <v>46</v>
      </c>
      <c r="R1415" s="11" t="s">
        <v>47</v>
      </c>
      <c r="S1415" s="9" t="n">
        <v>1130101</v>
      </c>
      <c r="T1415" s="11" t="s">
        <v>48</v>
      </c>
      <c r="U1415" s="12" t="n">
        <v>899.5</v>
      </c>
      <c r="W1415" s="12" t="n">
        <v>899.5</v>
      </c>
      <c r="X1415" s="11" t="s">
        <v>1297</v>
      </c>
      <c r="Z1415" s="0" t="str">
        <f aca="false">IF($T1415="","",IFERROR(INDEX('Resumo Grupos'!$AC$3:$AC$200,MATCH($T1415,'Resumo Grupos'!$AB$3:$AB$200,0)),"n/d"))</f>
        <v>Mercadoria</v>
      </c>
      <c r="AA1415" s="0" t="str">
        <f aca="false">IF($T1415="","",IF(COUNTIF('Resumo Grupos'!$AE$3:$AE$40,$T1415)&gt;0,"NAO","SIM"))</f>
        <v>SIM</v>
      </c>
      <c r="AB1415" s="0" t="str">
        <f aca="false">IFERROR(INDEX('Mov Entradas (Rel 10497)'!$L:$L,MATCH(AC1415,'Mov Entradas (Rel 10497)'!$I:$I,0)),"nao encontrado")</f>
        <v>OVOS BRANCO UNID</v>
      </c>
      <c r="AC1415" s="0" t="n">
        <v>355</v>
      </c>
    </row>
    <row r="1416" customFormat="false" ht="45.75" hidden="false" customHeight="true" outlineLevel="0" collapsed="false">
      <c r="A1416" s="9" t="n">
        <v>2</v>
      </c>
      <c r="B1416" s="10" t="n">
        <v>46247</v>
      </c>
      <c r="C1416" s="10" t="n">
        <v>46247</v>
      </c>
      <c r="D1416" s="9" t="n">
        <v>52</v>
      </c>
      <c r="E1416" s="11" t="s">
        <v>219</v>
      </c>
      <c r="F1416" s="9" t="n">
        <v>34</v>
      </c>
      <c r="G1416" s="11" t="s">
        <v>55</v>
      </c>
      <c r="H1416" s="9" t="n">
        <v>2110405</v>
      </c>
      <c r="I1416" s="11" t="s">
        <v>56</v>
      </c>
      <c r="J1416" s="9" t="n">
        <v>1567061</v>
      </c>
      <c r="L1416" s="9" t="n">
        <v>213957</v>
      </c>
      <c r="M1416" s="11" t="s">
        <v>52</v>
      </c>
      <c r="N1416" s="11" t="s">
        <v>45</v>
      </c>
      <c r="P1416" s="9" t="n">
        <v>113</v>
      </c>
      <c r="Q1416" s="11" t="s">
        <v>46</v>
      </c>
      <c r="R1416" s="11" t="s">
        <v>71</v>
      </c>
      <c r="S1416" s="9" t="n">
        <v>4210301</v>
      </c>
      <c r="T1416" s="11" t="s">
        <v>220</v>
      </c>
      <c r="U1416" s="12" t="n">
        <v>200</v>
      </c>
      <c r="W1416" s="12" t="n">
        <v>200</v>
      </c>
      <c r="X1416" s="11" t="s">
        <v>1298</v>
      </c>
      <c r="Z1416" s="0" t="str">
        <f aca="false">IF($T1416="","",IFERROR(INDEX('Resumo Grupos'!$AC$3:$AC$200,MATCH($T1416,'Resumo Grupos'!$AB$3:$AB$200,0)),"n/d"))</f>
        <v>Salários</v>
      </c>
      <c r="AA1416" s="0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9" t="n">
        <v>2</v>
      </c>
      <c r="B1417" s="10" t="n">
        <v>46233</v>
      </c>
      <c r="C1417" s="10" t="n">
        <v>46247</v>
      </c>
      <c r="D1417" s="9" t="n">
        <v>10002</v>
      </c>
      <c r="E1417" s="11" t="s">
        <v>197</v>
      </c>
      <c r="F1417" s="9" t="n">
        <v>24</v>
      </c>
      <c r="G1417" s="11" t="s">
        <v>51</v>
      </c>
      <c r="H1417" s="9" t="n">
        <v>2110405</v>
      </c>
      <c r="I1417" s="11" t="s">
        <v>56</v>
      </c>
      <c r="J1417" s="9" t="n">
        <v>1472951</v>
      </c>
      <c r="L1417" s="9" t="n">
        <v>199581</v>
      </c>
      <c r="M1417" s="11" t="s">
        <v>52</v>
      </c>
      <c r="N1417" s="11" t="s">
        <v>45</v>
      </c>
      <c r="P1417" s="9" t="n">
        <v>113</v>
      </c>
      <c r="Q1417" s="11" t="s">
        <v>46</v>
      </c>
      <c r="R1417" s="11" t="s">
        <v>47</v>
      </c>
      <c r="S1417" s="9" t="n">
        <v>1130101</v>
      </c>
      <c r="T1417" s="11" t="s">
        <v>48</v>
      </c>
      <c r="U1417" s="12" t="n">
        <v>830.88</v>
      </c>
      <c r="W1417" s="12" t="n">
        <v>830.88</v>
      </c>
      <c r="X1417" s="11" t="s">
        <v>1299</v>
      </c>
      <c r="Z1417" s="0" t="str">
        <f aca="false">IF($T1417="","",IFERROR(INDEX('Resumo Grupos'!$AC$3:$AC$200,MATCH($T1417,'Resumo Grupos'!$AB$3:$AB$200,0)),"n/d"))</f>
        <v>Mercadoria</v>
      </c>
      <c r="AA1417" s="0" t="str">
        <f aca="false">IF($T1417="","",IF(COUNTIF('Resumo Grupos'!$AE$3:$AE$40,$T1417)&gt;0,"NAO","SIM"))</f>
        <v>SIM</v>
      </c>
      <c r="AB1417" s="0" t="str">
        <f aca="false">IFERROR(INDEX('Mov Entradas (Rel 10497)'!$L:$L,MATCH(AC1417,'Mov Entradas (Rel 10497)'!$I:$I,0)),"nao encontrado")</f>
        <v>POLPA MANGA BRASFRUT</v>
      </c>
      <c r="AC1417" s="0" t="n">
        <v>197070</v>
      </c>
    </row>
    <row r="1418" customFormat="false" ht="12.75" hidden="false" customHeight="true" outlineLevel="0" collapsed="false">
      <c r="A1418" s="9" t="n">
        <v>2</v>
      </c>
      <c r="B1418" s="10" t="n">
        <v>46219</v>
      </c>
      <c r="C1418" s="10" t="n">
        <v>46247</v>
      </c>
      <c r="D1418" s="9" t="n">
        <v>1718</v>
      </c>
      <c r="E1418" s="11" t="s">
        <v>236</v>
      </c>
      <c r="F1418" s="9" t="n">
        <v>24</v>
      </c>
      <c r="G1418" s="11" t="s">
        <v>51</v>
      </c>
      <c r="H1418" s="9" t="n">
        <v>2110405</v>
      </c>
      <c r="I1418" s="11" t="s">
        <v>56</v>
      </c>
      <c r="J1418" s="9" t="n">
        <v>1407330</v>
      </c>
      <c r="L1418" s="9" t="n">
        <v>189607</v>
      </c>
      <c r="M1418" s="11" t="s">
        <v>52</v>
      </c>
      <c r="N1418" s="11" t="s">
        <v>45</v>
      </c>
      <c r="P1418" s="9" t="n">
        <v>113</v>
      </c>
      <c r="Q1418" s="11" t="s">
        <v>46</v>
      </c>
      <c r="R1418" s="11" t="s">
        <v>47</v>
      </c>
      <c r="S1418" s="9" t="n">
        <v>1130101</v>
      </c>
      <c r="T1418" s="11" t="s">
        <v>48</v>
      </c>
      <c r="U1418" s="12" t="n">
        <v>580.9</v>
      </c>
      <c r="W1418" s="12" t="n">
        <v>580.9</v>
      </c>
      <c r="X1418" s="11" t="s">
        <v>1088</v>
      </c>
      <c r="Z1418" s="0" t="str">
        <f aca="false">IF($T1418="","",IFERROR(INDEX('Resumo Grupos'!$AC$3:$AC$200,MATCH($T1418,'Resumo Grupos'!$AB$3:$AB$200,0)),"n/d"))</f>
        <v>Mercadoria</v>
      </c>
      <c r="AA1418" s="0" t="str">
        <f aca="false">IF($T1418="","",IF(COUNTIF('Resumo Grupos'!$AE$3:$AE$40,$T1418)&gt;0,"NAO","SIM"))</f>
        <v>SIM</v>
      </c>
      <c r="AB1418" s="0" t="str">
        <f aca="false">IFERROR(INDEX('Mov Entradas (Rel 10497)'!$L:$L,MATCH(AC1418,'Mov Entradas (Rel 10497)'!$I:$I,0)),"nao encontrado")</f>
        <v>TRIDENT MORANGO</v>
      </c>
      <c r="AC1418" s="0" t="n">
        <v>682520</v>
      </c>
    </row>
    <row r="1419" customFormat="false" ht="12.75" hidden="false" customHeight="true" outlineLevel="0" collapsed="false">
      <c r="A1419" s="9" t="n">
        <v>2</v>
      </c>
      <c r="B1419" s="10" t="n">
        <v>46226</v>
      </c>
      <c r="C1419" s="10" t="n">
        <v>46247</v>
      </c>
      <c r="D1419" s="9" t="n">
        <v>1616</v>
      </c>
      <c r="E1419" s="11" t="s">
        <v>64</v>
      </c>
      <c r="F1419" s="9" t="n">
        <v>24</v>
      </c>
      <c r="G1419" s="11" t="s">
        <v>51</v>
      </c>
      <c r="H1419" s="9" t="n">
        <v>2110405</v>
      </c>
      <c r="I1419" s="11" t="s">
        <v>56</v>
      </c>
      <c r="J1419" s="9" t="n">
        <v>1440011</v>
      </c>
      <c r="L1419" s="9" t="n">
        <v>194711</v>
      </c>
      <c r="M1419" s="11" t="s">
        <v>52</v>
      </c>
      <c r="N1419" s="11" t="s">
        <v>45</v>
      </c>
      <c r="P1419" s="9" t="n">
        <v>113</v>
      </c>
      <c r="Q1419" s="11" t="s">
        <v>46</v>
      </c>
      <c r="R1419" s="11" t="s">
        <v>47</v>
      </c>
      <c r="S1419" s="9" t="n">
        <v>1130101</v>
      </c>
      <c r="T1419" s="11" t="s">
        <v>48</v>
      </c>
      <c r="U1419" s="12" t="n">
        <v>727.23</v>
      </c>
      <c r="W1419" s="12" t="n">
        <v>727.23</v>
      </c>
      <c r="X1419" s="11" t="s">
        <v>1300</v>
      </c>
      <c r="Z1419" s="0" t="str">
        <f aca="false">IF($T1419="","",IFERROR(INDEX('Resumo Grupos'!$AC$3:$AC$200,MATCH($T1419,'Resumo Grupos'!$AB$3:$AB$200,0)),"n/d"))</f>
        <v>Mercadoria</v>
      </c>
      <c r="AA1419" s="0" t="str">
        <f aca="false">IF($T1419="","",IF(COUNTIF('Resumo Grupos'!$AE$3:$AE$40,$T1419)&gt;0,"NAO","SIM"))</f>
        <v>SIM</v>
      </c>
      <c r="AB1419" s="0" t="str">
        <f aca="false">IFERROR(INDEX('Mov Entradas (Rel 10497)'!$L:$L,MATCH(AC1419,'Mov Entradas (Rel 10497)'!$I:$I,0)),"nao encontrado")</f>
        <v>DESINF PINHO BRIL 1L</v>
      </c>
      <c r="AC1419" s="0" t="n">
        <v>651350</v>
      </c>
    </row>
    <row r="1420" customFormat="false" ht="12.75" hidden="false" customHeight="true" outlineLevel="0" collapsed="false">
      <c r="A1420" s="9" t="n">
        <v>2</v>
      </c>
      <c r="B1420" s="10" t="n">
        <v>46247</v>
      </c>
      <c r="C1420" s="10" t="n">
        <v>46247</v>
      </c>
      <c r="D1420" s="9" t="n">
        <v>23</v>
      </c>
      <c r="E1420" s="11" t="s">
        <v>243</v>
      </c>
      <c r="F1420" s="9" t="n">
        <v>34</v>
      </c>
      <c r="G1420" s="11" t="s">
        <v>55</v>
      </c>
      <c r="H1420" s="9" t="n">
        <v>2110405</v>
      </c>
      <c r="I1420" s="11" t="s">
        <v>56</v>
      </c>
      <c r="J1420" s="9" t="n">
        <v>1567076</v>
      </c>
      <c r="L1420" s="9" t="n">
        <v>213966</v>
      </c>
      <c r="M1420" s="11" t="s">
        <v>52</v>
      </c>
      <c r="N1420" s="11" t="s">
        <v>45</v>
      </c>
      <c r="P1420" s="9" t="n">
        <v>113</v>
      </c>
      <c r="Q1420" s="11" t="s">
        <v>46</v>
      </c>
      <c r="R1420" s="11" t="s">
        <v>71</v>
      </c>
      <c r="S1420" s="9" t="n">
        <v>4210301</v>
      </c>
      <c r="T1420" s="11" t="s">
        <v>220</v>
      </c>
      <c r="U1420" s="12" t="n">
        <v>400</v>
      </c>
      <c r="W1420" s="12" t="n">
        <v>400</v>
      </c>
      <c r="X1420" s="11" t="s">
        <v>1298</v>
      </c>
      <c r="Z1420" s="0" t="str">
        <f aca="false">IF($T1420="","",IFERROR(INDEX('Resumo Grupos'!$AC$3:$AC$200,MATCH($T1420,'Resumo Grupos'!$AB$3:$AB$200,0)),"n/d"))</f>
        <v>Salários</v>
      </c>
      <c r="AA1420" s="0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9" t="n">
        <v>2</v>
      </c>
      <c r="B1421" s="10" t="n">
        <v>46247</v>
      </c>
      <c r="C1421" s="10" t="n">
        <v>46247</v>
      </c>
      <c r="D1421" s="9" t="n">
        <v>73</v>
      </c>
      <c r="E1421" s="11" t="s">
        <v>70</v>
      </c>
      <c r="F1421" s="9" t="n">
        <v>34</v>
      </c>
      <c r="G1421" s="11" t="s">
        <v>55</v>
      </c>
      <c r="H1421" s="9" t="n">
        <v>2110405</v>
      </c>
      <c r="I1421" s="11" t="s">
        <v>56</v>
      </c>
      <c r="J1421" s="9" t="n">
        <v>1567058</v>
      </c>
      <c r="L1421" s="9" t="n">
        <v>213954</v>
      </c>
      <c r="M1421" s="11" t="s">
        <v>52</v>
      </c>
      <c r="N1421" s="11" t="s">
        <v>45</v>
      </c>
      <c r="P1421" s="9" t="n">
        <v>113</v>
      </c>
      <c r="Q1421" s="11" t="s">
        <v>46</v>
      </c>
      <c r="R1421" s="11" t="s">
        <v>71</v>
      </c>
      <c r="S1421" s="9" t="n">
        <v>4210301</v>
      </c>
      <c r="T1421" s="11" t="s">
        <v>220</v>
      </c>
      <c r="U1421" s="12" t="n">
        <v>400</v>
      </c>
      <c r="W1421" s="12" t="n">
        <v>400</v>
      </c>
      <c r="X1421" s="11" t="s">
        <v>1298</v>
      </c>
      <c r="Z1421" s="0" t="str">
        <f aca="false">IF($T1421="","",IFERROR(INDEX('Resumo Grupos'!$AC$3:$AC$200,MATCH($T1421,'Resumo Grupos'!$AB$3:$AB$200,0)),"n/d"))</f>
        <v>Salários</v>
      </c>
      <c r="AA1421" s="0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9" t="n">
        <v>2</v>
      </c>
      <c r="B1422" s="10" t="n">
        <v>46247</v>
      </c>
      <c r="C1422" s="10" t="n">
        <v>46247</v>
      </c>
      <c r="D1422" s="9" t="n">
        <v>10096</v>
      </c>
      <c r="E1422" s="11" t="s">
        <v>622</v>
      </c>
      <c r="F1422" s="9" t="n">
        <v>13</v>
      </c>
      <c r="G1422" s="11" t="s">
        <v>135</v>
      </c>
      <c r="H1422" s="9" t="n">
        <v>2110405</v>
      </c>
      <c r="I1422" s="11" t="s">
        <v>56</v>
      </c>
      <c r="J1422" s="9" t="n">
        <v>1545514</v>
      </c>
      <c r="L1422" s="9" t="n">
        <v>210995</v>
      </c>
      <c r="M1422" s="11" t="s">
        <v>52</v>
      </c>
      <c r="N1422" s="11" t="s">
        <v>45</v>
      </c>
      <c r="P1422" s="9" t="n">
        <v>113</v>
      </c>
      <c r="Q1422" s="11" t="s">
        <v>46</v>
      </c>
      <c r="R1422" s="11" t="s">
        <v>47</v>
      </c>
      <c r="S1422" s="9" t="n">
        <v>1130101</v>
      </c>
      <c r="T1422" s="11" t="s">
        <v>48</v>
      </c>
      <c r="U1422" s="12" t="n">
        <v>120</v>
      </c>
      <c r="W1422" s="12" t="n">
        <v>120</v>
      </c>
      <c r="X1422" s="11" t="s">
        <v>1301</v>
      </c>
      <c r="Z1422" s="0" t="str">
        <f aca="false">IF($T1422="","",IFERROR(INDEX('Resumo Grupos'!$AC$3:$AC$200,MATCH($T1422,'Resumo Grupos'!$AB$3:$AB$200,0)),"n/d"))</f>
        <v>Mercadoria</v>
      </c>
      <c r="AA1422" s="0" t="str">
        <f aca="false">IF($T1422="","",IF(COUNTIF('Resumo Grupos'!$AE$3:$AE$40,$T1422)&gt;0,"NAO","SIM"))</f>
        <v>SIM</v>
      </c>
      <c r="AB1422" s="0" t="str">
        <f aca="false">IFERROR(INDEX('Mov Entradas (Rel 10497)'!$L:$L,MATCH(AC1422,'Mov Entradas (Rel 10497)'!$I:$I,0)),"nao encontrado")</f>
        <v>BOLO MIYAZAKI GRANDE</v>
      </c>
      <c r="AC1422" s="0" t="n">
        <v>158</v>
      </c>
    </row>
    <row r="1423" customFormat="false" ht="12.75" hidden="false" customHeight="true" outlineLevel="0" collapsed="false">
      <c r="A1423" s="9" t="n">
        <v>2</v>
      </c>
      <c r="B1423" s="10" t="n">
        <v>46240</v>
      </c>
      <c r="C1423" s="10" t="n">
        <v>46247</v>
      </c>
      <c r="D1423" s="9" t="n">
        <v>1815</v>
      </c>
      <c r="E1423" s="11" t="s">
        <v>172</v>
      </c>
      <c r="F1423" s="9" t="n">
        <v>24</v>
      </c>
      <c r="G1423" s="11" t="s">
        <v>51</v>
      </c>
      <c r="H1423" s="9" t="n">
        <v>2110405</v>
      </c>
      <c r="I1423" s="11" t="s">
        <v>56</v>
      </c>
      <c r="J1423" s="9" t="n">
        <v>1508957</v>
      </c>
      <c r="L1423" s="9" t="n">
        <v>205090</v>
      </c>
      <c r="M1423" s="11" t="s">
        <v>52</v>
      </c>
      <c r="N1423" s="11" t="s">
        <v>45</v>
      </c>
      <c r="P1423" s="9" t="n">
        <v>113</v>
      </c>
      <c r="Q1423" s="11" t="s">
        <v>46</v>
      </c>
      <c r="R1423" s="11" t="s">
        <v>47</v>
      </c>
      <c r="S1423" s="9" t="n">
        <v>1130101</v>
      </c>
      <c r="T1423" s="11" t="s">
        <v>48</v>
      </c>
      <c r="U1423" s="12" t="n">
        <v>628.2</v>
      </c>
      <c r="W1423" s="12" t="n">
        <v>628.2</v>
      </c>
      <c r="X1423" s="11" t="s">
        <v>1302</v>
      </c>
      <c r="Z1423" s="0" t="str">
        <f aca="false">IF($T1423="","",IFERROR(INDEX('Resumo Grupos'!$AC$3:$AC$200,MATCH($T1423,'Resumo Grupos'!$AB$3:$AB$200,0)),"n/d"))</f>
        <v>Mercadoria</v>
      </c>
      <c r="AA1423" s="0" t="str">
        <f aca="false">IF($T1423="","",IF(COUNTIF('Resumo Grupos'!$AE$3:$AE$40,$T1423)&gt;0,"NAO","SIM"))</f>
        <v>SIM</v>
      </c>
      <c r="AB1423" s="0" t="str">
        <f aca="false">IFERROR(INDEX('Mov Entradas (Rel 10497)'!$L:$L,MATCH(AC1423,'Mov Entradas (Rel 10497)'!$I:$I,0)),"nao encontrado")</f>
        <v>COXÃO DURO KG</v>
      </c>
      <c r="AC1423" s="0" t="n">
        <v>396443</v>
      </c>
    </row>
    <row r="1424" customFormat="false" ht="12.75" hidden="false" customHeight="true" outlineLevel="0" collapsed="false">
      <c r="A1424" s="9" t="n">
        <v>2</v>
      </c>
      <c r="B1424" s="10" t="n">
        <v>46247</v>
      </c>
      <c r="C1424" s="10" t="n">
        <v>46247</v>
      </c>
      <c r="D1424" s="9" t="n">
        <v>1979</v>
      </c>
      <c r="E1424" s="11" t="s">
        <v>250</v>
      </c>
      <c r="F1424" s="9" t="n">
        <v>34</v>
      </c>
      <c r="G1424" s="11" t="s">
        <v>55</v>
      </c>
      <c r="H1424" s="9" t="n">
        <v>2110405</v>
      </c>
      <c r="I1424" s="11" t="s">
        <v>56</v>
      </c>
      <c r="J1424" s="9" t="n">
        <v>1567072</v>
      </c>
      <c r="L1424" s="9" t="n">
        <v>213964</v>
      </c>
      <c r="M1424" s="11" t="s">
        <v>52</v>
      </c>
      <c r="N1424" s="11" t="s">
        <v>45</v>
      </c>
      <c r="P1424" s="9" t="n">
        <v>113</v>
      </c>
      <c r="Q1424" s="11" t="s">
        <v>46</v>
      </c>
      <c r="R1424" s="11" t="s">
        <v>71</v>
      </c>
      <c r="S1424" s="9" t="n">
        <v>4210301</v>
      </c>
      <c r="T1424" s="11" t="s">
        <v>220</v>
      </c>
      <c r="U1424" s="12" t="n">
        <v>400</v>
      </c>
      <c r="W1424" s="12" t="n">
        <v>400</v>
      </c>
      <c r="X1424" s="11" t="s">
        <v>1298</v>
      </c>
      <c r="Z1424" s="0" t="str">
        <f aca="false">IF($T1424="","",IFERROR(INDEX('Resumo Grupos'!$AC$3:$AC$200,MATCH($T1424,'Resumo Grupos'!$AB$3:$AB$200,0)),"n/d"))</f>
        <v>Salários</v>
      </c>
      <c r="AA1424" s="0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9" t="n">
        <v>2</v>
      </c>
      <c r="B1425" s="10" t="n">
        <v>46241</v>
      </c>
      <c r="C1425" s="10" t="n">
        <v>46247</v>
      </c>
      <c r="D1425" s="9" t="n">
        <v>1625</v>
      </c>
      <c r="E1425" s="11" t="s">
        <v>270</v>
      </c>
      <c r="F1425" s="9" t="n">
        <v>24</v>
      </c>
      <c r="G1425" s="11" t="s">
        <v>51</v>
      </c>
      <c r="H1425" s="9" t="n">
        <v>2110405</v>
      </c>
      <c r="I1425" s="11" t="s">
        <v>56</v>
      </c>
      <c r="J1425" s="9" t="n">
        <v>1514144</v>
      </c>
      <c r="L1425" s="9" t="n">
        <v>205962</v>
      </c>
      <c r="M1425" s="11" t="s">
        <v>52</v>
      </c>
      <c r="N1425" s="11" t="s">
        <v>45</v>
      </c>
      <c r="P1425" s="9" t="n">
        <v>113</v>
      </c>
      <c r="Q1425" s="11" t="s">
        <v>46</v>
      </c>
      <c r="R1425" s="11" t="s">
        <v>47</v>
      </c>
      <c r="S1425" s="9" t="n">
        <v>1130101</v>
      </c>
      <c r="T1425" s="11" t="s">
        <v>48</v>
      </c>
      <c r="U1425" s="12" t="n">
        <v>4131.7</v>
      </c>
      <c r="W1425" s="12" t="n">
        <v>4131.7</v>
      </c>
      <c r="X1425" s="11" t="s">
        <v>1303</v>
      </c>
      <c r="Z1425" s="0" t="str">
        <f aca="false">IF($T1425="","",IFERROR(INDEX('Resumo Grupos'!$AC$3:$AC$200,MATCH($T1425,'Resumo Grupos'!$AB$3:$AB$200,0)),"n/d"))</f>
        <v>Mercadoria</v>
      </c>
      <c r="AA1425" s="0" t="str">
        <f aca="false">IF($T1425="","",IF(COUNTIF('Resumo Grupos'!$AE$3:$AE$40,$T1425)&gt;0,"NAO","SIM"))</f>
        <v>SIM</v>
      </c>
      <c r="AB1425" s="0" t="str">
        <f aca="false">IFERROR(INDEX('Mov Entradas (Rel 10497)'!$L:$L,MATCH(AC1425,'Mov Entradas (Rel 10497)'!$I:$I,0)),"nao encontrado")</f>
        <v>TRASEIRO DE BOI L1</v>
      </c>
      <c r="AC1425" s="0" t="n">
        <v>14956</v>
      </c>
    </row>
    <row r="1426" customFormat="false" ht="12.75" hidden="false" customHeight="true" outlineLevel="0" collapsed="false">
      <c r="A1426" s="9" t="n">
        <v>2</v>
      </c>
      <c r="B1426" s="10" t="n">
        <v>46241</v>
      </c>
      <c r="C1426" s="10" t="n">
        <v>46247</v>
      </c>
      <c r="D1426" s="9" t="n">
        <v>48</v>
      </c>
      <c r="E1426" s="11" t="s">
        <v>153</v>
      </c>
      <c r="F1426" s="9" t="n">
        <v>34</v>
      </c>
      <c r="G1426" s="11" t="s">
        <v>55</v>
      </c>
      <c r="H1426" s="9" t="n">
        <v>2110101</v>
      </c>
      <c r="I1426" s="11" t="s">
        <v>43</v>
      </c>
      <c r="J1426" s="9" t="n">
        <v>1514010</v>
      </c>
      <c r="L1426" s="9" t="n">
        <v>2591</v>
      </c>
      <c r="M1426" s="11" t="s">
        <v>52</v>
      </c>
      <c r="N1426" s="11" t="s">
        <v>37</v>
      </c>
      <c r="P1426" s="9" t="n">
        <v>113</v>
      </c>
      <c r="Q1426" s="11" t="s">
        <v>46</v>
      </c>
      <c r="R1426" s="11" t="s">
        <v>47</v>
      </c>
      <c r="S1426" s="9" t="n">
        <v>1130101</v>
      </c>
      <c r="T1426" s="11" t="s">
        <v>48</v>
      </c>
      <c r="U1426" s="12" t="n">
        <v>1900</v>
      </c>
      <c r="W1426" s="12" t="n">
        <v>1900</v>
      </c>
      <c r="X1426" s="11" t="s">
        <v>1304</v>
      </c>
      <c r="Z1426" s="0" t="str">
        <f aca="false">IF($T1426="","",IFERROR(INDEX('Resumo Grupos'!$AC$3:$AC$200,MATCH($T1426,'Resumo Grupos'!$AB$3:$AB$200,0)),"n/d"))</f>
        <v>Mercadoria</v>
      </c>
      <c r="AA1426" s="0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9" t="n">
        <v>2</v>
      </c>
      <c r="B1427" s="10" t="n">
        <v>46233</v>
      </c>
      <c r="C1427" s="10" t="n">
        <v>46247</v>
      </c>
      <c r="D1427" s="9" t="n">
        <v>1740</v>
      </c>
      <c r="E1427" s="11" t="s">
        <v>468</v>
      </c>
      <c r="F1427" s="9" t="n">
        <v>24</v>
      </c>
      <c r="G1427" s="11" t="s">
        <v>51</v>
      </c>
      <c r="H1427" s="9" t="n">
        <v>2110405</v>
      </c>
      <c r="I1427" s="11" t="s">
        <v>56</v>
      </c>
      <c r="J1427" s="9" t="n">
        <v>1473207</v>
      </c>
      <c r="L1427" s="9" t="n">
        <v>199630</v>
      </c>
      <c r="M1427" s="11" t="s">
        <v>52</v>
      </c>
      <c r="N1427" s="11" t="s">
        <v>45</v>
      </c>
      <c r="P1427" s="9" t="n">
        <v>113</v>
      </c>
      <c r="Q1427" s="11" t="s">
        <v>46</v>
      </c>
      <c r="R1427" s="11" t="s">
        <v>47</v>
      </c>
      <c r="S1427" s="9" t="n">
        <v>1130101</v>
      </c>
      <c r="T1427" s="11" t="s">
        <v>48</v>
      </c>
      <c r="U1427" s="12" t="n">
        <v>459.25</v>
      </c>
      <c r="W1427" s="12" t="n">
        <v>459.25</v>
      </c>
      <c r="X1427" s="11" t="s">
        <v>1305</v>
      </c>
      <c r="Z1427" s="0" t="str">
        <f aca="false">IF($T1427="","",IFERROR(INDEX('Resumo Grupos'!$AC$3:$AC$200,MATCH($T1427,'Resumo Grupos'!$AB$3:$AB$200,0)),"n/d"))</f>
        <v>Mercadoria</v>
      </c>
      <c r="AA1427" s="0" t="str">
        <f aca="false">IF($T1427="","",IF(COUNTIF('Resumo Grupos'!$AE$3:$AE$40,$T1427)&gt;0,"NAO","SIM"))</f>
        <v>SIM</v>
      </c>
      <c r="AB1427" s="0" t="str">
        <f aca="false">IFERROR(INDEX('Mov Entradas (Rel 10497)'!$L:$L,MATCH(AC1427,'Mov Entradas (Rel 10497)'!$I:$I,0)),"nao encontrado")</f>
        <v>IOG BI-CAMADA MGO CO</v>
      </c>
      <c r="AC1427" s="0" t="n">
        <v>1253268</v>
      </c>
    </row>
    <row r="1428" customFormat="false" ht="12.75" hidden="false" customHeight="true" outlineLevel="0" collapsed="false">
      <c r="A1428" s="9" t="n">
        <v>2</v>
      </c>
      <c r="B1428" s="10" t="n">
        <v>46240</v>
      </c>
      <c r="C1428" s="10" t="n">
        <v>46247</v>
      </c>
      <c r="D1428" s="9" t="n">
        <v>1024</v>
      </c>
      <c r="E1428" s="11" t="s">
        <v>471</v>
      </c>
      <c r="F1428" s="9" t="n">
        <v>24</v>
      </c>
      <c r="G1428" s="11" t="s">
        <v>51</v>
      </c>
      <c r="H1428" s="9" t="n">
        <v>2110405</v>
      </c>
      <c r="I1428" s="11" t="s">
        <v>56</v>
      </c>
      <c r="J1428" s="9" t="n">
        <v>1509762</v>
      </c>
      <c r="L1428" s="9" t="n">
        <v>205243</v>
      </c>
      <c r="M1428" s="11" t="s">
        <v>52</v>
      </c>
      <c r="N1428" s="11" t="s">
        <v>45</v>
      </c>
      <c r="P1428" s="9" t="n">
        <v>113</v>
      </c>
      <c r="Q1428" s="11" t="s">
        <v>46</v>
      </c>
      <c r="R1428" s="11" t="s">
        <v>47</v>
      </c>
      <c r="S1428" s="9" t="n">
        <v>1130101</v>
      </c>
      <c r="T1428" s="11" t="s">
        <v>48</v>
      </c>
      <c r="U1428" s="12" t="n">
        <v>485</v>
      </c>
      <c r="W1428" s="12" t="n">
        <v>485</v>
      </c>
      <c r="X1428" s="11" t="s">
        <v>1306</v>
      </c>
      <c r="Z1428" s="0" t="str">
        <f aca="false">IF($T1428="","",IFERROR(INDEX('Resumo Grupos'!$AC$3:$AC$200,MATCH($T1428,'Resumo Grupos'!$AB$3:$AB$200,0)),"n/d"))</f>
        <v>Mercadoria</v>
      </c>
      <c r="AA1428" s="0" t="str">
        <f aca="false">IF($T1428="","",IF(COUNTIF('Resumo Grupos'!$AE$3:$AE$40,$T1428)&gt;0,"NAO","SIM"))</f>
        <v>SIM</v>
      </c>
      <c r="AB1428" s="0" t="str">
        <f aca="false">IFERROR(INDEX('Mov Entradas (Rel 10497)'!$L:$L,MATCH(AC1428,'Mov Entradas (Rel 10497)'!$I:$I,0)),"nao encontrado")</f>
        <v>REAL GOLD 250ML PET</v>
      </c>
      <c r="AC1428" s="0" t="n">
        <v>616330</v>
      </c>
    </row>
    <row r="1429" customFormat="false" ht="12.75" hidden="false" customHeight="true" outlineLevel="0" collapsed="false">
      <c r="A1429" s="9" t="n">
        <v>2</v>
      </c>
      <c r="B1429" s="10" t="n">
        <v>46223</v>
      </c>
      <c r="C1429" s="10" t="n">
        <v>46247</v>
      </c>
      <c r="D1429" s="9" t="n">
        <v>1624</v>
      </c>
      <c r="E1429" s="11" t="s">
        <v>351</v>
      </c>
      <c r="F1429" s="9" t="n">
        <v>24</v>
      </c>
      <c r="G1429" s="11" t="s">
        <v>51</v>
      </c>
      <c r="H1429" s="9" t="n">
        <v>2110405</v>
      </c>
      <c r="I1429" s="11" t="s">
        <v>56</v>
      </c>
      <c r="J1429" s="9" t="n">
        <v>1423734</v>
      </c>
      <c r="L1429" s="9" t="n">
        <v>190893</v>
      </c>
      <c r="M1429" s="11" t="s">
        <v>52</v>
      </c>
      <c r="N1429" s="11" t="s">
        <v>45</v>
      </c>
      <c r="P1429" s="9" t="n">
        <v>113</v>
      </c>
      <c r="Q1429" s="11" t="s">
        <v>46</v>
      </c>
      <c r="R1429" s="11" t="s">
        <v>47</v>
      </c>
      <c r="S1429" s="9" t="n">
        <v>1130101</v>
      </c>
      <c r="T1429" s="11" t="s">
        <v>48</v>
      </c>
      <c r="U1429" s="12" t="n">
        <v>381</v>
      </c>
      <c r="W1429" s="12" t="n">
        <v>381</v>
      </c>
      <c r="X1429" s="11" t="s">
        <v>1205</v>
      </c>
      <c r="Z1429" s="0" t="str">
        <f aca="false">IF($T1429="","",IFERROR(INDEX('Resumo Grupos'!$AC$3:$AC$200,MATCH($T1429,'Resumo Grupos'!$AB$3:$AB$200,0)),"n/d"))</f>
        <v>Mercadoria</v>
      </c>
      <c r="AA1429" s="0" t="str">
        <f aca="false">IF($T1429="","",IF(COUNTIF('Resumo Grupos'!$AE$3:$AE$40,$T1429)&gt;0,"NAO","SIM"))</f>
        <v>SIM</v>
      </c>
      <c r="AB1429" s="0" t="str">
        <f aca="false">IFERROR(INDEX('Mov Entradas (Rel 10497)'!$L:$L,MATCH(AC1429,'Mov Entradas (Rel 10497)'!$I:$I,0)),"nao encontrado")</f>
        <v>AREIA HIG P GATO CARECAT PERFUMADO 4KG</v>
      </c>
      <c r="AC1429" s="0" t="n">
        <v>664184</v>
      </c>
    </row>
    <row r="1430" customFormat="false" ht="12.75" hidden="false" customHeight="true" outlineLevel="0" collapsed="false">
      <c r="A1430" s="9" t="n">
        <v>2</v>
      </c>
      <c r="B1430" s="10" t="n">
        <v>46247</v>
      </c>
      <c r="C1430" s="10" t="n">
        <v>46247</v>
      </c>
      <c r="D1430" s="9" t="n">
        <v>21</v>
      </c>
      <c r="E1430" s="11" t="s">
        <v>107</v>
      </c>
      <c r="F1430" s="9" t="n">
        <v>34</v>
      </c>
      <c r="G1430" s="11" t="s">
        <v>55</v>
      </c>
      <c r="H1430" s="9" t="n">
        <v>2110405</v>
      </c>
      <c r="I1430" s="11" t="s">
        <v>56</v>
      </c>
      <c r="J1430" s="9" t="n">
        <v>1567069</v>
      </c>
      <c r="L1430" s="9" t="n">
        <v>213961</v>
      </c>
      <c r="M1430" s="11" t="s">
        <v>52</v>
      </c>
      <c r="N1430" s="11" t="s">
        <v>45</v>
      </c>
      <c r="P1430" s="9" t="n">
        <v>113</v>
      </c>
      <c r="Q1430" s="11" t="s">
        <v>46</v>
      </c>
      <c r="R1430" s="11" t="s">
        <v>71</v>
      </c>
      <c r="S1430" s="9" t="n">
        <v>4210301</v>
      </c>
      <c r="T1430" s="11" t="s">
        <v>220</v>
      </c>
      <c r="U1430" s="12" t="n">
        <v>1000</v>
      </c>
      <c r="W1430" s="12" t="n">
        <v>1000</v>
      </c>
      <c r="X1430" s="11" t="s">
        <v>1298</v>
      </c>
      <c r="Z1430" s="0" t="str">
        <f aca="false">IF($T1430="","",IFERROR(INDEX('Resumo Grupos'!$AC$3:$AC$200,MATCH($T1430,'Resumo Grupos'!$AB$3:$AB$200,0)),"n/d"))</f>
        <v>Salários</v>
      </c>
      <c r="AA1430" s="0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9" t="n">
        <v>2</v>
      </c>
      <c r="B1431" s="10" t="n">
        <v>46240</v>
      </c>
      <c r="C1431" s="10" t="n">
        <v>46247</v>
      </c>
      <c r="D1431" s="9" t="n">
        <v>1292</v>
      </c>
      <c r="E1431" s="11" t="s">
        <v>209</v>
      </c>
      <c r="F1431" s="9" t="n">
        <v>24</v>
      </c>
      <c r="G1431" s="11" t="s">
        <v>51</v>
      </c>
      <c r="H1431" s="9" t="n">
        <v>2110405</v>
      </c>
      <c r="I1431" s="11" t="s">
        <v>56</v>
      </c>
      <c r="J1431" s="9" t="n">
        <v>1509565</v>
      </c>
      <c r="L1431" s="9" t="n">
        <v>205215</v>
      </c>
      <c r="M1431" s="11" t="s">
        <v>52</v>
      </c>
      <c r="N1431" s="11" t="s">
        <v>45</v>
      </c>
      <c r="P1431" s="9" t="n">
        <v>113</v>
      </c>
      <c r="Q1431" s="11" t="s">
        <v>46</v>
      </c>
      <c r="R1431" s="11" t="s">
        <v>47</v>
      </c>
      <c r="S1431" s="9" t="n">
        <v>1130101</v>
      </c>
      <c r="T1431" s="11" t="s">
        <v>48</v>
      </c>
      <c r="U1431" s="12" t="n">
        <v>589.5</v>
      </c>
      <c r="W1431" s="12" t="n">
        <v>589.5</v>
      </c>
      <c r="X1431" s="11" t="s">
        <v>1307</v>
      </c>
      <c r="Z1431" s="0" t="str">
        <f aca="false">IF($T1431="","",IFERROR(INDEX('Resumo Grupos'!$AC$3:$AC$200,MATCH($T1431,'Resumo Grupos'!$AB$3:$AB$200,0)),"n/d"))</f>
        <v>Mercadoria</v>
      </c>
      <c r="AA1431" s="0" t="str">
        <f aca="false">IF($T1431="","",IF(COUNTIF('Resumo Grupos'!$AE$3:$AE$40,$T1431)&gt;0,"NAO","SIM"))</f>
        <v>SIM</v>
      </c>
      <c r="AB1431" s="0" t="str">
        <f aca="false">IFERROR(INDEX('Mov Entradas (Rel 10497)'!$L:$L,MATCH(AC1431,'Mov Entradas (Rel 10497)'!$I:$I,0)),"nao encontrado")</f>
        <v>QUEIJO MUSSARELA FAT</v>
      </c>
      <c r="AC1431" s="0" t="n">
        <v>3785</v>
      </c>
    </row>
    <row r="1432" customFormat="false" ht="12.75" hidden="false" customHeight="true" outlineLevel="0" collapsed="false">
      <c r="A1432" s="9" t="n">
        <v>2</v>
      </c>
      <c r="B1432" s="10" t="n">
        <v>46247</v>
      </c>
      <c r="C1432" s="10" t="n">
        <v>46247</v>
      </c>
      <c r="D1432" s="9" t="n">
        <v>0</v>
      </c>
      <c r="E1432" s="11" t="s">
        <v>109</v>
      </c>
      <c r="F1432" s="9" t="n">
        <v>17</v>
      </c>
      <c r="G1432" s="11" t="s">
        <v>110</v>
      </c>
      <c r="H1432" s="9" t="n">
        <v>1110101</v>
      </c>
      <c r="I1432" s="11" t="s">
        <v>111</v>
      </c>
      <c r="J1432" s="9" t="n">
        <v>1545468</v>
      </c>
      <c r="L1432" s="9" t="n">
        <v>1545468</v>
      </c>
      <c r="M1432" s="11" t="s">
        <v>52</v>
      </c>
      <c r="N1432" s="11" t="s">
        <v>112</v>
      </c>
      <c r="P1432" s="9" t="n">
        <v>113</v>
      </c>
      <c r="Q1432" s="11" t="s">
        <v>46</v>
      </c>
      <c r="R1432" s="11" t="s">
        <v>71</v>
      </c>
      <c r="S1432" s="9" t="n">
        <v>4210314</v>
      </c>
      <c r="T1432" s="11" t="s">
        <v>113</v>
      </c>
      <c r="U1432" s="12" t="n">
        <v>50</v>
      </c>
      <c r="W1432" s="12" t="n">
        <v>50</v>
      </c>
      <c r="X1432" s="11" t="s">
        <v>368</v>
      </c>
      <c r="Z1432" s="0" t="str">
        <f aca="false">IF($T1432="","",IFERROR(INDEX('Resumo Grupos'!$AC$3:$AC$200,MATCH($T1432,'Resumo Grupos'!$AB$3:$AB$200,0)),"n/d"))</f>
        <v>Despesa</v>
      </c>
      <c r="AA1432" s="0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9" t="n">
        <v>2</v>
      </c>
      <c r="B1433" s="10" t="n">
        <v>46247</v>
      </c>
      <c r="C1433" s="10" t="n">
        <v>46247</v>
      </c>
      <c r="D1433" s="9" t="n">
        <v>0</v>
      </c>
      <c r="E1433" s="11" t="s">
        <v>109</v>
      </c>
      <c r="F1433" s="9" t="n">
        <v>17</v>
      </c>
      <c r="G1433" s="11" t="s">
        <v>110</v>
      </c>
      <c r="H1433" s="9" t="n">
        <v>1110101</v>
      </c>
      <c r="I1433" s="11" t="s">
        <v>111</v>
      </c>
      <c r="J1433" s="9" t="n">
        <v>1545471</v>
      </c>
      <c r="L1433" s="9" t="n">
        <v>1545471</v>
      </c>
      <c r="M1433" s="11" t="s">
        <v>52</v>
      </c>
      <c r="N1433" s="11" t="s">
        <v>112</v>
      </c>
      <c r="P1433" s="9" t="n">
        <v>113</v>
      </c>
      <c r="Q1433" s="11" t="s">
        <v>46</v>
      </c>
      <c r="R1433" s="11" t="s">
        <v>39</v>
      </c>
      <c r="S1433" s="9" t="n">
        <v>4210227</v>
      </c>
      <c r="T1433" s="11" t="s">
        <v>68</v>
      </c>
      <c r="U1433" s="12" t="n">
        <v>23.8</v>
      </c>
      <c r="W1433" s="12" t="n">
        <v>23.8</v>
      </c>
      <c r="X1433" s="11" t="s">
        <v>1308</v>
      </c>
      <c r="Z1433" s="0" t="str">
        <f aca="false">IF($T1433="","",IFERROR(INDEX('Resumo Grupos'!$AC$3:$AC$200,MATCH($T1433,'Resumo Grupos'!$AB$3:$AB$200,0)),"n/d"))</f>
        <v>Despesa</v>
      </c>
      <c r="AA1433" s="0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9" t="n">
        <v>2</v>
      </c>
      <c r="B1434" s="10" t="n">
        <v>46247</v>
      </c>
      <c r="C1434" s="10" t="n">
        <v>46247</v>
      </c>
      <c r="D1434" s="9" t="n">
        <v>0</v>
      </c>
      <c r="E1434" s="11" t="s">
        <v>109</v>
      </c>
      <c r="F1434" s="9" t="n">
        <v>17</v>
      </c>
      <c r="G1434" s="11" t="s">
        <v>110</v>
      </c>
      <c r="H1434" s="9" t="n">
        <v>1110101</v>
      </c>
      <c r="I1434" s="11" t="s">
        <v>111</v>
      </c>
      <c r="J1434" s="9" t="n">
        <v>1545473</v>
      </c>
      <c r="L1434" s="9" t="n">
        <v>1545473</v>
      </c>
      <c r="M1434" s="11" t="s">
        <v>52</v>
      </c>
      <c r="N1434" s="11" t="s">
        <v>112</v>
      </c>
      <c r="P1434" s="9" t="n">
        <v>113</v>
      </c>
      <c r="Q1434" s="11" t="s">
        <v>46</v>
      </c>
      <c r="R1434" s="11" t="s">
        <v>71</v>
      </c>
      <c r="S1434" s="9" t="n">
        <v>4210314</v>
      </c>
      <c r="T1434" s="11" t="s">
        <v>113</v>
      </c>
      <c r="U1434" s="12" t="n">
        <v>70</v>
      </c>
      <c r="W1434" s="12" t="n">
        <v>70</v>
      </c>
      <c r="X1434" s="11" t="s">
        <v>187</v>
      </c>
      <c r="Z1434" s="0" t="str">
        <f aca="false">IF($T1434="","",IFERROR(INDEX('Resumo Grupos'!$AC$3:$AC$200,MATCH($T1434,'Resumo Grupos'!$AB$3:$AB$200,0)),"n/d"))</f>
        <v>Despesa</v>
      </c>
      <c r="AA1434" s="0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9" t="n">
        <v>2</v>
      </c>
      <c r="B1435" s="10" t="n">
        <v>46247</v>
      </c>
      <c r="C1435" s="10" t="n">
        <v>46247</v>
      </c>
      <c r="D1435" s="9" t="n">
        <v>0</v>
      </c>
      <c r="E1435" s="11" t="s">
        <v>109</v>
      </c>
      <c r="F1435" s="9" t="n">
        <v>17</v>
      </c>
      <c r="G1435" s="11" t="s">
        <v>110</v>
      </c>
      <c r="H1435" s="9" t="n">
        <v>1110101</v>
      </c>
      <c r="I1435" s="11" t="s">
        <v>111</v>
      </c>
      <c r="J1435" s="9" t="n">
        <v>1545517</v>
      </c>
      <c r="L1435" s="9" t="n">
        <v>1545517</v>
      </c>
      <c r="M1435" s="11" t="s">
        <v>52</v>
      </c>
      <c r="N1435" s="11" t="s">
        <v>112</v>
      </c>
      <c r="P1435" s="9" t="n">
        <v>113</v>
      </c>
      <c r="Q1435" s="11" t="s">
        <v>46</v>
      </c>
      <c r="R1435" s="11" t="s">
        <v>56</v>
      </c>
      <c r="S1435" s="9" t="n">
        <v>2110405</v>
      </c>
      <c r="T1435" s="11" t="s">
        <v>56</v>
      </c>
      <c r="U1435" s="12" t="n">
        <v>120</v>
      </c>
      <c r="W1435" s="12" t="n">
        <v>120</v>
      </c>
      <c r="X1435" s="11" t="s">
        <v>1309</v>
      </c>
      <c r="Z1435" s="0" t="str">
        <f aca="false">IF($T1435="","",IFERROR(INDEX('Resumo Grupos'!$AC$3:$AC$200,MATCH($T1435,'Resumo Grupos'!$AB$3:$AB$200,0)),"n/d"))</f>
        <v>Cobertura de conta</v>
      </c>
      <c r="AA1435" s="0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9" t="n">
        <v>2</v>
      </c>
      <c r="B1436" s="10" t="n">
        <v>46247</v>
      </c>
      <c r="C1436" s="10" t="n">
        <v>46247</v>
      </c>
      <c r="D1436" s="9" t="n">
        <v>0</v>
      </c>
      <c r="E1436" s="11" t="s">
        <v>109</v>
      </c>
      <c r="F1436" s="9" t="n">
        <v>17</v>
      </c>
      <c r="G1436" s="11" t="s">
        <v>110</v>
      </c>
      <c r="H1436" s="9" t="n">
        <v>1110101</v>
      </c>
      <c r="I1436" s="11" t="s">
        <v>111</v>
      </c>
      <c r="J1436" s="9" t="n">
        <v>1716383</v>
      </c>
      <c r="L1436" s="9" t="n">
        <v>1716383</v>
      </c>
      <c r="M1436" s="11" t="s">
        <v>52</v>
      </c>
      <c r="N1436" s="11" t="s">
        <v>112</v>
      </c>
      <c r="P1436" s="9" t="n">
        <v>113</v>
      </c>
      <c r="Q1436" s="11" t="s">
        <v>46</v>
      </c>
      <c r="R1436" s="11" t="s">
        <v>116</v>
      </c>
      <c r="S1436" s="9" t="n">
        <v>1110203</v>
      </c>
      <c r="T1436" s="11" t="s">
        <v>117</v>
      </c>
      <c r="U1436" s="12" t="n">
        <v>1700</v>
      </c>
      <c r="W1436" s="12" t="n">
        <v>1700</v>
      </c>
      <c r="X1436" s="11" t="s">
        <v>1310</v>
      </c>
      <c r="Z1436" s="0" t="str">
        <f aca="false">IF($T1436="","",IFERROR(INDEX('Resumo Grupos'!$AC$3:$AC$200,MATCH($T1436,'Resumo Grupos'!$AB$3:$AB$200,0)),"n/d"))</f>
        <v>Despesa</v>
      </c>
      <c r="AA1436" s="0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9" t="n">
        <v>2</v>
      </c>
      <c r="B1437" s="10" t="n">
        <v>46247</v>
      </c>
      <c r="C1437" s="10" t="n">
        <v>46247</v>
      </c>
      <c r="D1437" s="9" t="n">
        <v>18</v>
      </c>
      <c r="E1437" s="11" t="s">
        <v>121</v>
      </c>
      <c r="F1437" s="9" t="n">
        <v>34</v>
      </c>
      <c r="G1437" s="11" t="s">
        <v>55</v>
      </c>
      <c r="H1437" s="9" t="n">
        <v>2110405</v>
      </c>
      <c r="I1437" s="11" t="s">
        <v>56</v>
      </c>
      <c r="J1437" s="9" t="n">
        <v>1567071</v>
      </c>
      <c r="L1437" s="9" t="n">
        <v>213963</v>
      </c>
      <c r="M1437" s="11" t="s">
        <v>52</v>
      </c>
      <c r="N1437" s="11" t="s">
        <v>45</v>
      </c>
      <c r="P1437" s="9" t="n">
        <v>113</v>
      </c>
      <c r="Q1437" s="11" t="s">
        <v>46</v>
      </c>
      <c r="R1437" s="11" t="s">
        <v>71</v>
      </c>
      <c r="S1437" s="9" t="n">
        <v>4210301</v>
      </c>
      <c r="T1437" s="11" t="s">
        <v>220</v>
      </c>
      <c r="U1437" s="12" t="n">
        <v>600</v>
      </c>
      <c r="W1437" s="12" t="n">
        <v>600</v>
      </c>
      <c r="X1437" s="11" t="s">
        <v>1298</v>
      </c>
      <c r="Z1437" s="0" t="str">
        <f aca="false">IF($T1437="","",IFERROR(INDEX('Resumo Grupos'!$AC$3:$AC$200,MATCH($T1437,'Resumo Grupos'!$AB$3:$AB$200,0)),"n/d"))</f>
        <v>Salários</v>
      </c>
      <c r="AA1437" s="0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9" t="n">
        <v>2</v>
      </c>
      <c r="B1438" s="10" t="n">
        <v>46246</v>
      </c>
      <c r="C1438" s="10" t="n">
        <v>46248</v>
      </c>
      <c r="D1438" s="9" t="n">
        <v>642</v>
      </c>
      <c r="E1438" s="11" t="s">
        <v>123</v>
      </c>
      <c r="F1438" s="9" t="n">
        <v>24</v>
      </c>
      <c r="G1438" s="11" t="s">
        <v>51</v>
      </c>
      <c r="H1438" s="9" t="n">
        <v>2110405</v>
      </c>
      <c r="I1438" s="11" t="s">
        <v>56</v>
      </c>
      <c r="J1438" s="9" t="n">
        <v>1534769</v>
      </c>
      <c r="L1438" s="9" t="n">
        <v>209420</v>
      </c>
      <c r="M1438" s="11" t="s">
        <v>52</v>
      </c>
      <c r="N1438" s="11" t="s">
        <v>45</v>
      </c>
      <c r="P1438" s="9" t="n">
        <v>113</v>
      </c>
      <c r="Q1438" s="11" t="s">
        <v>46</v>
      </c>
      <c r="R1438" s="11" t="s">
        <v>47</v>
      </c>
      <c r="S1438" s="9" t="n">
        <v>1130101</v>
      </c>
      <c r="T1438" s="11" t="s">
        <v>48</v>
      </c>
      <c r="U1438" s="12" t="n">
        <v>240</v>
      </c>
      <c r="W1438" s="12" t="n">
        <v>240</v>
      </c>
      <c r="X1438" s="11" t="s">
        <v>1311</v>
      </c>
      <c r="Z1438" s="0" t="str">
        <f aca="false">IF($T1438="","",IFERROR(INDEX('Resumo Grupos'!$AC$3:$AC$200,MATCH($T1438,'Resumo Grupos'!$AB$3:$AB$200,0)),"n/d"))</f>
        <v>Mercadoria</v>
      </c>
      <c r="AA1438" s="0" t="str">
        <f aca="false">IF($T1438="","",IF(COUNTIF('Resumo Grupos'!$AE$3:$AE$40,$T1438)&gt;0,"NAO","SIM"))</f>
        <v>SIM</v>
      </c>
      <c r="AB1438" s="0" t="str">
        <f aca="false">IFERROR(INDEX('Mov Entradas (Rel 10497)'!$L:$L,MATCH(AC1438,'Mov Entradas (Rel 10497)'!$I:$I,0)),"nao encontrado")</f>
        <v>BOLO BLOOM 600G</v>
      </c>
      <c r="AC1438" s="0" t="n">
        <v>598</v>
      </c>
    </row>
    <row r="1439" customFormat="false" ht="12.75" hidden="false" customHeight="true" outlineLevel="0" collapsed="false">
      <c r="A1439" s="9" t="n">
        <v>2</v>
      </c>
      <c r="B1439" s="10" t="n">
        <v>46227</v>
      </c>
      <c r="C1439" s="10" t="n">
        <v>46248</v>
      </c>
      <c r="D1439" s="9" t="n">
        <v>1921</v>
      </c>
      <c r="E1439" s="11" t="s">
        <v>167</v>
      </c>
      <c r="F1439" s="9" t="n">
        <v>24</v>
      </c>
      <c r="G1439" s="11" t="s">
        <v>51</v>
      </c>
      <c r="H1439" s="9" t="n">
        <v>2110405</v>
      </c>
      <c r="I1439" s="11" t="s">
        <v>56</v>
      </c>
      <c r="J1439" s="9" t="n">
        <v>1443816</v>
      </c>
      <c r="L1439" s="9" t="n">
        <v>195257</v>
      </c>
      <c r="M1439" s="11" t="s">
        <v>52</v>
      </c>
      <c r="N1439" s="11" t="s">
        <v>45</v>
      </c>
      <c r="P1439" s="9" t="n">
        <v>113</v>
      </c>
      <c r="Q1439" s="11" t="s">
        <v>46</v>
      </c>
      <c r="R1439" s="11" t="s">
        <v>47</v>
      </c>
      <c r="S1439" s="9" t="n">
        <v>1130101</v>
      </c>
      <c r="T1439" s="11" t="s">
        <v>48</v>
      </c>
      <c r="U1439" s="12" t="n">
        <v>581.65</v>
      </c>
      <c r="W1439" s="12" t="n">
        <v>581.65</v>
      </c>
      <c r="X1439" s="11" t="s">
        <v>1312</v>
      </c>
      <c r="Z1439" s="0" t="str">
        <f aca="false">IF($T1439="","",IFERROR(INDEX('Resumo Grupos'!$AC$3:$AC$200,MATCH($T1439,'Resumo Grupos'!$AB$3:$AB$200,0)),"n/d"))</f>
        <v>Mercadoria</v>
      </c>
      <c r="AA1439" s="0" t="str">
        <f aca="false">IF($T1439="","",IF(COUNTIF('Resumo Grupos'!$AE$3:$AE$40,$T1439)&gt;0,"NAO","SIM"))</f>
        <v>SIM</v>
      </c>
      <c r="AB1439" s="0" t="str">
        <f aca="false">IFERROR(INDEX('Mov Entradas (Rel 10497)'!$L:$L,MATCH(AC1439,'Mov Entradas (Rel 10497)'!$I:$I,0)),"nao encontrado")</f>
        <v>COLORAU RAIZ 100G</v>
      </c>
      <c r="AC1439" s="0" t="n">
        <v>21130</v>
      </c>
    </row>
    <row r="1440" customFormat="false" ht="12.75" hidden="false" customHeight="true" outlineLevel="0" collapsed="false">
      <c r="A1440" s="9" t="n">
        <v>2</v>
      </c>
      <c r="B1440" s="10" t="n">
        <v>46228</v>
      </c>
      <c r="C1440" s="10" t="n">
        <v>46248</v>
      </c>
      <c r="D1440" s="9" t="n">
        <v>1635</v>
      </c>
      <c r="E1440" s="11" t="s">
        <v>128</v>
      </c>
      <c r="F1440" s="9" t="n">
        <v>24</v>
      </c>
      <c r="G1440" s="11" t="s">
        <v>51</v>
      </c>
      <c r="H1440" s="9" t="n">
        <v>2110405</v>
      </c>
      <c r="I1440" s="11" t="s">
        <v>56</v>
      </c>
      <c r="J1440" s="9" t="n">
        <v>1448485</v>
      </c>
      <c r="L1440" s="9" t="n">
        <v>196062</v>
      </c>
      <c r="M1440" s="11" t="s">
        <v>52</v>
      </c>
      <c r="N1440" s="11" t="s">
        <v>45</v>
      </c>
      <c r="P1440" s="9" t="n">
        <v>113</v>
      </c>
      <c r="Q1440" s="11" t="s">
        <v>46</v>
      </c>
      <c r="R1440" s="11" t="s">
        <v>47</v>
      </c>
      <c r="S1440" s="9" t="n">
        <v>1130101</v>
      </c>
      <c r="T1440" s="11" t="s">
        <v>48</v>
      </c>
      <c r="U1440" s="12" t="n">
        <v>740.52</v>
      </c>
      <c r="W1440" s="12" t="n">
        <v>740.52</v>
      </c>
      <c r="X1440" s="11" t="s">
        <v>1211</v>
      </c>
      <c r="Z1440" s="0" t="str">
        <f aca="false">IF($T1440="","",IFERROR(INDEX('Resumo Grupos'!$AC$3:$AC$200,MATCH($T1440,'Resumo Grupos'!$AB$3:$AB$200,0)),"n/d"))</f>
        <v>Mercadoria</v>
      </c>
      <c r="AA1440" s="0" t="str">
        <f aca="false">IF($T1440="","",IF(COUNTIF('Resumo Grupos'!$AE$3:$AE$40,$T1440)&gt;0,"NAO","SIM"))</f>
        <v>SIM</v>
      </c>
      <c r="AB1440" s="0" t="str">
        <f aca="false">IFERROR(INDEX('Mov Entradas (Rel 10497)'!$L:$L,MATCH(AC1440,'Mov Entradas (Rel 10497)'!$I:$I,0)),"nao encontrado")</f>
        <v>COXA E SOBRECOXA KG</v>
      </c>
      <c r="AC1440" s="0" t="n">
        <v>1842</v>
      </c>
    </row>
    <row r="1441" customFormat="false" ht="12.75" hidden="false" customHeight="true" outlineLevel="0" collapsed="false">
      <c r="A1441" s="9" t="n">
        <v>2</v>
      </c>
      <c r="B1441" s="10" t="n">
        <v>46241</v>
      </c>
      <c r="C1441" s="10" t="n">
        <v>46248</v>
      </c>
      <c r="D1441" s="9" t="n">
        <v>1642</v>
      </c>
      <c r="E1441" s="11" t="s">
        <v>228</v>
      </c>
      <c r="F1441" s="9" t="n">
        <v>24</v>
      </c>
      <c r="G1441" s="11" t="s">
        <v>51</v>
      </c>
      <c r="H1441" s="9" t="n">
        <v>2110405</v>
      </c>
      <c r="I1441" s="11" t="s">
        <v>56</v>
      </c>
      <c r="J1441" s="9" t="n">
        <v>1513263</v>
      </c>
      <c r="L1441" s="9" t="n">
        <v>205740</v>
      </c>
      <c r="M1441" s="11" t="s">
        <v>52</v>
      </c>
      <c r="N1441" s="11" t="s">
        <v>45</v>
      </c>
      <c r="P1441" s="9" t="n">
        <v>113</v>
      </c>
      <c r="Q1441" s="11" t="s">
        <v>46</v>
      </c>
      <c r="R1441" s="11" t="s">
        <v>47</v>
      </c>
      <c r="S1441" s="9" t="n">
        <v>1130101</v>
      </c>
      <c r="T1441" s="11" t="s">
        <v>48</v>
      </c>
      <c r="U1441" s="12" t="n">
        <v>497.91</v>
      </c>
      <c r="W1441" s="12" t="n">
        <v>497.91</v>
      </c>
      <c r="X1441" s="11" t="s">
        <v>1313</v>
      </c>
      <c r="Z1441" s="0" t="str">
        <f aca="false">IF($T1441="","",IFERROR(INDEX('Resumo Grupos'!$AC$3:$AC$200,MATCH($T1441,'Resumo Grupos'!$AB$3:$AB$200,0)),"n/d"))</f>
        <v>Mercadoria</v>
      </c>
      <c r="AA1441" s="0" t="str">
        <f aca="false">IF($T1441="","",IF(COUNTIF('Resumo Grupos'!$AE$3:$AE$40,$T1441)&gt;0,"NAO","SIM"))</f>
        <v>SIM</v>
      </c>
      <c r="AB1441" s="0" t="str">
        <f aca="false">IFERROR(INDEX('Mov Entradas (Rel 10497)'!$L:$L,MATCH(AC1441,'Mov Entradas (Rel 10497)'!$I:$I,0)),"nao encontrado")</f>
        <v>FAR ROSCA COM BROTHE</v>
      </c>
      <c r="AC1441" s="0" t="n">
        <v>1035731</v>
      </c>
    </row>
    <row r="1442" customFormat="false" ht="12.75" hidden="false" customHeight="true" outlineLevel="0" collapsed="false">
      <c r="A1442" s="9" t="n">
        <v>2</v>
      </c>
      <c r="B1442" s="10" t="n">
        <v>46239</v>
      </c>
      <c r="C1442" s="10" t="n">
        <v>46248</v>
      </c>
      <c r="D1442" s="9" t="n">
        <v>1723</v>
      </c>
      <c r="E1442" s="11" t="s">
        <v>371</v>
      </c>
      <c r="F1442" s="9" t="n">
        <v>24</v>
      </c>
      <c r="G1442" s="11" t="s">
        <v>51</v>
      </c>
      <c r="H1442" s="9" t="n">
        <v>2110405</v>
      </c>
      <c r="I1442" s="11" t="s">
        <v>56</v>
      </c>
      <c r="J1442" s="9" t="n">
        <v>1503637</v>
      </c>
      <c r="L1442" s="9" t="n">
        <v>204152</v>
      </c>
      <c r="M1442" s="11" t="s">
        <v>52</v>
      </c>
      <c r="N1442" s="11" t="s">
        <v>45</v>
      </c>
      <c r="P1442" s="9" t="n">
        <v>113</v>
      </c>
      <c r="Q1442" s="11" t="s">
        <v>46</v>
      </c>
      <c r="R1442" s="11" t="s">
        <v>47</v>
      </c>
      <c r="S1442" s="9" t="n">
        <v>1130101</v>
      </c>
      <c r="T1442" s="11" t="s">
        <v>48</v>
      </c>
      <c r="U1442" s="12" t="n">
        <v>2347.2</v>
      </c>
      <c r="W1442" s="12" t="n">
        <v>2347.2</v>
      </c>
      <c r="X1442" s="11" t="s">
        <v>1314</v>
      </c>
      <c r="Z1442" s="0" t="str">
        <f aca="false">IF($T1442="","",IFERROR(INDEX('Resumo Grupos'!$AC$3:$AC$200,MATCH($T1442,'Resumo Grupos'!$AB$3:$AB$200,0)),"n/d"))</f>
        <v>Mercadoria</v>
      </c>
      <c r="AA1442" s="0" t="str">
        <f aca="false">IF($T1442="","",IF(COUNTIF('Resumo Grupos'!$AE$3:$AE$40,$T1442)&gt;0,"NAO","SIM"))</f>
        <v>SIM</v>
      </c>
      <c r="AB1442" s="0" t="str">
        <f aca="false">IFERROR(INDEX('Mov Entradas (Rel 10497)'!$L:$L,MATCH(AC1442,'Mov Entradas (Rel 10497)'!$I:$I,0)),"nao encontrado")</f>
        <v>TRASEIRO DE BOI L1</v>
      </c>
      <c r="AC1442" s="0" t="n">
        <v>174275</v>
      </c>
    </row>
    <row r="1443" customFormat="false" ht="12.75" hidden="false" customHeight="true" outlineLevel="0" collapsed="false">
      <c r="A1443" s="9" t="n">
        <v>2</v>
      </c>
      <c r="B1443" s="10" t="n">
        <v>46227</v>
      </c>
      <c r="C1443" s="10" t="n">
        <v>46248</v>
      </c>
      <c r="D1443" s="9" t="n">
        <v>1608</v>
      </c>
      <c r="E1443" s="11" t="s">
        <v>240</v>
      </c>
      <c r="F1443" s="9" t="n">
        <v>24</v>
      </c>
      <c r="G1443" s="11" t="s">
        <v>51</v>
      </c>
      <c r="H1443" s="9" t="n">
        <v>2110405</v>
      </c>
      <c r="I1443" s="11" t="s">
        <v>56</v>
      </c>
      <c r="J1443" s="9" t="n">
        <v>1444853</v>
      </c>
      <c r="L1443" s="9" t="n">
        <v>195494</v>
      </c>
      <c r="M1443" s="11" t="s">
        <v>52</v>
      </c>
      <c r="N1443" s="11" t="s">
        <v>45</v>
      </c>
      <c r="P1443" s="9" t="n">
        <v>113</v>
      </c>
      <c r="Q1443" s="11" t="s">
        <v>46</v>
      </c>
      <c r="R1443" s="11" t="s">
        <v>47</v>
      </c>
      <c r="S1443" s="9" t="n">
        <v>1130101</v>
      </c>
      <c r="T1443" s="11" t="s">
        <v>48</v>
      </c>
      <c r="U1443" s="12" t="n">
        <v>1111.12</v>
      </c>
      <c r="W1443" s="12" t="n">
        <v>1111.12</v>
      </c>
      <c r="X1443" s="11" t="s">
        <v>1315</v>
      </c>
      <c r="Z1443" s="0" t="str">
        <f aca="false">IF($T1443="","",IFERROR(INDEX('Resumo Grupos'!$AC$3:$AC$200,MATCH($T1443,'Resumo Grupos'!$AB$3:$AB$200,0)),"n/d"))</f>
        <v>Mercadoria</v>
      </c>
      <c r="AA1443" s="0" t="str">
        <f aca="false">IF($T1443="","",IF(COUNTIF('Resumo Grupos'!$AE$3:$AE$40,$T1443)&gt;0,"NAO","SIM"))</f>
        <v>SIM</v>
      </c>
      <c r="AB1443" s="0" t="str">
        <f aca="false">IFERROR(INDEX('Mov Entradas (Rel 10497)'!$L:$L,MATCH(AC1443,'Mov Entradas (Rel 10497)'!$I:$I,0)),"nao encontrado")</f>
        <v>PATE ATUM COQ 170G</v>
      </c>
      <c r="AC1443" s="0" t="n">
        <v>1698151</v>
      </c>
    </row>
    <row r="1444" customFormat="false" ht="12.75" hidden="false" customHeight="true" outlineLevel="0" collapsed="false">
      <c r="A1444" s="9" t="n">
        <v>2</v>
      </c>
      <c r="B1444" s="10" t="n">
        <v>46237</v>
      </c>
      <c r="C1444" s="10" t="n">
        <v>46248</v>
      </c>
      <c r="D1444" s="9" t="n">
        <v>1683</v>
      </c>
      <c r="E1444" s="11" t="s">
        <v>406</v>
      </c>
      <c r="F1444" s="9" t="n">
        <v>34</v>
      </c>
      <c r="G1444" s="11" t="s">
        <v>55</v>
      </c>
      <c r="H1444" s="9" t="n">
        <v>2110405</v>
      </c>
      <c r="I1444" s="11" t="s">
        <v>56</v>
      </c>
      <c r="J1444" s="9" t="n">
        <v>1493066</v>
      </c>
      <c r="L1444" s="9" t="n">
        <v>202461</v>
      </c>
      <c r="M1444" s="11" t="s">
        <v>52</v>
      </c>
      <c r="N1444" s="11" t="s">
        <v>45</v>
      </c>
      <c r="P1444" s="9" t="n">
        <v>113</v>
      </c>
      <c r="Q1444" s="11" t="s">
        <v>46</v>
      </c>
      <c r="R1444" s="11" t="s">
        <v>47</v>
      </c>
      <c r="S1444" s="9" t="n">
        <v>1130101</v>
      </c>
      <c r="T1444" s="11" t="s">
        <v>48</v>
      </c>
      <c r="U1444" s="12" t="n">
        <v>120</v>
      </c>
      <c r="W1444" s="12" t="n">
        <v>120</v>
      </c>
      <c r="X1444" s="11" t="s">
        <v>408</v>
      </c>
      <c r="Z1444" s="0" t="str">
        <f aca="false">IF($T1444="","",IFERROR(INDEX('Resumo Grupos'!$AC$3:$AC$200,MATCH($T1444,'Resumo Grupos'!$AB$3:$AB$200,0)),"n/d"))</f>
        <v>Mercadoria</v>
      </c>
      <c r="AA1444" s="0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9" t="n">
        <v>2</v>
      </c>
      <c r="B1445" s="10" t="n">
        <v>46238</v>
      </c>
      <c r="C1445" s="10" t="n">
        <v>46248</v>
      </c>
      <c r="D1445" s="9" t="n">
        <v>1683</v>
      </c>
      <c r="E1445" s="11" t="s">
        <v>406</v>
      </c>
      <c r="F1445" s="9" t="n">
        <v>34</v>
      </c>
      <c r="G1445" s="11" t="s">
        <v>55</v>
      </c>
      <c r="H1445" s="9" t="n">
        <v>1110203</v>
      </c>
      <c r="I1445" s="11" t="s">
        <v>117</v>
      </c>
      <c r="J1445" s="9" t="n">
        <v>1498983</v>
      </c>
      <c r="L1445" s="9" t="n">
        <v>203336</v>
      </c>
      <c r="M1445" s="11" t="s">
        <v>52</v>
      </c>
      <c r="N1445" s="11" t="s">
        <v>45</v>
      </c>
      <c r="P1445" s="9" t="n">
        <v>113</v>
      </c>
      <c r="Q1445" s="11" t="s">
        <v>46</v>
      </c>
      <c r="R1445" s="11" t="s">
        <v>47</v>
      </c>
      <c r="S1445" s="9" t="n">
        <v>1130101</v>
      </c>
      <c r="T1445" s="11" t="s">
        <v>48</v>
      </c>
      <c r="U1445" s="12" t="n">
        <v>144.5</v>
      </c>
      <c r="W1445" s="12" t="n">
        <v>144.5</v>
      </c>
      <c r="X1445" s="11" t="s">
        <v>408</v>
      </c>
      <c r="Z1445" s="0" t="str">
        <f aca="false">IF($T1445="","",IFERROR(INDEX('Resumo Grupos'!$AC$3:$AC$200,MATCH($T1445,'Resumo Grupos'!$AB$3:$AB$200,0)),"n/d"))</f>
        <v>Mercadoria</v>
      </c>
      <c r="AA1445" s="0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9" t="n">
        <v>2</v>
      </c>
      <c r="B1446" s="10" t="n">
        <v>46240</v>
      </c>
      <c r="C1446" s="10" t="n">
        <v>46248</v>
      </c>
      <c r="D1446" s="9" t="n">
        <v>1683</v>
      </c>
      <c r="E1446" s="11" t="s">
        <v>406</v>
      </c>
      <c r="F1446" s="9" t="n">
        <v>34</v>
      </c>
      <c r="G1446" s="11" t="s">
        <v>55</v>
      </c>
      <c r="H1446" s="9" t="n">
        <v>2110405</v>
      </c>
      <c r="I1446" s="11" t="s">
        <v>56</v>
      </c>
      <c r="J1446" s="9" t="n">
        <v>1508136</v>
      </c>
      <c r="L1446" s="9" t="n">
        <v>204884</v>
      </c>
      <c r="M1446" s="11" t="s">
        <v>52</v>
      </c>
      <c r="N1446" s="11" t="s">
        <v>45</v>
      </c>
      <c r="P1446" s="9" t="n">
        <v>113</v>
      </c>
      <c r="Q1446" s="11" t="s">
        <v>46</v>
      </c>
      <c r="R1446" s="11" t="s">
        <v>47</v>
      </c>
      <c r="S1446" s="9" t="n">
        <v>1130101</v>
      </c>
      <c r="T1446" s="11" t="s">
        <v>48</v>
      </c>
      <c r="U1446" s="12" t="n">
        <v>184</v>
      </c>
      <c r="W1446" s="12" t="n">
        <v>184</v>
      </c>
      <c r="X1446" s="11" t="s">
        <v>408</v>
      </c>
      <c r="Z1446" s="0" t="str">
        <f aca="false">IF($T1446="","",IFERROR(INDEX('Resumo Grupos'!$AC$3:$AC$200,MATCH($T1446,'Resumo Grupos'!$AB$3:$AB$200,0)),"n/d"))</f>
        <v>Mercadoria</v>
      </c>
      <c r="AA1446" s="0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9" t="n">
        <v>2</v>
      </c>
      <c r="B1447" s="10" t="n">
        <v>46244</v>
      </c>
      <c r="C1447" s="10" t="n">
        <v>46248</v>
      </c>
      <c r="D1447" s="9" t="n">
        <v>1683</v>
      </c>
      <c r="E1447" s="11" t="s">
        <v>406</v>
      </c>
      <c r="F1447" s="9" t="n">
        <v>34</v>
      </c>
      <c r="G1447" s="11" t="s">
        <v>55</v>
      </c>
      <c r="H1447" s="9" t="n">
        <v>2110405</v>
      </c>
      <c r="I1447" s="11" t="s">
        <v>56</v>
      </c>
      <c r="J1447" s="9" t="n">
        <v>1530025</v>
      </c>
      <c r="L1447" s="9" t="n">
        <v>208184</v>
      </c>
      <c r="M1447" s="11" t="s">
        <v>52</v>
      </c>
      <c r="N1447" s="11" t="s">
        <v>45</v>
      </c>
      <c r="P1447" s="9" t="n">
        <v>113</v>
      </c>
      <c r="Q1447" s="11" t="s">
        <v>46</v>
      </c>
      <c r="R1447" s="11" t="s">
        <v>47</v>
      </c>
      <c r="S1447" s="9" t="n">
        <v>1130101</v>
      </c>
      <c r="T1447" s="11" t="s">
        <v>48</v>
      </c>
      <c r="U1447" s="12" t="n">
        <v>216.5</v>
      </c>
      <c r="W1447" s="12" t="n">
        <v>216.5</v>
      </c>
      <c r="X1447" s="11" t="s">
        <v>408</v>
      </c>
      <c r="Z1447" s="0" t="str">
        <f aca="false">IF($T1447="","",IFERROR(INDEX('Resumo Grupos'!$AC$3:$AC$200,MATCH($T1447,'Resumo Grupos'!$AB$3:$AB$200,0)),"n/d"))</f>
        <v>Mercadoria</v>
      </c>
      <c r="AA1447" s="0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9" t="n">
        <v>2</v>
      </c>
      <c r="B1448" s="10" t="n">
        <v>46244</v>
      </c>
      <c r="C1448" s="10" t="n">
        <v>46248</v>
      </c>
      <c r="D1448" s="9" t="n">
        <v>1683</v>
      </c>
      <c r="E1448" s="11" t="s">
        <v>406</v>
      </c>
      <c r="F1448" s="9" t="n">
        <v>34</v>
      </c>
      <c r="G1448" s="11" t="s">
        <v>55</v>
      </c>
      <c r="H1448" s="9" t="n">
        <v>2110405</v>
      </c>
      <c r="I1448" s="11" t="s">
        <v>56</v>
      </c>
      <c r="J1448" s="9" t="n">
        <v>1530030</v>
      </c>
      <c r="L1448" s="9" t="n">
        <v>208186</v>
      </c>
      <c r="M1448" s="11" t="s">
        <v>52</v>
      </c>
      <c r="N1448" s="11" t="s">
        <v>45</v>
      </c>
      <c r="P1448" s="9" t="n">
        <v>113</v>
      </c>
      <c r="Q1448" s="11" t="s">
        <v>46</v>
      </c>
      <c r="R1448" s="11" t="s">
        <v>47</v>
      </c>
      <c r="S1448" s="9" t="n">
        <v>1130101</v>
      </c>
      <c r="T1448" s="11" t="s">
        <v>48</v>
      </c>
      <c r="U1448" s="12" t="n">
        <v>136</v>
      </c>
      <c r="W1448" s="12" t="n">
        <v>136</v>
      </c>
      <c r="X1448" s="11" t="s">
        <v>408</v>
      </c>
      <c r="Z1448" s="0" t="str">
        <f aca="false">IF($T1448="","",IFERROR(INDEX('Resumo Grupos'!$AC$3:$AC$200,MATCH($T1448,'Resumo Grupos'!$AB$3:$AB$200,0)),"n/d"))</f>
        <v>Mercadoria</v>
      </c>
      <c r="AA1448" s="0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9" t="n">
        <v>2</v>
      </c>
      <c r="B1449" s="10" t="n">
        <v>46248</v>
      </c>
      <c r="C1449" s="10" t="n">
        <v>46248</v>
      </c>
      <c r="D1449" s="9" t="n">
        <v>1683</v>
      </c>
      <c r="E1449" s="11" t="s">
        <v>406</v>
      </c>
      <c r="F1449" s="9" t="n">
        <v>34</v>
      </c>
      <c r="G1449" s="11" t="s">
        <v>55</v>
      </c>
      <c r="H1449" s="9" t="n">
        <v>2110405</v>
      </c>
      <c r="I1449" s="11" t="s">
        <v>56</v>
      </c>
      <c r="J1449" s="9" t="n">
        <v>1551207</v>
      </c>
      <c r="L1449" s="9" t="n">
        <v>211669</v>
      </c>
      <c r="M1449" s="11" t="s">
        <v>52</v>
      </c>
      <c r="N1449" s="11" t="s">
        <v>45</v>
      </c>
      <c r="P1449" s="9" t="n">
        <v>113</v>
      </c>
      <c r="Q1449" s="11" t="s">
        <v>46</v>
      </c>
      <c r="R1449" s="11" t="s">
        <v>47</v>
      </c>
      <c r="S1449" s="9" t="n">
        <v>1130101</v>
      </c>
      <c r="T1449" s="11" t="s">
        <v>48</v>
      </c>
      <c r="U1449" s="12" t="n">
        <v>117</v>
      </c>
      <c r="W1449" s="12" t="n">
        <v>117</v>
      </c>
      <c r="X1449" s="11" t="s">
        <v>408</v>
      </c>
      <c r="Z1449" s="0" t="str">
        <f aca="false">IF($T1449="","",IFERROR(INDEX('Resumo Grupos'!$AC$3:$AC$200,MATCH($T1449,'Resumo Grupos'!$AB$3:$AB$200,0)),"n/d"))</f>
        <v>Mercadoria</v>
      </c>
      <c r="AA1449" s="0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9" t="n">
        <v>2</v>
      </c>
      <c r="B1450" s="10" t="n">
        <v>46248</v>
      </c>
      <c r="C1450" s="10" t="n">
        <v>46248</v>
      </c>
      <c r="D1450" s="9" t="n">
        <v>1683</v>
      </c>
      <c r="E1450" s="11" t="s">
        <v>406</v>
      </c>
      <c r="F1450" s="9" t="n">
        <v>34</v>
      </c>
      <c r="G1450" s="11" t="s">
        <v>55</v>
      </c>
      <c r="H1450" s="9" t="n">
        <v>2110405</v>
      </c>
      <c r="I1450" s="11" t="s">
        <v>56</v>
      </c>
      <c r="J1450" s="9" t="n">
        <v>1551209</v>
      </c>
      <c r="L1450" s="9" t="n">
        <v>211671</v>
      </c>
      <c r="M1450" s="11" t="s">
        <v>52</v>
      </c>
      <c r="N1450" s="11" t="s">
        <v>45</v>
      </c>
      <c r="P1450" s="9" t="n">
        <v>113</v>
      </c>
      <c r="Q1450" s="11" t="s">
        <v>46</v>
      </c>
      <c r="R1450" s="11" t="s">
        <v>47</v>
      </c>
      <c r="S1450" s="9" t="n">
        <v>1130101</v>
      </c>
      <c r="T1450" s="11" t="s">
        <v>48</v>
      </c>
      <c r="U1450" s="12" t="n">
        <v>79</v>
      </c>
      <c r="W1450" s="12" t="n">
        <v>79</v>
      </c>
      <c r="X1450" s="11" t="s">
        <v>408</v>
      </c>
      <c r="Z1450" s="0" t="str">
        <f aca="false">IF($T1450="","",IFERROR(INDEX('Resumo Grupos'!$AC$3:$AC$200,MATCH($T1450,'Resumo Grupos'!$AB$3:$AB$200,0)),"n/d"))</f>
        <v>Mercadoria</v>
      </c>
      <c r="AA1450" s="0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9" t="n">
        <v>2</v>
      </c>
      <c r="B1451" s="10" t="n">
        <v>46241</v>
      </c>
      <c r="C1451" s="10" t="n">
        <v>46248</v>
      </c>
      <c r="D1451" s="9" t="n">
        <v>10019</v>
      </c>
      <c r="E1451" s="11" t="s">
        <v>268</v>
      </c>
      <c r="F1451" s="9" t="n">
        <v>24</v>
      </c>
      <c r="G1451" s="11" t="s">
        <v>51</v>
      </c>
      <c r="H1451" s="9" t="n">
        <v>2110405</v>
      </c>
      <c r="I1451" s="11" t="s">
        <v>56</v>
      </c>
      <c r="J1451" s="9" t="n">
        <v>1514128</v>
      </c>
      <c r="L1451" s="9" t="n">
        <v>205960</v>
      </c>
      <c r="M1451" s="11" t="s">
        <v>52</v>
      </c>
      <c r="N1451" s="11" t="s">
        <v>45</v>
      </c>
      <c r="P1451" s="9" t="n">
        <v>113</v>
      </c>
      <c r="Q1451" s="11" t="s">
        <v>46</v>
      </c>
      <c r="R1451" s="11" t="s">
        <v>47</v>
      </c>
      <c r="S1451" s="9" t="n">
        <v>1130101</v>
      </c>
      <c r="T1451" s="11" t="s">
        <v>48</v>
      </c>
      <c r="U1451" s="12" t="n">
        <v>1023.98</v>
      </c>
      <c r="W1451" s="12" t="n">
        <v>1023.98</v>
      </c>
      <c r="X1451" s="11" t="s">
        <v>1316</v>
      </c>
      <c r="Z1451" s="0" t="str">
        <f aca="false">IF($T1451="","",IFERROR(INDEX('Resumo Grupos'!$AC$3:$AC$200,MATCH($T1451,'Resumo Grupos'!$AB$3:$AB$200,0)),"n/d"))</f>
        <v>Mercadoria</v>
      </c>
      <c r="AA1451" s="0" t="str">
        <f aca="false">IF($T1451="","",IF(COUNTIF('Resumo Grupos'!$AE$3:$AE$40,$T1451)&gt;0,"NAO","SIM"))</f>
        <v>SIM</v>
      </c>
      <c r="AB1451" s="0" t="str">
        <f aca="false">IFERROR(INDEX('Mov Entradas (Rel 10497)'!$L:$L,MATCH(AC1451,'Mov Entradas (Rel 10497)'!$I:$I,0)),"nao encontrado")</f>
        <v>COXAO MOLE KG</v>
      </c>
      <c r="AC1451" s="0" t="n">
        <v>32318</v>
      </c>
    </row>
    <row r="1452" customFormat="false" ht="12.75" hidden="false" customHeight="true" outlineLevel="0" collapsed="false">
      <c r="A1452" s="9" t="n">
        <v>2</v>
      </c>
      <c r="B1452" s="10" t="n">
        <v>46248</v>
      </c>
      <c r="C1452" s="10" t="n">
        <v>46248</v>
      </c>
      <c r="D1452" s="9" t="n">
        <v>1037</v>
      </c>
      <c r="E1452" s="11" t="s">
        <v>134</v>
      </c>
      <c r="F1452" s="9" t="n">
        <v>34</v>
      </c>
      <c r="G1452" s="11" t="s">
        <v>55</v>
      </c>
      <c r="H1452" s="9" t="n">
        <v>2110405</v>
      </c>
      <c r="I1452" s="11" t="s">
        <v>56</v>
      </c>
      <c r="J1452" s="9" t="n">
        <v>1546883</v>
      </c>
      <c r="L1452" s="9" t="n">
        <v>211309</v>
      </c>
      <c r="M1452" s="11" t="s">
        <v>52</v>
      </c>
      <c r="N1452" s="11" t="s">
        <v>45</v>
      </c>
      <c r="P1452" s="9" t="n">
        <v>113</v>
      </c>
      <c r="Q1452" s="11" t="s">
        <v>46</v>
      </c>
      <c r="R1452" s="11" t="s">
        <v>47</v>
      </c>
      <c r="S1452" s="9" t="n">
        <v>1130101</v>
      </c>
      <c r="T1452" s="11" t="s">
        <v>48</v>
      </c>
      <c r="U1452" s="12" t="n">
        <v>399</v>
      </c>
      <c r="W1452" s="12" t="n">
        <v>399</v>
      </c>
      <c r="X1452" s="11" t="s">
        <v>1317</v>
      </c>
      <c r="Z1452" s="0" t="str">
        <f aca="false">IF($T1452="","",IFERROR(INDEX('Resumo Grupos'!$AC$3:$AC$200,MATCH($T1452,'Resumo Grupos'!$AB$3:$AB$200,0)),"n/d"))</f>
        <v>Mercadoria</v>
      </c>
      <c r="AA1452" s="0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9" t="n">
        <v>2</v>
      </c>
      <c r="B1453" s="10" t="n">
        <v>46241</v>
      </c>
      <c r="C1453" s="10" t="n">
        <v>46248</v>
      </c>
      <c r="D1453" s="9" t="n">
        <v>560</v>
      </c>
      <c r="E1453" s="11" t="s">
        <v>453</v>
      </c>
      <c r="F1453" s="9" t="n">
        <v>24</v>
      </c>
      <c r="G1453" s="11" t="s">
        <v>51</v>
      </c>
      <c r="H1453" s="9" t="n">
        <v>2110405</v>
      </c>
      <c r="I1453" s="11" t="s">
        <v>56</v>
      </c>
      <c r="J1453" s="9" t="n">
        <v>1513967</v>
      </c>
      <c r="L1453" s="9" t="n">
        <v>205910</v>
      </c>
      <c r="M1453" s="11" t="s">
        <v>52</v>
      </c>
      <c r="N1453" s="11" t="s">
        <v>45</v>
      </c>
      <c r="P1453" s="9" t="n">
        <v>113</v>
      </c>
      <c r="Q1453" s="11" t="s">
        <v>46</v>
      </c>
      <c r="R1453" s="11" t="s">
        <v>47</v>
      </c>
      <c r="S1453" s="9" t="n">
        <v>1130101</v>
      </c>
      <c r="T1453" s="11" t="s">
        <v>48</v>
      </c>
      <c r="U1453" s="12" t="n">
        <v>250</v>
      </c>
      <c r="W1453" s="12" t="n">
        <v>250</v>
      </c>
      <c r="X1453" s="11" t="s">
        <v>1318</v>
      </c>
      <c r="Z1453" s="0" t="str">
        <f aca="false">IF($T1453="","",IFERROR(INDEX('Resumo Grupos'!$AC$3:$AC$200,MATCH($T1453,'Resumo Grupos'!$AB$3:$AB$200,0)),"n/d"))</f>
        <v>Mercadoria</v>
      </c>
      <c r="AA1453" s="0" t="str">
        <f aca="false">IF($T1453="","",IF(COUNTIF('Resumo Grupos'!$AE$3:$AE$40,$T1453)&gt;0,"NAO","SIM"))</f>
        <v>SIM</v>
      </c>
      <c r="AB1453" s="0" t="str">
        <f aca="false">IFERROR(INDEX('Mov Entradas (Rel 10497)'!$L:$L,MATCH(AC1453,'Mov Entradas (Rel 10497)'!$I:$I,0)),"nao encontrado")</f>
        <v>BISCOITOS DA MARIA S</v>
      </c>
      <c r="AC1453" s="0" t="n">
        <v>1978</v>
      </c>
    </row>
    <row r="1454" customFormat="false" ht="36.75" hidden="false" customHeight="true" outlineLevel="0" collapsed="false">
      <c r="A1454" s="9" t="n">
        <v>2</v>
      </c>
      <c r="B1454" s="10" t="n">
        <v>46227</v>
      </c>
      <c r="C1454" s="10" t="n">
        <v>46248</v>
      </c>
      <c r="D1454" s="9" t="n">
        <v>1700</v>
      </c>
      <c r="E1454" s="11" t="s">
        <v>1215</v>
      </c>
      <c r="F1454" s="9" t="n">
        <v>24</v>
      </c>
      <c r="G1454" s="11" t="s">
        <v>51</v>
      </c>
      <c r="H1454" s="9" t="n">
        <v>2110405</v>
      </c>
      <c r="I1454" s="11" t="s">
        <v>56</v>
      </c>
      <c r="J1454" s="9" t="n">
        <v>1444978</v>
      </c>
      <c r="L1454" s="9" t="n">
        <v>195524</v>
      </c>
      <c r="M1454" s="11" t="s">
        <v>52</v>
      </c>
      <c r="N1454" s="11" t="s">
        <v>45</v>
      </c>
      <c r="P1454" s="9" t="n">
        <v>113</v>
      </c>
      <c r="Q1454" s="11" t="s">
        <v>46</v>
      </c>
      <c r="R1454" s="11" t="s">
        <v>47</v>
      </c>
      <c r="S1454" s="9" t="n">
        <v>1130101</v>
      </c>
      <c r="T1454" s="11" t="s">
        <v>48</v>
      </c>
      <c r="U1454" s="12" t="n">
        <v>690</v>
      </c>
      <c r="W1454" s="12" t="n">
        <v>690</v>
      </c>
      <c r="X1454" s="11" t="s">
        <v>1216</v>
      </c>
      <c r="Z1454" s="0" t="str">
        <f aca="false">IF($T1454="","",IFERROR(INDEX('Resumo Grupos'!$AC$3:$AC$200,MATCH($T1454,'Resumo Grupos'!$AB$3:$AB$200,0)),"n/d"))</f>
        <v>Mercadoria</v>
      </c>
      <c r="AA1454" s="0" t="str">
        <f aca="false">IF($T1454="","",IF(COUNTIF('Resumo Grupos'!$AE$3:$AE$40,$T1454)&gt;0,"NAO","SIM"))</f>
        <v>SIM</v>
      </c>
      <c r="AB1454" s="0" t="str">
        <f aca="false">IFERROR(INDEX('Mov Entradas (Rel 10497)'!$L:$L,MATCH(AC1454,'Mov Entradas (Rel 10497)'!$I:$I,0)),"nao encontrado")</f>
        <v>OLEO DE SOJA CONCORD</v>
      </c>
      <c r="AC1454" s="0" t="n">
        <v>294640</v>
      </c>
    </row>
    <row r="1455" customFormat="false" ht="54.75" hidden="false" customHeight="true" outlineLevel="0" collapsed="false">
      <c r="A1455" s="9" t="n">
        <v>2</v>
      </c>
      <c r="B1455" s="10" t="n">
        <v>46248</v>
      </c>
      <c r="C1455" s="10" t="n">
        <v>46248</v>
      </c>
      <c r="D1455" s="9" t="n">
        <v>48</v>
      </c>
      <c r="E1455" s="11" t="s">
        <v>153</v>
      </c>
      <c r="F1455" s="9" t="n">
        <v>13</v>
      </c>
      <c r="G1455" s="11" t="s">
        <v>135</v>
      </c>
      <c r="H1455" s="9" t="n">
        <v>2110101</v>
      </c>
      <c r="I1455" s="11" t="s">
        <v>43</v>
      </c>
      <c r="J1455" s="9" t="n">
        <v>1545625</v>
      </c>
      <c r="L1455" s="9" t="n">
        <v>2603</v>
      </c>
      <c r="M1455" s="11" t="s">
        <v>52</v>
      </c>
      <c r="N1455" s="11" t="s">
        <v>37</v>
      </c>
      <c r="P1455" s="9" t="n">
        <v>113</v>
      </c>
      <c r="Q1455" s="11" t="s">
        <v>46</v>
      </c>
      <c r="R1455" s="11" t="s">
        <v>47</v>
      </c>
      <c r="S1455" s="9" t="n">
        <v>1130101</v>
      </c>
      <c r="T1455" s="11" t="s">
        <v>48</v>
      </c>
      <c r="U1455" s="12" t="n">
        <v>225</v>
      </c>
      <c r="W1455" s="12" t="n">
        <v>0</v>
      </c>
      <c r="X1455" s="11" t="s">
        <v>1319</v>
      </c>
      <c r="Z1455" s="0" t="str">
        <f aca="false">IF($T1455="","",IFERROR(INDEX('Resumo Grupos'!$AC$3:$AC$200,MATCH($T1455,'Resumo Grupos'!$AB$3:$AB$200,0)),"n/d"))</f>
        <v>Mercadoria</v>
      </c>
      <c r="AA1455" s="0" t="str">
        <f aca="false">IF($T1455="","",IF(COUNTIF('Resumo Grupos'!$AE$3:$AE$40,$T1455)&gt;0,"NAO","SIM"))</f>
        <v>SIM</v>
      </c>
    </row>
    <row r="1456" customFormat="false" ht="36.75" hidden="false" customHeight="true" outlineLevel="0" collapsed="false">
      <c r="A1456" s="9" t="n">
        <v>2</v>
      </c>
      <c r="B1456" s="10" t="n">
        <v>46248</v>
      </c>
      <c r="C1456" s="10" t="n">
        <v>46248</v>
      </c>
      <c r="D1456" s="9" t="n">
        <v>48</v>
      </c>
      <c r="E1456" s="11" t="s">
        <v>153</v>
      </c>
      <c r="F1456" s="9" t="n">
        <v>34</v>
      </c>
      <c r="G1456" s="11" t="s">
        <v>55</v>
      </c>
      <c r="H1456" s="9" t="n">
        <v>2110101</v>
      </c>
      <c r="I1456" s="11" t="s">
        <v>43</v>
      </c>
      <c r="J1456" s="9" t="n">
        <v>1546719</v>
      </c>
      <c r="L1456" s="9" t="n">
        <v>2604</v>
      </c>
      <c r="M1456" s="11" t="s">
        <v>52</v>
      </c>
      <c r="N1456" s="11" t="s">
        <v>37</v>
      </c>
      <c r="P1456" s="9" t="n">
        <v>113</v>
      </c>
      <c r="Q1456" s="11" t="s">
        <v>46</v>
      </c>
      <c r="R1456" s="11" t="s">
        <v>47</v>
      </c>
      <c r="S1456" s="9" t="n">
        <v>1130101</v>
      </c>
      <c r="T1456" s="11" t="s">
        <v>48</v>
      </c>
      <c r="U1456" s="12" t="n">
        <v>115</v>
      </c>
      <c r="W1456" s="12" t="n">
        <v>115</v>
      </c>
      <c r="X1456" s="11" t="s">
        <v>1320</v>
      </c>
      <c r="Z1456" s="0" t="str">
        <f aca="false">IF($T1456="","",IFERROR(INDEX('Resumo Grupos'!$AC$3:$AC$200,MATCH($T1456,'Resumo Grupos'!$AB$3:$AB$200,0)),"n/d"))</f>
        <v>Mercadoria</v>
      </c>
      <c r="AA1456" s="0" t="str">
        <f aca="false">IF($T1456="","",IF(COUNTIF('Resumo Grupos'!$AE$3:$AE$40,$T1456)&gt;0,"NAO","SIM"))</f>
        <v>SIM</v>
      </c>
    </row>
    <row r="1457" customFormat="false" ht="36.75" hidden="false" customHeight="true" outlineLevel="0" collapsed="false">
      <c r="A1457" s="9" t="n">
        <v>2</v>
      </c>
      <c r="B1457" s="10" t="n">
        <v>46248</v>
      </c>
      <c r="C1457" s="10" t="n">
        <v>46248</v>
      </c>
      <c r="D1457" s="9" t="n">
        <v>48</v>
      </c>
      <c r="E1457" s="11" t="s">
        <v>153</v>
      </c>
      <c r="F1457" s="9" t="n">
        <v>34</v>
      </c>
      <c r="G1457" s="11" t="s">
        <v>55</v>
      </c>
      <c r="H1457" s="9" t="n">
        <v>2110101</v>
      </c>
      <c r="I1457" s="11" t="s">
        <v>43</v>
      </c>
      <c r="J1457" s="9" t="n">
        <v>1546864</v>
      </c>
      <c r="L1457" s="9" t="n">
        <v>2605</v>
      </c>
      <c r="M1457" s="11" t="s">
        <v>52</v>
      </c>
      <c r="N1457" s="11" t="s">
        <v>37</v>
      </c>
      <c r="P1457" s="9" t="n">
        <v>113</v>
      </c>
      <c r="Q1457" s="11" t="s">
        <v>46</v>
      </c>
      <c r="R1457" s="11" t="s">
        <v>47</v>
      </c>
      <c r="S1457" s="9" t="n">
        <v>1130101</v>
      </c>
      <c r="T1457" s="11" t="s">
        <v>48</v>
      </c>
      <c r="U1457" s="12" t="n">
        <v>1899.7</v>
      </c>
      <c r="W1457" s="12" t="n">
        <v>1899.7</v>
      </c>
      <c r="X1457" s="11" t="s">
        <v>1321</v>
      </c>
      <c r="Z1457" s="0" t="str">
        <f aca="false">IF($T1457="","",IFERROR(INDEX('Resumo Grupos'!$AC$3:$AC$200,MATCH($T1457,'Resumo Grupos'!$AB$3:$AB$200,0)),"n/d"))</f>
        <v>Mercadoria</v>
      </c>
      <c r="AA1457" s="0" t="str">
        <f aca="false">IF($T1457="","",IF(COUNTIF('Resumo Grupos'!$AE$3:$AE$40,$T1457)&gt;0,"NAO","SIM"))</f>
        <v>SIM</v>
      </c>
    </row>
    <row r="1458" customFormat="false" ht="36.75" hidden="false" customHeight="true" outlineLevel="0" collapsed="false">
      <c r="A1458" s="9" t="n">
        <v>2</v>
      </c>
      <c r="B1458" s="10" t="n">
        <v>46221</v>
      </c>
      <c r="C1458" s="10" t="n">
        <v>46248</v>
      </c>
      <c r="D1458" s="9" t="n">
        <v>1830</v>
      </c>
      <c r="E1458" s="11" t="s">
        <v>520</v>
      </c>
      <c r="F1458" s="9" t="n">
        <v>24</v>
      </c>
      <c r="G1458" s="11" t="s">
        <v>51</v>
      </c>
      <c r="H1458" s="9" t="n">
        <v>2110405</v>
      </c>
      <c r="I1458" s="11" t="s">
        <v>56</v>
      </c>
      <c r="J1458" s="9" t="n">
        <v>1415299</v>
      </c>
      <c r="L1458" s="9" t="n">
        <v>1124</v>
      </c>
      <c r="M1458" s="11" t="s">
        <v>52</v>
      </c>
      <c r="N1458" s="11" t="s">
        <v>45</v>
      </c>
      <c r="P1458" s="9" t="n">
        <v>101</v>
      </c>
      <c r="Q1458" s="11" t="s">
        <v>57</v>
      </c>
      <c r="R1458" s="11" t="s">
        <v>71</v>
      </c>
      <c r="S1458" s="9" t="n">
        <v>4210319</v>
      </c>
      <c r="T1458" s="11" t="s">
        <v>521</v>
      </c>
      <c r="U1458" s="12" t="n">
        <v>55</v>
      </c>
      <c r="W1458" s="12" t="n">
        <v>55</v>
      </c>
      <c r="X1458" s="11" t="s">
        <v>1322</v>
      </c>
      <c r="Z1458" s="0" t="str">
        <f aca="false">IF($T1458="","",IFERROR(INDEX('Resumo Grupos'!$AC$3:$AC$200,MATCH($T1458,'Resumo Grupos'!$AB$3:$AB$200,0)),"n/d"))</f>
        <v>Salários</v>
      </c>
      <c r="AA1458" s="0" t="str">
        <f aca="false">IF($T1458="","",IF(COUNTIF('Resumo Grupos'!$AE$3:$AE$40,$T1458)&gt;0,"NAO","SIM"))</f>
        <v>SIM</v>
      </c>
    </row>
    <row r="1459" customFormat="false" ht="36.75" hidden="false" customHeight="true" outlineLevel="0" collapsed="false">
      <c r="A1459" s="9" t="n">
        <v>2</v>
      </c>
      <c r="B1459" s="10" t="n">
        <v>46235</v>
      </c>
      <c r="C1459" s="10" t="n">
        <v>46248</v>
      </c>
      <c r="D1459" s="9" t="n">
        <v>1749</v>
      </c>
      <c r="E1459" s="11" t="s">
        <v>585</v>
      </c>
      <c r="F1459" s="9" t="n">
        <v>24</v>
      </c>
      <c r="G1459" s="11" t="s">
        <v>51</v>
      </c>
      <c r="H1459" s="9" t="n">
        <v>2110405</v>
      </c>
      <c r="I1459" s="11" t="s">
        <v>56</v>
      </c>
      <c r="J1459" s="9" t="n">
        <v>1482084</v>
      </c>
      <c r="L1459" s="9" t="n">
        <v>201176</v>
      </c>
      <c r="M1459" s="11" t="s">
        <v>52</v>
      </c>
      <c r="N1459" s="11" t="s">
        <v>45</v>
      </c>
      <c r="P1459" s="9" t="n">
        <v>113</v>
      </c>
      <c r="Q1459" s="11" t="s">
        <v>46</v>
      </c>
      <c r="R1459" s="11" t="s">
        <v>47</v>
      </c>
      <c r="S1459" s="9" t="n">
        <v>1130101</v>
      </c>
      <c r="T1459" s="11" t="s">
        <v>48</v>
      </c>
      <c r="U1459" s="12" t="n">
        <v>2975.9</v>
      </c>
      <c r="W1459" s="12" t="n">
        <v>2975.9</v>
      </c>
      <c r="X1459" s="11" t="s">
        <v>1323</v>
      </c>
      <c r="Z1459" s="0" t="str">
        <f aca="false">IF($T1459="","",IFERROR(INDEX('Resumo Grupos'!$AC$3:$AC$200,MATCH($T1459,'Resumo Grupos'!$AB$3:$AB$200,0)),"n/d"))</f>
        <v>Mercadoria</v>
      </c>
      <c r="AA1459" s="0" t="str">
        <f aca="false">IF($T1459="","",IF(COUNTIF('Resumo Grupos'!$AE$3:$AE$40,$T1459)&gt;0,"NAO","SIM"))</f>
        <v>SIM</v>
      </c>
      <c r="AB1459" s="0" t="str">
        <f aca="false">IFERROR(INDEX('Mov Entradas (Rel 10497)'!$L:$L,MATCH(AC1459,'Mov Entradas (Rel 10497)'!$I:$I,0)),"nao encontrado")</f>
        <v>ARROZ BRANCO FACCIO 1KG</v>
      </c>
      <c r="AC1459" s="0" t="n">
        <v>3040</v>
      </c>
    </row>
    <row r="1460" customFormat="false" ht="54.75" hidden="false" customHeight="true" outlineLevel="0" collapsed="false">
      <c r="A1460" s="9" t="n">
        <v>2</v>
      </c>
      <c r="B1460" s="10" t="n">
        <v>46248</v>
      </c>
      <c r="C1460" s="10" t="n">
        <v>46248</v>
      </c>
      <c r="D1460" s="9" t="n">
        <v>1936</v>
      </c>
      <c r="E1460" s="11" t="s">
        <v>1277</v>
      </c>
      <c r="F1460" s="9" t="n">
        <v>24</v>
      </c>
      <c r="G1460" s="11" t="s">
        <v>51</v>
      </c>
      <c r="H1460" s="9" t="n">
        <v>2110405</v>
      </c>
      <c r="I1460" s="11" t="s">
        <v>56</v>
      </c>
      <c r="J1460" s="9" t="n">
        <v>1545262</v>
      </c>
      <c r="L1460" s="9" t="n">
        <v>210891</v>
      </c>
      <c r="M1460" s="11" t="s">
        <v>52</v>
      </c>
      <c r="N1460" s="11" t="s">
        <v>45</v>
      </c>
      <c r="P1460" s="9" t="n">
        <v>101</v>
      </c>
      <c r="Q1460" s="11" t="s">
        <v>57</v>
      </c>
      <c r="R1460" s="11" t="s">
        <v>47</v>
      </c>
      <c r="S1460" s="9" t="n">
        <v>1130101</v>
      </c>
      <c r="T1460" s="11" t="s">
        <v>48</v>
      </c>
      <c r="U1460" s="12" t="n">
        <v>585</v>
      </c>
      <c r="W1460" s="12" t="n">
        <v>585</v>
      </c>
      <c r="X1460" s="11" t="s">
        <v>1324</v>
      </c>
      <c r="Z1460" s="0" t="str">
        <f aca="false">IF($T1460="","",IFERROR(INDEX('Resumo Grupos'!$AC$3:$AC$200,MATCH($T1460,'Resumo Grupos'!$AB$3:$AB$200,0)),"n/d"))</f>
        <v>Mercadoria</v>
      </c>
      <c r="AA1460" s="0" t="str">
        <f aca="false">IF($T1460="","",IF(COUNTIF('Resumo Grupos'!$AE$3:$AE$40,$T1460)&gt;0,"NAO","SIM"))</f>
        <v>SIM</v>
      </c>
    </row>
    <row r="1461" customFormat="false" ht="36.75" hidden="false" customHeight="true" outlineLevel="0" collapsed="false">
      <c r="A1461" s="9" t="n">
        <v>2</v>
      </c>
      <c r="B1461" s="10" t="n">
        <v>46223</v>
      </c>
      <c r="C1461" s="10" t="n">
        <v>46248</v>
      </c>
      <c r="D1461" s="9" t="n">
        <v>10012</v>
      </c>
      <c r="E1461" s="11" t="s">
        <v>185</v>
      </c>
      <c r="F1461" s="9" t="n">
        <v>24</v>
      </c>
      <c r="G1461" s="11" t="s">
        <v>51</v>
      </c>
      <c r="H1461" s="9" t="n">
        <v>2110405</v>
      </c>
      <c r="I1461" s="11" t="s">
        <v>56</v>
      </c>
      <c r="J1461" s="9" t="n">
        <v>1423840</v>
      </c>
      <c r="L1461" s="9" t="n">
        <v>190896</v>
      </c>
      <c r="M1461" s="11" t="s">
        <v>52</v>
      </c>
      <c r="N1461" s="11" t="s">
        <v>45</v>
      </c>
      <c r="P1461" s="9" t="n">
        <v>113</v>
      </c>
      <c r="Q1461" s="11" t="s">
        <v>46</v>
      </c>
      <c r="R1461" s="11" t="s">
        <v>47</v>
      </c>
      <c r="S1461" s="9" t="n">
        <v>1130101</v>
      </c>
      <c r="T1461" s="11" t="s">
        <v>48</v>
      </c>
      <c r="U1461" s="12" t="n">
        <v>945.12</v>
      </c>
      <c r="W1461" s="12" t="n">
        <v>945.12</v>
      </c>
      <c r="X1461" s="11" t="s">
        <v>1325</v>
      </c>
      <c r="Z1461" s="0" t="str">
        <f aca="false">IF($T1461="","",IFERROR(INDEX('Resumo Grupos'!$AC$3:$AC$200,MATCH($T1461,'Resumo Grupos'!$AB$3:$AB$200,0)),"n/d"))</f>
        <v>Mercadoria</v>
      </c>
      <c r="AA1461" s="0" t="str">
        <f aca="false">IF($T1461="","",IF(COUNTIF('Resumo Grupos'!$AE$3:$AE$40,$T1461)&gt;0,"NAO","SIM"))</f>
        <v>SIM</v>
      </c>
      <c r="AB1461" s="0" t="str">
        <f aca="false">IFERROR(INDEX('Mov Entradas (Rel 10497)'!$L:$L,MATCH(AC1461,'Mov Entradas (Rel 10497)'!$I:$I,0)),"nao encontrado")</f>
        <v>FRALDA PANDA G 07UN</v>
      </c>
      <c r="AC1461" s="0" t="n">
        <v>1964289</v>
      </c>
    </row>
    <row r="1462" customFormat="false" ht="36.75" hidden="false" customHeight="true" outlineLevel="0" collapsed="false">
      <c r="A1462" s="9" t="n">
        <v>2</v>
      </c>
      <c r="B1462" s="10" t="n">
        <v>46248</v>
      </c>
      <c r="C1462" s="10" t="n">
        <v>46248</v>
      </c>
      <c r="D1462" s="9" t="n">
        <v>0</v>
      </c>
      <c r="E1462" s="11" t="s">
        <v>109</v>
      </c>
      <c r="F1462" s="9" t="n">
        <v>17</v>
      </c>
      <c r="G1462" s="11" t="s">
        <v>110</v>
      </c>
      <c r="H1462" s="9" t="n">
        <v>1110101</v>
      </c>
      <c r="I1462" s="11" t="s">
        <v>111</v>
      </c>
      <c r="J1462" s="9" t="n">
        <v>1551265</v>
      </c>
      <c r="L1462" s="9" t="n">
        <v>1551265</v>
      </c>
      <c r="M1462" s="11" t="s">
        <v>52</v>
      </c>
      <c r="N1462" s="11" t="s">
        <v>112</v>
      </c>
      <c r="P1462" s="9" t="n">
        <v>113</v>
      </c>
      <c r="Q1462" s="11" t="s">
        <v>46</v>
      </c>
      <c r="R1462" s="11" t="s">
        <v>71</v>
      </c>
      <c r="S1462" s="9" t="n">
        <v>4210314</v>
      </c>
      <c r="T1462" s="11" t="s">
        <v>113</v>
      </c>
      <c r="U1462" s="12" t="n">
        <v>50</v>
      </c>
      <c r="W1462" s="12" t="n">
        <v>50</v>
      </c>
      <c r="X1462" s="11" t="s">
        <v>368</v>
      </c>
      <c r="Z1462" s="0" t="str">
        <f aca="false">IF($T1462="","",IFERROR(INDEX('Resumo Grupos'!$AC$3:$AC$200,MATCH($T1462,'Resumo Grupos'!$AB$3:$AB$200,0)),"n/d"))</f>
        <v>Despesa</v>
      </c>
      <c r="AA1462" s="0" t="str">
        <f aca="false">IF($T1462="","",IF(COUNTIF('Resumo Grupos'!$AE$3:$AE$40,$T1462)&gt;0,"NAO","SIM"))</f>
        <v>SIM</v>
      </c>
    </row>
    <row r="1463" customFormat="false" ht="36.75" hidden="false" customHeight="true" outlineLevel="0" collapsed="false">
      <c r="A1463" s="9" t="n">
        <v>2</v>
      </c>
      <c r="B1463" s="10" t="n">
        <v>46248</v>
      </c>
      <c r="C1463" s="10" t="n">
        <v>46248</v>
      </c>
      <c r="D1463" s="9" t="n">
        <v>0</v>
      </c>
      <c r="E1463" s="11" t="s">
        <v>109</v>
      </c>
      <c r="F1463" s="9" t="n">
        <v>17</v>
      </c>
      <c r="G1463" s="11" t="s">
        <v>110</v>
      </c>
      <c r="H1463" s="9" t="n">
        <v>1110101</v>
      </c>
      <c r="I1463" s="11" t="s">
        <v>111</v>
      </c>
      <c r="J1463" s="9" t="n">
        <v>1551266</v>
      </c>
      <c r="L1463" s="9" t="n">
        <v>1551266</v>
      </c>
      <c r="M1463" s="11" t="s">
        <v>52</v>
      </c>
      <c r="N1463" s="11" t="s">
        <v>112</v>
      </c>
      <c r="P1463" s="9" t="n">
        <v>113</v>
      </c>
      <c r="Q1463" s="11" t="s">
        <v>46</v>
      </c>
      <c r="R1463" s="11" t="s">
        <v>71</v>
      </c>
      <c r="S1463" s="9" t="n">
        <v>4210314</v>
      </c>
      <c r="T1463" s="11" t="s">
        <v>113</v>
      </c>
      <c r="U1463" s="12" t="n">
        <v>70</v>
      </c>
      <c r="W1463" s="12" t="n">
        <v>70</v>
      </c>
      <c r="X1463" s="11" t="s">
        <v>187</v>
      </c>
      <c r="Z1463" s="0" t="str">
        <f aca="false">IF($T1463="","",IFERROR(INDEX('Resumo Grupos'!$AC$3:$AC$200,MATCH($T1463,'Resumo Grupos'!$AB$3:$AB$200,0)),"n/d"))</f>
        <v>Despesa</v>
      </c>
      <c r="AA1463" s="0" t="str">
        <f aca="false">IF($T1463="","",IF(COUNTIF('Resumo Grupos'!$AE$3:$AE$40,$T1463)&gt;0,"NAO","SIM"))</f>
        <v>SIM</v>
      </c>
    </row>
    <row r="1464" customFormat="false" ht="36.75" hidden="false" customHeight="true" outlineLevel="0" collapsed="false">
      <c r="A1464" s="9" t="n">
        <v>2</v>
      </c>
      <c r="B1464" s="10" t="n">
        <v>46248</v>
      </c>
      <c r="C1464" s="10" t="n">
        <v>46248</v>
      </c>
      <c r="D1464" s="9" t="n">
        <v>0</v>
      </c>
      <c r="E1464" s="11" t="s">
        <v>109</v>
      </c>
      <c r="F1464" s="9" t="n">
        <v>17</v>
      </c>
      <c r="G1464" s="11" t="s">
        <v>110</v>
      </c>
      <c r="H1464" s="9" t="n">
        <v>1110101</v>
      </c>
      <c r="I1464" s="11" t="s">
        <v>111</v>
      </c>
      <c r="J1464" s="9" t="n">
        <v>1716384</v>
      </c>
      <c r="L1464" s="9" t="n">
        <v>1716384</v>
      </c>
      <c r="M1464" s="11" t="s">
        <v>52</v>
      </c>
      <c r="N1464" s="11" t="s">
        <v>112</v>
      </c>
      <c r="P1464" s="9" t="n">
        <v>113</v>
      </c>
      <c r="Q1464" s="11" t="s">
        <v>46</v>
      </c>
      <c r="R1464" s="11" t="s">
        <v>116</v>
      </c>
      <c r="S1464" s="9" t="n">
        <v>1110203</v>
      </c>
      <c r="T1464" s="11" t="s">
        <v>117</v>
      </c>
      <c r="U1464" s="12" t="n">
        <v>2100</v>
      </c>
      <c r="W1464" s="12" t="n">
        <v>2100</v>
      </c>
      <c r="X1464" s="11" t="s">
        <v>1326</v>
      </c>
      <c r="Z1464" s="0" t="str">
        <f aca="false">IF($T1464="","",IFERROR(INDEX('Resumo Grupos'!$AC$3:$AC$200,MATCH($T1464,'Resumo Grupos'!$AB$3:$AB$200,0)),"n/d"))</f>
        <v>Despesa</v>
      </c>
      <c r="AA1464" s="0" t="str">
        <f aca="false">IF($T1464="","",IF(COUNTIF('Resumo Grupos'!$AE$3:$AE$40,$T1464)&gt;0,"NAO","SIM"))</f>
        <v>SIM</v>
      </c>
    </row>
    <row r="1465" customFormat="false" ht="36.75" hidden="false" customHeight="true" outlineLevel="0" collapsed="false">
      <c r="A1465" s="9" t="n">
        <v>2</v>
      </c>
      <c r="B1465" s="10" t="n">
        <v>46227</v>
      </c>
      <c r="C1465" s="10" t="n">
        <v>46248</v>
      </c>
      <c r="D1465" s="9" t="n">
        <v>1666</v>
      </c>
      <c r="E1465" s="11" t="s">
        <v>266</v>
      </c>
      <c r="F1465" s="9" t="n">
        <v>24</v>
      </c>
      <c r="G1465" s="11" t="s">
        <v>51</v>
      </c>
      <c r="H1465" s="9" t="n">
        <v>2110405</v>
      </c>
      <c r="I1465" s="11" t="s">
        <v>56</v>
      </c>
      <c r="J1465" s="9" t="n">
        <v>1443874</v>
      </c>
      <c r="L1465" s="9" t="n">
        <v>195268</v>
      </c>
      <c r="M1465" s="11" t="s">
        <v>52</v>
      </c>
      <c r="N1465" s="11" t="s">
        <v>45</v>
      </c>
      <c r="P1465" s="9" t="n">
        <v>113</v>
      </c>
      <c r="Q1465" s="11" t="s">
        <v>46</v>
      </c>
      <c r="R1465" s="11" t="s">
        <v>47</v>
      </c>
      <c r="S1465" s="9" t="n">
        <v>1130101</v>
      </c>
      <c r="T1465" s="11" t="s">
        <v>48</v>
      </c>
      <c r="U1465" s="12" t="n">
        <v>6409.6</v>
      </c>
      <c r="W1465" s="12" t="n">
        <v>6409.6</v>
      </c>
      <c r="X1465" s="11" t="s">
        <v>1126</v>
      </c>
      <c r="Z1465" s="0" t="str">
        <f aca="false">IF($T1465="","",IFERROR(INDEX('Resumo Grupos'!$AC$3:$AC$200,MATCH($T1465,'Resumo Grupos'!$AB$3:$AB$200,0)),"n/d"))</f>
        <v>Mercadoria</v>
      </c>
      <c r="AA1465" s="0" t="str">
        <f aca="false">IF($T1465="","",IF(COUNTIF('Resumo Grupos'!$AE$3:$AE$40,$T1465)&gt;0,"NAO","SIM"))</f>
        <v>SIM</v>
      </c>
      <c r="AB1465" s="0" t="str">
        <f aca="false">IFERROR(INDEX('Mov Entradas (Rel 10497)'!$L:$L,MATCH(AC1465,'Mov Entradas (Rel 10497)'!$I:$I,0)),"nao encontrado")</f>
        <v>TABACO TREVO NAT.45G</v>
      </c>
      <c r="AC1465" s="0" t="n">
        <v>568309</v>
      </c>
    </row>
    <row r="1466" customFormat="false" ht="54.75" hidden="false" customHeight="true" outlineLevel="0" collapsed="false">
      <c r="A1466" s="9" t="n">
        <v>2</v>
      </c>
      <c r="B1466" s="10" t="n">
        <v>46244</v>
      </c>
      <c r="C1466" s="10" t="n">
        <v>46248</v>
      </c>
      <c r="D1466" s="9" t="n">
        <v>1666</v>
      </c>
      <c r="E1466" s="11" t="s">
        <v>266</v>
      </c>
      <c r="F1466" s="9" t="n">
        <v>24</v>
      </c>
      <c r="G1466" s="11" t="s">
        <v>51</v>
      </c>
      <c r="H1466" s="9" t="n">
        <v>2110405</v>
      </c>
      <c r="I1466" s="11" t="s">
        <v>56</v>
      </c>
      <c r="J1466" s="9" t="n">
        <v>1529108</v>
      </c>
      <c r="L1466" s="9" t="n">
        <v>207934</v>
      </c>
      <c r="M1466" s="11" t="s">
        <v>52</v>
      </c>
      <c r="N1466" s="11" t="s">
        <v>45</v>
      </c>
      <c r="P1466" s="9" t="n">
        <v>113</v>
      </c>
      <c r="Q1466" s="11" t="s">
        <v>46</v>
      </c>
      <c r="R1466" s="11" t="s">
        <v>47</v>
      </c>
      <c r="S1466" s="9" t="n">
        <v>1130101</v>
      </c>
      <c r="T1466" s="11" t="s">
        <v>48</v>
      </c>
      <c r="U1466" s="12" t="n">
        <v>4470.03</v>
      </c>
      <c r="W1466" s="12" t="n">
        <v>4470.03</v>
      </c>
      <c r="X1466" s="11" t="s">
        <v>1327</v>
      </c>
      <c r="Z1466" s="0" t="str">
        <f aca="false">IF($T1466="","",IFERROR(INDEX('Resumo Grupos'!$AC$3:$AC$200,MATCH($T1466,'Resumo Grupos'!$AB$3:$AB$200,0)),"n/d"))</f>
        <v>Mercadoria</v>
      </c>
      <c r="AA1466" s="0" t="str">
        <f aca="false">IF($T1466="","",IF(COUNTIF('Resumo Grupos'!$AE$3:$AE$40,$T1466)&gt;0,"NAO","SIM"))</f>
        <v>SIM</v>
      </c>
      <c r="AB1466" s="0" t="str">
        <f aca="false">IFERROR(INDEX('Mov Entradas (Rel 10497)'!$L:$L,MATCH(AC1466,'Mov Entradas (Rel 10497)'!$I:$I,0)),"nao encontrado")</f>
        <v>DUNHILL CARLTON BLEN</v>
      </c>
      <c r="AC1466" s="0" t="n">
        <v>569335</v>
      </c>
    </row>
    <row r="1467" customFormat="false" ht="45.75" hidden="false" customHeight="true" outlineLevel="0" collapsed="false">
      <c r="A1467" s="9" t="n">
        <v>2</v>
      </c>
      <c r="B1467" s="10" t="n">
        <v>46226</v>
      </c>
      <c r="C1467" s="10" t="n">
        <v>46249</v>
      </c>
      <c r="D1467" s="9" t="n">
        <v>1659</v>
      </c>
      <c r="E1467" s="11" t="s">
        <v>214</v>
      </c>
      <c r="F1467" s="9" t="n">
        <v>24</v>
      </c>
      <c r="G1467" s="11" t="s">
        <v>51</v>
      </c>
      <c r="H1467" s="9" t="n">
        <v>2110405</v>
      </c>
      <c r="I1467" s="11" t="s">
        <v>56</v>
      </c>
      <c r="J1467" s="9" t="n">
        <v>1439439</v>
      </c>
      <c r="L1467" s="9" t="n">
        <v>194551</v>
      </c>
      <c r="M1467" s="11" t="s">
        <v>52</v>
      </c>
      <c r="N1467" s="11" t="s">
        <v>45</v>
      </c>
      <c r="P1467" s="9" t="n">
        <v>113</v>
      </c>
      <c r="Q1467" s="11" t="s">
        <v>46</v>
      </c>
      <c r="R1467" s="11" t="s">
        <v>47</v>
      </c>
      <c r="S1467" s="9" t="n">
        <v>1130101</v>
      </c>
      <c r="T1467" s="11" t="s">
        <v>48</v>
      </c>
      <c r="U1467" s="12" t="n">
        <v>1006.03</v>
      </c>
      <c r="W1467" s="12" t="n">
        <v>1006.03</v>
      </c>
      <c r="X1467" s="11" t="s">
        <v>1227</v>
      </c>
      <c r="Z1467" s="0" t="str">
        <f aca="false">IF($T1467="","",IFERROR(INDEX('Resumo Grupos'!$AC$3:$AC$200,MATCH($T1467,'Resumo Grupos'!$AB$3:$AB$200,0)),"n/d"))</f>
        <v>Mercadoria</v>
      </c>
      <c r="AA1467" s="0" t="str">
        <f aca="false">IF($T1467="","",IF(COUNTIF('Resumo Grupos'!$AE$3:$AE$40,$T1467)&gt;0,"NAO","SIM"))</f>
        <v>SIM</v>
      </c>
      <c r="AB1467" s="0" t="str">
        <f aca="false">IFERROR(INDEX('Mov Entradas (Rel 10497)'!$L:$L,MATCH(AC1467,'Mov Entradas (Rel 10497)'!$I:$I,0)),"nao encontrado")</f>
        <v>MOCOQUINHA 200ML</v>
      </c>
      <c r="AC1467" s="0" t="n">
        <v>886799</v>
      </c>
    </row>
    <row r="1468" customFormat="false" ht="36.75" hidden="false" customHeight="true" outlineLevel="0" collapsed="false">
      <c r="A1468" s="9" t="n">
        <v>2</v>
      </c>
      <c r="B1468" s="10" t="n">
        <v>46237</v>
      </c>
      <c r="C1468" s="10" t="n">
        <v>46249</v>
      </c>
      <c r="D1468" s="9" t="n">
        <v>1695</v>
      </c>
      <c r="E1468" s="11" t="s">
        <v>390</v>
      </c>
      <c r="F1468" s="9" t="n">
        <v>24</v>
      </c>
      <c r="G1468" s="11" t="s">
        <v>51</v>
      </c>
      <c r="H1468" s="9" t="n">
        <v>2110405</v>
      </c>
      <c r="I1468" s="11" t="s">
        <v>56</v>
      </c>
      <c r="J1468" s="9" t="n">
        <v>1493384</v>
      </c>
      <c r="L1468" s="9" t="n">
        <v>202558</v>
      </c>
      <c r="M1468" s="11" t="s">
        <v>52</v>
      </c>
      <c r="N1468" s="11" t="s">
        <v>45</v>
      </c>
      <c r="P1468" s="9" t="n">
        <v>113</v>
      </c>
      <c r="Q1468" s="11" t="s">
        <v>46</v>
      </c>
      <c r="R1468" s="11" t="s">
        <v>47</v>
      </c>
      <c r="S1468" s="9" t="n">
        <v>1130101</v>
      </c>
      <c r="T1468" s="11" t="s">
        <v>48</v>
      </c>
      <c r="U1468" s="12" t="n">
        <v>1563.41</v>
      </c>
      <c r="W1468" s="12" t="n">
        <v>1563.41</v>
      </c>
      <c r="X1468" s="11" t="s">
        <v>1228</v>
      </c>
      <c r="Z1468" s="0" t="str">
        <f aca="false">IF($T1468="","",IFERROR(INDEX('Resumo Grupos'!$AC$3:$AC$200,MATCH($T1468,'Resumo Grupos'!$AB$3:$AB$200,0)),"n/d"))</f>
        <v>Mercadoria</v>
      </c>
      <c r="AA1468" s="0" t="str">
        <f aca="false">IF($T1468="","",IF(COUNTIF('Resumo Grupos'!$AE$3:$AE$40,$T1468)&gt;0,"NAO","SIM"))</f>
        <v>SIM</v>
      </c>
      <c r="AB1468" s="0" t="str">
        <f aca="false">IFERROR(INDEX('Mov Entradas (Rel 10497)'!$L:$L,MATCH(AC1468,'Mov Entradas (Rel 10497)'!$I:$I,0)),"nao encontrado")</f>
        <v>SALSICHA PERDIGÃO KG</v>
      </c>
      <c r="AC1468" s="0" t="n">
        <v>19579</v>
      </c>
    </row>
    <row r="1469" customFormat="false" ht="45.75" hidden="false" customHeight="true" outlineLevel="0" collapsed="false">
      <c r="A1469" s="9" t="n">
        <v>2</v>
      </c>
      <c r="B1469" s="10" t="n">
        <v>46249</v>
      </c>
      <c r="C1469" s="10" t="n">
        <v>46249</v>
      </c>
      <c r="D1469" s="9" t="n">
        <v>1695</v>
      </c>
      <c r="E1469" s="11" t="s">
        <v>390</v>
      </c>
      <c r="F1469" s="9" t="n">
        <v>34</v>
      </c>
      <c r="G1469" s="11" t="s">
        <v>55</v>
      </c>
      <c r="H1469" s="9" t="n">
        <v>2110405</v>
      </c>
      <c r="I1469" s="11" t="s">
        <v>56</v>
      </c>
      <c r="J1469" s="9" t="n">
        <v>1570913</v>
      </c>
      <c r="L1469" s="9" t="n">
        <v>214488</v>
      </c>
      <c r="M1469" s="11" t="s">
        <v>52</v>
      </c>
      <c r="N1469" s="11" t="s">
        <v>45</v>
      </c>
      <c r="P1469" s="9" t="n">
        <v>101</v>
      </c>
      <c r="Q1469" s="11" t="s">
        <v>57</v>
      </c>
      <c r="R1469" s="11" t="s">
        <v>47</v>
      </c>
      <c r="S1469" s="9" t="n">
        <v>1130101</v>
      </c>
      <c r="T1469" s="11" t="s">
        <v>48</v>
      </c>
      <c r="U1469" s="12" t="n">
        <v>718.8</v>
      </c>
      <c r="W1469" s="12" t="n">
        <v>718.8</v>
      </c>
      <c r="X1469" s="11" t="s">
        <v>1328</v>
      </c>
      <c r="Z1469" s="0" t="str">
        <f aca="false">IF($T1469="","",IFERROR(INDEX('Resumo Grupos'!$AC$3:$AC$200,MATCH($T1469,'Resumo Grupos'!$AB$3:$AB$200,0)),"n/d"))</f>
        <v>Mercadoria</v>
      </c>
      <c r="AA1469" s="0" t="str">
        <f aca="false">IF($T1469="","",IF(COUNTIF('Resumo Grupos'!$AE$3:$AE$40,$T1469)&gt;0,"NAO","SIM"))</f>
        <v>SIM</v>
      </c>
    </row>
    <row r="1470" customFormat="false" ht="36.75" hidden="false" customHeight="true" outlineLevel="0" collapsed="false">
      <c r="A1470" s="9" t="n">
        <v>2</v>
      </c>
      <c r="B1470" s="10" t="n">
        <v>46234</v>
      </c>
      <c r="C1470" s="10" t="n">
        <v>46249</v>
      </c>
      <c r="D1470" s="9" t="n">
        <v>1705</v>
      </c>
      <c r="E1470" s="11" t="s">
        <v>130</v>
      </c>
      <c r="F1470" s="9" t="n">
        <v>24</v>
      </c>
      <c r="G1470" s="11" t="s">
        <v>51</v>
      </c>
      <c r="H1470" s="9" t="n">
        <v>2110405</v>
      </c>
      <c r="I1470" s="11" t="s">
        <v>56</v>
      </c>
      <c r="J1470" s="9" t="n">
        <v>1477956</v>
      </c>
      <c r="L1470" s="9" t="n">
        <v>200506</v>
      </c>
      <c r="M1470" s="11" t="s">
        <v>52</v>
      </c>
      <c r="N1470" s="11" t="s">
        <v>45</v>
      </c>
      <c r="P1470" s="9" t="n">
        <v>113</v>
      </c>
      <c r="Q1470" s="11" t="s">
        <v>46</v>
      </c>
      <c r="R1470" s="11" t="s">
        <v>47</v>
      </c>
      <c r="S1470" s="9" t="n">
        <v>1130101</v>
      </c>
      <c r="T1470" s="11" t="s">
        <v>48</v>
      </c>
      <c r="U1470" s="12" t="n">
        <v>2636.73</v>
      </c>
      <c r="W1470" s="12" t="n">
        <v>2636.73</v>
      </c>
      <c r="X1470" s="11" t="s">
        <v>1329</v>
      </c>
      <c r="Z1470" s="0" t="str">
        <f aca="false">IF($T1470="","",IFERROR(INDEX('Resumo Grupos'!$AC$3:$AC$200,MATCH($T1470,'Resumo Grupos'!$AB$3:$AB$200,0)),"n/d"))</f>
        <v>Mercadoria</v>
      </c>
      <c r="AA1470" s="0" t="str">
        <f aca="false">IF($T1470="","",IF(COUNTIF('Resumo Grupos'!$AE$3:$AE$40,$T1470)&gt;0,"NAO","SIM"))</f>
        <v>SIM</v>
      </c>
      <c r="AB1470" s="0" t="str">
        <f aca="false">IFERROR(INDEX('Mov Entradas (Rel 10497)'!$L:$L,MATCH(AC1470,'Mov Entradas (Rel 10497)'!$I:$I,0)),"nao encontrado")</f>
        <v>REFRI. COCA COLA ORI</v>
      </c>
      <c r="AC1470" s="0" t="n">
        <v>1964129</v>
      </c>
    </row>
    <row r="1471" customFormat="false" ht="27.75" hidden="false" customHeight="true" outlineLevel="0" collapsed="false">
      <c r="A1471" s="9" t="n">
        <v>2</v>
      </c>
      <c r="B1471" s="10" t="n">
        <v>46234</v>
      </c>
      <c r="C1471" s="10" t="n">
        <v>46249</v>
      </c>
      <c r="D1471" s="9" t="n">
        <v>1705</v>
      </c>
      <c r="E1471" s="11" t="s">
        <v>130</v>
      </c>
      <c r="F1471" s="9" t="n">
        <v>24</v>
      </c>
      <c r="G1471" s="11" t="s">
        <v>51</v>
      </c>
      <c r="H1471" s="9" t="n">
        <v>2110405</v>
      </c>
      <c r="I1471" s="11" t="s">
        <v>56</v>
      </c>
      <c r="J1471" s="9" t="n">
        <v>1478071</v>
      </c>
      <c r="L1471" s="9" t="n">
        <v>200520</v>
      </c>
      <c r="M1471" s="11" t="s">
        <v>52</v>
      </c>
      <c r="N1471" s="11" t="s">
        <v>45</v>
      </c>
      <c r="P1471" s="9" t="n">
        <v>113</v>
      </c>
      <c r="Q1471" s="11" t="s">
        <v>46</v>
      </c>
      <c r="R1471" s="11" t="s">
        <v>47</v>
      </c>
      <c r="S1471" s="9" t="n">
        <v>1130101</v>
      </c>
      <c r="T1471" s="11" t="s">
        <v>48</v>
      </c>
      <c r="U1471" s="12" t="n">
        <v>45.18</v>
      </c>
      <c r="W1471" s="12" t="n">
        <v>45.18</v>
      </c>
      <c r="X1471" s="11" t="s">
        <v>1330</v>
      </c>
      <c r="Z1471" s="0" t="str">
        <f aca="false">IF($T1471="","",IFERROR(INDEX('Resumo Grupos'!$AC$3:$AC$200,MATCH($T1471,'Resumo Grupos'!$AB$3:$AB$200,0)),"n/d"))</f>
        <v>Mercadoria</v>
      </c>
      <c r="AA1471" s="0" t="str">
        <f aca="false">IF($T1471="","",IF(COUNTIF('Resumo Grupos'!$AE$3:$AE$40,$T1471)&gt;0,"NAO","SIM"))</f>
        <v>SIM</v>
      </c>
      <c r="AB1471" s="0" t="str">
        <f aca="false">IFERROR(INDEX('Mov Entradas (Rel 10497)'!$L:$L,MATCH(AC1471,'Mov Entradas (Rel 10497)'!$I:$I,0)),"nao encontrado")</f>
        <v>COCA COLA SEM AÇUCAR</v>
      </c>
      <c r="AC1471" s="0" t="n">
        <v>1964130</v>
      </c>
    </row>
    <row r="1472" customFormat="false" ht="54.75" hidden="false" customHeight="true" outlineLevel="0" collapsed="false">
      <c r="A1472" s="9" t="n">
        <v>2</v>
      </c>
      <c r="B1472" s="10" t="n">
        <v>46234</v>
      </c>
      <c r="C1472" s="10" t="n">
        <v>46249</v>
      </c>
      <c r="D1472" s="9" t="n">
        <v>1705</v>
      </c>
      <c r="E1472" s="11" t="s">
        <v>130</v>
      </c>
      <c r="F1472" s="9" t="n">
        <v>24</v>
      </c>
      <c r="G1472" s="11" t="s">
        <v>51</v>
      </c>
      <c r="H1472" s="9" t="n">
        <v>2110405</v>
      </c>
      <c r="I1472" s="11" t="s">
        <v>56</v>
      </c>
      <c r="J1472" s="9" t="n">
        <v>1478135</v>
      </c>
      <c r="L1472" s="9" t="n">
        <v>200534</v>
      </c>
      <c r="M1472" s="11" t="s">
        <v>52</v>
      </c>
      <c r="N1472" s="11" t="s">
        <v>45</v>
      </c>
      <c r="P1472" s="9" t="n">
        <v>113</v>
      </c>
      <c r="Q1472" s="11" t="s">
        <v>46</v>
      </c>
      <c r="R1472" s="11" t="s">
        <v>47</v>
      </c>
      <c r="S1472" s="9" t="n">
        <v>1130101</v>
      </c>
      <c r="T1472" s="11" t="s">
        <v>48</v>
      </c>
      <c r="U1472" s="12" t="n">
        <v>327.46</v>
      </c>
      <c r="W1472" s="12" t="n">
        <v>327.46</v>
      </c>
      <c r="X1472" s="11" t="s">
        <v>1331</v>
      </c>
      <c r="Z1472" s="0" t="str">
        <f aca="false">IF($T1472="","",IFERROR(INDEX('Resumo Grupos'!$AC$3:$AC$200,MATCH($T1472,'Resumo Grupos'!$AB$3:$AB$200,0)),"n/d"))</f>
        <v>Mercadoria</v>
      </c>
      <c r="AA1472" s="0" t="str">
        <f aca="false">IF($T1472="","",IF(COUNTIF('Resumo Grupos'!$AE$3:$AE$40,$T1472)&gt;0,"NAO","SIM"))</f>
        <v>SIM</v>
      </c>
      <c r="AB1472" s="0" t="str">
        <f aca="false">IFERROR(INDEX('Mov Entradas (Rel 10497)'!$L:$L,MATCH(AC1472,'Mov Entradas (Rel 10497)'!$I:$I,0)),"nao encontrado")</f>
        <v>REFRI. FANTA UVA 1,5</v>
      </c>
      <c r="AC1472" s="0" t="n">
        <v>1228756</v>
      </c>
    </row>
    <row r="1473" customFormat="false" ht="63.75" hidden="false" customHeight="true" outlineLevel="0" collapsed="false">
      <c r="A1473" s="9" t="n">
        <v>2</v>
      </c>
      <c r="B1473" s="10" t="n">
        <v>46234</v>
      </c>
      <c r="C1473" s="10" t="n">
        <v>46249</v>
      </c>
      <c r="D1473" s="9" t="n">
        <v>1705</v>
      </c>
      <c r="E1473" s="11" t="s">
        <v>130</v>
      </c>
      <c r="F1473" s="9" t="n">
        <v>24</v>
      </c>
      <c r="G1473" s="11" t="s">
        <v>51</v>
      </c>
      <c r="H1473" s="9" t="n">
        <v>2110405</v>
      </c>
      <c r="I1473" s="11" t="s">
        <v>56</v>
      </c>
      <c r="J1473" s="9" t="n">
        <v>1478170</v>
      </c>
      <c r="L1473" s="9" t="n">
        <v>200545</v>
      </c>
      <c r="M1473" s="11" t="s">
        <v>52</v>
      </c>
      <c r="N1473" s="11" t="s">
        <v>45</v>
      </c>
      <c r="P1473" s="9" t="n">
        <v>113</v>
      </c>
      <c r="Q1473" s="11" t="s">
        <v>46</v>
      </c>
      <c r="R1473" s="11" t="s">
        <v>47</v>
      </c>
      <c r="S1473" s="9" t="n">
        <v>1130101</v>
      </c>
      <c r="T1473" s="11" t="s">
        <v>48</v>
      </c>
      <c r="U1473" s="12" t="n">
        <v>190.71</v>
      </c>
      <c r="W1473" s="12" t="n">
        <v>190.71</v>
      </c>
      <c r="X1473" s="11" t="s">
        <v>1332</v>
      </c>
      <c r="Z1473" s="0" t="str">
        <f aca="false">IF($T1473="","",IFERROR(INDEX('Resumo Grupos'!$AC$3:$AC$200,MATCH($T1473,'Resumo Grupos'!$AB$3:$AB$200,0)),"n/d"))</f>
        <v>Mercadoria</v>
      </c>
      <c r="AA1473" s="0" t="str">
        <f aca="false">IF($T1473="","",IF(COUNTIF('Resumo Grupos'!$AE$3:$AE$40,$T1473)&gt;0,"NAO","SIM"))</f>
        <v>SIM</v>
      </c>
      <c r="AB1473" s="0" t="str">
        <f aca="false">IFERROR(INDEX('Mov Entradas (Rel 10497)'!$L:$L,MATCH(AC1473,'Mov Entradas (Rel 10497)'!$I:$I,0)),"nao encontrado")</f>
        <v>CERVEJA AMSTEL LAGER</v>
      </c>
      <c r="AC1473" s="0" t="n">
        <v>1228757</v>
      </c>
    </row>
    <row r="1474" customFormat="false" ht="45.75" hidden="false" customHeight="true" outlineLevel="0" collapsed="false">
      <c r="A1474" s="9" t="n">
        <v>2</v>
      </c>
      <c r="B1474" s="10" t="n">
        <v>46234</v>
      </c>
      <c r="C1474" s="10" t="n">
        <v>46249</v>
      </c>
      <c r="D1474" s="9" t="n">
        <v>1705</v>
      </c>
      <c r="E1474" s="11" t="s">
        <v>130</v>
      </c>
      <c r="F1474" s="9" t="n">
        <v>24</v>
      </c>
      <c r="G1474" s="11" t="s">
        <v>51</v>
      </c>
      <c r="H1474" s="9" t="n">
        <v>2110405</v>
      </c>
      <c r="I1474" s="11" t="s">
        <v>56</v>
      </c>
      <c r="J1474" s="9" t="n">
        <v>1478184</v>
      </c>
      <c r="L1474" s="9" t="n">
        <v>200546</v>
      </c>
      <c r="M1474" s="11" t="s">
        <v>52</v>
      </c>
      <c r="N1474" s="11" t="s">
        <v>45</v>
      </c>
      <c r="P1474" s="9" t="n">
        <v>113</v>
      </c>
      <c r="Q1474" s="11" t="s">
        <v>46</v>
      </c>
      <c r="R1474" s="11" t="s">
        <v>47</v>
      </c>
      <c r="S1474" s="9" t="n">
        <v>1130101</v>
      </c>
      <c r="T1474" s="11" t="s">
        <v>48</v>
      </c>
      <c r="U1474" s="12" t="n">
        <v>538.46</v>
      </c>
      <c r="W1474" s="12" t="n">
        <v>538.46</v>
      </c>
      <c r="X1474" s="11" t="s">
        <v>1333</v>
      </c>
      <c r="Z1474" s="0" t="str">
        <f aca="false">IF($T1474="","",IFERROR(INDEX('Resumo Grupos'!$AC$3:$AC$200,MATCH($T1474,'Resumo Grupos'!$AB$3:$AB$200,0)),"n/d"))</f>
        <v>Mercadoria</v>
      </c>
      <c r="AA1474" s="0" t="str">
        <f aca="false">IF($T1474="","",IF(COUNTIF('Resumo Grupos'!$AE$3:$AE$40,$T1474)&gt;0,"NAO","SIM"))</f>
        <v>SIM</v>
      </c>
      <c r="AB1474" s="0" t="str">
        <f aca="false">IFERROR(INDEX('Mov Entradas (Rel 10497)'!$L:$L,MATCH(AC1474,'Mov Entradas (Rel 10497)'!$I:$I,0)),"nao encontrado")</f>
        <v>REFRI. COCA COLA SEM</v>
      </c>
      <c r="AC1474" s="0" t="n">
        <v>1964124</v>
      </c>
    </row>
    <row r="1475" customFormat="false" ht="45.75" hidden="false" customHeight="true" outlineLevel="0" collapsed="false">
      <c r="A1475" s="9" t="n">
        <v>2</v>
      </c>
      <c r="B1475" s="10" t="n">
        <v>46205</v>
      </c>
      <c r="C1475" s="10" t="n">
        <v>46249</v>
      </c>
      <c r="D1475" s="9" t="n">
        <v>1217</v>
      </c>
      <c r="E1475" s="11" t="s">
        <v>776</v>
      </c>
      <c r="F1475" s="9" t="n">
        <v>24</v>
      </c>
      <c r="G1475" s="11" t="s">
        <v>51</v>
      </c>
      <c r="H1475" s="9" t="n">
        <v>2110101</v>
      </c>
      <c r="I1475" s="11" t="s">
        <v>43</v>
      </c>
      <c r="J1475" s="9" t="n">
        <v>1339965</v>
      </c>
      <c r="L1475" s="9" t="n">
        <v>4467</v>
      </c>
      <c r="M1475" s="11" t="s">
        <v>36</v>
      </c>
      <c r="N1475" s="11" t="s">
        <v>37</v>
      </c>
      <c r="P1475" s="9" t="n">
        <v>113</v>
      </c>
      <c r="Q1475" s="11" t="s">
        <v>46</v>
      </c>
      <c r="R1475" s="11" t="s">
        <v>47</v>
      </c>
      <c r="S1475" s="9" t="n">
        <v>1130101</v>
      </c>
      <c r="T1475" s="11" t="s">
        <v>48</v>
      </c>
      <c r="U1475" s="12" t="n">
        <v>819.53</v>
      </c>
      <c r="W1475" s="12" t="n">
        <v>819.53</v>
      </c>
      <c r="X1475" s="11" t="s">
        <v>777</v>
      </c>
      <c r="Z1475" s="0" t="str">
        <f aca="false">IF($T1475="","",IFERROR(INDEX('Resumo Grupos'!$AC$3:$AC$200,MATCH($T1475,'Resumo Grupos'!$AB$3:$AB$200,0)),"n/d"))</f>
        <v>Mercadoria</v>
      </c>
      <c r="AA1475" s="0" t="str">
        <f aca="false">IF($T1475="","",IF(COUNTIF('Resumo Grupos'!$AE$3:$AE$40,$T1475)&gt;0,"NAO","SIM"))</f>
        <v>SIM</v>
      </c>
      <c r="AB1475" s="0" t="str">
        <f aca="false">IFERROR(INDEX('Mov Entradas (Rel 10497)'!$L:$L,MATCH(AC1475,'Mov Entradas (Rel 10497)'!$I:$I,0)),"nao encontrado")</f>
        <v>REGULADOR DE GAS ALI</v>
      </c>
      <c r="AC1475" s="0" t="n">
        <v>4467</v>
      </c>
    </row>
    <row r="1476" customFormat="false" ht="45.75" hidden="false" customHeight="true" outlineLevel="0" collapsed="false">
      <c r="A1476" s="9" t="n">
        <v>2</v>
      </c>
      <c r="B1476" s="10" t="n">
        <v>46249</v>
      </c>
      <c r="C1476" s="10" t="n">
        <v>46249</v>
      </c>
      <c r="D1476" s="9" t="n">
        <v>10096</v>
      </c>
      <c r="E1476" s="11" t="s">
        <v>622</v>
      </c>
      <c r="F1476" s="9" t="n">
        <v>13</v>
      </c>
      <c r="G1476" s="11" t="s">
        <v>135</v>
      </c>
      <c r="H1476" s="9" t="n">
        <v>2110405</v>
      </c>
      <c r="I1476" s="11" t="s">
        <v>56</v>
      </c>
      <c r="J1476" s="9" t="n">
        <v>1560878</v>
      </c>
      <c r="L1476" s="9" t="n">
        <v>212909</v>
      </c>
      <c r="M1476" s="11" t="s">
        <v>52</v>
      </c>
      <c r="N1476" s="11" t="s">
        <v>45</v>
      </c>
      <c r="P1476" s="9" t="n">
        <v>113</v>
      </c>
      <c r="Q1476" s="11" t="s">
        <v>46</v>
      </c>
      <c r="R1476" s="11" t="s">
        <v>47</v>
      </c>
      <c r="S1476" s="9" t="n">
        <v>1130101</v>
      </c>
      <c r="T1476" s="11" t="s">
        <v>48</v>
      </c>
      <c r="U1476" s="12" t="n">
        <v>200</v>
      </c>
      <c r="W1476" s="12" t="n">
        <v>200</v>
      </c>
      <c r="X1476" s="11" t="s">
        <v>1334</v>
      </c>
      <c r="Z1476" s="0" t="str">
        <f aca="false">IF($T1476="","",IFERROR(INDEX('Resumo Grupos'!$AC$3:$AC$200,MATCH($T1476,'Resumo Grupos'!$AB$3:$AB$200,0)),"n/d"))</f>
        <v>Mercadoria</v>
      </c>
      <c r="AA1476" s="0" t="str">
        <f aca="false">IF($T1476="","",IF(COUNTIF('Resumo Grupos'!$AE$3:$AE$40,$T1476)&gt;0,"NAO","SIM"))</f>
        <v>SIM</v>
      </c>
      <c r="AB1476" s="0" t="str">
        <f aca="false">IFERROR(INDEX('Mov Entradas (Rel 10497)'!$L:$L,MATCH(AC1476,'Mov Entradas (Rel 10497)'!$I:$I,0)),"nao encontrado")</f>
        <v>BOLO MIYAZAKI GRANDE</v>
      </c>
      <c r="AC1476" s="0" t="n">
        <v>174</v>
      </c>
    </row>
    <row r="1477" customFormat="false" ht="36.75" hidden="false" customHeight="true" outlineLevel="0" collapsed="false">
      <c r="A1477" s="9" t="n">
        <v>2</v>
      </c>
      <c r="B1477" s="10" t="n">
        <v>46244</v>
      </c>
      <c r="C1477" s="10" t="n">
        <v>46249</v>
      </c>
      <c r="D1477" s="9" t="n">
        <v>1625</v>
      </c>
      <c r="E1477" s="11" t="s">
        <v>270</v>
      </c>
      <c r="F1477" s="9" t="n">
        <v>24</v>
      </c>
      <c r="G1477" s="11" t="s">
        <v>51</v>
      </c>
      <c r="H1477" s="9" t="n">
        <v>2110405</v>
      </c>
      <c r="I1477" s="11" t="s">
        <v>56</v>
      </c>
      <c r="J1477" s="9" t="n">
        <v>1529969</v>
      </c>
      <c r="L1477" s="9" t="n">
        <v>208173</v>
      </c>
      <c r="M1477" s="11" t="s">
        <v>52</v>
      </c>
      <c r="N1477" s="11" t="s">
        <v>45</v>
      </c>
      <c r="P1477" s="9" t="n">
        <v>113</v>
      </c>
      <c r="Q1477" s="11" t="s">
        <v>46</v>
      </c>
      <c r="R1477" s="11" t="s">
        <v>47</v>
      </c>
      <c r="S1477" s="9" t="n">
        <v>1130101</v>
      </c>
      <c r="T1477" s="11" t="s">
        <v>48</v>
      </c>
      <c r="U1477" s="12" t="n">
        <v>4599.9</v>
      </c>
      <c r="W1477" s="12" t="n">
        <v>4599.9</v>
      </c>
      <c r="X1477" s="11" t="s">
        <v>1335</v>
      </c>
      <c r="Z1477" s="0" t="str">
        <f aca="false">IF($T1477="","",IFERROR(INDEX('Resumo Grupos'!$AC$3:$AC$200,MATCH($T1477,'Resumo Grupos'!$AB$3:$AB$200,0)),"n/d"))</f>
        <v>Mercadoria</v>
      </c>
      <c r="AA1477" s="0" t="str">
        <f aca="false">IF($T1477="","",IF(COUNTIF('Resumo Grupos'!$AE$3:$AE$40,$T1477)&gt;0,"NAO","SIM"))</f>
        <v>SIM</v>
      </c>
      <c r="AB1477" s="0" t="str">
        <f aca="false">IFERROR(INDEX('Mov Entradas (Rel 10497)'!$L:$L,MATCH(AC1477,'Mov Entradas (Rel 10497)'!$I:$I,0)),"nao encontrado")</f>
        <v>TRASEIRO DE BOI L1</v>
      </c>
      <c r="AC1477" s="0" t="n">
        <v>14993</v>
      </c>
    </row>
    <row r="1478" customFormat="false" ht="45.75" hidden="false" customHeight="true" outlineLevel="0" collapsed="false">
      <c r="A1478" s="9" t="n">
        <v>2</v>
      </c>
      <c r="B1478" s="10" t="n">
        <v>46249</v>
      </c>
      <c r="C1478" s="10" t="n">
        <v>46249</v>
      </c>
      <c r="D1478" s="9" t="n">
        <v>48</v>
      </c>
      <c r="E1478" s="11" t="s">
        <v>153</v>
      </c>
      <c r="F1478" s="9" t="n">
        <v>13</v>
      </c>
      <c r="G1478" s="11" t="s">
        <v>135</v>
      </c>
      <c r="H1478" s="9" t="n">
        <v>2110101</v>
      </c>
      <c r="I1478" s="11" t="s">
        <v>43</v>
      </c>
      <c r="J1478" s="9" t="n">
        <v>1552260</v>
      </c>
      <c r="L1478" s="9" t="n">
        <v>2606</v>
      </c>
      <c r="M1478" s="11" t="s">
        <v>52</v>
      </c>
      <c r="N1478" s="11" t="s">
        <v>37</v>
      </c>
      <c r="P1478" s="9" t="n">
        <v>113</v>
      </c>
      <c r="Q1478" s="11" t="s">
        <v>46</v>
      </c>
      <c r="R1478" s="11" t="s">
        <v>47</v>
      </c>
      <c r="S1478" s="9" t="n">
        <v>1130101</v>
      </c>
      <c r="T1478" s="11" t="s">
        <v>48</v>
      </c>
      <c r="U1478" s="12" t="n">
        <v>270</v>
      </c>
      <c r="W1478" s="12" t="n">
        <v>270</v>
      </c>
      <c r="X1478" s="11" t="s">
        <v>1336</v>
      </c>
      <c r="Z1478" s="0" t="str">
        <f aca="false">IF($T1478="","",IFERROR(INDEX('Resumo Grupos'!$AC$3:$AC$200,MATCH($T1478,'Resumo Grupos'!$AB$3:$AB$200,0)),"n/d"))</f>
        <v>Mercadoria</v>
      </c>
      <c r="AA1478" s="0" t="str">
        <f aca="false">IF($T1478="","",IF(COUNTIF('Resumo Grupos'!$AE$3:$AE$40,$T1478)&gt;0,"NAO","SIM"))</f>
        <v>SIM</v>
      </c>
    </row>
    <row r="1479" customFormat="false" ht="36.75" hidden="false" customHeight="true" outlineLevel="0" collapsed="false">
      <c r="A1479" s="9" t="n">
        <v>2</v>
      </c>
      <c r="B1479" s="10" t="n">
        <v>46097</v>
      </c>
      <c r="C1479" s="10" t="n">
        <v>46249</v>
      </c>
      <c r="D1479" s="9" t="n">
        <v>1867</v>
      </c>
      <c r="E1479" s="11" t="s">
        <v>420</v>
      </c>
      <c r="F1479" s="9" t="n">
        <v>24</v>
      </c>
      <c r="G1479" s="11" t="s">
        <v>51</v>
      </c>
      <c r="H1479" s="9" t="n">
        <v>2110405</v>
      </c>
      <c r="I1479" s="11" t="s">
        <v>56</v>
      </c>
      <c r="J1479" s="9" t="n">
        <v>808550</v>
      </c>
      <c r="L1479" s="9" t="n">
        <v>2026</v>
      </c>
      <c r="M1479" s="11" t="s">
        <v>102</v>
      </c>
      <c r="N1479" s="11" t="s">
        <v>45</v>
      </c>
      <c r="P1479" s="9" t="n">
        <v>101</v>
      </c>
      <c r="Q1479" s="11" t="s">
        <v>57</v>
      </c>
      <c r="R1479" s="11" t="s">
        <v>421</v>
      </c>
      <c r="S1479" s="9" t="n">
        <v>4210401</v>
      </c>
      <c r="T1479" s="11" t="s">
        <v>422</v>
      </c>
      <c r="U1479" s="12" t="n">
        <v>228.88</v>
      </c>
      <c r="W1479" s="12" t="n">
        <v>228.88</v>
      </c>
      <c r="X1479" s="11" t="s">
        <v>1337</v>
      </c>
      <c r="Z1479" s="0" t="str">
        <f aca="false">IF($T1479="","",IFERROR(INDEX('Resumo Grupos'!$AC$3:$AC$200,MATCH($T1479,'Resumo Grupos'!$AB$3:$AB$200,0)),"n/d"))</f>
        <v>Impostos</v>
      </c>
      <c r="AA1479" s="0" t="str">
        <f aca="false">IF($T1479="","",IF(COUNTIF('Resumo Grupos'!$AE$3:$AE$40,$T1479)&gt;0,"NAO","SIM"))</f>
        <v>SIM</v>
      </c>
    </row>
    <row r="1480" customFormat="false" ht="36.75" hidden="false" customHeight="true" outlineLevel="0" collapsed="false">
      <c r="A1480" s="9" t="n">
        <v>2</v>
      </c>
      <c r="B1480" s="10" t="n">
        <v>46249</v>
      </c>
      <c r="C1480" s="10" t="n">
        <v>46249</v>
      </c>
      <c r="D1480" s="9" t="n">
        <v>0</v>
      </c>
      <c r="E1480" s="11" t="s">
        <v>109</v>
      </c>
      <c r="F1480" s="9" t="n">
        <v>17</v>
      </c>
      <c r="G1480" s="11" t="s">
        <v>110</v>
      </c>
      <c r="H1480" s="9" t="n">
        <v>1110101</v>
      </c>
      <c r="I1480" s="11" t="s">
        <v>111</v>
      </c>
      <c r="J1480" s="9" t="n">
        <v>1561629</v>
      </c>
      <c r="L1480" s="9" t="n">
        <v>1561629</v>
      </c>
      <c r="M1480" s="11" t="s">
        <v>52</v>
      </c>
      <c r="N1480" s="11" t="s">
        <v>112</v>
      </c>
      <c r="P1480" s="9" t="n">
        <v>113</v>
      </c>
      <c r="Q1480" s="11" t="s">
        <v>46</v>
      </c>
      <c r="R1480" s="11" t="s">
        <v>259</v>
      </c>
      <c r="S1480" s="9" t="n">
        <v>2110101</v>
      </c>
      <c r="T1480" s="11" t="s">
        <v>43</v>
      </c>
      <c r="U1480" s="12" t="n">
        <v>270</v>
      </c>
      <c r="W1480" s="12" t="n">
        <v>270</v>
      </c>
      <c r="X1480" s="11" t="s">
        <v>1338</v>
      </c>
      <c r="Z1480" s="0" t="str">
        <f aca="false">IF($T1480="","",IFERROR(INDEX('Resumo Grupos'!$AC$3:$AC$200,MATCH($T1480,'Resumo Grupos'!$AB$3:$AB$200,0)),"n/d"))</f>
        <v>Despesa</v>
      </c>
      <c r="AA1480" s="0" t="str">
        <f aca="false">IF($T1480="","",IF(COUNTIF('Resumo Grupos'!$AE$3:$AE$40,$T1480)&gt;0,"NAO","SIM"))</f>
        <v>SIM</v>
      </c>
    </row>
    <row r="1481" customFormat="false" ht="54.75" hidden="false" customHeight="true" outlineLevel="0" collapsed="false">
      <c r="A1481" s="9" t="n">
        <v>2</v>
      </c>
      <c r="B1481" s="10" t="n">
        <v>46249</v>
      </c>
      <c r="C1481" s="10" t="n">
        <v>46249</v>
      </c>
      <c r="D1481" s="9" t="n">
        <v>0</v>
      </c>
      <c r="E1481" s="11" t="s">
        <v>109</v>
      </c>
      <c r="F1481" s="9" t="n">
        <v>17</v>
      </c>
      <c r="G1481" s="11" t="s">
        <v>110</v>
      </c>
      <c r="H1481" s="9" t="n">
        <v>1110101</v>
      </c>
      <c r="I1481" s="11" t="s">
        <v>111</v>
      </c>
      <c r="J1481" s="9" t="n">
        <v>1561631</v>
      </c>
      <c r="L1481" s="9" t="n">
        <v>1561631</v>
      </c>
      <c r="M1481" s="11" t="s">
        <v>52</v>
      </c>
      <c r="N1481" s="11" t="s">
        <v>112</v>
      </c>
      <c r="P1481" s="9" t="n">
        <v>113</v>
      </c>
      <c r="Q1481" s="11" t="s">
        <v>46</v>
      </c>
      <c r="R1481" s="11" t="s">
        <v>56</v>
      </c>
      <c r="S1481" s="9" t="n">
        <v>2110405</v>
      </c>
      <c r="T1481" s="11" t="s">
        <v>56</v>
      </c>
      <c r="U1481" s="12" t="n">
        <v>200</v>
      </c>
      <c r="W1481" s="12" t="n">
        <v>200</v>
      </c>
      <c r="X1481" s="11" t="s">
        <v>1339</v>
      </c>
      <c r="Z1481" s="0" t="str">
        <f aca="false">IF($T1481="","",IFERROR(INDEX('Resumo Grupos'!$AC$3:$AC$200,MATCH($T1481,'Resumo Grupos'!$AB$3:$AB$200,0)),"n/d"))</f>
        <v>Cobertura de conta</v>
      </c>
      <c r="AA1481" s="0" t="str">
        <f aca="false">IF($T1481="","",IF(COUNTIF('Resumo Grupos'!$AE$3:$AE$40,$T1481)&gt;0,"NAO","SIM"))</f>
        <v>SIM</v>
      </c>
    </row>
    <row r="1482" customFormat="false" ht="54.75" hidden="false" customHeight="true" outlineLevel="0" collapsed="false">
      <c r="A1482" s="9" t="n">
        <v>2</v>
      </c>
      <c r="B1482" s="10" t="n">
        <v>46249</v>
      </c>
      <c r="C1482" s="10" t="n">
        <v>46249</v>
      </c>
      <c r="D1482" s="9" t="n">
        <v>0</v>
      </c>
      <c r="E1482" s="11" t="s">
        <v>109</v>
      </c>
      <c r="F1482" s="9" t="n">
        <v>17</v>
      </c>
      <c r="G1482" s="11" t="s">
        <v>110</v>
      </c>
      <c r="H1482" s="9" t="n">
        <v>1110101</v>
      </c>
      <c r="I1482" s="11" t="s">
        <v>111</v>
      </c>
      <c r="J1482" s="9" t="n">
        <v>1561634</v>
      </c>
      <c r="L1482" s="9" t="n">
        <v>1561634</v>
      </c>
      <c r="M1482" s="11" t="s">
        <v>52</v>
      </c>
      <c r="N1482" s="11" t="s">
        <v>112</v>
      </c>
      <c r="P1482" s="9" t="n">
        <v>113</v>
      </c>
      <c r="Q1482" s="11" t="s">
        <v>46</v>
      </c>
      <c r="R1482" s="11" t="s">
        <v>71</v>
      </c>
      <c r="S1482" s="9" t="n">
        <v>4210314</v>
      </c>
      <c r="T1482" s="11" t="s">
        <v>113</v>
      </c>
      <c r="U1482" s="12" t="n">
        <v>70</v>
      </c>
      <c r="W1482" s="12" t="n">
        <v>70</v>
      </c>
      <c r="X1482" s="11" t="s">
        <v>187</v>
      </c>
      <c r="Z1482" s="0" t="str">
        <f aca="false">IF($T1482="","",IFERROR(INDEX('Resumo Grupos'!$AC$3:$AC$200,MATCH($T1482,'Resumo Grupos'!$AB$3:$AB$200,0)),"n/d"))</f>
        <v>Despesa</v>
      </c>
      <c r="AA1482" s="0" t="str">
        <f aca="false">IF($T1482="","",IF(COUNTIF('Resumo Grupos'!$AE$3:$AE$40,$T1482)&gt;0,"NAO","SIM"))</f>
        <v>SIM</v>
      </c>
    </row>
    <row r="1483" customFormat="false" ht="36.75" hidden="false" customHeight="true" outlineLevel="0" collapsed="false">
      <c r="A1483" s="9" t="n">
        <v>2</v>
      </c>
      <c r="B1483" s="10" t="n">
        <v>46249</v>
      </c>
      <c r="C1483" s="10" t="n">
        <v>46249</v>
      </c>
      <c r="D1483" s="9" t="n">
        <v>0</v>
      </c>
      <c r="E1483" s="11" t="s">
        <v>109</v>
      </c>
      <c r="F1483" s="9" t="n">
        <v>17</v>
      </c>
      <c r="G1483" s="11" t="s">
        <v>110</v>
      </c>
      <c r="H1483" s="9" t="n">
        <v>1110101</v>
      </c>
      <c r="I1483" s="11" t="s">
        <v>111</v>
      </c>
      <c r="J1483" s="9" t="n">
        <v>1716390</v>
      </c>
      <c r="L1483" s="9" t="n">
        <v>1716390</v>
      </c>
      <c r="M1483" s="11" t="s">
        <v>52</v>
      </c>
      <c r="N1483" s="11" t="s">
        <v>112</v>
      </c>
      <c r="P1483" s="9" t="n">
        <v>113</v>
      </c>
      <c r="Q1483" s="11" t="s">
        <v>46</v>
      </c>
      <c r="R1483" s="11" t="s">
        <v>116</v>
      </c>
      <c r="S1483" s="9" t="n">
        <v>1110203</v>
      </c>
      <c r="T1483" s="11" t="s">
        <v>117</v>
      </c>
      <c r="U1483" s="12" t="n">
        <v>2650</v>
      </c>
      <c r="W1483" s="12" t="n">
        <v>2650</v>
      </c>
      <c r="X1483" s="11" t="s">
        <v>1340</v>
      </c>
      <c r="Z1483" s="0" t="str">
        <f aca="false">IF($T1483="","",IFERROR(INDEX('Resumo Grupos'!$AC$3:$AC$200,MATCH($T1483,'Resumo Grupos'!$AB$3:$AB$200,0)),"n/d"))</f>
        <v>Despesa</v>
      </c>
      <c r="AA1483" s="0" t="str">
        <f aca="false">IF($T1483="","",IF(COUNTIF('Resumo Grupos'!$AE$3:$AE$40,$T1483)&gt;0,"NAO","SIM"))</f>
        <v>SIM</v>
      </c>
    </row>
    <row r="1484" customFormat="false" ht="45.75" hidden="false" customHeight="true" outlineLevel="0" collapsed="false">
      <c r="A1484" s="9" t="n">
        <v>2</v>
      </c>
      <c r="B1484" s="10" t="n">
        <v>46244</v>
      </c>
      <c r="C1484" s="10" t="n">
        <v>46249</v>
      </c>
      <c r="D1484" s="9" t="n">
        <v>754</v>
      </c>
      <c r="E1484" s="11" t="s">
        <v>162</v>
      </c>
      <c r="F1484" s="9" t="n">
        <v>24</v>
      </c>
      <c r="G1484" s="11" t="s">
        <v>51</v>
      </c>
      <c r="H1484" s="9" t="n">
        <v>2110405</v>
      </c>
      <c r="I1484" s="11" t="s">
        <v>56</v>
      </c>
      <c r="J1484" s="9" t="n">
        <v>1529239</v>
      </c>
      <c r="L1484" s="9" t="n">
        <v>207984</v>
      </c>
      <c r="M1484" s="11" t="s">
        <v>52</v>
      </c>
      <c r="N1484" s="11" t="s">
        <v>45</v>
      </c>
      <c r="P1484" s="9" t="n">
        <v>113</v>
      </c>
      <c r="Q1484" s="11" t="s">
        <v>46</v>
      </c>
      <c r="R1484" s="11" t="s">
        <v>47</v>
      </c>
      <c r="S1484" s="9" t="n">
        <v>1130101</v>
      </c>
      <c r="T1484" s="11" t="s">
        <v>48</v>
      </c>
      <c r="U1484" s="12" t="n">
        <v>2918.55</v>
      </c>
      <c r="W1484" s="12" t="n">
        <v>2918.55</v>
      </c>
      <c r="X1484" s="11" t="s">
        <v>1341</v>
      </c>
      <c r="Z1484" s="0" t="str">
        <f aca="false">IF($T1484="","",IFERROR(INDEX('Resumo Grupos'!$AC$3:$AC$200,MATCH($T1484,'Resumo Grupos'!$AB$3:$AB$200,0)),"n/d"))</f>
        <v>Mercadoria</v>
      </c>
      <c r="AA1484" s="0" t="str">
        <f aca="false">IF($T1484="","",IF(COUNTIF('Resumo Grupos'!$AE$3:$AE$40,$T1484)&gt;0,"NAO","SIM"))</f>
        <v>SIM</v>
      </c>
      <c r="AB1484" s="0" t="str">
        <f aca="false">IFERROR(INDEX('Mov Entradas (Rel 10497)'!$L:$L,MATCH(AC1484,'Mov Entradas (Rel 10497)'!$I:$I,0)),"nao encontrado")</f>
        <v>PATINHO BOVINO KG</v>
      </c>
      <c r="AC1484" s="0" t="n">
        <v>32337</v>
      </c>
    </row>
    <row r="1485" customFormat="false" ht="54.75" hidden="false" customHeight="true" outlineLevel="0" collapsed="false">
      <c r="A1485" s="9" t="n">
        <v>2</v>
      </c>
      <c r="B1485" s="10" t="n">
        <v>46127</v>
      </c>
      <c r="C1485" s="10" t="n">
        <v>46249</v>
      </c>
      <c r="D1485" s="9" t="n">
        <v>512</v>
      </c>
      <c r="E1485" s="11" t="s">
        <v>429</v>
      </c>
      <c r="F1485" s="9" t="n">
        <v>34</v>
      </c>
      <c r="G1485" s="11" t="s">
        <v>55</v>
      </c>
      <c r="H1485" s="9" t="n">
        <v>2110405</v>
      </c>
      <c r="I1485" s="11" t="s">
        <v>56</v>
      </c>
      <c r="J1485" s="9" t="n">
        <v>954215</v>
      </c>
      <c r="L1485" s="9" t="n">
        <v>126220</v>
      </c>
      <c r="M1485" s="11" t="s">
        <v>36</v>
      </c>
      <c r="N1485" s="11" t="s">
        <v>45</v>
      </c>
      <c r="P1485" s="9" t="n">
        <v>101</v>
      </c>
      <c r="Q1485" s="11" t="s">
        <v>57</v>
      </c>
      <c r="R1485" s="11" t="s">
        <v>430</v>
      </c>
      <c r="S1485" s="9" t="n">
        <v>4210111</v>
      </c>
      <c r="T1485" s="11" t="s">
        <v>431</v>
      </c>
      <c r="U1485" s="12" t="n">
        <v>5700</v>
      </c>
      <c r="W1485" s="12" t="n">
        <v>5700</v>
      </c>
      <c r="X1485" s="11" t="s">
        <v>432</v>
      </c>
      <c r="Z1485" s="0" t="str">
        <f aca="false">IF($T1485="","",IFERROR(INDEX('Resumo Grupos'!$AC$3:$AC$200,MATCH($T1485,'Resumo Grupos'!$AB$3:$AB$200,0)),"n/d"))</f>
        <v>Despesa</v>
      </c>
      <c r="AA1485" s="0" t="str">
        <f aca="false">IF($T1485="","",IF(COUNTIF('Resumo Grupos'!$AE$3:$AE$40,$T1485)&gt;0,"NAO","SIM"))</f>
        <v>SIM</v>
      </c>
    </row>
    <row r="1486" customFormat="false" ht="54.75" hidden="false" customHeight="true" outlineLevel="0" collapsed="false">
      <c r="A1486" s="9" t="n">
        <v>2</v>
      </c>
      <c r="B1486" s="10" t="n">
        <v>46250</v>
      </c>
      <c r="C1486" s="10" t="n">
        <v>46250</v>
      </c>
      <c r="D1486" s="9" t="n">
        <v>0</v>
      </c>
      <c r="E1486" s="11" t="s">
        <v>109</v>
      </c>
      <c r="F1486" s="9" t="n">
        <v>17</v>
      </c>
      <c r="G1486" s="11" t="s">
        <v>110</v>
      </c>
      <c r="H1486" s="9" t="n">
        <v>1110101</v>
      </c>
      <c r="I1486" s="11" t="s">
        <v>111</v>
      </c>
      <c r="J1486" s="9" t="n">
        <v>1561656</v>
      </c>
      <c r="L1486" s="9" t="n">
        <v>1561656</v>
      </c>
      <c r="M1486" s="11" t="s">
        <v>52</v>
      </c>
      <c r="N1486" s="11" t="s">
        <v>112</v>
      </c>
      <c r="P1486" s="9" t="n">
        <v>113</v>
      </c>
      <c r="Q1486" s="11" t="s">
        <v>46</v>
      </c>
      <c r="R1486" s="11" t="s">
        <v>71</v>
      </c>
      <c r="S1486" s="9" t="n">
        <v>4210310</v>
      </c>
      <c r="T1486" s="11" t="s">
        <v>126</v>
      </c>
      <c r="U1486" s="12" t="n">
        <v>71</v>
      </c>
      <c r="W1486" s="12" t="n">
        <v>71</v>
      </c>
      <c r="X1486" s="11" t="s">
        <v>283</v>
      </c>
      <c r="Z1486" s="0" t="str">
        <f aca="false">IF($T1486="","",IFERROR(INDEX('Resumo Grupos'!$AC$3:$AC$200,MATCH($T1486,'Resumo Grupos'!$AB$3:$AB$200,0)),"n/d"))</f>
        <v>Despesa</v>
      </c>
      <c r="AA1486" s="0" t="str">
        <f aca="false">IF($T1486="","",IF(COUNTIF('Resumo Grupos'!$AE$3:$AE$40,$T1486)&gt;0,"NAO","SIM"))</f>
        <v>SIM</v>
      </c>
    </row>
    <row r="1487" customFormat="false" ht="36.75" hidden="false" customHeight="true" outlineLevel="0" collapsed="false">
      <c r="A1487" s="9" t="n">
        <v>2</v>
      </c>
      <c r="B1487" s="10" t="n">
        <v>46250</v>
      </c>
      <c r="C1487" s="10" t="n">
        <v>46250</v>
      </c>
      <c r="D1487" s="9" t="n">
        <v>0</v>
      </c>
      <c r="E1487" s="11" t="s">
        <v>109</v>
      </c>
      <c r="F1487" s="9" t="n">
        <v>17</v>
      </c>
      <c r="G1487" s="11" t="s">
        <v>110</v>
      </c>
      <c r="H1487" s="9" t="n">
        <v>1110101</v>
      </c>
      <c r="I1487" s="11" t="s">
        <v>111</v>
      </c>
      <c r="J1487" s="9" t="n">
        <v>1561658</v>
      </c>
      <c r="L1487" s="9" t="n">
        <v>1561658</v>
      </c>
      <c r="M1487" s="11" t="s">
        <v>52</v>
      </c>
      <c r="N1487" s="11" t="s">
        <v>112</v>
      </c>
      <c r="P1487" s="9" t="n">
        <v>113</v>
      </c>
      <c r="Q1487" s="11" t="s">
        <v>46</v>
      </c>
      <c r="R1487" s="11" t="s">
        <v>71</v>
      </c>
      <c r="S1487" s="9" t="n">
        <v>4210314</v>
      </c>
      <c r="T1487" s="11" t="s">
        <v>113</v>
      </c>
      <c r="U1487" s="12" t="n">
        <v>70</v>
      </c>
      <c r="W1487" s="12" t="n">
        <v>70</v>
      </c>
      <c r="X1487" s="11" t="s">
        <v>368</v>
      </c>
      <c r="Z1487" s="0" t="str">
        <f aca="false">IF($T1487="","",IFERROR(INDEX('Resumo Grupos'!$AC$3:$AC$200,MATCH($T1487,'Resumo Grupos'!$AB$3:$AB$200,0)),"n/d"))</f>
        <v>Despesa</v>
      </c>
      <c r="AA1487" s="0" t="str">
        <f aca="false">IF($T1487="","",IF(COUNTIF('Resumo Grupos'!$AE$3:$AE$40,$T1487)&gt;0,"NAO","SIM"))</f>
        <v>SIM</v>
      </c>
    </row>
    <row r="1488" customFormat="false" ht="36.75" hidden="false" customHeight="true" outlineLevel="0" collapsed="false">
      <c r="A1488" s="9" t="n">
        <v>2</v>
      </c>
      <c r="B1488" s="10" t="n">
        <v>46250</v>
      </c>
      <c r="C1488" s="10" t="n">
        <v>46250</v>
      </c>
      <c r="D1488" s="9" t="n">
        <v>0</v>
      </c>
      <c r="E1488" s="11" t="s">
        <v>109</v>
      </c>
      <c r="F1488" s="9" t="n">
        <v>17</v>
      </c>
      <c r="G1488" s="11" t="s">
        <v>110</v>
      </c>
      <c r="H1488" s="9" t="n">
        <v>1110101</v>
      </c>
      <c r="I1488" s="11" t="s">
        <v>111</v>
      </c>
      <c r="J1488" s="9" t="n">
        <v>1716391</v>
      </c>
      <c r="L1488" s="9" t="n">
        <v>1716391</v>
      </c>
      <c r="M1488" s="11" t="s">
        <v>52</v>
      </c>
      <c r="N1488" s="11" t="s">
        <v>112</v>
      </c>
      <c r="P1488" s="9" t="n">
        <v>113</v>
      </c>
      <c r="Q1488" s="11" t="s">
        <v>46</v>
      </c>
      <c r="R1488" s="11" t="s">
        <v>116</v>
      </c>
      <c r="S1488" s="9" t="n">
        <v>1110203</v>
      </c>
      <c r="T1488" s="11" t="s">
        <v>117</v>
      </c>
      <c r="U1488" s="12" t="n">
        <v>2500</v>
      </c>
      <c r="W1488" s="12" t="n">
        <v>2500</v>
      </c>
      <c r="X1488" s="11" t="s">
        <v>1342</v>
      </c>
      <c r="Z1488" s="0" t="str">
        <f aca="false">IF($T1488="","",IFERROR(INDEX('Resumo Grupos'!$AC$3:$AC$200,MATCH($T1488,'Resumo Grupos'!$AB$3:$AB$200,0)),"n/d"))</f>
        <v>Despesa</v>
      </c>
      <c r="AA1488" s="0" t="str">
        <f aca="false">IF($T1488="","",IF(COUNTIF('Resumo Grupos'!$AE$3:$AE$40,$T1488)&gt;0,"NAO","SIM"))</f>
        <v>SIM</v>
      </c>
    </row>
    <row r="1489" customFormat="false" ht="36.75" hidden="false" customHeight="true" outlineLevel="0" collapsed="false">
      <c r="A1489" s="9" t="n">
        <v>2</v>
      </c>
      <c r="B1489" s="10" t="n">
        <v>46223</v>
      </c>
      <c r="C1489" s="10" t="n">
        <v>46251</v>
      </c>
      <c r="D1489" s="9" t="n">
        <v>1705</v>
      </c>
      <c r="E1489" s="11" t="s">
        <v>130</v>
      </c>
      <c r="F1489" s="9" t="n">
        <v>24</v>
      </c>
      <c r="G1489" s="11" t="s">
        <v>51</v>
      </c>
      <c r="H1489" s="9" t="n">
        <v>2110405</v>
      </c>
      <c r="I1489" s="11" t="s">
        <v>56</v>
      </c>
      <c r="J1489" s="9" t="n">
        <v>1424522</v>
      </c>
      <c r="L1489" s="9" t="n">
        <v>190902</v>
      </c>
      <c r="M1489" s="11" t="s">
        <v>52</v>
      </c>
      <c r="N1489" s="11" t="s">
        <v>45</v>
      </c>
      <c r="P1489" s="9" t="n">
        <v>113</v>
      </c>
      <c r="Q1489" s="11" t="s">
        <v>46</v>
      </c>
      <c r="R1489" s="11" t="s">
        <v>47</v>
      </c>
      <c r="S1489" s="9" t="n">
        <v>1130101</v>
      </c>
      <c r="T1489" s="11" t="s">
        <v>48</v>
      </c>
      <c r="U1489" s="12" t="n">
        <v>114.61</v>
      </c>
      <c r="W1489" s="12" t="n">
        <v>114.61</v>
      </c>
      <c r="X1489" s="11" t="s">
        <v>1343</v>
      </c>
      <c r="Z1489" s="0" t="str">
        <f aca="false">IF($T1489="","",IFERROR(INDEX('Resumo Grupos'!$AC$3:$AC$200,MATCH($T1489,'Resumo Grupos'!$AB$3:$AB$200,0)),"n/d"))</f>
        <v>Mercadoria</v>
      </c>
      <c r="AA1489" s="0" t="str">
        <f aca="false">IF($T1489="","",IF(COUNTIF('Resumo Grupos'!$AE$3:$AE$40,$T1489)&gt;0,"NAO","SIM"))</f>
        <v>SIM</v>
      </c>
      <c r="AB1489" s="0" t="str">
        <f aca="false">IFERROR(INDEX('Mov Entradas (Rel 10497)'!$L:$L,MATCH(AC1489,'Mov Entradas (Rel 10497)'!$I:$I,0)),"nao encontrado")</f>
        <v>APER CAMPARI VD 998M</v>
      </c>
      <c r="AC1489" s="0" t="n">
        <v>1210021</v>
      </c>
    </row>
    <row r="1490" customFormat="false" ht="36.75" hidden="false" customHeight="true" outlineLevel="0" collapsed="false">
      <c r="A1490" s="9" t="n">
        <v>2</v>
      </c>
      <c r="B1490" s="10" t="n">
        <v>46223</v>
      </c>
      <c r="C1490" s="10" t="n">
        <v>46251</v>
      </c>
      <c r="D1490" s="9" t="n">
        <v>1601</v>
      </c>
      <c r="E1490" s="11" t="s">
        <v>193</v>
      </c>
      <c r="F1490" s="9" t="n">
        <v>24</v>
      </c>
      <c r="G1490" s="11" t="s">
        <v>51</v>
      </c>
      <c r="H1490" s="9" t="n">
        <v>2110405</v>
      </c>
      <c r="I1490" s="11" t="s">
        <v>56</v>
      </c>
      <c r="J1490" s="9" t="n">
        <v>1424101</v>
      </c>
      <c r="L1490" s="9" t="n">
        <v>190899</v>
      </c>
      <c r="M1490" s="11" t="s">
        <v>52</v>
      </c>
      <c r="N1490" s="11" t="s">
        <v>45</v>
      </c>
      <c r="P1490" s="9" t="n">
        <v>113</v>
      </c>
      <c r="Q1490" s="11" t="s">
        <v>46</v>
      </c>
      <c r="R1490" s="11" t="s">
        <v>47</v>
      </c>
      <c r="S1490" s="9" t="n">
        <v>1130101</v>
      </c>
      <c r="T1490" s="11" t="s">
        <v>48</v>
      </c>
      <c r="U1490" s="12" t="n">
        <v>676.98</v>
      </c>
      <c r="W1490" s="12" t="n">
        <v>676.98</v>
      </c>
      <c r="X1490" s="11" t="s">
        <v>1142</v>
      </c>
      <c r="Z1490" s="0" t="str">
        <f aca="false">IF($T1490="","",IFERROR(INDEX('Resumo Grupos'!$AC$3:$AC$200,MATCH($T1490,'Resumo Grupos'!$AB$3:$AB$200,0)),"n/d"))</f>
        <v>Mercadoria</v>
      </c>
      <c r="AA1490" s="0" t="str">
        <f aca="false">IF($T1490="","",IF(COUNTIF('Resumo Grupos'!$AE$3:$AE$40,$T1490)&gt;0,"NAO","SIM"))</f>
        <v>SIM</v>
      </c>
      <c r="AB1490" s="0" t="str">
        <f aca="false">IFERROR(INDEX('Mov Entradas (Rel 10497)'!$L:$L,MATCH(AC1490,'Mov Entradas (Rel 10497)'!$I:$I,0)),"nao encontrado")</f>
        <v>KETCH TOMAT HEIN397G</v>
      </c>
      <c r="AC1490" s="0" t="n">
        <v>854967</v>
      </c>
    </row>
    <row r="1491" customFormat="false" ht="54.75" hidden="false" customHeight="true" outlineLevel="0" collapsed="false">
      <c r="A1491" s="9" t="n">
        <v>2</v>
      </c>
      <c r="B1491" s="10" t="n">
        <v>46239</v>
      </c>
      <c r="C1491" s="10" t="n">
        <v>46251</v>
      </c>
      <c r="D1491" s="9" t="n">
        <v>1621</v>
      </c>
      <c r="E1491" s="11" t="s">
        <v>232</v>
      </c>
      <c r="F1491" s="9" t="n">
        <v>24</v>
      </c>
      <c r="G1491" s="11" t="s">
        <v>51</v>
      </c>
      <c r="H1491" s="9" t="n">
        <v>2110405</v>
      </c>
      <c r="I1491" s="11" t="s">
        <v>56</v>
      </c>
      <c r="J1491" s="9" t="n">
        <v>1504565</v>
      </c>
      <c r="L1491" s="9" t="n">
        <v>204362</v>
      </c>
      <c r="M1491" s="11" t="s">
        <v>52</v>
      </c>
      <c r="N1491" s="11" t="s">
        <v>45</v>
      </c>
      <c r="P1491" s="9" t="n">
        <v>113</v>
      </c>
      <c r="Q1491" s="11" t="s">
        <v>46</v>
      </c>
      <c r="R1491" s="11" t="s">
        <v>47</v>
      </c>
      <c r="S1491" s="9" t="n">
        <v>1130101</v>
      </c>
      <c r="T1491" s="11" t="s">
        <v>48</v>
      </c>
      <c r="U1491" s="12" t="n">
        <v>2448.61</v>
      </c>
      <c r="W1491" s="12" t="n">
        <v>2448.61</v>
      </c>
      <c r="X1491" s="11" t="s">
        <v>1344</v>
      </c>
      <c r="Z1491" s="0" t="str">
        <f aca="false">IF($T1491="","",IFERROR(INDEX('Resumo Grupos'!$AC$3:$AC$200,MATCH($T1491,'Resumo Grupos'!$AB$3:$AB$200,0)),"n/d"))</f>
        <v>Mercadoria</v>
      </c>
      <c r="AA1491" s="0" t="str">
        <f aca="false">IF($T1491="","",IF(COUNTIF('Resumo Grupos'!$AE$3:$AE$40,$T1491)&gt;0,"NAO","SIM"))</f>
        <v>SIM</v>
      </c>
      <c r="AB1491" s="0" t="str">
        <f aca="false">IFERROR(INDEX('Mov Entradas (Rel 10497)'!$L:$L,MATCH(AC1491,'Mov Entradas (Rel 10497)'!$I:$I,0)),"nao encontrado")</f>
        <v>REFR PEPSI 2L</v>
      </c>
      <c r="AC1491" s="0" t="n">
        <v>940437</v>
      </c>
    </row>
    <row r="1492" customFormat="false" ht="45.75" hidden="false" customHeight="true" outlineLevel="0" collapsed="false">
      <c r="A1492" s="9" t="n">
        <v>2</v>
      </c>
      <c r="B1492" s="10" t="n">
        <v>46244</v>
      </c>
      <c r="C1492" s="10" t="n">
        <v>46251</v>
      </c>
      <c r="D1492" s="9" t="n">
        <v>1621</v>
      </c>
      <c r="E1492" s="11" t="s">
        <v>232</v>
      </c>
      <c r="F1492" s="9" t="n">
        <v>24</v>
      </c>
      <c r="G1492" s="11" t="s">
        <v>51</v>
      </c>
      <c r="H1492" s="9" t="n">
        <v>2110405</v>
      </c>
      <c r="I1492" s="11" t="s">
        <v>56</v>
      </c>
      <c r="J1492" s="9" t="n">
        <v>1530003</v>
      </c>
      <c r="L1492" s="9" t="n">
        <v>208181</v>
      </c>
      <c r="M1492" s="11" t="s">
        <v>52</v>
      </c>
      <c r="N1492" s="11" t="s">
        <v>45</v>
      </c>
      <c r="P1492" s="9" t="n">
        <v>113</v>
      </c>
      <c r="Q1492" s="11" t="s">
        <v>46</v>
      </c>
      <c r="R1492" s="11" t="s">
        <v>47</v>
      </c>
      <c r="S1492" s="9" t="n">
        <v>1130101</v>
      </c>
      <c r="T1492" s="11" t="s">
        <v>48</v>
      </c>
      <c r="U1492" s="12" t="n">
        <v>1125.94</v>
      </c>
      <c r="W1492" s="12" t="n">
        <v>1125.94</v>
      </c>
      <c r="X1492" s="11" t="s">
        <v>1345</v>
      </c>
      <c r="Z1492" s="0" t="str">
        <f aca="false">IF($T1492="","",IFERROR(INDEX('Resumo Grupos'!$AC$3:$AC$200,MATCH($T1492,'Resumo Grupos'!$AB$3:$AB$200,0)),"n/d"))</f>
        <v>Mercadoria</v>
      </c>
      <c r="AA1492" s="0" t="str">
        <f aca="false">IF($T1492="","",IF(COUNTIF('Resumo Grupos'!$AE$3:$AE$40,$T1492)&gt;0,"NAO","SIM"))</f>
        <v>SIM</v>
      </c>
      <c r="AB1492" s="0" t="str">
        <f aca="false">IFERROR(INDEX('Mov Entradas (Rel 10497)'!$L:$L,MATCH(AC1492,'Mov Entradas (Rel 10497)'!$I:$I,0)),"nao encontrado")</f>
        <v>CERVEJA ORIGINAL 300</v>
      </c>
      <c r="AC1492" s="0" t="n">
        <v>948218</v>
      </c>
    </row>
    <row r="1493" customFormat="false" ht="45.75" hidden="false" customHeight="true" outlineLevel="0" collapsed="false">
      <c r="A1493" s="9" t="n">
        <v>2</v>
      </c>
      <c r="B1493" s="10" t="n">
        <v>46245</v>
      </c>
      <c r="C1493" s="10" t="n">
        <v>46251</v>
      </c>
      <c r="D1493" s="9" t="n">
        <v>911</v>
      </c>
      <c r="E1493" s="11" t="s">
        <v>487</v>
      </c>
      <c r="F1493" s="9" t="n">
        <v>24</v>
      </c>
      <c r="G1493" s="11" t="s">
        <v>51</v>
      </c>
      <c r="H1493" s="9" t="n">
        <v>2110405</v>
      </c>
      <c r="I1493" s="11" t="s">
        <v>56</v>
      </c>
      <c r="J1493" s="9" t="n">
        <v>1532636</v>
      </c>
      <c r="L1493" s="9" t="n">
        <v>208920</v>
      </c>
      <c r="M1493" s="11" t="s">
        <v>52</v>
      </c>
      <c r="N1493" s="11" t="s">
        <v>45</v>
      </c>
      <c r="P1493" s="9" t="n">
        <v>113</v>
      </c>
      <c r="Q1493" s="11" t="s">
        <v>46</v>
      </c>
      <c r="R1493" s="11" t="s">
        <v>47</v>
      </c>
      <c r="S1493" s="9" t="n">
        <v>1130101</v>
      </c>
      <c r="T1493" s="11" t="s">
        <v>48</v>
      </c>
      <c r="U1493" s="12" t="n">
        <v>304.02</v>
      </c>
      <c r="W1493" s="12" t="n">
        <v>304.02</v>
      </c>
      <c r="X1493" s="11" t="s">
        <v>1346</v>
      </c>
      <c r="Z1493" s="0" t="str">
        <f aca="false">IF($T1493="","",IFERROR(INDEX('Resumo Grupos'!$AC$3:$AC$200,MATCH($T1493,'Resumo Grupos'!$AB$3:$AB$200,0)),"n/d"))</f>
        <v>Mercadoria</v>
      </c>
      <c r="AA1493" s="0" t="str">
        <f aca="false">IF($T1493="","",IF(COUNTIF('Resumo Grupos'!$AE$3:$AE$40,$T1493)&gt;0,"NAO","SIM"))</f>
        <v>SIM</v>
      </c>
      <c r="AB1493" s="0" t="str">
        <f aca="false">IFERROR(INDEX('Mov Entradas (Rel 10497)'!$L:$L,MATCH(AC1493,'Mov Entradas (Rel 10497)'!$I:$I,0)),"nao encontrado")</f>
        <v>SUCO TAMPICO 1L</v>
      </c>
      <c r="AC1493" s="0" t="n">
        <v>55971</v>
      </c>
    </row>
    <row r="1494" customFormat="false" ht="36.75" hidden="false" customHeight="true" outlineLevel="0" collapsed="false">
      <c r="A1494" s="9" t="n">
        <v>2</v>
      </c>
      <c r="B1494" s="10" t="n">
        <v>46237</v>
      </c>
      <c r="C1494" s="10" t="n">
        <v>46251</v>
      </c>
      <c r="D1494" s="9" t="n">
        <v>1626</v>
      </c>
      <c r="E1494" s="11" t="s">
        <v>77</v>
      </c>
      <c r="F1494" s="9" t="n">
        <v>24</v>
      </c>
      <c r="G1494" s="11" t="s">
        <v>51</v>
      </c>
      <c r="H1494" s="9" t="n">
        <v>2110405</v>
      </c>
      <c r="I1494" s="11" t="s">
        <v>56</v>
      </c>
      <c r="J1494" s="9" t="n">
        <v>1495128</v>
      </c>
      <c r="L1494" s="9" t="n">
        <v>202739</v>
      </c>
      <c r="M1494" s="11" t="s">
        <v>52</v>
      </c>
      <c r="N1494" s="11" t="s">
        <v>45</v>
      </c>
      <c r="P1494" s="9" t="n">
        <v>113</v>
      </c>
      <c r="Q1494" s="11" t="s">
        <v>46</v>
      </c>
      <c r="R1494" s="11" t="s">
        <v>47</v>
      </c>
      <c r="S1494" s="9" t="n">
        <v>1130101</v>
      </c>
      <c r="T1494" s="11" t="s">
        <v>48</v>
      </c>
      <c r="U1494" s="12" t="n">
        <v>416.64</v>
      </c>
      <c r="W1494" s="12" t="n">
        <v>416.64</v>
      </c>
      <c r="X1494" s="11" t="s">
        <v>1245</v>
      </c>
      <c r="Z1494" s="0" t="str">
        <f aca="false">IF($T1494="","",IFERROR(INDEX('Resumo Grupos'!$AC$3:$AC$200,MATCH($T1494,'Resumo Grupos'!$AB$3:$AB$200,0)),"n/d"))</f>
        <v>Mercadoria</v>
      </c>
      <c r="AA1494" s="0" t="str">
        <f aca="false">IF($T1494="","",IF(COUNTIF('Resumo Grupos'!$AE$3:$AE$40,$T1494)&gt;0,"NAO","SIM"))</f>
        <v>SIM</v>
      </c>
      <c r="AB1494" s="0" t="str">
        <f aca="false">IFERROR(INDEX('Mov Entradas (Rel 10497)'!$L:$L,MATCH(AC1494,'Mov Entradas (Rel 10497)'!$I:$I,0)),"nao encontrado")</f>
        <v>TEKITOS TRAD 300G</v>
      </c>
      <c r="AC1494" s="0" t="n">
        <v>315892</v>
      </c>
    </row>
    <row r="1495" customFormat="false" ht="36.75" hidden="false" customHeight="true" outlineLevel="0" collapsed="false">
      <c r="A1495" s="9" t="n">
        <v>2</v>
      </c>
      <c r="B1495" s="10" t="n">
        <v>46251</v>
      </c>
      <c r="C1495" s="10" t="n">
        <v>46251</v>
      </c>
      <c r="D1495" s="9" t="n">
        <v>10096</v>
      </c>
      <c r="E1495" s="11" t="s">
        <v>622</v>
      </c>
      <c r="F1495" s="9" t="n">
        <v>13</v>
      </c>
      <c r="G1495" s="11" t="s">
        <v>135</v>
      </c>
      <c r="H1495" s="9" t="n">
        <v>2110405</v>
      </c>
      <c r="I1495" s="11" t="s">
        <v>56</v>
      </c>
      <c r="J1495" s="9" t="n">
        <v>1566626</v>
      </c>
      <c r="L1495" s="9" t="n">
        <v>213850</v>
      </c>
      <c r="M1495" s="11" t="s">
        <v>52</v>
      </c>
      <c r="N1495" s="11" t="s">
        <v>45</v>
      </c>
      <c r="P1495" s="9" t="n">
        <v>113</v>
      </c>
      <c r="Q1495" s="11" t="s">
        <v>46</v>
      </c>
      <c r="R1495" s="11" t="s">
        <v>47</v>
      </c>
      <c r="S1495" s="9" t="n">
        <v>1130101</v>
      </c>
      <c r="T1495" s="11" t="s">
        <v>48</v>
      </c>
      <c r="U1495" s="12" t="n">
        <v>140</v>
      </c>
      <c r="W1495" s="12" t="n">
        <v>140</v>
      </c>
      <c r="X1495" s="11" t="s">
        <v>1347</v>
      </c>
      <c r="Z1495" s="0" t="str">
        <f aca="false">IF($T1495="","",IFERROR(INDEX('Resumo Grupos'!$AC$3:$AC$200,MATCH($T1495,'Resumo Grupos'!$AB$3:$AB$200,0)),"n/d"))</f>
        <v>Mercadoria</v>
      </c>
      <c r="AA1495" s="0" t="str">
        <f aca="false">IF($T1495="","",IF(COUNTIF('Resumo Grupos'!$AE$3:$AE$40,$T1495)&gt;0,"NAO","SIM"))</f>
        <v>SIM</v>
      </c>
      <c r="AB1495" s="0" t="str">
        <f aca="false">IFERROR(INDEX('Mov Entradas (Rel 10497)'!$L:$L,MATCH(AC1495,'Mov Entradas (Rel 10497)'!$I:$I,0)),"nao encontrado")</f>
        <v>BOLO MIYAZAKI GRANDE</v>
      </c>
      <c r="AC1495" s="0" t="n">
        <v>181</v>
      </c>
    </row>
    <row r="1496" customFormat="false" ht="54.75" hidden="false" customHeight="true" outlineLevel="0" collapsed="false">
      <c r="A1496" s="9" t="n">
        <v>2</v>
      </c>
      <c r="B1496" s="10" t="n">
        <v>46248</v>
      </c>
      <c r="C1496" s="10" t="n">
        <v>46251</v>
      </c>
      <c r="D1496" s="9" t="n">
        <v>10035</v>
      </c>
      <c r="E1496" s="11" t="s">
        <v>86</v>
      </c>
      <c r="F1496" s="9" t="n">
        <v>34</v>
      </c>
      <c r="G1496" s="11" t="s">
        <v>55</v>
      </c>
      <c r="H1496" s="9" t="n">
        <v>2110405</v>
      </c>
      <c r="I1496" s="11" t="s">
        <v>56</v>
      </c>
      <c r="J1496" s="9" t="n">
        <v>1547294</v>
      </c>
      <c r="L1496" s="9" t="n">
        <v>211353</v>
      </c>
      <c r="M1496" s="11" t="s">
        <v>52</v>
      </c>
      <c r="N1496" s="11" t="s">
        <v>45</v>
      </c>
      <c r="P1496" s="9" t="n">
        <v>113</v>
      </c>
      <c r="Q1496" s="11" t="s">
        <v>46</v>
      </c>
      <c r="R1496" s="11" t="s">
        <v>47</v>
      </c>
      <c r="S1496" s="9" t="n">
        <v>1130101</v>
      </c>
      <c r="T1496" s="11" t="s">
        <v>48</v>
      </c>
      <c r="U1496" s="12" t="n">
        <v>183</v>
      </c>
      <c r="W1496" s="12" t="n">
        <v>183</v>
      </c>
      <c r="X1496" s="11" t="s">
        <v>1348</v>
      </c>
      <c r="Z1496" s="0" t="str">
        <f aca="false">IF($T1496="","",IFERROR(INDEX('Resumo Grupos'!$AC$3:$AC$200,MATCH($T1496,'Resumo Grupos'!$AB$3:$AB$200,0)),"n/d"))</f>
        <v>Mercadoria</v>
      </c>
      <c r="AA1496" s="0" t="str">
        <f aca="false">IF($T1496="","",IF(COUNTIF('Resumo Grupos'!$AE$3:$AE$40,$T1496)&gt;0,"NAO","SIM"))</f>
        <v>SIM</v>
      </c>
      <c r="AB1496" s="0" t="str">
        <f aca="false">IFERROR(INDEX('Mov Entradas (Rel 10497)'!$L:$L,MATCH(AC1496,'Mov Entradas (Rel 10497)'!$I:$I,0)),"nao encontrado")</f>
        <v>CARVAO VEGETAL 3KG</v>
      </c>
      <c r="AC1496" s="0" t="n">
        <v>401</v>
      </c>
    </row>
    <row r="1497" customFormat="false" ht="45.75" hidden="false" customHeight="true" outlineLevel="0" collapsed="false">
      <c r="A1497" s="9" t="n">
        <v>2</v>
      </c>
      <c r="B1497" s="10" t="n">
        <v>46244</v>
      </c>
      <c r="C1497" s="10" t="n">
        <v>46251</v>
      </c>
      <c r="D1497" s="9" t="n">
        <v>581</v>
      </c>
      <c r="E1497" s="11" t="s">
        <v>147</v>
      </c>
      <c r="F1497" s="9" t="n">
        <v>24</v>
      </c>
      <c r="G1497" s="11" t="s">
        <v>51</v>
      </c>
      <c r="H1497" s="9" t="n">
        <v>2110405</v>
      </c>
      <c r="I1497" s="11" t="s">
        <v>56</v>
      </c>
      <c r="J1497" s="9" t="n">
        <v>1529991</v>
      </c>
      <c r="L1497" s="9" t="n">
        <v>208179</v>
      </c>
      <c r="M1497" s="11" t="s">
        <v>52</v>
      </c>
      <c r="N1497" s="11" t="s">
        <v>45</v>
      </c>
      <c r="P1497" s="9" t="n">
        <v>113</v>
      </c>
      <c r="Q1497" s="11" t="s">
        <v>46</v>
      </c>
      <c r="R1497" s="11" t="s">
        <v>47</v>
      </c>
      <c r="S1497" s="9" t="n">
        <v>1130101</v>
      </c>
      <c r="T1497" s="11" t="s">
        <v>48</v>
      </c>
      <c r="U1497" s="12" t="n">
        <v>138</v>
      </c>
      <c r="W1497" s="12" t="n">
        <v>138</v>
      </c>
      <c r="X1497" s="11" t="s">
        <v>1349</v>
      </c>
      <c r="Z1497" s="0" t="str">
        <f aca="false">IF($T1497="","",IFERROR(INDEX('Resumo Grupos'!$AC$3:$AC$200,MATCH($T1497,'Resumo Grupos'!$AB$3:$AB$200,0)),"n/d"))</f>
        <v>Mercadoria</v>
      </c>
      <c r="AA1497" s="0" t="str">
        <f aca="false">IF($T1497="","",IF(COUNTIF('Resumo Grupos'!$AE$3:$AE$40,$T1497)&gt;0,"NAO","SIM"))</f>
        <v>SIM</v>
      </c>
      <c r="AB1497" s="0" t="str">
        <f aca="false">IFERROR(INDEX('Mov Entradas (Rel 10497)'!$L:$L,MATCH(AC1497,'Mov Entradas (Rel 10497)'!$I:$I,0)),"nao encontrado")</f>
        <v>GOMAMAND.AMAZ500G</v>
      </c>
      <c r="AC1497" s="0" t="n">
        <v>31847</v>
      </c>
    </row>
    <row r="1498" customFormat="false" ht="45.75" hidden="false" customHeight="true" outlineLevel="0" collapsed="false">
      <c r="A1498" s="9" t="n">
        <v>2</v>
      </c>
      <c r="B1498" s="10" t="n">
        <v>46251</v>
      </c>
      <c r="C1498" s="10" t="n">
        <v>46251</v>
      </c>
      <c r="D1498" s="9" t="n">
        <v>48</v>
      </c>
      <c r="E1498" s="11" t="s">
        <v>153</v>
      </c>
      <c r="F1498" s="9" t="n">
        <v>13</v>
      </c>
      <c r="G1498" s="11" t="s">
        <v>135</v>
      </c>
      <c r="H1498" s="9" t="n">
        <v>2110101</v>
      </c>
      <c r="I1498" s="11" t="s">
        <v>43</v>
      </c>
      <c r="J1498" s="9" t="n">
        <v>1562623</v>
      </c>
      <c r="L1498" s="9" t="n">
        <v>2609</v>
      </c>
      <c r="M1498" s="11" t="s">
        <v>52</v>
      </c>
      <c r="N1498" s="11" t="s">
        <v>37</v>
      </c>
      <c r="P1498" s="9" t="n">
        <v>113</v>
      </c>
      <c r="Q1498" s="11" t="s">
        <v>46</v>
      </c>
      <c r="R1498" s="11" t="s">
        <v>47</v>
      </c>
      <c r="S1498" s="9" t="n">
        <v>1130101</v>
      </c>
      <c r="T1498" s="11" t="s">
        <v>48</v>
      </c>
      <c r="U1498" s="12" t="n">
        <v>225</v>
      </c>
      <c r="W1498" s="12" t="n">
        <v>225</v>
      </c>
      <c r="X1498" s="11" t="s">
        <v>1350</v>
      </c>
      <c r="Z1498" s="0" t="str">
        <f aca="false">IF($T1498="","",IFERROR(INDEX('Resumo Grupos'!$AC$3:$AC$200,MATCH($T1498,'Resumo Grupos'!$AB$3:$AB$200,0)),"n/d"))</f>
        <v>Mercadoria</v>
      </c>
      <c r="AA1498" s="0" t="str">
        <f aca="false">IF($T1498="","",IF(COUNTIF('Resumo Grupos'!$AE$3:$AE$40,$T1498)&gt;0,"NAO","SIM"))</f>
        <v>SIM</v>
      </c>
    </row>
    <row r="1499" customFormat="false" ht="45.75" hidden="false" customHeight="true" outlineLevel="0" collapsed="false">
      <c r="A1499" s="9" t="n">
        <v>2</v>
      </c>
      <c r="B1499" s="10" t="n">
        <v>46245</v>
      </c>
      <c r="C1499" s="10" t="n">
        <v>46251</v>
      </c>
      <c r="D1499" s="9" t="n">
        <v>1328</v>
      </c>
      <c r="E1499" s="11" t="s">
        <v>95</v>
      </c>
      <c r="F1499" s="9" t="n">
        <v>24</v>
      </c>
      <c r="G1499" s="11" t="s">
        <v>51</v>
      </c>
      <c r="H1499" s="9" t="n">
        <v>2110405</v>
      </c>
      <c r="I1499" s="11" t="s">
        <v>56</v>
      </c>
      <c r="J1499" s="9" t="n">
        <v>1532692</v>
      </c>
      <c r="L1499" s="9" t="n">
        <v>208928</v>
      </c>
      <c r="M1499" s="11" t="s">
        <v>52</v>
      </c>
      <c r="N1499" s="11" t="s">
        <v>45</v>
      </c>
      <c r="P1499" s="9" t="n">
        <v>113</v>
      </c>
      <c r="Q1499" s="11" t="s">
        <v>46</v>
      </c>
      <c r="R1499" s="11" t="s">
        <v>47</v>
      </c>
      <c r="S1499" s="9" t="n">
        <v>1130101</v>
      </c>
      <c r="T1499" s="11" t="s">
        <v>48</v>
      </c>
      <c r="U1499" s="12" t="n">
        <v>279.65</v>
      </c>
      <c r="W1499" s="12" t="n">
        <v>279.65</v>
      </c>
      <c r="X1499" s="11" t="s">
        <v>1351</v>
      </c>
      <c r="Z1499" s="0" t="str">
        <f aca="false">IF($T1499="","",IFERROR(INDEX('Resumo Grupos'!$AC$3:$AC$200,MATCH($T1499,'Resumo Grupos'!$AB$3:$AB$200,0)),"n/d"))</f>
        <v>Mercadoria</v>
      </c>
      <c r="AA1499" s="0" t="str">
        <f aca="false">IF($T1499="","",IF(COUNTIF('Resumo Grupos'!$AE$3:$AE$40,$T1499)&gt;0,"NAO","SIM"))</f>
        <v>SIM</v>
      </c>
      <c r="AB1499" s="0" t="str">
        <f aca="false">IFERROR(INDEX('Mov Entradas (Rel 10497)'!$L:$L,MATCH(AC1499,'Mov Entradas (Rel 10497)'!$I:$I,0)),"nao encontrado")</f>
        <v>PAO DE KIKAO 10</v>
      </c>
      <c r="AC1499" s="0" t="n">
        <v>4340</v>
      </c>
    </row>
    <row r="1500" customFormat="false" ht="45.75" hidden="false" customHeight="true" outlineLevel="0" collapsed="false">
      <c r="A1500" s="9" t="n">
        <v>2</v>
      </c>
      <c r="B1500" s="10" t="n">
        <v>46244</v>
      </c>
      <c r="C1500" s="10" t="n">
        <v>46251</v>
      </c>
      <c r="D1500" s="9" t="n">
        <v>1740</v>
      </c>
      <c r="E1500" s="11" t="s">
        <v>468</v>
      </c>
      <c r="F1500" s="9" t="n">
        <v>24</v>
      </c>
      <c r="G1500" s="11" t="s">
        <v>51</v>
      </c>
      <c r="H1500" s="9" t="n">
        <v>2110405</v>
      </c>
      <c r="I1500" s="11" t="s">
        <v>56</v>
      </c>
      <c r="J1500" s="9" t="n">
        <v>1529023</v>
      </c>
      <c r="L1500" s="9" t="n">
        <v>207921</v>
      </c>
      <c r="M1500" s="11" t="s">
        <v>52</v>
      </c>
      <c r="N1500" s="11" t="s">
        <v>45</v>
      </c>
      <c r="P1500" s="9" t="n">
        <v>113</v>
      </c>
      <c r="Q1500" s="11" t="s">
        <v>46</v>
      </c>
      <c r="R1500" s="11" t="s">
        <v>47</v>
      </c>
      <c r="S1500" s="9" t="n">
        <v>1130101</v>
      </c>
      <c r="T1500" s="11" t="s">
        <v>48</v>
      </c>
      <c r="U1500" s="12" t="n">
        <v>364.47</v>
      </c>
      <c r="W1500" s="12" t="n">
        <v>364.47</v>
      </c>
      <c r="X1500" s="11" t="s">
        <v>1352</v>
      </c>
      <c r="Z1500" s="0" t="str">
        <f aca="false">IF($T1500="","",IFERROR(INDEX('Resumo Grupos'!$AC$3:$AC$200,MATCH($T1500,'Resumo Grupos'!$AB$3:$AB$200,0)),"n/d"))</f>
        <v>Mercadoria</v>
      </c>
      <c r="AA1500" s="0" t="str">
        <f aca="false">IF($T1500="","",IF(COUNTIF('Resumo Grupos'!$AE$3:$AE$40,$T1500)&gt;0,"NAO","SIM"))</f>
        <v>SIM</v>
      </c>
      <c r="AB1500" s="0" t="str">
        <f aca="false">IFERROR(INDEX('Mov Entradas (Rel 10497)'!$L:$L,MATCH(AC1500,'Mov Entradas (Rel 10497)'!$I:$I,0)),"nao encontrado")</f>
        <v>LASANHA BOLONH 600G</v>
      </c>
      <c r="AC1500" s="0" t="n">
        <v>1257279</v>
      </c>
    </row>
    <row r="1501" customFormat="false" ht="45.75" hidden="false" customHeight="true" outlineLevel="0" collapsed="false">
      <c r="A1501" s="9" t="n">
        <v>2</v>
      </c>
      <c r="B1501" s="10" t="n">
        <v>46247</v>
      </c>
      <c r="C1501" s="10" t="n">
        <v>46251</v>
      </c>
      <c r="D1501" s="9" t="n">
        <v>1899</v>
      </c>
      <c r="E1501" s="11" t="s">
        <v>204</v>
      </c>
      <c r="F1501" s="9" t="n">
        <v>24</v>
      </c>
      <c r="G1501" s="11" t="s">
        <v>51</v>
      </c>
      <c r="H1501" s="9" t="n">
        <v>2110405</v>
      </c>
      <c r="I1501" s="11" t="s">
        <v>56</v>
      </c>
      <c r="J1501" s="9" t="n">
        <v>1543532</v>
      </c>
      <c r="L1501" s="9" t="n">
        <v>210484</v>
      </c>
      <c r="M1501" s="11" t="s">
        <v>52</v>
      </c>
      <c r="N1501" s="11" t="s">
        <v>45</v>
      </c>
      <c r="P1501" s="9" t="n">
        <v>113</v>
      </c>
      <c r="Q1501" s="11" t="s">
        <v>46</v>
      </c>
      <c r="R1501" s="11" t="s">
        <v>47</v>
      </c>
      <c r="S1501" s="9" t="n">
        <v>1130101</v>
      </c>
      <c r="T1501" s="11" t="s">
        <v>48</v>
      </c>
      <c r="U1501" s="12" t="n">
        <v>317.18</v>
      </c>
      <c r="W1501" s="12" t="n">
        <v>317.18</v>
      </c>
      <c r="X1501" s="11" t="s">
        <v>1353</v>
      </c>
      <c r="Z1501" s="0" t="str">
        <f aca="false">IF($T1501="","",IFERROR(INDEX('Resumo Grupos'!$AC$3:$AC$200,MATCH($T1501,'Resumo Grupos'!$AB$3:$AB$200,0)),"n/d"))</f>
        <v>Mercadoria</v>
      </c>
      <c r="AA1501" s="0" t="str">
        <f aca="false">IF($T1501="","",IF(COUNTIF('Resumo Grupos'!$AE$3:$AE$40,$T1501)&gt;0,"NAO","SIM"))</f>
        <v>SIM</v>
      </c>
      <c r="AB1501" s="0" t="str">
        <f aca="false">IFERROR(INDEX('Mov Entradas (Rel 10497)'!$L:$L,MATCH(AC1501,'Mov Entradas (Rel 10497)'!$I:$I,0)),"nao encontrado")</f>
        <v>PAO DE FORMA REAL MA</v>
      </c>
      <c r="AC1501" s="0" t="n">
        <v>760</v>
      </c>
    </row>
    <row r="1502" customFormat="false" ht="54.75" hidden="false" customHeight="true" outlineLevel="0" collapsed="false">
      <c r="A1502" s="9" t="n">
        <v>2</v>
      </c>
      <c r="B1502" s="10" t="n">
        <v>46251</v>
      </c>
      <c r="C1502" s="10" t="n">
        <v>46251</v>
      </c>
      <c r="D1502" s="9" t="n">
        <v>0</v>
      </c>
      <c r="E1502" s="11" t="s">
        <v>109</v>
      </c>
      <c r="F1502" s="9" t="n">
        <v>17</v>
      </c>
      <c r="G1502" s="11" t="s">
        <v>110</v>
      </c>
      <c r="H1502" s="9" t="n">
        <v>1110101</v>
      </c>
      <c r="I1502" s="11" t="s">
        <v>111</v>
      </c>
      <c r="J1502" s="9" t="n">
        <v>1567107</v>
      </c>
      <c r="L1502" s="9" t="n">
        <v>1567107</v>
      </c>
      <c r="M1502" s="11" t="s">
        <v>52</v>
      </c>
      <c r="N1502" s="11" t="s">
        <v>112</v>
      </c>
      <c r="P1502" s="9" t="n">
        <v>113</v>
      </c>
      <c r="Q1502" s="11" t="s">
        <v>46</v>
      </c>
      <c r="R1502" s="11" t="s">
        <v>259</v>
      </c>
      <c r="S1502" s="9" t="n">
        <v>2110101</v>
      </c>
      <c r="T1502" s="11" t="s">
        <v>43</v>
      </c>
      <c r="U1502" s="12" t="n">
        <v>225</v>
      </c>
      <c r="W1502" s="12" t="n">
        <v>225</v>
      </c>
      <c r="X1502" s="11" t="s">
        <v>1354</v>
      </c>
      <c r="Z1502" s="0" t="str">
        <f aca="false">IF($T1502="","",IFERROR(INDEX('Resumo Grupos'!$AC$3:$AC$200,MATCH($T1502,'Resumo Grupos'!$AB$3:$AB$200,0)),"n/d"))</f>
        <v>Despesa</v>
      </c>
      <c r="AA1502" s="0" t="str">
        <f aca="false">IF($T1502="","",IF(COUNTIF('Resumo Grupos'!$AE$3:$AE$40,$T1502)&gt;0,"NAO","SIM"))</f>
        <v>SIM</v>
      </c>
    </row>
    <row r="1503" customFormat="false" ht="36.75" hidden="false" customHeight="true" outlineLevel="0" collapsed="false">
      <c r="A1503" s="9" t="n">
        <v>2</v>
      </c>
      <c r="B1503" s="10" t="n">
        <v>46251</v>
      </c>
      <c r="C1503" s="10" t="n">
        <v>46251</v>
      </c>
      <c r="D1503" s="9" t="n">
        <v>0</v>
      </c>
      <c r="E1503" s="11" t="s">
        <v>109</v>
      </c>
      <c r="F1503" s="9" t="n">
        <v>17</v>
      </c>
      <c r="G1503" s="11" t="s">
        <v>110</v>
      </c>
      <c r="H1503" s="9" t="n">
        <v>1110101</v>
      </c>
      <c r="I1503" s="11" t="s">
        <v>111</v>
      </c>
      <c r="J1503" s="9" t="n">
        <v>1567108</v>
      </c>
      <c r="L1503" s="9" t="n">
        <v>1567108</v>
      </c>
      <c r="M1503" s="11" t="s">
        <v>52</v>
      </c>
      <c r="N1503" s="11" t="s">
        <v>112</v>
      </c>
      <c r="P1503" s="9" t="n">
        <v>113</v>
      </c>
      <c r="Q1503" s="11" t="s">
        <v>46</v>
      </c>
      <c r="R1503" s="11" t="s">
        <v>56</v>
      </c>
      <c r="S1503" s="9" t="n">
        <v>2110405</v>
      </c>
      <c r="T1503" s="11" t="s">
        <v>56</v>
      </c>
      <c r="U1503" s="12" t="n">
        <v>140</v>
      </c>
      <c r="W1503" s="12" t="n">
        <v>140</v>
      </c>
      <c r="X1503" s="11" t="s">
        <v>1355</v>
      </c>
      <c r="Z1503" s="0" t="str">
        <f aca="false">IF($T1503="","",IFERROR(INDEX('Resumo Grupos'!$AC$3:$AC$200,MATCH($T1503,'Resumo Grupos'!$AB$3:$AB$200,0)),"n/d"))</f>
        <v>Cobertura de conta</v>
      </c>
      <c r="AA1503" s="0" t="str">
        <f aca="false">IF($T1503="","",IF(COUNTIF('Resumo Grupos'!$AE$3:$AE$40,$T1503)&gt;0,"NAO","SIM"))</f>
        <v>SIM</v>
      </c>
    </row>
    <row r="1504" customFormat="false" ht="45.75" hidden="false" customHeight="true" outlineLevel="0" collapsed="false">
      <c r="A1504" s="9" t="n">
        <v>2</v>
      </c>
      <c r="B1504" s="10" t="n">
        <v>46251</v>
      </c>
      <c r="C1504" s="10" t="n">
        <v>46251</v>
      </c>
      <c r="D1504" s="9" t="n">
        <v>0</v>
      </c>
      <c r="E1504" s="11" t="s">
        <v>109</v>
      </c>
      <c r="F1504" s="9" t="n">
        <v>17</v>
      </c>
      <c r="G1504" s="11" t="s">
        <v>110</v>
      </c>
      <c r="H1504" s="9" t="n">
        <v>1110101</v>
      </c>
      <c r="I1504" s="11" t="s">
        <v>111</v>
      </c>
      <c r="J1504" s="9" t="n">
        <v>1567109</v>
      </c>
      <c r="L1504" s="9" t="n">
        <v>1567109</v>
      </c>
      <c r="M1504" s="11" t="s">
        <v>52</v>
      </c>
      <c r="N1504" s="11" t="s">
        <v>112</v>
      </c>
      <c r="P1504" s="9" t="n">
        <v>113</v>
      </c>
      <c r="Q1504" s="11" t="s">
        <v>46</v>
      </c>
      <c r="R1504" s="11" t="s">
        <v>71</v>
      </c>
      <c r="S1504" s="9" t="n">
        <v>4210314</v>
      </c>
      <c r="T1504" s="11" t="s">
        <v>113</v>
      </c>
      <c r="U1504" s="12" t="n">
        <v>70</v>
      </c>
      <c r="W1504" s="12" t="n">
        <v>70</v>
      </c>
      <c r="X1504" s="11" t="s">
        <v>114</v>
      </c>
      <c r="Z1504" s="0" t="str">
        <f aca="false">IF($T1504="","",IFERROR(INDEX('Resumo Grupos'!$AC$3:$AC$200,MATCH($T1504,'Resumo Grupos'!$AB$3:$AB$200,0)),"n/d"))</f>
        <v>Despesa</v>
      </c>
      <c r="AA1504" s="0" t="str">
        <f aca="false">IF($T1504="","",IF(COUNTIF('Resumo Grupos'!$AE$3:$AE$40,$T1504)&gt;0,"NAO","SIM"))</f>
        <v>SIM</v>
      </c>
    </row>
    <row r="1505" customFormat="false" ht="63.75" hidden="false" customHeight="true" outlineLevel="0" collapsed="false">
      <c r="A1505" s="9" t="n">
        <v>2</v>
      </c>
      <c r="B1505" s="10" t="n">
        <v>46251</v>
      </c>
      <c r="C1505" s="10" t="n">
        <v>46251</v>
      </c>
      <c r="D1505" s="9" t="n">
        <v>0</v>
      </c>
      <c r="E1505" s="11" t="s">
        <v>109</v>
      </c>
      <c r="F1505" s="9" t="n">
        <v>17</v>
      </c>
      <c r="G1505" s="11" t="s">
        <v>110</v>
      </c>
      <c r="H1505" s="9" t="n">
        <v>1110101</v>
      </c>
      <c r="I1505" s="11" t="s">
        <v>111</v>
      </c>
      <c r="J1505" s="9" t="n">
        <v>1716395</v>
      </c>
      <c r="L1505" s="9" t="n">
        <v>1716395</v>
      </c>
      <c r="M1505" s="11" t="s">
        <v>52</v>
      </c>
      <c r="N1505" s="11" t="s">
        <v>112</v>
      </c>
      <c r="P1505" s="9" t="n">
        <v>113</v>
      </c>
      <c r="Q1505" s="11" t="s">
        <v>46</v>
      </c>
      <c r="R1505" s="11" t="s">
        <v>116</v>
      </c>
      <c r="S1505" s="9" t="n">
        <v>1110203</v>
      </c>
      <c r="T1505" s="11" t="s">
        <v>117</v>
      </c>
      <c r="U1505" s="12" t="n">
        <v>1700</v>
      </c>
      <c r="W1505" s="12" t="n">
        <v>1700</v>
      </c>
      <c r="X1505" s="11" t="s">
        <v>1356</v>
      </c>
      <c r="Z1505" s="0" t="str">
        <f aca="false">IF($T1505="","",IFERROR(INDEX('Resumo Grupos'!$AC$3:$AC$200,MATCH($T1505,'Resumo Grupos'!$AB$3:$AB$200,0)),"n/d"))</f>
        <v>Despesa</v>
      </c>
      <c r="AA1505" s="0" t="str">
        <f aca="false">IF($T1505="","",IF(COUNTIF('Resumo Grupos'!$AE$3:$AE$40,$T1505)&gt;0,"NAO","SIM"))</f>
        <v>SIM</v>
      </c>
    </row>
    <row r="1506" customFormat="false" ht="36.75" hidden="false" customHeight="true" outlineLevel="0" collapsed="false">
      <c r="A1506" s="9" t="n">
        <v>2</v>
      </c>
      <c r="B1506" s="10" t="n">
        <v>46244</v>
      </c>
      <c r="C1506" s="10" t="n">
        <v>46251</v>
      </c>
      <c r="D1506" s="9" t="n">
        <v>1631</v>
      </c>
      <c r="E1506" s="11" t="s">
        <v>299</v>
      </c>
      <c r="F1506" s="9" t="n">
        <v>24</v>
      </c>
      <c r="G1506" s="11" t="s">
        <v>51</v>
      </c>
      <c r="H1506" s="9" t="n">
        <v>2110405</v>
      </c>
      <c r="I1506" s="11" t="s">
        <v>56</v>
      </c>
      <c r="J1506" s="9" t="n">
        <v>1529983</v>
      </c>
      <c r="L1506" s="9" t="n">
        <v>208174</v>
      </c>
      <c r="M1506" s="11" t="s">
        <v>52</v>
      </c>
      <c r="N1506" s="11" t="s">
        <v>45</v>
      </c>
      <c r="P1506" s="9" t="n">
        <v>113</v>
      </c>
      <c r="Q1506" s="11" t="s">
        <v>46</v>
      </c>
      <c r="R1506" s="11" t="s">
        <v>47</v>
      </c>
      <c r="S1506" s="9" t="n">
        <v>1130101</v>
      </c>
      <c r="T1506" s="11" t="s">
        <v>48</v>
      </c>
      <c r="U1506" s="12" t="n">
        <v>284.93</v>
      </c>
      <c r="W1506" s="12" t="n">
        <v>284.93</v>
      </c>
      <c r="X1506" s="11" t="s">
        <v>1357</v>
      </c>
      <c r="Z1506" s="0" t="str">
        <f aca="false">IF($T1506="","",IFERROR(INDEX('Resumo Grupos'!$AC$3:$AC$200,MATCH($T1506,'Resumo Grupos'!$AB$3:$AB$200,0)),"n/d"))</f>
        <v>Mercadoria</v>
      </c>
      <c r="AA1506" s="0" t="str">
        <f aca="false">IF($T1506="","",IF(COUNTIF('Resumo Grupos'!$AE$3:$AE$40,$T1506)&gt;0,"NAO","SIM"))</f>
        <v>SIM</v>
      </c>
      <c r="AB1506" s="0" t="str">
        <f aca="false">IFERROR(INDEX('Mov Entradas (Rel 10497)'!$L:$L,MATCH(AC1506,'Mov Entradas (Rel 10497)'!$I:$I,0)),"nao encontrado")</f>
        <v>IOGURTE AMAZONGURT D</v>
      </c>
      <c r="AC1506" s="0" t="n">
        <v>15234</v>
      </c>
    </row>
    <row r="1507" customFormat="false" ht="36.75" hidden="false" customHeight="true" outlineLevel="0" collapsed="false">
      <c r="A1507" s="9" t="n">
        <v>2</v>
      </c>
      <c r="B1507" s="10" t="n">
        <v>46221</v>
      </c>
      <c r="C1507" s="10" t="n">
        <v>46251</v>
      </c>
      <c r="D1507" s="9" t="n">
        <v>1671</v>
      </c>
      <c r="E1507" s="11" t="s">
        <v>119</v>
      </c>
      <c r="F1507" s="9" t="n">
        <v>24</v>
      </c>
      <c r="G1507" s="11" t="s">
        <v>51</v>
      </c>
      <c r="H1507" s="9" t="n">
        <v>2110405</v>
      </c>
      <c r="I1507" s="11" t="s">
        <v>56</v>
      </c>
      <c r="J1507" s="9" t="n">
        <v>1415259</v>
      </c>
      <c r="L1507" s="9" t="n">
        <v>190807</v>
      </c>
      <c r="M1507" s="11" t="s">
        <v>52</v>
      </c>
      <c r="N1507" s="11" t="s">
        <v>45</v>
      </c>
      <c r="P1507" s="9" t="n">
        <v>113</v>
      </c>
      <c r="Q1507" s="11" t="s">
        <v>46</v>
      </c>
      <c r="R1507" s="11" t="s">
        <v>47</v>
      </c>
      <c r="S1507" s="9" t="n">
        <v>1130101</v>
      </c>
      <c r="T1507" s="11" t="s">
        <v>48</v>
      </c>
      <c r="U1507" s="12" t="n">
        <v>1415.72</v>
      </c>
      <c r="W1507" s="12" t="n">
        <v>1415.72</v>
      </c>
      <c r="X1507" s="11" t="s">
        <v>1263</v>
      </c>
      <c r="Z1507" s="0" t="str">
        <f aca="false">IF($T1507="","",IFERROR(INDEX('Resumo Grupos'!$AC$3:$AC$200,MATCH($T1507,'Resumo Grupos'!$AB$3:$AB$200,0)),"n/d"))</f>
        <v>Mercadoria</v>
      </c>
      <c r="AA1507" s="0" t="str">
        <f aca="false">IF($T1507="","",IF(COUNTIF('Resumo Grupos'!$AE$3:$AE$40,$T1507)&gt;0,"NAO","SIM"))</f>
        <v>SIM</v>
      </c>
      <c r="AB1507" s="0" t="str">
        <f aca="false">IFERROR(INDEX('Mov Entradas (Rel 10497)'!$L:$L,MATCH(AC1507,'Mov Entradas (Rel 10497)'!$I:$I,0)),"nao encontrado")</f>
        <v>SAB LIQ PROTEX CREAM</v>
      </c>
      <c r="AC1507" s="0" t="n">
        <v>580863</v>
      </c>
    </row>
    <row r="1508" customFormat="false" ht="63.75" hidden="false" customHeight="true" outlineLevel="0" collapsed="false">
      <c r="A1508" s="9" t="n">
        <v>2</v>
      </c>
      <c r="B1508" s="10" t="n">
        <v>46221</v>
      </c>
      <c r="C1508" s="10" t="n">
        <v>46251</v>
      </c>
      <c r="D1508" s="9" t="n">
        <v>1671</v>
      </c>
      <c r="E1508" s="11" t="s">
        <v>119</v>
      </c>
      <c r="F1508" s="9" t="n">
        <v>24</v>
      </c>
      <c r="G1508" s="11" t="s">
        <v>51</v>
      </c>
      <c r="H1508" s="9" t="n">
        <v>2110405</v>
      </c>
      <c r="I1508" s="11" t="s">
        <v>56</v>
      </c>
      <c r="J1508" s="9" t="n">
        <v>1415308</v>
      </c>
      <c r="L1508" s="9" t="n">
        <v>190812</v>
      </c>
      <c r="M1508" s="11" t="s">
        <v>52</v>
      </c>
      <c r="N1508" s="11" t="s">
        <v>45</v>
      </c>
      <c r="P1508" s="9" t="n">
        <v>113</v>
      </c>
      <c r="Q1508" s="11" t="s">
        <v>46</v>
      </c>
      <c r="R1508" s="11" t="s">
        <v>47</v>
      </c>
      <c r="S1508" s="9" t="n">
        <v>1130101</v>
      </c>
      <c r="T1508" s="11" t="s">
        <v>48</v>
      </c>
      <c r="U1508" s="12" t="n">
        <v>1144.36</v>
      </c>
      <c r="W1508" s="12" t="n">
        <v>1144.36</v>
      </c>
      <c r="X1508" s="11" t="s">
        <v>1264</v>
      </c>
      <c r="Z1508" s="0" t="str">
        <f aca="false">IF($T1508="","",IFERROR(INDEX('Resumo Grupos'!$AC$3:$AC$200,MATCH($T1508,'Resumo Grupos'!$AB$3:$AB$200,0)),"n/d"))</f>
        <v>Mercadoria</v>
      </c>
      <c r="AA1508" s="0" t="str">
        <f aca="false">IF($T1508="","",IF(COUNTIF('Resumo Grupos'!$AE$3:$AE$40,$T1508)&gt;0,"NAO","SIM"))</f>
        <v>SIM</v>
      </c>
      <c r="AB1508" s="0" t="str">
        <f aca="false">IFERROR(INDEX('Mov Entradas (Rel 10497)'!$L:$L,MATCH(AC1508,'Mov Entradas (Rel 10497)'!$I:$I,0)),"nao encontrado")</f>
        <v>FINI BEIJOS MORANGO 90G</v>
      </c>
      <c r="AC1508" s="0" t="n">
        <v>580861</v>
      </c>
    </row>
    <row r="1509" customFormat="false" ht="54.75" hidden="false" customHeight="true" outlineLevel="0" collapsed="false">
      <c r="A1509" s="9" t="n">
        <v>2</v>
      </c>
      <c r="B1509" s="10" t="n">
        <v>46218</v>
      </c>
      <c r="C1509" s="10" t="n">
        <v>46252</v>
      </c>
      <c r="D1509" s="9" t="n">
        <v>1637</v>
      </c>
      <c r="E1509" s="11" t="s">
        <v>871</v>
      </c>
      <c r="F1509" s="9" t="n">
        <v>24</v>
      </c>
      <c r="G1509" s="11" t="s">
        <v>51</v>
      </c>
      <c r="H1509" s="9" t="n">
        <v>2110405</v>
      </c>
      <c r="I1509" s="11" t="s">
        <v>56</v>
      </c>
      <c r="J1509" s="9" t="n">
        <v>1401284</v>
      </c>
      <c r="L1509" s="9" t="n">
        <v>188463</v>
      </c>
      <c r="M1509" s="11" t="s">
        <v>52</v>
      </c>
      <c r="N1509" s="11" t="s">
        <v>45</v>
      </c>
      <c r="P1509" s="9" t="n">
        <v>113</v>
      </c>
      <c r="Q1509" s="11" t="s">
        <v>46</v>
      </c>
      <c r="R1509" s="11" t="s">
        <v>47</v>
      </c>
      <c r="S1509" s="9" t="n">
        <v>1130101</v>
      </c>
      <c r="T1509" s="11" t="s">
        <v>48</v>
      </c>
      <c r="U1509" s="12" t="n">
        <v>479.64</v>
      </c>
      <c r="W1509" s="12" t="n">
        <v>479.64</v>
      </c>
      <c r="X1509" s="11" t="s">
        <v>1358</v>
      </c>
      <c r="Z1509" s="0" t="str">
        <f aca="false">IF($T1509="","",IFERROR(INDEX('Resumo Grupos'!$AC$3:$AC$200,MATCH($T1509,'Resumo Grupos'!$AB$3:$AB$200,0)),"n/d"))</f>
        <v>Mercadoria</v>
      </c>
      <c r="AA1509" s="0" t="str">
        <f aca="false">IF($T1509="","",IF(COUNTIF('Resumo Grupos'!$AE$3:$AE$40,$T1509)&gt;0,"NAO","SIM"))</f>
        <v>SIM</v>
      </c>
      <c r="AB1509" s="0" t="str">
        <f aca="false">IFERROR(INDEX('Mov Entradas (Rel 10497)'!$L:$L,MATCH(AC1509,'Mov Entradas (Rel 10497)'!$I:$I,0)),"nao encontrado")</f>
        <v>CAFE DO NORT 250G</v>
      </c>
      <c r="AC1509" s="0" t="n">
        <v>1905833</v>
      </c>
    </row>
    <row r="1510" customFormat="false" ht="54.75" hidden="false" customHeight="true" outlineLevel="0" collapsed="false">
      <c r="A1510" s="9" t="n">
        <v>2</v>
      </c>
      <c r="B1510" s="10" t="n">
        <v>46252</v>
      </c>
      <c r="C1510" s="10" t="n">
        <v>46252</v>
      </c>
      <c r="D1510" s="9" t="n">
        <v>1037</v>
      </c>
      <c r="E1510" s="11" t="s">
        <v>134</v>
      </c>
      <c r="F1510" s="9" t="n">
        <v>34</v>
      </c>
      <c r="G1510" s="11" t="s">
        <v>55</v>
      </c>
      <c r="H1510" s="9" t="n">
        <v>2110405</v>
      </c>
      <c r="I1510" s="11" t="s">
        <v>56</v>
      </c>
      <c r="J1510" s="9" t="n">
        <v>1567641</v>
      </c>
      <c r="L1510" s="9" t="n">
        <v>214044</v>
      </c>
      <c r="M1510" s="11" t="s">
        <v>52</v>
      </c>
      <c r="N1510" s="11" t="s">
        <v>45</v>
      </c>
      <c r="P1510" s="9" t="n">
        <v>113</v>
      </c>
      <c r="Q1510" s="11" t="s">
        <v>46</v>
      </c>
      <c r="R1510" s="11" t="s">
        <v>47</v>
      </c>
      <c r="S1510" s="9" t="n">
        <v>1130101</v>
      </c>
      <c r="T1510" s="11" t="s">
        <v>48</v>
      </c>
      <c r="U1510" s="12" t="n">
        <v>190</v>
      </c>
      <c r="W1510" s="12" t="n">
        <v>190</v>
      </c>
      <c r="X1510" s="11" t="s">
        <v>1359</v>
      </c>
      <c r="Z1510" s="0" t="str">
        <f aca="false">IF($T1510="","",IFERROR(INDEX('Resumo Grupos'!$AC$3:$AC$200,MATCH($T1510,'Resumo Grupos'!$AB$3:$AB$200,0)),"n/d"))</f>
        <v>Mercadoria</v>
      </c>
      <c r="AA1510" s="0" t="str">
        <f aca="false">IF($T1510="","",IF(COUNTIF('Resumo Grupos'!$AE$3:$AE$40,$T1510)&gt;0,"NAO","SIM"))</f>
        <v>SIM</v>
      </c>
    </row>
    <row r="1511" customFormat="false" ht="45.75" hidden="false" customHeight="true" outlineLevel="0" collapsed="false">
      <c r="A1511" s="9" t="n">
        <v>2</v>
      </c>
      <c r="B1511" s="10" t="n">
        <v>46252</v>
      </c>
      <c r="C1511" s="10" t="n">
        <v>46252</v>
      </c>
      <c r="D1511" s="9" t="n">
        <v>48</v>
      </c>
      <c r="E1511" s="11" t="s">
        <v>153</v>
      </c>
      <c r="F1511" s="9" t="n">
        <v>34</v>
      </c>
      <c r="G1511" s="11" t="s">
        <v>55</v>
      </c>
      <c r="H1511" s="9" t="n">
        <v>2110101</v>
      </c>
      <c r="I1511" s="11" t="s">
        <v>43</v>
      </c>
      <c r="J1511" s="9" t="n">
        <v>1567601</v>
      </c>
      <c r="L1511" s="9" t="n">
        <v>2610</v>
      </c>
      <c r="M1511" s="11" t="s">
        <v>52</v>
      </c>
      <c r="N1511" s="11" t="s">
        <v>37</v>
      </c>
      <c r="P1511" s="9" t="n">
        <v>113</v>
      </c>
      <c r="Q1511" s="11" t="s">
        <v>46</v>
      </c>
      <c r="R1511" s="11" t="s">
        <v>47</v>
      </c>
      <c r="S1511" s="9" t="n">
        <v>1130101</v>
      </c>
      <c r="T1511" s="11" t="s">
        <v>48</v>
      </c>
      <c r="U1511" s="12" t="n">
        <v>200</v>
      </c>
      <c r="W1511" s="12" t="n">
        <v>200</v>
      </c>
      <c r="X1511" s="11" t="s">
        <v>1360</v>
      </c>
      <c r="Z1511" s="0" t="str">
        <f aca="false">IF($T1511="","",IFERROR(INDEX('Resumo Grupos'!$AC$3:$AC$200,MATCH($T1511,'Resumo Grupos'!$AB$3:$AB$200,0)),"n/d"))</f>
        <v>Mercadoria</v>
      </c>
      <c r="AA1511" s="0" t="str">
        <f aca="false">IF($T1511="","",IF(COUNTIF('Resumo Grupos'!$AE$3:$AE$40,$T1511)&gt;0,"NAO","SIM"))</f>
        <v>SIM</v>
      </c>
    </row>
    <row r="1512" customFormat="false" ht="45.75" hidden="false" customHeight="true" outlineLevel="0" collapsed="false">
      <c r="A1512" s="9" t="n">
        <v>2</v>
      </c>
      <c r="B1512" s="10" t="n">
        <v>46252</v>
      </c>
      <c r="C1512" s="10" t="n">
        <v>46252</v>
      </c>
      <c r="D1512" s="9" t="n">
        <v>48</v>
      </c>
      <c r="E1512" s="11" t="s">
        <v>153</v>
      </c>
      <c r="F1512" s="9" t="n">
        <v>34</v>
      </c>
      <c r="G1512" s="11" t="s">
        <v>55</v>
      </c>
      <c r="H1512" s="9" t="n">
        <v>2110101</v>
      </c>
      <c r="I1512" s="11" t="s">
        <v>43</v>
      </c>
      <c r="J1512" s="9" t="n">
        <v>1567627</v>
      </c>
      <c r="L1512" s="9" t="n">
        <v>2611</v>
      </c>
      <c r="M1512" s="11" t="s">
        <v>52</v>
      </c>
      <c r="N1512" s="11" t="s">
        <v>37</v>
      </c>
      <c r="P1512" s="9" t="n">
        <v>113</v>
      </c>
      <c r="Q1512" s="11" t="s">
        <v>46</v>
      </c>
      <c r="R1512" s="11" t="s">
        <v>47</v>
      </c>
      <c r="S1512" s="9" t="n">
        <v>1130101</v>
      </c>
      <c r="T1512" s="11" t="s">
        <v>48</v>
      </c>
      <c r="U1512" s="12" t="n">
        <v>1404</v>
      </c>
      <c r="W1512" s="12" t="n">
        <v>1404</v>
      </c>
      <c r="X1512" s="11" t="s">
        <v>1275</v>
      </c>
      <c r="Z1512" s="0" t="str">
        <f aca="false">IF($T1512="","",IFERROR(INDEX('Resumo Grupos'!$AC$3:$AC$200,MATCH($T1512,'Resumo Grupos'!$AB$3:$AB$200,0)),"n/d"))</f>
        <v>Mercadoria</v>
      </c>
      <c r="AA1512" s="0" t="str">
        <f aca="false">IF($T1512="","",IF(COUNTIF('Resumo Grupos'!$AE$3:$AE$40,$T1512)&gt;0,"NAO","SIM"))</f>
        <v>SIM</v>
      </c>
    </row>
    <row r="1513" customFormat="false" ht="27.75" hidden="false" customHeight="true" outlineLevel="0" collapsed="false">
      <c r="A1513" s="9" t="n">
        <v>2</v>
      </c>
      <c r="B1513" s="10" t="n">
        <v>46247</v>
      </c>
      <c r="C1513" s="10" t="n">
        <v>46252</v>
      </c>
      <c r="D1513" s="9" t="n">
        <v>218</v>
      </c>
      <c r="E1513" s="11" t="s">
        <v>819</v>
      </c>
      <c r="F1513" s="9" t="n">
        <v>34</v>
      </c>
      <c r="G1513" s="11" t="s">
        <v>55</v>
      </c>
      <c r="H1513" s="9" t="n">
        <v>2110405</v>
      </c>
      <c r="I1513" s="11" t="s">
        <v>56</v>
      </c>
      <c r="J1513" s="9" t="n">
        <v>1459578</v>
      </c>
      <c r="L1513" s="9" t="n">
        <v>197545</v>
      </c>
      <c r="M1513" s="11" t="s">
        <v>44</v>
      </c>
      <c r="N1513" s="11" t="s">
        <v>45</v>
      </c>
      <c r="P1513" s="9" t="n">
        <v>101</v>
      </c>
      <c r="Q1513" s="11" t="s">
        <v>57</v>
      </c>
      <c r="R1513" s="11" t="s">
        <v>71</v>
      </c>
      <c r="S1513" s="9" t="n">
        <v>4210301</v>
      </c>
      <c r="T1513" s="11" t="s">
        <v>220</v>
      </c>
      <c r="U1513" s="12" t="n">
        <v>102</v>
      </c>
      <c r="W1513" s="12" t="n">
        <v>102</v>
      </c>
      <c r="X1513" s="11" t="s">
        <v>1361</v>
      </c>
      <c r="Z1513" s="0" t="str">
        <f aca="false">IF($T1513="","",IFERROR(INDEX('Resumo Grupos'!$AC$3:$AC$200,MATCH($T1513,'Resumo Grupos'!$AB$3:$AB$200,0)),"n/d"))</f>
        <v>Salários</v>
      </c>
      <c r="AA1513" s="0" t="str">
        <f aca="false">IF($T1513="","",IF(COUNTIF('Resumo Grupos'!$AE$3:$AE$40,$T1513)&gt;0,"NAO","SIM"))</f>
        <v>SIM</v>
      </c>
    </row>
    <row r="1514" customFormat="false" ht="45.75" hidden="false" customHeight="true" outlineLevel="0" collapsed="false">
      <c r="A1514" s="9" t="n">
        <v>2</v>
      </c>
      <c r="B1514" s="10" t="n">
        <v>46206</v>
      </c>
      <c r="C1514" s="10" t="n">
        <v>46252</v>
      </c>
      <c r="D1514" s="9" t="n">
        <v>33</v>
      </c>
      <c r="E1514" s="11" t="s">
        <v>313</v>
      </c>
      <c r="F1514" s="9" t="n">
        <v>34</v>
      </c>
      <c r="G1514" s="11" t="s">
        <v>55</v>
      </c>
      <c r="H1514" s="9" t="n">
        <v>2110405</v>
      </c>
      <c r="I1514" s="11" t="s">
        <v>56</v>
      </c>
      <c r="J1514" s="9" t="n">
        <v>1345312</v>
      </c>
      <c r="L1514" s="9" t="n">
        <v>180690</v>
      </c>
      <c r="M1514" s="11" t="s">
        <v>44</v>
      </c>
      <c r="N1514" s="11" t="s">
        <v>45</v>
      </c>
      <c r="P1514" s="9" t="n">
        <v>101</v>
      </c>
      <c r="Q1514" s="11" t="s">
        <v>57</v>
      </c>
      <c r="R1514" s="11" t="s">
        <v>39</v>
      </c>
      <c r="S1514" s="9" t="n">
        <v>4210203</v>
      </c>
      <c r="T1514" s="11" t="s">
        <v>757</v>
      </c>
      <c r="U1514" s="12" t="n">
        <v>247.27</v>
      </c>
      <c r="W1514" s="12" t="n">
        <v>247.27</v>
      </c>
      <c r="X1514" s="11" t="s">
        <v>937</v>
      </c>
      <c r="Z1514" s="0" t="str">
        <f aca="false">IF($T1514="","",IFERROR(INDEX('Resumo Grupos'!$AC$3:$AC$200,MATCH($T1514,'Resumo Grupos'!$AB$3:$AB$200,0)),"n/d"))</f>
        <v>Despesa</v>
      </c>
      <c r="AA1514" s="0" t="str">
        <f aca="false">IF($T1514="","",IF(COUNTIF('Resumo Grupos'!$AE$3:$AE$40,$T1514)&gt;0,"NAO","SIM"))</f>
        <v>SIM</v>
      </c>
    </row>
    <row r="1515" customFormat="false" ht="54.75" hidden="false" customHeight="true" outlineLevel="0" collapsed="false">
      <c r="A1515" s="9" t="n">
        <v>2</v>
      </c>
      <c r="B1515" s="10" t="n">
        <v>46252</v>
      </c>
      <c r="C1515" s="10" t="n">
        <v>46252</v>
      </c>
      <c r="D1515" s="9" t="n">
        <v>0</v>
      </c>
      <c r="E1515" s="11" t="s">
        <v>109</v>
      </c>
      <c r="F1515" s="9" t="n">
        <v>17</v>
      </c>
      <c r="G1515" s="11" t="s">
        <v>110</v>
      </c>
      <c r="H1515" s="9" t="n">
        <v>1110101</v>
      </c>
      <c r="I1515" s="11" t="s">
        <v>111</v>
      </c>
      <c r="J1515" s="9" t="n">
        <v>1572008</v>
      </c>
      <c r="L1515" s="9" t="n">
        <v>1572008</v>
      </c>
      <c r="M1515" s="11" t="s">
        <v>52</v>
      </c>
      <c r="N1515" s="11" t="s">
        <v>112</v>
      </c>
      <c r="P1515" s="9" t="n">
        <v>113</v>
      </c>
      <c r="Q1515" s="11" t="s">
        <v>46</v>
      </c>
      <c r="R1515" s="11" t="s">
        <v>71</v>
      </c>
      <c r="S1515" s="9" t="n">
        <v>4210314</v>
      </c>
      <c r="T1515" s="11" t="s">
        <v>113</v>
      </c>
      <c r="U1515" s="12" t="n">
        <v>70</v>
      </c>
      <c r="W1515" s="12" t="n">
        <v>70</v>
      </c>
      <c r="X1515" s="11" t="s">
        <v>187</v>
      </c>
      <c r="Z1515" s="0" t="str">
        <f aca="false">IF($T1515="","",IFERROR(INDEX('Resumo Grupos'!$AC$3:$AC$200,MATCH($T1515,'Resumo Grupos'!$AB$3:$AB$200,0)),"n/d"))</f>
        <v>Despesa</v>
      </c>
      <c r="AA1515" s="0" t="str">
        <f aca="false">IF($T1515="","",IF(COUNTIF('Resumo Grupos'!$AE$3:$AE$40,$T1515)&gt;0,"NAO","SIM"))</f>
        <v>SIM</v>
      </c>
    </row>
    <row r="1516" customFormat="false" ht="45.75" hidden="false" customHeight="true" outlineLevel="0" collapsed="false">
      <c r="A1516" s="9" t="n">
        <v>2</v>
      </c>
      <c r="B1516" s="10" t="n">
        <v>46252</v>
      </c>
      <c r="C1516" s="10" t="n">
        <v>46252</v>
      </c>
      <c r="D1516" s="9" t="n">
        <v>0</v>
      </c>
      <c r="E1516" s="11" t="s">
        <v>109</v>
      </c>
      <c r="F1516" s="9" t="n">
        <v>17</v>
      </c>
      <c r="G1516" s="11" t="s">
        <v>110</v>
      </c>
      <c r="H1516" s="9" t="n">
        <v>1110101</v>
      </c>
      <c r="I1516" s="11" t="s">
        <v>111</v>
      </c>
      <c r="J1516" s="9" t="n">
        <v>1716396</v>
      </c>
      <c r="L1516" s="9" t="n">
        <v>1716396</v>
      </c>
      <c r="M1516" s="11" t="s">
        <v>52</v>
      </c>
      <c r="N1516" s="11" t="s">
        <v>112</v>
      </c>
      <c r="P1516" s="9" t="n">
        <v>113</v>
      </c>
      <c r="Q1516" s="11" t="s">
        <v>46</v>
      </c>
      <c r="R1516" s="11" t="s">
        <v>116</v>
      </c>
      <c r="S1516" s="9" t="n">
        <v>1110203</v>
      </c>
      <c r="T1516" s="11" t="s">
        <v>117</v>
      </c>
      <c r="U1516" s="12" t="n">
        <v>2450</v>
      </c>
      <c r="W1516" s="12" t="n">
        <v>2450</v>
      </c>
      <c r="X1516" s="11" t="s">
        <v>1362</v>
      </c>
      <c r="Z1516" s="0" t="str">
        <f aca="false">IF($T1516="","",IFERROR(INDEX('Resumo Grupos'!$AC$3:$AC$200,MATCH($T1516,'Resumo Grupos'!$AB$3:$AB$200,0)),"n/d"))</f>
        <v>Despesa</v>
      </c>
      <c r="AA1516" s="0" t="str">
        <f aca="false">IF($T1516="","",IF(COUNTIF('Resumo Grupos'!$AE$3:$AE$40,$T1516)&gt;0,"NAO","SIM"))</f>
        <v>SIM</v>
      </c>
    </row>
    <row r="1517" customFormat="false" ht="45.75" hidden="false" customHeight="true" outlineLevel="0" collapsed="false">
      <c r="A1517" s="9" t="n">
        <v>2</v>
      </c>
      <c r="B1517" s="10" t="n">
        <v>46244</v>
      </c>
      <c r="C1517" s="10" t="n">
        <v>46253</v>
      </c>
      <c r="D1517" s="9" t="n">
        <v>1659</v>
      </c>
      <c r="E1517" s="11" t="s">
        <v>214</v>
      </c>
      <c r="F1517" s="9" t="n">
        <v>24</v>
      </c>
      <c r="G1517" s="11" t="s">
        <v>51</v>
      </c>
      <c r="H1517" s="9" t="n">
        <v>2110405</v>
      </c>
      <c r="I1517" s="11" t="s">
        <v>56</v>
      </c>
      <c r="J1517" s="9" t="n">
        <v>1529142</v>
      </c>
      <c r="L1517" s="9" t="n">
        <v>207962</v>
      </c>
      <c r="M1517" s="11" t="s">
        <v>52</v>
      </c>
      <c r="N1517" s="11" t="s">
        <v>45</v>
      </c>
      <c r="P1517" s="9" t="n">
        <v>113</v>
      </c>
      <c r="Q1517" s="11" t="s">
        <v>46</v>
      </c>
      <c r="R1517" s="11" t="s">
        <v>47</v>
      </c>
      <c r="S1517" s="9" t="n">
        <v>1130101</v>
      </c>
      <c r="T1517" s="11" t="s">
        <v>48</v>
      </c>
      <c r="U1517" s="12" t="n">
        <v>349</v>
      </c>
      <c r="W1517" s="12" t="n">
        <v>349</v>
      </c>
      <c r="X1517" s="11" t="s">
        <v>1363</v>
      </c>
      <c r="Z1517" s="0" t="str">
        <f aca="false">IF($T1517="","",IFERROR(INDEX('Resumo Grupos'!$AC$3:$AC$200,MATCH($T1517,'Resumo Grupos'!$AB$3:$AB$200,0)),"n/d"))</f>
        <v>Mercadoria</v>
      </c>
      <c r="AA1517" s="0" t="str">
        <f aca="false">IF($T1517="","",IF(COUNTIF('Resumo Grupos'!$AE$3:$AE$40,$T1517)&gt;0,"NAO","SIM"))</f>
        <v>SIM</v>
      </c>
      <c r="AB1517" s="0" t="str">
        <f aca="false">IFERROR(INDEX('Mov Entradas (Rel 10497)'!$L:$L,MATCH(AC1517,'Mov Entradas (Rel 10497)'!$I:$I,0)),"nao encontrado")</f>
        <v>MACARRAO ESPAGUETE ARAGUAIA 400G</v>
      </c>
      <c r="AC1517" s="0" t="n">
        <v>889827</v>
      </c>
    </row>
    <row r="1518" customFormat="false" ht="45.75" hidden="false" customHeight="true" outlineLevel="0" collapsed="false">
      <c r="A1518" s="9" t="n">
        <v>2</v>
      </c>
      <c r="B1518" s="10" t="n">
        <v>46249</v>
      </c>
      <c r="C1518" s="10" t="n">
        <v>46253</v>
      </c>
      <c r="D1518" s="9" t="n">
        <v>10018</v>
      </c>
      <c r="E1518" s="11" t="s">
        <v>216</v>
      </c>
      <c r="F1518" s="9" t="n">
        <v>34</v>
      </c>
      <c r="G1518" s="11" t="s">
        <v>55</v>
      </c>
      <c r="H1518" s="9" t="n">
        <v>2110405</v>
      </c>
      <c r="I1518" s="11" t="s">
        <v>56</v>
      </c>
      <c r="J1518" s="9" t="n">
        <v>1551748</v>
      </c>
      <c r="L1518" s="9" t="n">
        <v>211764</v>
      </c>
      <c r="M1518" s="11" t="s">
        <v>52</v>
      </c>
      <c r="N1518" s="11" t="s">
        <v>45</v>
      </c>
      <c r="P1518" s="9" t="n">
        <v>113</v>
      </c>
      <c r="Q1518" s="11" t="s">
        <v>46</v>
      </c>
      <c r="R1518" s="11" t="s">
        <v>47</v>
      </c>
      <c r="S1518" s="9" t="n">
        <v>1130101</v>
      </c>
      <c r="T1518" s="11" t="s">
        <v>48</v>
      </c>
      <c r="U1518" s="12" t="n">
        <v>899.5</v>
      </c>
      <c r="W1518" s="12" t="n">
        <v>899.5</v>
      </c>
      <c r="X1518" s="11" t="s">
        <v>1364</v>
      </c>
      <c r="Z1518" s="0" t="str">
        <f aca="false">IF($T1518="","",IFERROR(INDEX('Resumo Grupos'!$AC$3:$AC$200,MATCH($T1518,'Resumo Grupos'!$AB$3:$AB$200,0)),"n/d"))</f>
        <v>Mercadoria</v>
      </c>
      <c r="AA1518" s="0" t="str">
        <f aca="false">IF($T1518="","",IF(COUNTIF('Resumo Grupos'!$AE$3:$AE$40,$T1518)&gt;0,"NAO","SIM"))</f>
        <v>SIM</v>
      </c>
      <c r="AB1518" s="0" t="str">
        <f aca="false">IFERROR(INDEX('Mov Entradas (Rel 10497)'!$L:$L,MATCH(AC1518,'Mov Entradas (Rel 10497)'!$I:$I,0)),"nao encontrado")</f>
        <v>OVOS BRANCO UNID</v>
      </c>
      <c r="AC1518" s="0" t="n">
        <v>360</v>
      </c>
    </row>
    <row r="1519" customFormat="false" ht="12.75" hidden="false" customHeight="true" outlineLevel="0" collapsed="false">
      <c r="A1519" s="13" t="n">
        <v>2</v>
      </c>
      <c r="B1519" s="14" t="n">
        <v>46225</v>
      </c>
      <c r="C1519" s="14" t="n">
        <v>46253</v>
      </c>
      <c r="D1519" s="13" t="n">
        <v>1635</v>
      </c>
      <c r="E1519" s="0" t="s">
        <v>128</v>
      </c>
      <c r="F1519" s="13" t="n">
        <v>24</v>
      </c>
      <c r="G1519" s="0" t="s">
        <v>51</v>
      </c>
      <c r="H1519" s="13" t="n">
        <v>2110405</v>
      </c>
      <c r="I1519" s="0" t="s">
        <v>56</v>
      </c>
      <c r="J1519" s="13" t="n">
        <v>1436017</v>
      </c>
      <c r="L1519" s="13" t="n">
        <v>194028</v>
      </c>
      <c r="M1519" s="0" t="s">
        <v>52</v>
      </c>
      <c r="N1519" s="0" t="s">
        <v>45</v>
      </c>
      <c r="P1519" s="13" t="n">
        <v>113</v>
      </c>
      <c r="Q1519" s="0" t="s">
        <v>46</v>
      </c>
      <c r="R1519" s="0" t="s">
        <v>47</v>
      </c>
      <c r="S1519" s="13" t="n">
        <v>1130101</v>
      </c>
      <c r="T1519" s="0" t="s">
        <v>48</v>
      </c>
      <c r="U1519" s="15" t="n">
        <v>109.51</v>
      </c>
      <c r="W1519" s="15" t="n">
        <v>109.51</v>
      </c>
      <c r="X1519" s="0" t="s">
        <v>1182</v>
      </c>
      <c r="Z1519" s="0" t="str">
        <f aca="false">IF($T1519="","",IFERROR(INDEX('Resumo Grupos'!$AC$3:$AC$200,MATCH($T1519,'Resumo Grupos'!$AB$3:$AB$200,0)),"n/d"))</f>
        <v>Mercadoria</v>
      </c>
      <c r="AA1519" s="0" t="str">
        <f aca="false">IF($T1519="","",IF(COUNTIF('Resumo Grupos'!$AE$3:$AE$40,$T1519)&gt;0,"NAO","SIM"))</f>
        <v>SIM</v>
      </c>
      <c r="AB1519" s="0" t="str">
        <f aca="false">IFERROR(INDEX('Mov Entradas (Rel 10497)'!$L:$L,MATCH(AC1519,'Mov Entradas (Rel 10497)'!$I:$I,0)),"nao encontrado")</f>
        <v>CHÁ BARÃO CAMOMIL10G</v>
      </c>
      <c r="AC1519" s="0" t="n">
        <v>1625</v>
      </c>
    </row>
    <row r="1520" customFormat="false" ht="12.75" hidden="false" customHeight="true" outlineLevel="0" collapsed="false">
      <c r="A1520" s="13" t="n">
        <v>2</v>
      </c>
      <c r="B1520" s="14" t="n">
        <v>46240</v>
      </c>
      <c r="C1520" s="14" t="n">
        <v>46253</v>
      </c>
      <c r="D1520" s="13" t="n">
        <v>1635</v>
      </c>
      <c r="E1520" s="0" t="s">
        <v>128</v>
      </c>
      <c r="F1520" s="13" t="n">
        <v>24</v>
      </c>
      <c r="G1520" s="0" t="s">
        <v>51</v>
      </c>
      <c r="H1520" s="13" t="n">
        <v>2110405</v>
      </c>
      <c r="I1520" s="0" t="s">
        <v>56</v>
      </c>
      <c r="J1520" s="13" t="n">
        <v>1508906</v>
      </c>
      <c r="L1520" s="13" t="n">
        <v>205075</v>
      </c>
      <c r="M1520" s="0" t="s">
        <v>52</v>
      </c>
      <c r="N1520" s="0" t="s">
        <v>45</v>
      </c>
      <c r="P1520" s="13" t="n">
        <v>113</v>
      </c>
      <c r="Q1520" s="0" t="s">
        <v>46</v>
      </c>
      <c r="R1520" s="0" t="s">
        <v>47</v>
      </c>
      <c r="S1520" s="13" t="n">
        <v>1130101</v>
      </c>
      <c r="T1520" s="0" t="s">
        <v>48</v>
      </c>
      <c r="U1520" s="15" t="n">
        <v>491.46</v>
      </c>
      <c r="W1520" s="15" t="n">
        <v>491.46</v>
      </c>
      <c r="X1520" s="0" t="s">
        <v>1365</v>
      </c>
      <c r="Z1520" s="0" t="str">
        <f aca="false">IF($T1520="","",IFERROR(INDEX('Resumo Grupos'!$AC$3:$AC$200,MATCH($T1520,'Resumo Grupos'!$AB$3:$AB$200,0)),"n/d"))</f>
        <v>Mercadoria</v>
      </c>
      <c r="AA1520" s="0" t="str">
        <f aca="false">IF($T1520="","",IF(COUNTIF('Resumo Grupos'!$AE$3:$AE$40,$T1520)&gt;0,"NAO","SIM"))</f>
        <v>SIM</v>
      </c>
      <c r="AB1520" s="0" t="str">
        <f aca="false">IFERROR(INDEX('Mov Entradas (Rel 10497)'!$L:$L,MATCH(AC1520,'Mov Entradas (Rel 10497)'!$I:$I,0)),"nao encontrado")</f>
        <v>CARNE OIDA CONGELADA</v>
      </c>
      <c r="AC1520" s="0" t="n">
        <v>2658</v>
      </c>
    </row>
    <row r="1521" customFormat="false" ht="12.75" hidden="false" customHeight="true" outlineLevel="0" collapsed="false">
      <c r="A1521" s="13" t="n">
        <v>2</v>
      </c>
      <c r="B1521" s="14" t="n">
        <v>46234</v>
      </c>
      <c r="C1521" s="14" t="n">
        <v>46253</v>
      </c>
      <c r="D1521" s="13" t="n">
        <v>1613</v>
      </c>
      <c r="E1521" s="0" t="s">
        <v>50</v>
      </c>
      <c r="F1521" s="13" t="n">
        <v>24</v>
      </c>
      <c r="G1521" s="0" t="s">
        <v>51</v>
      </c>
      <c r="H1521" s="13" t="n">
        <v>2110405</v>
      </c>
      <c r="I1521" s="0" t="s">
        <v>56</v>
      </c>
      <c r="J1521" s="13" t="n">
        <v>1478654</v>
      </c>
      <c r="L1521" s="13" t="n">
        <v>200647</v>
      </c>
      <c r="M1521" s="0" t="s">
        <v>52</v>
      </c>
      <c r="N1521" s="0" t="s">
        <v>45</v>
      </c>
      <c r="P1521" s="13" t="n">
        <v>113</v>
      </c>
      <c r="Q1521" s="0" t="s">
        <v>46</v>
      </c>
      <c r="R1521" s="0" t="s">
        <v>47</v>
      </c>
      <c r="S1521" s="13" t="n">
        <v>1130101</v>
      </c>
      <c r="T1521" s="0" t="s">
        <v>48</v>
      </c>
      <c r="U1521" s="15" t="n">
        <v>1190.19</v>
      </c>
      <c r="W1521" s="15" t="n">
        <v>1190.19</v>
      </c>
      <c r="X1521" s="0" t="s">
        <v>1284</v>
      </c>
      <c r="Z1521" s="0" t="str">
        <f aca="false">IF($T1521="","",IFERROR(INDEX('Resumo Grupos'!$AC$3:$AC$200,MATCH($T1521,'Resumo Grupos'!$AB$3:$AB$200,0)),"n/d"))</f>
        <v>Mercadoria</v>
      </c>
      <c r="AA1521" s="0" t="str">
        <f aca="false">IF($T1521="","",IF(COUNTIF('Resumo Grupos'!$AE$3:$AE$40,$T1521)&gt;0,"NAO","SIM"))</f>
        <v>SIM</v>
      </c>
      <c r="AB1521" s="0" t="str">
        <f aca="false">IFERROR(INDEX('Mov Entradas (Rel 10497)'!$L:$L,MATCH(AC1521,'Mov Entradas (Rel 10497)'!$I:$I,0)),"nao encontrado")</f>
        <v>CARRE SUINO KG</v>
      </c>
      <c r="AC1521" s="0" t="n">
        <v>1614426</v>
      </c>
    </row>
    <row r="1522" customFormat="false" ht="12.75" hidden="false" customHeight="true" outlineLevel="0" collapsed="false">
      <c r="A1522" s="13" t="n">
        <v>2</v>
      </c>
      <c r="B1522" s="14" t="n">
        <v>46241</v>
      </c>
      <c r="C1522" s="14" t="n">
        <v>46253</v>
      </c>
      <c r="D1522" s="13" t="n">
        <v>1613</v>
      </c>
      <c r="E1522" s="0" t="s">
        <v>50</v>
      </c>
      <c r="F1522" s="13" t="n">
        <v>24</v>
      </c>
      <c r="G1522" s="0" t="s">
        <v>51</v>
      </c>
      <c r="H1522" s="13" t="n">
        <v>2110405</v>
      </c>
      <c r="I1522" s="0" t="s">
        <v>56</v>
      </c>
      <c r="J1522" s="13" t="n">
        <v>1513489</v>
      </c>
      <c r="L1522" s="13" t="n">
        <v>205788</v>
      </c>
      <c r="M1522" s="0" t="s">
        <v>52</v>
      </c>
      <c r="N1522" s="0" t="s">
        <v>45</v>
      </c>
      <c r="P1522" s="13" t="n">
        <v>113</v>
      </c>
      <c r="Q1522" s="0" t="s">
        <v>46</v>
      </c>
      <c r="R1522" s="0" t="s">
        <v>47</v>
      </c>
      <c r="S1522" s="13" t="n">
        <v>1130101</v>
      </c>
      <c r="T1522" s="0" t="s">
        <v>48</v>
      </c>
      <c r="U1522" s="15" t="n">
        <v>1275.54</v>
      </c>
      <c r="W1522" s="15" t="n">
        <v>1275.54</v>
      </c>
      <c r="X1522" s="0" t="s">
        <v>1366</v>
      </c>
      <c r="Z1522" s="0" t="str">
        <f aca="false">IF($T1522="","",IFERROR(INDEX('Resumo Grupos'!$AC$3:$AC$200,MATCH($T1522,'Resumo Grupos'!$AB$3:$AB$200,0)),"n/d"))</f>
        <v>Mercadoria</v>
      </c>
      <c r="AA1522" s="0" t="str">
        <f aca="false">IF($T1522="","",IF(COUNTIF('Resumo Grupos'!$AE$3:$AE$40,$T1522)&gt;0,"NAO","SIM"))</f>
        <v>SIM</v>
      </c>
      <c r="AB1522" s="0" t="str">
        <f aca="false">IFERROR(INDEX('Mov Entradas (Rel 10497)'!$L:$L,MATCH(AC1522,'Mov Entradas (Rel 10497)'!$I:$I,0)),"nao encontrado")</f>
        <v>CARRE SUINO KG</v>
      </c>
      <c r="AC1522" s="0" t="n">
        <v>1616567</v>
      </c>
    </row>
    <row r="1523" customFormat="false" ht="12.75" hidden="false" customHeight="true" outlineLevel="0" collapsed="false">
      <c r="A1523" s="13" t="n">
        <v>2</v>
      </c>
      <c r="B1523" s="14" t="n">
        <v>46253</v>
      </c>
      <c r="C1523" s="14" t="n">
        <v>46253</v>
      </c>
      <c r="D1523" s="13" t="n">
        <v>48</v>
      </c>
      <c r="E1523" s="0" t="s">
        <v>153</v>
      </c>
      <c r="F1523" s="13" t="n">
        <v>13</v>
      </c>
      <c r="G1523" s="0" t="s">
        <v>135</v>
      </c>
      <c r="H1523" s="13" t="n">
        <v>2110101</v>
      </c>
      <c r="I1523" s="0" t="s">
        <v>43</v>
      </c>
      <c r="J1523" s="13" t="n">
        <v>1572278</v>
      </c>
      <c r="L1523" s="13" t="n">
        <v>2612</v>
      </c>
      <c r="M1523" s="0" t="s">
        <v>52</v>
      </c>
      <c r="N1523" s="0" t="s">
        <v>37</v>
      </c>
      <c r="P1523" s="13" t="n">
        <v>113</v>
      </c>
      <c r="Q1523" s="0" t="s">
        <v>46</v>
      </c>
      <c r="R1523" s="0" t="s">
        <v>47</v>
      </c>
      <c r="S1523" s="13" t="n">
        <v>1130101</v>
      </c>
      <c r="T1523" s="0" t="s">
        <v>48</v>
      </c>
      <c r="U1523" s="15" t="n">
        <v>225</v>
      </c>
      <c r="W1523" s="15" t="n">
        <v>225</v>
      </c>
      <c r="X1523" s="0" t="s">
        <v>1367</v>
      </c>
      <c r="Z1523" s="0" t="str">
        <f aca="false">IF($T1523="","",IFERROR(INDEX('Resumo Grupos'!$AC$3:$AC$200,MATCH($T1523,'Resumo Grupos'!$AB$3:$AB$200,0)),"n/d"))</f>
        <v>Mercadoria</v>
      </c>
      <c r="AA1523" s="0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3" t="n">
        <v>2</v>
      </c>
      <c r="B1524" s="14" t="n">
        <v>46216</v>
      </c>
      <c r="C1524" s="14" t="n">
        <v>46253</v>
      </c>
      <c r="D1524" s="13" t="n">
        <v>10012</v>
      </c>
      <c r="E1524" s="0" t="s">
        <v>185</v>
      </c>
      <c r="F1524" s="13" t="n">
        <v>24</v>
      </c>
      <c r="G1524" s="0" t="s">
        <v>51</v>
      </c>
      <c r="H1524" s="13" t="n">
        <v>2110101</v>
      </c>
      <c r="I1524" s="0" t="s">
        <v>43</v>
      </c>
      <c r="J1524" s="13" t="n">
        <v>1393698</v>
      </c>
      <c r="L1524" s="13" t="n">
        <v>1962669</v>
      </c>
      <c r="M1524" s="0" t="s">
        <v>89</v>
      </c>
      <c r="N1524" s="0" t="s">
        <v>37</v>
      </c>
      <c r="P1524" s="13" t="n">
        <v>113</v>
      </c>
      <c r="Q1524" s="0" t="s">
        <v>46</v>
      </c>
      <c r="R1524" s="0" t="s">
        <v>47</v>
      </c>
      <c r="S1524" s="13" t="n">
        <v>1130101</v>
      </c>
      <c r="T1524" s="0" t="s">
        <v>48</v>
      </c>
      <c r="U1524" s="15" t="n">
        <v>1504.06</v>
      </c>
      <c r="W1524" s="15" t="n">
        <v>1504.06</v>
      </c>
      <c r="X1524" s="0" t="s">
        <v>1084</v>
      </c>
      <c r="Z1524" s="0" t="str">
        <f aca="false">IF($T1524="","",IFERROR(INDEX('Resumo Grupos'!$AC$3:$AC$200,MATCH($T1524,'Resumo Grupos'!$AB$3:$AB$200,0)),"n/d"))</f>
        <v>Mercadoria</v>
      </c>
      <c r="AA1524" s="0" t="str">
        <f aca="false">IF($T1524="","",IF(COUNTIF('Resumo Grupos'!$AE$3:$AE$40,$T1524)&gt;0,"NAO","SIM"))</f>
        <v>SIM</v>
      </c>
      <c r="AB1524" s="0" t="str">
        <f aca="false">IFERROR(INDEX('Mov Entradas (Rel 10497)'!$L:$L,MATCH(AC1524,'Mov Entradas (Rel 10497)'!$I:$I,0)),"nao encontrado")</f>
        <v>ALGOD BOLAS CREMER 5</v>
      </c>
      <c r="AC1524" s="0" t="n">
        <v>1962669</v>
      </c>
    </row>
    <row r="1525" customFormat="false" ht="12.75" hidden="false" customHeight="true" outlineLevel="0" collapsed="false">
      <c r="A1525" s="13" t="n">
        <v>2</v>
      </c>
      <c r="B1525" s="14" t="n">
        <v>46253</v>
      </c>
      <c r="C1525" s="14" t="n">
        <v>46253</v>
      </c>
      <c r="D1525" s="13" t="n">
        <v>0</v>
      </c>
      <c r="E1525" s="0" t="s">
        <v>109</v>
      </c>
      <c r="F1525" s="13" t="n">
        <v>17</v>
      </c>
      <c r="G1525" s="0" t="s">
        <v>110</v>
      </c>
      <c r="H1525" s="13" t="n">
        <v>1110101</v>
      </c>
      <c r="I1525" s="0" t="s">
        <v>111</v>
      </c>
      <c r="J1525" s="13" t="n">
        <v>1576275</v>
      </c>
      <c r="L1525" s="13" t="n">
        <v>1576275</v>
      </c>
      <c r="M1525" s="0" t="s">
        <v>52</v>
      </c>
      <c r="N1525" s="0" t="s">
        <v>112</v>
      </c>
      <c r="P1525" s="13" t="n">
        <v>113</v>
      </c>
      <c r="Q1525" s="0" t="s">
        <v>46</v>
      </c>
      <c r="R1525" s="0" t="s">
        <v>259</v>
      </c>
      <c r="S1525" s="13" t="n">
        <v>2110101</v>
      </c>
      <c r="T1525" s="0" t="s">
        <v>43</v>
      </c>
      <c r="U1525" s="15" t="n">
        <v>225</v>
      </c>
      <c r="W1525" s="15" t="n">
        <v>225</v>
      </c>
      <c r="X1525" s="0" t="s">
        <v>1368</v>
      </c>
      <c r="Z1525" s="0" t="str">
        <f aca="false">IF($T1525="","",IFERROR(INDEX('Resumo Grupos'!$AC$3:$AC$200,MATCH($T1525,'Resumo Grupos'!$AB$3:$AB$200,0)),"n/d"))</f>
        <v>Despesa</v>
      </c>
      <c r="AA1525" s="0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3" t="n">
        <v>2</v>
      </c>
      <c r="B1526" s="14" t="n">
        <v>46253</v>
      </c>
      <c r="C1526" s="14" t="n">
        <v>46253</v>
      </c>
      <c r="D1526" s="13" t="n">
        <v>0</v>
      </c>
      <c r="E1526" s="0" t="s">
        <v>109</v>
      </c>
      <c r="F1526" s="13" t="n">
        <v>17</v>
      </c>
      <c r="G1526" s="0" t="s">
        <v>110</v>
      </c>
      <c r="H1526" s="13" t="n">
        <v>1110101</v>
      </c>
      <c r="I1526" s="0" t="s">
        <v>111</v>
      </c>
      <c r="J1526" s="13" t="n">
        <v>1576278</v>
      </c>
      <c r="L1526" s="13" t="n">
        <v>1576278</v>
      </c>
      <c r="M1526" s="0" t="s">
        <v>52</v>
      </c>
      <c r="N1526" s="0" t="s">
        <v>112</v>
      </c>
      <c r="P1526" s="13" t="n">
        <v>113</v>
      </c>
      <c r="Q1526" s="0" t="s">
        <v>46</v>
      </c>
      <c r="R1526" s="0" t="s">
        <v>71</v>
      </c>
      <c r="S1526" s="13" t="n">
        <v>4210314</v>
      </c>
      <c r="T1526" s="0" t="s">
        <v>113</v>
      </c>
      <c r="U1526" s="15" t="n">
        <v>140</v>
      </c>
      <c r="W1526" s="15" t="n">
        <v>140</v>
      </c>
      <c r="X1526" s="0" t="s">
        <v>1369</v>
      </c>
      <c r="Z1526" s="0" t="str">
        <f aca="false">IF($T1526="","",IFERROR(INDEX('Resumo Grupos'!$AC$3:$AC$200,MATCH($T1526,'Resumo Grupos'!$AB$3:$AB$200,0)),"n/d"))</f>
        <v>Despesa</v>
      </c>
      <c r="AA1526" s="0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3" t="n">
        <v>2</v>
      </c>
      <c r="B1527" s="14" t="n">
        <v>46253</v>
      </c>
      <c r="C1527" s="14" t="n">
        <v>46253</v>
      </c>
      <c r="D1527" s="13" t="n">
        <v>0</v>
      </c>
      <c r="E1527" s="0" t="s">
        <v>109</v>
      </c>
      <c r="F1527" s="13" t="n">
        <v>17</v>
      </c>
      <c r="G1527" s="0" t="s">
        <v>110</v>
      </c>
      <c r="H1527" s="13" t="n">
        <v>1110101</v>
      </c>
      <c r="I1527" s="0" t="s">
        <v>111</v>
      </c>
      <c r="J1527" s="13" t="n">
        <v>1576286</v>
      </c>
      <c r="L1527" s="13" t="n">
        <v>1576286</v>
      </c>
      <c r="M1527" s="0" t="s">
        <v>52</v>
      </c>
      <c r="N1527" s="0" t="s">
        <v>112</v>
      </c>
      <c r="P1527" s="13" t="n">
        <v>113</v>
      </c>
      <c r="Q1527" s="0" t="s">
        <v>46</v>
      </c>
      <c r="R1527" s="0" t="s">
        <v>47</v>
      </c>
      <c r="S1527" s="13" t="n">
        <v>1130101</v>
      </c>
      <c r="T1527" s="0" t="s">
        <v>48</v>
      </c>
      <c r="U1527" s="15" t="n">
        <v>30</v>
      </c>
      <c r="W1527" s="15" t="n">
        <v>30</v>
      </c>
      <c r="X1527" s="0" t="s">
        <v>1370</v>
      </c>
      <c r="Z1527" s="0" t="str">
        <f aca="false">IF($T1527="","",IFERROR(INDEX('Resumo Grupos'!$AC$3:$AC$200,MATCH($T1527,'Resumo Grupos'!$AB$3:$AB$200,0)),"n/d"))</f>
        <v>Mercadoria</v>
      </c>
      <c r="AA1527" s="0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3" t="n">
        <v>2</v>
      </c>
      <c r="B1528" s="14" t="n">
        <v>46253</v>
      </c>
      <c r="C1528" s="14" t="n">
        <v>46253</v>
      </c>
      <c r="D1528" s="13" t="n">
        <v>0</v>
      </c>
      <c r="E1528" s="0" t="s">
        <v>109</v>
      </c>
      <c r="F1528" s="13" t="n">
        <v>17</v>
      </c>
      <c r="G1528" s="0" t="s">
        <v>110</v>
      </c>
      <c r="H1528" s="13" t="n">
        <v>1110101</v>
      </c>
      <c r="I1528" s="0" t="s">
        <v>111</v>
      </c>
      <c r="J1528" s="13" t="n">
        <v>1716397</v>
      </c>
      <c r="L1528" s="13" t="n">
        <v>1716397</v>
      </c>
      <c r="M1528" s="0" t="s">
        <v>52</v>
      </c>
      <c r="N1528" s="0" t="s">
        <v>112</v>
      </c>
      <c r="P1528" s="13" t="n">
        <v>113</v>
      </c>
      <c r="Q1528" s="0" t="s">
        <v>46</v>
      </c>
      <c r="R1528" s="0" t="s">
        <v>116</v>
      </c>
      <c r="S1528" s="13" t="n">
        <v>1110203</v>
      </c>
      <c r="T1528" s="0" t="s">
        <v>117</v>
      </c>
      <c r="U1528" s="15" t="n">
        <v>2400</v>
      </c>
      <c r="W1528" s="15" t="n">
        <v>2400</v>
      </c>
      <c r="X1528" s="0" t="s">
        <v>1371</v>
      </c>
      <c r="Z1528" s="0" t="str">
        <f aca="false">IF($T1528="","",IFERROR(INDEX('Resumo Grupos'!$AC$3:$AC$200,MATCH($T1528,'Resumo Grupos'!$AB$3:$AB$200,0)),"n/d"))</f>
        <v>Despesa</v>
      </c>
      <c r="AA1528" s="0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3" t="n">
        <v>2</v>
      </c>
      <c r="B1529" s="14" t="n">
        <v>46252</v>
      </c>
      <c r="C1529" s="14" t="n">
        <v>46254</v>
      </c>
      <c r="D1529" s="13" t="n">
        <v>642</v>
      </c>
      <c r="E1529" s="0" t="s">
        <v>123</v>
      </c>
      <c r="F1529" s="13" t="n">
        <v>24</v>
      </c>
      <c r="G1529" s="0" t="s">
        <v>51</v>
      </c>
      <c r="H1529" s="13" t="n">
        <v>2110405</v>
      </c>
      <c r="I1529" s="0" t="s">
        <v>56</v>
      </c>
      <c r="J1529" s="13" t="n">
        <v>1566521</v>
      </c>
      <c r="L1529" s="13" t="n">
        <v>213833</v>
      </c>
      <c r="M1529" s="0" t="s">
        <v>52</v>
      </c>
      <c r="N1529" s="0" t="s">
        <v>45</v>
      </c>
      <c r="P1529" s="13" t="n">
        <v>113</v>
      </c>
      <c r="Q1529" s="0" t="s">
        <v>46</v>
      </c>
      <c r="R1529" s="0" t="s">
        <v>47</v>
      </c>
      <c r="S1529" s="13" t="n">
        <v>1130101</v>
      </c>
      <c r="T1529" s="0" t="s">
        <v>48</v>
      </c>
      <c r="U1529" s="15" t="n">
        <v>204</v>
      </c>
      <c r="W1529" s="15" t="n">
        <v>204</v>
      </c>
      <c r="X1529" s="0" t="s">
        <v>1372</v>
      </c>
      <c r="Z1529" s="0" t="str">
        <f aca="false">IF($T1529="","",IFERROR(INDEX('Resumo Grupos'!$AC$3:$AC$200,MATCH($T1529,'Resumo Grupos'!$AB$3:$AB$200,0)),"n/d"))</f>
        <v>Mercadoria</v>
      </c>
      <c r="AA1529" s="0" t="str">
        <f aca="false">IF($T1529="","",IF(COUNTIF('Resumo Grupos'!$AE$3:$AE$40,$T1529)&gt;0,"NAO","SIM"))</f>
        <v>SIM</v>
      </c>
      <c r="AB1529" s="0" t="str">
        <f aca="false">IFERROR(INDEX('Mov Entradas (Rel 10497)'!$L:$L,MATCH(AC1529,'Mov Entradas (Rel 10497)'!$I:$I,0)),"nao encontrado")</f>
        <v>BOLO BLOOM 600G</v>
      </c>
      <c r="AC1529" s="0" t="n">
        <v>605</v>
      </c>
    </row>
    <row r="1530" customFormat="false" ht="12.75" hidden="false" customHeight="true" outlineLevel="0" collapsed="false">
      <c r="A1530" s="13" t="n">
        <v>2</v>
      </c>
      <c r="B1530" s="14" t="n">
        <v>46251</v>
      </c>
      <c r="C1530" s="14" t="n">
        <v>46254</v>
      </c>
      <c r="D1530" s="13" t="n">
        <v>1947</v>
      </c>
      <c r="E1530" s="0" t="s">
        <v>482</v>
      </c>
      <c r="F1530" s="13" t="n">
        <v>34</v>
      </c>
      <c r="G1530" s="0" t="s">
        <v>55</v>
      </c>
      <c r="H1530" s="13" t="n">
        <v>2110405</v>
      </c>
      <c r="I1530" s="0" t="s">
        <v>56</v>
      </c>
      <c r="J1530" s="13" t="n">
        <v>1561649</v>
      </c>
      <c r="L1530" s="13" t="n">
        <v>7</v>
      </c>
      <c r="M1530" s="0" t="s">
        <v>52</v>
      </c>
      <c r="N1530" s="0" t="s">
        <v>45</v>
      </c>
      <c r="P1530" s="13" t="n">
        <v>101</v>
      </c>
      <c r="Q1530" s="0" t="s">
        <v>57</v>
      </c>
      <c r="R1530" s="0" t="s">
        <v>509</v>
      </c>
      <c r="S1530" s="13" t="n">
        <v>2110707</v>
      </c>
      <c r="T1530" s="0" t="s">
        <v>510</v>
      </c>
      <c r="U1530" s="15" t="n">
        <v>1877.14</v>
      </c>
      <c r="W1530" s="15" t="n">
        <v>1877.14</v>
      </c>
      <c r="X1530" s="0" t="s">
        <v>1373</v>
      </c>
      <c r="Z1530" s="0" t="str">
        <f aca="false">IF($T1530="","",IFERROR(INDEX('Resumo Grupos'!$AC$3:$AC$200,MATCH($T1530,'Resumo Grupos'!$AB$3:$AB$200,0)),"n/d"))</f>
        <v>Impostos</v>
      </c>
      <c r="AA1530" s="0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3" t="n">
        <v>2</v>
      </c>
      <c r="B1531" s="14" t="n">
        <v>46253</v>
      </c>
      <c r="C1531" s="14" t="n">
        <v>46254</v>
      </c>
      <c r="D1531" s="13" t="n">
        <v>1947</v>
      </c>
      <c r="E1531" s="0" t="s">
        <v>482</v>
      </c>
      <c r="F1531" s="13" t="n">
        <v>34</v>
      </c>
      <c r="G1531" s="0" t="s">
        <v>55</v>
      </c>
      <c r="H1531" s="13" t="n">
        <v>2110405</v>
      </c>
      <c r="I1531" s="0" t="s">
        <v>56</v>
      </c>
      <c r="J1531" s="13" t="n">
        <v>1572579</v>
      </c>
      <c r="L1531" s="13" t="n">
        <v>214849</v>
      </c>
      <c r="M1531" s="0" t="s">
        <v>52</v>
      </c>
      <c r="N1531" s="0" t="s">
        <v>45</v>
      </c>
      <c r="P1531" s="13" t="n">
        <v>101</v>
      </c>
      <c r="Q1531" s="0" t="s">
        <v>57</v>
      </c>
      <c r="R1531" s="0" t="s">
        <v>71</v>
      </c>
      <c r="S1531" s="13" t="n">
        <v>4210303</v>
      </c>
      <c r="T1531" s="0" t="s">
        <v>483</v>
      </c>
      <c r="U1531" s="15" t="n">
        <v>1097.42</v>
      </c>
      <c r="W1531" s="15" t="n">
        <v>1097.42</v>
      </c>
      <c r="X1531" s="0" t="s">
        <v>1374</v>
      </c>
      <c r="Z1531" s="0" t="str">
        <f aca="false">IF($T1531="","",IFERROR(INDEX('Resumo Grupos'!$AC$3:$AC$200,MATCH($T1531,'Resumo Grupos'!$AB$3:$AB$200,0)),"n/d"))</f>
        <v>Impostos</v>
      </c>
      <c r="AA1531" s="0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3" t="n">
        <v>2</v>
      </c>
      <c r="B1532" s="14" t="n">
        <v>46253</v>
      </c>
      <c r="C1532" s="14" t="n">
        <v>46254</v>
      </c>
      <c r="D1532" s="13" t="n">
        <v>1947</v>
      </c>
      <c r="E1532" s="0" t="s">
        <v>482</v>
      </c>
      <c r="F1532" s="13" t="n">
        <v>34</v>
      </c>
      <c r="G1532" s="0" t="s">
        <v>55</v>
      </c>
      <c r="H1532" s="13" t="n">
        <v>2110405</v>
      </c>
      <c r="I1532" s="0" t="s">
        <v>56</v>
      </c>
      <c r="J1532" s="13" t="n">
        <v>1572645</v>
      </c>
      <c r="L1532" s="13" t="n">
        <v>214863</v>
      </c>
      <c r="M1532" s="0" t="s">
        <v>52</v>
      </c>
      <c r="N1532" s="0" t="s">
        <v>45</v>
      </c>
      <c r="P1532" s="13" t="n">
        <v>101</v>
      </c>
      <c r="Q1532" s="0" t="s">
        <v>57</v>
      </c>
      <c r="R1532" s="0" t="s">
        <v>71</v>
      </c>
      <c r="S1532" s="13" t="n">
        <v>4210302</v>
      </c>
      <c r="T1532" s="0" t="s">
        <v>485</v>
      </c>
      <c r="U1532" s="15" t="n">
        <v>2846.45</v>
      </c>
      <c r="W1532" s="15" t="n">
        <v>2846.45</v>
      </c>
      <c r="X1532" s="0" t="s">
        <v>1375</v>
      </c>
      <c r="Z1532" s="0" t="str">
        <f aca="false">IF($T1532="","",IFERROR(INDEX('Resumo Grupos'!$AC$3:$AC$200,MATCH($T1532,'Resumo Grupos'!$AB$3:$AB$200,0)),"n/d"))</f>
        <v>Impostos</v>
      </c>
      <c r="AA1532" s="0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3" t="n">
        <v>2</v>
      </c>
      <c r="B1533" s="14" t="n">
        <v>46241</v>
      </c>
      <c r="C1533" s="14" t="n">
        <v>46254</v>
      </c>
      <c r="D1533" s="13" t="n">
        <v>794</v>
      </c>
      <c r="E1533" s="0" t="s">
        <v>335</v>
      </c>
      <c r="F1533" s="13" t="n">
        <v>24</v>
      </c>
      <c r="G1533" s="0" t="s">
        <v>51</v>
      </c>
      <c r="H1533" s="13" t="n">
        <v>2110405</v>
      </c>
      <c r="I1533" s="0" t="s">
        <v>56</v>
      </c>
      <c r="J1533" s="13" t="n">
        <v>1514357</v>
      </c>
      <c r="L1533" s="13" t="n">
        <v>205997</v>
      </c>
      <c r="M1533" s="0" t="s">
        <v>52</v>
      </c>
      <c r="N1533" s="0" t="s">
        <v>45</v>
      </c>
      <c r="P1533" s="13" t="n">
        <v>113</v>
      </c>
      <c r="Q1533" s="0" t="s">
        <v>46</v>
      </c>
      <c r="R1533" s="0" t="s">
        <v>47</v>
      </c>
      <c r="S1533" s="13" t="n">
        <v>1130101</v>
      </c>
      <c r="T1533" s="0" t="s">
        <v>48</v>
      </c>
      <c r="U1533" s="15" t="n">
        <v>382.62</v>
      </c>
      <c r="W1533" s="15" t="n">
        <v>382.62</v>
      </c>
      <c r="X1533" s="0" t="s">
        <v>1376</v>
      </c>
      <c r="Z1533" s="0" t="str">
        <f aca="false">IF($T1533="","",IFERROR(INDEX('Resumo Grupos'!$AC$3:$AC$200,MATCH($T1533,'Resumo Grupos'!$AB$3:$AB$200,0)),"n/d"))</f>
        <v>Mercadoria</v>
      </c>
      <c r="AA1533" s="0" t="str">
        <f aca="false">IF($T1533="","",IF(COUNTIF('Resumo Grupos'!$AE$3:$AE$40,$T1533)&gt;0,"NAO","SIM"))</f>
        <v>SIM</v>
      </c>
      <c r="AB1533" s="0" t="str">
        <f aca="false">IFERROR(INDEX('Mov Entradas (Rel 10497)'!$L:$L,MATCH(AC1533,'Mov Entradas (Rel 10497)'!$I:$I,0)),"nao encontrado")</f>
        <v>SACOLA DE 3KG</v>
      </c>
      <c r="AC1533" s="0" t="n">
        <v>8582</v>
      </c>
    </row>
    <row r="1534" customFormat="false" ht="12.75" hidden="false" customHeight="true" outlineLevel="0" collapsed="false">
      <c r="A1534" s="13" t="n">
        <v>2</v>
      </c>
      <c r="B1534" s="14" t="n">
        <v>46241</v>
      </c>
      <c r="C1534" s="14" t="n">
        <v>46254</v>
      </c>
      <c r="D1534" s="13" t="n">
        <v>794</v>
      </c>
      <c r="E1534" s="0" t="s">
        <v>335</v>
      </c>
      <c r="F1534" s="13" t="n">
        <v>24</v>
      </c>
      <c r="G1534" s="0" t="s">
        <v>51</v>
      </c>
      <c r="H1534" s="13" t="n">
        <v>2110405</v>
      </c>
      <c r="I1534" s="0" t="s">
        <v>56</v>
      </c>
      <c r="J1534" s="13" t="n">
        <v>1514435</v>
      </c>
      <c r="L1534" s="13" t="n">
        <v>206011</v>
      </c>
      <c r="M1534" s="0" t="s">
        <v>52</v>
      </c>
      <c r="N1534" s="0" t="s">
        <v>45</v>
      </c>
      <c r="P1534" s="13" t="n">
        <v>113</v>
      </c>
      <c r="Q1534" s="0" t="s">
        <v>46</v>
      </c>
      <c r="R1534" s="0" t="s">
        <v>39</v>
      </c>
      <c r="S1534" s="13" t="n">
        <v>4210299</v>
      </c>
      <c r="T1534" s="0" t="s">
        <v>165</v>
      </c>
      <c r="U1534" s="15" t="n">
        <v>520.47</v>
      </c>
      <c r="W1534" s="15" t="n">
        <v>520.47</v>
      </c>
      <c r="X1534" s="0" t="s">
        <v>1377</v>
      </c>
      <c r="Z1534" s="0" t="str">
        <f aca="false">IF($T1534="","",IFERROR(INDEX('Resumo Grupos'!$AC$3:$AC$200,MATCH($T1534,'Resumo Grupos'!$AB$3:$AB$200,0)),"n/d"))</f>
        <v>Despesa</v>
      </c>
      <c r="AA1534" s="0" t="str">
        <f aca="false">IF($T1534="","",IF(COUNTIF('Resumo Grupos'!$AE$3:$AE$40,$T1534)&gt;0,"NAO","SIM"))</f>
        <v>SIM</v>
      </c>
      <c r="AB1534" s="0" t="str">
        <f aca="false">IFERROR(INDEX('Mov Entradas (Rel 10497)'!$L:$L,MATCH(AC1534,'Mov Entradas (Rel 10497)'!$I:$I,0)),"nao encontrado")</f>
        <v>SACOLA BRC. L. ALIP.</v>
      </c>
      <c r="AC1534" s="0" t="n">
        <v>8583</v>
      </c>
    </row>
    <row r="1535" customFormat="false" ht="12.75" hidden="false" customHeight="true" outlineLevel="0" collapsed="false">
      <c r="A1535" s="13" t="n">
        <v>2</v>
      </c>
      <c r="B1535" s="14" t="n">
        <v>46241</v>
      </c>
      <c r="C1535" s="14" t="n">
        <v>46254</v>
      </c>
      <c r="D1535" s="13" t="n">
        <v>10028</v>
      </c>
      <c r="E1535" s="0" t="s">
        <v>494</v>
      </c>
      <c r="F1535" s="13" t="n">
        <v>24</v>
      </c>
      <c r="G1535" s="0" t="s">
        <v>51</v>
      </c>
      <c r="H1535" s="13" t="n">
        <v>2110405</v>
      </c>
      <c r="I1535" s="0" t="s">
        <v>56</v>
      </c>
      <c r="J1535" s="13" t="n">
        <v>1370757</v>
      </c>
      <c r="L1535" s="13" t="n">
        <v>184341</v>
      </c>
      <c r="M1535" s="0" t="s">
        <v>44</v>
      </c>
      <c r="N1535" s="0" t="s">
        <v>45</v>
      </c>
      <c r="P1535" s="13" t="n">
        <v>101</v>
      </c>
      <c r="Q1535" s="0" t="s">
        <v>57</v>
      </c>
      <c r="R1535" s="0" t="s">
        <v>71</v>
      </c>
      <c r="S1535" s="13" t="n">
        <v>4210315</v>
      </c>
      <c r="T1535" s="0" t="s">
        <v>279</v>
      </c>
      <c r="U1535" s="15" t="n">
        <v>595.9</v>
      </c>
      <c r="W1535" s="15" t="n">
        <v>595.9</v>
      </c>
      <c r="X1535" s="0" t="s">
        <v>495</v>
      </c>
      <c r="Z1535" s="0" t="str">
        <f aca="false">IF($T1535="","",IFERROR(INDEX('Resumo Grupos'!$AC$3:$AC$200,MATCH($T1535,'Resumo Grupos'!$AB$3:$AB$200,0)),"n/d"))</f>
        <v>Despesa</v>
      </c>
      <c r="AA1535" s="0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3" t="n">
        <v>2</v>
      </c>
      <c r="B1536" s="14" t="n">
        <v>46254</v>
      </c>
      <c r="C1536" s="14" t="n">
        <v>46254</v>
      </c>
      <c r="D1536" s="13" t="n">
        <v>1846</v>
      </c>
      <c r="E1536" s="0" t="s">
        <v>1378</v>
      </c>
      <c r="F1536" s="13" t="n">
        <v>34</v>
      </c>
      <c r="G1536" s="0" t="s">
        <v>55</v>
      </c>
      <c r="H1536" s="13" t="n">
        <v>2110405</v>
      </c>
      <c r="I1536" s="0" t="s">
        <v>56</v>
      </c>
      <c r="J1536" s="13" t="n">
        <v>1582156</v>
      </c>
      <c r="L1536" s="13" t="n">
        <v>216508</v>
      </c>
      <c r="M1536" s="0" t="s">
        <v>52</v>
      </c>
      <c r="N1536" s="0" t="s">
        <v>45</v>
      </c>
      <c r="P1536" s="13" t="n">
        <v>102</v>
      </c>
      <c r="Q1536" s="0" t="s">
        <v>308</v>
      </c>
      <c r="R1536" s="0" t="s">
        <v>81</v>
      </c>
      <c r="S1536" s="13" t="n">
        <v>4220199</v>
      </c>
      <c r="T1536" s="0" t="s">
        <v>82</v>
      </c>
      <c r="U1536" s="15" t="n">
        <v>1000</v>
      </c>
      <c r="W1536" s="15" t="n">
        <v>1000</v>
      </c>
      <c r="X1536" s="0" t="s">
        <v>1379</v>
      </c>
      <c r="Z1536" s="0" t="str">
        <f aca="false">IF($T1536="","",IFERROR(INDEX('Resumo Grupos'!$AC$3:$AC$200,MATCH($T1536,'Resumo Grupos'!$AB$3:$AB$200,0)),"n/d"))</f>
        <v>Pagamentos outros não operacionais</v>
      </c>
      <c r="AA1536" s="0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3" t="n">
        <v>2</v>
      </c>
      <c r="B1537" s="14" t="n">
        <v>46248</v>
      </c>
      <c r="C1537" s="14" t="n">
        <v>46254</v>
      </c>
      <c r="D1537" s="13" t="n">
        <v>1609</v>
      </c>
      <c r="E1537" s="0" t="s">
        <v>84</v>
      </c>
      <c r="F1537" s="13" t="n">
        <v>24</v>
      </c>
      <c r="G1537" s="0" t="s">
        <v>51</v>
      </c>
      <c r="H1537" s="13" t="n">
        <v>2110405</v>
      </c>
      <c r="I1537" s="0" t="s">
        <v>56</v>
      </c>
      <c r="J1537" s="13" t="n">
        <v>1545670</v>
      </c>
      <c r="L1537" s="13" t="n">
        <v>211059</v>
      </c>
      <c r="M1537" s="0" t="s">
        <v>52</v>
      </c>
      <c r="N1537" s="0" t="s">
        <v>45</v>
      </c>
      <c r="P1537" s="13" t="n">
        <v>113</v>
      </c>
      <c r="Q1537" s="0" t="s">
        <v>46</v>
      </c>
      <c r="R1537" s="0" t="s">
        <v>47</v>
      </c>
      <c r="S1537" s="13" t="n">
        <v>1130101</v>
      </c>
      <c r="T1537" s="0" t="s">
        <v>48</v>
      </c>
      <c r="U1537" s="15" t="n">
        <v>597.4</v>
      </c>
      <c r="W1537" s="15" t="n">
        <v>597.4</v>
      </c>
      <c r="X1537" s="0" t="s">
        <v>1380</v>
      </c>
      <c r="Z1537" s="0" t="str">
        <f aca="false">IF($T1537="","",IFERROR(INDEX('Resumo Grupos'!$AC$3:$AC$200,MATCH($T1537,'Resumo Grupos'!$AB$3:$AB$200,0)),"n/d"))</f>
        <v>Mercadoria</v>
      </c>
      <c r="AA1537" s="0" t="str">
        <f aca="false">IF($T1537="","",IF(COUNTIF('Resumo Grupos'!$AE$3:$AE$40,$T1537)&gt;0,"NAO","SIM"))</f>
        <v>SIM</v>
      </c>
      <c r="AB1537" s="0" t="str">
        <f aca="false">IFERROR(INDEX('Mov Entradas (Rel 10497)'!$L:$L,MATCH(AC1537,'Mov Entradas (Rel 10497)'!$I:$I,0)),"nao encontrado")</f>
        <v>SUCO FAZENDINHA CITR</v>
      </c>
      <c r="AC1537" s="0" t="n">
        <v>5971</v>
      </c>
    </row>
    <row r="1538" customFormat="false" ht="12.75" hidden="false" customHeight="true" outlineLevel="0" collapsed="false">
      <c r="A1538" s="13" t="n">
        <v>2</v>
      </c>
      <c r="B1538" s="14" t="n">
        <v>46240</v>
      </c>
      <c r="C1538" s="14" t="n">
        <v>46254</v>
      </c>
      <c r="D1538" s="13" t="n">
        <v>1815</v>
      </c>
      <c r="E1538" s="0" t="s">
        <v>172</v>
      </c>
      <c r="F1538" s="13" t="n">
        <v>24</v>
      </c>
      <c r="G1538" s="0" t="s">
        <v>51</v>
      </c>
      <c r="H1538" s="13" t="n">
        <v>2110405</v>
      </c>
      <c r="I1538" s="0" t="s">
        <v>56</v>
      </c>
      <c r="J1538" s="13" t="n">
        <v>1508968</v>
      </c>
      <c r="L1538" s="13" t="n">
        <v>205091</v>
      </c>
      <c r="M1538" s="0" t="s">
        <v>52</v>
      </c>
      <c r="N1538" s="0" t="s">
        <v>45</v>
      </c>
      <c r="P1538" s="13" t="n">
        <v>113</v>
      </c>
      <c r="Q1538" s="0" t="s">
        <v>46</v>
      </c>
      <c r="R1538" s="0" t="s">
        <v>47</v>
      </c>
      <c r="S1538" s="13" t="n">
        <v>1130101</v>
      </c>
      <c r="T1538" s="0" t="s">
        <v>48</v>
      </c>
      <c r="U1538" s="15" t="n">
        <v>628.2</v>
      </c>
      <c r="W1538" s="15" t="n">
        <v>628.2</v>
      </c>
      <c r="X1538" s="0" t="s">
        <v>1302</v>
      </c>
      <c r="Z1538" s="0" t="str">
        <f aca="false">IF($T1538="","",IFERROR(INDEX('Resumo Grupos'!$AC$3:$AC$200,MATCH($T1538,'Resumo Grupos'!$AB$3:$AB$200,0)),"n/d"))</f>
        <v>Mercadoria</v>
      </c>
      <c r="AA1538" s="0" t="str">
        <f aca="false">IF($T1538="","",IF(COUNTIF('Resumo Grupos'!$AE$3:$AE$40,$T1538)&gt;0,"NAO","SIM"))</f>
        <v>SIM</v>
      </c>
      <c r="AB1538" s="0" t="str">
        <f aca="false">IFERROR(INDEX('Mov Entradas (Rel 10497)'!$L:$L,MATCH(AC1538,'Mov Entradas (Rel 10497)'!$I:$I,0)),"nao encontrado")</f>
        <v>COXÃO DURO KG</v>
      </c>
      <c r="AC1538" s="0" t="n">
        <v>396443</v>
      </c>
    </row>
    <row r="1539" customFormat="false" ht="12.75" hidden="false" customHeight="true" outlineLevel="0" collapsed="false">
      <c r="A1539" s="13" t="n">
        <v>2</v>
      </c>
      <c r="B1539" s="14" t="n">
        <v>46253</v>
      </c>
      <c r="C1539" s="14" t="n">
        <v>46254</v>
      </c>
      <c r="D1539" s="13" t="n">
        <v>17</v>
      </c>
      <c r="E1539" s="0" t="s">
        <v>489</v>
      </c>
      <c r="F1539" s="13" t="n">
        <v>24</v>
      </c>
      <c r="G1539" s="0" t="s">
        <v>51</v>
      </c>
      <c r="H1539" s="13" t="n">
        <v>2110405</v>
      </c>
      <c r="I1539" s="0" t="s">
        <v>56</v>
      </c>
      <c r="J1539" s="13" t="n">
        <v>1572226</v>
      </c>
      <c r="L1539" s="13" t="n">
        <v>214781</v>
      </c>
      <c r="M1539" s="0" t="s">
        <v>52</v>
      </c>
      <c r="N1539" s="0" t="s">
        <v>45</v>
      </c>
      <c r="P1539" s="13" t="n">
        <v>101</v>
      </c>
      <c r="Q1539" s="0" t="s">
        <v>57</v>
      </c>
      <c r="R1539" s="0" t="s">
        <v>81</v>
      </c>
      <c r="S1539" s="13" t="n">
        <v>4220199</v>
      </c>
      <c r="T1539" s="0" t="s">
        <v>82</v>
      </c>
      <c r="U1539" s="15" t="n">
        <v>620</v>
      </c>
      <c r="W1539" s="15" t="n">
        <v>620</v>
      </c>
      <c r="X1539" s="0" t="s">
        <v>1381</v>
      </c>
      <c r="Z1539" s="0" t="str">
        <f aca="false">IF($T1539="","",IFERROR(INDEX('Resumo Grupos'!$AC$3:$AC$200,MATCH($T1539,'Resumo Grupos'!$AB$3:$AB$200,0)),"n/d"))</f>
        <v>Pagamentos outros não operacionais</v>
      </c>
      <c r="AA1539" s="0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3" t="n">
        <v>2</v>
      </c>
      <c r="B1540" s="14" t="n">
        <v>46223</v>
      </c>
      <c r="C1540" s="14" t="n">
        <v>46254</v>
      </c>
      <c r="D1540" s="13" t="n">
        <v>607</v>
      </c>
      <c r="E1540" s="0" t="s">
        <v>281</v>
      </c>
      <c r="F1540" s="13" t="n">
        <v>24</v>
      </c>
      <c r="G1540" s="0" t="s">
        <v>51</v>
      </c>
      <c r="H1540" s="13" t="n">
        <v>2110405</v>
      </c>
      <c r="I1540" s="0" t="s">
        <v>56</v>
      </c>
      <c r="J1540" s="13" t="n">
        <v>1424640</v>
      </c>
      <c r="L1540" s="13" t="n">
        <v>190910</v>
      </c>
      <c r="M1540" s="0" t="s">
        <v>52</v>
      </c>
      <c r="N1540" s="0" t="s">
        <v>45</v>
      </c>
      <c r="P1540" s="13" t="n">
        <v>113</v>
      </c>
      <c r="Q1540" s="0" t="s">
        <v>46</v>
      </c>
      <c r="R1540" s="0" t="s">
        <v>47</v>
      </c>
      <c r="S1540" s="13" t="n">
        <v>1130101</v>
      </c>
      <c r="T1540" s="0" t="s">
        <v>48</v>
      </c>
      <c r="U1540" s="15" t="n">
        <v>446.28</v>
      </c>
      <c r="W1540" s="15" t="n">
        <v>446.28</v>
      </c>
      <c r="X1540" s="0" t="s">
        <v>1255</v>
      </c>
      <c r="Z1540" s="0" t="str">
        <f aca="false">IF($T1540="","",IFERROR(INDEX('Resumo Grupos'!$AC$3:$AC$200,MATCH($T1540,'Resumo Grupos'!$AB$3:$AB$200,0)),"n/d"))</f>
        <v>Mercadoria</v>
      </c>
      <c r="AA1540" s="0" t="str">
        <f aca="false">IF($T1540="","",IF(COUNTIF('Resumo Grupos'!$AE$3:$AE$40,$T1540)&gt;0,"NAO","SIM"))</f>
        <v>SIM</v>
      </c>
      <c r="AB1540" s="0" t="str">
        <f aca="false">IFERROR(INDEX('Mov Entradas (Rel 10497)'!$L:$L,MATCH(AC1540,'Mov Entradas (Rel 10497)'!$I:$I,0)),"nao encontrado")</f>
        <v>RC JAPI PREM.FILH25K</v>
      </c>
      <c r="AC1540" s="0" t="n">
        <v>11173</v>
      </c>
    </row>
    <row r="1541" customFormat="false" ht="12.75" hidden="false" customHeight="true" outlineLevel="0" collapsed="false">
      <c r="A1541" s="13" t="n">
        <v>2</v>
      </c>
      <c r="B1541" s="14" t="n">
        <v>46247</v>
      </c>
      <c r="C1541" s="14" t="n">
        <v>46254</v>
      </c>
      <c r="D1541" s="13" t="n">
        <v>1024</v>
      </c>
      <c r="E1541" s="0" t="s">
        <v>471</v>
      </c>
      <c r="F1541" s="13" t="n">
        <v>24</v>
      </c>
      <c r="G1541" s="0" t="s">
        <v>51</v>
      </c>
      <c r="H1541" s="13" t="n">
        <v>2110405</v>
      </c>
      <c r="I1541" s="0" t="s">
        <v>56</v>
      </c>
      <c r="J1541" s="13" t="n">
        <v>1541948</v>
      </c>
      <c r="L1541" s="13" t="n">
        <v>210400</v>
      </c>
      <c r="M1541" s="0" t="s">
        <v>52</v>
      </c>
      <c r="N1541" s="0" t="s">
        <v>45</v>
      </c>
      <c r="P1541" s="13" t="n">
        <v>113</v>
      </c>
      <c r="Q1541" s="0" t="s">
        <v>46</v>
      </c>
      <c r="R1541" s="0" t="s">
        <v>47</v>
      </c>
      <c r="S1541" s="13" t="n">
        <v>1130101</v>
      </c>
      <c r="T1541" s="0" t="s">
        <v>48</v>
      </c>
      <c r="U1541" s="15" t="n">
        <v>149</v>
      </c>
      <c r="W1541" s="15" t="n">
        <v>149</v>
      </c>
      <c r="X1541" s="0" t="s">
        <v>1382</v>
      </c>
      <c r="Z1541" s="0" t="str">
        <f aca="false">IF($T1541="","",IFERROR(INDEX('Resumo Grupos'!$AC$3:$AC$200,MATCH($T1541,'Resumo Grupos'!$AB$3:$AB$200,0)),"n/d"))</f>
        <v>Mercadoria</v>
      </c>
      <c r="AA1541" s="0" t="str">
        <f aca="false">IF($T1541="","",IF(COUNTIF('Resumo Grupos'!$AE$3:$AE$40,$T1541)&gt;0,"NAO","SIM"))</f>
        <v>SIM</v>
      </c>
      <c r="AB1541" s="0" t="str">
        <f aca="false">IFERROR(INDEX('Mov Entradas (Rel 10497)'!$L:$L,MATCH(AC1541,'Mov Entradas (Rel 10497)'!$I:$I,0)),"nao encontrado")</f>
        <v>nao encontrado</v>
      </c>
      <c r="AC1541" s="0" t="n">
        <v>321794</v>
      </c>
    </row>
    <row r="1542" customFormat="false" ht="12.75" hidden="false" customHeight="true" outlineLevel="0" collapsed="false">
      <c r="A1542" s="13" t="n">
        <v>2</v>
      </c>
      <c r="B1542" s="14" t="n">
        <v>46223</v>
      </c>
      <c r="C1542" s="14" t="n">
        <v>46254</v>
      </c>
      <c r="D1542" s="13" t="n">
        <v>33</v>
      </c>
      <c r="E1542" s="0" t="s">
        <v>313</v>
      </c>
      <c r="F1542" s="13" t="n">
        <v>34</v>
      </c>
      <c r="G1542" s="0" t="s">
        <v>55</v>
      </c>
      <c r="H1542" s="13" t="n">
        <v>2110405</v>
      </c>
      <c r="I1542" s="0" t="s">
        <v>56</v>
      </c>
      <c r="J1542" s="13" t="n">
        <v>1424244</v>
      </c>
      <c r="L1542" s="13" t="n">
        <v>190900</v>
      </c>
      <c r="M1542" s="0" t="s">
        <v>44</v>
      </c>
      <c r="N1542" s="0" t="s">
        <v>45</v>
      </c>
      <c r="P1542" s="13" t="n">
        <v>101</v>
      </c>
      <c r="Q1542" s="0" t="s">
        <v>57</v>
      </c>
      <c r="R1542" s="0" t="s">
        <v>430</v>
      </c>
      <c r="S1542" s="13" t="n">
        <v>4210107</v>
      </c>
      <c r="T1542" s="0" t="s">
        <v>496</v>
      </c>
      <c r="U1542" s="15" t="n">
        <v>154.85</v>
      </c>
      <c r="W1542" s="15" t="n">
        <v>154.85</v>
      </c>
      <c r="X1542" s="0" t="s">
        <v>957</v>
      </c>
      <c r="Z1542" s="0" t="str">
        <f aca="false">IF($T1542="","",IFERROR(INDEX('Resumo Grupos'!$AC$3:$AC$200,MATCH($T1542,'Resumo Grupos'!$AB$3:$AB$200,0)),"n/d"))</f>
        <v>Despesa</v>
      </c>
      <c r="AA1542" s="0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3" t="n">
        <v>2</v>
      </c>
      <c r="B1543" s="14" t="n">
        <v>46253</v>
      </c>
      <c r="C1543" s="14" t="n">
        <v>46254</v>
      </c>
      <c r="D1543" s="13" t="n">
        <v>33</v>
      </c>
      <c r="E1543" s="0" t="s">
        <v>313</v>
      </c>
      <c r="F1543" s="13" t="n">
        <v>34</v>
      </c>
      <c r="G1543" s="0" t="s">
        <v>55</v>
      </c>
      <c r="H1543" s="13" t="n">
        <v>2110405</v>
      </c>
      <c r="I1543" s="0" t="s">
        <v>56</v>
      </c>
      <c r="J1543" s="13" t="n">
        <v>1572837</v>
      </c>
      <c r="L1543" s="13" t="n">
        <v>214902</v>
      </c>
      <c r="M1543" s="0" t="s">
        <v>52</v>
      </c>
      <c r="N1543" s="0" t="s">
        <v>45</v>
      </c>
      <c r="P1543" s="13" t="n">
        <v>101</v>
      </c>
      <c r="Q1543" s="0" t="s">
        <v>57</v>
      </c>
      <c r="R1543" s="0" t="s">
        <v>607</v>
      </c>
      <c r="S1543" s="13" t="n">
        <v>1140101</v>
      </c>
      <c r="T1543" s="0" t="s">
        <v>608</v>
      </c>
      <c r="U1543" s="15" t="n">
        <v>56.51</v>
      </c>
      <c r="W1543" s="15" t="n">
        <v>56.51</v>
      </c>
      <c r="X1543" s="0" t="s">
        <v>1383</v>
      </c>
      <c r="Z1543" s="0" t="str">
        <f aca="false">IF($T1543="","",IFERROR(INDEX('Resumo Grupos'!$AC$3:$AC$200,MATCH($T1543,'Resumo Grupos'!$AB$3:$AB$200,0)),"n/d"))</f>
        <v>Despesa</v>
      </c>
      <c r="AA1543" s="0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3" t="n">
        <v>2</v>
      </c>
      <c r="B1544" s="14" t="n">
        <v>46223</v>
      </c>
      <c r="C1544" s="14" t="n">
        <v>46254</v>
      </c>
      <c r="D1544" s="13" t="n">
        <v>1624</v>
      </c>
      <c r="E1544" s="0" t="s">
        <v>351</v>
      </c>
      <c r="F1544" s="13" t="n">
        <v>24</v>
      </c>
      <c r="G1544" s="0" t="s">
        <v>51</v>
      </c>
      <c r="H1544" s="13" t="n">
        <v>2110405</v>
      </c>
      <c r="I1544" s="0" t="s">
        <v>56</v>
      </c>
      <c r="J1544" s="13" t="n">
        <v>1423737</v>
      </c>
      <c r="L1544" s="13" t="n">
        <v>190894</v>
      </c>
      <c r="M1544" s="0" t="s">
        <v>52</v>
      </c>
      <c r="N1544" s="0" t="s">
        <v>45</v>
      </c>
      <c r="P1544" s="13" t="n">
        <v>113</v>
      </c>
      <c r="Q1544" s="0" t="s">
        <v>46</v>
      </c>
      <c r="R1544" s="0" t="s">
        <v>47</v>
      </c>
      <c r="S1544" s="13" t="n">
        <v>1130101</v>
      </c>
      <c r="T1544" s="0" t="s">
        <v>48</v>
      </c>
      <c r="U1544" s="15" t="n">
        <v>381</v>
      </c>
      <c r="W1544" s="15" t="n">
        <v>381</v>
      </c>
      <c r="X1544" s="0" t="s">
        <v>1205</v>
      </c>
      <c r="Z1544" s="0" t="str">
        <f aca="false">IF($T1544="","",IFERROR(INDEX('Resumo Grupos'!$AC$3:$AC$200,MATCH($T1544,'Resumo Grupos'!$AB$3:$AB$200,0)),"n/d"))</f>
        <v>Mercadoria</v>
      </c>
      <c r="AA1544" s="0" t="str">
        <f aca="false">IF($T1544="","",IF(COUNTIF('Resumo Grupos'!$AE$3:$AE$40,$T1544)&gt;0,"NAO","SIM"))</f>
        <v>SIM</v>
      </c>
      <c r="AB1544" s="0" t="str">
        <f aca="false">IFERROR(INDEX('Mov Entradas (Rel 10497)'!$L:$L,MATCH(AC1544,'Mov Entradas (Rel 10497)'!$I:$I,0)),"nao encontrado")</f>
        <v>AREIA HIG P GATO CARECAT PERFUMADO 4KG</v>
      </c>
      <c r="AC1544" s="0" t="n">
        <v>664184</v>
      </c>
    </row>
    <row r="1545" customFormat="false" ht="12.75" hidden="false" customHeight="true" outlineLevel="0" collapsed="false">
      <c r="A1545" s="13" t="n">
        <v>2</v>
      </c>
      <c r="B1545" s="14" t="n">
        <v>46254</v>
      </c>
      <c r="C1545" s="14" t="n">
        <v>46254</v>
      </c>
      <c r="D1545" s="13" t="n">
        <v>0</v>
      </c>
      <c r="E1545" s="0" t="s">
        <v>109</v>
      </c>
      <c r="F1545" s="13" t="n">
        <v>17</v>
      </c>
      <c r="G1545" s="0" t="s">
        <v>110</v>
      </c>
      <c r="H1545" s="13" t="n">
        <v>1110101</v>
      </c>
      <c r="I1545" s="0" t="s">
        <v>111</v>
      </c>
      <c r="J1545" s="13" t="n">
        <v>1581724</v>
      </c>
      <c r="L1545" s="13" t="n">
        <v>1581724</v>
      </c>
      <c r="M1545" s="0" t="s">
        <v>52</v>
      </c>
      <c r="N1545" s="0" t="s">
        <v>112</v>
      </c>
      <c r="P1545" s="13" t="n">
        <v>113</v>
      </c>
      <c r="Q1545" s="0" t="s">
        <v>46</v>
      </c>
      <c r="R1545" s="0" t="s">
        <v>47</v>
      </c>
      <c r="S1545" s="13" t="n">
        <v>1130101</v>
      </c>
      <c r="T1545" s="0" t="s">
        <v>48</v>
      </c>
      <c r="U1545" s="15" t="n">
        <v>72</v>
      </c>
      <c r="W1545" s="15" t="n">
        <v>72</v>
      </c>
      <c r="X1545" s="0" t="s">
        <v>1384</v>
      </c>
      <c r="Z1545" s="0" t="str">
        <f aca="false">IF($T1545="","",IFERROR(INDEX('Resumo Grupos'!$AC$3:$AC$200,MATCH($T1545,'Resumo Grupos'!$AB$3:$AB$200,0)),"n/d"))</f>
        <v>Mercadoria</v>
      </c>
      <c r="AA1545" s="0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3" t="n">
        <v>2</v>
      </c>
      <c r="B1546" s="14" t="n">
        <v>46254</v>
      </c>
      <c r="C1546" s="14" t="n">
        <v>46254</v>
      </c>
      <c r="D1546" s="13" t="n">
        <v>0</v>
      </c>
      <c r="E1546" s="0" t="s">
        <v>109</v>
      </c>
      <c r="F1546" s="13" t="n">
        <v>17</v>
      </c>
      <c r="G1546" s="0" t="s">
        <v>110</v>
      </c>
      <c r="H1546" s="13" t="n">
        <v>1110101</v>
      </c>
      <c r="I1546" s="0" t="s">
        <v>111</v>
      </c>
      <c r="J1546" s="13" t="n">
        <v>1581725</v>
      </c>
      <c r="L1546" s="13" t="n">
        <v>1581725</v>
      </c>
      <c r="M1546" s="0" t="s">
        <v>52</v>
      </c>
      <c r="N1546" s="0" t="s">
        <v>112</v>
      </c>
      <c r="P1546" s="13" t="n">
        <v>113</v>
      </c>
      <c r="Q1546" s="0" t="s">
        <v>46</v>
      </c>
      <c r="R1546" s="0" t="s">
        <v>71</v>
      </c>
      <c r="S1546" s="13" t="n">
        <v>4210314</v>
      </c>
      <c r="T1546" s="0" t="s">
        <v>113</v>
      </c>
      <c r="U1546" s="15" t="n">
        <v>70</v>
      </c>
      <c r="W1546" s="15" t="n">
        <v>70</v>
      </c>
      <c r="X1546" s="0" t="s">
        <v>187</v>
      </c>
      <c r="Z1546" s="0" t="str">
        <f aca="false">IF($T1546="","",IFERROR(INDEX('Resumo Grupos'!$AC$3:$AC$200,MATCH($T1546,'Resumo Grupos'!$AB$3:$AB$200,0)),"n/d"))</f>
        <v>Despesa</v>
      </c>
      <c r="AA1546" s="0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3" t="n">
        <v>2</v>
      </c>
      <c r="B1547" s="14" t="n">
        <v>46254</v>
      </c>
      <c r="C1547" s="14" t="n">
        <v>46254</v>
      </c>
      <c r="D1547" s="13" t="n">
        <v>0</v>
      </c>
      <c r="E1547" s="0" t="s">
        <v>109</v>
      </c>
      <c r="F1547" s="13" t="n">
        <v>17</v>
      </c>
      <c r="G1547" s="0" t="s">
        <v>110</v>
      </c>
      <c r="H1547" s="13" t="n">
        <v>1110101</v>
      </c>
      <c r="I1547" s="0" t="s">
        <v>111</v>
      </c>
      <c r="J1547" s="13" t="n">
        <v>1716399</v>
      </c>
      <c r="L1547" s="13" t="n">
        <v>1716399</v>
      </c>
      <c r="M1547" s="0" t="s">
        <v>52</v>
      </c>
      <c r="N1547" s="0" t="s">
        <v>112</v>
      </c>
      <c r="P1547" s="13" t="n">
        <v>113</v>
      </c>
      <c r="Q1547" s="0" t="s">
        <v>46</v>
      </c>
      <c r="R1547" s="0" t="s">
        <v>116</v>
      </c>
      <c r="S1547" s="13" t="n">
        <v>1110203</v>
      </c>
      <c r="T1547" s="0" t="s">
        <v>117</v>
      </c>
      <c r="U1547" s="15" t="n">
        <v>2550</v>
      </c>
      <c r="W1547" s="15" t="n">
        <v>2550</v>
      </c>
      <c r="X1547" s="0" t="s">
        <v>1385</v>
      </c>
      <c r="Z1547" s="0" t="str">
        <f aca="false">IF($T1547="","",IFERROR(INDEX('Resumo Grupos'!$AC$3:$AC$200,MATCH($T1547,'Resumo Grupos'!$AB$3:$AB$200,0)),"n/d"))</f>
        <v>Despesa</v>
      </c>
      <c r="AA1547" s="0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3" t="n">
        <v>2</v>
      </c>
      <c r="B1548" s="14" t="n">
        <v>46241</v>
      </c>
      <c r="C1548" s="14" t="n">
        <v>46255</v>
      </c>
      <c r="D1548" s="13" t="n">
        <v>1705</v>
      </c>
      <c r="E1548" s="0" t="s">
        <v>130</v>
      </c>
      <c r="F1548" s="13" t="n">
        <v>24</v>
      </c>
      <c r="G1548" s="0" t="s">
        <v>51</v>
      </c>
      <c r="H1548" s="13" t="n">
        <v>2110405</v>
      </c>
      <c r="I1548" s="0" t="s">
        <v>56</v>
      </c>
      <c r="J1548" s="13" t="n">
        <v>1514101</v>
      </c>
      <c r="L1548" s="13" t="n">
        <v>205950</v>
      </c>
      <c r="M1548" s="0" t="s">
        <v>52</v>
      </c>
      <c r="N1548" s="0" t="s">
        <v>45</v>
      </c>
      <c r="P1548" s="13" t="n">
        <v>113</v>
      </c>
      <c r="Q1548" s="0" t="s">
        <v>46</v>
      </c>
      <c r="R1548" s="0" t="s">
        <v>47</v>
      </c>
      <c r="S1548" s="13" t="n">
        <v>1130101</v>
      </c>
      <c r="T1548" s="0" t="s">
        <v>48</v>
      </c>
      <c r="U1548" s="15" t="n">
        <v>540.41</v>
      </c>
      <c r="W1548" s="15" t="n">
        <v>540.41</v>
      </c>
      <c r="X1548" s="0" t="s">
        <v>1386</v>
      </c>
      <c r="Z1548" s="0" t="str">
        <f aca="false">IF($T1548="","",IFERROR(INDEX('Resumo Grupos'!$AC$3:$AC$200,MATCH($T1548,'Resumo Grupos'!$AB$3:$AB$200,0)),"n/d"))</f>
        <v>Mercadoria</v>
      </c>
      <c r="AA1548" s="0" t="str">
        <f aca="false">IF($T1548="","",IF(COUNTIF('Resumo Grupos'!$AE$3:$AE$40,$T1548)&gt;0,"NAO","SIM"))</f>
        <v>SIM</v>
      </c>
      <c r="AB1548" s="0" t="str">
        <f aca="false">IFERROR(INDEX('Mov Entradas (Rel 10497)'!$L:$L,MATCH(AC1548,'Mov Entradas (Rel 10497)'!$I:$I,0)),"nao encontrado")</f>
        <v>KAPO UVA 200ML</v>
      </c>
      <c r="AC1548" s="0" t="n">
        <v>1237147</v>
      </c>
    </row>
    <row r="1549" customFormat="false" ht="12.75" hidden="false" customHeight="true" outlineLevel="0" collapsed="false">
      <c r="A1549" s="13" t="n">
        <v>2</v>
      </c>
      <c r="B1549" s="14" t="n">
        <v>46241</v>
      </c>
      <c r="C1549" s="14" t="n">
        <v>46255</v>
      </c>
      <c r="D1549" s="13" t="n">
        <v>1705</v>
      </c>
      <c r="E1549" s="0" t="s">
        <v>130</v>
      </c>
      <c r="F1549" s="13" t="n">
        <v>24</v>
      </c>
      <c r="G1549" s="0" t="s">
        <v>51</v>
      </c>
      <c r="H1549" s="13" t="n">
        <v>2110405</v>
      </c>
      <c r="I1549" s="0" t="s">
        <v>56</v>
      </c>
      <c r="J1549" s="13" t="n">
        <v>1514107</v>
      </c>
      <c r="L1549" s="13" t="n">
        <v>205952</v>
      </c>
      <c r="M1549" s="0" t="s">
        <v>52</v>
      </c>
      <c r="N1549" s="0" t="s">
        <v>45</v>
      </c>
      <c r="P1549" s="13" t="n">
        <v>113</v>
      </c>
      <c r="Q1549" s="0" t="s">
        <v>46</v>
      </c>
      <c r="R1549" s="0" t="s">
        <v>47</v>
      </c>
      <c r="S1549" s="13" t="n">
        <v>1130101</v>
      </c>
      <c r="T1549" s="0" t="s">
        <v>48</v>
      </c>
      <c r="U1549" s="15" t="n">
        <v>3289.2</v>
      </c>
      <c r="W1549" s="15" t="n">
        <v>3289.2</v>
      </c>
      <c r="X1549" s="0" t="s">
        <v>1387</v>
      </c>
      <c r="Z1549" s="0" t="str">
        <f aca="false">IF($T1549="","",IFERROR(INDEX('Resumo Grupos'!$AC$3:$AC$200,MATCH($T1549,'Resumo Grupos'!$AB$3:$AB$200,0)),"n/d"))</f>
        <v>Mercadoria</v>
      </c>
      <c r="AA1549" s="0" t="str">
        <f aca="false">IF($T1549="","",IF(COUNTIF('Resumo Grupos'!$AE$3:$AE$40,$T1549)&gt;0,"NAO","SIM"))</f>
        <v>SIM</v>
      </c>
      <c r="AB1549" s="0" t="str">
        <f aca="false">IFERROR(INDEX('Mov Entradas (Rel 10497)'!$L:$L,MATCH(AC1549,'Mov Entradas (Rel 10497)'!$I:$I,0)),"nao encontrado")</f>
        <v>REFR COCA COLA 200ML</v>
      </c>
      <c r="AC1549" s="0" t="n">
        <v>1973888</v>
      </c>
    </row>
    <row r="1550" customFormat="false" ht="12.75" hidden="false" customHeight="true" outlineLevel="0" collapsed="false">
      <c r="A1550" s="13" t="n">
        <v>2</v>
      </c>
      <c r="B1550" s="14" t="n">
        <v>46241</v>
      </c>
      <c r="C1550" s="14" t="n">
        <v>46255</v>
      </c>
      <c r="D1550" s="13" t="n">
        <v>1705</v>
      </c>
      <c r="E1550" s="0" t="s">
        <v>130</v>
      </c>
      <c r="F1550" s="13" t="n">
        <v>24</v>
      </c>
      <c r="G1550" s="0" t="s">
        <v>51</v>
      </c>
      <c r="H1550" s="13" t="n">
        <v>2110405</v>
      </c>
      <c r="I1550" s="0" t="s">
        <v>56</v>
      </c>
      <c r="J1550" s="13" t="n">
        <v>1514108</v>
      </c>
      <c r="L1550" s="13" t="n">
        <v>205953</v>
      </c>
      <c r="M1550" s="0" t="s">
        <v>52</v>
      </c>
      <c r="N1550" s="0" t="s">
        <v>45</v>
      </c>
      <c r="P1550" s="13" t="n">
        <v>113</v>
      </c>
      <c r="Q1550" s="0" t="s">
        <v>46</v>
      </c>
      <c r="R1550" s="0" t="s">
        <v>47</v>
      </c>
      <c r="S1550" s="13" t="n">
        <v>1130101</v>
      </c>
      <c r="T1550" s="0" t="s">
        <v>48</v>
      </c>
      <c r="U1550" s="15" t="n">
        <v>201.65</v>
      </c>
      <c r="W1550" s="15" t="n">
        <v>201.65</v>
      </c>
      <c r="X1550" s="0" t="s">
        <v>1388</v>
      </c>
      <c r="Z1550" s="0" t="str">
        <f aca="false">IF($T1550="","",IFERROR(INDEX('Resumo Grupos'!$AC$3:$AC$200,MATCH($T1550,'Resumo Grupos'!$AB$3:$AB$200,0)),"n/d"))</f>
        <v>Mercadoria</v>
      </c>
      <c r="AA1550" s="0" t="str">
        <f aca="false">IF($T1550="","",IF(COUNTIF('Resumo Grupos'!$AE$3:$AE$40,$T1550)&gt;0,"NAO","SIM"))</f>
        <v>SIM</v>
      </c>
      <c r="AB1550" s="0" t="str">
        <f aca="false">IFERROR(INDEX('Mov Entradas (Rel 10497)'!$L:$L,MATCH(AC1550,'Mov Entradas (Rel 10497)'!$I:$I,0)),"nao encontrado")</f>
        <v>FANTA LAR 1,5L</v>
      </c>
      <c r="AC1550" s="0" t="n">
        <v>1236446</v>
      </c>
    </row>
    <row r="1551" customFormat="false" ht="12.75" hidden="false" customHeight="true" outlineLevel="0" collapsed="false">
      <c r="A1551" s="13" t="n">
        <v>2</v>
      </c>
      <c r="B1551" s="14" t="n">
        <v>46248</v>
      </c>
      <c r="C1551" s="14" t="n">
        <v>46255</v>
      </c>
      <c r="D1551" s="13" t="n">
        <v>1152</v>
      </c>
      <c r="E1551" s="0" t="s">
        <v>812</v>
      </c>
      <c r="F1551" s="13" t="n">
        <v>24</v>
      </c>
      <c r="G1551" s="0" t="s">
        <v>51</v>
      </c>
      <c r="H1551" s="13" t="n">
        <v>2110405</v>
      </c>
      <c r="I1551" s="0" t="s">
        <v>56</v>
      </c>
      <c r="J1551" s="13" t="n">
        <v>1546133</v>
      </c>
      <c r="L1551" s="13" t="n">
        <v>211246</v>
      </c>
      <c r="M1551" s="0" t="s">
        <v>52</v>
      </c>
      <c r="N1551" s="0" t="s">
        <v>45</v>
      </c>
      <c r="P1551" s="13" t="n">
        <v>113</v>
      </c>
      <c r="Q1551" s="0" t="s">
        <v>46</v>
      </c>
      <c r="R1551" s="0" t="s">
        <v>47</v>
      </c>
      <c r="S1551" s="13" t="n">
        <v>1130101</v>
      </c>
      <c r="T1551" s="0" t="s">
        <v>48</v>
      </c>
      <c r="U1551" s="15" t="n">
        <v>1045</v>
      </c>
      <c r="W1551" s="15" t="n">
        <v>1045</v>
      </c>
      <c r="X1551" s="0" t="s">
        <v>1389</v>
      </c>
      <c r="Z1551" s="0" t="str">
        <f aca="false">IF($T1551="","",IFERROR(INDEX('Resumo Grupos'!$AC$3:$AC$200,MATCH($T1551,'Resumo Grupos'!$AB$3:$AB$200,0)),"n/d"))</f>
        <v>Mercadoria</v>
      </c>
      <c r="AA1551" s="0" t="str">
        <f aca="false">IF($T1551="","",IF(COUNTIF('Resumo Grupos'!$AE$3:$AE$40,$T1551)&gt;0,"NAO","SIM"))</f>
        <v>SIM</v>
      </c>
      <c r="AB1551" s="0" t="str">
        <f aca="false">IFERROR(INDEX('Mov Entradas (Rel 10497)'!$L:$L,MATCH(AC1551,'Mov Entradas (Rel 10497)'!$I:$I,0)),"nao encontrado")</f>
        <v>FARINHA BRANCA TIA NENA 1KG</v>
      </c>
      <c r="AC1551" s="0" t="n">
        <v>269</v>
      </c>
    </row>
    <row r="1552" customFormat="false" ht="12.75" hidden="false" customHeight="true" outlineLevel="0" collapsed="false">
      <c r="A1552" s="13" t="n">
        <v>2</v>
      </c>
      <c r="B1552" s="14" t="n">
        <v>46248</v>
      </c>
      <c r="C1552" s="14" t="n">
        <v>46255</v>
      </c>
      <c r="D1552" s="13" t="n">
        <v>1608</v>
      </c>
      <c r="E1552" s="0" t="s">
        <v>240</v>
      </c>
      <c r="F1552" s="13" t="n">
        <v>24</v>
      </c>
      <c r="G1552" s="0" t="s">
        <v>51</v>
      </c>
      <c r="H1552" s="13" t="n">
        <v>2110405</v>
      </c>
      <c r="I1552" s="0" t="s">
        <v>56</v>
      </c>
      <c r="J1552" s="13" t="n">
        <v>1547042</v>
      </c>
      <c r="L1552" s="13" t="n">
        <v>211329</v>
      </c>
      <c r="M1552" s="0" t="s">
        <v>52</v>
      </c>
      <c r="N1552" s="0" t="s">
        <v>45</v>
      </c>
      <c r="P1552" s="13" t="n">
        <v>113</v>
      </c>
      <c r="Q1552" s="0" t="s">
        <v>46</v>
      </c>
      <c r="R1552" s="0" t="s">
        <v>47</v>
      </c>
      <c r="S1552" s="13" t="n">
        <v>1130101</v>
      </c>
      <c r="T1552" s="0" t="s">
        <v>48</v>
      </c>
      <c r="U1552" s="15" t="n">
        <v>877.23</v>
      </c>
      <c r="W1552" s="15" t="n">
        <v>877.23</v>
      </c>
      <c r="X1552" s="0" t="s">
        <v>1390</v>
      </c>
      <c r="Z1552" s="0" t="str">
        <f aca="false">IF($T1552="","",IFERROR(INDEX('Resumo Grupos'!$AC$3:$AC$200,MATCH($T1552,'Resumo Grupos'!$AB$3:$AB$200,0)),"n/d"))</f>
        <v>Mercadoria</v>
      </c>
      <c r="AA1552" s="0" t="str">
        <f aca="false">IF($T1552="","",IF(COUNTIF('Resumo Grupos'!$AE$3:$AE$40,$T1552)&gt;0,"NAO","SIM"))</f>
        <v>SIM</v>
      </c>
      <c r="AB1552" s="0" t="str">
        <f aca="false">IFERROR(INDEX('Mov Entradas (Rel 10497)'!$L:$L,MATCH(AC1552,'Mov Entradas (Rel 10497)'!$I:$I,0)),"nao encontrado")</f>
        <v>DANONE GREGO UNID FR</v>
      </c>
      <c r="AC1552" s="0" t="n">
        <v>1711525</v>
      </c>
    </row>
    <row r="1553" customFormat="false" ht="12.75" hidden="false" customHeight="true" outlineLevel="0" collapsed="false">
      <c r="A1553" s="13" t="n">
        <v>2</v>
      </c>
      <c r="B1553" s="14" t="n">
        <v>46241</v>
      </c>
      <c r="C1553" s="14" t="n">
        <v>46255</v>
      </c>
      <c r="D1553" s="13" t="n">
        <v>10019</v>
      </c>
      <c r="E1553" s="0" t="s">
        <v>268</v>
      </c>
      <c r="F1553" s="13" t="n">
        <v>24</v>
      </c>
      <c r="G1553" s="0" t="s">
        <v>51</v>
      </c>
      <c r="H1553" s="13" t="n">
        <v>2110405</v>
      </c>
      <c r="I1553" s="0" t="s">
        <v>56</v>
      </c>
      <c r="J1553" s="13" t="n">
        <v>1514129</v>
      </c>
      <c r="L1553" s="13" t="n">
        <v>205961</v>
      </c>
      <c r="M1553" s="0" t="s">
        <v>52</v>
      </c>
      <c r="N1553" s="0" t="s">
        <v>45</v>
      </c>
      <c r="P1553" s="13" t="n">
        <v>113</v>
      </c>
      <c r="Q1553" s="0" t="s">
        <v>46</v>
      </c>
      <c r="R1553" s="0" t="s">
        <v>47</v>
      </c>
      <c r="S1553" s="13" t="n">
        <v>1130101</v>
      </c>
      <c r="T1553" s="0" t="s">
        <v>48</v>
      </c>
      <c r="U1553" s="15" t="n">
        <v>1023.97</v>
      </c>
      <c r="W1553" s="15" t="n">
        <v>1023.97</v>
      </c>
      <c r="X1553" s="0" t="s">
        <v>1316</v>
      </c>
      <c r="Z1553" s="0" t="str">
        <f aca="false">IF($T1553="","",IFERROR(INDEX('Resumo Grupos'!$AC$3:$AC$200,MATCH($T1553,'Resumo Grupos'!$AB$3:$AB$200,0)),"n/d"))</f>
        <v>Mercadoria</v>
      </c>
      <c r="AA1553" s="0" t="str">
        <f aca="false">IF($T1553="","",IF(COUNTIF('Resumo Grupos'!$AE$3:$AE$40,$T1553)&gt;0,"NAO","SIM"))</f>
        <v>SIM</v>
      </c>
      <c r="AB1553" s="0" t="str">
        <f aca="false">IFERROR(INDEX('Mov Entradas (Rel 10497)'!$L:$L,MATCH(AC1553,'Mov Entradas (Rel 10497)'!$I:$I,0)),"nao encontrado")</f>
        <v>COXAO MOLE KG</v>
      </c>
      <c r="AC1553" s="0" t="n">
        <v>32318</v>
      </c>
    </row>
    <row r="1554" customFormat="false" ht="12.75" hidden="false" customHeight="true" outlineLevel="0" collapsed="false">
      <c r="A1554" s="13" t="n">
        <v>2</v>
      </c>
      <c r="B1554" s="14" t="n">
        <v>46248</v>
      </c>
      <c r="C1554" s="14" t="n">
        <v>46255</v>
      </c>
      <c r="D1554" s="13" t="n">
        <v>1650</v>
      </c>
      <c r="E1554" s="0" t="s">
        <v>438</v>
      </c>
      <c r="F1554" s="13" t="n">
        <v>24</v>
      </c>
      <c r="G1554" s="0" t="s">
        <v>51</v>
      </c>
      <c r="H1554" s="13" t="n">
        <v>2110405</v>
      </c>
      <c r="I1554" s="0" t="s">
        <v>56</v>
      </c>
      <c r="J1554" s="13" t="n">
        <v>1547627</v>
      </c>
      <c r="L1554" s="13" t="n">
        <v>211383</v>
      </c>
      <c r="M1554" s="0" t="s">
        <v>52</v>
      </c>
      <c r="N1554" s="0" t="s">
        <v>45</v>
      </c>
      <c r="P1554" s="13" t="n">
        <v>113</v>
      </c>
      <c r="Q1554" s="0" t="s">
        <v>46</v>
      </c>
      <c r="R1554" s="0" t="s">
        <v>47</v>
      </c>
      <c r="S1554" s="13" t="n">
        <v>1130101</v>
      </c>
      <c r="T1554" s="0" t="s">
        <v>48</v>
      </c>
      <c r="U1554" s="15" t="n">
        <v>571.73</v>
      </c>
      <c r="W1554" s="15" t="n">
        <v>571.73</v>
      </c>
      <c r="X1554" s="0" t="s">
        <v>1391</v>
      </c>
      <c r="Z1554" s="0" t="str">
        <f aca="false">IF($T1554="","",IFERROR(INDEX('Resumo Grupos'!$AC$3:$AC$200,MATCH($T1554,'Resumo Grupos'!$AB$3:$AB$200,0)),"n/d"))</f>
        <v>Mercadoria</v>
      </c>
      <c r="AA1554" s="0" t="str">
        <f aca="false">IF($T1554="","",IF(COUNTIF('Resumo Grupos'!$AE$3:$AE$40,$T1554)&gt;0,"NAO","SIM"))</f>
        <v>SIM</v>
      </c>
      <c r="AB1554" s="0" t="str">
        <f aca="false">IFERROR(INDEX('Mov Entradas (Rel 10497)'!$L:$L,MATCH(AC1554,'Mov Entradas (Rel 10497)'!$I:$I,0)),"nao encontrado")</f>
        <v>MANTEIGATOYA 200G</v>
      </c>
      <c r="AC1554" s="0" t="n">
        <v>228832</v>
      </c>
    </row>
    <row r="1555" customFormat="false" ht="12.75" hidden="false" customHeight="true" outlineLevel="0" collapsed="false">
      <c r="A1555" s="13" t="n">
        <v>2</v>
      </c>
      <c r="B1555" s="14" t="n">
        <v>46255</v>
      </c>
      <c r="C1555" s="14" t="n">
        <v>46255</v>
      </c>
      <c r="D1555" s="13" t="n">
        <v>10096</v>
      </c>
      <c r="E1555" s="0" t="s">
        <v>622</v>
      </c>
      <c r="F1555" s="13" t="n">
        <v>13</v>
      </c>
      <c r="G1555" s="0" t="s">
        <v>135</v>
      </c>
      <c r="H1555" s="13" t="n">
        <v>2110405</v>
      </c>
      <c r="I1555" s="0" t="s">
        <v>56</v>
      </c>
      <c r="J1555" s="13" t="n">
        <v>1585113</v>
      </c>
      <c r="L1555" s="13" t="n">
        <v>216851</v>
      </c>
      <c r="M1555" s="0" t="s">
        <v>52</v>
      </c>
      <c r="N1555" s="0" t="s">
        <v>45</v>
      </c>
      <c r="P1555" s="13" t="n">
        <v>113</v>
      </c>
      <c r="Q1555" s="0" t="s">
        <v>46</v>
      </c>
      <c r="R1555" s="0" t="s">
        <v>47</v>
      </c>
      <c r="S1555" s="13" t="n">
        <v>1130101</v>
      </c>
      <c r="T1555" s="0" t="s">
        <v>48</v>
      </c>
      <c r="U1555" s="15" t="n">
        <v>200</v>
      </c>
      <c r="W1555" s="15" t="n">
        <v>200</v>
      </c>
      <c r="X1555" s="0" t="s">
        <v>1392</v>
      </c>
      <c r="Z1555" s="0" t="str">
        <f aca="false">IF($T1555="","",IFERROR(INDEX('Resumo Grupos'!$AC$3:$AC$200,MATCH($T1555,'Resumo Grupos'!$AB$3:$AB$200,0)),"n/d"))</f>
        <v>Mercadoria</v>
      </c>
      <c r="AA1555" s="0" t="str">
        <f aca="false">IF($T1555="","",IF(COUNTIF('Resumo Grupos'!$AE$3:$AE$40,$T1555)&gt;0,"NAO","SIM"))</f>
        <v>SIM</v>
      </c>
      <c r="AB1555" s="0" t="str">
        <f aca="false">IFERROR(INDEX('Mov Entradas (Rel 10497)'!$L:$L,MATCH(AC1555,'Mov Entradas (Rel 10497)'!$I:$I,0)),"nao encontrado")</f>
        <v>BOLO MIYAZAKI GRANDE</v>
      </c>
      <c r="AC1555" s="0" t="n">
        <v>189</v>
      </c>
    </row>
    <row r="1556" customFormat="false" ht="12.75" hidden="false" customHeight="true" outlineLevel="0" collapsed="false">
      <c r="A1556" s="13" t="n">
        <v>2</v>
      </c>
      <c r="B1556" s="14" t="n">
        <v>46251</v>
      </c>
      <c r="C1556" s="14" t="n">
        <v>46255</v>
      </c>
      <c r="D1556" s="13" t="n">
        <v>1363</v>
      </c>
      <c r="E1556" s="0" t="s">
        <v>174</v>
      </c>
      <c r="F1556" s="13" t="n">
        <v>24</v>
      </c>
      <c r="G1556" s="0" t="s">
        <v>51</v>
      </c>
      <c r="H1556" s="13" t="n">
        <v>2110405</v>
      </c>
      <c r="I1556" s="0" t="s">
        <v>56</v>
      </c>
      <c r="J1556" s="13" t="n">
        <v>1560892</v>
      </c>
      <c r="L1556" s="13" t="n">
        <v>212914</v>
      </c>
      <c r="M1556" s="0" t="s">
        <v>52</v>
      </c>
      <c r="N1556" s="0" t="s">
        <v>45</v>
      </c>
      <c r="P1556" s="13" t="n">
        <v>113</v>
      </c>
      <c r="Q1556" s="0" t="s">
        <v>46</v>
      </c>
      <c r="R1556" s="0" t="s">
        <v>47</v>
      </c>
      <c r="S1556" s="13" t="n">
        <v>1130101</v>
      </c>
      <c r="T1556" s="0" t="s">
        <v>48</v>
      </c>
      <c r="U1556" s="15" t="n">
        <v>142</v>
      </c>
      <c r="W1556" s="15" t="n">
        <v>142</v>
      </c>
      <c r="X1556" s="0" t="s">
        <v>1393</v>
      </c>
      <c r="Z1556" s="0" t="str">
        <f aca="false">IF($T1556="","",IFERROR(INDEX('Resumo Grupos'!$AC$3:$AC$200,MATCH($T1556,'Resumo Grupos'!$AB$3:$AB$200,0)),"n/d"))</f>
        <v>Mercadoria</v>
      </c>
      <c r="AA1556" s="0" t="str">
        <f aca="false">IF($T1556="","",IF(COUNTIF('Resumo Grupos'!$AE$3:$AE$40,$T1556)&gt;0,"NAO","SIM"))</f>
        <v>SIM</v>
      </c>
      <c r="AB1556" s="0" t="str">
        <f aca="false">IFERROR(INDEX('Mov Entradas (Rel 10497)'!$L:$L,MATCH(AC1556,'Mov Entradas (Rel 10497)'!$I:$I,0)),"nao encontrado")</f>
        <v>PAO HAMBURGUER SANTO PAO</v>
      </c>
      <c r="AC1556" s="0" t="n">
        <v>3728</v>
      </c>
    </row>
    <row r="1557" customFormat="false" ht="12.75" hidden="false" customHeight="true" outlineLevel="0" collapsed="false">
      <c r="A1557" s="13" t="n">
        <v>2</v>
      </c>
      <c r="B1557" s="14" t="n">
        <v>46248</v>
      </c>
      <c r="C1557" s="14" t="n">
        <v>46255</v>
      </c>
      <c r="D1557" s="13" t="n">
        <v>581</v>
      </c>
      <c r="E1557" s="0" t="s">
        <v>147</v>
      </c>
      <c r="F1557" s="13" t="n">
        <v>24</v>
      </c>
      <c r="G1557" s="0" t="s">
        <v>51</v>
      </c>
      <c r="H1557" s="13" t="n">
        <v>2110405</v>
      </c>
      <c r="I1557" s="0" t="s">
        <v>56</v>
      </c>
      <c r="J1557" s="13" t="n">
        <v>1546120</v>
      </c>
      <c r="L1557" s="13" t="n">
        <v>211242</v>
      </c>
      <c r="M1557" s="0" t="s">
        <v>52</v>
      </c>
      <c r="N1557" s="0" t="s">
        <v>45</v>
      </c>
      <c r="P1557" s="13" t="n">
        <v>113</v>
      </c>
      <c r="Q1557" s="0" t="s">
        <v>46</v>
      </c>
      <c r="R1557" s="0" t="s">
        <v>47</v>
      </c>
      <c r="S1557" s="13" t="n">
        <v>1130101</v>
      </c>
      <c r="T1557" s="0" t="s">
        <v>48</v>
      </c>
      <c r="U1557" s="15" t="n">
        <v>195</v>
      </c>
      <c r="W1557" s="15" t="n">
        <v>195</v>
      </c>
      <c r="X1557" s="0" t="s">
        <v>1394</v>
      </c>
      <c r="Z1557" s="0" t="str">
        <f aca="false">IF($T1557="","",IFERROR(INDEX('Resumo Grupos'!$AC$3:$AC$200,MATCH($T1557,'Resumo Grupos'!$AB$3:$AB$200,0)),"n/d"))</f>
        <v>Mercadoria</v>
      </c>
      <c r="AA1557" s="0" t="str">
        <f aca="false">IF($T1557="","",IF(COUNTIF('Resumo Grupos'!$AE$3:$AE$40,$T1557)&gt;0,"NAO","SIM"))</f>
        <v>SIM</v>
      </c>
      <c r="AB1557" s="0" t="str">
        <f aca="false">IFERROR(INDEX('Mov Entradas (Rel 10497)'!$L:$L,MATCH(AC1557,'Mov Entradas (Rel 10497)'!$I:$I,0)),"nao encontrado")</f>
        <v>GOMA DE MANDIOCA AMA</v>
      </c>
      <c r="AC1557" s="0" t="n">
        <v>31936</v>
      </c>
    </row>
    <row r="1558" customFormat="false" ht="12.75" hidden="false" customHeight="true" outlineLevel="0" collapsed="false">
      <c r="A1558" s="13" t="n">
        <v>2</v>
      </c>
      <c r="B1558" s="14" t="n">
        <v>46227</v>
      </c>
      <c r="C1558" s="14" t="n">
        <v>46255</v>
      </c>
      <c r="D1558" s="13" t="n">
        <v>1700</v>
      </c>
      <c r="E1558" s="0" t="s">
        <v>1215</v>
      </c>
      <c r="F1558" s="13" t="n">
        <v>24</v>
      </c>
      <c r="G1558" s="0" t="s">
        <v>51</v>
      </c>
      <c r="H1558" s="13" t="n">
        <v>2110405</v>
      </c>
      <c r="I1558" s="0" t="s">
        <v>56</v>
      </c>
      <c r="J1558" s="13" t="n">
        <v>1444985</v>
      </c>
      <c r="L1558" s="13" t="n">
        <v>195527</v>
      </c>
      <c r="M1558" s="0" t="s">
        <v>52</v>
      </c>
      <c r="N1558" s="0" t="s">
        <v>45</v>
      </c>
      <c r="P1558" s="13" t="n">
        <v>113</v>
      </c>
      <c r="Q1558" s="0" t="s">
        <v>46</v>
      </c>
      <c r="R1558" s="0" t="s">
        <v>47</v>
      </c>
      <c r="S1558" s="13" t="n">
        <v>1130101</v>
      </c>
      <c r="T1558" s="0" t="s">
        <v>48</v>
      </c>
      <c r="U1558" s="15" t="n">
        <v>690</v>
      </c>
      <c r="W1558" s="15" t="n">
        <v>690</v>
      </c>
      <c r="X1558" s="0" t="s">
        <v>1216</v>
      </c>
      <c r="Z1558" s="0" t="str">
        <f aca="false">IF($T1558="","",IFERROR(INDEX('Resumo Grupos'!$AC$3:$AC$200,MATCH($T1558,'Resumo Grupos'!$AB$3:$AB$200,0)),"n/d"))</f>
        <v>Mercadoria</v>
      </c>
      <c r="AA1558" s="0" t="str">
        <f aca="false">IF($T1558="","",IF(COUNTIF('Resumo Grupos'!$AE$3:$AE$40,$T1558)&gt;0,"NAO","SIM"))</f>
        <v>SIM</v>
      </c>
      <c r="AB1558" s="0" t="str">
        <f aca="false">IFERROR(INDEX('Mov Entradas (Rel 10497)'!$L:$L,MATCH(AC1558,'Mov Entradas (Rel 10497)'!$I:$I,0)),"nao encontrado")</f>
        <v>OLEO DE SOJA CONCORD</v>
      </c>
      <c r="AC1558" s="0" t="n">
        <v>294640</v>
      </c>
    </row>
    <row r="1559" customFormat="false" ht="12.75" hidden="false" customHeight="true" outlineLevel="0" collapsed="false">
      <c r="A1559" s="13" t="n">
        <v>2</v>
      </c>
      <c r="B1559" s="14" t="n">
        <v>46255</v>
      </c>
      <c r="C1559" s="14" t="n">
        <v>46255</v>
      </c>
      <c r="D1559" s="13" t="n">
        <v>48</v>
      </c>
      <c r="E1559" s="0" t="s">
        <v>153</v>
      </c>
      <c r="F1559" s="13" t="n">
        <v>5</v>
      </c>
      <c r="G1559" s="0" t="s">
        <v>1395</v>
      </c>
      <c r="H1559" s="13" t="n">
        <v>2110304</v>
      </c>
      <c r="I1559" s="0" t="s">
        <v>1396</v>
      </c>
      <c r="J1559" s="13" t="n">
        <v>1581653</v>
      </c>
      <c r="L1559" s="13" t="n">
        <v>2618</v>
      </c>
      <c r="M1559" s="0" t="s">
        <v>52</v>
      </c>
      <c r="N1559" s="0" t="s">
        <v>37</v>
      </c>
      <c r="P1559" s="13" t="n">
        <v>113</v>
      </c>
      <c r="Q1559" s="0" t="s">
        <v>46</v>
      </c>
      <c r="R1559" s="0" t="s">
        <v>1397</v>
      </c>
      <c r="S1559" s="13" t="n">
        <v>3110301</v>
      </c>
      <c r="T1559" s="0" t="s">
        <v>1398</v>
      </c>
      <c r="U1559" s="15" t="n">
        <v>150.17</v>
      </c>
      <c r="W1559" s="15" t="n">
        <v>150.17</v>
      </c>
      <c r="X1559" s="0" t="s">
        <v>1399</v>
      </c>
      <c r="Z1559" s="0" t="str">
        <f aca="false">IF($T1559="","",IFERROR(INDEX('Resumo Grupos'!$AC$3:$AC$200,MATCH($T1559,'Resumo Grupos'!$AB$3:$AB$200,0)),"n/d"))</f>
        <v>Despesa</v>
      </c>
      <c r="AA1559" s="0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3" t="n">
        <v>2</v>
      </c>
      <c r="B1560" s="14" t="n">
        <v>46255</v>
      </c>
      <c r="C1560" s="14" t="n">
        <v>46255</v>
      </c>
      <c r="D1560" s="13" t="n">
        <v>48</v>
      </c>
      <c r="E1560" s="0" t="s">
        <v>153</v>
      </c>
      <c r="F1560" s="13" t="n">
        <v>13</v>
      </c>
      <c r="G1560" s="0" t="s">
        <v>135</v>
      </c>
      <c r="H1560" s="13" t="n">
        <v>2110101</v>
      </c>
      <c r="I1560" s="0" t="s">
        <v>43</v>
      </c>
      <c r="J1560" s="13" t="n">
        <v>1581741</v>
      </c>
      <c r="L1560" s="13" t="n">
        <v>2619</v>
      </c>
      <c r="M1560" s="0" t="s">
        <v>52</v>
      </c>
      <c r="N1560" s="0" t="s">
        <v>37</v>
      </c>
      <c r="P1560" s="13" t="n">
        <v>113</v>
      </c>
      <c r="Q1560" s="0" t="s">
        <v>46</v>
      </c>
      <c r="R1560" s="0" t="s">
        <v>47</v>
      </c>
      <c r="S1560" s="13" t="n">
        <v>1130101</v>
      </c>
      <c r="T1560" s="0" t="s">
        <v>48</v>
      </c>
      <c r="U1560" s="15" t="n">
        <v>300</v>
      </c>
      <c r="W1560" s="15" t="n">
        <v>300</v>
      </c>
      <c r="X1560" s="0" t="s">
        <v>1400</v>
      </c>
      <c r="Z1560" s="0" t="str">
        <f aca="false">IF($T1560="","",IFERROR(INDEX('Resumo Grupos'!$AC$3:$AC$200,MATCH($T1560,'Resumo Grupos'!$AB$3:$AB$200,0)),"n/d"))</f>
        <v>Mercadoria</v>
      </c>
      <c r="AA1560" s="0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3" t="n">
        <v>2</v>
      </c>
      <c r="B1561" s="14" t="n">
        <v>46255</v>
      </c>
      <c r="C1561" s="14" t="n">
        <v>46255</v>
      </c>
      <c r="D1561" s="13" t="n">
        <v>48</v>
      </c>
      <c r="E1561" s="0" t="s">
        <v>153</v>
      </c>
      <c r="F1561" s="13" t="n">
        <v>34</v>
      </c>
      <c r="G1561" s="0" t="s">
        <v>55</v>
      </c>
      <c r="H1561" s="13" t="n">
        <v>2110101</v>
      </c>
      <c r="I1561" s="0" t="s">
        <v>43</v>
      </c>
      <c r="J1561" s="13" t="n">
        <v>1581902</v>
      </c>
      <c r="L1561" s="13" t="n">
        <v>2622</v>
      </c>
      <c r="M1561" s="0" t="s">
        <v>52</v>
      </c>
      <c r="N1561" s="0" t="s">
        <v>37</v>
      </c>
      <c r="P1561" s="13" t="n">
        <v>113</v>
      </c>
      <c r="Q1561" s="0" t="s">
        <v>46</v>
      </c>
      <c r="R1561" s="0" t="s">
        <v>47</v>
      </c>
      <c r="S1561" s="13" t="n">
        <v>1130101</v>
      </c>
      <c r="T1561" s="0" t="s">
        <v>48</v>
      </c>
      <c r="U1561" s="15" t="n">
        <v>200</v>
      </c>
      <c r="W1561" s="15" t="n">
        <v>200</v>
      </c>
      <c r="X1561" s="0" t="s">
        <v>1401</v>
      </c>
      <c r="Z1561" s="0" t="str">
        <f aca="false">IF($T1561="","",IFERROR(INDEX('Resumo Grupos'!$AC$3:$AC$200,MATCH($T1561,'Resumo Grupos'!$AB$3:$AB$200,0)),"n/d"))</f>
        <v>Mercadoria</v>
      </c>
      <c r="AA1561" s="0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3" t="n">
        <v>2</v>
      </c>
      <c r="B1562" s="14" t="n">
        <v>46248</v>
      </c>
      <c r="C1562" s="14" t="n">
        <v>46255</v>
      </c>
      <c r="D1562" s="13" t="n">
        <v>1123</v>
      </c>
      <c r="E1562" s="0" t="s">
        <v>443</v>
      </c>
      <c r="F1562" s="13" t="n">
        <v>24</v>
      </c>
      <c r="G1562" s="0" t="s">
        <v>51</v>
      </c>
      <c r="H1562" s="13" t="n">
        <v>2110405</v>
      </c>
      <c r="I1562" s="0" t="s">
        <v>56</v>
      </c>
      <c r="J1562" s="13" t="n">
        <v>1547537</v>
      </c>
      <c r="L1562" s="13" t="n">
        <v>211371</v>
      </c>
      <c r="M1562" s="0" t="s">
        <v>52</v>
      </c>
      <c r="N1562" s="0" t="s">
        <v>45</v>
      </c>
      <c r="P1562" s="13" t="n">
        <v>113</v>
      </c>
      <c r="Q1562" s="0" t="s">
        <v>46</v>
      </c>
      <c r="R1562" s="0" t="s">
        <v>47</v>
      </c>
      <c r="S1562" s="13" t="n">
        <v>1130101</v>
      </c>
      <c r="T1562" s="0" t="s">
        <v>48</v>
      </c>
      <c r="U1562" s="15" t="n">
        <v>460</v>
      </c>
      <c r="W1562" s="15" t="n">
        <v>460</v>
      </c>
      <c r="X1562" s="0" t="s">
        <v>1402</v>
      </c>
      <c r="Z1562" s="0" t="str">
        <f aca="false">IF($T1562="","",IFERROR(INDEX('Resumo Grupos'!$AC$3:$AC$200,MATCH($T1562,'Resumo Grupos'!$AB$3:$AB$200,0)),"n/d"))</f>
        <v>Mercadoria</v>
      </c>
      <c r="AA1562" s="0" t="str">
        <f aca="false">IF($T1562="","",IF(COUNTIF('Resumo Grupos'!$AE$3:$AE$40,$T1562)&gt;0,"NAO","SIM"))</f>
        <v>SIM</v>
      </c>
      <c r="AB1562" s="0" t="str">
        <f aca="false">IFERROR(INDEX('Mov Entradas (Rel 10497)'!$L:$L,MATCH(AC1562,'Mov Entradas (Rel 10497)'!$I:$I,0)),"nao encontrado")</f>
        <v>QUEIJO MUSSARELA INT</v>
      </c>
      <c r="AC1562" s="0" t="n">
        <v>46106</v>
      </c>
    </row>
    <row r="1563" customFormat="false" ht="12.75" hidden="false" customHeight="true" outlineLevel="0" collapsed="false">
      <c r="A1563" s="13" t="n">
        <v>2</v>
      </c>
      <c r="B1563" s="14" t="n">
        <v>46252</v>
      </c>
      <c r="C1563" s="14" t="n">
        <v>46255</v>
      </c>
      <c r="D1563" s="13" t="n">
        <v>1899</v>
      </c>
      <c r="E1563" s="0" t="s">
        <v>204</v>
      </c>
      <c r="F1563" s="13" t="n">
        <v>24</v>
      </c>
      <c r="G1563" s="0" t="s">
        <v>51</v>
      </c>
      <c r="H1563" s="13" t="n">
        <v>2110405</v>
      </c>
      <c r="I1563" s="0" t="s">
        <v>56</v>
      </c>
      <c r="J1563" s="13" t="n">
        <v>1566550</v>
      </c>
      <c r="L1563" s="13" t="n">
        <v>213836</v>
      </c>
      <c r="M1563" s="0" t="s">
        <v>52</v>
      </c>
      <c r="N1563" s="0" t="s">
        <v>45</v>
      </c>
      <c r="P1563" s="13" t="n">
        <v>113</v>
      </c>
      <c r="Q1563" s="0" t="s">
        <v>46</v>
      </c>
      <c r="R1563" s="0" t="s">
        <v>47</v>
      </c>
      <c r="S1563" s="13" t="n">
        <v>1130101</v>
      </c>
      <c r="T1563" s="0" t="s">
        <v>48</v>
      </c>
      <c r="U1563" s="15" t="n">
        <v>237.74</v>
      </c>
      <c r="W1563" s="15" t="n">
        <v>237.74</v>
      </c>
      <c r="X1563" s="0" t="s">
        <v>1403</v>
      </c>
      <c r="Z1563" s="0" t="str">
        <f aca="false">IF($T1563="","",IFERROR(INDEX('Resumo Grupos'!$AC$3:$AC$200,MATCH($T1563,'Resumo Grupos'!$AB$3:$AB$200,0)),"n/d"))</f>
        <v>Mercadoria</v>
      </c>
      <c r="AA1563" s="0" t="str">
        <f aca="false">IF($T1563="","",IF(COUNTIF('Resumo Grupos'!$AE$3:$AE$40,$T1563)&gt;0,"NAO","SIM"))</f>
        <v>SIM</v>
      </c>
      <c r="AB1563" s="0" t="str">
        <f aca="false">IFERROR(INDEX('Mov Entradas (Rel 10497)'!$L:$L,MATCH(AC1563,'Mov Entradas (Rel 10497)'!$I:$I,0)),"nao encontrado")</f>
        <v>PAO DE FORMA REAL MA</v>
      </c>
      <c r="AC1563" s="0" t="n">
        <v>767</v>
      </c>
    </row>
    <row r="1564" customFormat="false" ht="12.75" hidden="false" customHeight="true" outlineLevel="0" collapsed="false">
      <c r="A1564" s="13" t="n">
        <v>2</v>
      </c>
      <c r="B1564" s="14" t="n">
        <v>46197</v>
      </c>
      <c r="C1564" s="14" t="n">
        <v>46255</v>
      </c>
      <c r="D1564" s="13" t="n">
        <v>607</v>
      </c>
      <c r="E1564" s="0" t="s">
        <v>281</v>
      </c>
      <c r="F1564" s="13" t="n">
        <v>24</v>
      </c>
      <c r="G1564" s="0" t="s">
        <v>51</v>
      </c>
      <c r="H1564" s="13" t="n">
        <v>2110101</v>
      </c>
      <c r="I1564" s="0" t="s">
        <v>43</v>
      </c>
      <c r="J1564" s="13" t="n">
        <v>1300232</v>
      </c>
      <c r="L1564" s="13" t="n">
        <v>10860</v>
      </c>
      <c r="M1564" s="0" t="s">
        <v>36</v>
      </c>
      <c r="N1564" s="0" t="s">
        <v>37</v>
      </c>
      <c r="P1564" s="13" t="n">
        <v>113</v>
      </c>
      <c r="Q1564" s="0" t="s">
        <v>46</v>
      </c>
      <c r="R1564" s="0" t="s">
        <v>47</v>
      </c>
      <c r="S1564" s="13" t="n">
        <v>1130101</v>
      </c>
      <c r="T1564" s="0" t="s">
        <v>48</v>
      </c>
      <c r="U1564" s="15" t="n">
        <v>1361.81</v>
      </c>
      <c r="W1564" s="15" t="n">
        <v>1361.81</v>
      </c>
      <c r="X1564" s="0" t="s">
        <v>867</v>
      </c>
      <c r="Z1564" s="0" t="str">
        <f aca="false">IF($T1564="","",IFERROR(INDEX('Resumo Grupos'!$AC$3:$AC$200,MATCH($T1564,'Resumo Grupos'!$AB$3:$AB$200,0)),"n/d"))</f>
        <v>Mercadoria</v>
      </c>
      <c r="AA1564" s="0" t="str">
        <f aca="false">IF($T1564="","",IF(COUNTIF('Resumo Grupos'!$AE$3:$AE$40,$T1564)&gt;0,"NAO","SIM"))</f>
        <v>SIM</v>
      </c>
      <c r="AB1564" s="0" t="str">
        <f aca="false">IFERROR(INDEX('Mov Entradas (Rel 10497)'!$L:$L,MATCH(AC1564,'Mov Entradas (Rel 10497)'!$I:$I,0)),"nao encontrado")</f>
        <v>RC JAPI PREM.FILH25K</v>
      </c>
      <c r="AC1564" s="0" t="n">
        <v>10860</v>
      </c>
    </row>
    <row r="1565" customFormat="false" ht="12.75" hidden="false" customHeight="true" outlineLevel="0" collapsed="false">
      <c r="A1565" s="13" t="n">
        <v>2</v>
      </c>
      <c r="B1565" s="14" t="n">
        <v>46255</v>
      </c>
      <c r="C1565" s="14" t="n">
        <v>46255</v>
      </c>
      <c r="D1565" s="13" t="n">
        <v>0</v>
      </c>
      <c r="E1565" s="0" t="s">
        <v>109</v>
      </c>
      <c r="F1565" s="13" t="n">
        <v>17</v>
      </c>
      <c r="G1565" s="0" t="s">
        <v>110</v>
      </c>
      <c r="H1565" s="13" t="n">
        <v>1110101</v>
      </c>
      <c r="I1565" s="0" t="s">
        <v>111</v>
      </c>
      <c r="J1565" s="13" t="n">
        <v>1594159</v>
      </c>
      <c r="L1565" s="13" t="n">
        <v>1594159</v>
      </c>
      <c r="M1565" s="0" t="s">
        <v>52</v>
      </c>
      <c r="N1565" s="0" t="s">
        <v>112</v>
      </c>
      <c r="P1565" s="13" t="n">
        <v>113</v>
      </c>
      <c r="Q1565" s="0" t="s">
        <v>46</v>
      </c>
      <c r="R1565" s="0" t="s">
        <v>259</v>
      </c>
      <c r="S1565" s="13" t="n">
        <v>2110101</v>
      </c>
      <c r="T1565" s="0" t="s">
        <v>43</v>
      </c>
      <c r="U1565" s="15" t="n">
        <v>300</v>
      </c>
      <c r="W1565" s="15" t="n">
        <v>300</v>
      </c>
      <c r="X1565" s="0" t="s">
        <v>1404</v>
      </c>
      <c r="Z1565" s="0" t="str">
        <f aca="false">IF($T1565="","",IFERROR(INDEX('Resumo Grupos'!$AC$3:$AC$200,MATCH($T1565,'Resumo Grupos'!$AB$3:$AB$200,0)),"n/d"))</f>
        <v>Despesa</v>
      </c>
      <c r="AA1565" s="0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3" t="n">
        <v>2</v>
      </c>
      <c r="B1566" s="14" t="n">
        <v>46255</v>
      </c>
      <c r="C1566" s="14" t="n">
        <v>46255</v>
      </c>
      <c r="D1566" s="13" t="n">
        <v>0</v>
      </c>
      <c r="E1566" s="0" t="s">
        <v>109</v>
      </c>
      <c r="F1566" s="13" t="n">
        <v>17</v>
      </c>
      <c r="G1566" s="0" t="s">
        <v>110</v>
      </c>
      <c r="H1566" s="13" t="n">
        <v>1110101</v>
      </c>
      <c r="I1566" s="0" t="s">
        <v>111</v>
      </c>
      <c r="J1566" s="13" t="n">
        <v>1594161</v>
      </c>
      <c r="L1566" s="13" t="n">
        <v>1594161</v>
      </c>
      <c r="M1566" s="0" t="s">
        <v>52</v>
      </c>
      <c r="N1566" s="0" t="s">
        <v>112</v>
      </c>
      <c r="P1566" s="13" t="n">
        <v>113</v>
      </c>
      <c r="Q1566" s="0" t="s">
        <v>46</v>
      </c>
      <c r="R1566" s="0" t="s">
        <v>56</v>
      </c>
      <c r="S1566" s="13" t="n">
        <v>2110405</v>
      </c>
      <c r="T1566" s="0" t="s">
        <v>56</v>
      </c>
      <c r="U1566" s="15" t="n">
        <v>200</v>
      </c>
      <c r="W1566" s="15" t="n">
        <v>200</v>
      </c>
      <c r="X1566" s="0" t="s">
        <v>1405</v>
      </c>
      <c r="Z1566" s="0" t="str">
        <f aca="false">IF($T1566="","",IFERROR(INDEX('Resumo Grupos'!$AC$3:$AC$200,MATCH($T1566,'Resumo Grupos'!$AB$3:$AB$200,0)),"n/d"))</f>
        <v>Cobertura de conta</v>
      </c>
      <c r="AA1566" s="0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3" t="n">
        <v>2</v>
      </c>
      <c r="B1567" s="14" t="n">
        <v>46255</v>
      </c>
      <c r="C1567" s="14" t="n">
        <v>46255</v>
      </c>
      <c r="D1567" s="13" t="n">
        <v>0</v>
      </c>
      <c r="E1567" s="0" t="s">
        <v>109</v>
      </c>
      <c r="F1567" s="13" t="n">
        <v>17</v>
      </c>
      <c r="G1567" s="0" t="s">
        <v>110</v>
      </c>
      <c r="H1567" s="13" t="n">
        <v>1110101</v>
      </c>
      <c r="I1567" s="0" t="s">
        <v>111</v>
      </c>
      <c r="J1567" s="13" t="n">
        <v>1594164</v>
      </c>
      <c r="L1567" s="13" t="n">
        <v>1594164</v>
      </c>
      <c r="M1567" s="0" t="s">
        <v>52</v>
      </c>
      <c r="N1567" s="0" t="s">
        <v>112</v>
      </c>
      <c r="P1567" s="13" t="n">
        <v>113</v>
      </c>
      <c r="Q1567" s="0" t="s">
        <v>46</v>
      </c>
      <c r="R1567" s="0" t="s">
        <v>71</v>
      </c>
      <c r="S1567" s="13" t="n">
        <v>4210314</v>
      </c>
      <c r="T1567" s="0" t="s">
        <v>113</v>
      </c>
      <c r="U1567" s="15" t="n">
        <v>50</v>
      </c>
      <c r="W1567" s="15" t="n">
        <v>50</v>
      </c>
      <c r="X1567" s="0" t="s">
        <v>368</v>
      </c>
      <c r="Z1567" s="0" t="str">
        <f aca="false">IF($T1567="","",IFERROR(INDEX('Resumo Grupos'!$AC$3:$AC$200,MATCH($T1567,'Resumo Grupos'!$AB$3:$AB$200,0)),"n/d"))</f>
        <v>Despesa</v>
      </c>
      <c r="AA1567" s="0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3" t="n">
        <v>2</v>
      </c>
      <c r="B1568" s="14" t="n">
        <v>46255</v>
      </c>
      <c r="C1568" s="14" t="n">
        <v>46255</v>
      </c>
      <c r="D1568" s="13" t="n">
        <v>0</v>
      </c>
      <c r="E1568" s="0" t="s">
        <v>109</v>
      </c>
      <c r="F1568" s="13" t="n">
        <v>17</v>
      </c>
      <c r="G1568" s="0" t="s">
        <v>110</v>
      </c>
      <c r="H1568" s="13" t="n">
        <v>1110101</v>
      </c>
      <c r="I1568" s="0" t="s">
        <v>111</v>
      </c>
      <c r="J1568" s="13" t="n">
        <v>1594165</v>
      </c>
      <c r="L1568" s="13" t="n">
        <v>1594165</v>
      </c>
      <c r="M1568" s="0" t="s">
        <v>52</v>
      </c>
      <c r="N1568" s="0" t="s">
        <v>112</v>
      </c>
      <c r="P1568" s="13" t="n">
        <v>113</v>
      </c>
      <c r="Q1568" s="0" t="s">
        <v>46</v>
      </c>
      <c r="R1568" s="0" t="s">
        <v>71</v>
      </c>
      <c r="S1568" s="13" t="n">
        <v>4210314</v>
      </c>
      <c r="T1568" s="0" t="s">
        <v>113</v>
      </c>
      <c r="U1568" s="15" t="n">
        <v>70</v>
      </c>
      <c r="W1568" s="15" t="n">
        <v>70</v>
      </c>
      <c r="X1568" s="0" t="s">
        <v>187</v>
      </c>
      <c r="Z1568" s="0" t="str">
        <f aca="false">IF($T1568="","",IFERROR(INDEX('Resumo Grupos'!$AC$3:$AC$200,MATCH($T1568,'Resumo Grupos'!$AB$3:$AB$200,0)),"n/d"))</f>
        <v>Despesa</v>
      </c>
      <c r="AA1568" s="0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3" t="n">
        <v>2</v>
      </c>
      <c r="B1569" s="14" t="n">
        <v>46255</v>
      </c>
      <c r="C1569" s="14" t="n">
        <v>46255</v>
      </c>
      <c r="D1569" s="13" t="n">
        <v>0</v>
      </c>
      <c r="E1569" s="0" t="s">
        <v>109</v>
      </c>
      <c r="F1569" s="13" t="n">
        <v>17</v>
      </c>
      <c r="G1569" s="0" t="s">
        <v>110</v>
      </c>
      <c r="H1569" s="13" t="n">
        <v>1110101</v>
      </c>
      <c r="I1569" s="0" t="s">
        <v>111</v>
      </c>
      <c r="J1569" s="13" t="n">
        <v>1716400</v>
      </c>
      <c r="L1569" s="13" t="n">
        <v>1716400</v>
      </c>
      <c r="M1569" s="0" t="s">
        <v>52</v>
      </c>
      <c r="N1569" s="0" t="s">
        <v>112</v>
      </c>
      <c r="P1569" s="13" t="n">
        <v>113</v>
      </c>
      <c r="Q1569" s="0" t="s">
        <v>46</v>
      </c>
      <c r="R1569" s="0" t="s">
        <v>116</v>
      </c>
      <c r="S1569" s="13" t="n">
        <v>1110203</v>
      </c>
      <c r="T1569" s="0" t="s">
        <v>117</v>
      </c>
      <c r="U1569" s="15" t="n">
        <v>1950</v>
      </c>
      <c r="W1569" s="15" t="n">
        <v>1950</v>
      </c>
      <c r="X1569" s="0" t="s">
        <v>1406</v>
      </c>
      <c r="Z1569" s="0" t="str">
        <f aca="false">IF($T1569="","",IFERROR(INDEX('Resumo Grupos'!$AC$3:$AC$200,MATCH($T1569,'Resumo Grupos'!$AB$3:$AB$200,0)),"n/d"))</f>
        <v>Despesa</v>
      </c>
      <c r="AA1569" s="0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3" t="n">
        <v>2</v>
      </c>
      <c r="B1570" s="14" t="n">
        <v>46244</v>
      </c>
      <c r="C1570" s="14" t="n">
        <v>46255</v>
      </c>
      <c r="D1570" s="13" t="n">
        <v>1666</v>
      </c>
      <c r="E1570" s="0" t="s">
        <v>266</v>
      </c>
      <c r="F1570" s="13" t="n">
        <v>24</v>
      </c>
      <c r="G1570" s="0" t="s">
        <v>51</v>
      </c>
      <c r="H1570" s="13" t="n">
        <v>2110405</v>
      </c>
      <c r="I1570" s="0" t="s">
        <v>56</v>
      </c>
      <c r="J1570" s="13" t="n">
        <v>1529112</v>
      </c>
      <c r="L1570" s="13" t="n">
        <v>207948</v>
      </c>
      <c r="M1570" s="0" t="s">
        <v>52</v>
      </c>
      <c r="N1570" s="0" t="s">
        <v>45</v>
      </c>
      <c r="P1570" s="13" t="n">
        <v>113</v>
      </c>
      <c r="Q1570" s="0" t="s">
        <v>46</v>
      </c>
      <c r="R1570" s="0" t="s">
        <v>47</v>
      </c>
      <c r="S1570" s="13" t="n">
        <v>1130101</v>
      </c>
      <c r="T1570" s="0" t="s">
        <v>48</v>
      </c>
      <c r="U1570" s="15" t="n">
        <v>4470.03</v>
      </c>
      <c r="W1570" s="15" t="n">
        <v>4470.03</v>
      </c>
      <c r="X1570" s="0" t="s">
        <v>1327</v>
      </c>
      <c r="Z1570" s="0" t="str">
        <f aca="false">IF($T1570="","",IFERROR(INDEX('Resumo Grupos'!$AC$3:$AC$200,MATCH($T1570,'Resumo Grupos'!$AB$3:$AB$200,0)),"n/d"))</f>
        <v>Mercadoria</v>
      </c>
      <c r="AA1570" s="0" t="str">
        <f aca="false">IF($T1570="","",IF(COUNTIF('Resumo Grupos'!$AE$3:$AE$40,$T1570)&gt;0,"NAO","SIM"))</f>
        <v>SIM</v>
      </c>
      <c r="AB1570" s="0" t="str">
        <f aca="false">IFERROR(INDEX('Mov Entradas (Rel 10497)'!$L:$L,MATCH(AC1570,'Mov Entradas (Rel 10497)'!$I:$I,0)),"nao encontrado")</f>
        <v>DUNHILL CARLTON BLEN</v>
      </c>
      <c r="AC1570" s="0" t="n">
        <v>569335</v>
      </c>
    </row>
    <row r="1571" customFormat="false" ht="12.75" hidden="false" customHeight="true" outlineLevel="0" collapsed="false">
      <c r="A1571" s="13" t="n">
        <v>2</v>
      </c>
      <c r="B1571" s="14" t="n">
        <v>46226</v>
      </c>
      <c r="C1571" s="14" t="n">
        <v>46256</v>
      </c>
      <c r="D1571" s="13" t="n">
        <v>1659</v>
      </c>
      <c r="E1571" s="0" t="s">
        <v>214</v>
      </c>
      <c r="F1571" s="13" t="n">
        <v>24</v>
      </c>
      <c r="G1571" s="0" t="s">
        <v>51</v>
      </c>
      <c r="H1571" s="13" t="n">
        <v>2110405</v>
      </c>
      <c r="I1571" s="0" t="s">
        <v>56</v>
      </c>
      <c r="J1571" s="13" t="n">
        <v>1439443</v>
      </c>
      <c r="L1571" s="13" t="n">
        <v>194553</v>
      </c>
      <c r="M1571" s="0" t="s">
        <v>52</v>
      </c>
      <c r="N1571" s="0" t="s">
        <v>45</v>
      </c>
      <c r="P1571" s="13" t="n">
        <v>113</v>
      </c>
      <c r="Q1571" s="0" t="s">
        <v>46</v>
      </c>
      <c r="R1571" s="0" t="s">
        <v>47</v>
      </c>
      <c r="S1571" s="13" t="n">
        <v>1130101</v>
      </c>
      <c r="T1571" s="0" t="s">
        <v>48</v>
      </c>
      <c r="U1571" s="15" t="n">
        <v>1006.03</v>
      </c>
      <c r="W1571" s="15" t="n">
        <v>1006.03</v>
      </c>
      <c r="X1571" s="0" t="s">
        <v>1227</v>
      </c>
      <c r="Z1571" s="0" t="str">
        <f aca="false">IF($T1571="","",IFERROR(INDEX('Resumo Grupos'!$AC$3:$AC$200,MATCH($T1571,'Resumo Grupos'!$AB$3:$AB$200,0)),"n/d"))</f>
        <v>Mercadoria</v>
      </c>
      <c r="AA1571" s="0" t="str">
        <f aca="false">IF($T1571="","",IF(COUNTIF('Resumo Grupos'!$AE$3:$AE$40,$T1571)&gt;0,"NAO","SIM"))</f>
        <v>SIM</v>
      </c>
      <c r="AB1571" s="0" t="str">
        <f aca="false">IFERROR(INDEX('Mov Entradas (Rel 10497)'!$L:$L,MATCH(AC1571,'Mov Entradas (Rel 10497)'!$I:$I,0)),"nao encontrado")</f>
        <v>MOCOQUINHA 200ML</v>
      </c>
      <c r="AC1571" s="0" t="n">
        <v>886799</v>
      </c>
    </row>
    <row r="1572" customFormat="false" ht="12.75" hidden="false" customHeight="true" outlineLevel="0" collapsed="false">
      <c r="A1572" s="13" t="n">
        <v>2</v>
      </c>
      <c r="B1572" s="14" t="n">
        <v>46237</v>
      </c>
      <c r="C1572" s="14" t="n">
        <v>46256</v>
      </c>
      <c r="D1572" s="13" t="n">
        <v>1695</v>
      </c>
      <c r="E1572" s="0" t="s">
        <v>390</v>
      </c>
      <c r="F1572" s="13" t="n">
        <v>24</v>
      </c>
      <c r="G1572" s="0" t="s">
        <v>51</v>
      </c>
      <c r="H1572" s="13" t="n">
        <v>2110405</v>
      </c>
      <c r="I1572" s="0" t="s">
        <v>56</v>
      </c>
      <c r="J1572" s="13" t="n">
        <v>1493386</v>
      </c>
      <c r="L1572" s="13" t="n">
        <v>202559</v>
      </c>
      <c r="M1572" s="0" t="s">
        <v>52</v>
      </c>
      <c r="N1572" s="0" t="s">
        <v>45</v>
      </c>
      <c r="P1572" s="13" t="n">
        <v>113</v>
      </c>
      <c r="Q1572" s="0" t="s">
        <v>46</v>
      </c>
      <c r="R1572" s="0" t="s">
        <v>47</v>
      </c>
      <c r="S1572" s="13" t="n">
        <v>1130101</v>
      </c>
      <c r="T1572" s="0" t="s">
        <v>48</v>
      </c>
      <c r="U1572" s="15" t="n">
        <v>1563.4</v>
      </c>
      <c r="W1572" s="15" t="n">
        <v>1563.4</v>
      </c>
      <c r="X1572" s="0" t="s">
        <v>1228</v>
      </c>
      <c r="Z1572" s="0" t="str">
        <f aca="false">IF($T1572="","",IFERROR(INDEX('Resumo Grupos'!$AC$3:$AC$200,MATCH($T1572,'Resumo Grupos'!$AB$3:$AB$200,0)),"n/d"))</f>
        <v>Mercadoria</v>
      </c>
      <c r="AA1572" s="0" t="str">
        <f aca="false">IF($T1572="","",IF(COUNTIF('Resumo Grupos'!$AE$3:$AE$40,$T1572)&gt;0,"NAO","SIM"))</f>
        <v>SIM</v>
      </c>
      <c r="AB1572" s="0" t="str">
        <f aca="false">IFERROR(INDEX('Mov Entradas (Rel 10497)'!$L:$L,MATCH(AC1572,'Mov Entradas (Rel 10497)'!$I:$I,0)),"nao encontrado")</f>
        <v>SALSICHA PERDIGÃO KG</v>
      </c>
      <c r="AC1572" s="0" t="n">
        <v>19579</v>
      </c>
    </row>
    <row r="1573" customFormat="false" ht="12.75" hidden="false" customHeight="true" outlineLevel="0" collapsed="false">
      <c r="A1573" s="13" t="n">
        <v>2</v>
      </c>
      <c r="B1573" s="14" t="n">
        <v>46226</v>
      </c>
      <c r="C1573" s="14" t="n">
        <v>46256</v>
      </c>
      <c r="D1573" s="13" t="n">
        <v>957</v>
      </c>
      <c r="E1573" s="0" t="s">
        <v>628</v>
      </c>
      <c r="F1573" s="13" t="n">
        <v>24</v>
      </c>
      <c r="G1573" s="0" t="s">
        <v>51</v>
      </c>
      <c r="H1573" s="13" t="n">
        <v>2110405</v>
      </c>
      <c r="I1573" s="0" t="s">
        <v>56</v>
      </c>
      <c r="J1573" s="13" t="n">
        <v>1438918</v>
      </c>
      <c r="L1573" s="13" t="n">
        <v>194429</v>
      </c>
      <c r="M1573" s="0" t="s">
        <v>52</v>
      </c>
      <c r="N1573" s="0" t="s">
        <v>45</v>
      </c>
      <c r="P1573" s="13" t="n">
        <v>113</v>
      </c>
      <c r="Q1573" s="0" t="s">
        <v>46</v>
      </c>
      <c r="R1573" s="0" t="s">
        <v>47</v>
      </c>
      <c r="S1573" s="13" t="n">
        <v>1130101</v>
      </c>
      <c r="T1573" s="0" t="s">
        <v>48</v>
      </c>
      <c r="U1573" s="15" t="n">
        <v>1501.38</v>
      </c>
      <c r="W1573" s="15" t="n">
        <v>1501.38</v>
      </c>
      <c r="X1573" s="0" t="s">
        <v>1286</v>
      </c>
      <c r="Z1573" s="0" t="str">
        <f aca="false">IF($T1573="","",IFERROR(INDEX('Resumo Grupos'!$AC$3:$AC$200,MATCH($T1573,'Resumo Grupos'!$AB$3:$AB$200,0)),"n/d"))</f>
        <v>Mercadoria</v>
      </c>
      <c r="AA1573" s="0" t="str">
        <f aca="false">IF($T1573="","",IF(COUNTIF('Resumo Grupos'!$AE$3:$AE$40,$T1573)&gt;0,"NAO","SIM"))</f>
        <v>SIM</v>
      </c>
      <c r="AB1573" s="0" t="str">
        <f aca="false">IFERROR(INDEX('Mov Entradas (Rel 10497)'!$L:$L,MATCH(AC1573,'Mov Entradas (Rel 10497)'!$I:$I,0)),"nao encontrado")</f>
        <v>WHISKA FRANGO KG AGR</v>
      </c>
      <c r="AC1573" s="0" t="n">
        <v>21189</v>
      </c>
    </row>
    <row r="1574" customFormat="false" ht="12.75" hidden="false" customHeight="true" outlineLevel="0" collapsed="false">
      <c r="A1574" s="13" t="n">
        <v>2</v>
      </c>
      <c r="B1574" s="14" t="n">
        <v>46249</v>
      </c>
      <c r="C1574" s="14" t="n">
        <v>46256</v>
      </c>
      <c r="D1574" s="13" t="n">
        <v>1815</v>
      </c>
      <c r="E1574" s="0" t="s">
        <v>172</v>
      </c>
      <c r="F1574" s="13" t="n">
        <v>24</v>
      </c>
      <c r="G1574" s="0" t="s">
        <v>51</v>
      </c>
      <c r="H1574" s="13" t="n">
        <v>2110405</v>
      </c>
      <c r="I1574" s="0" t="s">
        <v>56</v>
      </c>
      <c r="J1574" s="13" t="n">
        <v>1552111</v>
      </c>
      <c r="L1574" s="13" t="n">
        <v>211829</v>
      </c>
      <c r="M1574" s="0" t="s">
        <v>52</v>
      </c>
      <c r="N1574" s="0" t="s">
        <v>45</v>
      </c>
      <c r="P1574" s="13" t="n">
        <v>113</v>
      </c>
      <c r="Q1574" s="0" t="s">
        <v>46</v>
      </c>
      <c r="R1574" s="0" t="s">
        <v>47</v>
      </c>
      <c r="S1574" s="13" t="n">
        <v>1130101</v>
      </c>
      <c r="T1574" s="0" t="s">
        <v>48</v>
      </c>
      <c r="U1574" s="15" t="n">
        <v>511.98</v>
      </c>
      <c r="W1574" s="15" t="n">
        <v>511.98</v>
      </c>
      <c r="X1574" s="0" t="s">
        <v>1407</v>
      </c>
      <c r="Z1574" s="0" t="str">
        <f aca="false">IF($T1574="","",IFERROR(INDEX('Resumo Grupos'!$AC$3:$AC$200,MATCH($T1574,'Resumo Grupos'!$AB$3:$AB$200,0)),"n/d"))</f>
        <v>Mercadoria</v>
      </c>
      <c r="AA1574" s="0" t="str">
        <f aca="false">IF($T1574="","",IF(COUNTIF('Resumo Grupos'!$AE$3:$AE$40,$T1574)&gt;0,"NAO","SIM"))</f>
        <v>SIM</v>
      </c>
      <c r="AB1574" s="0" t="str">
        <f aca="false">IFERROR(INDEX('Mov Entradas (Rel 10497)'!$L:$L,MATCH(AC1574,'Mov Entradas (Rel 10497)'!$I:$I,0)),"nao encontrado")</f>
        <v>COSTELA SUINA KG</v>
      </c>
      <c r="AC1574" s="0" t="n">
        <v>398015</v>
      </c>
    </row>
    <row r="1575" customFormat="false" ht="12.75" hidden="false" customHeight="true" outlineLevel="0" collapsed="false">
      <c r="A1575" s="13" t="n">
        <v>2</v>
      </c>
      <c r="B1575" s="14" t="n">
        <v>46245</v>
      </c>
      <c r="C1575" s="14" t="n">
        <v>46256</v>
      </c>
      <c r="D1575" s="13" t="n">
        <v>1672</v>
      </c>
      <c r="E1575" s="0" t="s">
        <v>343</v>
      </c>
      <c r="F1575" s="13" t="n">
        <v>24</v>
      </c>
      <c r="G1575" s="0" t="s">
        <v>51</v>
      </c>
      <c r="H1575" s="13" t="n">
        <v>2110405</v>
      </c>
      <c r="I1575" s="0" t="s">
        <v>56</v>
      </c>
      <c r="J1575" s="13" t="n">
        <v>1532287</v>
      </c>
      <c r="L1575" s="13" t="n">
        <v>208717</v>
      </c>
      <c r="M1575" s="0" t="s">
        <v>52</v>
      </c>
      <c r="N1575" s="0" t="s">
        <v>45</v>
      </c>
      <c r="P1575" s="13" t="n">
        <v>113</v>
      </c>
      <c r="Q1575" s="0" t="s">
        <v>46</v>
      </c>
      <c r="R1575" s="0" t="s">
        <v>47</v>
      </c>
      <c r="S1575" s="13" t="n">
        <v>1130101</v>
      </c>
      <c r="T1575" s="0" t="s">
        <v>48</v>
      </c>
      <c r="U1575" s="15" t="n">
        <v>2852.4</v>
      </c>
      <c r="W1575" s="15" t="n">
        <v>2852.4</v>
      </c>
      <c r="X1575" s="0" t="s">
        <v>1408</v>
      </c>
      <c r="Z1575" s="0" t="str">
        <f aca="false">IF($T1575="","",IFERROR(INDEX('Resumo Grupos'!$AC$3:$AC$200,MATCH($T1575,'Resumo Grupos'!$AB$3:$AB$200,0)),"n/d"))</f>
        <v>Mercadoria</v>
      </c>
      <c r="AA1575" s="0" t="str">
        <f aca="false">IF($T1575="","",IF(COUNTIF('Resumo Grupos'!$AE$3:$AE$40,$T1575)&gt;0,"NAO","SIM"))</f>
        <v>SIM</v>
      </c>
      <c r="AB1575" s="0" t="str">
        <f aca="false">IFERROR(INDEX('Mov Entradas (Rel 10497)'!$L:$L,MATCH(AC1575,'Mov Entradas (Rel 10497)'!$I:$I,0)),"nao encontrado")</f>
        <v>AGUAYARA GALAO 20L</v>
      </c>
      <c r="AC1575" s="0" t="n">
        <v>1414620</v>
      </c>
    </row>
    <row r="1576" customFormat="false" ht="12.75" hidden="false" customHeight="true" outlineLevel="0" collapsed="false">
      <c r="A1576" s="13" t="n">
        <v>2</v>
      </c>
      <c r="B1576" s="14" t="n">
        <v>46251</v>
      </c>
      <c r="C1576" s="14" t="n">
        <v>46256</v>
      </c>
      <c r="D1576" s="13" t="n">
        <v>1625</v>
      </c>
      <c r="E1576" s="0" t="s">
        <v>270</v>
      </c>
      <c r="F1576" s="13" t="n">
        <v>24</v>
      </c>
      <c r="G1576" s="0" t="s">
        <v>51</v>
      </c>
      <c r="H1576" s="13" t="n">
        <v>2110405</v>
      </c>
      <c r="I1576" s="0" t="s">
        <v>56</v>
      </c>
      <c r="J1576" s="13" t="n">
        <v>1562614</v>
      </c>
      <c r="L1576" s="13" t="n">
        <v>213260</v>
      </c>
      <c r="M1576" s="0" t="s">
        <v>52</v>
      </c>
      <c r="N1576" s="0" t="s">
        <v>45</v>
      </c>
      <c r="P1576" s="13" t="n">
        <v>113</v>
      </c>
      <c r="Q1576" s="0" t="s">
        <v>46</v>
      </c>
      <c r="R1576" s="0" t="s">
        <v>47</v>
      </c>
      <c r="S1576" s="13" t="n">
        <v>1130101</v>
      </c>
      <c r="T1576" s="0" t="s">
        <v>48</v>
      </c>
      <c r="U1576" s="15" t="n">
        <v>3472.5</v>
      </c>
      <c r="W1576" s="15" t="n">
        <v>3472.5</v>
      </c>
      <c r="X1576" s="0" t="s">
        <v>1409</v>
      </c>
      <c r="Z1576" s="0" t="str">
        <f aca="false">IF($T1576="","",IFERROR(INDEX('Resumo Grupos'!$AC$3:$AC$200,MATCH($T1576,'Resumo Grupos'!$AB$3:$AB$200,0)),"n/d"))</f>
        <v>Mercadoria</v>
      </c>
      <c r="AA1576" s="0" t="str">
        <f aca="false">IF($T1576="","",IF(COUNTIF('Resumo Grupos'!$AE$3:$AE$40,$T1576)&gt;0,"NAO","SIM"))</f>
        <v>SIM</v>
      </c>
      <c r="AB1576" s="0" t="str">
        <f aca="false">IFERROR(INDEX('Mov Entradas (Rel 10497)'!$L:$L,MATCH(AC1576,'Mov Entradas (Rel 10497)'!$I:$I,0)),"nao encontrado")</f>
        <v>TRASEIRO DE BOI L1</v>
      </c>
      <c r="AC1576" s="0" t="n">
        <v>15061</v>
      </c>
    </row>
    <row r="1577" customFormat="false" ht="12.75" hidden="false" customHeight="true" outlineLevel="0" collapsed="false">
      <c r="A1577" s="13" t="n">
        <v>2</v>
      </c>
      <c r="B1577" s="14" t="n">
        <v>46226</v>
      </c>
      <c r="C1577" s="14" t="n">
        <v>46256</v>
      </c>
      <c r="D1577" s="13" t="n">
        <v>10011</v>
      </c>
      <c r="E1577" s="0" t="s">
        <v>349</v>
      </c>
      <c r="F1577" s="13" t="n">
        <v>24</v>
      </c>
      <c r="G1577" s="0" t="s">
        <v>51</v>
      </c>
      <c r="H1577" s="13" t="n">
        <v>2110405</v>
      </c>
      <c r="I1577" s="0" t="s">
        <v>56</v>
      </c>
      <c r="J1577" s="13" t="n">
        <v>1438959</v>
      </c>
      <c r="L1577" s="13" t="n">
        <v>194439</v>
      </c>
      <c r="M1577" s="0" t="s">
        <v>52</v>
      </c>
      <c r="N1577" s="0" t="s">
        <v>45</v>
      </c>
      <c r="P1577" s="13" t="n">
        <v>113</v>
      </c>
      <c r="Q1577" s="0" t="s">
        <v>46</v>
      </c>
      <c r="R1577" s="0" t="s">
        <v>47</v>
      </c>
      <c r="S1577" s="13" t="n">
        <v>1130101</v>
      </c>
      <c r="T1577" s="0" t="s">
        <v>48</v>
      </c>
      <c r="U1577" s="15" t="n">
        <v>591.07</v>
      </c>
      <c r="W1577" s="15" t="n">
        <v>591.07</v>
      </c>
      <c r="X1577" s="0" t="s">
        <v>1290</v>
      </c>
      <c r="Z1577" s="0" t="str">
        <f aca="false">IF($T1577="","",IFERROR(INDEX('Resumo Grupos'!$AC$3:$AC$200,MATCH($T1577,'Resumo Grupos'!$AB$3:$AB$200,0)),"n/d"))</f>
        <v>Mercadoria</v>
      </c>
      <c r="AA1577" s="0" t="str">
        <f aca="false">IF($T1577="","",IF(COUNTIF('Resumo Grupos'!$AE$3:$AE$40,$T1577)&gt;0,"NAO","SIM"))</f>
        <v>SIM</v>
      </c>
      <c r="AB1577" s="0" t="str">
        <f aca="false">IFERROR(INDEX('Mov Entradas (Rel 10497)'!$L:$L,MATCH(AC1577,'Mov Entradas (Rel 10497)'!$I:$I,0)),"nao encontrado")</f>
        <v>GRAN PLUS MENU KG</v>
      </c>
      <c r="AC1577" s="0" t="n">
        <v>34738</v>
      </c>
    </row>
    <row r="1578" customFormat="false" ht="12.75" hidden="false" customHeight="true" outlineLevel="0" collapsed="false">
      <c r="A1578" s="13" t="n">
        <v>2</v>
      </c>
      <c r="B1578" s="14" t="n">
        <v>46256</v>
      </c>
      <c r="C1578" s="14" t="n">
        <v>46256</v>
      </c>
      <c r="D1578" s="13" t="n">
        <v>0</v>
      </c>
      <c r="E1578" s="0" t="s">
        <v>109</v>
      </c>
      <c r="F1578" s="13" t="n">
        <v>17</v>
      </c>
      <c r="G1578" s="0" t="s">
        <v>110</v>
      </c>
      <c r="H1578" s="13" t="n">
        <v>1110101</v>
      </c>
      <c r="I1578" s="0" t="s">
        <v>111</v>
      </c>
      <c r="J1578" s="13" t="n">
        <v>1594182</v>
      </c>
      <c r="L1578" s="13" t="n">
        <v>1594182</v>
      </c>
      <c r="M1578" s="0" t="s">
        <v>52</v>
      </c>
      <c r="N1578" s="0" t="s">
        <v>112</v>
      </c>
      <c r="P1578" s="13" t="n">
        <v>113</v>
      </c>
      <c r="Q1578" s="0" t="s">
        <v>46</v>
      </c>
      <c r="R1578" s="0" t="s">
        <v>71</v>
      </c>
      <c r="S1578" s="13" t="n">
        <v>4210314</v>
      </c>
      <c r="T1578" s="0" t="s">
        <v>113</v>
      </c>
      <c r="U1578" s="15" t="n">
        <v>100</v>
      </c>
      <c r="W1578" s="15" t="n">
        <v>100</v>
      </c>
      <c r="X1578" s="0" t="s">
        <v>1410</v>
      </c>
      <c r="Z1578" s="0" t="str">
        <f aca="false">IF($T1578="","",IFERROR(INDEX('Resumo Grupos'!$AC$3:$AC$200,MATCH($T1578,'Resumo Grupos'!$AB$3:$AB$200,0)),"n/d"))</f>
        <v>Despesa</v>
      </c>
      <c r="AA1578" s="0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3" t="n">
        <v>2</v>
      </c>
      <c r="B1579" s="14" t="n">
        <v>46256</v>
      </c>
      <c r="C1579" s="14" t="n">
        <v>46256</v>
      </c>
      <c r="D1579" s="13" t="n">
        <v>0</v>
      </c>
      <c r="E1579" s="0" t="s">
        <v>109</v>
      </c>
      <c r="F1579" s="13" t="n">
        <v>17</v>
      </c>
      <c r="G1579" s="0" t="s">
        <v>110</v>
      </c>
      <c r="H1579" s="13" t="n">
        <v>1110101</v>
      </c>
      <c r="I1579" s="0" t="s">
        <v>111</v>
      </c>
      <c r="J1579" s="13" t="n">
        <v>1594187</v>
      </c>
      <c r="L1579" s="13" t="n">
        <v>1594187</v>
      </c>
      <c r="M1579" s="0" t="s">
        <v>52</v>
      </c>
      <c r="N1579" s="0" t="s">
        <v>112</v>
      </c>
      <c r="P1579" s="13" t="n">
        <v>113</v>
      </c>
      <c r="Q1579" s="0" t="s">
        <v>46</v>
      </c>
      <c r="R1579" s="0" t="s">
        <v>71</v>
      </c>
      <c r="S1579" s="13" t="n">
        <v>4210314</v>
      </c>
      <c r="T1579" s="0" t="s">
        <v>113</v>
      </c>
      <c r="U1579" s="15" t="n">
        <v>70</v>
      </c>
      <c r="W1579" s="15" t="n">
        <v>70</v>
      </c>
      <c r="X1579" s="0" t="s">
        <v>114</v>
      </c>
      <c r="Z1579" s="0" t="str">
        <f aca="false">IF($T1579="","",IFERROR(INDEX('Resumo Grupos'!$AC$3:$AC$200,MATCH($T1579,'Resumo Grupos'!$AB$3:$AB$200,0)),"n/d"))</f>
        <v>Despesa</v>
      </c>
      <c r="AA1579" s="0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3" t="n">
        <v>2</v>
      </c>
      <c r="B1580" s="14" t="n">
        <v>46256</v>
      </c>
      <c r="C1580" s="14" t="n">
        <v>46256</v>
      </c>
      <c r="D1580" s="13" t="n">
        <v>0</v>
      </c>
      <c r="E1580" s="0" t="s">
        <v>109</v>
      </c>
      <c r="F1580" s="13" t="n">
        <v>17</v>
      </c>
      <c r="G1580" s="0" t="s">
        <v>110</v>
      </c>
      <c r="H1580" s="13" t="n">
        <v>1110101</v>
      </c>
      <c r="I1580" s="0" t="s">
        <v>111</v>
      </c>
      <c r="J1580" s="13" t="n">
        <v>1594188</v>
      </c>
      <c r="L1580" s="13" t="n">
        <v>1594188</v>
      </c>
      <c r="M1580" s="0" t="s">
        <v>52</v>
      </c>
      <c r="N1580" s="0" t="s">
        <v>112</v>
      </c>
      <c r="P1580" s="13" t="n">
        <v>113</v>
      </c>
      <c r="Q1580" s="0" t="s">
        <v>46</v>
      </c>
      <c r="R1580" s="0" t="s">
        <v>71</v>
      </c>
      <c r="S1580" s="13" t="n">
        <v>4210314</v>
      </c>
      <c r="T1580" s="0" t="s">
        <v>113</v>
      </c>
      <c r="U1580" s="15" t="n">
        <v>70</v>
      </c>
      <c r="W1580" s="15" t="n">
        <v>70</v>
      </c>
      <c r="X1580" s="0" t="s">
        <v>187</v>
      </c>
      <c r="Z1580" s="0" t="str">
        <f aca="false">IF($T1580="","",IFERROR(INDEX('Resumo Grupos'!$AC$3:$AC$200,MATCH($T1580,'Resumo Grupos'!$AB$3:$AB$200,0)),"n/d"))</f>
        <v>Despesa</v>
      </c>
      <c r="AA1580" s="0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3" t="n">
        <v>2</v>
      </c>
      <c r="B1581" s="14" t="n">
        <v>46256</v>
      </c>
      <c r="C1581" s="14" t="n">
        <v>46256</v>
      </c>
      <c r="D1581" s="13" t="n">
        <v>0</v>
      </c>
      <c r="E1581" s="0" t="s">
        <v>109</v>
      </c>
      <c r="F1581" s="13" t="n">
        <v>17</v>
      </c>
      <c r="G1581" s="0" t="s">
        <v>110</v>
      </c>
      <c r="H1581" s="13" t="n">
        <v>1110101</v>
      </c>
      <c r="I1581" s="0" t="s">
        <v>111</v>
      </c>
      <c r="J1581" s="13" t="n">
        <v>1716403</v>
      </c>
      <c r="L1581" s="13" t="n">
        <v>1716403</v>
      </c>
      <c r="M1581" s="0" t="s">
        <v>52</v>
      </c>
      <c r="N1581" s="0" t="s">
        <v>112</v>
      </c>
      <c r="P1581" s="13" t="n">
        <v>113</v>
      </c>
      <c r="Q1581" s="0" t="s">
        <v>46</v>
      </c>
      <c r="R1581" s="0" t="s">
        <v>116</v>
      </c>
      <c r="S1581" s="13" t="n">
        <v>1110203</v>
      </c>
      <c r="T1581" s="0" t="s">
        <v>117</v>
      </c>
      <c r="U1581" s="15" t="n">
        <v>2550</v>
      </c>
      <c r="W1581" s="15" t="n">
        <v>2550</v>
      </c>
      <c r="X1581" s="0" t="s">
        <v>1411</v>
      </c>
      <c r="Z1581" s="0" t="str">
        <f aca="false">IF($T1581="","",IFERROR(INDEX('Resumo Grupos'!$AC$3:$AC$200,MATCH($T1581,'Resumo Grupos'!$AB$3:$AB$200,0)),"n/d"))</f>
        <v>Despesa</v>
      </c>
      <c r="AA1581" s="0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3" t="n">
        <v>2</v>
      </c>
      <c r="B1582" s="14" t="n">
        <v>46247</v>
      </c>
      <c r="C1582" s="14" t="n">
        <v>46257</v>
      </c>
      <c r="D1582" s="13" t="n">
        <v>1723</v>
      </c>
      <c r="E1582" s="0" t="s">
        <v>371</v>
      </c>
      <c r="F1582" s="13" t="n">
        <v>24</v>
      </c>
      <c r="G1582" s="0" t="s">
        <v>51</v>
      </c>
      <c r="H1582" s="13" t="n">
        <v>2110405</v>
      </c>
      <c r="I1582" s="0" t="s">
        <v>56</v>
      </c>
      <c r="J1582" s="13" t="n">
        <v>1542621</v>
      </c>
      <c r="L1582" s="13" t="n">
        <v>210451</v>
      </c>
      <c r="M1582" s="0" t="s">
        <v>52</v>
      </c>
      <c r="N1582" s="0" t="s">
        <v>45</v>
      </c>
      <c r="P1582" s="13" t="n">
        <v>113</v>
      </c>
      <c r="Q1582" s="0" t="s">
        <v>46</v>
      </c>
      <c r="R1582" s="0" t="s">
        <v>47</v>
      </c>
      <c r="S1582" s="13" t="n">
        <v>1130101</v>
      </c>
      <c r="T1582" s="0" t="s">
        <v>48</v>
      </c>
      <c r="U1582" s="15" t="n">
        <v>3814.8</v>
      </c>
      <c r="W1582" s="15" t="n">
        <v>3814.8</v>
      </c>
      <c r="X1582" s="0" t="s">
        <v>1412</v>
      </c>
      <c r="Z1582" s="0" t="str">
        <f aca="false">IF($T1582="","",IFERROR(INDEX('Resumo Grupos'!$AC$3:$AC$200,MATCH($T1582,'Resumo Grupos'!$AB$3:$AB$200,0)),"n/d"))</f>
        <v>Mercadoria</v>
      </c>
      <c r="AA1582" s="0" t="str">
        <f aca="false">IF($T1582="","",IF(COUNTIF('Resumo Grupos'!$AE$3:$AE$40,$T1582)&gt;0,"NAO","SIM"))</f>
        <v>SIM</v>
      </c>
      <c r="AB1582" s="0" t="str">
        <f aca="false">IFERROR(INDEX('Mov Entradas (Rel 10497)'!$L:$L,MATCH(AC1582,'Mov Entradas (Rel 10497)'!$I:$I,0)),"nao encontrado")</f>
        <v>TRASEIRO DE BOI L1</v>
      </c>
      <c r="AC1582" s="0" t="n">
        <v>174797</v>
      </c>
    </row>
    <row r="1583" customFormat="false" ht="12.75" hidden="false" customHeight="true" outlineLevel="0" collapsed="false">
      <c r="A1583" s="13" t="n">
        <v>2</v>
      </c>
      <c r="B1583" s="14" t="n">
        <v>46257</v>
      </c>
      <c r="C1583" s="14" t="n">
        <v>46257</v>
      </c>
      <c r="D1583" s="13" t="n">
        <v>0</v>
      </c>
      <c r="E1583" s="0" t="s">
        <v>109</v>
      </c>
      <c r="F1583" s="13" t="n">
        <v>17</v>
      </c>
      <c r="G1583" s="0" t="s">
        <v>110</v>
      </c>
      <c r="H1583" s="13" t="n">
        <v>1110101</v>
      </c>
      <c r="I1583" s="0" t="s">
        <v>111</v>
      </c>
      <c r="J1583" s="13" t="n">
        <v>1594201</v>
      </c>
      <c r="L1583" s="13" t="n">
        <v>1594201</v>
      </c>
      <c r="M1583" s="0" t="s">
        <v>52</v>
      </c>
      <c r="N1583" s="0" t="s">
        <v>112</v>
      </c>
      <c r="P1583" s="13" t="n">
        <v>113</v>
      </c>
      <c r="Q1583" s="0" t="s">
        <v>46</v>
      </c>
      <c r="R1583" s="0" t="s">
        <v>71</v>
      </c>
      <c r="S1583" s="13" t="n">
        <v>4210310</v>
      </c>
      <c r="T1583" s="0" t="s">
        <v>126</v>
      </c>
      <c r="U1583" s="15" t="n">
        <v>97</v>
      </c>
      <c r="W1583" s="15" t="n">
        <v>97</v>
      </c>
      <c r="X1583" s="0" t="s">
        <v>1413</v>
      </c>
      <c r="Z1583" s="0" t="str">
        <f aca="false">IF($T1583="","",IFERROR(INDEX('Resumo Grupos'!$AC$3:$AC$200,MATCH($T1583,'Resumo Grupos'!$AB$3:$AB$200,0)),"n/d"))</f>
        <v>Despesa</v>
      </c>
      <c r="AA1583" s="0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3" t="n">
        <v>2</v>
      </c>
      <c r="B1584" s="14" t="n">
        <v>46257</v>
      </c>
      <c r="C1584" s="14" t="n">
        <v>46257</v>
      </c>
      <c r="D1584" s="13" t="n">
        <v>0</v>
      </c>
      <c r="E1584" s="0" t="s">
        <v>109</v>
      </c>
      <c r="F1584" s="13" t="n">
        <v>17</v>
      </c>
      <c r="G1584" s="0" t="s">
        <v>110</v>
      </c>
      <c r="H1584" s="13" t="n">
        <v>1110101</v>
      </c>
      <c r="I1584" s="0" t="s">
        <v>111</v>
      </c>
      <c r="J1584" s="13" t="n">
        <v>1594203</v>
      </c>
      <c r="L1584" s="13" t="n">
        <v>1594203</v>
      </c>
      <c r="M1584" s="0" t="s">
        <v>52</v>
      </c>
      <c r="N1584" s="0" t="s">
        <v>112</v>
      </c>
      <c r="P1584" s="13" t="n">
        <v>113</v>
      </c>
      <c r="Q1584" s="0" t="s">
        <v>46</v>
      </c>
      <c r="R1584" s="0" t="s">
        <v>71</v>
      </c>
      <c r="S1584" s="13" t="n">
        <v>4210314</v>
      </c>
      <c r="T1584" s="0" t="s">
        <v>113</v>
      </c>
      <c r="U1584" s="15" t="n">
        <v>70</v>
      </c>
      <c r="W1584" s="15" t="n">
        <v>70</v>
      </c>
      <c r="X1584" s="0" t="s">
        <v>1414</v>
      </c>
      <c r="Z1584" s="0" t="str">
        <f aca="false">IF($T1584="","",IFERROR(INDEX('Resumo Grupos'!$AC$3:$AC$200,MATCH($T1584,'Resumo Grupos'!$AB$3:$AB$200,0)),"n/d"))</f>
        <v>Despesa</v>
      </c>
      <c r="AA1584" s="0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3" t="n">
        <v>2</v>
      </c>
      <c r="B1585" s="14" t="n">
        <v>46257</v>
      </c>
      <c r="C1585" s="14" t="n">
        <v>46257</v>
      </c>
      <c r="D1585" s="13" t="n">
        <v>0</v>
      </c>
      <c r="E1585" s="0" t="s">
        <v>109</v>
      </c>
      <c r="F1585" s="13" t="n">
        <v>17</v>
      </c>
      <c r="G1585" s="0" t="s">
        <v>110</v>
      </c>
      <c r="H1585" s="13" t="n">
        <v>1110101</v>
      </c>
      <c r="I1585" s="0" t="s">
        <v>111</v>
      </c>
      <c r="J1585" s="13" t="n">
        <v>1594205</v>
      </c>
      <c r="L1585" s="13" t="n">
        <v>1594205</v>
      </c>
      <c r="M1585" s="0" t="s">
        <v>52</v>
      </c>
      <c r="N1585" s="0" t="s">
        <v>112</v>
      </c>
      <c r="P1585" s="13" t="n">
        <v>113</v>
      </c>
      <c r="Q1585" s="0" t="s">
        <v>46</v>
      </c>
      <c r="R1585" s="0" t="s">
        <v>71</v>
      </c>
      <c r="S1585" s="13" t="n">
        <v>4210314</v>
      </c>
      <c r="T1585" s="0" t="s">
        <v>113</v>
      </c>
      <c r="U1585" s="15" t="n">
        <v>70</v>
      </c>
      <c r="W1585" s="15" t="n">
        <v>70</v>
      </c>
      <c r="X1585" s="0" t="s">
        <v>187</v>
      </c>
      <c r="Z1585" s="0" t="str">
        <f aca="false">IF($T1585="","",IFERROR(INDEX('Resumo Grupos'!$AC$3:$AC$200,MATCH($T1585,'Resumo Grupos'!$AB$3:$AB$200,0)),"n/d"))</f>
        <v>Despesa</v>
      </c>
      <c r="AA1585" s="0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3" t="n">
        <v>2</v>
      </c>
      <c r="B1586" s="14" t="n">
        <v>46257</v>
      </c>
      <c r="C1586" s="14" t="n">
        <v>46257</v>
      </c>
      <c r="D1586" s="13" t="n">
        <v>0</v>
      </c>
      <c r="E1586" s="0" t="s">
        <v>109</v>
      </c>
      <c r="F1586" s="13" t="n">
        <v>17</v>
      </c>
      <c r="G1586" s="0" t="s">
        <v>110</v>
      </c>
      <c r="H1586" s="13" t="n">
        <v>1110101</v>
      </c>
      <c r="I1586" s="0" t="s">
        <v>111</v>
      </c>
      <c r="J1586" s="13" t="n">
        <v>1716408</v>
      </c>
      <c r="L1586" s="13" t="n">
        <v>1716408</v>
      </c>
      <c r="M1586" s="0" t="s">
        <v>52</v>
      </c>
      <c r="N1586" s="0" t="s">
        <v>112</v>
      </c>
      <c r="P1586" s="13" t="n">
        <v>113</v>
      </c>
      <c r="Q1586" s="0" t="s">
        <v>46</v>
      </c>
      <c r="R1586" s="0" t="s">
        <v>116</v>
      </c>
      <c r="S1586" s="13" t="n">
        <v>1110203</v>
      </c>
      <c r="T1586" s="0" t="s">
        <v>117</v>
      </c>
      <c r="U1586" s="15" t="n">
        <v>2150</v>
      </c>
      <c r="W1586" s="15" t="n">
        <v>2150</v>
      </c>
      <c r="X1586" s="0" t="s">
        <v>1415</v>
      </c>
      <c r="Z1586" s="0" t="str">
        <f aca="false">IF($T1586="","",IFERROR(INDEX('Resumo Grupos'!$AC$3:$AC$200,MATCH($T1586,'Resumo Grupos'!$AB$3:$AB$200,0)),"n/d"))</f>
        <v>Despesa</v>
      </c>
      <c r="AA1586" s="0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3" t="n">
        <v>2</v>
      </c>
      <c r="B1587" s="14" t="n">
        <v>46244</v>
      </c>
      <c r="C1587" s="14" t="n">
        <v>46258</v>
      </c>
      <c r="D1587" s="13" t="n">
        <v>1789</v>
      </c>
      <c r="E1587" s="0" t="s">
        <v>544</v>
      </c>
      <c r="F1587" s="13" t="n">
        <v>24</v>
      </c>
      <c r="G1587" s="0" t="s">
        <v>51</v>
      </c>
      <c r="H1587" s="13" t="n">
        <v>2110405</v>
      </c>
      <c r="I1587" s="0" t="s">
        <v>56</v>
      </c>
      <c r="J1587" s="13" t="n">
        <v>1529680</v>
      </c>
      <c r="L1587" s="13" t="n">
        <v>208120</v>
      </c>
      <c r="M1587" s="0" t="s">
        <v>52</v>
      </c>
      <c r="N1587" s="0" t="s">
        <v>45</v>
      </c>
      <c r="P1587" s="13" t="n">
        <v>113</v>
      </c>
      <c r="Q1587" s="0" t="s">
        <v>46</v>
      </c>
      <c r="R1587" s="0" t="s">
        <v>430</v>
      </c>
      <c r="S1587" s="13" t="n">
        <v>4210112</v>
      </c>
      <c r="T1587" s="0" t="s">
        <v>545</v>
      </c>
      <c r="U1587" s="15" t="n">
        <v>10645.93</v>
      </c>
      <c r="W1587" s="15" t="n">
        <v>10645.93</v>
      </c>
      <c r="X1587" s="0" t="s">
        <v>1416</v>
      </c>
      <c r="Z1587" s="0" t="str">
        <f aca="false">IF($T1587="","",IFERROR(INDEX('Resumo Grupos'!$AC$3:$AC$200,MATCH($T1587,'Resumo Grupos'!$AB$3:$AB$200,0)),"n/d"))</f>
        <v>Despesa</v>
      </c>
      <c r="AA1587" s="0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3" t="n">
        <v>2</v>
      </c>
      <c r="B1588" s="14" t="n">
        <v>46244</v>
      </c>
      <c r="C1588" s="14" t="n">
        <v>46258</v>
      </c>
      <c r="D1588" s="13" t="n">
        <v>1789</v>
      </c>
      <c r="E1588" s="0" t="s">
        <v>544</v>
      </c>
      <c r="F1588" s="13" t="n">
        <v>24</v>
      </c>
      <c r="G1588" s="0" t="s">
        <v>51</v>
      </c>
      <c r="H1588" s="13" t="n">
        <v>2110405</v>
      </c>
      <c r="I1588" s="0" t="s">
        <v>56</v>
      </c>
      <c r="J1588" s="13" t="n">
        <v>1529702</v>
      </c>
      <c r="L1588" s="13" t="n">
        <v>208128</v>
      </c>
      <c r="M1588" s="0" t="s">
        <v>52</v>
      </c>
      <c r="N1588" s="0" t="s">
        <v>45</v>
      </c>
      <c r="P1588" s="13" t="n">
        <v>113</v>
      </c>
      <c r="Q1588" s="0" t="s">
        <v>46</v>
      </c>
      <c r="R1588" s="0" t="s">
        <v>430</v>
      </c>
      <c r="S1588" s="13" t="n">
        <v>4210112</v>
      </c>
      <c r="T1588" s="0" t="s">
        <v>545</v>
      </c>
      <c r="U1588" s="15" t="n">
        <v>109.86</v>
      </c>
      <c r="W1588" s="15" t="n">
        <v>109.86</v>
      </c>
      <c r="X1588" s="0" t="s">
        <v>1417</v>
      </c>
      <c r="Z1588" s="0" t="str">
        <f aca="false">IF($T1588="","",IFERROR(INDEX('Resumo Grupos'!$AC$3:$AC$200,MATCH($T1588,'Resumo Grupos'!$AB$3:$AB$200,0)),"n/d"))</f>
        <v>Despesa</v>
      </c>
      <c r="AA1588" s="0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3" t="n">
        <v>2</v>
      </c>
      <c r="B1589" s="14" t="n">
        <v>46239</v>
      </c>
      <c r="C1589" s="14" t="n">
        <v>46258</v>
      </c>
      <c r="D1589" s="13" t="n">
        <v>1637</v>
      </c>
      <c r="E1589" s="0" t="s">
        <v>871</v>
      </c>
      <c r="F1589" s="13" t="n">
        <v>24</v>
      </c>
      <c r="G1589" s="0" t="s">
        <v>51</v>
      </c>
      <c r="H1589" s="13" t="n">
        <v>2110405</v>
      </c>
      <c r="I1589" s="0" t="s">
        <v>56</v>
      </c>
      <c r="J1589" s="13" t="n">
        <v>1503883</v>
      </c>
      <c r="L1589" s="13" t="n">
        <v>204193</v>
      </c>
      <c r="M1589" s="0" t="s">
        <v>52</v>
      </c>
      <c r="N1589" s="0" t="s">
        <v>45</v>
      </c>
      <c r="P1589" s="13" t="n">
        <v>113</v>
      </c>
      <c r="Q1589" s="0" t="s">
        <v>46</v>
      </c>
      <c r="R1589" s="0" t="s">
        <v>47</v>
      </c>
      <c r="S1589" s="13" t="n">
        <v>1130101</v>
      </c>
      <c r="T1589" s="0" t="s">
        <v>48</v>
      </c>
      <c r="U1589" s="15" t="n">
        <v>1184.7</v>
      </c>
      <c r="W1589" s="15" t="n">
        <v>1184.7</v>
      </c>
      <c r="X1589" s="0" t="s">
        <v>1418</v>
      </c>
      <c r="Z1589" s="0" t="str">
        <f aca="false">IF($T1589="","",IFERROR(INDEX('Resumo Grupos'!$AC$3:$AC$200,MATCH($T1589,'Resumo Grupos'!$AB$3:$AB$200,0)),"n/d"))</f>
        <v>Mercadoria</v>
      </c>
      <c r="AA1589" s="0" t="str">
        <f aca="false">IF($T1589="","",IF(COUNTIF('Resumo Grupos'!$AE$3:$AE$40,$T1589)&gt;0,"NAO","SIM"))</f>
        <v>SIM</v>
      </c>
      <c r="AB1589" s="0" t="str">
        <f aca="false">IFERROR(INDEX('Mov Entradas (Rel 10497)'!$L:$L,MATCH(AC1589,'Mov Entradas (Rel 10497)'!$I:$I,0)),"nao encontrado")</f>
        <v>CERVEJA ITAIPAVA 269ML</v>
      </c>
      <c r="AC1589" s="0" t="n">
        <v>1915874</v>
      </c>
    </row>
    <row r="1590" customFormat="false" ht="12.75" hidden="false" customHeight="true" outlineLevel="0" collapsed="false">
      <c r="A1590" s="13" t="n">
        <v>2</v>
      </c>
      <c r="B1590" s="14" t="n">
        <v>46241</v>
      </c>
      <c r="C1590" s="14" t="n">
        <v>46258</v>
      </c>
      <c r="D1590" s="13" t="n">
        <v>1705</v>
      </c>
      <c r="E1590" s="0" t="s">
        <v>130</v>
      </c>
      <c r="F1590" s="13" t="n">
        <v>24</v>
      </c>
      <c r="G1590" s="0" t="s">
        <v>51</v>
      </c>
      <c r="H1590" s="13" t="n">
        <v>2110405</v>
      </c>
      <c r="I1590" s="0" t="s">
        <v>56</v>
      </c>
      <c r="J1590" s="13" t="n">
        <v>1514104</v>
      </c>
      <c r="L1590" s="13" t="n">
        <v>205951</v>
      </c>
      <c r="M1590" s="0" t="s">
        <v>52</v>
      </c>
      <c r="N1590" s="0" t="s">
        <v>45</v>
      </c>
      <c r="P1590" s="13" t="n">
        <v>113</v>
      </c>
      <c r="Q1590" s="0" t="s">
        <v>46</v>
      </c>
      <c r="R1590" s="0" t="s">
        <v>47</v>
      </c>
      <c r="S1590" s="13" t="n">
        <v>1130101</v>
      </c>
      <c r="T1590" s="0" t="s">
        <v>48</v>
      </c>
      <c r="U1590" s="15" t="n">
        <v>268.07</v>
      </c>
      <c r="W1590" s="15" t="n">
        <v>268.07</v>
      </c>
      <c r="X1590" s="0" t="s">
        <v>1419</v>
      </c>
      <c r="Z1590" s="0" t="str">
        <f aca="false">IF($T1590="","",IFERROR(INDEX('Resumo Grupos'!$AC$3:$AC$200,MATCH($T1590,'Resumo Grupos'!$AB$3:$AB$200,0)),"n/d"))</f>
        <v>Mercadoria</v>
      </c>
      <c r="AA1590" s="0" t="str">
        <f aca="false">IF($T1590="","",IF(COUNTIF('Resumo Grupos'!$AE$3:$AE$40,$T1590)&gt;0,"NAO","SIM"))</f>
        <v>SIM</v>
      </c>
      <c r="AB1590" s="0" t="str">
        <f aca="false">IFERROR(INDEX('Mov Entradas (Rel 10497)'!$L:$L,MATCH(AC1590,'Mov Entradas (Rel 10497)'!$I:$I,0)),"nao encontrado")</f>
        <v>VASILHAME CERVEJA 1L RETORNAVEL</v>
      </c>
      <c r="AC1590" s="0" t="n">
        <v>1236941</v>
      </c>
    </row>
    <row r="1591" customFormat="false" ht="12.75" hidden="false" customHeight="true" outlineLevel="0" collapsed="false">
      <c r="A1591" s="13" t="n">
        <v>2</v>
      </c>
      <c r="B1591" s="14" t="n">
        <v>46241</v>
      </c>
      <c r="C1591" s="14" t="n">
        <v>46258</v>
      </c>
      <c r="D1591" s="13" t="n">
        <v>1705</v>
      </c>
      <c r="E1591" s="0" t="s">
        <v>130</v>
      </c>
      <c r="F1591" s="13" t="n">
        <v>24</v>
      </c>
      <c r="G1591" s="0" t="s">
        <v>51</v>
      </c>
      <c r="H1591" s="13" t="n">
        <v>2110405</v>
      </c>
      <c r="I1591" s="0" t="s">
        <v>56</v>
      </c>
      <c r="J1591" s="13" t="n">
        <v>1514114</v>
      </c>
      <c r="L1591" s="13" t="n">
        <v>205954</v>
      </c>
      <c r="M1591" s="0" t="s">
        <v>52</v>
      </c>
      <c r="N1591" s="0" t="s">
        <v>45</v>
      </c>
      <c r="P1591" s="13" t="n">
        <v>113</v>
      </c>
      <c r="Q1591" s="0" t="s">
        <v>46</v>
      </c>
      <c r="R1591" s="0" t="s">
        <v>47</v>
      </c>
      <c r="S1591" s="13" t="n">
        <v>1130101</v>
      </c>
      <c r="T1591" s="0" t="s">
        <v>48</v>
      </c>
      <c r="U1591" s="15" t="n">
        <v>360.51</v>
      </c>
      <c r="W1591" s="15" t="n">
        <v>360.51</v>
      </c>
      <c r="X1591" s="0" t="s">
        <v>1420</v>
      </c>
      <c r="Z1591" s="0" t="str">
        <f aca="false">IF($T1591="","",IFERROR(INDEX('Resumo Grupos'!$AC$3:$AC$200,MATCH($T1591,'Resumo Grupos'!$AB$3:$AB$200,0)),"n/d"))</f>
        <v>Mercadoria</v>
      </c>
      <c r="AA1591" s="0" t="str">
        <f aca="false">IF($T1591="","",IF(COUNTIF('Resumo Grupos'!$AE$3:$AE$40,$T1591)&gt;0,"NAO","SIM"))</f>
        <v>SIM</v>
      </c>
      <c r="AB1591" s="0" t="str">
        <f aca="false">IFERROR(INDEX('Mov Entradas (Rel 10497)'!$L:$L,MATCH(AC1591,'Mov Entradas (Rel 10497)'!$I:$I,0)),"nao encontrado")</f>
        <v>VALLE FRUT LARANJA R</v>
      </c>
      <c r="AC1591" s="0" t="n">
        <v>1973404</v>
      </c>
    </row>
    <row r="1592" customFormat="false" ht="12.75" hidden="false" customHeight="true" outlineLevel="0" collapsed="false">
      <c r="A1592" s="13" t="n">
        <v>2</v>
      </c>
      <c r="B1592" s="14" t="n">
        <v>46248</v>
      </c>
      <c r="C1592" s="14" t="n">
        <v>46258</v>
      </c>
      <c r="D1592" s="13" t="n">
        <v>1621</v>
      </c>
      <c r="E1592" s="0" t="s">
        <v>232</v>
      </c>
      <c r="F1592" s="13" t="n">
        <v>24</v>
      </c>
      <c r="G1592" s="0" t="s">
        <v>51</v>
      </c>
      <c r="H1592" s="13" t="n">
        <v>2110405</v>
      </c>
      <c r="I1592" s="0" t="s">
        <v>56</v>
      </c>
      <c r="J1592" s="13" t="n">
        <v>1546198</v>
      </c>
      <c r="L1592" s="13" t="n">
        <v>211261</v>
      </c>
      <c r="M1592" s="0" t="s">
        <v>52</v>
      </c>
      <c r="N1592" s="0" t="s">
        <v>45</v>
      </c>
      <c r="P1592" s="13" t="n">
        <v>113</v>
      </c>
      <c r="Q1592" s="0" t="s">
        <v>46</v>
      </c>
      <c r="R1592" s="0" t="s">
        <v>47</v>
      </c>
      <c r="S1592" s="13" t="n">
        <v>1130101</v>
      </c>
      <c r="T1592" s="0" t="s">
        <v>48</v>
      </c>
      <c r="U1592" s="15" t="n">
        <v>3733.25</v>
      </c>
      <c r="W1592" s="15" t="n">
        <v>3733.25</v>
      </c>
      <c r="X1592" s="0" t="s">
        <v>1421</v>
      </c>
      <c r="Z1592" s="0" t="str">
        <f aca="false">IF($T1592="","",IFERROR(INDEX('Resumo Grupos'!$AC$3:$AC$200,MATCH($T1592,'Resumo Grupos'!$AB$3:$AB$200,0)),"n/d"))</f>
        <v>Mercadoria</v>
      </c>
      <c r="AA1592" s="0" t="str">
        <f aca="false">IF($T1592="","",IF(COUNTIF('Resumo Grupos'!$AE$3:$AE$40,$T1592)&gt;0,"NAO","SIM"))</f>
        <v>SIM</v>
      </c>
      <c r="AB1592" s="0" t="str">
        <f aca="false">IFERROR(INDEX('Mov Entradas (Rel 10497)'!$L:$L,MATCH(AC1592,'Mov Entradas (Rel 10497)'!$I:$I,0)),"nao encontrado")</f>
        <v>CERV BRAHMA ZERO 350ML</v>
      </c>
      <c r="AC1592" s="0" t="n">
        <v>957093</v>
      </c>
    </row>
    <row r="1593" customFormat="false" ht="12.75" hidden="false" customHeight="true" outlineLevel="0" collapsed="false">
      <c r="A1593" s="13" t="n">
        <v>2</v>
      </c>
      <c r="B1593" s="14" t="n">
        <v>46255</v>
      </c>
      <c r="C1593" s="14" t="n">
        <v>46258</v>
      </c>
      <c r="D1593" s="13" t="n">
        <v>1037</v>
      </c>
      <c r="E1593" s="0" t="s">
        <v>134</v>
      </c>
      <c r="F1593" s="13" t="n">
        <v>34</v>
      </c>
      <c r="G1593" s="0" t="s">
        <v>55</v>
      </c>
      <c r="H1593" s="13" t="n">
        <v>2110405</v>
      </c>
      <c r="I1593" s="0" t="s">
        <v>56</v>
      </c>
      <c r="J1593" s="13" t="n">
        <v>1581963</v>
      </c>
      <c r="L1593" s="13" t="n">
        <v>216478</v>
      </c>
      <c r="M1593" s="0" t="s">
        <v>52</v>
      </c>
      <c r="N1593" s="0" t="s">
        <v>45</v>
      </c>
      <c r="P1593" s="13" t="n">
        <v>113</v>
      </c>
      <c r="Q1593" s="0" t="s">
        <v>46</v>
      </c>
      <c r="R1593" s="0" t="s">
        <v>47</v>
      </c>
      <c r="S1593" s="13" t="n">
        <v>1130101</v>
      </c>
      <c r="T1593" s="0" t="s">
        <v>48</v>
      </c>
      <c r="U1593" s="15" t="n">
        <v>460</v>
      </c>
      <c r="W1593" s="15" t="n">
        <v>460</v>
      </c>
      <c r="X1593" s="0" t="s">
        <v>1422</v>
      </c>
      <c r="Z1593" s="0" t="str">
        <f aca="false">IF($T1593="","",IFERROR(INDEX('Resumo Grupos'!$AC$3:$AC$200,MATCH($T1593,'Resumo Grupos'!$AB$3:$AB$200,0)),"n/d"))</f>
        <v>Mercadoria</v>
      </c>
      <c r="AA1593" s="0" t="str">
        <f aca="false">IF($T1593="","",IF(COUNTIF('Resumo Grupos'!$AE$3:$AE$40,$T1593)&gt;0,"NAO","SIM"))</f>
        <v>SIM</v>
      </c>
      <c r="AB1593" s="0" t="str">
        <f aca="false">IFERROR(INDEX('Mov Entradas (Rel 10497)'!$L:$L,MATCH(AC1593,'Mov Entradas (Rel 10497)'!$I:$I,0)),"nao encontrado")</f>
        <v>BATATA PORTUGUESA KG</v>
      </c>
      <c r="AC1593" s="0" t="n">
        <v>2623</v>
      </c>
    </row>
    <row r="1594" customFormat="false" ht="12.75" hidden="false" customHeight="true" outlineLevel="0" collapsed="false">
      <c r="A1594" s="13" t="n">
        <v>2</v>
      </c>
      <c r="B1594" s="14" t="n">
        <v>46237</v>
      </c>
      <c r="C1594" s="14" t="n">
        <v>46258</v>
      </c>
      <c r="D1594" s="13" t="n">
        <v>1626</v>
      </c>
      <c r="E1594" s="0" t="s">
        <v>77</v>
      </c>
      <c r="F1594" s="13" t="n">
        <v>24</v>
      </c>
      <c r="G1594" s="0" t="s">
        <v>51</v>
      </c>
      <c r="H1594" s="13" t="n">
        <v>2110405</v>
      </c>
      <c r="I1594" s="0" t="s">
        <v>56</v>
      </c>
      <c r="J1594" s="13" t="n">
        <v>1495138</v>
      </c>
      <c r="L1594" s="13" t="n">
        <v>202740</v>
      </c>
      <c r="M1594" s="0" t="s">
        <v>52</v>
      </c>
      <c r="N1594" s="0" t="s">
        <v>45</v>
      </c>
      <c r="P1594" s="13" t="n">
        <v>113</v>
      </c>
      <c r="Q1594" s="0" t="s">
        <v>46</v>
      </c>
      <c r="R1594" s="0" t="s">
        <v>47</v>
      </c>
      <c r="S1594" s="13" t="n">
        <v>1130101</v>
      </c>
      <c r="T1594" s="0" t="s">
        <v>48</v>
      </c>
      <c r="U1594" s="15" t="n">
        <v>416.64</v>
      </c>
      <c r="W1594" s="15" t="n">
        <v>416.64</v>
      </c>
      <c r="X1594" s="0" t="s">
        <v>1245</v>
      </c>
      <c r="Z1594" s="0" t="str">
        <f aca="false">IF($T1594="","",IFERROR(INDEX('Resumo Grupos'!$AC$3:$AC$200,MATCH($T1594,'Resumo Grupos'!$AB$3:$AB$200,0)),"n/d"))</f>
        <v>Mercadoria</v>
      </c>
      <c r="AA1594" s="0" t="str">
        <f aca="false">IF($T1594="","",IF(COUNTIF('Resumo Grupos'!$AE$3:$AE$40,$T1594)&gt;0,"NAO","SIM"))</f>
        <v>SIM</v>
      </c>
      <c r="AB1594" s="0" t="str">
        <f aca="false">IFERROR(INDEX('Mov Entradas (Rel 10497)'!$L:$L,MATCH(AC1594,'Mov Entradas (Rel 10497)'!$I:$I,0)),"nao encontrado")</f>
        <v>TEKITOS TRAD 300G</v>
      </c>
      <c r="AC1594" s="0" t="n">
        <v>315892</v>
      </c>
    </row>
    <row r="1595" customFormat="false" ht="12.75" hidden="false" customHeight="true" outlineLevel="0" collapsed="false">
      <c r="A1595" s="13" t="n">
        <v>2</v>
      </c>
      <c r="B1595" s="14" t="n">
        <v>46258</v>
      </c>
      <c r="C1595" s="14" t="n">
        <v>46258</v>
      </c>
      <c r="D1595" s="13" t="n">
        <v>10096</v>
      </c>
      <c r="E1595" s="0" t="s">
        <v>622</v>
      </c>
      <c r="F1595" s="13" t="n">
        <v>13</v>
      </c>
      <c r="G1595" s="0" t="s">
        <v>135</v>
      </c>
      <c r="H1595" s="13" t="n">
        <v>2110405</v>
      </c>
      <c r="I1595" s="0" t="s">
        <v>56</v>
      </c>
      <c r="J1595" s="13" t="n">
        <v>1609759</v>
      </c>
      <c r="L1595" s="13" t="n">
        <v>220652</v>
      </c>
      <c r="M1595" s="0" t="s">
        <v>52</v>
      </c>
      <c r="N1595" s="0" t="s">
        <v>45</v>
      </c>
      <c r="P1595" s="13" t="n">
        <v>113</v>
      </c>
      <c r="Q1595" s="0" t="s">
        <v>46</v>
      </c>
      <c r="R1595" s="0" t="s">
        <v>47</v>
      </c>
      <c r="S1595" s="13" t="n">
        <v>1130101</v>
      </c>
      <c r="T1595" s="0" t="s">
        <v>48</v>
      </c>
      <c r="U1595" s="15" t="n">
        <v>140</v>
      </c>
      <c r="W1595" s="15" t="n">
        <v>0</v>
      </c>
      <c r="X1595" s="0" t="s">
        <v>1423</v>
      </c>
      <c r="Z1595" s="0" t="str">
        <f aca="false">IF($T1595="","",IFERROR(INDEX('Resumo Grupos'!$AC$3:$AC$200,MATCH($T1595,'Resumo Grupos'!$AB$3:$AB$200,0)),"n/d"))</f>
        <v>Mercadoria</v>
      </c>
      <c r="AA1595" s="0" t="str">
        <f aca="false">IF($T1595="","",IF(COUNTIF('Resumo Grupos'!$AE$3:$AE$40,$T1595)&gt;0,"NAO","SIM"))</f>
        <v>SIM</v>
      </c>
      <c r="AB1595" s="0" t="str">
        <f aca="false">IFERROR(INDEX('Mov Entradas (Rel 10497)'!$L:$L,MATCH(AC1595,'Mov Entradas (Rel 10497)'!$I:$I,0)),"nao encontrado")</f>
        <v>BOLO MIYAZAKI GRANDE</v>
      </c>
      <c r="AC1595" s="0" t="n">
        <v>201</v>
      </c>
    </row>
    <row r="1596" customFormat="false" ht="12.75" hidden="false" customHeight="true" outlineLevel="0" collapsed="false">
      <c r="A1596" s="13" t="n">
        <v>2</v>
      </c>
      <c r="B1596" s="14" t="n">
        <v>46258</v>
      </c>
      <c r="C1596" s="14" t="n">
        <v>46258</v>
      </c>
      <c r="D1596" s="13" t="n">
        <v>515</v>
      </c>
      <c r="E1596" s="0" t="s">
        <v>137</v>
      </c>
      <c r="F1596" s="13" t="n">
        <v>34</v>
      </c>
      <c r="G1596" s="0" t="s">
        <v>55</v>
      </c>
      <c r="H1596" s="13" t="n">
        <v>2110405</v>
      </c>
      <c r="I1596" s="0" t="s">
        <v>56</v>
      </c>
      <c r="J1596" s="13" t="n">
        <v>1600305</v>
      </c>
      <c r="L1596" s="13" t="n">
        <v>219135</v>
      </c>
      <c r="M1596" s="0" t="s">
        <v>52</v>
      </c>
      <c r="N1596" s="0" t="s">
        <v>45</v>
      </c>
      <c r="P1596" s="13" t="n">
        <v>102</v>
      </c>
      <c r="Q1596" s="0" t="s">
        <v>308</v>
      </c>
      <c r="R1596" s="0" t="s">
        <v>138</v>
      </c>
      <c r="S1596" s="13" t="n">
        <v>4210504</v>
      </c>
      <c r="T1596" s="0" t="s">
        <v>143</v>
      </c>
      <c r="U1596" s="15" t="n">
        <v>165</v>
      </c>
      <c r="W1596" s="15" t="n">
        <v>165</v>
      </c>
      <c r="X1596" s="0" t="s">
        <v>1424</v>
      </c>
      <c r="Z1596" s="0" t="str">
        <f aca="false">IF($T1596="","",IFERROR(INDEX('Resumo Grupos'!$AC$3:$AC$200,MATCH($T1596,'Resumo Grupos'!$AB$3:$AB$200,0)),"n/d"))</f>
        <v>Despesa</v>
      </c>
      <c r="AA1596" s="0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3" t="n">
        <v>2</v>
      </c>
      <c r="B1597" s="14" t="n">
        <v>46258</v>
      </c>
      <c r="C1597" s="14" t="n">
        <v>46258</v>
      </c>
      <c r="D1597" s="13" t="n">
        <v>515</v>
      </c>
      <c r="E1597" s="0" t="s">
        <v>137</v>
      </c>
      <c r="F1597" s="13" t="n">
        <v>34</v>
      </c>
      <c r="G1597" s="0" t="s">
        <v>55</v>
      </c>
      <c r="H1597" s="13" t="n">
        <v>2110405</v>
      </c>
      <c r="I1597" s="0" t="s">
        <v>56</v>
      </c>
      <c r="J1597" s="13" t="n">
        <v>1600308</v>
      </c>
      <c r="L1597" s="13" t="n">
        <v>219137</v>
      </c>
      <c r="M1597" s="0" t="s">
        <v>52</v>
      </c>
      <c r="N1597" s="0" t="s">
        <v>45</v>
      </c>
      <c r="P1597" s="13" t="n">
        <v>102</v>
      </c>
      <c r="Q1597" s="0" t="s">
        <v>308</v>
      </c>
      <c r="R1597" s="0" t="s">
        <v>138</v>
      </c>
      <c r="S1597" s="13" t="n">
        <v>4210504</v>
      </c>
      <c r="T1597" s="0" t="s">
        <v>143</v>
      </c>
      <c r="U1597" s="15" t="n">
        <v>5435.36</v>
      </c>
      <c r="W1597" s="15" t="n">
        <v>5435.36</v>
      </c>
      <c r="X1597" s="0" t="s">
        <v>1425</v>
      </c>
      <c r="Z1597" s="0" t="str">
        <f aca="false">IF($T1597="","",IFERROR(INDEX('Resumo Grupos'!$AC$3:$AC$200,MATCH($T1597,'Resumo Grupos'!$AB$3:$AB$200,0)),"n/d"))</f>
        <v>Despesa</v>
      </c>
      <c r="AA1597" s="0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3" t="n">
        <v>2</v>
      </c>
      <c r="B1598" s="14" t="n">
        <v>46255</v>
      </c>
      <c r="C1598" s="14" t="n">
        <v>46258</v>
      </c>
      <c r="D1598" s="13" t="n">
        <v>10035</v>
      </c>
      <c r="E1598" s="0" t="s">
        <v>86</v>
      </c>
      <c r="F1598" s="13" t="n">
        <v>34</v>
      </c>
      <c r="G1598" s="0" t="s">
        <v>55</v>
      </c>
      <c r="H1598" s="13" t="n">
        <v>2110405</v>
      </c>
      <c r="I1598" s="0" t="s">
        <v>56</v>
      </c>
      <c r="J1598" s="13" t="n">
        <v>1580966</v>
      </c>
      <c r="L1598" s="13" t="n">
        <v>216246</v>
      </c>
      <c r="M1598" s="0" t="s">
        <v>52</v>
      </c>
      <c r="N1598" s="0" t="s">
        <v>45</v>
      </c>
      <c r="P1598" s="13" t="n">
        <v>113</v>
      </c>
      <c r="Q1598" s="0" t="s">
        <v>46</v>
      </c>
      <c r="R1598" s="0" t="s">
        <v>47</v>
      </c>
      <c r="S1598" s="13" t="n">
        <v>1130101</v>
      </c>
      <c r="T1598" s="0" t="s">
        <v>48</v>
      </c>
      <c r="U1598" s="15" t="n">
        <v>183</v>
      </c>
      <c r="W1598" s="15" t="n">
        <v>183</v>
      </c>
      <c r="X1598" s="0" t="s">
        <v>1426</v>
      </c>
      <c r="Z1598" s="0" t="str">
        <f aca="false">IF($T1598="","",IFERROR(INDEX('Resumo Grupos'!$AC$3:$AC$200,MATCH($T1598,'Resumo Grupos'!$AB$3:$AB$200,0)),"n/d"))</f>
        <v>Mercadoria</v>
      </c>
      <c r="AA1598" s="0" t="str">
        <f aca="false">IF($T1598="","",IF(COUNTIF('Resumo Grupos'!$AE$3:$AE$40,$T1598)&gt;0,"NAO","SIM"))</f>
        <v>SIM</v>
      </c>
      <c r="AB1598" s="0" t="str">
        <f aca="false">IFERROR(INDEX('Mov Entradas (Rel 10497)'!$L:$L,MATCH(AC1598,'Mov Entradas (Rel 10497)'!$I:$I,0)),"nao encontrado")</f>
        <v>CARVAO VEGETAL 3KG</v>
      </c>
      <c r="AC1598" s="0" t="n">
        <v>398</v>
      </c>
    </row>
    <row r="1599" customFormat="false" ht="12.75" hidden="false" customHeight="true" outlineLevel="0" collapsed="false">
      <c r="A1599" s="13" t="n">
        <v>2</v>
      </c>
      <c r="B1599" s="14" t="n">
        <v>46255</v>
      </c>
      <c r="C1599" s="14" t="n">
        <v>46258</v>
      </c>
      <c r="D1599" s="13" t="n">
        <v>48</v>
      </c>
      <c r="E1599" s="0" t="s">
        <v>153</v>
      </c>
      <c r="F1599" s="13" t="n">
        <v>34</v>
      </c>
      <c r="G1599" s="0" t="s">
        <v>55</v>
      </c>
      <c r="H1599" s="13" t="n">
        <v>2110101</v>
      </c>
      <c r="I1599" s="0" t="s">
        <v>43</v>
      </c>
      <c r="J1599" s="13" t="n">
        <v>1581941</v>
      </c>
      <c r="L1599" s="13" t="n">
        <v>2623</v>
      </c>
      <c r="M1599" s="0" t="s">
        <v>52</v>
      </c>
      <c r="N1599" s="0" t="s">
        <v>37</v>
      </c>
      <c r="P1599" s="13" t="n">
        <v>113</v>
      </c>
      <c r="Q1599" s="0" t="s">
        <v>46</v>
      </c>
      <c r="R1599" s="0" t="s">
        <v>47</v>
      </c>
      <c r="S1599" s="13" t="n">
        <v>1130101</v>
      </c>
      <c r="T1599" s="0" t="s">
        <v>48</v>
      </c>
      <c r="U1599" s="15" t="n">
        <v>1863.5</v>
      </c>
      <c r="W1599" s="15" t="n">
        <v>1863.5</v>
      </c>
      <c r="X1599" s="0" t="s">
        <v>1427</v>
      </c>
      <c r="Z1599" s="0" t="str">
        <f aca="false">IF($T1599="","",IFERROR(INDEX('Resumo Grupos'!$AC$3:$AC$200,MATCH($T1599,'Resumo Grupos'!$AB$3:$AB$200,0)),"n/d"))</f>
        <v>Mercadoria</v>
      </c>
      <c r="AA1599" s="0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3" t="n">
        <v>2</v>
      </c>
      <c r="B1600" s="14" t="n">
        <v>46258</v>
      </c>
      <c r="C1600" s="14" t="n">
        <v>46258</v>
      </c>
      <c r="D1600" s="13" t="n">
        <v>48</v>
      </c>
      <c r="E1600" s="0" t="s">
        <v>153</v>
      </c>
      <c r="F1600" s="13" t="n">
        <v>13</v>
      </c>
      <c r="G1600" s="0" t="s">
        <v>135</v>
      </c>
      <c r="H1600" s="13" t="n">
        <v>2110101</v>
      </c>
      <c r="I1600" s="0" t="s">
        <v>43</v>
      </c>
      <c r="J1600" s="13" t="n">
        <v>1595265</v>
      </c>
      <c r="L1600" s="13" t="n">
        <v>2625</v>
      </c>
      <c r="M1600" s="0" t="s">
        <v>52</v>
      </c>
      <c r="N1600" s="0" t="s">
        <v>37</v>
      </c>
      <c r="P1600" s="13" t="n">
        <v>113</v>
      </c>
      <c r="Q1600" s="0" t="s">
        <v>46</v>
      </c>
      <c r="R1600" s="0" t="s">
        <v>47</v>
      </c>
      <c r="S1600" s="13" t="n">
        <v>1130101</v>
      </c>
      <c r="T1600" s="0" t="s">
        <v>48</v>
      </c>
      <c r="U1600" s="15" t="n">
        <v>225</v>
      </c>
      <c r="W1600" s="15" t="n">
        <v>225</v>
      </c>
      <c r="X1600" s="0" t="s">
        <v>1428</v>
      </c>
      <c r="Z1600" s="0" t="str">
        <f aca="false">IF($T1600="","",IFERROR(INDEX('Resumo Grupos'!$AC$3:$AC$200,MATCH($T1600,'Resumo Grupos'!$AB$3:$AB$200,0)),"n/d"))</f>
        <v>Mercadoria</v>
      </c>
      <c r="AA1600" s="0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3" t="n">
        <v>2</v>
      </c>
      <c r="B1601" s="14" t="n">
        <v>46252</v>
      </c>
      <c r="C1601" s="14" t="n">
        <v>46258</v>
      </c>
      <c r="D1601" s="13" t="n">
        <v>1328</v>
      </c>
      <c r="E1601" s="0" t="s">
        <v>95</v>
      </c>
      <c r="F1601" s="13" t="n">
        <v>24</v>
      </c>
      <c r="G1601" s="0" t="s">
        <v>51</v>
      </c>
      <c r="H1601" s="13" t="n">
        <v>2110405</v>
      </c>
      <c r="I1601" s="0" t="s">
        <v>56</v>
      </c>
      <c r="J1601" s="13" t="n">
        <v>1566671</v>
      </c>
      <c r="L1601" s="13" t="n">
        <v>213858</v>
      </c>
      <c r="M1601" s="0" t="s">
        <v>52</v>
      </c>
      <c r="N1601" s="0" t="s">
        <v>45</v>
      </c>
      <c r="P1601" s="13" t="n">
        <v>113</v>
      </c>
      <c r="Q1601" s="0" t="s">
        <v>46</v>
      </c>
      <c r="R1601" s="0" t="s">
        <v>47</v>
      </c>
      <c r="S1601" s="13" t="n">
        <v>1130101</v>
      </c>
      <c r="T1601" s="0" t="s">
        <v>48</v>
      </c>
      <c r="U1601" s="15" t="n">
        <v>301.95</v>
      </c>
      <c r="W1601" s="15" t="n">
        <v>301.95</v>
      </c>
      <c r="X1601" s="0" t="s">
        <v>1429</v>
      </c>
      <c r="Z1601" s="0" t="str">
        <f aca="false">IF($T1601="","",IFERROR(INDEX('Resumo Grupos'!$AC$3:$AC$200,MATCH($T1601,'Resumo Grupos'!$AB$3:$AB$200,0)),"n/d"))</f>
        <v>Mercadoria</v>
      </c>
      <c r="AA1601" s="0" t="str">
        <f aca="false">IF($T1601="","",IF(COUNTIF('Resumo Grupos'!$AE$3:$AE$40,$T1601)&gt;0,"NAO","SIM"))</f>
        <v>SIM</v>
      </c>
      <c r="AB1601" s="0" t="str">
        <f aca="false">IFERROR(INDEX('Mov Entradas (Rel 10497)'!$L:$L,MATCH(AC1601,'Mov Entradas (Rel 10497)'!$I:$I,0)),"nao encontrado")</f>
        <v>PAO DE KIKAO 10</v>
      </c>
      <c r="AC1601" s="0" t="n">
        <v>4402</v>
      </c>
    </row>
    <row r="1602" customFormat="false" ht="12.75" hidden="false" customHeight="true" outlineLevel="0" collapsed="false">
      <c r="A1602" s="13" t="n">
        <v>2</v>
      </c>
      <c r="B1602" s="14" t="n">
        <v>46258</v>
      </c>
      <c r="C1602" s="14" t="n">
        <v>46258</v>
      </c>
      <c r="D1602" s="13" t="n">
        <v>0</v>
      </c>
      <c r="E1602" s="0" t="s">
        <v>109</v>
      </c>
      <c r="F1602" s="13" t="n">
        <v>17</v>
      </c>
      <c r="G1602" s="0" t="s">
        <v>110</v>
      </c>
      <c r="H1602" s="13" t="n">
        <v>1110101</v>
      </c>
      <c r="I1602" s="0" t="s">
        <v>111</v>
      </c>
      <c r="J1602" s="13" t="n">
        <v>1603619</v>
      </c>
      <c r="L1602" s="13" t="n">
        <v>1603619</v>
      </c>
      <c r="M1602" s="0" t="s">
        <v>52</v>
      </c>
      <c r="N1602" s="0" t="s">
        <v>112</v>
      </c>
      <c r="P1602" s="13" t="n">
        <v>113</v>
      </c>
      <c r="Q1602" s="0" t="s">
        <v>46</v>
      </c>
      <c r="R1602" s="0" t="s">
        <v>259</v>
      </c>
      <c r="S1602" s="13" t="n">
        <v>2110101</v>
      </c>
      <c r="T1602" s="0" t="s">
        <v>43</v>
      </c>
      <c r="U1602" s="15" t="n">
        <v>225</v>
      </c>
      <c r="W1602" s="15" t="n">
        <v>225</v>
      </c>
      <c r="X1602" s="0" t="s">
        <v>1430</v>
      </c>
      <c r="Z1602" s="0" t="str">
        <f aca="false">IF($T1602="","",IFERROR(INDEX('Resumo Grupos'!$AC$3:$AC$200,MATCH($T1602,'Resumo Grupos'!$AB$3:$AB$200,0)),"n/d"))</f>
        <v>Despesa</v>
      </c>
      <c r="AA1602" s="0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3" t="n">
        <v>2</v>
      </c>
      <c r="B1603" s="14" t="n">
        <v>46258</v>
      </c>
      <c r="C1603" s="14" t="n">
        <v>46258</v>
      </c>
      <c r="D1603" s="13" t="n">
        <v>0</v>
      </c>
      <c r="E1603" s="0" t="s">
        <v>109</v>
      </c>
      <c r="F1603" s="13" t="n">
        <v>17</v>
      </c>
      <c r="G1603" s="0" t="s">
        <v>110</v>
      </c>
      <c r="H1603" s="13" t="n">
        <v>1110101</v>
      </c>
      <c r="I1603" s="0" t="s">
        <v>111</v>
      </c>
      <c r="J1603" s="13" t="n">
        <v>1603621</v>
      </c>
      <c r="L1603" s="13" t="n">
        <v>1603621</v>
      </c>
      <c r="M1603" s="0" t="s">
        <v>52</v>
      </c>
      <c r="N1603" s="0" t="s">
        <v>112</v>
      </c>
      <c r="P1603" s="13" t="n">
        <v>113</v>
      </c>
      <c r="Q1603" s="0" t="s">
        <v>46</v>
      </c>
      <c r="R1603" s="0" t="s">
        <v>71</v>
      </c>
      <c r="S1603" s="13" t="n">
        <v>4210314</v>
      </c>
      <c r="T1603" s="0" t="s">
        <v>113</v>
      </c>
      <c r="U1603" s="15" t="n">
        <v>70</v>
      </c>
      <c r="W1603" s="15" t="n">
        <v>70</v>
      </c>
      <c r="X1603" s="0" t="s">
        <v>1431</v>
      </c>
      <c r="Z1603" s="0" t="str">
        <f aca="false">IF($T1603="","",IFERROR(INDEX('Resumo Grupos'!$AC$3:$AC$200,MATCH($T1603,'Resumo Grupos'!$AB$3:$AB$200,0)),"n/d"))</f>
        <v>Despesa</v>
      </c>
      <c r="AA1603" s="0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3" t="n">
        <v>2</v>
      </c>
      <c r="B1604" s="14" t="n">
        <v>46258</v>
      </c>
      <c r="C1604" s="14" t="n">
        <v>46258</v>
      </c>
      <c r="D1604" s="13" t="n">
        <v>0</v>
      </c>
      <c r="E1604" s="0" t="s">
        <v>109</v>
      </c>
      <c r="F1604" s="13" t="n">
        <v>17</v>
      </c>
      <c r="G1604" s="0" t="s">
        <v>110</v>
      </c>
      <c r="H1604" s="13" t="n">
        <v>1110101</v>
      </c>
      <c r="I1604" s="0" t="s">
        <v>111</v>
      </c>
      <c r="J1604" s="13" t="n">
        <v>1716411</v>
      </c>
      <c r="L1604" s="13" t="n">
        <v>1716411</v>
      </c>
      <c r="M1604" s="0" t="s">
        <v>52</v>
      </c>
      <c r="N1604" s="0" t="s">
        <v>112</v>
      </c>
      <c r="P1604" s="13" t="n">
        <v>113</v>
      </c>
      <c r="Q1604" s="0" t="s">
        <v>46</v>
      </c>
      <c r="R1604" s="0" t="s">
        <v>116</v>
      </c>
      <c r="S1604" s="13" t="n">
        <v>1110203</v>
      </c>
      <c r="T1604" s="0" t="s">
        <v>117</v>
      </c>
      <c r="U1604" s="15" t="n">
        <v>2100</v>
      </c>
      <c r="W1604" s="15" t="n">
        <v>2100</v>
      </c>
      <c r="X1604" s="0" t="s">
        <v>1432</v>
      </c>
      <c r="Z1604" s="0" t="str">
        <f aca="false">IF($T1604="","",IFERROR(INDEX('Resumo Grupos'!$AC$3:$AC$200,MATCH($T1604,'Resumo Grupos'!$AB$3:$AB$200,0)),"n/d"))</f>
        <v>Despesa</v>
      </c>
      <c r="AA1604" s="0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3" t="n">
        <v>2</v>
      </c>
      <c r="B1605" s="14" t="n">
        <v>46256</v>
      </c>
      <c r="C1605" s="14" t="n">
        <v>46259</v>
      </c>
      <c r="D1605" s="13" t="n">
        <v>642</v>
      </c>
      <c r="E1605" s="0" t="s">
        <v>123</v>
      </c>
      <c r="F1605" s="13" t="n">
        <v>24</v>
      </c>
      <c r="G1605" s="0" t="s">
        <v>51</v>
      </c>
      <c r="H1605" s="13" t="n">
        <v>2110405</v>
      </c>
      <c r="I1605" s="0" t="s">
        <v>56</v>
      </c>
      <c r="J1605" s="13" t="n">
        <v>1585340</v>
      </c>
      <c r="L1605" s="13" t="n">
        <v>216896</v>
      </c>
      <c r="M1605" s="0" t="s">
        <v>52</v>
      </c>
      <c r="N1605" s="0" t="s">
        <v>45</v>
      </c>
      <c r="P1605" s="13" t="n">
        <v>113</v>
      </c>
      <c r="Q1605" s="0" t="s">
        <v>46</v>
      </c>
      <c r="R1605" s="0" t="s">
        <v>47</v>
      </c>
      <c r="S1605" s="13" t="n">
        <v>1130101</v>
      </c>
      <c r="T1605" s="0" t="s">
        <v>48</v>
      </c>
      <c r="U1605" s="15" t="n">
        <v>240</v>
      </c>
      <c r="W1605" s="15" t="n">
        <v>240</v>
      </c>
      <c r="X1605" s="0" t="s">
        <v>1433</v>
      </c>
      <c r="Z1605" s="0" t="str">
        <f aca="false">IF($T1605="","",IFERROR(INDEX('Resumo Grupos'!$AC$3:$AC$200,MATCH($T1605,'Resumo Grupos'!$AB$3:$AB$200,0)),"n/d"))</f>
        <v>Mercadoria</v>
      </c>
      <c r="AA1605" s="0" t="str">
        <f aca="false">IF($T1605="","",IF(COUNTIF('Resumo Grupos'!$AE$3:$AE$40,$T1605)&gt;0,"NAO","SIM"))</f>
        <v>SIM</v>
      </c>
      <c r="AB1605" s="0" t="str">
        <f aca="false">IFERROR(INDEX('Mov Entradas (Rel 10497)'!$L:$L,MATCH(AC1605,'Mov Entradas (Rel 10497)'!$I:$I,0)),"nao encontrado")</f>
        <v>BOLO BLOOM 600G</v>
      </c>
      <c r="AC1605" s="0" t="n">
        <v>613</v>
      </c>
    </row>
    <row r="1606" customFormat="false" ht="12.75" hidden="false" customHeight="true" outlineLevel="0" collapsed="false">
      <c r="A1606" s="13" t="n">
        <v>2</v>
      </c>
      <c r="B1606" s="14" t="n">
        <v>46252</v>
      </c>
      <c r="C1606" s="14" t="n">
        <v>46259</v>
      </c>
      <c r="D1606" s="13" t="n">
        <v>1642</v>
      </c>
      <c r="E1606" s="0" t="s">
        <v>228</v>
      </c>
      <c r="F1606" s="13" t="n">
        <v>24</v>
      </c>
      <c r="G1606" s="0" t="s">
        <v>51</v>
      </c>
      <c r="H1606" s="13" t="n">
        <v>2110405</v>
      </c>
      <c r="I1606" s="0" t="s">
        <v>56</v>
      </c>
      <c r="J1606" s="13" t="n">
        <v>1566648</v>
      </c>
      <c r="L1606" s="13" t="n">
        <v>213853</v>
      </c>
      <c r="M1606" s="0" t="s">
        <v>52</v>
      </c>
      <c r="N1606" s="0" t="s">
        <v>45</v>
      </c>
      <c r="P1606" s="13" t="n">
        <v>113</v>
      </c>
      <c r="Q1606" s="0" t="s">
        <v>46</v>
      </c>
      <c r="R1606" s="0" t="s">
        <v>47</v>
      </c>
      <c r="S1606" s="13" t="n">
        <v>1130101</v>
      </c>
      <c r="T1606" s="0" t="s">
        <v>48</v>
      </c>
      <c r="U1606" s="15" t="n">
        <v>512.38</v>
      </c>
      <c r="W1606" s="15" t="n">
        <v>512.38</v>
      </c>
      <c r="X1606" s="0" t="s">
        <v>1434</v>
      </c>
      <c r="Z1606" s="0" t="str">
        <f aca="false">IF($T1606="","",IFERROR(INDEX('Resumo Grupos'!$AC$3:$AC$200,MATCH($T1606,'Resumo Grupos'!$AB$3:$AB$200,0)),"n/d"))</f>
        <v>Mercadoria</v>
      </c>
      <c r="AA1606" s="0" t="str">
        <f aca="false">IF($T1606="","",IF(COUNTIF('Resumo Grupos'!$AE$3:$AE$40,$T1606)&gt;0,"NAO","SIM"))</f>
        <v>SIM</v>
      </c>
      <c r="AB1606" s="0" t="str">
        <f aca="false">IFERROR(INDEX('Mov Entradas (Rel 10497)'!$L:$L,MATCH(AC1606,'Mov Entradas (Rel 10497)'!$I:$I,0)),"nao encontrado")</f>
        <v>PAO TORRADO BROTHERS</v>
      </c>
      <c r="AC1606" s="0" t="n">
        <v>1037278</v>
      </c>
    </row>
    <row r="1607" customFormat="false" ht="12.75" hidden="false" customHeight="true" outlineLevel="0" collapsed="false">
      <c r="A1607" s="13" t="n">
        <v>2</v>
      </c>
      <c r="B1607" s="14" t="n">
        <v>46259</v>
      </c>
      <c r="C1607" s="14" t="n">
        <v>46259</v>
      </c>
      <c r="D1607" s="13" t="n">
        <v>1758</v>
      </c>
      <c r="E1607" s="0" t="s">
        <v>478</v>
      </c>
      <c r="F1607" s="13" t="n">
        <v>34</v>
      </c>
      <c r="G1607" s="0" t="s">
        <v>55</v>
      </c>
      <c r="H1607" s="13" t="n">
        <v>2110405</v>
      </c>
      <c r="I1607" s="0" t="s">
        <v>56</v>
      </c>
      <c r="J1607" s="13" t="n">
        <v>1600461</v>
      </c>
      <c r="L1607" s="13" t="n">
        <v>219154</v>
      </c>
      <c r="M1607" s="0" t="s">
        <v>52</v>
      </c>
      <c r="N1607" s="0" t="s">
        <v>45</v>
      </c>
      <c r="P1607" s="13" t="n">
        <v>101</v>
      </c>
      <c r="Q1607" s="0" t="s">
        <v>57</v>
      </c>
      <c r="R1607" s="0" t="s">
        <v>39</v>
      </c>
      <c r="S1607" s="13" t="n">
        <v>4210227</v>
      </c>
      <c r="T1607" s="0" t="s">
        <v>68</v>
      </c>
      <c r="U1607" s="15" t="n">
        <v>1800</v>
      </c>
      <c r="W1607" s="15" t="n">
        <v>1800</v>
      </c>
      <c r="X1607" s="0" t="s">
        <v>1435</v>
      </c>
      <c r="Z1607" s="0" t="str">
        <f aca="false">IF($T1607="","",IFERROR(INDEX('Resumo Grupos'!$AC$3:$AC$200,MATCH($T1607,'Resumo Grupos'!$AB$3:$AB$200,0)),"n/d"))</f>
        <v>Despesa</v>
      </c>
      <c r="AA1607" s="0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3" t="n">
        <v>2</v>
      </c>
      <c r="B1608" s="14" t="n">
        <v>46205</v>
      </c>
      <c r="C1608" s="14" t="n">
        <v>46259</v>
      </c>
      <c r="D1608" s="13" t="n">
        <v>1217</v>
      </c>
      <c r="E1608" s="0" t="s">
        <v>776</v>
      </c>
      <c r="F1608" s="13" t="n">
        <v>24</v>
      </c>
      <c r="G1608" s="0" t="s">
        <v>51</v>
      </c>
      <c r="H1608" s="13" t="n">
        <v>2110101</v>
      </c>
      <c r="I1608" s="0" t="s">
        <v>43</v>
      </c>
      <c r="J1608" s="13" t="n">
        <v>1339965</v>
      </c>
      <c r="L1608" s="13" t="n">
        <v>4467</v>
      </c>
      <c r="M1608" s="0" t="s">
        <v>102</v>
      </c>
      <c r="N1608" s="0" t="s">
        <v>37</v>
      </c>
      <c r="P1608" s="13" t="n">
        <v>113</v>
      </c>
      <c r="Q1608" s="0" t="s">
        <v>46</v>
      </c>
      <c r="R1608" s="0" t="s">
        <v>47</v>
      </c>
      <c r="S1608" s="13" t="n">
        <v>1130101</v>
      </c>
      <c r="T1608" s="0" t="s">
        <v>48</v>
      </c>
      <c r="U1608" s="15" t="n">
        <v>818.55</v>
      </c>
      <c r="W1608" s="15" t="n">
        <v>818.55</v>
      </c>
      <c r="X1608" s="0" t="s">
        <v>777</v>
      </c>
      <c r="Z1608" s="0" t="str">
        <f aca="false">IF($T1608="","",IFERROR(INDEX('Resumo Grupos'!$AC$3:$AC$200,MATCH($T1608,'Resumo Grupos'!$AB$3:$AB$200,0)),"n/d"))</f>
        <v>Mercadoria</v>
      </c>
      <c r="AA1608" s="0" t="str">
        <f aca="false">IF($T1608="","",IF(COUNTIF('Resumo Grupos'!$AE$3:$AE$40,$T1608)&gt;0,"NAO","SIM"))</f>
        <v>SIM</v>
      </c>
      <c r="AB1608" s="0" t="str">
        <f aca="false">IFERROR(INDEX('Mov Entradas (Rel 10497)'!$L:$L,MATCH(AC1608,'Mov Entradas (Rel 10497)'!$I:$I,0)),"nao encontrado")</f>
        <v>REGULADOR DE GAS ALI</v>
      </c>
      <c r="AC1608" s="0" t="n">
        <v>4467</v>
      </c>
    </row>
    <row r="1609" customFormat="false" ht="12.75" hidden="false" customHeight="true" outlineLevel="0" collapsed="false">
      <c r="A1609" s="13" t="n">
        <v>2</v>
      </c>
      <c r="B1609" s="14" t="n">
        <v>46259</v>
      </c>
      <c r="C1609" s="14" t="n">
        <v>46259</v>
      </c>
      <c r="D1609" s="13" t="n">
        <v>1037</v>
      </c>
      <c r="E1609" s="0" t="s">
        <v>134</v>
      </c>
      <c r="F1609" s="13" t="n">
        <v>34</v>
      </c>
      <c r="G1609" s="0" t="s">
        <v>55</v>
      </c>
      <c r="H1609" s="13" t="n">
        <v>2110405</v>
      </c>
      <c r="I1609" s="0" t="s">
        <v>56</v>
      </c>
      <c r="J1609" s="13" t="n">
        <v>1600602</v>
      </c>
      <c r="L1609" s="13" t="n">
        <v>219164</v>
      </c>
      <c r="M1609" s="0" t="s">
        <v>52</v>
      </c>
      <c r="N1609" s="0" t="s">
        <v>45</v>
      </c>
      <c r="P1609" s="13" t="n">
        <v>113</v>
      </c>
      <c r="Q1609" s="0" t="s">
        <v>46</v>
      </c>
      <c r="R1609" s="0" t="s">
        <v>47</v>
      </c>
      <c r="S1609" s="13" t="n">
        <v>1130101</v>
      </c>
      <c r="T1609" s="0" t="s">
        <v>48</v>
      </c>
      <c r="U1609" s="15" t="n">
        <v>290</v>
      </c>
      <c r="W1609" s="15" t="n">
        <v>290</v>
      </c>
      <c r="X1609" s="0" t="s">
        <v>1436</v>
      </c>
      <c r="Z1609" s="0" t="str">
        <f aca="false">IF($T1609="","",IFERROR(INDEX('Resumo Grupos'!$AC$3:$AC$200,MATCH($T1609,'Resumo Grupos'!$AB$3:$AB$200,0)),"n/d"))</f>
        <v>Mercadoria</v>
      </c>
      <c r="AA1609" s="0" t="str">
        <f aca="false">IF($T1609="","",IF(COUNTIF('Resumo Grupos'!$AE$3:$AE$40,$T1609)&gt;0,"NAO","SIM"))</f>
        <v>SIM</v>
      </c>
      <c r="AB1609" s="0" t="str">
        <f aca="false">IFERROR(INDEX('Mov Entradas (Rel 10497)'!$L:$L,MATCH(AC1609,'Mov Entradas (Rel 10497)'!$I:$I,0)),"nao encontrado")</f>
        <v>ABACATE KG</v>
      </c>
      <c r="AC1609" s="0" t="n">
        <v>2629</v>
      </c>
    </row>
    <row r="1610" customFormat="false" ht="12.75" hidden="false" customHeight="true" outlineLevel="0" collapsed="false">
      <c r="A1610" s="13" t="n">
        <v>2</v>
      </c>
      <c r="B1610" s="14" t="n">
        <v>46259</v>
      </c>
      <c r="C1610" s="14" t="n">
        <v>46259</v>
      </c>
      <c r="D1610" s="13" t="n">
        <v>515</v>
      </c>
      <c r="E1610" s="0" t="s">
        <v>137</v>
      </c>
      <c r="F1610" s="13" t="n">
        <v>34</v>
      </c>
      <c r="G1610" s="0" t="s">
        <v>55</v>
      </c>
      <c r="H1610" s="13" t="n">
        <v>2110405</v>
      </c>
      <c r="I1610" s="0" t="s">
        <v>56</v>
      </c>
      <c r="J1610" s="13" t="n">
        <v>1604224</v>
      </c>
      <c r="L1610" s="13" t="n">
        <v>219734</v>
      </c>
      <c r="M1610" s="0" t="s">
        <v>52</v>
      </c>
      <c r="N1610" s="0" t="s">
        <v>45</v>
      </c>
      <c r="P1610" s="13" t="n">
        <v>101</v>
      </c>
      <c r="Q1610" s="0" t="s">
        <v>57</v>
      </c>
      <c r="R1610" s="0" t="s">
        <v>138</v>
      </c>
      <c r="S1610" s="13" t="n">
        <v>4210504</v>
      </c>
      <c r="T1610" s="0" t="s">
        <v>143</v>
      </c>
      <c r="U1610" s="15" t="n">
        <v>1603.6</v>
      </c>
      <c r="W1610" s="15" t="n">
        <v>1603.6</v>
      </c>
      <c r="X1610" s="0" t="s">
        <v>1437</v>
      </c>
      <c r="Z1610" s="0" t="str">
        <f aca="false">IF($T1610="","",IFERROR(INDEX('Resumo Grupos'!$AC$3:$AC$200,MATCH($T1610,'Resumo Grupos'!$AB$3:$AB$200,0)),"n/d"))</f>
        <v>Despesa</v>
      </c>
      <c r="AA1610" s="0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3" t="n">
        <v>2</v>
      </c>
      <c r="B1611" s="14" t="n">
        <v>46255</v>
      </c>
      <c r="C1611" s="14" t="n">
        <v>46259</v>
      </c>
      <c r="D1611" s="13" t="n">
        <v>10035</v>
      </c>
      <c r="E1611" s="0" t="s">
        <v>86</v>
      </c>
      <c r="F1611" s="13" t="n">
        <v>34</v>
      </c>
      <c r="G1611" s="0" t="s">
        <v>55</v>
      </c>
      <c r="H1611" s="13" t="n">
        <v>2110405</v>
      </c>
      <c r="I1611" s="0" t="s">
        <v>56</v>
      </c>
      <c r="J1611" s="13" t="n">
        <v>1580974</v>
      </c>
      <c r="L1611" s="13" t="n">
        <v>216250</v>
      </c>
      <c r="M1611" s="0" t="s">
        <v>52</v>
      </c>
      <c r="N1611" s="0" t="s">
        <v>45</v>
      </c>
      <c r="P1611" s="13" t="n">
        <v>113</v>
      </c>
      <c r="Q1611" s="0" t="s">
        <v>46</v>
      </c>
      <c r="R1611" s="0" t="s">
        <v>47</v>
      </c>
      <c r="S1611" s="13" t="n">
        <v>1130101</v>
      </c>
      <c r="T1611" s="0" t="s">
        <v>48</v>
      </c>
      <c r="U1611" s="15" t="n">
        <v>183</v>
      </c>
      <c r="W1611" s="15" t="n">
        <v>183</v>
      </c>
      <c r="X1611" s="0" t="s">
        <v>1438</v>
      </c>
      <c r="Z1611" s="0" t="str">
        <f aca="false">IF($T1611="","",IFERROR(INDEX('Resumo Grupos'!$AC$3:$AC$200,MATCH($T1611,'Resumo Grupos'!$AB$3:$AB$200,0)),"n/d"))</f>
        <v>Mercadoria</v>
      </c>
      <c r="AA1611" s="0" t="str">
        <f aca="false">IF($T1611="","",IF(COUNTIF('Resumo Grupos'!$AE$3:$AE$40,$T1611)&gt;0,"NAO","SIM"))</f>
        <v>SIM</v>
      </c>
      <c r="AB1611" s="0" t="str">
        <f aca="false">IFERROR(INDEX('Mov Entradas (Rel 10497)'!$L:$L,MATCH(AC1611,'Mov Entradas (Rel 10497)'!$I:$I,0)),"nao encontrado")</f>
        <v>CARVAO VEGETAL 3KG</v>
      </c>
      <c r="AC1611" s="0" t="n">
        <v>408</v>
      </c>
    </row>
    <row r="1612" customFormat="false" ht="12.75" hidden="false" customHeight="true" outlineLevel="0" collapsed="false">
      <c r="A1612" s="13" t="n">
        <v>2</v>
      </c>
      <c r="B1612" s="14" t="n">
        <v>46259</v>
      </c>
      <c r="C1612" s="14" t="n">
        <v>46259</v>
      </c>
      <c r="D1612" s="13" t="n">
        <v>48</v>
      </c>
      <c r="E1612" s="0" t="s">
        <v>153</v>
      </c>
      <c r="F1612" s="13" t="n">
        <v>34</v>
      </c>
      <c r="G1612" s="0" t="s">
        <v>55</v>
      </c>
      <c r="H1612" s="13" t="n">
        <v>2110101</v>
      </c>
      <c r="I1612" s="0" t="s">
        <v>43</v>
      </c>
      <c r="J1612" s="13" t="n">
        <v>1599496</v>
      </c>
      <c r="L1612" s="13" t="n">
        <v>2628</v>
      </c>
      <c r="M1612" s="0" t="s">
        <v>52</v>
      </c>
      <c r="N1612" s="0" t="s">
        <v>37</v>
      </c>
      <c r="P1612" s="13" t="n">
        <v>113</v>
      </c>
      <c r="Q1612" s="0" t="s">
        <v>46</v>
      </c>
      <c r="R1612" s="0" t="s">
        <v>47</v>
      </c>
      <c r="S1612" s="13" t="n">
        <v>1130101</v>
      </c>
      <c r="T1612" s="0" t="s">
        <v>48</v>
      </c>
      <c r="U1612" s="15" t="n">
        <v>200</v>
      </c>
      <c r="W1612" s="15" t="n">
        <v>200</v>
      </c>
      <c r="X1612" s="0" t="s">
        <v>1439</v>
      </c>
      <c r="Z1612" s="0" t="str">
        <f aca="false">IF($T1612="","",IFERROR(INDEX('Resumo Grupos'!$AC$3:$AC$200,MATCH($T1612,'Resumo Grupos'!$AB$3:$AB$200,0)),"n/d"))</f>
        <v>Mercadoria</v>
      </c>
      <c r="AA1612" s="0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3" t="n">
        <v>2</v>
      </c>
      <c r="B1613" s="14" t="n">
        <v>46259</v>
      </c>
      <c r="C1613" s="14" t="n">
        <v>46259</v>
      </c>
      <c r="D1613" s="13" t="n">
        <v>48</v>
      </c>
      <c r="E1613" s="0" t="s">
        <v>153</v>
      </c>
      <c r="F1613" s="13" t="n">
        <v>34</v>
      </c>
      <c r="G1613" s="0" t="s">
        <v>55</v>
      </c>
      <c r="H1613" s="13" t="n">
        <v>2110101</v>
      </c>
      <c r="I1613" s="0" t="s">
        <v>43</v>
      </c>
      <c r="J1613" s="13" t="n">
        <v>1600582</v>
      </c>
      <c r="L1613" s="13" t="n">
        <v>2629</v>
      </c>
      <c r="M1613" s="0" t="s">
        <v>52</v>
      </c>
      <c r="N1613" s="0" t="s">
        <v>37</v>
      </c>
      <c r="P1613" s="13" t="n">
        <v>113</v>
      </c>
      <c r="Q1613" s="0" t="s">
        <v>46</v>
      </c>
      <c r="R1613" s="0" t="s">
        <v>47</v>
      </c>
      <c r="S1613" s="13" t="n">
        <v>1130101</v>
      </c>
      <c r="T1613" s="0" t="s">
        <v>48</v>
      </c>
      <c r="U1613" s="15" t="n">
        <v>1352</v>
      </c>
      <c r="W1613" s="15" t="n">
        <v>1352</v>
      </c>
      <c r="X1613" s="0" t="s">
        <v>1440</v>
      </c>
      <c r="Z1613" s="0" t="str">
        <f aca="false">IF($T1613="","",IFERROR(INDEX('Resumo Grupos'!$AC$3:$AC$200,MATCH($T1613,'Resumo Grupos'!$AB$3:$AB$200,0)),"n/d"))</f>
        <v>Mercadoria</v>
      </c>
      <c r="AA1613" s="0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3" t="n">
        <v>2</v>
      </c>
      <c r="B1614" s="14" t="n">
        <v>46243</v>
      </c>
      <c r="C1614" s="14" t="n">
        <v>46259</v>
      </c>
      <c r="D1614" s="13" t="n">
        <v>17</v>
      </c>
      <c r="E1614" s="0" t="s">
        <v>489</v>
      </c>
      <c r="F1614" s="13" t="n">
        <v>48</v>
      </c>
      <c r="G1614" s="0" t="s">
        <v>581</v>
      </c>
      <c r="H1614" s="13" t="n">
        <v>2110405</v>
      </c>
      <c r="I1614" s="0" t="s">
        <v>56</v>
      </c>
      <c r="J1614" s="13" t="n">
        <v>1551938</v>
      </c>
      <c r="L1614" s="13" t="n">
        <v>211786</v>
      </c>
      <c r="M1614" s="0" t="s">
        <v>52</v>
      </c>
      <c r="N1614" s="0" t="s">
        <v>45</v>
      </c>
      <c r="P1614" s="13" t="n">
        <v>101</v>
      </c>
      <c r="Q1614" s="0" t="s">
        <v>57</v>
      </c>
      <c r="R1614" s="0" t="s">
        <v>81</v>
      </c>
      <c r="S1614" s="13" t="n">
        <v>4220199</v>
      </c>
      <c r="T1614" s="0" t="s">
        <v>82</v>
      </c>
      <c r="U1614" s="15" t="n">
        <v>52.52</v>
      </c>
      <c r="W1614" s="15" t="n">
        <v>52.52</v>
      </c>
      <c r="X1614" s="0" t="s">
        <v>1441</v>
      </c>
      <c r="Z1614" s="0" t="str">
        <f aca="false">IF($T1614="","",IFERROR(INDEX('Resumo Grupos'!$AC$3:$AC$200,MATCH($T1614,'Resumo Grupos'!$AB$3:$AB$200,0)),"n/d"))</f>
        <v>Pagamentos outros não operacionais</v>
      </c>
      <c r="AA1614" s="0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3" t="n">
        <v>2</v>
      </c>
      <c r="B1615" s="14" t="n">
        <v>46249</v>
      </c>
      <c r="C1615" s="14" t="n">
        <v>46259</v>
      </c>
      <c r="D1615" s="13" t="n">
        <v>17</v>
      </c>
      <c r="E1615" s="0" t="s">
        <v>489</v>
      </c>
      <c r="F1615" s="13" t="n">
        <v>48</v>
      </c>
      <c r="G1615" s="0" t="s">
        <v>581</v>
      </c>
      <c r="H1615" s="13" t="n">
        <v>2110405</v>
      </c>
      <c r="I1615" s="0" t="s">
        <v>56</v>
      </c>
      <c r="J1615" s="13" t="n">
        <v>1551945</v>
      </c>
      <c r="L1615" s="13" t="n">
        <v>211789</v>
      </c>
      <c r="M1615" s="0" t="s">
        <v>52</v>
      </c>
      <c r="N1615" s="0" t="s">
        <v>45</v>
      </c>
      <c r="P1615" s="13" t="n">
        <v>101</v>
      </c>
      <c r="Q1615" s="0" t="s">
        <v>57</v>
      </c>
      <c r="R1615" s="0" t="s">
        <v>81</v>
      </c>
      <c r="S1615" s="13" t="n">
        <v>4220199</v>
      </c>
      <c r="T1615" s="0" t="s">
        <v>82</v>
      </c>
      <c r="U1615" s="15" t="n">
        <v>595.39</v>
      </c>
      <c r="W1615" s="15" t="n">
        <v>595.39</v>
      </c>
      <c r="X1615" s="0" t="s">
        <v>1442</v>
      </c>
      <c r="Z1615" s="0" t="str">
        <f aca="false">IF($T1615="","",IFERROR(INDEX('Resumo Grupos'!$AC$3:$AC$200,MATCH($T1615,'Resumo Grupos'!$AB$3:$AB$200,0)),"n/d"))</f>
        <v>Pagamentos outros não operacionais</v>
      </c>
      <c r="AA1615" s="0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3" t="n">
        <v>2</v>
      </c>
      <c r="B1616" s="14" t="n">
        <v>46029</v>
      </c>
      <c r="C1616" s="14" t="n">
        <v>46259</v>
      </c>
      <c r="D1616" s="13" t="n">
        <v>17</v>
      </c>
      <c r="E1616" s="0" t="s">
        <v>489</v>
      </c>
      <c r="F1616" s="13" t="n">
        <v>48</v>
      </c>
      <c r="G1616" s="0" t="s">
        <v>581</v>
      </c>
      <c r="H1616" s="13" t="n">
        <v>2110405</v>
      </c>
      <c r="I1616" s="0" t="s">
        <v>56</v>
      </c>
      <c r="J1616" s="13" t="n">
        <v>660305</v>
      </c>
      <c r="L1616" s="13" t="n">
        <v>86116</v>
      </c>
      <c r="M1616" s="0" t="s">
        <v>701</v>
      </c>
      <c r="N1616" s="0" t="s">
        <v>45</v>
      </c>
      <c r="P1616" s="13" t="n">
        <v>101</v>
      </c>
      <c r="Q1616" s="0" t="s">
        <v>57</v>
      </c>
      <c r="R1616" s="0" t="s">
        <v>81</v>
      </c>
      <c r="S1616" s="13" t="n">
        <v>4220199</v>
      </c>
      <c r="T1616" s="0" t="s">
        <v>82</v>
      </c>
      <c r="U1616" s="15" t="n">
        <v>84.03</v>
      </c>
      <c r="W1616" s="15" t="n">
        <v>84.03</v>
      </c>
      <c r="X1616" s="0" t="s">
        <v>583</v>
      </c>
      <c r="Z1616" s="0" t="str">
        <f aca="false">IF($T1616="","",IFERROR(INDEX('Resumo Grupos'!$AC$3:$AC$200,MATCH($T1616,'Resumo Grupos'!$AB$3:$AB$200,0)),"n/d"))</f>
        <v>Pagamentos outros não operacionais</v>
      </c>
      <c r="AA1616" s="0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3" t="n">
        <v>2</v>
      </c>
      <c r="B1617" s="14" t="n">
        <v>46013</v>
      </c>
      <c r="C1617" s="14" t="n">
        <v>46259</v>
      </c>
      <c r="D1617" s="13" t="n">
        <v>17</v>
      </c>
      <c r="E1617" s="0" t="s">
        <v>489</v>
      </c>
      <c r="F1617" s="13" t="n">
        <v>48</v>
      </c>
      <c r="G1617" s="0" t="s">
        <v>581</v>
      </c>
      <c r="H1617" s="13" t="n">
        <v>2110405</v>
      </c>
      <c r="I1617" s="0" t="s">
        <v>56</v>
      </c>
      <c r="J1617" s="13" t="n">
        <v>660421</v>
      </c>
      <c r="L1617" s="13" t="n">
        <v>86128</v>
      </c>
      <c r="M1617" s="0" t="s">
        <v>701</v>
      </c>
      <c r="N1617" s="0" t="s">
        <v>45</v>
      </c>
      <c r="P1617" s="13" t="n">
        <v>101</v>
      </c>
      <c r="Q1617" s="0" t="s">
        <v>57</v>
      </c>
      <c r="R1617" s="0" t="s">
        <v>81</v>
      </c>
      <c r="S1617" s="13" t="n">
        <v>4220199</v>
      </c>
      <c r="T1617" s="0" t="s">
        <v>82</v>
      </c>
      <c r="U1617" s="15" t="n">
        <v>362.14</v>
      </c>
      <c r="W1617" s="15" t="n">
        <v>362.14</v>
      </c>
      <c r="X1617" s="0" t="s">
        <v>584</v>
      </c>
      <c r="Z1617" s="0" t="str">
        <f aca="false">IF($T1617="","",IFERROR(INDEX('Resumo Grupos'!$AC$3:$AC$200,MATCH($T1617,'Resumo Grupos'!$AB$3:$AB$200,0)),"n/d"))</f>
        <v>Pagamentos outros não operacionais</v>
      </c>
      <c r="AA1617" s="0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3" t="n">
        <v>2</v>
      </c>
      <c r="B1618" s="14" t="n">
        <v>46259</v>
      </c>
      <c r="C1618" s="14" t="n">
        <v>46259</v>
      </c>
      <c r="D1618" s="13" t="n">
        <v>0</v>
      </c>
      <c r="E1618" s="0" t="s">
        <v>109</v>
      </c>
      <c r="F1618" s="13" t="n">
        <v>17</v>
      </c>
      <c r="G1618" s="0" t="s">
        <v>110</v>
      </c>
      <c r="H1618" s="13" t="n">
        <v>1110101</v>
      </c>
      <c r="I1618" s="0" t="s">
        <v>111</v>
      </c>
      <c r="J1618" s="13" t="n">
        <v>1603649</v>
      </c>
      <c r="L1618" s="13" t="n">
        <v>1603649</v>
      </c>
      <c r="M1618" s="0" t="s">
        <v>52</v>
      </c>
      <c r="N1618" s="0" t="s">
        <v>112</v>
      </c>
      <c r="P1618" s="13" t="n">
        <v>113</v>
      </c>
      <c r="Q1618" s="0" t="s">
        <v>46</v>
      </c>
      <c r="R1618" s="0" t="s">
        <v>71</v>
      </c>
      <c r="S1618" s="13" t="n">
        <v>4210314</v>
      </c>
      <c r="T1618" s="0" t="s">
        <v>113</v>
      </c>
      <c r="U1618" s="15" t="n">
        <v>70</v>
      </c>
      <c r="W1618" s="15" t="n">
        <v>70</v>
      </c>
      <c r="X1618" s="0" t="s">
        <v>114</v>
      </c>
      <c r="Z1618" s="0" t="str">
        <f aca="false">IF($T1618="","",IFERROR(INDEX('Resumo Grupos'!$AC$3:$AC$200,MATCH($T1618,'Resumo Grupos'!$AB$3:$AB$200,0)),"n/d"))</f>
        <v>Despesa</v>
      </c>
      <c r="AA1618" s="0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3" t="n">
        <v>2</v>
      </c>
      <c r="B1619" s="14" t="n">
        <v>46259</v>
      </c>
      <c r="C1619" s="14" t="n">
        <v>46259</v>
      </c>
      <c r="D1619" s="13" t="n">
        <v>0</v>
      </c>
      <c r="E1619" s="0" t="s">
        <v>109</v>
      </c>
      <c r="F1619" s="13" t="n">
        <v>17</v>
      </c>
      <c r="G1619" s="0" t="s">
        <v>110</v>
      </c>
      <c r="H1619" s="13" t="n">
        <v>1110101</v>
      </c>
      <c r="I1619" s="0" t="s">
        <v>111</v>
      </c>
      <c r="J1619" s="13" t="n">
        <v>1603651</v>
      </c>
      <c r="L1619" s="13" t="n">
        <v>1603651</v>
      </c>
      <c r="M1619" s="0" t="s">
        <v>52</v>
      </c>
      <c r="N1619" s="0" t="s">
        <v>112</v>
      </c>
      <c r="P1619" s="13" t="n">
        <v>113</v>
      </c>
      <c r="Q1619" s="0" t="s">
        <v>46</v>
      </c>
      <c r="R1619" s="0" t="s">
        <v>71</v>
      </c>
      <c r="S1619" s="13" t="n">
        <v>4210314</v>
      </c>
      <c r="T1619" s="0" t="s">
        <v>113</v>
      </c>
      <c r="U1619" s="15" t="n">
        <v>70</v>
      </c>
      <c r="W1619" s="15" t="n">
        <v>70</v>
      </c>
      <c r="X1619" s="0" t="s">
        <v>187</v>
      </c>
      <c r="Z1619" s="0" t="str">
        <f aca="false">IF($T1619="","",IFERROR(INDEX('Resumo Grupos'!$AC$3:$AC$200,MATCH($T1619,'Resumo Grupos'!$AB$3:$AB$200,0)),"n/d"))</f>
        <v>Despesa</v>
      </c>
      <c r="AA1619" s="0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3" t="n">
        <v>2</v>
      </c>
      <c r="B1620" s="14" t="n">
        <v>46259</v>
      </c>
      <c r="C1620" s="14" t="n">
        <v>46259</v>
      </c>
      <c r="D1620" s="13" t="n">
        <v>0</v>
      </c>
      <c r="E1620" s="0" t="s">
        <v>109</v>
      </c>
      <c r="F1620" s="13" t="n">
        <v>17</v>
      </c>
      <c r="G1620" s="0" t="s">
        <v>110</v>
      </c>
      <c r="H1620" s="13" t="n">
        <v>1110101</v>
      </c>
      <c r="I1620" s="0" t="s">
        <v>111</v>
      </c>
      <c r="J1620" s="13" t="n">
        <v>1716413</v>
      </c>
      <c r="L1620" s="13" t="n">
        <v>1716413</v>
      </c>
      <c r="M1620" s="0" t="s">
        <v>52</v>
      </c>
      <c r="N1620" s="0" t="s">
        <v>112</v>
      </c>
      <c r="P1620" s="13" t="n">
        <v>113</v>
      </c>
      <c r="Q1620" s="0" t="s">
        <v>46</v>
      </c>
      <c r="R1620" s="0" t="s">
        <v>116</v>
      </c>
      <c r="S1620" s="13" t="n">
        <v>1110203</v>
      </c>
      <c r="T1620" s="0" t="s">
        <v>117</v>
      </c>
      <c r="U1620" s="15" t="n">
        <v>3400</v>
      </c>
      <c r="W1620" s="15" t="n">
        <v>3400</v>
      </c>
      <c r="X1620" s="0" t="s">
        <v>1443</v>
      </c>
      <c r="Z1620" s="0" t="str">
        <f aca="false">IF($T1620="","",IFERROR(INDEX('Resumo Grupos'!$AC$3:$AC$200,MATCH($T1620,'Resumo Grupos'!$AB$3:$AB$200,0)),"n/d"))</f>
        <v>Despesa</v>
      </c>
      <c r="AA1620" s="0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3" t="n">
        <v>2</v>
      </c>
      <c r="B1621" s="14" t="n">
        <v>46244</v>
      </c>
      <c r="C1621" s="14" t="n">
        <v>46260</v>
      </c>
      <c r="D1621" s="13" t="n">
        <v>1659</v>
      </c>
      <c r="E1621" s="0" t="s">
        <v>214</v>
      </c>
      <c r="F1621" s="13" t="n">
        <v>24</v>
      </c>
      <c r="G1621" s="0" t="s">
        <v>51</v>
      </c>
      <c r="H1621" s="13" t="n">
        <v>2110405</v>
      </c>
      <c r="I1621" s="0" t="s">
        <v>56</v>
      </c>
      <c r="J1621" s="13" t="n">
        <v>1529145</v>
      </c>
      <c r="L1621" s="13" t="n">
        <v>207965</v>
      </c>
      <c r="M1621" s="0" t="s">
        <v>52</v>
      </c>
      <c r="N1621" s="0" t="s">
        <v>45</v>
      </c>
      <c r="P1621" s="13" t="n">
        <v>113</v>
      </c>
      <c r="Q1621" s="0" t="s">
        <v>46</v>
      </c>
      <c r="R1621" s="0" t="s">
        <v>47</v>
      </c>
      <c r="S1621" s="13" t="n">
        <v>1130101</v>
      </c>
      <c r="T1621" s="0" t="s">
        <v>48</v>
      </c>
      <c r="U1621" s="15" t="n">
        <v>349</v>
      </c>
      <c r="W1621" s="15" t="n">
        <v>349</v>
      </c>
      <c r="X1621" s="0" t="s">
        <v>1363</v>
      </c>
      <c r="Z1621" s="0" t="str">
        <f aca="false">IF($T1621="","",IFERROR(INDEX('Resumo Grupos'!$AC$3:$AC$200,MATCH($T1621,'Resumo Grupos'!$AB$3:$AB$200,0)),"n/d"))</f>
        <v>Mercadoria</v>
      </c>
      <c r="AA1621" s="0" t="str">
        <f aca="false">IF($T1621="","",IF(COUNTIF('Resumo Grupos'!$AE$3:$AE$40,$T1621)&gt;0,"NAO","SIM"))</f>
        <v>SIM</v>
      </c>
      <c r="AB1621" s="0" t="str">
        <f aca="false">IFERROR(INDEX('Mov Entradas (Rel 10497)'!$L:$L,MATCH(AC1621,'Mov Entradas (Rel 10497)'!$I:$I,0)),"nao encontrado")</f>
        <v>MACARRAO ESPAGUETE ARAGUAIA 400G</v>
      </c>
      <c r="AC1621" s="0" t="n">
        <v>889827</v>
      </c>
    </row>
    <row r="1622" customFormat="false" ht="12.75" hidden="false" customHeight="true" outlineLevel="0" collapsed="false">
      <c r="A1622" s="13" t="n">
        <v>2</v>
      </c>
      <c r="B1622" s="14" t="n">
        <v>46247</v>
      </c>
      <c r="C1622" s="14" t="n">
        <v>46260</v>
      </c>
      <c r="D1622" s="13" t="n">
        <v>1635</v>
      </c>
      <c r="E1622" s="0" t="s">
        <v>128</v>
      </c>
      <c r="F1622" s="13" t="n">
        <v>24</v>
      </c>
      <c r="G1622" s="0" t="s">
        <v>51</v>
      </c>
      <c r="H1622" s="13" t="n">
        <v>2110405</v>
      </c>
      <c r="I1622" s="0" t="s">
        <v>56</v>
      </c>
      <c r="J1622" s="13" t="n">
        <v>1541010</v>
      </c>
      <c r="L1622" s="13" t="n">
        <v>210258</v>
      </c>
      <c r="M1622" s="0" t="s">
        <v>52</v>
      </c>
      <c r="N1622" s="0" t="s">
        <v>45</v>
      </c>
      <c r="P1622" s="13" t="n">
        <v>113</v>
      </c>
      <c r="Q1622" s="0" t="s">
        <v>46</v>
      </c>
      <c r="R1622" s="0" t="s">
        <v>47</v>
      </c>
      <c r="S1622" s="13" t="n">
        <v>1130101</v>
      </c>
      <c r="T1622" s="0" t="s">
        <v>48</v>
      </c>
      <c r="U1622" s="15" t="n">
        <v>600</v>
      </c>
      <c r="W1622" s="15" t="n">
        <v>600</v>
      </c>
      <c r="X1622" s="0" t="s">
        <v>1444</v>
      </c>
      <c r="Z1622" s="0" t="str">
        <f aca="false">IF($T1622="","",IFERROR(INDEX('Resumo Grupos'!$AC$3:$AC$200,MATCH($T1622,'Resumo Grupos'!$AB$3:$AB$200,0)),"n/d"))</f>
        <v>Mercadoria</v>
      </c>
      <c r="AA1622" s="0" t="str">
        <f aca="false">IF($T1622="","",IF(COUNTIF('Resumo Grupos'!$AE$3:$AE$40,$T1622)&gt;0,"NAO","SIM"))</f>
        <v>SIM</v>
      </c>
      <c r="AB1622" s="0" t="str">
        <f aca="false">IFERROR(INDEX('Mov Entradas (Rel 10497)'!$L:$L,MATCH(AC1622,'Mov Entradas (Rel 10497)'!$I:$I,0)),"nao encontrado")</f>
        <v>FIGADO BOVINO KG</v>
      </c>
      <c r="AC1622" s="0" t="n">
        <v>3231</v>
      </c>
    </row>
    <row r="1623" customFormat="false" ht="12.75" hidden="false" customHeight="true" outlineLevel="0" collapsed="false">
      <c r="A1623" s="13" t="n">
        <v>2</v>
      </c>
      <c r="B1623" s="14" t="n">
        <v>46241</v>
      </c>
      <c r="C1623" s="14" t="n">
        <v>46260</v>
      </c>
      <c r="D1623" s="13" t="n">
        <v>1613</v>
      </c>
      <c r="E1623" s="0" t="s">
        <v>50</v>
      </c>
      <c r="F1623" s="13" t="n">
        <v>24</v>
      </c>
      <c r="G1623" s="0" t="s">
        <v>51</v>
      </c>
      <c r="H1623" s="13" t="n">
        <v>2110405</v>
      </c>
      <c r="I1623" s="0" t="s">
        <v>56</v>
      </c>
      <c r="J1623" s="13" t="n">
        <v>1513496</v>
      </c>
      <c r="L1623" s="13" t="n">
        <v>205790</v>
      </c>
      <c r="M1623" s="0" t="s">
        <v>52</v>
      </c>
      <c r="N1623" s="0" t="s">
        <v>45</v>
      </c>
      <c r="P1623" s="13" t="n">
        <v>113</v>
      </c>
      <c r="Q1623" s="0" t="s">
        <v>46</v>
      </c>
      <c r="R1623" s="0" t="s">
        <v>47</v>
      </c>
      <c r="S1623" s="13" t="n">
        <v>1130101</v>
      </c>
      <c r="T1623" s="0" t="s">
        <v>48</v>
      </c>
      <c r="U1623" s="15" t="n">
        <v>1275.53</v>
      </c>
      <c r="W1623" s="15" t="n">
        <v>1275.53</v>
      </c>
      <c r="X1623" s="0" t="s">
        <v>1366</v>
      </c>
      <c r="Z1623" s="0" t="str">
        <f aca="false">IF($T1623="","",IFERROR(INDEX('Resumo Grupos'!$AC$3:$AC$200,MATCH($T1623,'Resumo Grupos'!$AB$3:$AB$200,0)),"n/d"))</f>
        <v>Mercadoria</v>
      </c>
      <c r="AA1623" s="0" t="str">
        <f aca="false">IF($T1623="","",IF(COUNTIF('Resumo Grupos'!$AE$3:$AE$40,$T1623)&gt;0,"NAO","SIM"))</f>
        <v>SIM</v>
      </c>
      <c r="AB1623" s="0" t="str">
        <f aca="false">IFERROR(INDEX('Mov Entradas (Rel 10497)'!$L:$L,MATCH(AC1623,'Mov Entradas (Rel 10497)'!$I:$I,0)),"nao encontrado")</f>
        <v>CARRE SUINO KG</v>
      </c>
      <c r="AC1623" s="0" t="n">
        <v>1616567</v>
      </c>
    </row>
    <row r="1624" customFormat="false" ht="12.75" hidden="false" customHeight="true" outlineLevel="0" collapsed="false">
      <c r="A1624" s="13" t="n">
        <v>2</v>
      </c>
      <c r="B1624" s="14" t="n">
        <v>46248</v>
      </c>
      <c r="C1624" s="14" t="n">
        <v>46260</v>
      </c>
      <c r="D1624" s="13" t="n">
        <v>1613</v>
      </c>
      <c r="E1624" s="0" t="s">
        <v>50</v>
      </c>
      <c r="F1624" s="13" t="n">
        <v>24</v>
      </c>
      <c r="G1624" s="0" t="s">
        <v>51</v>
      </c>
      <c r="H1624" s="13" t="n">
        <v>2110405</v>
      </c>
      <c r="I1624" s="0" t="s">
        <v>56</v>
      </c>
      <c r="J1624" s="13" t="n">
        <v>1547477</v>
      </c>
      <c r="L1624" s="13" t="n">
        <v>211362</v>
      </c>
      <c r="M1624" s="0" t="s">
        <v>52</v>
      </c>
      <c r="N1624" s="0" t="s">
        <v>45</v>
      </c>
      <c r="P1624" s="13" t="n">
        <v>113</v>
      </c>
      <c r="Q1624" s="0" t="s">
        <v>46</v>
      </c>
      <c r="R1624" s="0" t="s">
        <v>47</v>
      </c>
      <c r="S1624" s="13" t="n">
        <v>1130101</v>
      </c>
      <c r="T1624" s="0" t="s">
        <v>48</v>
      </c>
      <c r="U1624" s="15" t="n">
        <v>1164.76</v>
      </c>
      <c r="W1624" s="15" t="n">
        <v>1164.76</v>
      </c>
      <c r="X1624" s="0" t="s">
        <v>1445</v>
      </c>
      <c r="Z1624" s="0" t="str">
        <f aca="false">IF($T1624="","",IFERROR(INDEX('Resumo Grupos'!$AC$3:$AC$200,MATCH($T1624,'Resumo Grupos'!$AB$3:$AB$200,0)),"n/d"))</f>
        <v>Mercadoria</v>
      </c>
      <c r="AA1624" s="0" t="str">
        <f aca="false">IF($T1624="","",IF(COUNTIF('Resumo Grupos'!$AE$3:$AE$40,$T1624)&gt;0,"NAO","SIM"))</f>
        <v>SIM</v>
      </c>
      <c r="AB1624" s="0" t="str">
        <f aca="false">IFERROR(INDEX('Mov Entradas (Rel 10497)'!$L:$L,MATCH(AC1624,'Mov Entradas (Rel 10497)'!$I:$I,0)),"nao encontrado")</f>
        <v>FILE PEITOA GRANEL</v>
      </c>
      <c r="AC1624" s="0" t="n">
        <v>1619132</v>
      </c>
    </row>
    <row r="1625" customFormat="false" ht="12.75" hidden="false" customHeight="true" outlineLevel="0" collapsed="false">
      <c r="A1625" s="13" t="n">
        <v>2</v>
      </c>
      <c r="B1625" s="14" t="n">
        <v>46246</v>
      </c>
      <c r="C1625" s="14" t="n">
        <v>46260</v>
      </c>
      <c r="D1625" s="13" t="n">
        <v>1608</v>
      </c>
      <c r="E1625" s="0" t="s">
        <v>240</v>
      </c>
      <c r="F1625" s="13" t="n">
        <v>24</v>
      </c>
      <c r="G1625" s="0" t="s">
        <v>51</v>
      </c>
      <c r="H1625" s="13" t="n">
        <v>2110405</v>
      </c>
      <c r="I1625" s="0" t="s">
        <v>56</v>
      </c>
      <c r="J1625" s="13" t="n">
        <v>1534791</v>
      </c>
      <c r="L1625" s="13" t="n">
        <v>209426</v>
      </c>
      <c r="M1625" s="0" t="s">
        <v>52</v>
      </c>
      <c r="N1625" s="0" t="s">
        <v>45</v>
      </c>
      <c r="P1625" s="13" t="n">
        <v>113</v>
      </c>
      <c r="Q1625" s="0" t="s">
        <v>46</v>
      </c>
      <c r="R1625" s="0" t="s">
        <v>47</v>
      </c>
      <c r="S1625" s="13" t="n">
        <v>1130101</v>
      </c>
      <c r="T1625" s="0" t="s">
        <v>48</v>
      </c>
      <c r="U1625" s="15" t="n">
        <v>1279.58</v>
      </c>
      <c r="W1625" s="15" t="n">
        <v>1279.58</v>
      </c>
      <c r="X1625" s="0" t="s">
        <v>1446</v>
      </c>
      <c r="Z1625" s="0" t="str">
        <f aca="false">IF($T1625="","",IFERROR(INDEX('Resumo Grupos'!$AC$3:$AC$200,MATCH($T1625,'Resumo Grupos'!$AB$3:$AB$200,0)),"n/d"))</f>
        <v>Mercadoria</v>
      </c>
      <c r="AA1625" s="0" t="str">
        <f aca="false">IF($T1625="","",IF(COUNTIF('Resumo Grupos'!$AE$3:$AE$40,$T1625)&gt;0,"NAO","SIM"))</f>
        <v>SIM</v>
      </c>
      <c r="AB1625" s="0" t="str">
        <f aca="false">IFERROR(INDEX('Mov Entradas (Rel 10497)'!$L:$L,MATCH(AC1625,'Mov Entradas (Rel 10497)'!$I:$I,0)),"nao encontrado")</f>
        <v>TODDYNHO CHOCOLATE</v>
      </c>
      <c r="AC1625" s="0" t="n">
        <v>1709601</v>
      </c>
    </row>
    <row r="1626" customFormat="false" ht="12.75" hidden="false" customHeight="true" outlineLevel="0" collapsed="false">
      <c r="A1626" s="13" t="n">
        <v>2</v>
      </c>
      <c r="B1626" s="14" t="n">
        <v>46246</v>
      </c>
      <c r="C1626" s="14" t="n">
        <v>46260</v>
      </c>
      <c r="D1626" s="13" t="n">
        <v>1634</v>
      </c>
      <c r="E1626" s="0" t="s">
        <v>285</v>
      </c>
      <c r="F1626" s="13" t="n">
        <v>24</v>
      </c>
      <c r="G1626" s="0" t="s">
        <v>51</v>
      </c>
      <c r="H1626" s="13" t="n">
        <v>2110405</v>
      </c>
      <c r="I1626" s="0" t="s">
        <v>56</v>
      </c>
      <c r="J1626" s="13" t="n">
        <v>1535480</v>
      </c>
      <c r="L1626" s="13" t="n">
        <v>209568</v>
      </c>
      <c r="M1626" s="0" t="s">
        <v>52</v>
      </c>
      <c r="N1626" s="0" t="s">
        <v>45</v>
      </c>
      <c r="P1626" s="13" t="n">
        <v>113</v>
      </c>
      <c r="Q1626" s="0" t="s">
        <v>46</v>
      </c>
      <c r="R1626" s="0" t="s">
        <v>47</v>
      </c>
      <c r="S1626" s="13" t="n">
        <v>1130101</v>
      </c>
      <c r="T1626" s="0" t="s">
        <v>48</v>
      </c>
      <c r="U1626" s="15" t="n">
        <v>700.7</v>
      </c>
      <c r="W1626" s="15" t="n">
        <v>700.7</v>
      </c>
      <c r="X1626" s="0" t="s">
        <v>1447</v>
      </c>
      <c r="Z1626" s="0" t="str">
        <f aca="false">IF($T1626="","",IFERROR(INDEX('Resumo Grupos'!$AC$3:$AC$200,MATCH($T1626,'Resumo Grupos'!$AB$3:$AB$200,0)),"n/d"))</f>
        <v>Mercadoria</v>
      </c>
      <c r="AA1626" s="0" t="str">
        <f aca="false">IF($T1626="","",IF(COUNTIF('Resumo Grupos'!$AE$3:$AE$40,$T1626)&gt;0,"NAO","SIM"))</f>
        <v>SIM</v>
      </c>
      <c r="AB1626" s="0" t="str">
        <f aca="false">IFERROR(INDEX('Mov Entradas (Rel 10497)'!$L:$L,MATCH(AC1626,'Mov Entradas (Rel 10497)'!$I:$I,0)),"nao encontrado")</f>
        <v>FOSFORO PARANA 10CXS</v>
      </c>
      <c r="AC1626" s="0" t="n">
        <v>330057</v>
      </c>
    </row>
    <row r="1627" customFormat="false" ht="12.75" hidden="false" customHeight="true" outlineLevel="0" collapsed="false">
      <c r="A1627" s="13" t="n">
        <v>2</v>
      </c>
      <c r="B1627" s="14" t="n">
        <v>46023</v>
      </c>
      <c r="C1627" s="14" t="n">
        <v>46260</v>
      </c>
      <c r="D1627" s="13" t="n">
        <v>515</v>
      </c>
      <c r="E1627" s="0" t="s">
        <v>137</v>
      </c>
      <c r="F1627" s="13" t="n">
        <v>34</v>
      </c>
      <c r="G1627" s="0" t="s">
        <v>55</v>
      </c>
      <c r="H1627" s="13" t="n">
        <v>2110405</v>
      </c>
      <c r="I1627" s="0" t="s">
        <v>56</v>
      </c>
      <c r="J1627" s="13" t="n">
        <v>1012266</v>
      </c>
      <c r="L1627" s="13" t="n">
        <v>133812</v>
      </c>
      <c r="M1627" s="0" t="s">
        <v>701</v>
      </c>
      <c r="N1627" s="0" t="s">
        <v>45</v>
      </c>
      <c r="P1627" s="13" t="n">
        <v>101</v>
      </c>
      <c r="Q1627" s="0" t="s">
        <v>57</v>
      </c>
      <c r="R1627" s="0" t="s">
        <v>323</v>
      </c>
      <c r="S1627" s="13" t="n">
        <v>2110901</v>
      </c>
      <c r="T1627" s="0" t="s">
        <v>324</v>
      </c>
      <c r="U1627" s="15" t="n">
        <v>4168.41</v>
      </c>
      <c r="W1627" s="15" t="n">
        <v>4168.41</v>
      </c>
      <c r="X1627" s="0" t="s">
        <v>1448</v>
      </c>
      <c r="Z1627" s="0" t="str">
        <f aca="false">IF($T1627="","",IFERROR(INDEX('Resumo Grupos'!$AC$3:$AC$200,MATCH($T1627,'Resumo Grupos'!$AB$3:$AB$200,0)),"n/d"))</f>
        <v>Empréstimo</v>
      </c>
      <c r="AA1627" s="0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3" t="n">
        <v>2</v>
      </c>
      <c r="B1628" s="14" t="n">
        <v>46260</v>
      </c>
      <c r="C1628" s="14" t="n">
        <v>46260</v>
      </c>
      <c r="D1628" s="13" t="n">
        <v>515</v>
      </c>
      <c r="E1628" s="0" t="s">
        <v>137</v>
      </c>
      <c r="F1628" s="13" t="n">
        <v>34</v>
      </c>
      <c r="G1628" s="0" t="s">
        <v>55</v>
      </c>
      <c r="H1628" s="13" t="n">
        <v>2110405</v>
      </c>
      <c r="I1628" s="0" t="s">
        <v>56</v>
      </c>
      <c r="J1628" s="13" t="n">
        <v>1610214</v>
      </c>
      <c r="L1628" s="13" t="n">
        <v>220718</v>
      </c>
      <c r="M1628" s="0" t="s">
        <v>52</v>
      </c>
      <c r="N1628" s="0" t="s">
        <v>45</v>
      </c>
      <c r="P1628" s="13" t="n">
        <v>102</v>
      </c>
      <c r="Q1628" s="0" t="s">
        <v>308</v>
      </c>
      <c r="R1628" s="0" t="s">
        <v>138</v>
      </c>
      <c r="S1628" s="13" t="n">
        <v>4210504</v>
      </c>
      <c r="T1628" s="0" t="s">
        <v>143</v>
      </c>
      <c r="U1628" s="15" t="n">
        <v>165</v>
      </c>
      <c r="W1628" s="15" t="n">
        <v>165</v>
      </c>
      <c r="X1628" s="0" t="s">
        <v>1449</v>
      </c>
      <c r="Z1628" s="0" t="str">
        <f aca="false">IF($T1628="","",IFERROR(INDEX('Resumo Grupos'!$AC$3:$AC$200,MATCH($T1628,'Resumo Grupos'!$AB$3:$AB$200,0)),"n/d"))</f>
        <v>Despesa</v>
      </c>
      <c r="AA1628" s="0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3" t="n">
        <v>2</v>
      </c>
      <c r="B1629" s="14" t="n">
        <v>46254</v>
      </c>
      <c r="C1629" s="14" t="n">
        <v>46260</v>
      </c>
      <c r="D1629" s="13" t="n">
        <v>48</v>
      </c>
      <c r="E1629" s="0" t="s">
        <v>153</v>
      </c>
      <c r="F1629" s="13" t="n">
        <v>24</v>
      </c>
      <c r="G1629" s="0" t="s">
        <v>51</v>
      </c>
      <c r="H1629" s="13" t="n">
        <v>2110101</v>
      </c>
      <c r="I1629" s="0" t="s">
        <v>43</v>
      </c>
      <c r="J1629" s="13" t="n">
        <v>1576425</v>
      </c>
      <c r="L1629" s="13" t="n">
        <v>2617</v>
      </c>
      <c r="M1629" s="0" t="s">
        <v>52</v>
      </c>
      <c r="N1629" s="0" t="s">
        <v>37</v>
      </c>
      <c r="P1629" s="13" t="n">
        <v>113</v>
      </c>
      <c r="Q1629" s="0" t="s">
        <v>46</v>
      </c>
      <c r="R1629" s="0" t="s">
        <v>47</v>
      </c>
      <c r="S1629" s="13" t="n">
        <v>1130101</v>
      </c>
      <c r="T1629" s="0" t="s">
        <v>48</v>
      </c>
      <c r="U1629" s="15" t="n">
        <v>300</v>
      </c>
      <c r="W1629" s="15" t="n">
        <v>300</v>
      </c>
      <c r="X1629" s="0" t="s">
        <v>1450</v>
      </c>
      <c r="Z1629" s="0" t="str">
        <f aca="false">IF($T1629="","",IFERROR(INDEX('Resumo Grupos'!$AC$3:$AC$200,MATCH($T1629,'Resumo Grupos'!$AB$3:$AB$200,0)),"n/d"))</f>
        <v>Mercadoria</v>
      </c>
      <c r="AA1629" s="0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3" t="n">
        <v>2</v>
      </c>
      <c r="B1630" s="14" t="n">
        <v>46260</v>
      </c>
      <c r="C1630" s="14" t="n">
        <v>46260</v>
      </c>
      <c r="D1630" s="13" t="n">
        <v>48</v>
      </c>
      <c r="E1630" s="0" t="s">
        <v>153</v>
      </c>
      <c r="F1630" s="13" t="n">
        <v>13</v>
      </c>
      <c r="G1630" s="0" t="s">
        <v>135</v>
      </c>
      <c r="H1630" s="13" t="n">
        <v>2110101</v>
      </c>
      <c r="I1630" s="0" t="s">
        <v>43</v>
      </c>
      <c r="J1630" s="13" t="n">
        <v>1604345</v>
      </c>
      <c r="L1630" s="13" t="n">
        <v>2630</v>
      </c>
      <c r="M1630" s="0" t="s">
        <v>52</v>
      </c>
      <c r="N1630" s="0" t="s">
        <v>37</v>
      </c>
      <c r="P1630" s="13" t="n">
        <v>113</v>
      </c>
      <c r="Q1630" s="0" t="s">
        <v>46</v>
      </c>
      <c r="R1630" s="0" t="s">
        <v>47</v>
      </c>
      <c r="S1630" s="13" t="n">
        <v>1130101</v>
      </c>
      <c r="T1630" s="0" t="s">
        <v>48</v>
      </c>
      <c r="U1630" s="15" t="n">
        <v>225</v>
      </c>
      <c r="W1630" s="15" t="n">
        <v>225</v>
      </c>
      <c r="X1630" s="0" t="s">
        <v>1451</v>
      </c>
      <c r="Z1630" s="0" t="str">
        <f aca="false">IF($T1630="","",IFERROR(INDEX('Resumo Grupos'!$AC$3:$AC$200,MATCH($T1630,'Resumo Grupos'!$AB$3:$AB$200,0)),"n/d"))</f>
        <v>Mercadoria</v>
      </c>
      <c r="AA1630" s="0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3" t="n">
        <v>2</v>
      </c>
      <c r="B1631" s="14" t="n">
        <v>46258</v>
      </c>
      <c r="C1631" s="14" t="n">
        <v>46260</v>
      </c>
      <c r="D1631" s="13" t="n">
        <v>1899</v>
      </c>
      <c r="E1631" s="0" t="s">
        <v>204</v>
      </c>
      <c r="F1631" s="13" t="n">
        <v>24</v>
      </c>
      <c r="G1631" s="0" t="s">
        <v>51</v>
      </c>
      <c r="H1631" s="13" t="n">
        <v>2110405</v>
      </c>
      <c r="I1631" s="0" t="s">
        <v>56</v>
      </c>
      <c r="J1631" s="13" t="n">
        <v>1594459</v>
      </c>
      <c r="L1631" s="13" t="n">
        <v>218092</v>
      </c>
      <c r="M1631" s="0" t="s">
        <v>52</v>
      </c>
      <c r="N1631" s="0" t="s">
        <v>45</v>
      </c>
      <c r="P1631" s="13" t="n">
        <v>113</v>
      </c>
      <c r="Q1631" s="0" t="s">
        <v>46</v>
      </c>
      <c r="R1631" s="0" t="s">
        <v>47</v>
      </c>
      <c r="S1631" s="13" t="n">
        <v>1130101</v>
      </c>
      <c r="T1631" s="0" t="s">
        <v>48</v>
      </c>
      <c r="U1631" s="15" t="n">
        <v>265.81</v>
      </c>
      <c r="W1631" s="15" t="n">
        <v>265.81</v>
      </c>
      <c r="X1631" s="0" t="s">
        <v>1452</v>
      </c>
      <c r="Z1631" s="0" t="str">
        <f aca="false">IF($T1631="","",IFERROR(INDEX('Resumo Grupos'!$AC$3:$AC$200,MATCH($T1631,'Resumo Grupos'!$AB$3:$AB$200,0)),"n/d"))</f>
        <v>Mercadoria</v>
      </c>
      <c r="AA1631" s="0" t="str">
        <f aca="false">IF($T1631="","",IF(COUNTIF('Resumo Grupos'!$AE$3:$AE$40,$T1631)&gt;0,"NAO","SIM"))</f>
        <v>SIM</v>
      </c>
      <c r="AB1631" s="0" t="str">
        <f aca="false">IFERROR(INDEX('Mov Entradas (Rel 10497)'!$L:$L,MATCH(AC1631,'Mov Entradas (Rel 10497)'!$I:$I,0)),"nao encontrado")</f>
        <v>PAO DE FORMA REAL MA</v>
      </c>
      <c r="AC1631" s="0" t="n">
        <v>772</v>
      </c>
    </row>
    <row r="1632" customFormat="false" ht="12.75" hidden="false" customHeight="true" outlineLevel="0" collapsed="false">
      <c r="A1632" s="13" t="n">
        <v>2</v>
      </c>
      <c r="B1632" s="14" t="n">
        <v>46260</v>
      </c>
      <c r="C1632" s="14" t="n">
        <v>46260</v>
      </c>
      <c r="D1632" s="13" t="n">
        <v>0</v>
      </c>
      <c r="E1632" s="0" t="s">
        <v>109</v>
      </c>
      <c r="F1632" s="13" t="n">
        <v>17</v>
      </c>
      <c r="G1632" s="0" t="s">
        <v>110</v>
      </c>
      <c r="H1632" s="13" t="n">
        <v>1110101</v>
      </c>
      <c r="I1632" s="0" t="s">
        <v>111</v>
      </c>
      <c r="J1632" s="13" t="n">
        <v>1608865</v>
      </c>
      <c r="L1632" s="13" t="n">
        <v>1608865</v>
      </c>
      <c r="M1632" s="0" t="s">
        <v>52</v>
      </c>
      <c r="N1632" s="0" t="s">
        <v>112</v>
      </c>
      <c r="P1632" s="13" t="n">
        <v>113</v>
      </c>
      <c r="Q1632" s="0" t="s">
        <v>46</v>
      </c>
      <c r="R1632" s="0" t="s">
        <v>259</v>
      </c>
      <c r="S1632" s="13" t="n">
        <v>2110101</v>
      </c>
      <c r="T1632" s="0" t="s">
        <v>43</v>
      </c>
      <c r="U1632" s="15" t="n">
        <v>225</v>
      </c>
      <c r="W1632" s="15" t="n">
        <v>225</v>
      </c>
      <c r="X1632" s="0" t="s">
        <v>1453</v>
      </c>
      <c r="Z1632" s="0" t="str">
        <f aca="false">IF($T1632="","",IFERROR(INDEX('Resumo Grupos'!$AC$3:$AC$200,MATCH($T1632,'Resumo Grupos'!$AB$3:$AB$200,0)),"n/d"))</f>
        <v>Despesa</v>
      </c>
      <c r="AA1632" s="0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3" t="n">
        <v>2</v>
      </c>
      <c r="B1633" s="14" t="n">
        <v>46260</v>
      </c>
      <c r="C1633" s="14" t="n">
        <v>46260</v>
      </c>
      <c r="D1633" s="13" t="n">
        <v>0</v>
      </c>
      <c r="E1633" s="0" t="s">
        <v>109</v>
      </c>
      <c r="F1633" s="13" t="n">
        <v>17</v>
      </c>
      <c r="G1633" s="0" t="s">
        <v>110</v>
      </c>
      <c r="H1633" s="13" t="n">
        <v>1110101</v>
      </c>
      <c r="I1633" s="0" t="s">
        <v>111</v>
      </c>
      <c r="J1633" s="13" t="n">
        <v>1608868</v>
      </c>
      <c r="L1633" s="13" t="n">
        <v>1608868</v>
      </c>
      <c r="M1633" s="0" t="s">
        <v>52</v>
      </c>
      <c r="N1633" s="0" t="s">
        <v>112</v>
      </c>
      <c r="P1633" s="13" t="n">
        <v>113</v>
      </c>
      <c r="Q1633" s="0" t="s">
        <v>46</v>
      </c>
      <c r="R1633" s="0" t="s">
        <v>71</v>
      </c>
      <c r="S1633" s="13" t="n">
        <v>4210314</v>
      </c>
      <c r="T1633" s="0" t="s">
        <v>113</v>
      </c>
      <c r="U1633" s="15" t="n">
        <v>70</v>
      </c>
      <c r="W1633" s="15" t="n">
        <v>70</v>
      </c>
      <c r="X1633" s="0" t="s">
        <v>368</v>
      </c>
      <c r="Z1633" s="0" t="str">
        <f aca="false">IF($T1633="","",IFERROR(INDEX('Resumo Grupos'!$AC$3:$AC$200,MATCH($T1633,'Resumo Grupos'!$AB$3:$AB$200,0)),"n/d"))</f>
        <v>Despesa</v>
      </c>
      <c r="AA1633" s="0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3" t="n">
        <v>2</v>
      </c>
      <c r="B1634" s="14" t="n">
        <v>46260</v>
      </c>
      <c r="C1634" s="14" t="n">
        <v>46260</v>
      </c>
      <c r="D1634" s="13" t="n">
        <v>0</v>
      </c>
      <c r="E1634" s="0" t="s">
        <v>109</v>
      </c>
      <c r="F1634" s="13" t="n">
        <v>17</v>
      </c>
      <c r="G1634" s="0" t="s">
        <v>110</v>
      </c>
      <c r="H1634" s="13" t="n">
        <v>1110101</v>
      </c>
      <c r="I1634" s="0" t="s">
        <v>111</v>
      </c>
      <c r="J1634" s="13" t="n">
        <v>1716414</v>
      </c>
      <c r="L1634" s="13" t="n">
        <v>1716414</v>
      </c>
      <c r="M1634" s="0" t="s">
        <v>52</v>
      </c>
      <c r="N1634" s="0" t="s">
        <v>112</v>
      </c>
      <c r="P1634" s="13" t="n">
        <v>113</v>
      </c>
      <c r="Q1634" s="0" t="s">
        <v>46</v>
      </c>
      <c r="R1634" s="0" t="s">
        <v>116</v>
      </c>
      <c r="S1634" s="13" t="n">
        <v>1110203</v>
      </c>
      <c r="T1634" s="0" t="s">
        <v>117</v>
      </c>
      <c r="U1634" s="15" t="n">
        <v>2250</v>
      </c>
      <c r="W1634" s="15" t="n">
        <v>2250</v>
      </c>
      <c r="X1634" s="0" t="s">
        <v>1454</v>
      </c>
      <c r="Z1634" s="0" t="str">
        <f aca="false">IF($T1634="","",IFERROR(INDEX('Resumo Grupos'!$AC$3:$AC$200,MATCH($T1634,'Resumo Grupos'!$AB$3:$AB$200,0)),"n/d"))</f>
        <v>Despesa</v>
      </c>
      <c r="AA1634" s="0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3" t="n">
        <v>2</v>
      </c>
      <c r="B1635" s="14" t="n">
        <v>46254</v>
      </c>
      <c r="C1635" s="14" t="n">
        <v>46260</v>
      </c>
      <c r="D1635" s="13" t="n">
        <v>754</v>
      </c>
      <c r="E1635" s="0" t="s">
        <v>162</v>
      </c>
      <c r="F1635" s="13" t="n">
        <v>24</v>
      </c>
      <c r="G1635" s="0" t="s">
        <v>51</v>
      </c>
      <c r="H1635" s="13" t="n">
        <v>2110405</v>
      </c>
      <c r="I1635" s="0" t="s">
        <v>56</v>
      </c>
      <c r="J1635" s="13" t="n">
        <v>1576251</v>
      </c>
      <c r="L1635" s="13" t="n">
        <v>215402</v>
      </c>
      <c r="M1635" s="0" t="s">
        <v>52</v>
      </c>
      <c r="N1635" s="0" t="s">
        <v>45</v>
      </c>
      <c r="P1635" s="13" t="n">
        <v>113</v>
      </c>
      <c r="Q1635" s="0" t="s">
        <v>46</v>
      </c>
      <c r="R1635" s="0" t="s">
        <v>47</v>
      </c>
      <c r="S1635" s="13" t="n">
        <v>1130101</v>
      </c>
      <c r="T1635" s="0" t="s">
        <v>48</v>
      </c>
      <c r="U1635" s="15" t="n">
        <v>1293.6</v>
      </c>
      <c r="W1635" s="15" t="n">
        <v>1293.6</v>
      </c>
      <c r="X1635" s="0" t="s">
        <v>1455</v>
      </c>
      <c r="Z1635" s="0" t="str">
        <f aca="false">IF($T1635="","",IFERROR(INDEX('Resumo Grupos'!$AC$3:$AC$200,MATCH($T1635,'Resumo Grupos'!$AB$3:$AB$200,0)),"n/d"))</f>
        <v>Mercadoria</v>
      </c>
      <c r="AA1635" s="0" t="str">
        <f aca="false">IF($T1635="","",IF(COUNTIF('Resumo Grupos'!$AE$3:$AE$40,$T1635)&gt;0,"NAO","SIM"))</f>
        <v>SIM</v>
      </c>
      <c r="AB1635" s="0" t="str">
        <f aca="false">IFERROR(INDEX('Mov Entradas (Rel 10497)'!$L:$L,MATCH(AC1635,'Mov Entradas (Rel 10497)'!$I:$I,0)),"nao encontrado")</f>
        <v>DIANTEIRO DE BOI L</v>
      </c>
      <c r="AC1635" s="0" t="n">
        <v>32564</v>
      </c>
    </row>
    <row r="1636" customFormat="false" ht="12.75" hidden="false" customHeight="true" outlineLevel="0" collapsed="false">
      <c r="A1636" s="13" t="n">
        <v>2</v>
      </c>
      <c r="B1636" s="14" t="n">
        <v>46247</v>
      </c>
      <c r="C1636" s="14" t="n">
        <v>46260</v>
      </c>
      <c r="D1636" s="13" t="n">
        <v>1734</v>
      </c>
      <c r="E1636" s="0" t="s">
        <v>566</v>
      </c>
      <c r="F1636" s="13" t="n">
        <v>24</v>
      </c>
      <c r="G1636" s="0" t="s">
        <v>51</v>
      </c>
      <c r="H1636" s="13" t="n">
        <v>2110405</v>
      </c>
      <c r="I1636" s="0" t="s">
        <v>56</v>
      </c>
      <c r="J1636" s="13" t="n">
        <v>1542967</v>
      </c>
      <c r="L1636" s="13" t="n">
        <v>210465</v>
      </c>
      <c r="M1636" s="0" t="s">
        <v>52</v>
      </c>
      <c r="N1636" s="0" t="s">
        <v>45</v>
      </c>
      <c r="P1636" s="13" t="n">
        <v>113</v>
      </c>
      <c r="Q1636" s="0" t="s">
        <v>46</v>
      </c>
      <c r="R1636" s="0" t="s">
        <v>47</v>
      </c>
      <c r="S1636" s="13" t="n">
        <v>1130101</v>
      </c>
      <c r="T1636" s="0" t="s">
        <v>48</v>
      </c>
      <c r="U1636" s="15" t="n">
        <v>1050.07</v>
      </c>
      <c r="W1636" s="15" t="n">
        <v>1050.07</v>
      </c>
      <c r="X1636" s="0" t="s">
        <v>1456</v>
      </c>
      <c r="Z1636" s="0" t="str">
        <f aca="false">IF($T1636="","",IFERROR(INDEX('Resumo Grupos'!$AC$3:$AC$200,MATCH($T1636,'Resumo Grupos'!$AB$3:$AB$200,0)),"n/d"))</f>
        <v>Mercadoria</v>
      </c>
      <c r="AA1636" s="0" t="str">
        <f aca="false">IF($T1636="","",IF(COUNTIF('Resumo Grupos'!$AE$3:$AE$40,$T1636)&gt;0,"NAO","SIM"))</f>
        <v>SIM</v>
      </c>
      <c r="AB1636" s="0" t="str">
        <f aca="false">IFERROR(INDEX('Mov Entradas (Rel 10497)'!$L:$L,MATCH(AC1636,'Mov Entradas (Rel 10497)'!$I:$I,0)),"nao encontrado")</f>
        <v>PICOLE BRIGAD TOYA</v>
      </c>
      <c r="AC1636" s="0" t="n">
        <v>257600</v>
      </c>
    </row>
    <row r="1637" customFormat="false" ht="12.75" hidden="false" customHeight="true" outlineLevel="0" collapsed="false">
      <c r="A1637" s="13" t="n">
        <v>2</v>
      </c>
      <c r="B1637" s="14" t="n">
        <v>46259</v>
      </c>
      <c r="C1637" s="14" t="n">
        <v>46261</v>
      </c>
      <c r="D1637" s="13" t="n">
        <v>642</v>
      </c>
      <c r="E1637" s="0" t="s">
        <v>123</v>
      </c>
      <c r="F1637" s="13" t="n">
        <v>24</v>
      </c>
      <c r="G1637" s="0" t="s">
        <v>51</v>
      </c>
      <c r="H1637" s="13" t="n">
        <v>2110405</v>
      </c>
      <c r="I1637" s="0" t="s">
        <v>56</v>
      </c>
      <c r="J1637" s="13" t="n">
        <v>1599474</v>
      </c>
      <c r="L1637" s="13" t="n">
        <v>218956</v>
      </c>
      <c r="M1637" s="0" t="s">
        <v>52</v>
      </c>
      <c r="N1637" s="0" t="s">
        <v>45</v>
      </c>
      <c r="P1637" s="13" t="n">
        <v>113</v>
      </c>
      <c r="Q1637" s="0" t="s">
        <v>46</v>
      </c>
      <c r="R1637" s="0" t="s">
        <v>47</v>
      </c>
      <c r="S1637" s="13" t="n">
        <v>1130101</v>
      </c>
      <c r="T1637" s="0" t="s">
        <v>48</v>
      </c>
      <c r="U1637" s="15" t="n">
        <v>240</v>
      </c>
      <c r="W1637" s="15" t="n">
        <v>240</v>
      </c>
      <c r="X1637" s="0" t="s">
        <v>1457</v>
      </c>
      <c r="Z1637" s="0" t="str">
        <f aca="false">IF($T1637="","",IFERROR(INDEX('Resumo Grupos'!$AC$3:$AC$200,MATCH($T1637,'Resumo Grupos'!$AB$3:$AB$200,0)),"n/d"))</f>
        <v>Mercadoria</v>
      </c>
      <c r="AA1637" s="0" t="str">
        <f aca="false">IF($T1637="","",IF(COUNTIF('Resumo Grupos'!$AE$3:$AE$40,$T1637)&gt;0,"NAO","SIM"))</f>
        <v>SIM</v>
      </c>
      <c r="AB1637" s="0" t="str">
        <f aca="false">IFERROR(INDEX('Mov Entradas (Rel 10497)'!$L:$L,MATCH(AC1637,'Mov Entradas (Rel 10497)'!$I:$I,0)),"nao encontrado")</f>
        <v>BOLO BLOOM 600G</v>
      </c>
      <c r="AC1637" s="0" t="n">
        <v>621</v>
      </c>
    </row>
    <row r="1638" customFormat="false" ht="12.75" hidden="false" customHeight="true" outlineLevel="0" collapsed="false">
      <c r="A1638" s="13" t="n">
        <v>2</v>
      </c>
      <c r="B1638" s="14" t="n">
        <v>46254</v>
      </c>
      <c r="C1638" s="14" t="n">
        <v>46261</v>
      </c>
      <c r="D1638" s="13" t="n">
        <v>10018</v>
      </c>
      <c r="E1638" s="0" t="s">
        <v>216</v>
      </c>
      <c r="F1638" s="13" t="n">
        <v>34</v>
      </c>
      <c r="G1638" s="0" t="s">
        <v>55</v>
      </c>
      <c r="H1638" s="13" t="n">
        <v>2110405</v>
      </c>
      <c r="I1638" s="0" t="s">
        <v>56</v>
      </c>
      <c r="J1638" s="13" t="n">
        <v>1577576</v>
      </c>
      <c r="L1638" s="13" t="n">
        <v>215690</v>
      </c>
      <c r="M1638" s="0" t="s">
        <v>52</v>
      </c>
      <c r="N1638" s="0" t="s">
        <v>45</v>
      </c>
      <c r="P1638" s="13" t="n">
        <v>113</v>
      </c>
      <c r="Q1638" s="0" t="s">
        <v>46</v>
      </c>
      <c r="R1638" s="0" t="s">
        <v>47</v>
      </c>
      <c r="S1638" s="13" t="n">
        <v>1130101</v>
      </c>
      <c r="T1638" s="0" t="s">
        <v>48</v>
      </c>
      <c r="U1638" s="15" t="n">
        <v>1734.8</v>
      </c>
      <c r="W1638" s="15" t="n">
        <v>1734.8</v>
      </c>
      <c r="X1638" s="0" t="s">
        <v>1458</v>
      </c>
      <c r="Z1638" s="0" t="str">
        <f aca="false">IF($T1638="","",IFERROR(INDEX('Resumo Grupos'!$AC$3:$AC$200,MATCH($T1638,'Resumo Grupos'!$AB$3:$AB$200,0)),"n/d"))</f>
        <v>Mercadoria</v>
      </c>
      <c r="AA1638" s="0" t="str">
        <f aca="false">IF($T1638="","",IF(COUNTIF('Resumo Grupos'!$AE$3:$AE$40,$T1638)&gt;0,"NAO","SIM"))</f>
        <v>SIM</v>
      </c>
      <c r="AB1638" s="0" t="str">
        <f aca="false">IFERROR(INDEX('Mov Entradas (Rel 10497)'!$L:$L,MATCH(AC1638,'Mov Entradas (Rel 10497)'!$I:$I,0)),"nao encontrado")</f>
        <v>OVOS BRANCO UNID</v>
      </c>
      <c r="AC1638" s="0" t="n">
        <v>368</v>
      </c>
    </row>
    <row r="1639" customFormat="false" ht="12.75" hidden="false" customHeight="true" outlineLevel="0" collapsed="false">
      <c r="A1639" s="13" t="n">
        <v>2</v>
      </c>
      <c r="B1639" s="14" t="n">
        <v>46261</v>
      </c>
      <c r="C1639" s="14" t="n">
        <v>46261</v>
      </c>
      <c r="D1639" s="13" t="n">
        <v>1695</v>
      </c>
      <c r="E1639" s="0" t="s">
        <v>390</v>
      </c>
      <c r="F1639" s="13" t="n">
        <v>34</v>
      </c>
      <c r="G1639" s="0" t="s">
        <v>55</v>
      </c>
      <c r="H1639" s="13" t="n">
        <v>2110405</v>
      </c>
      <c r="I1639" s="0" t="s">
        <v>56</v>
      </c>
      <c r="J1639" s="13" t="n">
        <v>1609832</v>
      </c>
      <c r="L1639" s="13" t="n">
        <v>220669</v>
      </c>
      <c r="M1639" s="0" t="s">
        <v>52</v>
      </c>
      <c r="N1639" s="0" t="s">
        <v>45</v>
      </c>
      <c r="P1639" s="13" t="n">
        <v>113</v>
      </c>
      <c r="Q1639" s="0" t="s">
        <v>46</v>
      </c>
      <c r="R1639" s="0" t="s">
        <v>47</v>
      </c>
      <c r="S1639" s="13" t="n">
        <v>1130101</v>
      </c>
      <c r="T1639" s="0" t="s">
        <v>48</v>
      </c>
      <c r="U1639" s="15" t="n">
        <v>610.06</v>
      </c>
      <c r="W1639" s="15" t="n">
        <v>610.06</v>
      </c>
      <c r="X1639" s="0" t="s">
        <v>1459</v>
      </c>
      <c r="Z1639" s="0" t="str">
        <f aca="false">IF($T1639="","",IFERROR(INDEX('Resumo Grupos'!$AC$3:$AC$200,MATCH($T1639,'Resumo Grupos'!$AB$3:$AB$200,0)),"n/d"))</f>
        <v>Mercadoria</v>
      </c>
      <c r="AA1639" s="0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3" t="n">
        <v>2</v>
      </c>
      <c r="B1640" s="14" t="n">
        <v>46247</v>
      </c>
      <c r="C1640" s="14" t="n">
        <v>46261</v>
      </c>
      <c r="D1640" s="13" t="n">
        <v>1601</v>
      </c>
      <c r="E1640" s="0" t="s">
        <v>193</v>
      </c>
      <c r="F1640" s="13" t="n">
        <v>24</v>
      </c>
      <c r="G1640" s="0" t="s">
        <v>51</v>
      </c>
      <c r="H1640" s="13" t="n">
        <v>2110405</v>
      </c>
      <c r="I1640" s="0" t="s">
        <v>56</v>
      </c>
      <c r="J1640" s="13" t="n">
        <v>1543874</v>
      </c>
      <c r="L1640" s="13" t="n">
        <v>210525</v>
      </c>
      <c r="M1640" s="0" t="s">
        <v>52</v>
      </c>
      <c r="N1640" s="0" t="s">
        <v>45</v>
      </c>
      <c r="P1640" s="13" t="n">
        <v>113</v>
      </c>
      <c r="Q1640" s="0" t="s">
        <v>46</v>
      </c>
      <c r="R1640" s="0" t="s">
        <v>47</v>
      </c>
      <c r="S1640" s="13" t="n">
        <v>1130101</v>
      </c>
      <c r="T1640" s="0" t="s">
        <v>48</v>
      </c>
      <c r="U1640" s="15" t="n">
        <v>436.02</v>
      </c>
      <c r="W1640" s="15" t="n">
        <v>436.02</v>
      </c>
      <c r="X1640" s="0" t="s">
        <v>1460</v>
      </c>
      <c r="Z1640" s="0" t="str">
        <f aca="false">IF($T1640="","",IFERROR(INDEX('Resumo Grupos'!$AC$3:$AC$200,MATCH($T1640,'Resumo Grupos'!$AB$3:$AB$200,0)),"n/d"))</f>
        <v>Mercadoria</v>
      </c>
      <c r="AA1640" s="0" t="str">
        <f aca="false">IF($T1640="","",IF(COUNTIF('Resumo Grupos'!$AE$3:$AE$40,$T1640)&gt;0,"NAO","SIM"))</f>
        <v>SIM</v>
      </c>
      <c r="AB1640" s="0" t="str">
        <f aca="false">IFERROR(INDEX('Mov Entradas (Rel 10497)'!$L:$L,MATCH(AC1640,'Mov Entradas (Rel 10497)'!$I:$I,0)),"nao encontrado")</f>
        <v>TRIGOLAR C/FERMENTO 1KG</v>
      </c>
      <c r="AC1640" s="0" t="n">
        <v>862791</v>
      </c>
    </row>
    <row r="1641" customFormat="false" ht="12.75" hidden="false" customHeight="true" outlineLevel="0" collapsed="false">
      <c r="A1641" s="13" t="n">
        <v>2</v>
      </c>
      <c r="B1641" s="14" t="n">
        <v>46247</v>
      </c>
      <c r="C1641" s="14" t="n">
        <v>46261</v>
      </c>
      <c r="D1641" s="13" t="n">
        <v>1608</v>
      </c>
      <c r="E1641" s="0" t="s">
        <v>240</v>
      </c>
      <c r="F1641" s="13" t="n">
        <v>24</v>
      </c>
      <c r="G1641" s="0" t="s">
        <v>51</v>
      </c>
      <c r="H1641" s="13" t="n">
        <v>2110405</v>
      </c>
      <c r="I1641" s="0" t="s">
        <v>56</v>
      </c>
      <c r="J1641" s="13" t="n">
        <v>1540761</v>
      </c>
      <c r="L1641" s="13" t="n">
        <v>210177</v>
      </c>
      <c r="M1641" s="0" t="s">
        <v>52</v>
      </c>
      <c r="N1641" s="0" t="s">
        <v>45</v>
      </c>
      <c r="P1641" s="13" t="n">
        <v>113</v>
      </c>
      <c r="Q1641" s="0" t="s">
        <v>46</v>
      </c>
      <c r="R1641" s="0" t="s">
        <v>47</v>
      </c>
      <c r="S1641" s="13" t="n">
        <v>1130101</v>
      </c>
      <c r="T1641" s="0" t="s">
        <v>48</v>
      </c>
      <c r="U1641" s="15" t="n">
        <v>692.26</v>
      </c>
      <c r="W1641" s="15" t="n">
        <v>692.26</v>
      </c>
      <c r="X1641" s="0" t="s">
        <v>1461</v>
      </c>
      <c r="Z1641" s="0" t="str">
        <f aca="false">IF($T1641="","",IFERROR(INDEX('Resumo Grupos'!$AC$3:$AC$200,MATCH($T1641,'Resumo Grupos'!$AB$3:$AB$200,0)),"n/d"))</f>
        <v>Mercadoria</v>
      </c>
      <c r="AA1641" s="0" t="str">
        <f aca="false">IF($T1641="","",IF(COUNTIF('Resumo Grupos'!$AE$3:$AE$40,$T1641)&gt;0,"NAO","SIM"))</f>
        <v>SIM</v>
      </c>
      <c r="AB1641" s="0" t="str">
        <f aca="false">IFERROR(INDEX('Mov Entradas (Rel 10497)'!$L:$L,MATCH(AC1641,'Mov Entradas (Rel 10497)'!$I:$I,0)),"nao encontrado")</f>
        <v>SAZON CALDO CARNE 32</v>
      </c>
      <c r="AC1641" s="0" t="n">
        <v>1710665</v>
      </c>
    </row>
    <row r="1642" customFormat="false" ht="12.75" hidden="false" customHeight="true" outlineLevel="0" collapsed="false">
      <c r="A1642" s="13" t="n">
        <v>2</v>
      </c>
      <c r="B1642" s="14" t="n">
        <v>46241</v>
      </c>
      <c r="C1642" s="14" t="n">
        <v>46261</v>
      </c>
      <c r="D1642" s="13" t="n">
        <v>794</v>
      </c>
      <c r="E1642" s="0" t="s">
        <v>335</v>
      </c>
      <c r="F1642" s="13" t="n">
        <v>24</v>
      </c>
      <c r="G1642" s="0" t="s">
        <v>51</v>
      </c>
      <c r="H1642" s="13" t="n">
        <v>2110405</v>
      </c>
      <c r="I1642" s="0" t="s">
        <v>56</v>
      </c>
      <c r="J1642" s="13" t="n">
        <v>1514359</v>
      </c>
      <c r="L1642" s="13" t="n">
        <v>205999</v>
      </c>
      <c r="M1642" s="0" t="s">
        <v>52</v>
      </c>
      <c r="N1642" s="0" t="s">
        <v>45</v>
      </c>
      <c r="P1642" s="13" t="n">
        <v>113</v>
      </c>
      <c r="Q1642" s="0" t="s">
        <v>46</v>
      </c>
      <c r="R1642" s="0" t="s">
        <v>47</v>
      </c>
      <c r="S1642" s="13" t="n">
        <v>1130101</v>
      </c>
      <c r="T1642" s="0" t="s">
        <v>48</v>
      </c>
      <c r="U1642" s="15" t="n">
        <v>382.62</v>
      </c>
      <c r="W1642" s="15" t="n">
        <v>382.62</v>
      </c>
      <c r="X1642" s="0" t="s">
        <v>1376</v>
      </c>
      <c r="Z1642" s="0" t="str">
        <f aca="false">IF($T1642="","",IFERROR(INDEX('Resumo Grupos'!$AC$3:$AC$200,MATCH($T1642,'Resumo Grupos'!$AB$3:$AB$200,0)),"n/d"))</f>
        <v>Mercadoria</v>
      </c>
      <c r="AA1642" s="0" t="str">
        <f aca="false">IF($T1642="","",IF(COUNTIF('Resumo Grupos'!$AE$3:$AE$40,$T1642)&gt;0,"NAO","SIM"))</f>
        <v>SIM</v>
      </c>
      <c r="AB1642" s="0" t="str">
        <f aca="false">IFERROR(INDEX('Mov Entradas (Rel 10497)'!$L:$L,MATCH(AC1642,'Mov Entradas (Rel 10497)'!$I:$I,0)),"nao encontrado")</f>
        <v>SACOLA DE 3KG</v>
      </c>
      <c r="AC1642" s="0" t="n">
        <v>8582</v>
      </c>
    </row>
    <row r="1643" customFormat="false" ht="12.75" hidden="false" customHeight="true" outlineLevel="0" collapsed="false">
      <c r="A1643" s="13" t="n">
        <v>2</v>
      </c>
      <c r="B1643" s="14" t="n">
        <v>46241</v>
      </c>
      <c r="C1643" s="14" t="n">
        <v>46261</v>
      </c>
      <c r="D1643" s="13" t="n">
        <v>794</v>
      </c>
      <c r="E1643" s="0" t="s">
        <v>335</v>
      </c>
      <c r="F1643" s="13" t="n">
        <v>24</v>
      </c>
      <c r="G1643" s="0" t="s">
        <v>51</v>
      </c>
      <c r="H1643" s="13" t="n">
        <v>2110405</v>
      </c>
      <c r="I1643" s="0" t="s">
        <v>56</v>
      </c>
      <c r="J1643" s="13" t="n">
        <v>1514438</v>
      </c>
      <c r="L1643" s="13" t="n">
        <v>206013</v>
      </c>
      <c r="M1643" s="0" t="s">
        <v>52</v>
      </c>
      <c r="N1643" s="0" t="s">
        <v>45</v>
      </c>
      <c r="P1643" s="13" t="n">
        <v>113</v>
      </c>
      <c r="Q1643" s="0" t="s">
        <v>46</v>
      </c>
      <c r="R1643" s="0" t="s">
        <v>39</v>
      </c>
      <c r="S1643" s="13" t="n">
        <v>4210299</v>
      </c>
      <c r="T1643" s="0" t="s">
        <v>165</v>
      </c>
      <c r="U1643" s="15" t="n">
        <v>520.47</v>
      </c>
      <c r="W1643" s="15" t="n">
        <v>520.47</v>
      </c>
      <c r="X1643" s="0" t="s">
        <v>1377</v>
      </c>
      <c r="Z1643" s="0" t="str">
        <f aca="false">IF($T1643="","",IFERROR(INDEX('Resumo Grupos'!$AC$3:$AC$200,MATCH($T1643,'Resumo Grupos'!$AB$3:$AB$200,0)),"n/d"))</f>
        <v>Despesa</v>
      </c>
      <c r="AA1643" s="0" t="str">
        <f aca="false">IF($T1643="","",IF(COUNTIF('Resumo Grupos'!$AE$3:$AE$40,$T1643)&gt;0,"NAO","SIM"))</f>
        <v>SIM</v>
      </c>
      <c r="AB1643" s="0" t="str">
        <f aca="false">IFERROR(INDEX('Mov Entradas (Rel 10497)'!$L:$L,MATCH(AC1643,'Mov Entradas (Rel 10497)'!$I:$I,0)),"nao encontrado")</f>
        <v>SACOLA BRC. L. ALIP.</v>
      </c>
      <c r="AC1643" s="0" t="n">
        <v>8583</v>
      </c>
    </row>
    <row r="1644" customFormat="false" ht="12.75" hidden="false" customHeight="true" outlineLevel="0" collapsed="false">
      <c r="A1644" s="13" t="n">
        <v>2</v>
      </c>
      <c r="B1644" s="14" t="n">
        <v>46247</v>
      </c>
      <c r="C1644" s="14" t="n">
        <v>46261</v>
      </c>
      <c r="D1644" s="13" t="n">
        <v>1667</v>
      </c>
      <c r="E1644" s="0" t="s">
        <v>77</v>
      </c>
      <c r="F1644" s="13" t="n">
        <v>24</v>
      </c>
      <c r="G1644" s="0" t="s">
        <v>51</v>
      </c>
      <c r="H1644" s="13" t="n">
        <v>2110405</v>
      </c>
      <c r="I1644" s="0" t="s">
        <v>56</v>
      </c>
      <c r="J1644" s="13" t="n">
        <v>1540922</v>
      </c>
      <c r="L1644" s="13" t="n">
        <v>210242</v>
      </c>
      <c r="M1644" s="0" t="s">
        <v>52</v>
      </c>
      <c r="N1644" s="0" t="s">
        <v>45</v>
      </c>
      <c r="P1644" s="13" t="n">
        <v>113</v>
      </c>
      <c r="Q1644" s="0" t="s">
        <v>46</v>
      </c>
      <c r="R1644" s="0" t="s">
        <v>47</v>
      </c>
      <c r="S1644" s="13" t="n">
        <v>1130101</v>
      </c>
      <c r="T1644" s="0" t="s">
        <v>48</v>
      </c>
      <c r="U1644" s="15" t="n">
        <v>668.77</v>
      </c>
      <c r="W1644" s="15" t="n">
        <v>668.77</v>
      </c>
      <c r="X1644" s="0" t="s">
        <v>1462</v>
      </c>
      <c r="Z1644" s="0" t="str">
        <f aca="false">IF($T1644="","",IFERROR(INDEX('Resumo Grupos'!$AC$3:$AC$200,MATCH($T1644,'Resumo Grupos'!$AB$3:$AB$200,0)),"n/d"))</f>
        <v>Mercadoria</v>
      </c>
      <c r="AA1644" s="0" t="str">
        <f aca="false">IF($T1644="","",IF(COUNTIF('Resumo Grupos'!$AE$3:$AE$40,$T1644)&gt;0,"NAO","SIM"))</f>
        <v>SIM</v>
      </c>
      <c r="AB1644" s="0" t="str">
        <f aca="false">IFERROR(INDEX('Mov Entradas (Rel 10497)'!$L:$L,MATCH(AC1644,'Mov Entradas (Rel 10497)'!$I:$I,0)),"nao encontrado")</f>
        <v>MINGAU DE ARROZ ALLNUTRI 230G</v>
      </c>
      <c r="AC1644" s="0" t="n">
        <v>398227</v>
      </c>
    </row>
    <row r="1645" customFormat="false" ht="12.75" hidden="false" customHeight="true" outlineLevel="0" collapsed="false">
      <c r="A1645" s="13" t="n">
        <v>2</v>
      </c>
      <c r="B1645" s="14" t="n">
        <v>46261</v>
      </c>
      <c r="C1645" s="14" t="n">
        <v>46261</v>
      </c>
      <c r="D1645" s="13" t="n">
        <v>10096</v>
      </c>
      <c r="E1645" s="0" t="s">
        <v>622</v>
      </c>
      <c r="F1645" s="13" t="n">
        <v>13</v>
      </c>
      <c r="G1645" s="0" t="s">
        <v>135</v>
      </c>
      <c r="H1645" s="13" t="n">
        <v>2110405</v>
      </c>
      <c r="I1645" s="0" t="s">
        <v>56</v>
      </c>
      <c r="J1645" s="13" t="n">
        <v>1613667</v>
      </c>
      <c r="L1645" s="13" t="n">
        <v>221241</v>
      </c>
      <c r="M1645" s="0" t="s">
        <v>52</v>
      </c>
      <c r="N1645" s="0" t="s">
        <v>45</v>
      </c>
      <c r="P1645" s="13" t="n">
        <v>113</v>
      </c>
      <c r="Q1645" s="0" t="s">
        <v>46</v>
      </c>
      <c r="R1645" s="0" t="s">
        <v>47</v>
      </c>
      <c r="S1645" s="13" t="n">
        <v>1130101</v>
      </c>
      <c r="T1645" s="0" t="s">
        <v>48</v>
      </c>
      <c r="U1645" s="15" t="n">
        <v>140</v>
      </c>
      <c r="W1645" s="15" t="n">
        <v>140</v>
      </c>
      <c r="X1645" s="0" t="s">
        <v>1463</v>
      </c>
      <c r="Z1645" s="0" t="str">
        <f aca="false">IF($T1645="","",IFERROR(INDEX('Resumo Grupos'!$AC$3:$AC$200,MATCH($T1645,'Resumo Grupos'!$AB$3:$AB$200,0)),"n/d"))</f>
        <v>Mercadoria</v>
      </c>
      <c r="AA1645" s="0" t="str">
        <f aca="false">IF($T1645="","",IF(COUNTIF('Resumo Grupos'!$AE$3:$AE$40,$T1645)&gt;0,"NAO","SIM"))</f>
        <v>SIM</v>
      </c>
      <c r="AB1645" s="0" t="str">
        <f aca="false">IFERROR(INDEX('Mov Entradas (Rel 10497)'!$L:$L,MATCH(AC1645,'Mov Entradas (Rel 10497)'!$I:$I,0)),"nao encontrado")</f>
        <v>BOLO MIYAZAKI GRANDE</v>
      </c>
      <c r="AC1645" s="0" t="n">
        <v>213</v>
      </c>
    </row>
    <row r="1646" customFormat="false" ht="12.75" hidden="false" customHeight="true" outlineLevel="0" collapsed="false">
      <c r="A1646" s="13" t="n">
        <v>2</v>
      </c>
      <c r="B1646" s="14" t="n">
        <v>46240</v>
      </c>
      <c r="C1646" s="14" t="n">
        <v>46261</v>
      </c>
      <c r="D1646" s="13" t="n">
        <v>1815</v>
      </c>
      <c r="E1646" s="0" t="s">
        <v>172</v>
      </c>
      <c r="F1646" s="13" t="n">
        <v>24</v>
      </c>
      <c r="G1646" s="0" t="s">
        <v>51</v>
      </c>
      <c r="H1646" s="13" t="n">
        <v>2110405</v>
      </c>
      <c r="I1646" s="0" t="s">
        <v>56</v>
      </c>
      <c r="J1646" s="13" t="n">
        <v>1508981</v>
      </c>
      <c r="L1646" s="13" t="n">
        <v>205093</v>
      </c>
      <c r="M1646" s="0" t="s">
        <v>52</v>
      </c>
      <c r="N1646" s="0" t="s">
        <v>45</v>
      </c>
      <c r="P1646" s="13" t="n">
        <v>113</v>
      </c>
      <c r="Q1646" s="0" t="s">
        <v>46</v>
      </c>
      <c r="R1646" s="0" t="s">
        <v>47</v>
      </c>
      <c r="S1646" s="13" t="n">
        <v>1130101</v>
      </c>
      <c r="T1646" s="0" t="s">
        <v>48</v>
      </c>
      <c r="U1646" s="15" t="n">
        <v>628.19</v>
      </c>
      <c r="W1646" s="15" t="n">
        <v>628.19</v>
      </c>
      <c r="X1646" s="0" t="s">
        <v>1302</v>
      </c>
      <c r="Z1646" s="0" t="str">
        <f aca="false">IF($T1646="","",IFERROR(INDEX('Resumo Grupos'!$AC$3:$AC$200,MATCH($T1646,'Resumo Grupos'!$AB$3:$AB$200,0)),"n/d"))</f>
        <v>Mercadoria</v>
      </c>
      <c r="AA1646" s="0" t="str">
        <f aca="false">IF($T1646="","",IF(COUNTIF('Resumo Grupos'!$AE$3:$AE$40,$T1646)&gt;0,"NAO","SIM"))</f>
        <v>SIM</v>
      </c>
      <c r="AB1646" s="0" t="str">
        <f aca="false">IFERROR(INDEX('Mov Entradas (Rel 10497)'!$L:$L,MATCH(AC1646,'Mov Entradas (Rel 10497)'!$I:$I,0)),"nao encontrado")</f>
        <v>COXÃO DURO KG</v>
      </c>
      <c r="AC1646" s="0" t="n">
        <v>396443</v>
      </c>
    </row>
    <row r="1647" customFormat="false" ht="12.75" hidden="false" customHeight="true" outlineLevel="0" collapsed="false">
      <c r="A1647" s="13" t="n">
        <v>2</v>
      </c>
      <c r="B1647" s="14" t="n">
        <v>46261</v>
      </c>
      <c r="C1647" s="14" t="n">
        <v>46261</v>
      </c>
      <c r="D1647" s="13" t="n">
        <v>48</v>
      </c>
      <c r="E1647" s="0" t="s">
        <v>153</v>
      </c>
      <c r="F1647" s="13" t="n">
        <v>13</v>
      </c>
      <c r="G1647" s="0" t="s">
        <v>135</v>
      </c>
      <c r="H1647" s="13" t="n">
        <v>2110101</v>
      </c>
      <c r="I1647" s="0" t="s">
        <v>43</v>
      </c>
      <c r="J1647" s="13" t="n">
        <v>1609212</v>
      </c>
      <c r="L1647" s="13" t="n">
        <v>2635</v>
      </c>
      <c r="M1647" s="0" t="s">
        <v>52</v>
      </c>
      <c r="N1647" s="0" t="s">
        <v>37</v>
      </c>
      <c r="P1647" s="13" t="n">
        <v>113</v>
      </c>
      <c r="Q1647" s="0" t="s">
        <v>46</v>
      </c>
      <c r="R1647" s="0" t="s">
        <v>47</v>
      </c>
      <c r="S1647" s="13" t="n">
        <v>1130101</v>
      </c>
      <c r="T1647" s="0" t="s">
        <v>48</v>
      </c>
      <c r="U1647" s="15" t="n">
        <v>225</v>
      </c>
      <c r="W1647" s="15" t="n">
        <v>225</v>
      </c>
      <c r="X1647" s="0" t="s">
        <v>1464</v>
      </c>
      <c r="Z1647" s="0" t="str">
        <f aca="false">IF($T1647="","",IFERROR(INDEX('Resumo Grupos'!$AC$3:$AC$200,MATCH($T1647,'Resumo Grupos'!$AB$3:$AB$200,0)),"n/d"))</f>
        <v>Mercadoria</v>
      </c>
      <c r="AA1647" s="0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3" t="n">
        <v>2</v>
      </c>
      <c r="B1648" s="14" t="n">
        <v>46247</v>
      </c>
      <c r="C1648" s="14" t="n">
        <v>46261</v>
      </c>
      <c r="D1648" s="13" t="n">
        <v>1740</v>
      </c>
      <c r="E1648" s="0" t="s">
        <v>468</v>
      </c>
      <c r="F1648" s="13" t="n">
        <v>24</v>
      </c>
      <c r="G1648" s="0" t="s">
        <v>51</v>
      </c>
      <c r="H1648" s="13" t="n">
        <v>2110405</v>
      </c>
      <c r="I1648" s="0" t="s">
        <v>56</v>
      </c>
      <c r="J1648" s="13" t="n">
        <v>1541224</v>
      </c>
      <c r="L1648" s="13" t="n">
        <v>210282</v>
      </c>
      <c r="M1648" s="0" t="s">
        <v>52</v>
      </c>
      <c r="N1648" s="0" t="s">
        <v>45</v>
      </c>
      <c r="P1648" s="13" t="n">
        <v>113</v>
      </c>
      <c r="Q1648" s="0" t="s">
        <v>46</v>
      </c>
      <c r="R1648" s="0" t="s">
        <v>47</v>
      </c>
      <c r="S1648" s="13" t="n">
        <v>1130101</v>
      </c>
      <c r="T1648" s="0" t="s">
        <v>48</v>
      </c>
      <c r="U1648" s="15" t="n">
        <v>386.74</v>
      </c>
      <c r="W1648" s="15" t="n">
        <v>386.74</v>
      </c>
      <c r="X1648" s="0" t="s">
        <v>1465</v>
      </c>
      <c r="Z1648" s="0" t="str">
        <f aca="false">IF($T1648="","",IFERROR(INDEX('Resumo Grupos'!$AC$3:$AC$200,MATCH($T1648,'Resumo Grupos'!$AB$3:$AB$200,0)),"n/d"))</f>
        <v>Mercadoria</v>
      </c>
      <c r="AA1648" s="0" t="str">
        <f aca="false">IF($T1648="","",IF(COUNTIF('Resumo Grupos'!$AE$3:$AE$40,$T1648)&gt;0,"NAO","SIM"))</f>
        <v>SIM</v>
      </c>
      <c r="AB1648" s="0" t="str">
        <f aca="false">IFERROR(INDEX('Mov Entradas (Rel 10497)'!$L:$L,MATCH(AC1648,'Mov Entradas (Rel 10497)'!$I:$I,0)),"nao encontrado")</f>
        <v>IOG BI-CAMADA MGO CO</v>
      </c>
      <c r="AC1648" s="0" t="n">
        <v>1258801</v>
      </c>
    </row>
    <row r="1649" customFormat="false" ht="12.75" hidden="false" customHeight="true" outlineLevel="0" collapsed="false">
      <c r="A1649" s="13" t="n">
        <v>2</v>
      </c>
      <c r="B1649" s="14" t="n">
        <v>46261</v>
      </c>
      <c r="C1649" s="14" t="n">
        <v>46261</v>
      </c>
      <c r="D1649" s="13" t="n">
        <v>0</v>
      </c>
      <c r="E1649" s="0" t="s">
        <v>109</v>
      </c>
      <c r="F1649" s="13" t="n">
        <v>17</v>
      </c>
      <c r="G1649" s="0" t="s">
        <v>110</v>
      </c>
      <c r="H1649" s="13" t="n">
        <v>1110101</v>
      </c>
      <c r="I1649" s="0" t="s">
        <v>111</v>
      </c>
      <c r="J1649" s="13" t="n">
        <v>1613690</v>
      </c>
      <c r="L1649" s="13" t="n">
        <v>1613690</v>
      </c>
      <c r="M1649" s="0" t="s">
        <v>52</v>
      </c>
      <c r="N1649" s="0" t="s">
        <v>112</v>
      </c>
      <c r="P1649" s="13" t="n">
        <v>113</v>
      </c>
      <c r="Q1649" s="0" t="s">
        <v>46</v>
      </c>
      <c r="R1649" s="0" t="s">
        <v>56</v>
      </c>
      <c r="S1649" s="13" t="n">
        <v>2110405</v>
      </c>
      <c r="T1649" s="0" t="s">
        <v>56</v>
      </c>
      <c r="U1649" s="15" t="n">
        <v>140</v>
      </c>
      <c r="W1649" s="15" t="n">
        <v>140</v>
      </c>
      <c r="X1649" s="0" t="s">
        <v>1466</v>
      </c>
      <c r="Z1649" s="0" t="str">
        <f aca="false">IF($T1649="","",IFERROR(INDEX('Resumo Grupos'!$AC$3:$AC$200,MATCH($T1649,'Resumo Grupos'!$AB$3:$AB$200,0)),"n/d"))</f>
        <v>Cobertura de conta</v>
      </c>
      <c r="AA1649" s="0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3" t="n">
        <v>2</v>
      </c>
      <c r="B1650" s="14" t="n">
        <v>46261</v>
      </c>
      <c r="C1650" s="14" t="n">
        <v>46261</v>
      </c>
      <c r="D1650" s="13" t="n">
        <v>0</v>
      </c>
      <c r="E1650" s="0" t="s">
        <v>109</v>
      </c>
      <c r="F1650" s="13" t="n">
        <v>17</v>
      </c>
      <c r="G1650" s="0" t="s">
        <v>110</v>
      </c>
      <c r="H1650" s="13" t="n">
        <v>1110101</v>
      </c>
      <c r="I1650" s="0" t="s">
        <v>111</v>
      </c>
      <c r="J1650" s="13" t="n">
        <v>1613695</v>
      </c>
      <c r="L1650" s="13" t="n">
        <v>1613695</v>
      </c>
      <c r="M1650" s="0" t="s">
        <v>52</v>
      </c>
      <c r="N1650" s="0" t="s">
        <v>112</v>
      </c>
      <c r="P1650" s="13" t="n">
        <v>113</v>
      </c>
      <c r="Q1650" s="0" t="s">
        <v>46</v>
      </c>
      <c r="R1650" s="0" t="s">
        <v>259</v>
      </c>
      <c r="S1650" s="13" t="n">
        <v>2110101</v>
      </c>
      <c r="T1650" s="0" t="s">
        <v>43</v>
      </c>
      <c r="U1650" s="15" t="n">
        <v>225</v>
      </c>
      <c r="W1650" s="15" t="n">
        <v>225</v>
      </c>
      <c r="X1650" s="0" t="s">
        <v>1467</v>
      </c>
      <c r="Z1650" s="0" t="str">
        <f aca="false">IF($T1650="","",IFERROR(INDEX('Resumo Grupos'!$AC$3:$AC$200,MATCH($T1650,'Resumo Grupos'!$AB$3:$AB$200,0)),"n/d"))</f>
        <v>Despesa</v>
      </c>
      <c r="AA1650" s="0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3" t="n">
        <v>2</v>
      </c>
      <c r="B1651" s="14" t="n">
        <v>46261</v>
      </c>
      <c r="C1651" s="14" t="n">
        <v>46261</v>
      </c>
      <c r="D1651" s="13" t="n">
        <v>0</v>
      </c>
      <c r="E1651" s="0" t="s">
        <v>109</v>
      </c>
      <c r="F1651" s="13" t="n">
        <v>17</v>
      </c>
      <c r="G1651" s="0" t="s">
        <v>110</v>
      </c>
      <c r="H1651" s="13" t="n">
        <v>1110101</v>
      </c>
      <c r="I1651" s="0" t="s">
        <v>111</v>
      </c>
      <c r="J1651" s="13" t="n">
        <v>1613699</v>
      </c>
      <c r="L1651" s="13" t="n">
        <v>1613699</v>
      </c>
      <c r="M1651" s="0" t="s">
        <v>52</v>
      </c>
      <c r="N1651" s="0" t="s">
        <v>112</v>
      </c>
      <c r="P1651" s="13" t="n">
        <v>113</v>
      </c>
      <c r="Q1651" s="0" t="s">
        <v>46</v>
      </c>
      <c r="R1651" s="0" t="s">
        <v>71</v>
      </c>
      <c r="S1651" s="13" t="n">
        <v>4210314</v>
      </c>
      <c r="T1651" s="0" t="s">
        <v>113</v>
      </c>
      <c r="U1651" s="15" t="n">
        <v>50</v>
      </c>
      <c r="W1651" s="15" t="n">
        <v>50</v>
      </c>
      <c r="X1651" s="0" t="s">
        <v>368</v>
      </c>
      <c r="Z1651" s="0" t="str">
        <f aca="false">IF($T1651="","",IFERROR(INDEX('Resumo Grupos'!$AC$3:$AC$200,MATCH($T1651,'Resumo Grupos'!$AB$3:$AB$200,0)),"n/d"))</f>
        <v>Despesa</v>
      </c>
      <c r="AA1651" s="0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3" t="n">
        <v>2</v>
      </c>
      <c r="B1652" s="14" t="n">
        <v>46261</v>
      </c>
      <c r="C1652" s="14" t="n">
        <v>46261</v>
      </c>
      <c r="D1652" s="13" t="n">
        <v>0</v>
      </c>
      <c r="E1652" s="0" t="s">
        <v>109</v>
      </c>
      <c r="F1652" s="13" t="n">
        <v>17</v>
      </c>
      <c r="G1652" s="0" t="s">
        <v>110</v>
      </c>
      <c r="H1652" s="13" t="n">
        <v>1110101</v>
      </c>
      <c r="I1652" s="0" t="s">
        <v>111</v>
      </c>
      <c r="J1652" s="13" t="n">
        <v>1613702</v>
      </c>
      <c r="L1652" s="13" t="n">
        <v>1613702</v>
      </c>
      <c r="M1652" s="0" t="s">
        <v>52</v>
      </c>
      <c r="N1652" s="0" t="s">
        <v>112</v>
      </c>
      <c r="P1652" s="13" t="n">
        <v>113</v>
      </c>
      <c r="Q1652" s="0" t="s">
        <v>46</v>
      </c>
      <c r="R1652" s="0" t="s">
        <v>71</v>
      </c>
      <c r="S1652" s="13" t="n">
        <v>4210314</v>
      </c>
      <c r="T1652" s="0" t="s">
        <v>113</v>
      </c>
      <c r="U1652" s="15" t="n">
        <v>70</v>
      </c>
      <c r="W1652" s="15" t="n">
        <v>70</v>
      </c>
      <c r="X1652" s="0" t="s">
        <v>187</v>
      </c>
      <c r="Z1652" s="0" t="str">
        <f aca="false">IF($T1652="","",IFERROR(INDEX('Resumo Grupos'!$AC$3:$AC$200,MATCH($T1652,'Resumo Grupos'!$AB$3:$AB$200,0)),"n/d"))</f>
        <v>Despesa</v>
      </c>
      <c r="AA1652" s="0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3" t="n">
        <v>2</v>
      </c>
      <c r="B1653" s="14" t="n">
        <v>46261</v>
      </c>
      <c r="C1653" s="14" t="n">
        <v>46261</v>
      </c>
      <c r="D1653" s="13" t="n">
        <v>0</v>
      </c>
      <c r="E1653" s="0" t="s">
        <v>109</v>
      </c>
      <c r="F1653" s="13" t="n">
        <v>17</v>
      </c>
      <c r="G1653" s="0" t="s">
        <v>110</v>
      </c>
      <c r="H1653" s="13" t="n">
        <v>1110101</v>
      </c>
      <c r="I1653" s="0" t="s">
        <v>111</v>
      </c>
      <c r="J1653" s="13" t="n">
        <v>1716415</v>
      </c>
      <c r="L1653" s="13" t="n">
        <v>1716415</v>
      </c>
      <c r="M1653" s="0" t="s">
        <v>52</v>
      </c>
      <c r="N1653" s="0" t="s">
        <v>112</v>
      </c>
      <c r="P1653" s="13" t="n">
        <v>113</v>
      </c>
      <c r="Q1653" s="0" t="s">
        <v>46</v>
      </c>
      <c r="R1653" s="0" t="s">
        <v>116</v>
      </c>
      <c r="S1653" s="13" t="n">
        <v>1110203</v>
      </c>
      <c r="T1653" s="0" t="s">
        <v>117</v>
      </c>
      <c r="U1653" s="15" t="n">
        <v>2950</v>
      </c>
      <c r="W1653" s="15" t="n">
        <v>2950</v>
      </c>
      <c r="X1653" s="0" t="s">
        <v>1468</v>
      </c>
      <c r="Z1653" s="0" t="str">
        <f aca="false">IF($T1653="","",IFERROR(INDEX('Resumo Grupos'!$AC$3:$AC$200,MATCH($T1653,'Resumo Grupos'!$AB$3:$AB$200,0)),"n/d"))</f>
        <v>Despesa</v>
      </c>
      <c r="AA1653" s="0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3" t="n">
        <v>2</v>
      </c>
      <c r="B1654" s="14" t="n">
        <v>46252</v>
      </c>
      <c r="C1654" s="14" t="n">
        <v>46261</v>
      </c>
      <c r="D1654" s="13" t="n">
        <v>1671</v>
      </c>
      <c r="E1654" s="0" t="s">
        <v>119</v>
      </c>
      <c r="F1654" s="13" t="n">
        <v>24</v>
      </c>
      <c r="G1654" s="0" t="s">
        <v>51</v>
      </c>
      <c r="H1654" s="13" t="n">
        <v>2110405</v>
      </c>
      <c r="I1654" s="0" t="s">
        <v>56</v>
      </c>
      <c r="J1654" s="13" t="n">
        <v>1567127</v>
      </c>
      <c r="L1654" s="13" t="n">
        <v>213978</v>
      </c>
      <c r="M1654" s="0" t="s">
        <v>52</v>
      </c>
      <c r="N1654" s="0" t="s">
        <v>45</v>
      </c>
      <c r="P1654" s="13" t="n">
        <v>113</v>
      </c>
      <c r="Q1654" s="0" t="s">
        <v>46</v>
      </c>
      <c r="R1654" s="0" t="s">
        <v>47</v>
      </c>
      <c r="S1654" s="13" t="n">
        <v>1130101</v>
      </c>
      <c r="T1654" s="0" t="s">
        <v>48</v>
      </c>
      <c r="U1654" s="15" t="n">
        <v>793.82</v>
      </c>
      <c r="W1654" s="15" t="n">
        <v>793.82</v>
      </c>
      <c r="X1654" s="0" t="s">
        <v>1469</v>
      </c>
      <c r="Z1654" s="0" t="str">
        <f aca="false">IF($T1654="","",IFERROR(INDEX('Resumo Grupos'!$AC$3:$AC$200,MATCH($T1654,'Resumo Grupos'!$AB$3:$AB$200,0)),"n/d"))</f>
        <v>Mercadoria</v>
      </c>
      <c r="AA1654" s="0" t="str">
        <f aca="false">IF($T1654="","",IF(COUNTIF('Resumo Grupos'!$AE$3:$AE$40,$T1654)&gt;0,"NAO","SIM"))</f>
        <v>SIM</v>
      </c>
      <c r="AB1654" s="0" t="str">
        <f aca="false">IFERROR(INDEX('Mov Entradas (Rel 10497)'!$L:$L,MATCH(AC1654,'Mov Entradas (Rel 10497)'!$I:$I,0)),"nao encontrado")</f>
        <v>SAB LIQ PROTEX CREAM</v>
      </c>
      <c r="AC1654" s="0" t="n">
        <v>586415</v>
      </c>
    </row>
    <row r="1655" customFormat="false" ht="12.75" hidden="false" customHeight="true" outlineLevel="0" collapsed="false">
      <c r="A1655" s="13" t="n">
        <v>2</v>
      </c>
      <c r="B1655" s="14" t="n">
        <v>46252</v>
      </c>
      <c r="C1655" s="14" t="n">
        <v>46261</v>
      </c>
      <c r="D1655" s="13" t="n">
        <v>1196</v>
      </c>
      <c r="E1655" s="0" t="s">
        <v>1470</v>
      </c>
      <c r="F1655" s="13" t="n">
        <v>24</v>
      </c>
      <c r="G1655" s="0" t="s">
        <v>51</v>
      </c>
      <c r="H1655" s="13" t="n">
        <v>2110405</v>
      </c>
      <c r="I1655" s="0" t="s">
        <v>56</v>
      </c>
      <c r="J1655" s="13" t="n">
        <v>1566579</v>
      </c>
      <c r="L1655" s="13" t="n">
        <v>213841</v>
      </c>
      <c r="M1655" s="0" t="s">
        <v>52</v>
      </c>
      <c r="N1655" s="0" t="s">
        <v>45</v>
      </c>
      <c r="P1655" s="13" t="n">
        <v>113</v>
      </c>
      <c r="Q1655" s="0" t="s">
        <v>46</v>
      </c>
      <c r="R1655" s="0" t="s">
        <v>47</v>
      </c>
      <c r="S1655" s="13" t="n">
        <v>1130101</v>
      </c>
      <c r="T1655" s="0" t="s">
        <v>48</v>
      </c>
      <c r="U1655" s="15" t="n">
        <v>855.99</v>
      </c>
      <c r="W1655" s="15" t="n">
        <v>855.99</v>
      </c>
      <c r="X1655" s="0" t="s">
        <v>1471</v>
      </c>
      <c r="Z1655" s="0" t="str">
        <f aca="false">IF($T1655="","",IFERROR(INDEX('Resumo Grupos'!$AC$3:$AC$200,MATCH($T1655,'Resumo Grupos'!$AB$3:$AB$200,0)),"n/d"))</f>
        <v>Mercadoria</v>
      </c>
      <c r="AA1655" s="0" t="str">
        <f aca="false">IF($T1655="","",IF(COUNTIF('Resumo Grupos'!$AE$3:$AE$40,$T1655)&gt;0,"NAO","SIM"))</f>
        <v>SIM</v>
      </c>
      <c r="AB1655" s="0" t="str">
        <f aca="false">IFERROR(INDEX('Mov Entradas (Rel 10497)'!$L:$L,MATCH(AC1655,'Mov Entradas (Rel 10497)'!$I:$I,0)),"nao encontrado")</f>
        <v>TORRADA ROSQUINHA 100G</v>
      </c>
      <c r="AC1655" s="0" t="n">
        <v>12793</v>
      </c>
    </row>
    <row r="1656" customFormat="false" ht="12.75" hidden="false" customHeight="true" outlineLevel="0" collapsed="false">
      <c r="A1656" s="13" t="n">
        <v>2</v>
      </c>
      <c r="B1656" s="14" t="n">
        <v>46248</v>
      </c>
      <c r="C1656" s="14" t="n">
        <v>46262</v>
      </c>
      <c r="D1656" s="13" t="n">
        <v>1705</v>
      </c>
      <c r="E1656" s="0" t="s">
        <v>130</v>
      </c>
      <c r="F1656" s="13" t="n">
        <v>24</v>
      </c>
      <c r="G1656" s="0" t="s">
        <v>51</v>
      </c>
      <c r="H1656" s="13" t="n">
        <v>2110405</v>
      </c>
      <c r="I1656" s="0" t="s">
        <v>56</v>
      </c>
      <c r="J1656" s="13" t="n">
        <v>1546022</v>
      </c>
      <c r="L1656" s="13" t="n">
        <v>211208</v>
      </c>
      <c r="M1656" s="0" t="s">
        <v>52</v>
      </c>
      <c r="N1656" s="0" t="s">
        <v>45</v>
      </c>
      <c r="P1656" s="13" t="n">
        <v>113</v>
      </c>
      <c r="Q1656" s="0" t="s">
        <v>46</v>
      </c>
      <c r="R1656" s="0" t="s">
        <v>47</v>
      </c>
      <c r="S1656" s="13" t="n">
        <v>1130101</v>
      </c>
      <c r="T1656" s="0" t="s">
        <v>48</v>
      </c>
      <c r="U1656" s="15" t="n">
        <v>50.85</v>
      </c>
      <c r="W1656" s="15" t="n">
        <v>50.85</v>
      </c>
      <c r="X1656" s="0" t="s">
        <v>1472</v>
      </c>
      <c r="Z1656" s="0" t="str">
        <f aca="false">IF($T1656="","",IFERROR(INDEX('Resumo Grupos'!$AC$3:$AC$200,MATCH($T1656,'Resumo Grupos'!$AB$3:$AB$200,0)),"n/d"))</f>
        <v>Mercadoria</v>
      </c>
      <c r="AA1656" s="0" t="str">
        <f aca="false">IF($T1656="","",IF(COUNTIF('Resumo Grupos'!$AE$3:$AE$40,$T1656)&gt;0,"NAO","SIM"))</f>
        <v>SIM</v>
      </c>
      <c r="AB1656" s="0" t="str">
        <f aca="false">IFERROR(INDEX('Mov Entradas (Rel 10497)'!$L:$L,MATCH(AC1656,'Mov Entradas (Rel 10497)'!$I:$I,0)),"nao encontrado")</f>
        <v>MONST ULTRA PEACHY K</v>
      </c>
      <c r="AC1656" s="0" t="n">
        <v>1246872</v>
      </c>
    </row>
    <row r="1657" customFormat="false" ht="12.75" hidden="false" customHeight="true" outlineLevel="0" collapsed="false">
      <c r="A1657" s="13" t="n">
        <v>2</v>
      </c>
      <c r="B1657" s="14" t="n">
        <v>46248</v>
      </c>
      <c r="C1657" s="14" t="n">
        <v>46262</v>
      </c>
      <c r="D1657" s="13" t="n">
        <v>1705</v>
      </c>
      <c r="E1657" s="0" t="s">
        <v>130</v>
      </c>
      <c r="F1657" s="13" t="n">
        <v>24</v>
      </c>
      <c r="G1657" s="0" t="s">
        <v>51</v>
      </c>
      <c r="H1657" s="13" t="n">
        <v>2110405</v>
      </c>
      <c r="I1657" s="0" t="s">
        <v>56</v>
      </c>
      <c r="J1657" s="13" t="n">
        <v>1546035</v>
      </c>
      <c r="L1657" s="13" t="n">
        <v>211216</v>
      </c>
      <c r="M1657" s="0" t="s">
        <v>52</v>
      </c>
      <c r="N1657" s="0" t="s">
        <v>45</v>
      </c>
      <c r="P1657" s="13" t="n">
        <v>113</v>
      </c>
      <c r="Q1657" s="0" t="s">
        <v>46</v>
      </c>
      <c r="R1657" s="0" t="s">
        <v>47</v>
      </c>
      <c r="S1657" s="13" t="n">
        <v>1130101</v>
      </c>
      <c r="T1657" s="0" t="s">
        <v>48</v>
      </c>
      <c r="U1657" s="15" t="n">
        <v>620.26</v>
      </c>
      <c r="W1657" s="15" t="n">
        <v>620.26</v>
      </c>
      <c r="X1657" s="0" t="s">
        <v>1473</v>
      </c>
      <c r="Z1657" s="0" t="str">
        <f aca="false">IF($T1657="","",IFERROR(INDEX('Resumo Grupos'!$AC$3:$AC$200,MATCH($T1657,'Resumo Grupos'!$AB$3:$AB$200,0)),"n/d"))</f>
        <v>Mercadoria</v>
      </c>
      <c r="AA1657" s="0" t="str">
        <f aca="false">IF($T1657="","",IF(COUNTIF('Resumo Grupos'!$AE$3:$AE$40,$T1657)&gt;0,"NAO","SIM"))</f>
        <v>SIM</v>
      </c>
      <c r="AB1657" s="0" t="str">
        <f aca="false">IFERROR(INDEX('Mov Entradas (Rel 10497)'!$L:$L,MATCH(AC1657,'Mov Entradas (Rel 10497)'!$I:$I,0)),"nao encontrado")</f>
        <v>SUC DEL VALLE LAR 1L</v>
      </c>
      <c r="AC1657" s="0" t="n">
        <v>1246873</v>
      </c>
    </row>
    <row r="1658" customFormat="false" ht="12.75" hidden="false" customHeight="true" outlineLevel="0" collapsed="false">
      <c r="A1658" s="13" t="n">
        <v>2</v>
      </c>
      <c r="B1658" s="14" t="n">
        <v>46248</v>
      </c>
      <c r="C1658" s="14" t="n">
        <v>46262</v>
      </c>
      <c r="D1658" s="13" t="n">
        <v>1705</v>
      </c>
      <c r="E1658" s="0" t="s">
        <v>130</v>
      </c>
      <c r="F1658" s="13" t="n">
        <v>24</v>
      </c>
      <c r="G1658" s="0" t="s">
        <v>51</v>
      </c>
      <c r="H1658" s="13" t="n">
        <v>2110405</v>
      </c>
      <c r="I1658" s="0" t="s">
        <v>56</v>
      </c>
      <c r="J1658" s="13" t="n">
        <v>1546067</v>
      </c>
      <c r="L1658" s="13" t="n">
        <v>211225</v>
      </c>
      <c r="M1658" s="0" t="s">
        <v>52</v>
      </c>
      <c r="N1658" s="0" t="s">
        <v>45</v>
      </c>
      <c r="P1658" s="13" t="n">
        <v>113</v>
      </c>
      <c r="Q1658" s="0" t="s">
        <v>46</v>
      </c>
      <c r="R1658" s="0" t="s">
        <v>47</v>
      </c>
      <c r="S1658" s="13" t="n">
        <v>1130101</v>
      </c>
      <c r="T1658" s="0" t="s">
        <v>48</v>
      </c>
      <c r="U1658" s="15" t="n">
        <v>2148.12</v>
      </c>
      <c r="W1658" s="15" t="n">
        <v>2148.12</v>
      </c>
      <c r="X1658" s="0" t="s">
        <v>1474</v>
      </c>
      <c r="Z1658" s="0" t="str">
        <f aca="false">IF($T1658="","",IFERROR(INDEX('Resumo Grupos'!$AC$3:$AC$200,MATCH($T1658,'Resumo Grupos'!$AB$3:$AB$200,0)),"n/d"))</f>
        <v>Mercadoria</v>
      </c>
      <c r="AA1658" s="0" t="str">
        <f aca="false">IF($T1658="","",IF(COUNTIF('Resumo Grupos'!$AE$3:$AE$40,$T1658)&gt;0,"NAO","SIM"))</f>
        <v>SIM</v>
      </c>
      <c r="AB1658" s="0" t="str">
        <f aca="false">IFERROR(INDEX('Mov Entradas (Rel 10497)'!$L:$L,MATCH(AC1658,'Mov Entradas (Rel 10497)'!$I:$I,0)),"nao encontrado")</f>
        <v>REFR FANTA UVA 200ML</v>
      </c>
      <c r="AC1658" s="0" t="n">
        <v>1986776</v>
      </c>
    </row>
    <row r="1659" customFormat="false" ht="12.75" hidden="false" customHeight="true" outlineLevel="0" collapsed="false">
      <c r="A1659" s="13" t="n">
        <v>2</v>
      </c>
      <c r="B1659" s="14" t="n">
        <v>46253</v>
      </c>
      <c r="C1659" s="14" t="n">
        <v>46262</v>
      </c>
      <c r="D1659" s="13" t="n">
        <v>1723</v>
      </c>
      <c r="E1659" s="0" t="s">
        <v>371</v>
      </c>
      <c r="F1659" s="13" t="n">
        <v>24</v>
      </c>
      <c r="G1659" s="0" t="s">
        <v>51</v>
      </c>
      <c r="H1659" s="13" t="n">
        <v>2110405</v>
      </c>
      <c r="I1659" s="0" t="s">
        <v>56</v>
      </c>
      <c r="J1659" s="13" t="n">
        <v>1572402</v>
      </c>
      <c r="L1659" s="13" t="n">
        <v>214810</v>
      </c>
      <c r="M1659" s="0" t="s">
        <v>52</v>
      </c>
      <c r="N1659" s="0" t="s">
        <v>45</v>
      </c>
      <c r="P1659" s="13" t="n">
        <v>113</v>
      </c>
      <c r="Q1659" s="0" t="s">
        <v>46</v>
      </c>
      <c r="R1659" s="0" t="s">
        <v>47</v>
      </c>
      <c r="S1659" s="13" t="n">
        <v>1130101</v>
      </c>
      <c r="T1659" s="0" t="s">
        <v>48</v>
      </c>
      <c r="U1659" s="15" t="n">
        <v>2334.75</v>
      </c>
      <c r="W1659" s="15" t="n">
        <v>2334.75</v>
      </c>
      <c r="X1659" s="0" t="s">
        <v>1475</v>
      </c>
      <c r="Z1659" s="0" t="str">
        <f aca="false">IF($T1659="","",IFERROR(INDEX('Resumo Grupos'!$AC$3:$AC$200,MATCH($T1659,'Resumo Grupos'!$AB$3:$AB$200,0)),"n/d"))</f>
        <v>Mercadoria</v>
      </c>
      <c r="AA1659" s="0" t="str">
        <f aca="false">IF($T1659="","",IF(COUNTIF('Resumo Grupos'!$AE$3:$AE$40,$T1659)&gt;0,"NAO","SIM"))</f>
        <v>SIM</v>
      </c>
      <c r="AB1659" s="0" t="str">
        <f aca="false">IFERROR(INDEX('Mov Entradas (Rel 10497)'!$L:$L,MATCH(AC1659,'Mov Entradas (Rel 10497)'!$I:$I,0)),"nao encontrado")</f>
        <v>TRASEIRO DE BOI L1</v>
      </c>
      <c r="AC1659" s="0" t="n">
        <v>175038</v>
      </c>
    </row>
    <row r="1660" customFormat="false" ht="12.75" hidden="false" customHeight="true" outlineLevel="0" collapsed="false">
      <c r="A1660" s="13" t="n">
        <v>2</v>
      </c>
      <c r="B1660" s="14" t="n">
        <v>46262</v>
      </c>
      <c r="C1660" s="14" t="n">
        <v>46262</v>
      </c>
      <c r="D1660" s="13" t="n">
        <v>1037</v>
      </c>
      <c r="E1660" s="0" t="s">
        <v>134</v>
      </c>
      <c r="F1660" s="13" t="n">
        <v>34</v>
      </c>
      <c r="G1660" s="0" t="s">
        <v>55</v>
      </c>
      <c r="H1660" s="13" t="n">
        <v>2110405</v>
      </c>
      <c r="I1660" s="0" t="s">
        <v>56</v>
      </c>
      <c r="J1660" s="13" t="n">
        <v>1614809</v>
      </c>
      <c r="L1660" s="13" t="n">
        <v>221504</v>
      </c>
      <c r="M1660" s="0" t="s">
        <v>52</v>
      </c>
      <c r="N1660" s="0" t="s">
        <v>45</v>
      </c>
      <c r="P1660" s="13" t="n">
        <v>113</v>
      </c>
      <c r="Q1660" s="0" t="s">
        <v>46</v>
      </c>
      <c r="R1660" s="0" t="s">
        <v>47</v>
      </c>
      <c r="S1660" s="13" t="n">
        <v>1130101</v>
      </c>
      <c r="T1660" s="0" t="s">
        <v>48</v>
      </c>
      <c r="U1660" s="15" t="n">
        <v>380</v>
      </c>
      <c r="W1660" s="15" t="n">
        <v>380</v>
      </c>
      <c r="X1660" s="0" t="s">
        <v>1476</v>
      </c>
      <c r="Z1660" s="0" t="str">
        <f aca="false">IF($T1660="","",IFERROR(INDEX('Resumo Grupos'!$AC$3:$AC$200,MATCH($T1660,'Resumo Grupos'!$AB$3:$AB$200,0)),"n/d"))</f>
        <v>Mercadoria</v>
      </c>
      <c r="AA1660" s="0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3" t="n">
        <v>2</v>
      </c>
      <c r="B1661" s="14" t="n">
        <v>46262</v>
      </c>
      <c r="C1661" s="14" t="n">
        <v>46262</v>
      </c>
      <c r="D1661" s="13" t="n">
        <v>12</v>
      </c>
      <c r="E1661" s="0" t="s">
        <v>79</v>
      </c>
      <c r="F1661" s="13" t="n">
        <v>34</v>
      </c>
      <c r="G1661" s="0" t="s">
        <v>55</v>
      </c>
      <c r="H1661" s="13" t="n">
        <v>2110405</v>
      </c>
      <c r="I1661" s="0" t="s">
        <v>56</v>
      </c>
      <c r="J1661" s="13" t="n">
        <v>1613912</v>
      </c>
      <c r="L1661" s="13" t="n">
        <v>221306</v>
      </c>
      <c r="M1661" s="0" t="s">
        <v>52</v>
      </c>
      <c r="N1661" s="0" t="s">
        <v>45</v>
      </c>
      <c r="P1661" s="13" t="n">
        <v>101</v>
      </c>
      <c r="Q1661" s="0" t="s">
        <v>57</v>
      </c>
      <c r="R1661" s="0" t="s">
        <v>71</v>
      </c>
      <c r="S1661" s="13" t="n">
        <v>4210314</v>
      </c>
      <c r="T1661" s="0" t="s">
        <v>113</v>
      </c>
      <c r="U1661" s="15" t="n">
        <v>970</v>
      </c>
      <c r="W1661" s="15" t="n">
        <v>970</v>
      </c>
      <c r="X1661" s="0" t="s">
        <v>1477</v>
      </c>
      <c r="Z1661" s="0" t="str">
        <f aca="false">IF($T1661="","",IFERROR(INDEX('Resumo Grupos'!$AC$3:$AC$200,MATCH($T1661,'Resumo Grupos'!$AB$3:$AB$200,0)),"n/d"))</f>
        <v>Despesa</v>
      </c>
      <c r="AA1661" s="0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3" t="n">
        <v>2</v>
      </c>
      <c r="B1662" s="14" t="n">
        <v>46252</v>
      </c>
      <c r="C1662" s="14" t="n">
        <v>46262</v>
      </c>
      <c r="D1662" s="13" t="n">
        <v>1699</v>
      </c>
      <c r="E1662" s="0" t="s">
        <v>248</v>
      </c>
      <c r="F1662" s="13" t="n">
        <v>24</v>
      </c>
      <c r="G1662" s="0" t="s">
        <v>51</v>
      </c>
      <c r="H1662" s="13" t="n">
        <v>2110405</v>
      </c>
      <c r="I1662" s="0" t="s">
        <v>56</v>
      </c>
      <c r="J1662" s="13" t="n">
        <v>1568208</v>
      </c>
      <c r="L1662" s="13" t="n">
        <v>214137</v>
      </c>
      <c r="M1662" s="0" t="s">
        <v>52</v>
      </c>
      <c r="N1662" s="0" t="s">
        <v>45</v>
      </c>
      <c r="P1662" s="13" t="n">
        <v>113</v>
      </c>
      <c r="Q1662" s="0" t="s">
        <v>46</v>
      </c>
      <c r="R1662" s="0" t="s">
        <v>47</v>
      </c>
      <c r="S1662" s="13" t="n">
        <v>1130101</v>
      </c>
      <c r="T1662" s="0" t="s">
        <v>48</v>
      </c>
      <c r="U1662" s="15" t="n">
        <v>474.75</v>
      </c>
      <c r="W1662" s="15" t="n">
        <v>474.75</v>
      </c>
      <c r="X1662" s="0" t="s">
        <v>1478</v>
      </c>
      <c r="Z1662" s="0" t="str">
        <f aca="false">IF($T1662="","",IFERROR(INDEX('Resumo Grupos'!$AC$3:$AC$200,MATCH($T1662,'Resumo Grupos'!$AB$3:$AB$200,0)),"n/d"))</f>
        <v>Mercadoria</v>
      </c>
      <c r="AA1662" s="0" t="str">
        <f aca="false">IF($T1662="","",IF(COUNTIF('Resumo Grupos'!$AE$3:$AE$40,$T1662)&gt;0,"NAO","SIM"))</f>
        <v>SIM</v>
      </c>
      <c r="AB1662" s="0" t="str">
        <f aca="false">IFERROR(INDEX('Mov Entradas (Rel 10497)'!$L:$L,MATCH(AC1662,'Mov Entradas (Rel 10497)'!$I:$I,0)),"nao encontrado")</f>
        <v>LING CALABRESA PERD</v>
      </c>
      <c r="AC1662" s="0" t="n">
        <v>311351</v>
      </c>
    </row>
    <row r="1663" customFormat="false" ht="12.75" hidden="false" customHeight="true" outlineLevel="0" collapsed="false">
      <c r="A1663" s="13" t="n">
        <v>2</v>
      </c>
      <c r="B1663" s="14" t="n">
        <v>46262</v>
      </c>
      <c r="C1663" s="14" t="n">
        <v>46262</v>
      </c>
      <c r="D1663" s="13" t="n">
        <v>1783</v>
      </c>
      <c r="E1663" s="0" t="s">
        <v>340</v>
      </c>
      <c r="F1663" s="13" t="n">
        <v>13</v>
      </c>
      <c r="G1663" s="0" t="s">
        <v>135</v>
      </c>
      <c r="H1663" s="13" t="n">
        <v>2110405</v>
      </c>
      <c r="I1663" s="0" t="s">
        <v>56</v>
      </c>
      <c r="J1663" s="13" t="n">
        <v>1614652</v>
      </c>
      <c r="L1663" s="13" t="n">
        <v>221475</v>
      </c>
      <c r="M1663" s="0" t="s">
        <v>52</v>
      </c>
      <c r="N1663" s="0" t="s">
        <v>45</v>
      </c>
      <c r="P1663" s="13" t="n">
        <v>113</v>
      </c>
      <c r="Q1663" s="0" t="s">
        <v>46</v>
      </c>
      <c r="R1663" s="0" t="s">
        <v>47</v>
      </c>
      <c r="S1663" s="13" t="n">
        <v>1130101</v>
      </c>
      <c r="T1663" s="0" t="s">
        <v>48</v>
      </c>
      <c r="U1663" s="15" t="n">
        <v>160.32</v>
      </c>
      <c r="W1663" s="15" t="n">
        <v>160.32</v>
      </c>
      <c r="X1663" s="0" t="s">
        <v>1479</v>
      </c>
      <c r="Z1663" s="0" t="str">
        <f aca="false">IF($T1663="","",IFERROR(INDEX('Resumo Grupos'!$AC$3:$AC$200,MATCH($T1663,'Resumo Grupos'!$AB$3:$AB$200,0)),"n/d"))</f>
        <v>Mercadoria</v>
      </c>
      <c r="AA1663" s="0" t="str">
        <f aca="false">IF($T1663="","",IF(COUNTIF('Resumo Grupos'!$AE$3:$AE$40,$T1663)&gt;0,"NAO","SIM"))</f>
        <v>SIM</v>
      </c>
      <c r="AB1663" s="0" t="str">
        <f aca="false">IFERROR(INDEX('Mov Entradas (Rel 10497)'!$L:$L,MATCH(AC1663,'Mov Entradas (Rel 10497)'!$I:$I,0)),"nao encontrado")</f>
        <v>MARSHMALOW NO PALITO</v>
      </c>
      <c r="AC1663" s="0" t="n">
        <v>532</v>
      </c>
    </row>
    <row r="1664" customFormat="false" ht="12.75" hidden="false" customHeight="true" outlineLevel="0" collapsed="false">
      <c r="A1664" s="13" t="n">
        <v>2</v>
      </c>
      <c r="B1664" s="14" t="n">
        <v>46255</v>
      </c>
      <c r="C1664" s="14" t="n">
        <v>46262</v>
      </c>
      <c r="D1664" s="13" t="n">
        <v>48</v>
      </c>
      <c r="E1664" s="0" t="s">
        <v>153</v>
      </c>
      <c r="F1664" s="13" t="n">
        <v>34</v>
      </c>
      <c r="G1664" s="0" t="s">
        <v>55</v>
      </c>
      <c r="H1664" s="13" t="n">
        <v>2110101</v>
      </c>
      <c r="I1664" s="0" t="s">
        <v>43</v>
      </c>
      <c r="J1664" s="13" t="n">
        <v>1582083</v>
      </c>
      <c r="L1664" s="13" t="n">
        <v>2624</v>
      </c>
      <c r="M1664" s="0" t="s">
        <v>52</v>
      </c>
      <c r="N1664" s="0" t="s">
        <v>37</v>
      </c>
      <c r="P1664" s="13" t="n">
        <v>113</v>
      </c>
      <c r="Q1664" s="0" t="s">
        <v>46</v>
      </c>
      <c r="R1664" s="0" t="s">
        <v>47</v>
      </c>
      <c r="S1664" s="13" t="n">
        <v>1130101</v>
      </c>
      <c r="T1664" s="0" t="s">
        <v>48</v>
      </c>
      <c r="U1664" s="15" t="n">
        <v>1383</v>
      </c>
      <c r="W1664" s="15" t="n">
        <v>1383</v>
      </c>
      <c r="X1664" s="0" t="s">
        <v>441</v>
      </c>
      <c r="Z1664" s="0" t="str">
        <f aca="false">IF($T1664="","",IFERROR(INDEX('Resumo Grupos'!$AC$3:$AC$200,MATCH($T1664,'Resumo Grupos'!$AB$3:$AB$200,0)),"n/d"))</f>
        <v>Mercadoria</v>
      </c>
      <c r="AA1664" s="0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3" t="n">
        <v>2</v>
      </c>
      <c r="B1665" s="14" t="n">
        <v>46262</v>
      </c>
      <c r="C1665" s="14" t="n">
        <v>46262</v>
      </c>
      <c r="D1665" s="13" t="n">
        <v>48</v>
      </c>
      <c r="E1665" s="0" t="s">
        <v>153</v>
      </c>
      <c r="F1665" s="13" t="n">
        <v>34</v>
      </c>
      <c r="G1665" s="0" t="s">
        <v>55</v>
      </c>
      <c r="H1665" s="13" t="n">
        <v>2110101</v>
      </c>
      <c r="I1665" s="0" t="s">
        <v>43</v>
      </c>
      <c r="J1665" s="13" t="n">
        <v>1614644</v>
      </c>
      <c r="L1665" s="13" t="n">
        <v>2636</v>
      </c>
      <c r="M1665" s="0" t="s">
        <v>52</v>
      </c>
      <c r="N1665" s="0" t="s">
        <v>37</v>
      </c>
      <c r="P1665" s="13" t="n">
        <v>113</v>
      </c>
      <c r="Q1665" s="0" t="s">
        <v>46</v>
      </c>
      <c r="R1665" s="0" t="s">
        <v>47</v>
      </c>
      <c r="S1665" s="13" t="n">
        <v>1130101</v>
      </c>
      <c r="T1665" s="0" t="s">
        <v>48</v>
      </c>
      <c r="U1665" s="15" t="n">
        <v>200</v>
      </c>
      <c r="W1665" s="15" t="n">
        <v>200</v>
      </c>
      <c r="X1665" s="0" t="s">
        <v>1480</v>
      </c>
      <c r="Z1665" s="0" t="str">
        <f aca="false">IF($T1665="","",IFERROR(INDEX('Resumo Grupos'!$AC$3:$AC$200,MATCH($T1665,'Resumo Grupos'!$AB$3:$AB$200,0)),"n/d"))</f>
        <v>Mercadoria</v>
      </c>
      <c r="AA1665" s="0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3" t="n">
        <v>2</v>
      </c>
      <c r="B1666" s="14" t="n">
        <v>46262</v>
      </c>
      <c r="C1666" s="14" t="n">
        <v>46262</v>
      </c>
      <c r="D1666" s="13" t="n">
        <v>48</v>
      </c>
      <c r="E1666" s="0" t="s">
        <v>153</v>
      </c>
      <c r="F1666" s="13" t="n">
        <v>34</v>
      </c>
      <c r="G1666" s="0" t="s">
        <v>55</v>
      </c>
      <c r="H1666" s="13" t="n">
        <v>2110101</v>
      </c>
      <c r="I1666" s="0" t="s">
        <v>43</v>
      </c>
      <c r="J1666" s="13" t="n">
        <v>1614784</v>
      </c>
      <c r="L1666" s="13" t="n">
        <v>2637</v>
      </c>
      <c r="M1666" s="0" t="s">
        <v>52</v>
      </c>
      <c r="N1666" s="0" t="s">
        <v>37</v>
      </c>
      <c r="P1666" s="13" t="n">
        <v>113</v>
      </c>
      <c r="Q1666" s="0" t="s">
        <v>46</v>
      </c>
      <c r="R1666" s="0" t="s">
        <v>47</v>
      </c>
      <c r="S1666" s="13" t="n">
        <v>1130101</v>
      </c>
      <c r="T1666" s="0" t="s">
        <v>48</v>
      </c>
      <c r="U1666" s="15" t="n">
        <v>1457.5</v>
      </c>
      <c r="W1666" s="15" t="n">
        <v>1457.5</v>
      </c>
      <c r="X1666" s="0" t="s">
        <v>1481</v>
      </c>
      <c r="Z1666" s="0" t="str">
        <f aca="false">IF($T1666="","",IFERROR(INDEX('Resumo Grupos'!$AC$3:$AC$200,MATCH($T1666,'Resumo Grupos'!$AB$3:$AB$200,0)),"n/d"))</f>
        <v>Mercadoria</v>
      </c>
      <c r="AA1666" s="0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3" t="n">
        <v>2</v>
      </c>
      <c r="B1667" s="14" t="n">
        <v>46255</v>
      </c>
      <c r="C1667" s="14" t="n">
        <v>46262</v>
      </c>
      <c r="D1667" s="13" t="n">
        <v>1292</v>
      </c>
      <c r="E1667" s="0" t="s">
        <v>209</v>
      </c>
      <c r="F1667" s="13" t="n">
        <v>24</v>
      </c>
      <c r="G1667" s="0" t="s">
        <v>51</v>
      </c>
      <c r="H1667" s="13" t="n">
        <v>2110405</v>
      </c>
      <c r="I1667" s="0" t="s">
        <v>56</v>
      </c>
      <c r="J1667" s="13" t="n">
        <v>1580953</v>
      </c>
      <c r="L1667" s="13" t="n">
        <v>216244</v>
      </c>
      <c r="M1667" s="0" t="s">
        <v>52</v>
      </c>
      <c r="N1667" s="0" t="s">
        <v>45</v>
      </c>
      <c r="P1667" s="13" t="n">
        <v>113</v>
      </c>
      <c r="Q1667" s="0" t="s">
        <v>46</v>
      </c>
      <c r="R1667" s="0" t="s">
        <v>47</v>
      </c>
      <c r="S1667" s="13" t="n">
        <v>1130101</v>
      </c>
      <c r="T1667" s="0" t="s">
        <v>48</v>
      </c>
      <c r="U1667" s="15" t="n">
        <v>814.25</v>
      </c>
      <c r="W1667" s="15" t="n">
        <v>814.25</v>
      </c>
      <c r="X1667" s="0" t="s">
        <v>1482</v>
      </c>
      <c r="Z1667" s="0" t="str">
        <f aca="false">IF($T1667="","",IFERROR(INDEX('Resumo Grupos'!$AC$3:$AC$200,MATCH($T1667,'Resumo Grupos'!$AB$3:$AB$200,0)),"n/d"))</f>
        <v>Mercadoria</v>
      </c>
      <c r="AA1667" s="0" t="str">
        <f aca="false">IF($T1667="","",IF(COUNTIF('Resumo Grupos'!$AE$3:$AE$40,$T1667)&gt;0,"NAO","SIM"))</f>
        <v>SIM</v>
      </c>
      <c r="AB1667" s="0" t="str">
        <f aca="false">IFERROR(INDEX('Mov Entradas (Rel 10497)'!$L:$L,MATCH(AC1667,'Mov Entradas (Rel 10497)'!$I:$I,0)),"nao encontrado")</f>
        <v>QUEIJO MUSSARELA FAT</v>
      </c>
      <c r="AC1667" s="0" t="n">
        <v>3877</v>
      </c>
    </row>
    <row r="1668" customFormat="false" ht="12.75" hidden="false" customHeight="true" outlineLevel="0" collapsed="false">
      <c r="A1668" s="13" t="n">
        <v>2</v>
      </c>
      <c r="B1668" s="14" t="n">
        <v>46262</v>
      </c>
      <c r="C1668" s="14" t="n">
        <v>46262</v>
      </c>
      <c r="D1668" s="13" t="n">
        <v>0</v>
      </c>
      <c r="E1668" s="0" t="s">
        <v>109</v>
      </c>
      <c r="F1668" s="13" t="n">
        <v>17</v>
      </c>
      <c r="G1668" s="0" t="s">
        <v>110</v>
      </c>
      <c r="H1668" s="13" t="n">
        <v>1110101</v>
      </c>
      <c r="I1668" s="0" t="s">
        <v>111</v>
      </c>
      <c r="J1668" s="13" t="n">
        <v>1629952</v>
      </c>
      <c r="L1668" s="13" t="n">
        <v>1629952</v>
      </c>
      <c r="M1668" s="0" t="s">
        <v>52</v>
      </c>
      <c r="N1668" s="0" t="s">
        <v>112</v>
      </c>
      <c r="P1668" s="13" t="n">
        <v>113</v>
      </c>
      <c r="Q1668" s="0" t="s">
        <v>46</v>
      </c>
      <c r="R1668" s="0" t="s">
        <v>71</v>
      </c>
      <c r="S1668" s="13" t="n">
        <v>4210314</v>
      </c>
      <c r="T1668" s="0" t="s">
        <v>113</v>
      </c>
      <c r="U1668" s="15" t="n">
        <v>50</v>
      </c>
      <c r="W1668" s="15" t="n">
        <v>50</v>
      </c>
      <c r="X1668" s="0" t="s">
        <v>368</v>
      </c>
      <c r="Z1668" s="0" t="str">
        <f aca="false">IF($T1668="","",IFERROR(INDEX('Resumo Grupos'!$AC$3:$AC$200,MATCH($T1668,'Resumo Grupos'!$AB$3:$AB$200,0)),"n/d"))</f>
        <v>Despesa</v>
      </c>
      <c r="AA1668" s="0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3" t="n">
        <v>2</v>
      </c>
      <c r="B1669" s="14" t="n">
        <v>46262</v>
      </c>
      <c r="C1669" s="14" t="n">
        <v>46262</v>
      </c>
      <c r="D1669" s="13" t="n">
        <v>0</v>
      </c>
      <c r="E1669" s="0" t="s">
        <v>109</v>
      </c>
      <c r="F1669" s="13" t="n">
        <v>17</v>
      </c>
      <c r="G1669" s="0" t="s">
        <v>110</v>
      </c>
      <c r="H1669" s="13" t="n">
        <v>1110101</v>
      </c>
      <c r="I1669" s="0" t="s">
        <v>111</v>
      </c>
      <c r="J1669" s="13" t="n">
        <v>1629953</v>
      </c>
      <c r="L1669" s="13" t="n">
        <v>1629953</v>
      </c>
      <c r="M1669" s="0" t="s">
        <v>52</v>
      </c>
      <c r="N1669" s="0" t="s">
        <v>112</v>
      </c>
      <c r="P1669" s="13" t="n">
        <v>113</v>
      </c>
      <c r="Q1669" s="0" t="s">
        <v>46</v>
      </c>
      <c r="R1669" s="0" t="s">
        <v>71</v>
      </c>
      <c r="S1669" s="13" t="n">
        <v>4210314</v>
      </c>
      <c r="T1669" s="0" t="s">
        <v>113</v>
      </c>
      <c r="U1669" s="15" t="n">
        <v>70</v>
      </c>
      <c r="W1669" s="15" t="n">
        <v>70</v>
      </c>
      <c r="X1669" s="0" t="s">
        <v>114</v>
      </c>
      <c r="Z1669" s="0" t="str">
        <f aca="false">IF($T1669="","",IFERROR(INDEX('Resumo Grupos'!$AC$3:$AC$200,MATCH($T1669,'Resumo Grupos'!$AB$3:$AB$200,0)),"n/d"))</f>
        <v>Despesa</v>
      </c>
      <c r="AA1669" s="0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3" t="n">
        <v>2</v>
      </c>
      <c r="B1670" s="14" t="n">
        <v>46262</v>
      </c>
      <c r="C1670" s="14" t="n">
        <v>46262</v>
      </c>
      <c r="D1670" s="13" t="n">
        <v>0</v>
      </c>
      <c r="E1670" s="0" t="s">
        <v>109</v>
      </c>
      <c r="F1670" s="13" t="n">
        <v>17</v>
      </c>
      <c r="G1670" s="0" t="s">
        <v>110</v>
      </c>
      <c r="H1670" s="13" t="n">
        <v>1110101</v>
      </c>
      <c r="I1670" s="0" t="s">
        <v>111</v>
      </c>
      <c r="J1670" s="13" t="n">
        <v>1629954</v>
      </c>
      <c r="L1670" s="13" t="n">
        <v>1629954</v>
      </c>
      <c r="M1670" s="0" t="s">
        <v>52</v>
      </c>
      <c r="N1670" s="0" t="s">
        <v>112</v>
      </c>
      <c r="P1670" s="13" t="n">
        <v>113</v>
      </c>
      <c r="Q1670" s="0" t="s">
        <v>46</v>
      </c>
      <c r="R1670" s="0" t="s">
        <v>56</v>
      </c>
      <c r="S1670" s="13" t="n">
        <v>2110405</v>
      </c>
      <c r="T1670" s="0" t="s">
        <v>56</v>
      </c>
      <c r="U1670" s="15" t="n">
        <v>160.32</v>
      </c>
      <c r="W1670" s="15" t="n">
        <v>160.32</v>
      </c>
      <c r="X1670" s="0" t="s">
        <v>1483</v>
      </c>
      <c r="Z1670" s="0" t="str">
        <f aca="false">IF($T1670="","",IFERROR(INDEX('Resumo Grupos'!$AC$3:$AC$200,MATCH($T1670,'Resumo Grupos'!$AB$3:$AB$200,0)),"n/d"))</f>
        <v>Cobertura de conta</v>
      </c>
      <c r="AA1670" s="0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3" t="n">
        <v>2</v>
      </c>
      <c r="B1671" s="14" t="n">
        <v>46262</v>
      </c>
      <c r="C1671" s="14" t="n">
        <v>46262</v>
      </c>
      <c r="D1671" s="13" t="n">
        <v>0</v>
      </c>
      <c r="E1671" s="0" t="s">
        <v>109</v>
      </c>
      <c r="F1671" s="13" t="n">
        <v>17</v>
      </c>
      <c r="G1671" s="0" t="s">
        <v>110</v>
      </c>
      <c r="H1671" s="13" t="n">
        <v>1110101</v>
      </c>
      <c r="I1671" s="0" t="s">
        <v>111</v>
      </c>
      <c r="J1671" s="13" t="n">
        <v>1646145</v>
      </c>
      <c r="L1671" s="13" t="n">
        <v>1646145</v>
      </c>
      <c r="M1671" s="0" t="s">
        <v>52</v>
      </c>
      <c r="N1671" s="0" t="s">
        <v>112</v>
      </c>
      <c r="P1671" s="13" t="n">
        <v>113</v>
      </c>
      <c r="Q1671" s="0" t="s">
        <v>46</v>
      </c>
      <c r="R1671" s="0" t="s">
        <v>39</v>
      </c>
      <c r="S1671" s="13" t="n">
        <v>4210227</v>
      </c>
      <c r="T1671" s="0" t="s">
        <v>68</v>
      </c>
      <c r="U1671" s="15" t="n">
        <v>300</v>
      </c>
      <c r="W1671" s="15" t="n">
        <v>300</v>
      </c>
      <c r="X1671" s="0" t="s">
        <v>1484</v>
      </c>
      <c r="Z1671" s="0" t="str">
        <f aca="false">IF($T1671="","",IFERROR(INDEX('Resumo Grupos'!$AC$3:$AC$200,MATCH($T1671,'Resumo Grupos'!$AB$3:$AB$200,0)),"n/d"))</f>
        <v>Despesa</v>
      </c>
      <c r="AA1671" s="0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3" t="n">
        <v>2</v>
      </c>
      <c r="B1672" s="14" t="n">
        <v>46262</v>
      </c>
      <c r="C1672" s="14" t="n">
        <v>46262</v>
      </c>
      <c r="D1672" s="13" t="n">
        <v>0</v>
      </c>
      <c r="E1672" s="0" t="s">
        <v>109</v>
      </c>
      <c r="F1672" s="13" t="n">
        <v>17</v>
      </c>
      <c r="G1672" s="0" t="s">
        <v>110</v>
      </c>
      <c r="H1672" s="13" t="n">
        <v>1110101</v>
      </c>
      <c r="I1672" s="0" t="s">
        <v>111</v>
      </c>
      <c r="J1672" s="13" t="n">
        <v>1716417</v>
      </c>
      <c r="L1672" s="13" t="n">
        <v>1716417</v>
      </c>
      <c r="M1672" s="0" t="s">
        <v>52</v>
      </c>
      <c r="N1672" s="0" t="s">
        <v>112</v>
      </c>
      <c r="P1672" s="13" t="n">
        <v>113</v>
      </c>
      <c r="Q1672" s="0" t="s">
        <v>46</v>
      </c>
      <c r="R1672" s="0" t="s">
        <v>116</v>
      </c>
      <c r="S1672" s="13" t="n">
        <v>1110203</v>
      </c>
      <c r="T1672" s="0" t="s">
        <v>117</v>
      </c>
      <c r="U1672" s="15" t="n">
        <v>2700</v>
      </c>
      <c r="W1672" s="15" t="n">
        <v>2700</v>
      </c>
      <c r="X1672" s="0" t="s">
        <v>1485</v>
      </c>
      <c r="Z1672" s="0" t="str">
        <f aca="false">IF($T1672="","",IFERROR(INDEX('Resumo Grupos'!$AC$3:$AC$200,MATCH($T1672,'Resumo Grupos'!$AB$3:$AB$200,0)),"n/d"))</f>
        <v>Despesa</v>
      </c>
      <c r="AA1672" s="0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3" t="n">
        <v>2</v>
      </c>
      <c r="B1673" s="14" t="n">
        <v>46244</v>
      </c>
      <c r="C1673" s="14" t="n">
        <v>46262</v>
      </c>
      <c r="D1673" s="13" t="n">
        <v>1666</v>
      </c>
      <c r="E1673" s="0" t="s">
        <v>266</v>
      </c>
      <c r="F1673" s="13" t="n">
        <v>24</v>
      </c>
      <c r="G1673" s="0" t="s">
        <v>51</v>
      </c>
      <c r="H1673" s="13" t="n">
        <v>2110405</v>
      </c>
      <c r="I1673" s="0" t="s">
        <v>56</v>
      </c>
      <c r="J1673" s="13" t="n">
        <v>1529119</v>
      </c>
      <c r="L1673" s="13" t="n">
        <v>207951</v>
      </c>
      <c r="M1673" s="0" t="s">
        <v>52</v>
      </c>
      <c r="N1673" s="0" t="s">
        <v>45</v>
      </c>
      <c r="P1673" s="13" t="n">
        <v>113</v>
      </c>
      <c r="Q1673" s="0" t="s">
        <v>46</v>
      </c>
      <c r="R1673" s="0" t="s">
        <v>47</v>
      </c>
      <c r="S1673" s="13" t="n">
        <v>1130101</v>
      </c>
      <c r="T1673" s="0" t="s">
        <v>48</v>
      </c>
      <c r="U1673" s="15" t="n">
        <v>4605.48</v>
      </c>
      <c r="W1673" s="15" t="n">
        <v>4605.48</v>
      </c>
      <c r="X1673" s="0" t="s">
        <v>1327</v>
      </c>
      <c r="Z1673" s="0" t="str">
        <f aca="false">IF($T1673="","",IFERROR(INDEX('Resumo Grupos'!$AC$3:$AC$200,MATCH($T1673,'Resumo Grupos'!$AB$3:$AB$200,0)),"n/d"))</f>
        <v>Mercadoria</v>
      </c>
      <c r="AA1673" s="0" t="str">
        <f aca="false">IF($T1673="","",IF(COUNTIF('Resumo Grupos'!$AE$3:$AE$40,$T1673)&gt;0,"NAO","SIM"))</f>
        <v>SIM</v>
      </c>
      <c r="AB1673" s="0" t="str">
        <f aca="false">IFERROR(INDEX('Mov Entradas (Rel 10497)'!$L:$L,MATCH(AC1673,'Mov Entradas (Rel 10497)'!$I:$I,0)),"nao encontrado")</f>
        <v>DUNHILL CARLTON BLEN</v>
      </c>
      <c r="AC1673" s="0" t="n">
        <v>569335</v>
      </c>
    </row>
    <row r="1674" customFormat="false" ht="12.75" hidden="false" customHeight="true" outlineLevel="0" collapsed="false">
      <c r="A1674" s="13" t="n">
        <v>2</v>
      </c>
      <c r="B1674" s="14" t="n">
        <v>46256</v>
      </c>
      <c r="C1674" s="14" t="n">
        <v>46262</v>
      </c>
      <c r="D1674" s="13" t="n">
        <v>1666</v>
      </c>
      <c r="E1674" s="0" t="s">
        <v>266</v>
      </c>
      <c r="F1674" s="13" t="n">
        <v>24</v>
      </c>
      <c r="G1674" s="0" t="s">
        <v>51</v>
      </c>
      <c r="H1674" s="13" t="n">
        <v>2110405</v>
      </c>
      <c r="I1674" s="0" t="s">
        <v>56</v>
      </c>
      <c r="J1674" s="13" t="n">
        <v>1585290</v>
      </c>
      <c r="L1674" s="13" t="n">
        <v>216888</v>
      </c>
      <c r="M1674" s="0" t="s">
        <v>52</v>
      </c>
      <c r="N1674" s="0" t="s">
        <v>45</v>
      </c>
      <c r="P1674" s="13" t="n">
        <v>113</v>
      </c>
      <c r="Q1674" s="0" t="s">
        <v>46</v>
      </c>
      <c r="R1674" s="0" t="s">
        <v>47</v>
      </c>
      <c r="S1674" s="13" t="n">
        <v>1130101</v>
      </c>
      <c r="T1674" s="0" t="s">
        <v>48</v>
      </c>
      <c r="U1674" s="15" t="n">
        <v>5860.74</v>
      </c>
      <c r="W1674" s="15" t="n">
        <v>5860.74</v>
      </c>
      <c r="X1674" s="0" t="s">
        <v>1486</v>
      </c>
      <c r="Z1674" s="0" t="str">
        <f aca="false">IF($T1674="","",IFERROR(INDEX('Resumo Grupos'!$AC$3:$AC$200,MATCH($T1674,'Resumo Grupos'!$AB$3:$AB$200,0)),"n/d"))</f>
        <v>Mercadoria</v>
      </c>
      <c r="AA1674" s="0" t="str">
        <f aca="false">IF($T1674="","",IF(COUNTIF('Resumo Grupos'!$AE$3:$AE$40,$T1674)&gt;0,"NAO","SIM"))</f>
        <v>SIM</v>
      </c>
      <c r="AB1674" s="0" t="str">
        <f aca="false">IFERROR(INDEX('Mov Entradas (Rel 10497)'!$L:$L,MATCH(AC1674,'Mov Entradas (Rel 10497)'!$I:$I,0)),"nao encontrado")</f>
        <v>DUNHILL CARLTON BLEN</v>
      </c>
      <c r="AC1674" s="0" t="n">
        <v>570907</v>
      </c>
    </row>
    <row r="1675" customFormat="false" ht="12.75" hidden="false" customHeight="true" outlineLevel="0" collapsed="false">
      <c r="A1675" s="13" t="n">
        <v>2</v>
      </c>
      <c r="B1675" s="14" t="n">
        <v>46248</v>
      </c>
      <c r="C1675" s="14" t="n">
        <v>46263</v>
      </c>
      <c r="D1675" s="13" t="n">
        <v>1718</v>
      </c>
      <c r="E1675" s="0" t="s">
        <v>236</v>
      </c>
      <c r="F1675" s="13" t="n">
        <v>24</v>
      </c>
      <c r="G1675" s="0" t="s">
        <v>51</v>
      </c>
      <c r="H1675" s="13" t="n">
        <v>2110405</v>
      </c>
      <c r="I1675" s="0" t="s">
        <v>56</v>
      </c>
      <c r="J1675" s="13" t="n">
        <v>1547746</v>
      </c>
      <c r="L1675" s="13" t="n">
        <v>211393</v>
      </c>
      <c r="M1675" s="0" t="s">
        <v>52</v>
      </c>
      <c r="N1675" s="0" t="s">
        <v>45</v>
      </c>
      <c r="P1675" s="13" t="n">
        <v>113</v>
      </c>
      <c r="Q1675" s="0" t="s">
        <v>46</v>
      </c>
      <c r="R1675" s="0" t="s">
        <v>47</v>
      </c>
      <c r="S1675" s="13" t="n">
        <v>1130101</v>
      </c>
      <c r="T1675" s="0" t="s">
        <v>48</v>
      </c>
      <c r="U1675" s="15" t="n">
        <v>706.56</v>
      </c>
      <c r="W1675" s="15" t="n">
        <v>706.56</v>
      </c>
      <c r="X1675" s="0" t="s">
        <v>1487</v>
      </c>
      <c r="Z1675" s="0" t="str">
        <f aca="false">IF($T1675="","",IFERROR(INDEX('Resumo Grupos'!$AC$3:$AC$200,MATCH($T1675,'Resumo Grupos'!$AB$3:$AB$200,0)),"n/d"))</f>
        <v>Mercadoria</v>
      </c>
      <c r="AA1675" s="0" t="str">
        <f aca="false">IF($T1675="","",IF(COUNTIF('Resumo Grupos'!$AE$3:$AE$40,$T1675)&gt;0,"NAO","SIM"))</f>
        <v>SIM</v>
      </c>
      <c r="AB1675" s="0" t="str">
        <f aca="false">IFERROR(INDEX('Mov Entradas (Rel 10497)'!$L:$L,MATCH(AC1675,'Mov Entradas (Rel 10497)'!$I:$I,0)),"nao encontrado")</f>
        <v>CAFE PILAO 250G</v>
      </c>
      <c r="AC1675" s="0" t="n">
        <v>689222</v>
      </c>
    </row>
    <row r="1676" customFormat="false" ht="12.75" hidden="false" customHeight="true" outlineLevel="0" collapsed="false">
      <c r="A1676" s="13" t="n">
        <v>2</v>
      </c>
      <c r="B1676" s="14" t="n">
        <v>46249</v>
      </c>
      <c r="C1676" s="14" t="n">
        <v>46263</v>
      </c>
      <c r="D1676" s="13" t="n">
        <v>1718</v>
      </c>
      <c r="E1676" s="0" t="s">
        <v>236</v>
      </c>
      <c r="F1676" s="13" t="n">
        <v>24</v>
      </c>
      <c r="G1676" s="0" t="s">
        <v>51</v>
      </c>
      <c r="H1676" s="13" t="n">
        <v>2110405</v>
      </c>
      <c r="I1676" s="0" t="s">
        <v>56</v>
      </c>
      <c r="J1676" s="13" t="n">
        <v>1551482</v>
      </c>
      <c r="L1676" s="13" t="n">
        <v>211716</v>
      </c>
      <c r="M1676" s="0" t="s">
        <v>52</v>
      </c>
      <c r="N1676" s="0" t="s">
        <v>45</v>
      </c>
      <c r="P1676" s="13" t="n">
        <v>113</v>
      </c>
      <c r="Q1676" s="0" t="s">
        <v>46</v>
      </c>
      <c r="R1676" s="0" t="s">
        <v>47</v>
      </c>
      <c r="S1676" s="13" t="n">
        <v>1130101</v>
      </c>
      <c r="T1676" s="0" t="s">
        <v>48</v>
      </c>
      <c r="U1676" s="15" t="n">
        <v>1422.67</v>
      </c>
      <c r="W1676" s="15" t="n">
        <v>1422.67</v>
      </c>
      <c r="X1676" s="0" t="s">
        <v>1488</v>
      </c>
      <c r="Z1676" s="0" t="str">
        <f aca="false">IF($T1676="","",IFERROR(INDEX('Resumo Grupos'!$AC$3:$AC$200,MATCH($T1676,'Resumo Grupos'!$AB$3:$AB$200,0)),"n/d"))</f>
        <v>Mercadoria</v>
      </c>
      <c r="AA1676" s="0" t="str">
        <f aca="false">IF($T1676="","",IF(COUNTIF('Resumo Grupos'!$AE$3:$AE$40,$T1676)&gt;0,"NAO","SIM"))</f>
        <v>SIM</v>
      </c>
      <c r="AB1676" s="0" t="str">
        <f aca="false">IFERROR(INDEX('Mov Entradas (Rel 10497)'!$L:$L,MATCH(AC1676,'Mov Entradas (Rel 10497)'!$I:$I,0)),"nao encontrado")</f>
        <v>TRIDENT CANELA</v>
      </c>
      <c r="AC1676" s="0" t="n">
        <v>689224</v>
      </c>
    </row>
    <row r="1677" customFormat="false" ht="12.75" hidden="false" customHeight="true" outlineLevel="0" collapsed="false">
      <c r="A1677" s="13" t="n">
        <v>2</v>
      </c>
      <c r="B1677" s="14" t="n">
        <v>46263</v>
      </c>
      <c r="C1677" s="14" t="n">
        <v>46263</v>
      </c>
      <c r="D1677" s="13" t="n">
        <v>10096</v>
      </c>
      <c r="E1677" s="0" t="s">
        <v>622</v>
      </c>
      <c r="F1677" s="13" t="n">
        <v>13</v>
      </c>
      <c r="G1677" s="0" t="s">
        <v>135</v>
      </c>
      <c r="H1677" s="13" t="n">
        <v>2110405</v>
      </c>
      <c r="I1677" s="0" t="s">
        <v>56</v>
      </c>
      <c r="J1677" s="13" t="n">
        <v>1628841</v>
      </c>
      <c r="L1677" s="13" t="n">
        <v>223365</v>
      </c>
      <c r="M1677" s="0" t="s">
        <v>52</v>
      </c>
      <c r="N1677" s="0" t="s">
        <v>45</v>
      </c>
      <c r="P1677" s="13" t="n">
        <v>113</v>
      </c>
      <c r="Q1677" s="0" t="s">
        <v>46</v>
      </c>
      <c r="R1677" s="0" t="s">
        <v>47</v>
      </c>
      <c r="S1677" s="13" t="n">
        <v>1130101</v>
      </c>
      <c r="T1677" s="0" t="s">
        <v>48</v>
      </c>
      <c r="U1677" s="15" t="n">
        <v>140</v>
      </c>
      <c r="W1677" s="15" t="n">
        <v>140</v>
      </c>
      <c r="X1677" s="0" t="s">
        <v>1489</v>
      </c>
      <c r="Z1677" s="0" t="str">
        <f aca="false">IF($T1677="","",IFERROR(INDEX('Resumo Grupos'!$AC$3:$AC$200,MATCH($T1677,'Resumo Grupos'!$AB$3:$AB$200,0)),"n/d"))</f>
        <v>Mercadoria</v>
      </c>
      <c r="AA1677" s="0" t="str">
        <f aca="false">IF($T1677="","",IF(COUNTIF('Resumo Grupos'!$AE$3:$AE$40,$T1677)&gt;0,"NAO","SIM"))</f>
        <v>SIM</v>
      </c>
      <c r="AB1677" s="0" t="str">
        <f aca="false">IFERROR(INDEX('Mov Entradas (Rel 10497)'!$L:$L,MATCH(AC1677,'Mov Entradas (Rel 10497)'!$I:$I,0)),"nao encontrado")</f>
        <v>BOLO MIYAZAKI GRANDE</v>
      </c>
      <c r="AC1677" s="0" t="n">
        <v>218</v>
      </c>
    </row>
    <row r="1678" customFormat="false" ht="12.75" hidden="false" customHeight="true" outlineLevel="0" collapsed="false">
      <c r="A1678" s="13" t="n">
        <v>2</v>
      </c>
      <c r="B1678" s="14" t="n">
        <v>46258</v>
      </c>
      <c r="C1678" s="14" t="n">
        <v>46263</v>
      </c>
      <c r="D1678" s="13" t="n">
        <v>1625</v>
      </c>
      <c r="E1678" s="0" t="s">
        <v>270</v>
      </c>
      <c r="F1678" s="13" t="n">
        <v>24</v>
      </c>
      <c r="G1678" s="0" t="s">
        <v>51</v>
      </c>
      <c r="H1678" s="13" t="n">
        <v>2110405</v>
      </c>
      <c r="I1678" s="0" t="s">
        <v>56</v>
      </c>
      <c r="J1678" s="13" t="n">
        <v>1595567</v>
      </c>
      <c r="L1678" s="13" t="n">
        <v>218336</v>
      </c>
      <c r="M1678" s="0" t="s">
        <v>52</v>
      </c>
      <c r="N1678" s="0" t="s">
        <v>45</v>
      </c>
      <c r="P1678" s="13" t="n">
        <v>113</v>
      </c>
      <c r="Q1678" s="0" t="s">
        <v>46</v>
      </c>
      <c r="R1678" s="0" t="s">
        <v>47</v>
      </c>
      <c r="S1678" s="13" t="n">
        <v>1130101</v>
      </c>
      <c r="T1678" s="0" t="s">
        <v>48</v>
      </c>
      <c r="U1678" s="15" t="n">
        <v>4164.18</v>
      </c>
      <c r="W1678" s="15" t="n">
        <v>4164.18</v>
      </c>
      <c r="X1678" s="0" t="s">
        <v>961</v>
      </c>
      <c r="Z1678" s="0" t="str">
        <f aca="false">IF($T1678="","",IFERROR(INDEX('Resumo Grupos'!$AC$3:$AC$200,MATCH($T1678,'Resumo Grupos'!$AB$3:$AB$200,0)),"n/d"))</f>
        <v>Mercadoria</v>
      </c>
      <c r="AA1678" s="0" t="str">
        <f aca="false">IF($T1678="","",IF(COUNTIF('Resumo Grupos'!$AE$3:$AE$40,$T1678)&gt;0,"NAO","SIM"))</f>
        <v>SIM</v>
      </c>
      <c r="AB1678" s="0" t="str">
        <f aca="false">IFERROR(INDEX('Mov Entradas (Rel 10497)'!$L:$L,MATCH(AC1678,'Mov Entradas (Rel 10497)'!$I:$I,0)),"nao encontrado")</f>
        <v>IOGURTE AMAZONGURT D</v>
      </c>
      <c r="AC1678" s="0" t="n">
        <v>15127</v>
      </c>
    </row>
    <row r="1679" customFormat="false" ht="12.75" hidden="false" customHeight="true" outlineLevel="0" collapsed="false">
      <c r="A1679" s="13" t="n">
        <v>2</v>
      </c>
      <c r="B1679" s="14" t="n">
        <v>46263</v>
      </c>
      <c r="C1679" s="14" t="n">
        <v>46263</v>
      </c>
      <c r="D1679" s="13" t="n">
        <v>48</v>
      </c>
      <c r="E1679" s="0" t="s">
        <v>153</v>
      </c>
      <c r="F1679" s="13" t="n">
        <v>13</v>
      </c>
      <c r="G1679" s="0" t="s">
        <v>135</v>
      </c>
      <c r="H1679" s="13" t="n">
        <v>2110101</v>
      </c>
      <c r="I1679" s="0" t="s">
        <v>43</v>
      </c>
      <c r="J1679" s="13" t="n">
        <v>1619409</v>
      </c>
      <c r="L1679" s="13" t="n">
        <v>2640</v>
      </c>
      <c r="M1679" s="0" t="s">
        <v>52</v>
      </c>
      <c r="N1679" s="0" t="s">
        <v>37</v>
      </c>
      <c r="P1679" s="13" t="n">
        <v>113</v>
      </c>
      <c r="Q1679" s="0" t="s">
        <v>46</v>
      </c>
      <c r="R1679" s="0" t="s">
        <v>47</v>
      </c>
      <c r="S1679" s="13" t="n">
        <v>1130101</v>
      </c>
      <c r="T1679" s="0" t="s">
        <v>48</v>
      </c>
      <c r="U1679" s="15" t="n">
        <v>300</v>
      </c>
      <c r="W1679" s="15" t="n">
        <v>300</v>
      </c>
      <c r="X1679" s="0" t="s">
        <v>1490</v>
      </c>
      <c r="Z1679" s="0" t="str">
        <f aca="false">IF($T1679="","",IFERROR(INDEX('Resumo Grupos'!$AC$3:$AC$200,MATCH($T1679,'Resumo Grupos'!$AB$3:$AB$200,0)),"n/d"))</f>
        <v>Mercadoria</v>
      </c>
      <c r="AA1679" s="0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3" t="n">
        <v>2</v>
      </c>
      <c r="B1680" s="14" t="n">
        <v>46263</v>
      </c>
      <c r="C1680" s="14" t="n">
        <v>46263</v>
      </c>
      <c r="D1680" s="13" t="n">
        <v>0</v>
      </c>
      <c r="E1680" s="0" t="s">
        <v>109</v>
      </c>
      <c r="F1680" s="13" t="n">
        <v>17</v>
      </c>
      <c r="G1680" s="0" t="s">
        <v>110</v>
      </c>
      <c r="H1680" s="13" t="n">
        <v>1110101</v>
      </c>
      <c r="I1680" s="0" t="s">
        <v>111</v>
      </c>
      <c r="J1680" s="13" t="n">
        <v>1629984</v>
      </c>
      <c r="L1680" s="13" t="n">
        <v>1629984</v>
      </c>
      <c r="M1680" s="0" t="s">
        <v>52</v>
      </c>
      <c r="N1680" s="0" t="s">
        <v>112</v>
      </c>
      <c r="P1680" s="13" t="n">
        <v>113</v>
      </c>
      <c r="Q1680" s="0" t="s">
        <v>46</v>
      </c>
      <c r="R1680" s="0" t="s">
        <v>56</v>
      </c>
      <c r="S1680" s="13" t="n">
        <v>2110405</v>
      </c>
      <c r="T1680" s="0" t="s">
        <v>56</v>
      </c>
      <c r="U1680" s="15" t="n">
        <v>140</v>
      </c>
      <c r="W1680" s="15" t="n">
        <v>140</v>
      </c>
      <c r="X1680" s="0" t="s">
        <v>1491</v>
      </c>
      <c r="Z1680" s="0" t="str">
        <f aca="false">IF($T1680="","",IFERROR(INDEX('Resumo Grupos'!$AC$3:$AC$200,MATCH($T1680,'Resumo Grupos'!$AB$3:$AB$200,0)),"n/d"))</f>
        <v>Cobertura de conta</v>
      </c>
      <c r="AA1680" s="0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3" t="n">
        <v>2</v>
      </c>
      <c r="B1681" s="14" t="n">
        <v>46263</v>
      </c>
      <c r="C1681" s="14" t="n">
        <v>46263</v>
      </c>
      <c r="D1681" s="13" t="n">
        <v>0</v>
      </c>
      <c r="E1681" s="0" t="s">
        <v>109</v>
      </c>
      <c r="F1681" s="13" t="n">
        <v>17</v>
      </c>
      <c r="G1681" s="0" t="s">
        <v>110</v>
      </c>
      <c r="H1681" s="13" t="n">
        <v>1110101</v>
      </c>
      <c r="I1681" s="0" t="s">
        <v>111</v>
      </c>
      <c r="J1681" s="13" t="n">
        <v>1629987</v>
      </c>
      <c r="L1681" s="13" t="n">
        <v>1629987</v>
      </c>
      <c r="M1681" s="0" t="s">
        <v>52</v>
      </c>
      <c r="N1681" s="0" t="s">
        <v>112</v>
      </c>
      <c r="P1681" s="13" t="n">
        <v>113</v>
      </c>
      <c r="Q1681" s="0" t="s">
        <v>46</v>
      </c>
      <c r="R1681" s="0" t="s">
        <v>259</v>
      </c>
      <c r="S1681" s="13" t="n">
        <v>2110101</v>
      </c>
      <c r="T1681" s="0" t="s">
        <v>43</v>
      </c>
      <c r="U1681" s="15" t="n">
        <v>300</v>
      </c>
      <c r="W1681" s="15" t="n">
        <v>300</v>
      </c>
      <c r="X1681" s="0" t="s">
        <v>1492</v>
      </c>
      <c r="Z1681" s="0" t="str">
        <f aca="false">IF($T1681="","",IFERROR(INDEX('Resumo Grupos'!$AC$3:$AC$200,MATCH($T1681,'Resumo Grupos'!$AB$3:$AB$200,0)),"n/d"))</f>
        <v>Despesa</v>
      </c>
      <c r="AA1681" s="0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3" t="n">
        <v>2</v>
      </c>
      <c r="B1682" s="14" t="n">
        <v>46263</v>
      </c>
      <c r="C1682" s="14" t="n">
        <v>46263</v>
      </c>
      <c r="D1682" s="13" t="n">
        <v>0</v>
      </c>
      <c r="E1682" s="0" t="s">
        <v>109</v>
      </c>
      <c r="F1682" s="13" t="n">
        <v>17</v>
      </c>
      <c r="G1682" s="0" t="s">
        <v>110</v>
      </c>
      <c r="H1682" s="13" t="n">
        <v>1110101</v>
      </c>
      <c r="I1682" s="0" t="s">
        <v>111</v>
      </c>
      <c r="J1682" s="13" t="n">
        <v>1629989</v>
      </c>
      <c r="L1682" s="13" t="n">
        <v>1629989</v>
      </c>
      <c r="M1682" s="0" t="s">
        <v>52</v>
      </c>
      <c r="N1682" s="0" t="s">
        <v>112</v>
      </c>
      <c r="P1682" s="13" t="n">
        <v>113</v>
      </c>
      <c r="Q1682" s="0" t="s">
        <v>46</v>
      </c>
      <c r="R1682" s="0" t="s">
        <v>71</v>
      </c>
      <c r="S1682" s="13" t="n">
        <v>4210314</v>
      </c>
      <c r="T1682" s="0" t="s">
        <v>113</v>
      </c>
      <c r="U1682" s="15" t="n">
        <v>50</v>
      </c>
      <c r="W1682" s="15" t="n">
        <v>50</v>
      </c>
      <c r="X1682" s="0" t="s">
        <v>368</v>
      </c>
      <c r="Z1682" s="0" t="str">
        <f aca="false">IF($T1682="","",IFERROR(INDEX('Resumo Grupos'!$AC$3:$AC$200,MATCH($T1682,'Resumo Grupos'!$AB$3:$AB$200,0)),"n/d"))</f>
        <v>Despesa</v>
      </c>
      <c r="AA1682" s="0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3" t="n">
        <v>2</v>
      </c>
      <c r="B1683" s="14" t="n">
        <v>46263</v>
      </c>
      <c r="C1683" s="14" t="n">
        <v>46263</v>
      </c>
      <c r="D1683" s="13" t="n">
        <v>0</v>
      </c>
      <c r="E1683" s="0" t="s">
        <v>109</v>
      </c>
      <c r="F1683" s="13" t="n">
        <v>17</v>
      </c>
      <c r="G1683" s="0" t="s">
        <v>110</v>
      </c>
      <c r="H1683" s="13" t="n">
        <v>1110101</v>
      </c>
      <c r="I1683" s="0" t="s">
        <v>111</v>
      </c>
      <c r="J1683" s="13" t="n">
        <v>1629993</v>
      </c>
      <c r="L1683" s="13" t="n">
        <v>1629993</v>
      </c>
      <c r="M1683" s="0" t="s">
        <v>52</v>
      </c>
      <c r="N1683" s="0" t="s">
        <v>112</v>
      </c>
      <c r="P1683" s="13" t="n">
        <v>113</v>
      </c>
      <c r="Q1683" s="0" t="s">
        <v>46</v>
      </c>
      <c r="R1683" s="0" t="s">
        <v>47</v>
      </c>
      <c r="S1683" s="13" t="n">
        <v>1130101</v>
      </c>
      <c r="T1683" s="0" t="s">
        <v>48</v>
      </c>
      <c r="U1683" s="15" t="n">
        <v>200</v>
      </c>
      <c r="W1683" s="15" t="n">
        <v>200</v>
      </c>
      <c r="X1683" s="0" t="s">
        <v>1493</v>
      </c>
      <c r="Z1683" s="0" t="str">
        <f aca="false">IF($T1683="","",IFERROR(INDEX('Resumo Grupos'!$AC$3:$AC$200,MATCH($T1683,'Resumo Grupos'!$AB$3:$AB$200,0)),"n/d"))</f>
        <v>Mercadoria</v>
      </c>
      <c r="AA1683" s="0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3" t="n">
        <v>2</v>
      </c>
      <c r="B1684" s="14" t="n">
        <v>46263</v>
      </c>
      <c r="C1684" s="14" t="n">
        <v>46263</v>
      </c>
      <c r="D1684" s="13" t="n">
        <v>0</v>
      </c>
      <c r="E1684" s="0" t="s">
        <v>109</v>
      </c>
      <c r="F1684" s="13" t="n">
        <v>17</v>
      </c>
      <c r="G1684" s="0" t="s">
        <v>110</v>
      </c>
      <c r="H1684" s="13" t="n">
        <v>1110101</v>
      </c>
      <c r="I1684" s="0" t="s">
        <v>111</v>
      </c>
      <c r="J1684" s="13" t="n">
        <v>1629998</v>
      </c>
      <c r="L1684" s="13" t="n">
        <v>1629998</v>
      </c>
      <c r="M1684" s="0" t="s">
        <v>52</v>
      </c>
      <c r="N1684" s="0" t="s">
        <v>112</v>
      </c>
      <c r="P1684" s="13" t="n">
        <v>113</v>
      </c>
      <c r="Q1684" s="0" t="s">
        <v>46</v>
      </c>
      <c r="R1684" s="0" t="s">
        <v>47</v>
      </c>
      <c r="S1684" s="13" t="n">
        <v>1130101</v>
      </c>
      <c r="T1684" s="0" t="s">
        <v>48</v>
      </c>
      <c r="U1684" s="15" t="n">
        <v>72</v>
      </c>
      <c r="W1684" s="15" t="n">
        <v>72</v>
      </c>
      <c r="X1684" s="0" t="s">
        <v>1494</v>
      </c>
      <c r="Z1684" s="0" t="str">
        <f aca="false">IF($T1684="","",IFERROR(INDEX('Resumo Grupos'!$AC$3:$AC$200,MATCH($T1684,'Resumo Grupos'!$AB$3:$AB$200,0)),"n/d"))</f>
        <v>Mercadoria</v>
      </c>
      <c r="AA1684" s="0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3" t="n">
        <v>2</v>
      </c>
      <c r="B1685" s="14" t="n">
        <v>46263</v>
      </c>
      <c r="C1685" s="14" t="n">
        <v>46263</v>
      </c>
      <c r="D1685" s="13" t="n">
        <v>0</v>
      </c>
      <c r="E1685" s="0" t="s">
        <v>109</v>
      </c>
      <c r="F1685" s="13" t="n">
        <v>17</v>
      </c>
      <c r="G1685" s="0" t="s">
        <v>110</v>
      </c>
      <c r="H1685" s="13" t="n">
        <v>1110101</v>
      </c>
      <c r="I1685" s="0" t="s">
        <v>111</v>
      </c>
      <c r="J1685" s="13" t="n">
        <v>1646147</v>
      </c>
      <c r="L1685" s="13" t="n">
        <v>1646147</v>
      </c>
      <c r="M1685" s="0" t="s">
        <v>52</v>
      </c>
      <c r="N1685" s="0" t="s">
        <v>112</v>
      </c>
      <c r="P1685" s="13" t="n">
        <v>113</v>
      </c>
      <c r="Q1685" s="0" t="s">
        <v>46</v>
      </c>
      <c r="R1685" s="0" t="s">
        <v>39</v>
      </c>
      <c r="S1685" s="13" t="n">
        <v>4210227</v>
      </c>
      <c r="T1685" s="0" t="s">
        <v>68</v>
      </c>
      <c r="U1685" s="15" t="n">
        <v>200</v>
      </c>
      <c r="W1685" s="15" t="n">
        <v>200</v>
      </c>
      <c r="X1685" s="0" t="s">
        <v>1495</v>
      </c>
      <c r="Z1685" s="0" t="str">
        <f aca="false">IF($T1685="","",IFERROR(INDEX('Resumo Grupos'!$AC$3:$AC$200,MATCH($T1685,'Resumo Grupos'!$AB$3:$AB$200,0)),"n/d"))</f>
        <v>Despesa</v>
      </c>
      <c r="AA1685" s="0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3" t="n">
        <v>2</v>
      </c>
      <c r="B1686" s="14" t="n">
        <v>46263</v>
      </c>
      <c r="C1686" s="14" t="n">
        <v>46263</v>
      </c>
      <c r="D1686" s="13" t="n">
        <v>0</v>
      </c>
      <c r="E1686" s="0" t="s">
        <v>109</v>
      </c>
      <c r="F1686" s="13" t="n">
        <v>17</v>
      </c>
      <c r="G1686" s="0" t="s">
        <v>110</v>
      </c>
      <c r="H1686" s="13" t="n">
        <v>1110101</v>
      </c>
      <c r="I1686" s="0" t="s">
        <v>111</v>
      </c>
      <c r="J1686" s="13" t="n">
        <v>1646148</v>
      </c>
      <c r="L1686" s="13" t="n">
        <v>1646148</v>
      </c>
      <c r="M1686" s="0" t="s">
        <v>52</v>
      </c>
      <c r="N1686" s="0" t="s">
        <v>112</v>
      </c>
      <c r="P1686" s="13" t="n">
        <v>113</v>
      </c>
      <c r="Q1686" s="0" t="s">
        <v>46</v>
      </c>
      <c r="R1686" s="0" t="s">
        <v>39</v>
      </c>
      <c r="S1686" s="13" t="n">
        <v>4210227</v>
      </c>
      <c r="T1686" s="0" t="s">
        <v>68</v>
      </c>
      <c r="U1686" s="15" t="n">
        <v>100</v>
      </c>
      <c r="W1686" s="15" t="n">
        <v>100</v>
      </c>
      <c r="X1686" s="0" t="s">
        <v>1496</v>
      </c>
      <c r="Z1686" s="0" t="str">
        <f aca="false">IF($T1686="","",IFERROR(INDEX('Resumo Grupos'!$AC$3:$AC$200,MATCH($T1686,'Resumo Grupos'!$AB$3:$AB$200,0)),"n/d"))</f>
        <v>Despesa</v>
      </c>
      <c r="AA1686" s="0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3" t="n">
        <v>2</v>
      </c>
      <c r="B1687" s="14" t="n">
        <v>46263</v>
      </c>
      <c r="C1687" s="14" t="n">
        <v>46263</v>
      </c>
      <c r="D1687" s="13" t="n">
        <v>0</v>
      </c>
      <c r="E1687" s="0" t="s">
        <v>109</v>
      </c>
      <c r="F1687" s="13" t="n">
        <v>17</v>
      </c>
      <c r="G1687" s="0" t="s">
        <v>110</v>
      </c>
      <c r="H1687" s="13" t="n">
        <v>1110101</v>
      </c>
      <c r="I1687" s="0" t="s">
        <v>111</v>
      </c>
      <c r="J1687" s="13" t="n">
        <v>1716419</v>
      </c>
      <c r="L1687" s="13" t="n">
        <v>1716419</v>
      </c>
      <c r="M1687" s="0" t="s">
        <v>52</v>
      </c>
      <c r="N1687" s="0" t="s">
        <v>112</v>
      </c>
      <c r="P1687" s="13" t="n">
        <v>113</v>
      </c>
      <c r="Q1687" s="0" t="s">
        <v>46</v>
      </c>
      <c r="R1687" s="0" t="s">
        <v>116</v>
      </c>
      <c r="S1687" s="13" t="n">
        <v>1110203</v>
      </c>
      <c r="T1687" s="0" t="s">
        <v>117</v>
      </c>
      <c r="U1687" s="15" t="n">
        <v>2750</v>
      </c>
      <c r="W1687" s="15" t="n">
        <v>2750</v>
      </c>
      <c r="X1687" s="0" t="s">
        <v>1497</v>
      </c>
      <c r="Z1687" s="0" t="str">
        <f aca="false">IF($T1687="","",IFERROR(INDEX('Resumo Grupos'!$AC$3:$AC$200,MATCH($T1687,'Resumo Grupos'!$AB$3:$AB$200,0)),"n/d"))</f>
        <v>Despesa</v>
      </c>
      <c r="AA1687" s="0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3" t="n">
        <v>2</v>
      </c>
      <c r="B1688" s="14" t="n">
        <v>46258</v>
      </c>
      <c r="C1688" s="14" t="n">
        <v>46264</v>
      </c>
      <c r="D1688" s="13" t="n">
        <v>1628</v>
      </c>
      <c r="E1688" s="0" t="s">
        <v>217</v>
      </c>
      <c r="F1688" s="13" t="n">
        <v>24</v>
      </c>
      <c r="G1688" s="0" t="s">
        <v>51</v>
      </c>
      <c r="H1688" s="13" t="n">
        <v>2110405</v>
      </c>
      <c r="I1688" s="0" t="s">
        <v>56</v>
      </c>
      <c r="J1688" s="13" t="n">
        <v>1594346</v>
      </c>
      <c r="L1688" s="13" t="n">
        <v>218071</v>
      </c>
      <c r="M1688" s="0" t="s">
        <v>52</v>
      </c>
      <c r="N1688" s="0" t="s">
        <v>45</v>
      </c>
      <c r="P1688" s="13" t="n">
        <v>113</v>
      </c>
      <c r="Q1688" s="0" t="s">
        <v>46</v>
      </c>
      <c r="R1688" s="0" t="s">
        <v>47</v>
      </c>
      <c r="S1688" s="13" t="n">
        <v>1130101</v>
      </c>
      <c r="T1688" s="0" t="s">
        <v>48</v>
      </c>
      <c r="U1688" s="15" t="n">
        <v>618.65</v>
      </c>
      <c r="W1688" s="15" t="n">
        <v>618.65</v>
      </c>
      <c r="X1688" s="0" t="s">
        <v>1498</v>
      </c>
      <c r="Z1688" s="0" t="str">
        <f aca="false">IF($T1688="","",IFERROR(INDEX('Resumo Grupos'!$AC$3:$AC$200,MATCH($T1688,'Resumo Grupos'!$AB$3:$AB$200,0)),"n/d"))</f>
        <v>Mercadoria</v>
      </c>
      <c r="AA1688" s="0" t="str">
        <f aca="false">IF($T1688="","",IF(COUNTIF('Resumo Grupos'!$AE$3:$AE$40,$T1688)&gt;0,"NAO","SIM"))</f>
        <v>SIM</v>
      </c>
      <c r="AB1688" s="0" t="str">
        <f aca="false">IFERROR(INDEX('Mov Entradas (Rel 10497)'!$L:$L,MATCH(AC1688,'Mov Entradas (Rel 10497)'!$I:$I,0)),"nao encontrado")</f>
        <v>CIGARRO MARLBORO CIN</v>
      </c>
      <c r="AC1688" s="0" t="n">
        <v>91661</v>
      </c>
    </row>
    <row r="1689" customFormat="false" ht="12.75" hidden="false" customHeight="true" outlineLevel="0" collapsed="false">
      <c r="A1689" s="13" t="n">
        <v>2</v>
      </c>
      <c r="B1689" s="14" t="n">
        <v>46255</v>
      </c>
      <c r="C1689" s="14" t="n">
        <v>46264</v>
      </c>
      <c r="D1689" s="13" t="n">
        <v>1723</v>
      </c>
      <c r="E1689" s="0" t="s">
        <v>371</v>
      </c>
      <c r="F1689" s="13" t="n">
        <v>24</v>
      </c>
      <c r="G1689" s="0" t="s">
        <v>51</v>
      </c>
      <c r="H1689" s="13" t="n">
        <v>2110405</v>
      </c>
      <c r="I1689" s="0" t="s">
        <v>56</v>
      </c>
      <c r="J1689" s="13" t="n">
        <v>1581816</v>
      </c>
      <c r="L1689" s="13" t="n">
        <v>216453</v>
      </c>
      <c r="M1689" s="0" t="s">
        <v>52</v>
      </c>
      <c r="N1689" s="0" t="s">
        <v>45</v>
      </c>
      <c r="P1689" s="13" t="n">
        <v>113</v>
      </c>
      <c r="Q1689" s="0" t="s">
        <v>46</v>
      </c>
      <c r="R1689" s="0" t="s">
        <v>47</v>
      </c>
      <c r="S1689" s="13" t="n">
        <v>1130101</v>
      </c>
      <c r="T1689" s="0" t="s">
        <v>48</v>
      </c>
      <c r="U1689" s="15" t="n">
        <v>3809.5</v>
      </c>
      <c r="W1689" s="15" t="n">
        <v>3809.5</v>
      </c>
      <c r="X1689" s="0" t="s">
        <v>1499</v>
      </c>
      <c r="Z1689" s="0" t="str">
        <f aca="false">IF($T1689="","",IFERROR(INDEX('Resumo Grupos'!$AC$3:$AC$200,MATCH($T1689,'Resumo Grupos'!$AB$3:$AB$200,0)),"n/d"))</f>
        <v>Mercadoria</v>
      </c>
      <c r="AA1689" s="0" t="str">
        <f aca="false">IF($T1689="","",IF(COUNTIF('Resumo Grupos'!$AE$3:$AE$40,$T1689)&gt;0,"NAO","SIM"))</f>
        <v>SIM</v>
      </c>
      <c r="AB1689" s="0" t="str">
        <f aca="false">IFERROR(INDEX('Mov Entradas (Rel 10497)'!$L:$L,MATCH(AC1689,'Mov Entradas (Rel 10497)'!$I:$I,0)),"nao encontrado")</f>
        <v>TRASEIRO DE BOI L1</v>
      </c>
      <c r="AC1689" s="0" t="n">
        <v>175169</v>
      </c>
    </row>
    <row r="1690" customFormat="false" ht="12.75" hidden="false" customHeight="true" outlineLevel="0" collapsed="false">
      <c r="A1690" s="13" t="n">
        <v>2</v>
      </c>
      <c r="B1690" s="14" t="n">
        <v>46165</v>
      </c>
      <c r="C1690" s="14" t="n">
        <v>46264</v>
      </c>
      <c r="D1690" s="13" t="n">
        <v>639</v>
      </c>
      <c r="E1690" s="0" t="s">
        <v>512</v>
      </c>
      <c r="F1690" s="13" t="n">
        <v>24</v>
      </c>
      <c r="G1690" s="0" t="s">
        <v>51</v>
      </c>
      <c r="H1690" s="13" t="n">
        <v>2110405</v>
      </c>
      <c r="I1690" s="0" t="s">
        <v>56</v>
      </c>
      <c r="J1690" s="13" t="n">
        <v>1141287</v>
      </c>
      <c r="L1690" s="13" t="n">
        <v>151507</v>
      </c>
      <c r="M1690" s="0" t="s">
        <v>44</v>
      </c>
      <c r="N1690" s="0" t="s">
        <v>45</v>
      </c>
      <c r="P1690" s="13" t="n">
        <v>101</v>
      </c>
      <c r="Q1690" s="0" t="s">
        <v>57</v>
      </c>
      <c r="R1690" s="0" t="s">
        <v>39</v>
      </c>
      <c r="S1690" s="13" t="n">
        <v>4210216</v>
      </c>
      <c r="T1690" s="0" t="s">
        <v>513</v>
      </c>
      <c r="U1690" s="15" t="n">
        <v>420</v>
      </c>
      <c r="W1690" s="15" t="n">
        <v>420</v>
      </c>
      <c r="X1690" s="0" t="s">
        <v>1003</v>
      </c>
      <c r="Z1690" s="0" t="str">
        <f aca="false">IF($T1690="","",IFERROR(INDEX('Resumo Grupos'!$AC$3:$AC$200,MATCH($T1690,'Resumo Grupos'!$AB$3:$AB$200,0)),"n/d"))</f>
        <v>Despesa</v>
      </c>
      <c r="AA1690" s="0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3" t="n">
        <v>2</v>
      </c>
      <c r="B1691" s="14" t="n">
        <v>46223</v>
      </c>
      <c r="C1691" s="14" t="n">
        <v>46264</v>
      </c>
      <c r="D1691" s="13" t="n">
        <v>607</v>
      </c>
      <c r="E1691" s="0" t="s">
        <v>281</v>
      </c>
      <c r="F1691" s="13" t="n">
        <v>24</v>
      </c>
      <c r="G1691" s="0" t="s">
        <v>51</v>
      </c>
      <c r="H1691" s="13" t="n">
        <v>2110405</v>
      </c>
      <c r="I1691" s="0" t="s">
        <v>56</v>
      </c>
      <c r="J1691" s="13" t="n">
        <v>1424650</v>
      </c>
      <c r="L1691" s="13" t="n">
        <v>190911</v>
      </c>
      <c r="M1691" s="0" t="s">
        <v>52</v>
      </c>
      <c r="N1691" s="0" t="s">
        <v>45</v>
      </c>
      <c r="P1691" s="13" t="n">
        <v>113</v>
      </c>
      <c r="Q1691" s="0" t="s">
        <v>46</v>
      </c>
      <c r="R1691" s="0" t="s">
        <v>47</v>
      </c>
      <c r="S1691" s="13" t="n">
        <v>1130101</v>
      </c>
      <c r="T1691" s="0" t="s">
        <v>48</v>
      </c>
      <c r="U1691" s="15" t="n">
        <v>446.28</v>
      </c>
      <c r="W1691" s="15" t="n">
        <v>446.28</v>
      </c>
      <c r="X1691" s="0" t="s">
        <v>1255</v>
      </c>
      <c r="Z1691" s="0" t="str">
        <f aca="false">IF($T1691="","",IFERROR(INDEX('Resumo Grupos'!$AC$3:$AC$200,MATCH($T1691,'Resumo Grupos'!$AB$3:$AB$200,0)),"n/d"))</f>
        <v>Mercadoria</v>
      </c>
      <c r="AA1691" s="0" t="str">
        <f aca="false">IF($T1691="","",IF(COUNTIF('Resumo Grupos'!$AE$3:$AE$40,$T1691)&gt;0,"NAO","SIM"))</f>
        <v>SIM</v>
      </c>
      <c r="AB1691" s="0" t="str">
        <f aca="false">IFERROR(INDEX('Mov Entradas (Rel 10497)'!$L:$L,MATCH(AC1691,'Mov Entradas (Rel 10497)'!$I:$I,0)),"nao encontrado")</f>
        <v>RC JAPI PREM.FILH25K</v>
      </c>
      <c r="AC1691" s="0" t="n">
        <v>11173</v>
      </c>
    </row>
    <row r="1692" customFormat="false" ht="12.75" hidden="false" customHeight="true" outlineLevel="0" collapsed="false">
      <c r="A1692" s="13" t="n">
        <v>2</v>
      </c>
      <c r="B1692" s="14" t="n">
        <v>46264</v>
      </c>
      <c r="C1692" s="14" t="n">
        <v>46264</v>
      </c>
      <c r="D1692" s="13" t="n">
        <v>0</v>
      </c>
      <c r="E1692" s="0" t="s">
        <v>109</v>
      </c>
      <c r="F1692" s="13" t="n">
        <v>17</v>
      </c>
      <c r="G1692" s="0" t="s">
        <v>110</v>
      </c>
      <c r="H1692" s="13" t="n">
        <v>1110101</v>
      </c>
      <c r="I1692" s="0" t="s">
        <v>111</v>
      </c>
      <c r="J1692" s="13" t="n">
        <v>1630014</v>
      </c>
      <c r="L1692" s="13" t="n">
        <v>1630014</v>
      </c>
      <c r="M1692" s="0" t="s">
        <v>52</v>
      </c>
      <c r="N1692" s="0" t="s">
        <v>112</v>
      </c>
      <c r="P1692" s="13" t="n">
        <v>113</v>
      </c>
      <c r="Q1692" s="0" t="s">
        <v>46</v>
      </c>
      <c r="R1692" s="0" t="s">
        <v>71</v>
      </c>
      <c r="S1692" s="13" t="n">
        <v>4210310</v>
      </c>
      <c r="T1692" s="0" t="s">
        <v>126</v>
      </c>
      <c r="U1692" s="15" t="n">
        <v>96</v>
      </c>
      <c r="W1692" s="15" t="n">
        <v>96</v>
      </c>
      <c r="X1692" s="0" t="s">
        <v>283</v>
      </c>
      <c r="Z1692" s="0" t="str">
        <f aca="false">IF($T1692="","",IFERROR(INDEX('Resumo Grupos'!$AC$3:$AC$200,MATCH($T1692,'Resumo Grupos'!$AB$3:$AB$200,0)),"n/d"))</f>
        <v>Despesa</v>
      </c>
      <c r="AA1692" s="0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3" t="n">
        <v>2</v>
      </c>
      <c r="B1693" s="14" t="n">
        <v>46264</v>
      </c>
      <c r="C1693" s="14" t="n">
        <v>46264</v>
      </c>
      <c r="D1693" s="13" t="n">
        <v>0</v>
      </c>
      <c r="E1693" s="0" t="s">
        <v>109</v>
      </c>
      <c r="F1693" s="13" t="n">
        <v>17</v>
      </c>
      <c r="G1693" s="0" t="s">
        <v>110</v>
      </c>
      <c r="H1693" s="13" t="n">
        <v>1110101</v>
      </c>
      <c r="I1693" s="0" t="s">
        <v>111</v>
      </c>
      <c r="J1693" s="13" t="n">
        <v>1630017</v>
      </c>
      <c r="L1693" s="13" t="n">
        <v>1630017</v>
      </c>
      <c r="M1693" s="0" t="s">
        <v>52</v>
      </c>
      <c r="N1693" s="0" t="s">
        <v>112</v>
      </c>
      <c r="P1693" s="13" t="n">
        <v>113</v>
      </c>
      <c r="Q1693" s="0" t="s">
        <v>46</v>
      </c>
      <c r="R1693" s="0" t="s">
        <v>71</v>
      </c>
      <c r="S1693" s="13" t="n">
        <v>4210310</v>
      </c>
      <c r="T1693" s="0" t="s">
        <v>126</v>
      </c>
      <c r="U1693" s="15" t="n">
        <v>40</v>
      </c>
      <c r="W1693" s="15" t="n">
        <v>40</v>
      </c>
      <c r="X1693" s="0" t="s">
        <v>1500</v>
      </c>
      <c r="Z1693" s="0" t="str">
        <f aca="false">IF($T1693="","",IFERROR(INDEX('Resumo Grupos'!$AC$3:$AC$200,MATCH($T1693,'Resumo Grupos'!$AB$3:$AB$200,0)),"n/d"))</f>
        <v>Despesa</v>
      </c>
      <c r="AA1693" s="0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3" t="n">
        <v>2</v>
      </c>
      <c r="B1694" s="14" t="n">
        <v>46264</v>
      </c>
      <c r="C1694" s="14" t="n">
        <v>46264</v>
      </c>
      <c r="D1694" s="13" t="n">
        <v>0</v>
      </c>
      <c r="E1694" s="0" t="s">
        <v>109</v>
      </c>
      <c r="F1694" s="13" t="n">
        <v>17</v>
      </c>
      <c r="G1694" s="0" t="s">
        <v>110</v>
      </c>
      <c r="H1694" s="13" t="n">
        <v>1110101</v>
      </c>
      <c r="I1694" s="0" t="s">
        <v>111</v>
      </c>
      <c r="J1694" s="13" t="n">
        <v>1646150</v>
      </c>
      <c r="L1694" s="13" t="n">
        <v>1646150</v>
      </c>
      <c r="M1694" s="0" t="s">
        <v>52</v>
      </c>
      <c r="N1694" s="0" t="s">
        <v>112</v>
      </c>
      <c r="P1694" s="13" t="n">
        <v>113</v>
      </c>
      <c r="Q1694" s="0" t="s">
        <v>46</v>
      </c>
      <c r="R1694" s="0" t="s">
        <v>39</v>
      </c>
      <c r="S1694" s="13" t="n">
        <v>4210227</v>
      </c>
      <c r="T1694" s="0" t="s">
        <v>68</v>
      </c>
      <c r="U1694" s="15" t="n">
        <v>15</v>
      </c>
      <c r="W1694" s="15" t="n">
        <v>15</v>
      </c>
      <c r="X1694" s="0" t="s">
        <v>1501</v>
      </c>
      <c r="Z1694" s="0" t="str">
        <f aca="false">IF($T1694="","",IFERROR(INDEX('Resumo Grupos'!$AC$3:$AC$200,MATCH($T1694,'Resumo Grupos'!$AB$3:$AB$200,0)),"n/d"))</f>
        <v>Despesa</v>
      </c>
      <c r="AA1694" s="0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3" t="n">
        <v>2</v>
      </c>
      <c r="B1695" s="14" t="n">
        <v>46264</v>
      </c>
      <c r="C1695" s="14" t="n">
        <v>46264</v>
      </c>
      <c r="D1695" s="13" t="n">
        <v>0</v>
      </c>
      <c r="E1695" s="0" t="s">
        <v>109</v>
      </c>
      <c r="F1695" s="13" t="n">
        <v>17</v>
      </c>
      <c r="G1695" s="0" t="s">
        <v>110</v>
      </c>
      <c r="H1695" s="13" t="n">
        <v>1110101</v>
      </c>
      <c r="I1695" s="0" t="s">
        <v>111</v>
      </c>
      <c r="J1695" s="13" t="n">
        <v>1716424</v>
      </c>
      <c r="L1695" s="13" t="n">
        <v>1716424</v>
      </c>
      <c r="M1695" s="0" t="s">
        <v>52</v>
      </c>
      <c r="N1695" s="0" t="s">
        <v>112</v>
      </c>
      <c r="P1695" s="13" t="n">
        <v>113</v>
      </c>
      <c r="Q1695" s="0" t="s">
        <v>46</v>
      </c>
      <c r="R1695" s="0" t="s">
        <v>116</v>
      </c>
      <c r="S1695" s="13" t="n">
        <v>1110203</v>
      </c>
      <c r="T1695" s="0" t="s">
        <v>117</v>
      </c>
      <c r="U1695" s="15" t="n">
        <v>2000</v>
      </c>
      <c r="W1695" s="15" t="n">
        <v>2000</v>
      </c>
      <c r="X1695" s="0" t="s">
        <v>1502</v>
      </c>
      <c r="Z1695" s="0" t="str">
        <f aca="false">IF($T1695="","",IFERROR(INDEX('Resumo Grupos'!$AC$3:$AC$200,MATCH($T1695,'Resumo Grupos'!$AB$3:$AB$200,0)),"n/d"))</f>
        <v>Despesa</v>
      </c>
      <c r="AA1695" s="0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3" t="n">
        <v>2</v>
      </c>
      <c r="B1696" s="14" t="n">
        <v>46265</v>
      </c>
      <c r="C1696" s="14" t="n">
        <v>46265</v>
      </c>
      <c r="D1696" s="13" t="n">
        <v>1961</v>
      </c>
      <c r="E1696" s="0" t="s">
        <v>125</v>
      </c>
      <c r="F1696" s="13" t="n">
        <v>34</v>
      </c>
      <c r="G1696" s="0" t="s">
        <v>55</v>
      </c>
      <c r="H1696" s="13" t="n">
        <v>2110405</v>
      </c>
      <c r="I1696" s="0" t="s">
        <v>56</v>
      </c>
      <c r="J1696" s="13" t="n">
        <v>1639533</v>
      </c>
      <c r="L1696" s="13" t="n">
        <v>225322</v>
      </c>
      <c r="M1696" s="0" t="s">
        <v>52</v>
      </c>
      <c r="N1696" s="0" t="s">
        <v>45</v>
      </c>
      <c r="P1696" s="13" t="n">
        <v>102</v>
      </c>
      <c r="Q1696" s="0" t="s">
        <v>308</v>
      </c>
      <c r="R1696" s="0" t="s">
        <v>71</v>
      </c>
      <c r="S1696" s="13" t="n">
        <v>4210310</v>
      </c>
      <c r="T1696" s="0" t="s">
        <v>126</v>
      </c>
      <c r="U1696" s="15" t="n">
        <v>450</v>
      </c>
      <c r="W1696" s="15" t="n">
        <v>450</v>
      </c>
      <c r="X1696" s="0" t="s">
        <v>1503</v>
      </c>
      <c r="Z1696" s="0" t="str">
        <f aca="false">IF($T1696="","",IFERROR(INDEX('Resumo Grupos'!$AC$3:$AC$200,MATCH($T1696,'Resumo Grupos'!$AB$3:$AB$200,0)),"n/d"))</f>
        <v>Despesa</v>
      </c>
      <c r="AA1696" s="0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3" t="n">
        <v>2</v>
      </c>
      <c r="B1697" s="14" t="n">
        <v>46239</v>
      </c>
      <c r="C1697" s="14" t="n">
        <v>46265</v>
      </c>
      <c r="D1697" s="13" t="n">
        <v>1637</v>
      </c>
      <c r="E1697" s="0" t="s">
        <v>871</v>
      </c>
      <c r="F1697" s="13" t="n">
        <v>24</v>
      </c>
      <c r="G1697" s="0" t="s">
        <v>51</v>
      </c>
      <c r="H1697" s="13" t="n">
        <v>2110405</v>
      </c>
      <c r="I1697" s="0" t="s">
        <v>56</v>
      </c>
      <c r="J1697" s="13" t="n">
        <v>1503906</v>
      </c>
      <c r="L1697" s="13" t="n">
        <v>204194</v>
      </c>
      <c r="M1697" s="0" t="s">
        <v>52</v>
      </c>
      <c r="N1697" s="0" t="s">
        <v>45</v>
      </c>
      <c r="P1697" s="13" t="n">
        <v>113</v>
      </c>
      <c r="Q1697" s="0" t="s">
        <v>46</v>
      </c>
      <c r="R1697" s="0" t="s">
        <v>47</v>
      </c>
      <c r="S1697" s="13" t="n">
        <v>1130101</v>
      </c>
      <c r="T1697" s="0" t="s">
        <v>48</v>
      </c>
      <c r="U1697" s="15" t="n">
        <v>1220.6</v>
      </c>
      <c r="W1697" s="15" t="n">
        <v>1220.6</v>
      </c>
      <c r="X1697" s="0" t="s">
        <v>1504</v>
      </c>
      <c r="Z1697" s="0" t="str">
        <f aca="false">IF($T1697="","",IFERROR(INDEX('Resumo Grupos'!$AC$3:$AC$200,MATCH($T1697,'Resumo Grupos'!$AB$3:$AB$200,0)),"n/d"))</f>
        <v>Mercadoria</v>
      </c>
      <c r="AA1697" s="0" t="str">
        <f aca="false">IF($T1697="","",IF(COUNTIF('Resumo Grupos'!$AE$3:$AE$40,$T1697)&gt;0,"NAO","SIM"))</f>
        <v>SIM</v>
      </c>
      <c r="AB1697" s="0" t="str">
        <f aca="false">IFERROR(INDEX('Mov Entradas (Rel 10497)'!$L:$L,MATCH(AC1697,'Mov Entradas (Rel 10497)'!$I:$I,0)),"nao encontrado")</f>
        <v>CERVEJA ITAIPAVA 269ML</v>
      </c>
      <c r="AC1697" s="0" t="n">
        <v>1915875</v>
      </c>
    </row>
    <row r="1698" customFormat="false" ht="12.75" hidden="false" customHeight="true" outlineLevel="0" collapsed="false">
      <c r="A1698" s="13" t="n">
        <v>2</v>
      </c>
      <c r="B1698" s="14" t="n">
        <v>46265</v>
      </c>
      <c r="C1698" s="14" t="n">
        <v>46265</v>
      </c>
      <c r="D1698" s="13" t="n">
        <v>675</v>
      </c>
      <c r="E1698" s="0" t="s">
        <v>1505</v>
      </c>
      <c r="F1698" s="13" t="n">
        <v>11</v>
      </c>
      <c r="G1698" s="0" t="s">
        <v>556</v>
      </c>
      <c r="H1698" s="13" t="n">
        <v>2110405</v>
      </c>
      <c r="I1698" s="0" t="s">
        <v>56</v>
      </c>
      <c r="J1698" s="13" t="n">
        <v>1630801</v>
      </c>
      <c r="L1698" s="13" t="n">
        <v>223816</v>
      </c>
      <c r="M1698" s="0" t="s">
        <v>52</v>
      </c>
      <c r="N1698" s="0" t="s">
        <v>45</v>
      </c>
      <c r="P1698" s="13" t="n">
        <v>113</v>
      </c>
      <c r="Q1698" s="0" t="s">
        <v>46</v>
      </c>
      <c r="R1698" s="0" t="s">
        <v>39</v>
      </c>
      <c r="S1698" s="13" t="n">
        <v>4210227</v>
      </c>
      <c r="T1698" s="0" t="s">
        <v>68</v>
      </c>
      <c r="U1698" s="15" t="n">
        <v>620</v>
      </c>
      <c r="W1698" s="15" t="n">
        <v>0</v>
      </c>
      <c r="X1698" s="0" t="s">
        <v>1506</v>
      </c>
      <c r="Z1698" s="0" t="str">
        <f aca="false">IF($T1698="","",IFERROR(INDEX('Resumo Grupos'!$AC$3:$AC$200,MATCH($T1698,'Resumo Grupos'!$AB$3:$AB$200,0)),"n/d"))</f>
        <v>Despesa</v>
      </c>
      <c r="AA1698" s="0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3" t="n">
        <v>2</v>
      </c>
      <c r="B1699" s="14" t="n">
        <v>46253</v>
      </c>
      <c r="C1699" s="14" t="n">
        <v>46265</v>
      </c>
      <c r="D1699" s="13" t="n">
        <v>1616</v>
      </c>
      <c r="E1699" s="0" t="s">
        <v>64</v>
      </c>
      <c r="F1699" s="13" t="n">
        <v>24</v>
      </c>
      <c r="G1699" s="0" t="s">
        <v>51</v>
      </c>
      <c r="H1699" s="13" t="n">
        <v>2110405</v>
      </c>
      <c r="I1699" s="0" t="s">
        <v>56</v>
      </c>
      <c r="J1699" s="13" t="n">
        <v>1570894</v>
      </c>
      <c r="L1699" s="13" t="n">
        <v>214483</v>
      </c>
      <c r="M1699" s="0" t="s">
        <v>52</v>
      </c>
      <c r="N1699" s="0" t="s">
        <v>45</v>
      </c>
      <c r="P1699" s="13" t="n">
        <v>113</v>
      </c>
      <c r="Q1699" s="0" t="s">
        <v>46</v>
      </c>
      <c r="R1699" s="0" t="s">
        <v>47</v>
      </c>
      <c r="S1699" s="13" t="n">
        <v>1130101</v>
      </c>
      <c r="T1699" s="0" t="s">
        <v>48</v>
      </c>
      <c r="U1699" s="15" t="n">
        <v>431.3</v>
      </c>
      <c r="W1699" s="15" t="n">
        <v>431.3</v>
      </c>
      <c r="X1699" s="0" t="s">
        <v>1507</v>
      </c>
      <c r="Z1699" s="0" t="str">
        <f aca="false">IF($T1699="","",IFERROR(INDEX('Resumo Grupos'!$AC$3:$AC$200,MATCH($T1699,'Resumo Grupos'!$AB$3:$AB$200,0)),"n/d"))</f>
        <v>Mercadoria</v>
      </c>
      <c r="AA1699" s="0" t="str">
        <f aca="false">IF($T1699="","",IF(COUNTIF('Resumo Grupos'!$AE$3:$AE$40,$T1699)&gt;0,"NAO","SIM"))</f>
        <v>SIM</v>
      </c>
      <c r="AB1699" s="0" t="str">
        <f aca="false">IFERROR(INDEX('Mov Entradas (Rel 10497)'!$L:$L,MATCH(AC1699,'Mov Entradas (Rel 10497)'!$I:$I,0)),"nao encontrado")</f>
        <v>MAC COMUM GALO PARAFUSO 400G</v>
      </c>
      <c r="AC1699" s="0" t="n">
        <v>654908</v>
      </c>
    </row>
    <row r="1700" customFormat="false" ht="12.75" hidden="false" customHeight="true" outlineLevel="0" collapsed="false">
      <c r="A1700" s="13" t="n">
        <v>2</v>
      </c>
      <c r="B1700" s="14" t="n">
        <v>46253</v>
      </c>
      <c r="C1700" s="14" t="n">
        <v>46265</v>
      </c>
      <c r="D1700" s="13" t="n">
        <v>1616</v>
      </c>
      <c r="E1700" s="0" t="s">
        <v>64</v>
      </c>
      <c r="F1700" s="13" t="n">
        <v>24</v>
      </c>
      <c r="G1700" s="0" t="s">
        <v>51</v>
      </c>
      <c r="H1700" s="13" t="n">
        <v>2110405</v>
      </c>
      <c r="I1700" s="0" t="s">
        <v>56</v>
      </c>
      <c r="J1700" s="13" t="n">
        <v>1570971</v>
      </c>
      <c r="L1700" s="13" t="n">
        <v>214491</v>
      </c>
      <c r="M1700" s="0" t="s">
        <v>52</v>
      </c>
      <c r="N1700" s="0" t="s">
        <v>45</v>
      </c>
      <c r="P1700" s="13" t="n">
        <v>113</v>
      </c>
      <c r="Q1700" s="0" t="s">
        <v>46</v>
      </c>
      <c r="R1700" s="0" t="s">
        <v>47</v>
      </c>
      <c r="S1700" s="13" t="n">
        <v>1130101</v>
      </c>
      <c r="T1700" s="0" t="s">
        <v>48</v>
      </c>
      <c r="U1700" s="15" t="n">
        <v>606.55</v>
      </c>
      <c r="W1700" s="15" t="n">
        <v>606.55</v>
      </c>
      <c r="X1700" s="0" t="s">
        <v>1508</v>
      </c>
      <c r="Z1700" s="0" t="str">
        <f aca="false">IF($T1700="","",IFERROR(INDEX('Resumo Grupos'!$AC$3:$AC$200,MATCH($T1700,'Resumo Grupos'!$AB$3:$AB$200,0)),"n/d"))</f>
        <v>Mercadoria</v>
      </c>
      <c r="AA1700" s="0" t="str">
        <f aca="false">IF($T1700="","",IF(COUNTIF('Resumo Grupos'!$AE$3:$AE$40,$T1700)&gt;0,"NAO","SIM"))</f>
        <v>SIM</v>
      </c>
      <c r="AB1700" s="0" t="str">
        <f aca="false">IFERROR(INDEX('Mov Entradas (Rel 10497)'!$L:$L,MATCH(AC1700,'Mov Entradas (Rel 10497)'!$I:$I,0)),"nao encontrado")</f>
        <v>DETER LIMPOL MACA 500ML</v>
      </c>
      <c r="AC1700" s="0" t="n">
        <v>654907</v>
      </c>
    </row>
    <row r="1701" customFormat="false" ht="12.75" hidden="false" customHeight="true" outlineLevel="0" collapsed="false">
      <c r="A1701" s="13" t="n">
        <v>2</v>
      </c>
      <c r="B1701" s="14" t="n">
        <v>46251</v>
      </c>
      <c r="C1701" s="14" t="n">
        <v>46265</v>
      </c>
      <c r="D1701" s="13" t="n">
        <v>1683</v>
      </c>
      <c r="E1701" s="0" t="s">
        <v>406</v>
      </c>
      <c r="F1701" s="13" t="n">
        <v>34</v>
      </c>
      <c r="G1701" s="0" t="s">
        <v>55</v>
      </c>
      <c r="H1701" s="13" t="n">
        <v>2110405</v>
      </c>
      <c r="I1701" s="0" t="s">
        <v>56</v>
      </c>
      <c r="J1701" s="13" t="n">
        <v>1560849</v>
      </c>
      <c r="L1701" s="13" t="n">
        <v>212901</v>
      </c>
      <c r="M1701" s="0" t="s">
        <v>52</v>
      </c>
      <c r="N1701" s="0" t="s">
        <v>45</v>
      </c>
      <c r="P1701" s="13" t="n">
        <v>113</v>
      </c>
      <c r="Q1701" s="0" t="s">
        <v>46</v>
      </c>
      <c r="R1701" s="0" t="s">
        <v>47</v>
      </c>
      <c r="S1701" s="13" t="n">
        <v>1130101</v>
      </c>
      <c r="T1701" s="0" t="s">
        <v>48</v>
      </c>
      <c r="U1701" s="15" t="n">
        <v>97.5</v>
      </c>
      <c r="W1701" s="15" t="n">
        <v>97.5</v>
      </c>
      <c r="X1701" s="0" t="s">
        <v>408</v>
      </c>
      <c r="Z1701" s="0" t="str">
        <f aca="false">IF($T1701="","",IFERROR(INDEX('Resumo Grupos'!$AC$3:$AC$200,MATCH($T1701,'Resumo Grupos'!$AB$3:$AB$200,0)),"n/d"))</f>
        <v>Mercadoria</v>
      </c>
      <c r="AA1701" s="0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3" t="n">
        <v>2</v>
      </c>
      <c r="B1702" s="14" t="n">
        <v>46252</v>
      </c>
      <c r="C1702" s="14" t="n">
        <v>46265</v>
      </c>
      <c r="D1702" s="13" t="n">
        <v>1683</v>
      </c>
      <c r="E1702" s="0" t="s">
        <v>406</v>
      </c>
      <c r="F1702" s="13" t="n">
        <v>34</v>
      </c>
      <c r="G1702" s="0" t="s">
        <v>55</v>
      </c>
      <c r="H1702" s="13" t="n">
        <v>2110405</v>
      </c>
      <c r="I1702" s="0" t="s">
        <v>56</v>
      </c>
      <c r="J1702" s="13" t="n">
        <v>1566494</v>
      </c>
      <c r="L1702" s="13" t="n">
        <v>213829</v>
      </c>
      <c r="M1702" s="0" t="s">
        <v>52</v>
      </c>
      <c r="N1702" s="0" t="s">
        <v>45</v>
      </c>
      <c r="P1702" s="13" t="n">
        <v>113</v>
      </c>
      <c r="Q1702" s="0" t="s">
        <v>46</v>
      </c>
      <c r="R1702" s="0" t="s">
        <v>47</v>
      </c>
      <c r="S1702" s="13" t="n">
        <v>1130101</v>
      </c>
      <c r="T1702" s="0" t="s">
        <v>48</v>
      </c>
      <c r="U1702" s="15" t="n">
        <v>151</v>
      </c>
      <c r="W1702" s="15" t="n">
        <v>151</v>
      </c>
      <c r="X1702" s="0" t="s">
        <v>408</v>
      </c>
      <c r="Z1702" s="0" t="str">
        <f aca="false">IF($T1702="","",IFERROR(INDEX('Resumo Grupos'!$AC$3:$AC$200,MATCH($T1702,'Resumo Grupos'!$AB$3:$AB$200,0)),"n/d"))</f>
        <v>Mercadoria</v>
      </c>
      <c r="AA1702" s="0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3" t="n">
        <v>2</v>
      </c>
      <c r="B1703" s="14" t="n">
        <v>46254</v>
      </c>
      <c r="C1703" s="14" t="n">
        <v>46265</v>
      </c>
      <c r="D1703" s="13" t="n">
        <v>1683</v>
      </c>
      <c r="E1703" s="0" t="s">
        <v>406</v>
      </c>
      <c r="F1703" s="13" t="n">
        <v>34</v>
      </c>
      <c r="G1703" s="0" t="s">
        <v>55</v>
      </c>
      <c r="H1703" s="13" t="n">
        <v>2110405</v>
      </c>
      <c r="I1703" s="0" t="s">
        <v>56</v>
      </c>
      <c r="J1703" s="13" t="n">
        <v>1576184</v>
      </c>
      <c r="L1703" s="13" t="n">
        <v>215382</v>
      </c>
      <c r="M1703" s="0" t="s">
        <v>52</v>
      </c>
      <c r="N1703" s="0" t="s">
        <v>45</v>
      </c>
      <c r="P1703" s="13" t="n">
        <v>113</v>
      </c>
      <c r="Q1703" s="0" t="s">
        <v>46</v>
      </c>
      <c r="R1703" s="0" t="s">
        <v>47</v>
      </c>
      <c r="S1703" s="13" t="n">
        <v>1130101</v>
      </c>
      <c r="T1703" s="0" t="s">
        <v>48</v>
      </c>
      <c r="U1703" s="15" t="n">
        <v>156</v>
      </c>
      <c r="W1703" s="15" t="n">
        <v>156</v>
      </c>
      <c r="X1703" s="0" t="s">
        <v>408</v>
      </c>
      <c r="Z1703" s="0" t="str">
        <f aca="false">IF($T1703="","",IFERROR(INDEX('Resumo Grupos'!$AC$3:$AC$200,MATCH($T1703,'Resumo Grupos'!$AB$3:$AB$200,0)),"n/d"))</f>
        <v>Mercadoria</v>
      </c>
      <c r="AA1703" s="0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3" t="n">
        <v>2</v>
      </c>
      <c r="B1704" s="14" t="n">
        <v>46255</v>
      </c>
      <c r="C1704" s="14" t="n">
        <v>46265</v>
      </c>
      <c r="D1704" s="13" t="n">
        <v>1683</v>
      </c>
      <c r="E1704" s="0" t="s">
        <v>406</v>
      </c>
      <c r="F1704" s="13" t="n">
        <v>34</v>
      </c>
      <c r="G1704" s="0" t="s">
        <v>55</v>
      </c>
      <c r="H1704" s="13" t="n">
        <v>2110405</v>
      </c>
      <c r="I1704" s="0" t="s">
        <v>56</v>
      </c>
      <c r="J1704" s="13" t="n">
        <v>1582006</v>
      </c>
      <c r="L1704" s="13" t="n">
        <v>216486</v>
      </c>
      <c r="M1704" s="0" t="s">
        <v>52</v>
      </c>
      <c r="N1704" s="0" t="s">
        <v>45</v>
      </c>
      <c r="P1704" s="13" t="n">
        <v>113</v>
      </c>
      <c r="Q1704" s="0" t="s">
        <v>46</v>
      </c>
      <c r="R1704" s="0" t="s">
        <v>47</v>
      </c>
      <c r="S1704" s="13" t="n">
        <v>1130101</v>
      </c>
      <c r="T1704" s="0" t="s">
        <v>48</v>
      </c>
      <c r="U1704" s="15" t="n">
        <v>100.5</v>
      </c>
      <c r="W1704" s="15" t="n">
        <v>100.5</v>
      </c>
      <c r="X1704" s="0" t="s">
        <v>408</v>
      </c>
      <c r="Z1704" s="0" t="str">
        <f aca="false">IF($T1704="","",IFERROR(INDEX('Resumo Grupos'!$AC$3:$AC$200,MATCH($T1704,'Resumo Grupos'!$AB$3:$AB$200,0)),"n/d"))</f>
        <v>Mercadoria</v>
      </c>
      <c r="AA1704" s="0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3" t="n">
        <v>2</v>
      </c>
      <c r="B1705" s="14" t="n">
        <v>46258</v>
      </c>
      <c r="C1705" s="14" t="n">
        <v>46265</v>
      </c>
      <c r="D1705" s="13" t="n">
        <v>1683</v>
      </c>
      <c r="E1705" s="0" t="s">
        <v>406</v>
      </c>
      <c r="F1705" s="13" t="n">
        <v>34</v>
      </c>
      <c r="G1705" s="0" t="s">
        <v>55</v>
      </c>
      <c r="H1705" s="13" t="n">
        <v>2110405</v>
      </c>
      <c r="I1705" s="0" t="s">
        <v>56</v>
      </c>
      <c r="J1705" s="13" t="n">
        <v>1594276</v>
      </c>
      <c r="L1705" s="13" t="n">
        <v>218060</v>
      </c>
      <c r="M1705" s="0" t="s">
        <v>52</v>
      </c>
      <c r="N1705" s="0" t="s">
        <v>45</v>
      </c>
      <c r="P1705" s="13" t="n">
        <v>113</v>
      </c>
      <c r="Q1705" s="0" t="s">
        <v>46</v>
      </c>
      <c r="R1705" s="0" t="s">
        <v>47</v>
      </c>
      <c r="S1705" s="13" t="n">
        <v>1130101</v>
      </c>
      <c r="T1705" s="0" t="s">
        <v>48</v>
      </c>
      <c r="U1705" s="15" t="n">
        <v>140</v>
      </c>
      <c r="W1705" s="15" t="n">
        <v>140</v>
      </c>
      <c r="X1705" s="0" t="s">
        <v>408</v>
      </c>
      <c r="Z1705" s="0" t="str">
        <f aca="false">IF($T1705="","",IFERROR(INDEX('Resumo Grupos'!$AC$3:$AC$200,MATCH($T1705,'Resumo Grupos'!$AB$3:$AB$200,0)),"n/d"))</f>
        <v>Mercadoria</v>
      </c>
      <c r="AA1705" s="0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3" t="n">
        <v>2</v>
      </c>
      <c r="B1706" s="14" t="n">
        <v>46259</v>
      </c>
      <c r="C1706" s="14" t="n">
        <v>46265</v>
      </c>
      <c r="D1706" s="13" t="n">
        <v>1683</v>
      </c>
      <c r="E1706" s="0" t="s">
        <v>406</v>
      </c>
      <c r="F1706" s="13" t="n">
        <v>34</v>
      </c>
      <c r="G1706" s="0" t="s">
        <v>55</v>
      </c>
      <c r="H1706" s="13" t="n">
        <v>2110405</v>
      </c>
      <c r="I1706" s="0" t="s">
        <v>56</v>
      </c>
      <c r="J1706" s="13" t="n">
        <v>1598937</v>
      </c>
      <c r="L1706" s="13" t="n">
        <v>218842</v>
      </c>
      <c r="M1706" s="0" t="s">
        <v>52</v>
      </c>
      <c r="N1706" s="0" t="s">
        <v>45</v>
      </c>
      <c r="P1706" s="13" t="n">
        <v>113</v>
      </c>
      <c r="Q1706" s="0" t="s">
        <v>46</v>
      </c>
      <c r="R1706" s="0" t="s">
        <v>47</v>
      </c>
      <c r="S1706" s="13" t="n">
        <v>1130101</v>
      </c>
      <c r="T1706" s="0" t="s">
        <v>48</v>
      </c>
      <c r="U1706" s="15" t="n">
        <v>126</v>
      </c>
      <c r="W1706" s="15" t="n">
        <v>126</v>
      </c>
      <c r="X1706" s="0" t="s">
        <v>408</v>
      </c>
      <c r="Z1706" s="0" t="str">
        <f aca="false">IF($T1706="","",IFERROR(INDEX('Resumo Grupos'!$AC$3:$AC$200,MATCH($T1706,'Resumo Grupos'!$AB$3:$AB$200,0)),"n/d"))</f>
        <v>Mercadoria</v>
      </c>
      <c r="AA1706" s="0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3" t="n">
        <v>2</v>
      </c>
      <c r="B1707" s="14" t="n">
        <v>46260</v>
      </c>
      <c r="C1707" s="14" t="n">
        <v>46265</v>
      </c>
      <c r="D1707" s="13" t="n">
        <v>1683</v>
      </c>
      <c r="E1707" s="0" t="s">
        <v>406</v>
      </c>
      <c r="F1707" s="13" t="n">
        <v>34</v>
      </c>
      <c r="G1707" s="0" t="s">
        <v>55</v>
      </c>
      <c r="H1707" s="13" t="n">
        <v>2110405</v>
      </c>
      <c r="I1707" s="0" t="s">
        <v>56</v>
      </c>
      <c r="J1707" s="13" t="n">
        <v>1605242</v>
      </c>
      <c r="L1707" s="13" t="n">
        <v>219919</v>
      </c>
      <c r="M1707" s="0" t="s">
        <v>52</v>
      </c>
      <c r="N1707" s="0" t="s">
        <v>45</v>
      </c>
      <c r="P1707" s="13" t="n">
        <v>113</v>
      </c>
      <c r="Q1707" s="0" t="s">
        <v>46</v>
      </c>
      <c r="R1707" s="0" t="s">
        <v>47</v>
      </c>
      <c r="S1707" s="13" t="n">
        <v>1130101</v>
      </c>
      <c r="T1707" s="0" t="s">
        <v>48</v>
      </c>
      <c r="U1707" s="15" t="n">
        <v>137</v>
      </c>
      <c r="W1707" s="15" t="n">
        <v>137</v>
      </c>
      <c r="X1707" s="0" t="s">
        <v>408</v>
      </c>
      <c r="Z1707" s="0" t="str">
        <f aca="false">IF($T1707="","",IFERROR(INDEX('Resumo Grupos'!$AC$3:$AC$200,MATCH($T1707,'Resumo Grupos'!$AB$3:$AB$200,0)),"n/d"))</f>
        <v>Mercadoria</v>
      </c>
      <c r="AA1707" s="0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3" t="n">
        <v>2</v>
      </c>
      <c r="B1708" s="14" t="n">
        <v>46262</v>
      </c>
      <c r="C1708" s="14" t="n">
        <v>46265</v>
      </c>
      <c r="D1708" s="13" t="n">
        <v>1683</v>
      </c>
      <c r="E1708" s="0" t="s">
        <v>406</v>
      </c>
      <c r="F1708" s="13" t="n">
        <v>34</v>
      </c>
      <c r="G1708" s="0" t="s">
        <v>55</v>
      </c>
      <c r="H1708" s="13" t="n">
        <v>2110405</v>
      </c>
      <c r="I1708" s="0" t="s">
        <v>56</v>
      </c>
      <c r="J1708" s="13" t="n">
        <v>1614840</v>
      </c>
      <c r="L1708" s="13" t="n">
        <v>221511</v>
      </c>
      <c r="M1708" s="0" t="s">
        <v>52</v>
      </c>
      <c r="N1708" s="0" t="s">
        <v>45</v>
      </c>
      <c r="P1708" s="13" t="n">
        <v>113</v>
      </c>
      <c r="Q1708" s="0" t="s">
        <v>46</v>
      </c>
      <c r="R1708" s="0" t="s">
        <v>47</v>
      </c>
      <c r="S1708" s="13" t="n">
        <v>1130101</v>
      </c>
      <c r="T1708" s="0" t="s">
        <v>48</v>
      </c>
      <c r="U1708" s="15" t="n">
        <v>192</v>
      </c>
      <c r="W1708" s="15" t="n">
        <v>192</v>
      </c>
      <c r="X1708" s="0" t="s">
        <v>408</v>
      </c>
      <c r="Z1708" s="0" t="str">
        <f aca="false">IF($T1708="","",IFERROR(INDEX('Resumo Grupos'!$AC$3:$AC$200,MATCH($T1708,'Resumo Grupos'!$AB$3:$AB$200,0)),"n/d"))</f>
        <v>Mercadoria</v>
      </c>
      <c r="AA1708" s="0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3" t="n">
        <v>2</v>
      </c>
      <c r="B1709" s="14" t="n">
        <v>46265</v>
      </c>
      <c r="C1709" s="14" t="n">
        <v>46265</v>
      </c>
      <c r="D1709" s="13" t="n">
        <v>1683</v>
      </c>
      <c r="E1709" s="0" t="s">
        <v>406</v>
      </c>
      <c r="F1709" s="13" t="n">
        <v>34</v>
      </c>
      <c r="G1709" s="0" t="s">
        <v>55</v>
      </c>
      <c r="H1709" s="13" t="n">
        <v>2110405</v>
      </c>
      <c r="I1709" s="0" t="s">
        <v>56</v>
      </c>
      <c r="J1709" s="13" t="n">
        <v>1630580</v>
      </c>
      <c r="L1709" s="13" t="n">
        <v>223771</v>
      </c>
      <c r="M1709" s="0" t="s">
        <v>52</v>
      </c>
      <c r="N1709" s="0" t="s">
        <v>45</v>
      </c>
      <c r="P1709" s="13" t="n">
        <v>113</v>
      </c>
      <c r="Q1709" s="0" t="s">
        <v>46</v>
      </c>
      <c r="R1709" s="0" t="s">
        <v>47</v>
      </c>
      <c r="S1709" s="13" t="n">
        <v>1130101</v>
      </c>
      <c r="T1709" s="0" t="s">
        <v>48</v>
      </c>
      <c r="U1709" s="15" t="n">
        <v>148.5</v>
      </c>
      <c r="W1709" s="15" t="n">
        <v>148.5</v>
      </c>
      <c r="X1709" s="0" t="s">
        <v>408</v>
      </c>
      <c r="Z1709" s="0" t="str">
        <f aca="false">IF($T1709="","",IFERROR(INDEX('Resumo Grupos'!$AC$3:$AC$200,MATCH($T1709,'Resumo Grupos'!$AB$3:$AB$200,0)),"n/d"))</f>
        <v>Mercadoria</v>
      </c>
      <c r="AA1709" s="0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3" t="n">
        <v>2</v>
      </c>
      <c r="B1710" s="14" t="n">
        <v>46265</v>
      </c>
      <c r="C1710" s="14" t="n">
        <v>46265</v>
      </c>
      <c r="D1710" s="13" t="n">
        <v>1683</v>
      </c>
      <c r="E1710" s="0" t="s">
        <v>406</v>
      </c>
      <c r="F1710" s="13" t="n">
        <v>34</v>
      </c>
      <c r="G1710" s="0" t="s">
        <v>55</v>
      </c>
      <c r="H1710" s="13" t="n">
        <v>2110405</v>
      </c>
      <c r="I1710" s="0" t="s">
        <v>56</v>
      </c>
      <c r="J1710" s="13" t="n">
        <v>1630627</v>
      </c>
      <c r="L1710" s="13" t="n">
        <v>223780</v>
      </c>
      <c r="M1710" s="0" t="s">
        <v>52</v>
      </c>
      <c r="N1710" s="0" t="s">
        <v>45</v>
      </c>
      <c r="P1710" s="13" t="n">
        <v>113</v>
      </c>
      <c r="Q1710" s="0" t="s">
        <v>46</v>
      </c>
      <c r="R1710" s="0" t="s">
        <v>47</v>
      </c>
      <c r="S1710" s="13" t="n">
        <v>1130101</v>
      </c>
      <c r="T1710" s="0" t="s">
        <v>48</v>
      </c>
      <c r="U1710" s="15" t="n">
        <v>150</v>
      </c>
      <c r="W1710" s="15" t="n">
        <v>150</v>
      </c>
      <c r="X1710" s="0" t="s">
        <v>1509</v>
      </c>
      <c r="Z1710" s="0" t="str">
        <f aca="false">IF($T1710="","",IFERROR(INDEX('Resumo Grupos'!$AC$3:$AC$200,MATCH($T1710,'Resumo Grupos'!$AB$3:$AB$200,0)),"n/d"))</f>
        <v>Mercadoria</v>
      </c>
      <c r="AA1710" s="0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3" t="n">
        <v>2</v>
      </c>
      <c r="B1711" s="14" t="n">
        <v>46265</v>
      </c>
      <c r="C1711" s="14" t="n">
        <v>46265</v>
      </c>
      <c r="D1711" s="13" t="n">
        <v>12</v>
      </c>
      <c r="E1711" s="0" t="s">
        <v>79</v>
      </c>
      <c r="F1711" s="13" t="n">
        <v>34</v>
      </c>
      <c r="G1711" s="0" t="s">
        <v>55</v>
      </c>
      <c r="H1711" s="13" t="n">
        <v>2110405</v>
      </c>
      <c r="I1711" s="0" t="s">
        <v>56</v>
      </c>
      <c r="J1711" s="13" t="n">
        <v>1643276</v>
      </c>
      <c r="L1711" s="13" t="n">
        <v>225468</v>
      </c>
      <c r="M1711" s="0" t="s">
        <v>52</v>
      </c>
      <c r="N1711" s="0" t="s">
        <v>45</v>
      </c>
      <c r="P1711" s="13" t="n">
        <v>113</v>
      </c>
      <c r="Q1711" s="0" t="s">
        <v>46</v>
      </c>
      <c r="R1711" s="0" t="s">
        <v>71</v>
      </c>
      <c r="S1711" s="13" t="n">
        <v>4210301</v>
      </c>
      <c r="T1711" s="0" t="s">
        <v>220</v>
      </c>
      <c r="U1711" s="15" t="n">
        <v>600</v>
      </c>
      <c r="W1711" s="15" t="n">
        <v>600</v>
      </c>
      <c r="X1711" s="0" t="s">
        <v>1510</v>
      </c>
      <c r="Z1711" s="0" t="str">
        <f aca="false">IF($T1711="","",IFERROR(INDEX('Resumo Grupos'!$AC$3:$AC$200,MATCH($T1711,'Resumo Grupos'!$AB$3:$AB$200,0)),"n/d"))</f>
        <v>Salários</v>
      </c>
      <c r="AA1711" s="0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3" t="n">
        <v>2</v>
      </c>
      <c r="B1712" s="14" t="n">
        <v>46262</v>
      </c>
      <c r="C1712" s="14" t="n">
        <v>46265</v>
      </c>
      <c r="D1712" s="13" t="n">
        <v>10035</v>
      </c>
      <c r="E1712" s="0" t="s">
        <v>86</v>
      </c>
      <c r="F1712" s="13" t="n">
        <v>34</v>
      </c>
      <c r="G1712" s="0" t="s">
        <v>55</v>
      </c>
      <c r="H1712" s="13" t="n">
        <v>2110405</v>
      </c>
      <c r="I1712" s="0" t="s">
        <v>56</v>
      </c>
      <c r="J1712" s="13" t="n">
        <v>1614664</v>
      </c>
      <c r="L1712" s="13" t="n">
        <v>221477</v>
      </c>
      <c r="M1712" s="0" t="s">
        <v>52</v>
      </c>
      <c r="N1712" s="0" t="s">
        <v>45</v>
      </c>
      <c r="P1712" s="13" t="n">
        <v>113</v>
      </c>
      <c r="Q1712" s="0" t="s">
        <v>46</v>
      </c>
      <c r="R1712" s="0" t="s">
        <v>47</v>
      </c>
      <c r="S1712" s="13" t="n">
        <v>1130101</v>
      </c>
      <c r="T1712" s="0" t="s">
        <v>48</v>
      </c>
      <c r="U1712" s="15" t="n">
        <v>214.5</v>
      </c>
      <c r="W1712" s="15" t="n">
        <v>214.5</v>
      </c>
      <c r="X1712" s="0" t="s">
        <v>1511</v>
      </c>
      <c r="Z1712" s="0" t="str">
        <f aca="false">IF($T1712="","",IFERROR(INDEX('Resumo Grupos'!$AC$3:$AC$200,MATCH($T1712,'Resumo Grupos'!$AB$3:$AB$200,0)),"n/d"))</f>
        <v>Mercadoria</v>
      </c>
      <c r="AA1712" s="0" t="str">
        <f aca="false">IF($T1712="","",IF(COUNTIF('Resumo Grupos'!$AE$3:$AE$40,$T1712)&gt;0,"NAO","SIM"))</f>
        <v>SIM</v>
      </c>
      <c r="AB1712" s="0" t="str">
        <f aca="false">IFERROR(INDEX('Mov Entradas (Rel 10497)'!$L:$L,MATCH(AC1712,'Mov Entradas (Rel 10497)'!$I:$I,0)),"nao encontrado")</f>
        <v>CARVAO VEGETAL 3KG</v>
      </c>
      <c r="AC1712" s="0" t="n">
        <v>421</v>
      </c>
    </row>
    <row r="1713" customFormat="false" ht="12.75" hidden="false" customHeight="true" outlineLevel="0" collapsed="false">
      <c r="A1713" s="13" t="n">
        <v>2</v>
      </c>
      <c r="B1713" s="14" t="n">
        <v>46265</v>
      </c>
      <c r="C1713" s="14" t="n">
        <v>46265</v>
      </c>
      <c r="D1713" s="13" t="n">
        <v>1699</v>
      </c>
      <c r="E1713" s="0" t="s">
        <v>248</v>
      </c>
      <c r="F1713" s="13" t="n">
        <v>24</v>
      </c>
      <c r="G1713" s="0" t="s">
        <v>51</v>
      </c>
      <c r="H1713" s="13" t="n">
        <v>2110405</v>
      </c>
      <c r="I1713" s="0" t="s">
        <v>56</v>
      </c>
      <c r="J1713" s="13" t="n">
        <v>1628756</v>
      </c>
      <c r="L1713" s="13" t="n">
        <v>223347</v>
      </c>
      <c r="M1713" s="0" t="s">
        <v>52</v>
      </c>
      <c r="N1713" s="0" t="s">
        <v>45</v>
      </c>
      <c r="P1713" s="13" t="n">
        <v>113</v>
      </c>
      <c r="Q1713" s="0" t="s">
        <v>46</v>
      </c>
      <c r="R1713" s="0" t="s">
        <v>47</v>
      </c>
      <c r="S1713" s="13" t="n">
        <v>1130101</v>
      </c>
      <c r="T1713" s="0" t="s">
        <v>48</v>
      </c>
      <c r="U1713" s="15" t="n">
        <v>658.8</v>
      </c>
      <c r="W1713" s="15" t="n">
        <v>658.8</v>
      </c>
      <c r="X1713" s="0" t="s">
        <v>1512</v>
      </c>
      <c r="Z1713" s="0" t="str">
        <f aca="false">IF($T1713="","",IFERROR(INDEX('Resumo Grupos'!$AC$3:$AC$200,MATCH($T1713,'Resumo Grupos'!$AB$3:$AB$200,0)),"n/d"))</f>
        <v>Mercadoria</v>
      </c>
      <c r="AA1713" s="0" t="str">
        <f aca="false">IF($T1713="","",IF(COUNTIF('Resumo Grupos'!$AE$3:$AE$40,$T1713)&gt;0,"NAO","SIM"))</f>
        <v>SIM</v>
      </c>
      <c r="AB1713" s="0" t="str">
        <f aca="false">IFERROR(INDEX('Mov Entradas (Rel 10497)'!$L:$L,MATCH(AC1713,'Mov Entradas (Rel 10497)'!$I:$I,0)),"nao encontrado")</f>
        <v>SUCO JANDAI CAJU500M</v>
      </c>
      <c r="AC1713" s="0" t="n">
        <v>311270</v>
      </c>
    </row>
    <row r="1714" customFormat="false" ht="12.75" hidden="false" customHeight="true" outlineLevel="0" collapsed="false">
      <c r="A1714" s="13" t="n">
        <v>2</v>
      </c>
      <c r="B1714" s="14" t="n">
        <v>46265</v>
      </c>
      <c r="C1714" s="14" t="n">
        <v>46265</v>
      </c>
      <c r="D1714" s="13" t="n">
        <v>1699</v>
      </c>
      <c r="E1714" s="0" t="s">
        <v>248</v>
      </c>
      <c r="F1714" s="13" t="n">
        <v>24</v>
      </c>
      <c r="G1714" s="0" t="s">
        <v>51</v>
      </c>
      <c r="H1714" s="13" t="n">
        <v>2110101</v>
      </c>
      <c r="I1714" s="0" t="s">
        <v>43</v>
      </c>
      <c r="J1714" s="13" t="n">
        <v>1652879</v>
      </c>
      <c r="L1714" s="13" t="n">
        <v>227079</v>
      </c>
      <c r="M1714" s="0" t="s">
        <v>52</v>
      </c>
      <c r="N1714" s="0" t="s">
        <v>45</v>
      </c>
      <c r="P1714" s="13" t="n">
        <v>102</v>
      </c>
      <c r="Q1714" s="0" t="s">
        <v>308</v>
      </c>
      <c r="R1714" s="0" t="s">
        <v>47</v>
      </c>
      <c r="S1714" s="13" t="n">
        <v>1130101</v>
      </c>
      <c r="T1714" s="0" t="s">
        <v>48</v>
      </c>
      <c r="U1714" s="15" t="n">
        <v>658.8</v>
      </c>
      <c r="W1714" s="15" t="n">
        <v>658.8</v>
      </c>
      <c r="X1714" s="0" t="s">
        <v>1513</v>
      </c>
      <c r="Z1714" s="0" t="str">
        <f aca="false">IF($T1714="","",IFERROR(INDEX('Resumo Grupos'!$AC$3:$AC$200,MATCH($T1714,'Resumo Grupos'!$AB$3:$AB$200,0)),"n/d"))</f>
        <v>Mercadoria</v>
      </c>
      <c r="AA1714" s="0" t="str">
        <f aca="false">IF($T1714="","",IF(COUNTIF('Resumo Grupos'!$AE$3:$AE$40,$T1714)&gt;0,"NAO","SIM"))</f>
        <v>SIM</v>
      </c>
      <c r="AB1714" s="0" t="str">
        <f aca="false">IFERROR(INDEX('Mov Entradas (Rel 10497)'!$L:$L,MATCH(AC1714,'Mov Entradas (Rel 10497)'!$I:$I,0)),"nao encontrado")</f>
        <v>SUCO JANDAI CAJU500M</v>
      </c>
      <c r="AC1714" s="0" t="n">
        <v>311270</v>
      </c>
    </row>
    <row r="1715" customFormat="false" ht="12.75" hidden="false" customHeight="true" outlineLevel="0" collapsed="false">
      <c r="A1715" s="13" t="n">
        <v>2</v>
      </c>
      <c r="B1715" s="14" t="n">
        <v>46252</v>
      </c>
      <c r="C1715" s="14" t="n">
        <v>46265</v>
      </c>
      <c r="D1715" s="13" t="n">
        <v>1675</v>
      </c>
      <c r="E1715" s="0" t="s">
        <v>289</v>
      </c>
      <c r="F1715" s="13" t="n">
        <v>24</v>
      </c>
      <c r="G1715" s="0" t="s">
        <v>51</v>
      </c>
      <c r="H1715" s="13" t="n">
        <v>2110405</v>
      </c>
      <c r="I1715" s="0" t="s">
        <v>56</v>
      </c>
      <c r="J1715" s="13" t="n">
        <v>1566792</v>
      </c>
      <c r="L1715" s="13" t="n">
        <v>213876</v>
      </c>
      <c r="M1715" s="0" t="s">
        <v>52</v>
      </c>
      <c r="N1715" s="0" t="s">
        <v>45</v>
      </c>
      <c r="P1715" s="13" t="n">
        <v>113</v>
      </c>
      <c r="Q1715" s="0" t="s">
        <v>46</v>
      </c>
      <c r="R1715" s="0" t="s">
        <v>47</v>
      </c>
      <c r="S1715" s="13" t="n">
        <v>1130101</v>
      </c>
      <c r="T1715" s="0" t="s">
        <v>48</v>
      </c>
      <c r="U1715" s="15" t="n">
        <v>470.34</v>
      </c>
      <c r="W1715" s="15" t="n">
        <v>470.34</v>
      </c>
      <c r="X1715" s="0" t="s">
        <v>1514</v>
      </c>
      <c r="Z1715" s="0" t="str">
        <f aca="false">IF($T1715="","",IFERROR(INDEX('Resumo Grupos'!$AC$3:$AC$200,MATCH($T1715,'Resumo Grupos'!$AB$3:$AB$200,0)),"n/d"))</f>
        <v>Mercadoria</v>
      </c>
      <c r="AA1715" s="0" t="str">
        <f aca="false">IF($T1715="","",IF(COUNTIF('Resumo Grupos'!$AE$3:$AE$40,$T1715)&gt;0,"NAO","SIM"))</f>
        <v>SIM</v>
      </c>
      <c r="AB1715" s="0" t="str">
        <f aca="false">IFERROR(INDEX('Mov Entradas (Rel 10497)'!$L:$L,MATCH(AC1715,'Mov Entradas (Rel 10497)'!$I:$I,0)),"nao encontrado")</f>
        <v>BOLO D BENTA SACH CO</v>
      </c>
      <c r="AC1715" s="0" t="n">
        <v>508442</v>
      </c>
    </row>
    <row r="1716" customFormat="false" ht="12.75" hidden="false" customHeight="true" outlineLevel="0" collapsed="false">
      <c r="A1716" s="13" t="n">
        <v>2</v>
      </c>
      <c r="B1716" s="14" t="n">
        <v>46265</v>
      </c>
      <c r="C1716" s="14" t="n">
        <v>46265</v>
      </c>
      <c r="D1716" s="13" t="n">
        <v>48</v>
      </c>
      <c r="E1716" s="0" t="s">
        <v>153</v>
      </c>
      <c r="F1716" s="13" t="n">
        <v>13</v>
      </c>
      <c r="G1716" s="0" t="s">
        <v>135</v>
      </c>
      <c r="H1716" s="13" t="n">
        <v>2110101</v>
      </c>
      <c r="I1716" s="0" t="s">
        <v>43</v>
      </c>
      <c r="J1716" s="13" t="n">
        <v>1630071</v>
      </c>
      <c r="L1716" s="13" t="n">
        <v>2643</v>
      </c>
      <c r="M1716" s="0" t="s">
        <v>52</v>
      </c>
      <c r="N1716" s="0" t="s">
        <v>37</v>
      </c>
      <c r="P1716" s="13" t="n">
        <v>113</v>
      </c>
      <c r="Q1716" s="0" t="s">
        <v>46</v>
      </c>
      <c r="R1716" s="0" t="s">
        <v>47</v>
      </c>
      <c r="S1716" s="13" t="n">
        <v>1130101</v>
      </c>
      <c r="T1716" s="0" t="s">
        <v>48</v>
      </c>
      <c r="U1716" s="15" t="n">
        <v>300</v>
      </c>
      <c r="W1716" s="15" t="n">
        <v>300</v>
      </c>
      <c r="X1716" s="0" t="s">
        <v>1515</v>
      </c>
      <c r="Z1716" s="0" t="str">
        <f aca="false">IF($T1716="","",IFERROR(INDEX('Resumo Grupos'!$AC$3:$AC$200,MATCH($T1716,'Resumo Grupos'!$AB$3:$AB$200,0)),"n/d"))</f>
        <v>Mercadoria</v>
      </c>
      <c r="AA1716" s="0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3" t="n">
        <v>2</v>
      </c>
      <c r="B1717" s="14" t="n">
        <v>46258</v>
      </c>
      <c r="C1717" s="14" t="n">
        <v>46265</v>
      </c>
      <c r="D1717" s="13" t="n">
        <v>1123</v>
      </c>
      <c r="E1717" s="0" t="s">
        <v>443</v>
      </c>
      <c r="F1717" s="13" t="n">
        <v>24</v>
      </c>
      <c r="G1717" s="0" t="s">
        <v>51</v>
      </c>
      <c r="H1717" s="13" t="n">
        <v>2110405</v>
      </c>
      <c r="I1717" s="0" t="s">
        <v>56</v>
      </c>
      <c r="J1717" s="13" t="n">
        <v>1595743</v>
      </c>
      <c r="L1717" s="13" t="n">
        <v>218365</v>
      </c>
      <c r="M1717" s="0" t="s">
        <v>52</v>
      </c>
      <c r="N1717" s="0" t="s">
        <v>45</v>
      </c>
      <c r="P1717" s="13" t="n">
        <v>113</v>
      </c>
      <c r="Q1717" s="0" t="s">
        <v>46</v>
      </c>
      <c r="R1717" s="0" t="s">
        <v>47</v>
      </c>
      <c r="S1717" s="13" t="n">
        <v>1130101</v>
      </c>
      <c r="T1717" s="0" t="s">
        <v>48</v>
      </c>
      <c r="U1717" s="15" t="n">
        <v>460</v>
      </c>
      <c r="W1717" s="15" t="n">
        <v>460</v>
      </c>
      <c r="X1717" s="0" t="s">
        <v>1516</v>
      </c>
      <c r="Z1717" s="0" t="str">
        <f aca="false">IF($T1717="","",IFERROR(INDEX('Resumo Grupos'!$AC$3:$AC$200,MATCH($T1717,'Resumo Grupos'!$AB$3:$AB$200,0)),"n/d"))</f>
        <v>Mercadoria</v>
      </c>
      <c r="AA1717" s="0" t="str">
        <f aca="false">IF($T1717="","",IF(COUNTIF('Resumo Grupos'!$AE$3:$AE$40,$T1717)&gt;0,"NAO","SIM"))</f>
        <v>SIM</v>
      </c>
      <c r="AB1717" s="0" t="str">
        <f aca="false">IFERROR(INDEX('Mov Entradas (Rel 10497)'!$L:$L,MATCH(AC1717,'Mov Entradas (Rel 10497)'!$I:$I,0)),"nao encontrado")</f>
        <v>QUEIJO MUSSARELA INT</v>
      </c>
      <c r="AC1717" s="0" t="n">
        <v>46622</v>
      </c>
    </row>
    <row r="1718" customFormat="false" ht="12.75" hidden="false" customHeight="true" outlineLevel="0" collapsed="false">
      <c r="A1718" s="13" t="n">
        <v>2</v>
      </c>
      <c r="B1718" s="14" t="n">
        <v>46259</v>
      </c>
      <c r="C1718" s="14" t="n">
        <v>46265</v>
      </c>
      <c r="D1718" s="13" t="n">
        <v>1328</v>
      </c>
      <c r="E1718" s="0" t="s">
        <v>95</v>
      </c>
      <c r="F1718" s="13" t="n">
        <v>24</v>
      </c>
      <c r="G1718" s="0" t="s">
        <v>51</v>
      </c>
      <c r="H1718" s="13" t="n">
        <v>2110405</v>
      </c>
      <c r="I1718" s="0" t="s">
        <v>56</v>
      </c>
      <c r="J1718" s="13" t="n">
        <v>1598929</v>
      </c>
      <c r="L1718" s="13" t="n">
        <v>218839</v>
      </c>
      <c r="M1718" s="0" t="s">
        <v>52</v>
      </c>
      <c r="N1718" s="0" t="s">
        <v>45</v>
      </c>
      <c r="P1718" s="13" t="n">
        <v>113</v>
      </c>
      <c r="Q1718" s="0" t="s">
        <v>46</v>
      </c>
      <c r="R1718" s="0" t="s">
        <v>47</v>
      </c>
      <c r="S1718" s="13" t="n">
        <v>1130101</v>
      </c>
      <c r="T1718" s="0" t="s">
        <v>48</v>
      </c>
      <c r="U1718" s="15" t="n">
        <v>215.9</v>
      </c>
      <c r="W1718" s="15" t="n">
        <v>215.9</v>
      </c>
      <c r="X1718" s="0" t="s">
        <v>1517</v>
      </c>
      <c r="Z1718" s="0" t="str">
        <f aca="false">IF($T1718="","",IFERROR(INDEX('Resumo Grupos'!$AC$3:$AC$200,MATCH($T1718,'Resumo Grupos'!$AB$3:$AB$200,0)),"n/d"))</f>
        <v>Mercadoria</v>
      </c>
      <c r="AA1718" s="0" t="str">
        <f aca="false">IF($T1718="","",IF(COUNTIF('Resumo Grupos'!$AE$3:$AE$40,$T1718)&gt;0,"NAO","SIM"))</f>
        <v>SIM</v>
      </c>
      <c r="AB1718" s="0" t="str">
        <f aca="false">IFERROR(INDEX('Mov Entradas (Rel 10497)'!$L:$L,MATCH(AC1718,'Mov Entradas (Rel 10497)'!$I:$I,0)),"nao encontrado")</f>
        <v>PAO BISNAGUIN</v>
      </c>
      <c r="AC1718" s="0" t="n">
        <v>4446</v>
      </c>
    </row>
    <row r="1719" customFormat="false" ht="12.75" hidden="false" customHeight="true" outlineLevel="0" collapsed="false">
      <c r="A1719" s="13" t="n">
        <v>2</v>
      </c>
      <c r="B1719" s="14" t="n">
        <v>46265</v>
      </c>
      <c r="C1719" s="14" t="n">
        <v>46265</v>
      </c>
      <c r="D1719" s="13" t="n">
        <v>514</v>
      </c>
      <c r="E1719" s="0" t="s">
        <v>759</v>
      </c>
      <c r="F1719" s="13" t="n">
        <v>34</v>
      </c>
      <c r="G1719" s="0" t="s">
        <v>55</v>
      </c>
      <c r="H1719" s="13" t="n">
        <v>2110405</v>
      </c>
      <c r="I1719" s="0" t="s">
        <v>56</v>
      </c>
      <c r="J1719" s="13" t="n">
        <v>1736046</v>
      </c>
      <c r="L1719" s="13" t="n">
        <v>238782</v>
      </c>
      <c r="M1719" s="0" t="s">
        <v>52</v>
      </c>
      <c r="N1719" s="0" t="s">
        <v>45</v>
      </c>
      <c r="P1719" s="13" t="n">
        <v>101</v>
      </c>
      <c r="Q1719" s="0" t="s">
        <v>57</v>
      </c>
      <c r="R1719" s="0" t="s">
        <v>138</v>
      </c>
      <c r="S1719" s="13" t="n">
        <v>4210504</v>
      </c>
      <c r="T1719" s="0" t="s">
        <v>143</v>
      </c>
      <c r="U1719" s="15" t="n">
        <v>4.1</v>
      </c>
      <c r="W1719" s="15" t="n">
        <v>0</v>
      </c>
      <c r="X1719" s="0" t="s">
        <v>1518</v>
      </c>
      <c r="Z1719" s="0" t="str">
        <f aca="false">IF($T1719="","",IFERROR(INDEX('Resumo Grupos'!$AC$3:$AC$200,MATCH($T1719,'Resumo Grupos'!$AB$3:$AB$200,0)),"n/d"))</f>
        <v>Despesa</v>
      </c>
      <c r="AA1719" s="0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3" t="n">
        <v>2</v>
      </c>
      <c r="B1720" s="14" t="n">
        <v>46259</v>
      </c>
      <c r="C1720" s="14" t="n">
        <v>46265</v>
      </c>
      <c r="D1720" s="13" t="n">
        <v>1807</v>
      </c>
      <c r="E1720" s="0" t="s">
        <v>1098</v>
      </c>
      <c r="F1720" s="13" t="n">
        <v>24</v>
      </c>
      <c r="G1720" s="0" t="s">
        <v>51</v>
      </c>
      <c r="H1720" s="13" t="n">
        <v>2110405</v>
      </c>
      <c r="I1720" s="0" t="s">
        <v>56</v>
      </c>
      <c r="J1720" s="13" t="n">
        <v>1600838</v>
      </c>
      <c r="L1720" s="13" t="n">
        <v>219216</v>
      </c>
      <c r="M1720" s="0" t="s">
        <v>52</v>
      </c>
      <c r="N1720" s="0" t="s">
        <v>45</v>
      </c>
      <c r="P1720" s="13" t="n">
        <v>101</v>
      </c>
      <c r="Q1720" s="0" t="s">
        <v>57</v>
      </c>
      <c r="R1720" s="0" t="s">
        <v>509</v>
      </c>
      <c r="S1720" s="13" t="n">
        <v>2110704</v>
      </c>
      <c r="T1720" s="0" t="s">
        <v>1099</v>
      </c>
      <c r="U1720" s="15" t="n">
        <v>586.1</v>
      </c>
      <c r="W1720" s="15" t="n">
        <v>586.1</v>
      </c>
      <c r="X1720" s="0" t="s">
        <v>1519</v>
      </c>
      <c r="Z1720" s="0" t="str">
        <f aca="false">IF($T1720="","",IFERROR(INDEX('Resumo Grupos'!$AC$3:$AC$200,MATCH($T1720,'Resumo Grupos'!$AB$3:$AB$200,0)),"n/d"))</f>
        <v>Despesa</v>
      </c>
      <c r="AA1720" s="0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3" t="n">
        <v>2</v>
      </c>
      <c r="B1721" s="14" t="n">
        <v>46259</v>
      </c>
      <c r="C1721" s="14" t="n">
        <v>46265</v>
      </c>
      <c r="D1721" s="13" t="n">
        <v>1807</v>
      </c>
      <c r="E1721" s="0" t="s">
        <v>1098</v>
      </c>
      <c r="F1721" s="13" t="n">
        <v>24</v>
      </c>
      <c r="G1721" s="0" t="s">
        <v>51</v>
      </c>
      <c r="H1721" s="13" t="n">
        <v>2110405</v>
      </c>
      <c r="I1721" s="0" t="s">
        <v>56</v>
      </c>
      <c r="J1721" s="13" t="n">
        <v>1600852</v>
      </c>
      <c r="L1721" s="13" t="n">
        <v>219219</v>
      </c>
      <c r="M1721" s="0" t="s">
        <v>52</v>
      </c>
      <c r="N1721" s="0" t="s">
        <v>45</v>
      </c>
      <c r="P1721" s="13" t="n">
        <v>101</v>
      </c>
      <c r="Q1721" s="0" t="s">
        <v>57</v>
      </c>
      <c r="R1721" s="0" t="s">
        <v>509</v>
      </c>
      <c r="S1721" s="13" t="n">
        <v>2110712</v>
      </c>
      <c r="T1721" s="0" t="s">
        <v>1101</v>
      </c>
      <c r="U1721" s="15" t="n">
        <v>351.66</v>
      </c>
      <c r="W1721" s="15" t="n">
        <v>351.66</v>
      </c>
      <c r="X1721" s="0" t="s">
        <v>1520</v>
      </c>
      <c r="Z1721" s="0" t="str">
        <f aca="false">IF($T1721="","",IFERROR(INDEX('Resumo Grupos'!$AC$3:$AC$200,MATCH($T1721,'Resumo Grupos'!$AB$3:$AB$200,0)),"n/d"))</f>
        <v>Despesa</v>
      </c>
      <c r="AA1721" s="0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3" t="n">
        <v>2</v>
      </c>
      <c r="B1722" s="14" t="n">
        <v>46265</v>
      </c>
      <c r="C1722" s="14" t="n">
        <v>46265</v>
      </c>
      <c r="D1722" s="13" t="n">
        <v>0</v>
      </c>
      <c r="E1722" s="0" t="s">
        <v>109</v>
      </c>
      <c r="F1722" s="13" t="n">
        <v>17</v>
      </c>
      <c r="G1722" s="0" t="s">
        <v>110</v>
      </c>
      <c r="H1722" s="13" t="n">
        <v>1110101</v>
      </c>
      <c r="I1722" s="0" t="s">
        <v>111</v>
      </c>
      <c r="J1722" s="13" t="n">
        <v>1633714</v>
      </c>
      <c r="L1722" s="13" t="n">
        <v>1633714</v>
      </c>
      <c r="M1722" s="0" t="s">
        <v>52</v>
      </c>
      <c r="N1722" s="0" t="s">
        <v>112</v>
      </c>
      <c r="P1722" s="13" t="n">
        <v>113</v>
      </c>
      <c r="Q1722" s="0" t="s">
        <v>46</v>
      </c>
      <c r="R1722" s="0" t="s">
        <v>259</v>
      </c>
      <c r="S1722" s="13" t="n">
        <v>2110101</v>
      </c>
      <c r="T1722" s="0" t="s">
        <v>43</v>
      </c>
      <c r="U1722" s="15" t="n">
        <v>300</v>
      </c>
      <c r="W1722" s="15" t="n">
        <v>300</v>
      </c>
      <c r="X1722" s="0" t="s">
        <v>1521</v>
      </c>
      <c r="Z1722" s="0" t="str">
        <f aca="false">IF($T1722="","",IFERROR(INDEX('Resumo Grupos'!$AC$3:$AC$200,MATCH($T1722,'Resumo Grupos'!$AB$3:$AB$200,0)),"n/d"))</f>
        <v>Despesa</v>
      </c>
      <c r="AA1722" s="0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3" t="n">
        <v>2</v>
      </c>
      <c r="B1723" s="14" t="n">
        <v>46265</v>
      </c>
      <c r="C1723" s="14" t="n">
        <v>46265</v>
      </c>
      <c r="D1723" s="13" t="n">
        <v>0</v>
      </c>
      <c r="E1723" s="0" t="s">
        <v>109</v>
      </c>
      <c r="F1723" s="13" t="n">
        <v>17</v>
      </c>
      <c r="G1723" s="0" t="s">
        <v>110</v>
      </c>
      <c r="H1723" s="13" t="n">
        <v>1110101</v>
      </c>
      <c r="I1723" s="0" t="s">
        <v>111</v>
      </c>
      <c r="J1723" s="13" t="n">
        <v>1633722</v>
      </c>
      <c r="L1723" s="13" t="n">
        <v>1633722</v>
      </c>
      <c r="M1723" s="0" t="s">
        <v>52</v>
      </c>
      <c r="N1723" s="0" t="s">
        <v>112</v>
      </c>
      <c r="P1723" s="13" t="n">
        <v>113</v>
      </c>
      <c r="Q1723" s="0" t="s">
        <v>46</v>
      </c>
      <c r="R1723" s="0" t="s">
        <v>71</v>
      </c>
      <c r="S1723" s="13" t="n">
        <v>4210314</v>
      </c>
      <c r="T1723" s="0" t="s">
        <v>113</v>
      </c>
      <c r="U1723" s="15" t="n">
        <v>70</v>
      </c>
      <c r="W1723" s="15" t="n">
        <v>70</v>
      </c>
      <c r="X1723" s="0" t="s">
        <v>187</v>
      </c>
      <c r="Z1723" s="0" t="str">
        <f aca="false">IF($T1723="","",IFERROR(INDEX('Resumo Grupos'!$AC$3:$AC$200,MATCH($T1723,'Resumo Grupos'!$AB$3:$AB$200,0)),"n/d"))</f>
        <v>Despesa</v>
      </c>
      <c r="AA1723" s="0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3" t="n">
        <v>2</v>
      </c>
      <c r="B1724" s="14" t="n">
        <v>46265</v>
      </c>
      <c r="C1724" s="14" t="n">
        <v>46265</v>
      </c>
      <c r="D1724" s="13" t="n">
        <v>0</v>
      </c>
      <c r="E1724" s="0" t="s">
        <v>109</v>
      </c>
      <c r="F1724" s="13" t="n">
        <v>17</v>
      </c>
      <c r="G1724" s="0" t="s">
        <v>110</v>
      </c>
      <c r="H1724" s="13" t="n">
        <v>1110101</v>
      </c>
      <c r="I1724" s="0" t="s">
        <v>111</v>
      </c>
      <c r="J1724" s="13" t="n">
        <v>1646152</v>
      </c>
      <c r="L1724" s="13" t="n">
        <v>1646152</v>
      </c>
      <c r="M1724" s="0" t="s">
        <v>52</v>
      </c>
      <c r="N1724" s="0" t="s">
        <v>112</v>
      </c>
      <c r="P1724" s="13" t="n">
        <v>113</v>
      </c>
      <c r="Q1724" s="0" t="s">
        <v>46</v>
      </c>
      <c r="R1724" s="0" t="s">
        <v>39</v>
      </c>
      <c r="S1724" s="13" t="n">
        <v>4210227</v>
      </c>
      <c r="T1724" s="0" t="s">
        <v>68</v>
      </c>
      <c r="U1724" s="15" t="n">
        <v>200</v>
      </c>
      <c r="W1724" s="15" t="n">
        <v>200</v>
      </c>
      <c r="X1724" s="0" t="s">
        <v>1522</v>
      </c>
      <c r="Z1724" s="0" t="str">
        <f aca="false">IF($T1724="","",IFERROR(INDEX('Resumo Grupos'!$AC$3:$AC$200,MATCH($T1724,'Resumo Grupos'!$AB$3:$AB$200,0)),"n/d"))</f>
        <v>Despesa</v>
      </c>
      <c r="AA1724" s="0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3" t="n">
        <v>2</v>
      </c>
      <c r="B1725" s="14" t="n">
        <v>46265</v>
      </c>
      <c r="C1725" s="14" t="n">
        <v>46265</v>
      </c>
      <c r="D1725" s="13" t="n">
        <v>0</v>
      </c>
      <c r="E1725" s="0" t="s">
        <v>109</v>
      </c>
      <c r="F1725" s="13" t="n">
        <v>17</v>
      </c>
      <c r="G1725" s="0" t="s">
        <v>110</v>
      </c>
      <c r="H1725" s="13" t="n">
        <v>1110101</v>
      </c>
      <c r="I1725" s="0" t="s">
        <v>111</v>
      </c>
      <c r="J1725" s="13" t="n">
        <v>1646156</v>
      </c>
      <c r="L1725" s="13" t="n">
        <v>1646156</v>
      </c>
      <c r="M1725" s="0" t="s">
        <v>52</v>
      </c>
      <c r="N1725" s="0" t="s">
        <v>112</v>
      </c>
      <c r="P1725" s="13" t="n">
        <v>113</v>
      </c>
      <c r="Q1725" s="0" t="s">
        <v>46</v>
      </c>
      <c r="R1725" s="0" t="s">
        <v>39</v>
      </c>
      <c r="S1725" s="13" t="n">
        <v>4210227</v>
      </c>
      <c r="T1725" s="0" t="s">
        <v>68</v>
      </c>
      <c r="U1725" s="15" t="n">
        <v>23</v>
      </c>
      <c r="W1725" s="15" t="n">
        <v>23</v>
      </c>
      <c r="X1725" s="0" t="s">
        <v>1523</v>
      </c>
      <c r="Z1725" s="0" t="str">
        <f aca="false">IF($T1725="","",IFERROR(INDEX('Resumo Grupos'!$AC$3:$AC$200,MATCH($T1725,'Resumo Grupos'!$AB$3:$AB$200,0)),"n/d"))</f>
        <v>Despesa</v>
      </c>
      <c r="AA1725" s="0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3" t="n">
        <v>2</v>
      </c>
      <c r="B1726" s="14" t="n">
        <v>46265</v>
      </c>
      <c r="C1726" s="14" t="n">
        <v>46265</v>
      </c>
      <c r="D1726" s="13" t="n">
        <v>0</v>
      </c>
      <c r="E1726" s="0" t="s">
        <v>109</v>
      </c>
      <c r="F1726" s="13" t="n">
        <v>17</v>
      </c>
      <c r="G1726" s="0" t="s">
        <v>110</v>
      </c>
      <c r="H1726" s="13" t="n">
        <v>1110101</v>
      </c>
      <c r="I1726" s="0" t="s">
        <v>111</v>
      </c>
      <c r="J1726" s="13" t="n">
        <v>1716425</v>
      </c>
      <c r="L1726" s="13" t="n">
        <v>1716425</v>
      </c>
      <c r="M1726" s="0" t="s">
        <v>52</v>
      </c>
      <c r="N1726" s="0" t="s">
        <v>112</v>
      </c>
      <c r="P1726" s="13" t="n">
        <v>113</v>
      </c>
      <c r="Q1726" s="0" t="s">
        <v>46</v>
      </c>
      <c r="R1726" s="0" t="s">
        <v>116</v>
      </c>
      <c r="S1726" s="13" t="n">
        <v>1110203</v>
      </c>
      <c r="T1726" s="0" t="s">
        <v>117</v>
      </c>
      <c r="U1726" s="15" t="n">
        <v>1150</v>
      </c>
      <c r="W1726" s="15" t="n">
        <v>1150</v>
      </c>
      <c r="X1726" s="0" t="s">
        <v>1524</v>
      </c>
      <c r="Z1726" s="0" t="str">
        <f aca="false">IF($T1726="","",IFERROR(INDEX('Resumo Grupos'!$AC$3:$AC$200,MATCH($T1726,'Resumo Grupos'!$AB$3:$AB$200,0)),"n/d"))</f>
        <v>Despesa</v>
      </c>
      <c r="AA1726" s="0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3" t="n">
        <v>2</v>
      </c>
      <c r="B1727" s="14" t="n">
        <v>46196</v>
      </c>
      <c r="C1727" s="14" t="n">
        <v>46266</v>
      </c>
      <c r="D1727" s="13" t="n">
        <v>875</v>
      </c>
      <c r="E1727" s="0" t="s">
        <v>42</v>
      </c>
      <c r="F1727" s="13" t="n">
        <v>47</v>
      </c>
      <c r="G1727" s="0" t="s">
        <v>34</v>
      </c>
      <c r="H1727" s="13" t="n">
        <v>2110101</v>
      </c>
      <c r="I1727" s="0" t="s">
        <v>43</v>
      </c>
      <c r="J1727" s="13" t="n">
        <v>1295066</v>
      </c>
      <c r="L1727" s="13" t="n">
        <v>173322</v>
      </c>
      <c r="M1727" s="0" t="s">
        <v>67</v>
      </c>
      <c r="N1727" s="0" t="s">
        <v>45</v>
      </c>
      <c r="P1727" s="13" t="n">
        <v>113</v>
      </c>
      <c r="Q1727" s="0" t="s">
        <v>46</v>
      </c>
      <c r="R1727" s="0" t="s">
        <v>47</v>
      </c>
      <c r="S1727" s="13" t="n">
        <v>1130101</v>
      </c>
      <c r="T1727" s="0" t="s">
        <v>48</v>
      </c>
      <c r="U1727" s="15" t="n">
        <v>1290.16</v>
      </c>
      <c r="W1727" s="15" t="n">
        <v>1290.16</v>
      </c>
      <c r="X1727" s="0" t="s">
        <v>1525</v>
      </c>
      <c r="Z1727" s="0" t="str">
        <f aca="false">IF($T1727="","",IFERROR(INDEX('Resumo Grupos'!$AC$3:$AC$200,MATCH($T1727,'Resumo Grupos'!$AB$3:$AB$200,0)),"n/d"))</f>
        <v>Mercadoria</v>
      </c>
      <c r="AA1727" s="0" t="str">
        <f aca="false">IF($T1727="","",IF(COUNTIF('Resumo Grupos'!$AE$3:$AE$40,$T1727)&gt;0,"NAO","SIM"))</f>
        <v>SIM</v>
      </c>
      <c r="AB1727" s="0" t="str">
        <f aca="false">IFERROR(INDEX('Mov Entradas (Rel 10497)'!$L:$L,MATCH(AC1727,'Mov Entradas (Rel 10497)'!$I:$I,0)),"nao encontrado")</f>
        <v>SUPORTE DE TV CANAA</v>
      </c>
      <c r="AC1727" s="0" t="n">
        <v>1829</v>
      </c>
    </row>
    <row r="1728" customFormat="false" ht="12.75" hidden="false" customHeight="true" outlineLevel="0" collapsed="false">
      <c r="A1728" s="13" t="n">
        <v>2</v>
      </c>
      <c r="B1728" s="14" t="n">
        <v>46246</v>
      </c>
      <c r="C1728" s="14" t="n">
        <v>46266</v>
      </c>
      <c r="D1728" s="13" t="n">
        <v>875</v>
      </c>
      <c r="E1728" s="0" t="s">
        <v>42</v>
      </c>
      <c r="F1728" s="13" t="n">
        <v>47</v>
      </c>
      <c r="G1728" s="0" t="s">
        <v>34</v>
      </c>
      <c r="H1728" s="13" t="n">
        <v>2110405</v>
      </c>
      <c r="I1728" s="0" t="s">
        <v>56</v>
      </c>
      <c r="J1728" s="13" t="n">
        <v>1534947</v>
      </c>
      <c r="L1728" s="13" t="n">
        <v>209452</v>
      </c>
      <c r="M1728" s="0" t="s">
        <v>52</v>
      </c>
      <c r="N1728" s="0" t="s">
        <v>45</v>
      </c>
      <c r="P1728" s="13" t="n">
        <v>113</v>
      </c>
      <c r="Q1728" s="0" t="s">
        <v>46</v>
      </c>
      <c r="R1728" s="0" t="s">
        <v>47</v>
      </c>
      <c r="S1728" s="13" t="n">
        <v>1130101</v>
      </c>
      <c r="T1728" s="0" t="s">
        <v>48</v>
      </c>
      <c r="U1728" s="15" t="n">
        <v>638.75</v>
      </c>
      <c r="W1728" s="15" t="n">
        <v>638.75</v>
      </c>
      <c r="X1728" s="0" t="s">
        <v>1526</v>
      </c>
      <c r="Z1728" s="0" t="str">
        <f aca="false">IF($T1728="","",IFERROR(INDEX('Resumo Grupos'!$AC$3:$AC$200,MATCH($T1728,'Resumo Grupos'!$AB$3:$AB$200,0)),"n/d"))</f>
        <v>Mercadoria</v>
      </c>
      <c r="AA1728" s="0" t="str">
        <f aca="false">IF($T1728="","",IF(COUNTIF('Resumo Grupos'!$AE$3:$AE$40,$T1728)&gt;0,"NAO","SIM"))</f>
        <v>SIM</v>
      </c>
      <c r="AB1728" s="0" t="str">
        <f aca="false">IFERROR(INDEX('Mov Entradas (Rel 10497)'!$L:$L,MATCH(AC1728,'Mov Entradas (Rel 10497)'!$I:$I,0)),"nao encontrado")</f>
        <v>FONE DE OUVIDO DO IP</v>
      </c>
      <c r="AC1728" s="0" t="n">
        <v>1898</v>
      </c>
    </row>
    <row r="1729" customFormat="false" ht="12.75" hidden="false" customHeight="true" outlineLevel="0" collapsed="false">
      <c r="A1729" s="13" t="n">
        <v>2</v>
      </c>
      <c r="B1729" s="14" t="n">
        <v>46263</v>
      </c>
      <c r="C1729" s="14" t="n">
        <v>46266</v>
      </c>
      <c r="D1729" s="13" t="n">
        <v>642</v>
      </c>
      <c r="E1729" s="0" t="s">
        <v>123</v>
      </c>
      <c r="F1729" s="13" t="n">
        <v>24</v>
      </c>
      <c r="G1729" s="0" t="s">
        <v>51</v>
      </c>
      <c r="H1729" s="13" t="n">
        <v>2110405</v>
      </c>
      <c r="I1729" s="0" t="s">
        <v>56</v>
      </c>
      <c r="J1729" s="13" t="n">
        <v>1618518</v>
      </c>
      <c r="L1729" s="13" t="n">
        <v>221953</v>
      </c>
      <c r="M1729" s="0" t="s">
        <v>52</v>
      </c>
      <c r="N1729" s="0" t="s">
        <v>45</v>
      </c>
      <c r="P1729" s="13" t="n">
        <v>113</v>
      </c>
      <c r="Q1729" s="0" t="s">
        <v>46</v>
      </c>
      <c r="R1729" s="0" t="s">
        <v>47</v>
      </c>
      <c r="S1729" s="13" t="n">
        <v>1130101</v>
      </c>
      <c r="T1729" s="0" t="s">
        <v>48</v>
      </c>
      <c r="U1729" s="15" t="n">
        <v>240</v>
      </c>
      <c r="W1729" s="15" t="n">
        <v>240</v>
      </c>
      <c r="X1729" s="0" t="s">
        <v>1527</v>
      </c>
      <c r="Z1729" s="0" t="str">
        <f aca="false">IF($T1729="","",IFERROR(INDEX('Resumo Grupos'!$AC$3:$AC$200,MATCH($T1729,'Resumo Grupos'!$AB$3:$AB$200,0)),"n/d"))</f>
        <v>Mercadoria</v>
      </c>
      <c r="AA1729" s="0" t="str">
        <f aca="false">IF($T1729="","",IF(COUNTIF('Resumo Grupos'!$AE$3:$AE$40,$T1729)&gt;0,"NAO","SIM"))</f>
        <v>SIM</v>
      </c>
      <c r="AB1729" s="0" t="str">
        <f aca="false">IFERROR(INDEX('Mov Entradas (Rel 10497)'!$L:$L,MATCH(AC1729,'Mov Entradas (Rel 10497)'!$I:$I,0)),"nao encontrado")</f>
        <v>BOLO BLOOM 600G</v>
      </c>
      <c r="AC1729" s="0" t="n">
        <v>627</v>
      </c>
    </row>
    <row r="1730" customFormat="false" ht="12.75" hidden="false" customHeight="true" outlineLevel="0" collapsed="false">
      <c r="A1730" s="13" t="n">
        <v>2</v>
      </c>
      <c r="B1730" s="14" t="n">
        <v>46245</v>
      </c>
      <c r="C1730" s="14" t="n">
        <v>46266</v>
      </c>
      <c r="D1730" s="13" t="n">
        <v>1259</v>
      </c>
      <c r="E1730" s="0" t="s">
        <v>1528</v>
      </c>
      <c r="F1730" s="13" t="n">
        <v>47</v>
      </c>
      <c r="G1730" s="0" t="s">
        <v>34</v>
      </c>
      <c r="H1730" s="13" t="n">
        <v>2110405</v>
      </c>
      <c r="I1730" s="0" t="s">
        <v>56</v>
      </c>
      <c r="J1730" s="13" t="n">
        <v>1532317</v>
      </c>
      <c r="L1730" s="13" t="n">
        <v>208731</v>
      </c>
      <c r="M1730" s="0" t="s">
        <v>52</v>
      </c>
      <c r="N1730" s="0" t="s">
        <v>45</v>
      </c>
      <c r="P1730" s="13" t="n">
        <v>113</v>
      </c>
      <c r="Q1730" s="0" t="s">
        <v>46</v>
      </c>
      <c r="R1730" s="0" t="s">
        <v>39</v>
      </c>
      <c r="S1730" s="13" t="n">
        <v>4210209</v>
      </c>
      <c r="T1730" s="0" t="s">
        <v>682</v>
      </c>
      <c r="U1730" s="15" t="n">
        <v>200</v>
      </c>
      <c r="W1730" s="15" t="n">
        <v>200</v>
      </c>
      <c r="X1730" s="0" t="s">
        <v>1529</v>
      </c>
      <c r="Z1730" s="0" t="str">
        <f aca="false">IF($T1730="","",IFERROR(INDEX('Resumo Grupos'!$AC$3:$AC$200,MATCH($T1730,'Resumo Grupos'!$AB$3:$AB$200,0)),"n/d"))</f>
        <v>Despesa</v>
      </c>
      <c r="AA1730" s="0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3" t="n">
        <v>2</v>
      </c>
      <c r="B1731" s="14" t="n">
        <v>46247</v>
      </c>
      <c r="C1731" s="14" t="n">
        <v>46266</v>
      </c>
      <c r="D1731" s="13" t="n">
        <v>1974</v>
      </c>
      <c r="E1731" s="0" t="s">
        <v>681</v>
      </c>
      <c r="F1731" s="13" t="n">
        <v>47</v>
      </c>
      <c r="G1731" s="0" t="s">
        <v>34</v>
      </c>
      <c r="H1731" s="13" t="n">
        <v>2110405</v>
      </c>
      <c r="I1731" s="0" t="s">
        <v>56</v>
      </c>
      <c r="J1731" s="13" t="n">
        <v>1577528</v>
      </c>
      <c r="L1731" s="13" t="n">
        <v>215681</v>
      </c>
      <c r="M1731" s="0" t="s">
        <v>52</v>
      </c>
      <c r="N1731" s="0" t="s">
        <v>45</v>
      </c>
      <c r="P1731" s="13" t="n">
        <v>101</v>
      </c>
      <c r="Q1731" s="0" t="s">
        <v>57</v>
      </c>
      <c r="R1731" s="0" t="s">
        <v>39</v>
      </c>
      <c r="S1731" s="13" t="n">
        <v>4210209</v>
      </c>
      <c r="T1731" s="0" t="s">
        <v>682</v>
      </c>
      <c r="U1731" s="15" t="n">
        <v>489.15</v>
      </c>
      <c r="W1731" s="15" t="n">
        <v>489.15</v>
      </c>
      <c r="X1731" s="0" t="s">
        <v>1530</v>
      </c>
      <c r="Z1731" s="0" t="str">
        <f aca="false">IF($T1731="","",IFERROR(INDEX('Resumo Grupos'!$AC$3:$AC$200,MATCH($T1731,'Resumo Grupos'!$AB$3:$AB$200,0)),"n/d"))</f>
        <v>Despesa</v>
      </c>
      <c r="AA1731" s="0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3" t="n">
        <v>2</v>
      </c>
      <c r="B1732" s="14" t="n">
        <v>46253</v>
      </c>
      <c r="C1732" s="14" t="n">
        <v>46266</v>
      </c>
      <c r="D1732" s="13" t="n">
        <v>1635</v>
      </c>
      <c r="E1732" s="0" t="s">
        <v>128</v>
      </c>
      <c r="F1732" s="13" t="n">
        <v>24</v>
      </c>
      <c r="G1732" s="0" t="s">
        <v>51</v>
      </c>
      <c r="H1732" s="13" t="n">
        <v>2110405</v>
      </c>
      <c r="I1732" s="0" t="s">
        <v>56</v>
      </c>
      <c r="J1732" s="13" t="n">
        <v>1570872</v>
      </c>
      <c r="L1732" s="13" t="n">
        <v>214482</v>
      </c>
      <c r="M1732" s="0" t="s">
        <v>52</v>
      </c>
      <c r="N1732" s="0" t="s">
        <v>45</v>
      </c>
      <c r="P1732" s="13" t="n">
        <v>113</v>
      </c>
      <c r="Q1732" s="0" t="s">
        <v>46</v>
      </c>
      <c r="R1732" s="0" t="s">
        <v>47</v>
      </c>
      <c r="S1732" s="13" t="n">
        <v>1130101</v>
      </c>
      <c r="T1732" s="0" t="s">
        <v>48</v>
      </c>
      <c r="U1732" s="15" t="n">
        <v>1276.2</v>
      </c>
      <c r="W1732" s="15" t="n">
        <v>1276.2</v>
      </c>
      <c r="X1732" s="0" t="s">
        <v>1531</v>
      </c>
      <c r="Z1732" s="0" t="str">
        <f aca="false">IF($T1732="","",IFERROR(INDEX('Resumo Grupos'!$AC$3:$AC$200,MATCH($T1732,'Resumo Grupos'!$AB$3:$AB$200,0)),"n/d"))</f>
        <v>Mercadoria</v>
      </c>
      <c r="AA1732" s="0" t="str">
        <f aca="false">IF($T1732="","",IF(COUNTIF('Resumo Grupos'!$AE$3:$AE$40,$T1732)&gt;0,"NAO","SIM"))</f>
        <v>SIM</v>
      </c>
      <c r="AB1732" s="0" t="str">
        <f aca="false">IFERROR(INDEX('Mov Entradas (Rel 10497)'!$L:$L,MATCH(AC1732,'Mov Entradas (Rel 10497)'!$I:$I,0)),"nao encontrado")</f>
        <v>COXA E SOBRECOXA KG</v>
      </c>
      <c r="AC1732" s="0" t="n">
        <v>3745</v>
      </c>
    </row>
    <row r="1733" customFormat="false" ht="12.75" hidden="false" customHeight="true" outlineLevel="0" collapsed="false">
      <c r="A1733" s="13" t="n">
        <v>2</v>
      </c>
      <c r="B1733" s="14" t="n">
        <v>46252</v>
      </c>
      <c r="C1733" s="14" t="n">
        <v>46266</v>
      </c>
      <c r="D1733" s="13" t="n">
        <v>1705</v>
      </c>
      <c r="E1733" s="0" t="s">
        <v>130</v>
      </c>
      <c r="F1733" s="13" t="n">
        <v>24</v>
      </c>
      <c r="G1733" s="0" t="s">
        <v>51</v>
      </c>
      <c r="H1733" s="13" t="n">
        <v>2110405</v>
      </c>
      <c r="I1733" s="0" t="s">
        <v>56</v>
      </c>
      <c r="J1733" s="13" t="n">
        <v>1567586</v>
      </c>
      <c r="L1733" s="13" t="n">
        <v>214037</v>
      </c>
      <c r="M1733" s="0" t="s">
        <v>52</v>
      </c>
      <c r="N1733" s="0" t="s">
        <v>45</v>
      </c>
      <c r="P1733" s="13" t="n">
        <v>113</v>
      </c>
      <c r="Q1733" s="0" t="s">
        <v>46</v>
      </c>
      <c r="R1733" s="0" t="s">
        <v>47</v>
      </c>
      <c r="S1733" s="13" t="n">
        <v>1130101</v>
      </c>
      <c r="T1733" s="0" t="s">
        <v>48</v>
      </c>
      <c r="U1733" s="15" t="n">
        <v>2351.65</v>
      </c>
      <c r="W1733" s="15" t="n">
        <v>2351.65</v>
      </c>
      <c r="X1733" s="0" t="s">
        <v>1532</v>
      </c>
      <c r="Z1733" s="0" t="str">
        <f aca="false">IF($T1733="","",IFERROR(INDEX('Resumo Grupos'!$AC$3:$AC$200,MATCH($T1733,'Resumo Grupos'!$AB$3:$AB$200,0)),"n/d"))</f>
        <v>Mercadoria</v>
      </c>
      <c r="AA1733" s="0" t="str">
        <f aca="false">IF($T1733="","",IF(COUNTIF('Resumo Grupos'!$AE$3:$AE$40,$T1733)&gt;0,"NAO","SIM"))</f>
        <v>SIM</v>
      </c>
      <c r="AB1733" s="0" t="str">
        <f aca="false">IFERROR(INDEX('Mov Entradas (Rel 10497)'!$L:$L,MATCH(AC1733,'Mov Entradas (Rel 10497)'!$I:$I,0)),"nao encontrado")</f>
        <v>REFR COCA COLA 200ML</v>
      </c>
      <c r="AC1733" s="0" t="n">
        <v>1993231</v>
      </c>
    </row>
    <row r="1734" customFormat="false" ht="12.75" hidden="false" customHeight="true" outlineLevel="0" collapsed="false">
      <c r="A1734" s="13" t="n">
        <v>2</v>
      </c>
      <c r="B1734" s="14" t="n">
        <v>46259</v>
      </c>
      <c r="C1734" s="14" t="n">
        <v>46266</v>
      </c>
      <c r="D1734" s="13" t="n">
        <v>1642</v>
      </c>
      <c r="E1734" s="0" t="s">
        <v>228</v>
      </c>
      <c r="F1734" s="13" t="n">
        <v>24</v>
      </c>
      <c r="G1734" s="0" t="s">
        <v>51</v>
      </c>
      <c r="H1734" s="13" t="n">
        <v>2110405</v>
      </c>
      <c r="I1734" s="0" t="s">
        <v>56</v>
      </c>
      <c r="J1734" s="13" t="n">
        <v>1598921</v>
      </c>
      <c r="L1734" s="13" t="n">
        <v>218837</v>
      </c>
      <c r="M1734" s="0" t="s">
        <v>52</v>
      </c>
      <c r="N1734" s="0" t="s">
        <v>45</v>
      </c>
      <c r="P1734" s="13" t="n">
        <v>113</v>
      </c>
      <c r="Q1734" s="0" t="s">
        <v>46</v>
      </c>
      <c r="R1734" s="0" t="s">
        <v>47</v>
      </c>
      <c r="S1734" s="13" t="n">
        <v>1130101</v>
      </c>
      <c r="T1734" s="0" t="s">
        <v>48</v>
      </c>
      <c r="U1734" s="15" t="n">
        <v>437.2</v>
      </c>
      <c r="W1734" s="15" t="n">
        <v>437.2</v>
      </c>
      <c r="X1734" s="0" t="s">
        <v>1533</v>
      </c>
      <c r="Z1734" s="0" t="str">
        <f aca="false">IF($T1734="","",IFERROR(INDEX('Resumo Grupos'!$AC$3:$AC$200,MATCH($T1734,'Resumo Grupos'!$AB$3:$AB$200,0)),"n/d"))</f>
        <v>Mercadoria</v>
      </c>
      <c r="AA1734" s="0" t="str">
        <f aca="false">IF($T1734="","",IF(COUNTIF('Resumo Grupos'!$AE$3:$AE$40,$T1734)&gt;0,"NAO","SIM"))</f>
        <v>SIM</v>
      </c>
      <c r="AB1734" s="0" t="str">
        <f aca="false">IFERROR(INDEX('Mov Entradas (Rel 10497)'!$L:$L,MATCH(AC1734,'Mov Entradas (Rel 10497)'!$I:$I,0)),"nao encontrado")</f>
        <v>PAO TORRADO BROTHERS</v>
      </c>
      <c r="AC1734" s="0" t="n">
        <v>1038558</v>
      </c>
    </row>
    <row r="1735" customFormat="false" ht="12.75" hidden="false" customHeight="true" outlineLevel="0" collapsed="false">
      <c r="A1735" s="13" t="n">
        <v>2</v>
      </c>
      <c r="B1735" s="14" t="n">
        <v>46266</v>
      </c>
      <c r="C1735" s="14" t="n">
        <v>46266</v>
      </c>
      <c r="D1735" s="13" t="n">
        <v>73</v>
      </c>
      <c r="E1735" s="0" t="s">
        <v>70</v>
      </c>
      <c r="F1735" s="13" t="n">
        <v>34</v>
      </c>
      <c r="G1735" s="0" t="s">
        <v>55</v>
      </c>
      <c r="H1735" s="13" t="n">
        <v>2110405</v>
      </c>
      <c r="I1735" s="0" t="s">
        <v>56</v>
      </c>
      <c r="J1735" s="13" t="n">
        <v>1634963</v>
      </c>
      <c r="L1735" s="13" t="n">
        <v>224539</v>
      </c>
      <c r="M1735" s="0" t="s">
        <v>52</v>
      </c>
      <c r="N1735" s="0" t="s">
        <v>45</v>
      </c>
      <c r="P1735" s="13" t="n">
        <v>113</v>
      </c>
      <c r="Q1735" s="0" t="s">
        <v>46</v>
      </c>
      <c r="R1735" s="0" t="s">
        <v>71</v>
      </c>
      <c r="S1735" s="13" t="n">
        <v>4210309</v>
      </c>
      <c r="T1735" s="0" t="s">
        <v>72</v>
      </c>
      <c r="U1735" s="15" t="n">
        <v>250</v>
      </c>
      <c r="W1735" s="15" t="n">
        <v>250</v>
      </c>
      <c r="X1735" s="0" t="s">
        <v>1534</v>
      </c>
      <c r="Z1735" s="0" t="str">
        <f aca="false">IF($T1735="","",IFERROR(INDEX('Resumo Grupos'!$AC$3:$AC$200,MATCH($T1735,'Resumo Grupos'!$AB$3:$AB$200,0)),"n/d"))</f>
        <v>Salários</v>
      </c>
      <c r="AA1735" s="0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3" t="n">
        <v>2</v>
      </c>
      <c r="B1736" s="14" t="n">
        <v>46266</v>
      </c>
      <c r="C1736" s="14" t="n">
        <v>46266</v>
      </c>
      <c r="D1736" s="13" t="n">
        <v>1037</v>
      </c>
      <c r="E1736" s="0" t="s">
        <v>134</v>
      </c>
      <c r="F1736" s="13" t="n">
        <v>34</v>
      </c>
      <c r="G1736" s="0" t="s">
        <v>55</v>
      </c>
      <c r="H1736" s="13" t="n">
        <v>2110405</v>
      </c>
      <c r="I1736" s="0" t="s">
        <v>56</v>
      </c>
      <c r="J1736" s="13" t="n">
        <v>1635197</v>
      </c>
      <c r="L1736" s="13" t="n">
        <v>224569</v>
      </c>
      <c r="M1736" s="0" t="s">
        <v>52</v>
      </c>
      <c r="N1736" s="0" t="s">
        <v>45</v>
      </c>
      <c r="P1736" s="13" t="n">
        <v>113</v>
      </c>
      <c r="Q1736" s="0" t="s">
        <v>46</v>
      </c>
      <c r="R1736" s="0" t="s">
        <v>47</v>
      </c>
      <c r="S1736" s="13" t="n">
        <v>1130101</v>
      </c>
      <c r="T1736" s="0" t="s">
        <v>48</v>
      </c>
      <c r="U1736" s="15" t="n">
        <v>930</v>
      </c>
      <c r="W1736" s="15" t="n">
        <v>930</v>
      </c>
      <c r="X1736" s="0" t="s">
        <v>1535</v>
      </c>
      <c r="Z1736" s="0" t="str">
        <f aca="false">IF($T1736="","",IFERROR(INDEX('Resumo Grupos'!$AC$3:$AC$200,MATCH($T1736,'Resumo Grupos'!$AB$3:$AB$200,0)),"n/d"))</f>
        <v>Mercadoria</v>
      </c>
      <c r="AA1736" s="0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3" t="n">
        <v>2</v>
      </c>
      <c r="B1737" s="14" t="n">
        <v>46259</v>
      </c>
      <c r="C1737" s="14" t="n">
        <v>46266</v>
      </c>
      <c r="D1737" s="13" t="n">
        <v>1650</v>
      </c>
      <c r="E1737" s="0" t="s">
        <v>438</v>
      </c>
      <c r="F1737" s="13" t="n">
        <v>24</v>
      </c>
      <c r="G1737" s="0" t="s">
        <v>51</v>
      </c>
      <c r="H1737" s="13" t="n">
        <v>2110405</v>
      </c>
      <c r="I1737" s="0" t="s">
        <v>56</v>
      </c>
      <c r="J1737" s="13" t="n">
        <v>1600439</v>
      </c>
      <c r="L1737" s="13" t="n">
        <v>219150</v>
      </c>
      <c r="M1737" s="0" t="s">
        <v>52</v>
      </c>
      <c r="N1737" s="0" t="s">
        <v>45</v>
      </c>
      <c r="P1737" s="13" t="n">
        <v>113</v>
      </c>
      <c r="Q1737" s="0" t="s">
        <v>46</v>
      </c>
      <c r="R1737" s="0" t="s">
        <v>47</v>
      </c>
      <c r="S1737" s="13" t="n">
        <v>1130101</v>
      </c>
      <c r="T1737" s="0" t="s">
        <v>48</v>
      </c>
      <c r="U1737" s="15" t="n">
        <v>363.97</v>
      </c>
      <c r="W1737" s="15" t="n">
        <v>363.97</v>
      </c>
      <c r="X1737" s="0" t="s">
        <v>1536</v>
      </c>
      <c r="Z1737" s="0" t="str">
        <f aca="false">IF($T1737="","",IFERROR(INDEX('Resumo Grupos'!$AC$3:$AC$200,MATCH($T1737,'Resumo Grupos'!$AB$3:$AB$200,0)),"n/d"))</f>
        <v>Mercadoria</v>
      </c>
      <c r="AA1737" s="0" t="str">
        <f aca="false">IF($T1737="","",IF(COUNTIF('Resumo Grupos'!$AE$3:$AE$40,$T1737)&gt;0,"NAO","SIM"))</f>
        <v>SIM</v>
      </c>
      <c r="AB1737" s="0" t="str">
        <f aca="false">IFERROR(INDEX('Mov Entradas (Rel 10497)'!$L:$L,MATCH(AC1737,'Mov Entradas (Rel 10497)'!$I:$I,0)),"nao encontrado")</f>
        <v>IOG.B.COMODORO SAC</v>
      </c>
      <c r="AC1737" s="0" t="n">
        <v>229698</v>
      </c>
    </row>
    <row r="1738" customFormat="false" ht="12.75" hidden="false" customHeight="true" outlineLevel="0" collapsed="false">
      <c r="A1738" s="13" t="n">
        <v>2</v>
      </c>
      <c r="B1738" s="14" t="n">
        <v>46226</v>
      </c>
      <c r="C1738" s="14" t="n">
        <v>46266</v>
      </c>
      <c r="D1738" s="13" t="n">
        <v>957</v>
      </c>
      <c r="E1738" s="0" t="s">
        <v>628</v>
      </c>
      <c r="F1738" s="13" t="n">
        <v>24</v>
      </c>
      <c r="G1738" s="0" t="s">
        <v>51</v>
      </c>
      <c r="H1738" s="13" t="n">
        <v>2110405</v>
      </c>
      <c r="I1738" s="0" t="s">
        <v>56</v>
      </c>
      <c r="J1738" s="13" t="n">
        <v>1438932</v>
      </c>
      <c r="L1738" s="13" t="n">
        <v>194431</v>
      </c>
      <c r="M1738" s="0" t="s">
        <v>52</v>
      </c>
      <c r="N1738" s="0" t="s">
        <v>45</v>
      </c>
      <c r="P1738" s="13" t="n">
        <v>113</v>
      </c>
      <c r="Q1738" s="0" t="s">
        <v>46</v>
      </c>
      <c r="R1738" s="0" t="s">
        <v>47</v>
      </c>
      <c r="S1738" s="13" t="n">
        <v>1130101</v>
      </c>
      <c r="T1738" s="0" t="s">
        <v>48</v>
      </c>
      <c r="U1738" s="15" t="n">
        <v>1501.38</v>
      </c>
      <c r="W1738" s="15" t="n">
        <v>1501.38</v>
      </c>
      <c r="X1738" s="0" t="s">
        <v>1286</v>
      </c>
      <c r="Z1738" s="0" t="str">
        <f aca="false">IF($T1738="","",IFERROR(INDEX('Resumo Grupos'!$AC$3:$AC$200,MATCH($T1738,'Resumo Grupos'!$AB$3:$AB$200,0)),"n/d"))</f>
        <v>Mercadoria</v>
      </c>
      <c r="AA1738" s="0" t="str">
        <f aca="false">IF($T1738="","",IF(COUNTIF('Resumo Grupos'!$AE$3:$AE$40,$T1738)&gt;0,"NAO","SIM"))</f>
        <v>SIM</v>
      </c>
      <c r="AB1738" s="0" t="str">
        <f aca="false">IFERROR(INDEX('Mov Entradas (Rel 10497)'!$L:$L,MATCH(AC1738,'Mov Entradas (Rel 10497)'!$I:$I,0)),"nao encontrado")</f>
        <v>WHISKA FRANGO KG AGR</v>
      </c>
      <c r="AC1738" s="0" t="n">
        <v>21189</v>
      </c>
    </row>
    <row r="1739" customFormat="false" ht="12.75" hidden="false" customHeight="true" outlineLevel="0" collapsed="false">
      <c r="A1739" s="13" t="n">
        <v>2</v>
      </c>
      <c r="B1739" s="14" t="n">
        <v>46252</v>
      </c>
      <c r="C1739" s="14" t="n">
        <v>46266</v>
      </c>
      <c r="D1739" s="13" t="n">
        <v>1711</v>
      </c>
      <c r="E1739" s="0" t="s">
        <v>1537</v>
      </c>
      <c r="F1739" s="13" t="n">
        <v>24</v>
      </c>
      <c r="G1739" s="0" t="s">
        <v>51</v>
      </c>
      <c r="H1739" s="13" t="n">
        <v>2110405</v>
      </c>
      <c r="I1739" s="0" t="s">
        <v>56</v>
      </c>
      <c r="J1739" s="13" t="n">
        <v>1568088</v>
      </c>
      <c r="L1739" s="13" t="n">
        <v>214108</v>
      </c>
      <c r="M1739" s="0" t="s">
        <v>52</v>
      </c>
      <c r="N1739" s="0" t="s">
        <v>45</v>
      </c>
      <c r="P1739" s="13" t="n">
        <v>113</v>
      </c>
      <c r="Q1739" s="0" t="s">
        <v>46</v>
      </c>
      <c r="R1739" s="0" t="s">
        <v>47</v>
      </c>
      <c r="S1739" s="13" t="n">
        <v>1130101</v>
      </c>
      <c r="T1739" s="0" t="s">
        <v>48</v>
      </c>
      <c r="U1739" s="15" t="n">
        <v>645.72</v>
      </c>
      <c r="W1739" s="15" t="n">
        <v>645.72</v>
      </c>
      <c r="X1739" s="0" t="s">
        <v>1538</v>
      </c>
      <c r="Z1739" s="0" t="str">
        <f aca="false">IF($T1739="","",IFERROR(INDEX('Resumo Grupos'!$AC$3:$AC$200,MATCH($T1739,'Resumo Grupos'!$AB$3:$AB$200,0)),"n/d"))</f>
        <v>Mercadoria</v>
      </c>
      <c r="AA1739" s="0" t="str">
        <f aca="false">IF($T1739="","",IF(COUNTIF('Resumo Grupos'!$AE$3:$AE$40,$T1739)&gt;0,"NAO","SIM"))</f>
        <v>SIM</v>
      </c>
      <c r="AB1739" s="0" t="str">
        <f aca="false">IFERROR(INDEX('Mov Entradas (Rel 10497)'!$L:$L,MATCH(AC1739,'Mov Entradas (Rel 10497)'!$I:$I,0)),"nao encontrado")</f>
        <v>CAD BROCH UNIV COST</v>
      </c>
      <c r="AC1739" s="0" t="n">
        <v>160332</v>
      </c>
    </row>
    <row r="1740" customFormat="false" ht="12.75" hidden="false" customHeight="true" outlineLevel="0" collapsed="false">
      <c r="A1740" s="13" t="n">
        <v>2</v>
      </c>
      <c r="B1740" s="14" t="n">
        <v>46055</v>
      </c>
      <c r="C1740" s="14" t="n">
        <v>46266</v>
      </c>
      <c r="D1740" s="13" t="n">
        <v>10039</v>
      </c>
      <c r="E1740" s="0" t="s">
        <v>88</v>
      </c>
      <c r="F1740" s="13" t="n">
        <v>47</v>
      </c>
      <c r="G1740" s="0" t="s">
        <v>34</v>
      </c>
      <c r="H1740" s="13" t="n">
        <v>2110405</v>
      </c>
      <c r="I1740" s="0" t="s">
        <v>56</v>
      </c>
      <c r="J1740" s="13" t="n">
        <v>846832</v>
      </c>
      <c r="L1740" s="13" t="n">
        <v>111506</v>
      </c>
      <c r="M1740" s="0" t="s">
        <v>80</v>
      </c>
      <c r="N1740" s="0" t="s">
        <v>45</v>
      </c>
      <c r="P1740" s="13" t="n">
        <v>113</v>
      </c>
      <c r="Q1740" s="0" t="s">
        <v>46</v>
      </c>
      <c r="R1740" s="0" t="s">
        <v>39</v>
      </c>
      <c r="S1740" s="13" t="n">
        <v>4210227</v>
      </c>
      <c r="T1740" s="0" t="s">
        <v>68</v>
      </c>
      <c r="U1740" s="15" t="n">
        <v>378.82</v>
      </c>
      <c r="W1740" s="15" t="n">
        <v>378.82</v>
      </c>
      <c r="X1740" s="0" t="s">
        <v>1539</v>
      </c>
      <c r="Z1740" s="0" t="str">
        <f aca="false">IF($T1740="","",IFERROR(INDEX('Resumo Grupos'!$AC$3:$AC$200,MATCH($T1740,'Resumo Grupos'!$AB$3:$AB$200,0)),"n/d"))</f>
        <v>Despesa</v>
      </c>
      <c r="AA1740" s="0" t="str">
        <f aca="false">IF($T1740="","",IF(COUNTIF('Resumo Grupos'!$AE$3:$AE$40,$T1740)&gt;0,"NAO","SIM"))</f>
        <v>SIM</v>
      </c>
      <c r="AB1740" s="0" t="str">
        <f aca="false">IFERROR(INDEX('Mov Entradas (Rel 10497)'!$L:$L,MATCH(AC1740,'Mov Entradas (Rel 10497)'!$I:$I,0)),"nao encontrado")</f>
        <v>nao encontrado</v>
      </c>
      <c r="AC1740" s="0" t="n">
        <v>258</v>
      </c>
    </row>
    <row r="1741" customFormat="false" ht="12.75" hidden="false" customHeight="true" outlineLevel="0" collapsed="false">
      <c r="A1741" s="13" t="n">
        <v>2</v>
      </c>
      <c r="B1741" s="14" t="n">
        <v>46254</v>
      </c>
      <c r="C1741" s="14" t="n">
        <v>46266</v>
      </c>
      <c r="D1741" s="13" t="n">
        <v>967</v>
      </c>
      <c r="E1741" s="0" t="s">
        <v>1540</v>
      </c>
      <c r="F1741" s="13" t="n">
        <v>24</v>
      </c>
      <c r="G1741" s="0" t="s">
        <v>51</v>
      </c>
      <c r="H1741" s="13" t="n">
        <v>2110405</v>
      </c>
      <c r="I1741" s="0" t="s">
        <v>56</v>
      </c>
      <c r="J1741" s="13" t="n">
        <v>1576159</v>
      </c>
      <c r="L1741" s="13" t="n">
        <v>215377</v>
      </c>
      <c r="M1741" s="0" t="s">
        <v>52</v>
      </c>
      <c r="N1741" s="0" t="s">
        <v>45</v>
      </c>
      <c r="P1741" s="13" t="n">
        <v>113</v>
      </c>
      <c r="Q1741" s="0" t="s">
        <v>46</v>
      </c>
      <c r="R1741" s="0" t="s">
        <v>47</v>
      </c>
      <c r="S1741" s="13" t="n">
        <v>1130101</v>
      </c>
      <c r="T1741" s="0" t="s">
        <v>48</v>
      </c>
      <c r="U1741" s="15" t="n">
        <v>424</v>
      </c>
      <c r="W1741" s="15" t="n">
        <v>424</v>
      </c>
      <c r="X1741" s="0" t="s">
        <v>1541</v>
      </c>
      <c r="Z1741" s="0" t="str">
        <f aca="false">IF($T1741="","",IFERROR(INDEX('Resumo Grupos'!$AC$3:$AC$200,MATCH($T1741,'Resumo Grupos'!$AB$3:$AB$200,0)),"n/d"))</f>
        <v>Mercadoria</v>
      </c>
      <c r="AA1741" s="0" t="str">
        <f aca="false">IF($T1741="","",IF(COUNTIF('Resumo Grupos'!$AE$3:$AE$40,$T1741)&gt;0,"NAO","SIM"))</f>
        <v>SIM</v>
      </c>
      <c r="AB1741" s="0" t="str">
        <f aca="false">IFERROR(INDEX('Mov Entradas (Rel 10497)'!$L:$L,MATCH(AC1741,'Mov Entradas (Rel 10497)'!$I:$I,0)),"nao encontrado")</f>
        <v>COROTE LIMÃO 50ML</v>
      </c>
      <c r="AC1741" s="0" t="n">
        <v>37213</v>
      </c>
    </row>
    <row r="1742" customFormat="false" ht="12.75" hidden="false" customHeight="true" outlineLevel="0" collapsed="false">
      <c r="A1742" s="13" t="n">
        <v>2</v>
      </c>
      <c r="B1742" s="14" t="n">
        <v>46260</v>
      </c>
      <c r="C1742" s="14" t="n">
        <v>46266</v>
      </c>
      <c r="D1742" s="13" t="n">
        <v>1625</v>
      </c>
      <c r="E1742" s="0" t="s">
        <v>270</v>
      </c>
      <c r="F1742" s="13" t="n">
        <v>24</v>
      </c>
      <c r="G1742" s="0" t="s">
        <v>51</v>
      </c>
      <c r="H1742" s="13" t="n">
        <v>2110405</v>
      </c>
      <c r="I1742" s="0" t="s">
        <v>56</v>
      </c>
      <c r="J1742" s="13" t="n">
        <v>1604525</v>
      </c>
      <c r="L1742" s="13" t="n">
        <v>219806</v>
      </c>
      <c r="M1742" s="0" t="s">
        <v>52</v>
      </c>
      <c r="N1742" s="0" t="s">
        <v>45</v>
      </c>
      <c r="P1742" s="13" t="n">
        <v>113</v>
      </c>
      <c r="Q1742" s="0" t="s">
        <v>46</v>
      </c>
      <c r="R1742" s="0" t="s">
        <v>47</v>
      </c>
      <c r="S1742" s="13" t="n">
        <v>1130101</v>
      </c>
      <c r="T1742" s="0" t="s">
        <v>48</v>
      </c>
      <c r="U1742" s="15" t="n">
        <v>3363.75</v>
      </c>
      <c r="W1742" s="15" t="n">
        <v>3363.75</v>
      </c>
      <c r="X1742" s="0" t="s">
        <v>1542</v>
      </c>
      <c r="Z1742" s="0" t="str">
        <f aca="false">IF($T1742="","",IFERROR(INDEX('Resumo Grupos'!$AC$3:$AC$200,MATCH($T1742,'Resumo Grupos'!$AB$3:$AB$200,0)),"n/d"))</f>
        <v>Mercadoria</v>
      </c>
      <c r="AA1742" s="0" t="str">
        <f aca="false">IF($T1742="","",IF(COUNTIF('Resumo Grupos'!$AE$3:$AE$40,$T1742)&gt;0,"NAO","SIM"))</f>
        <v>SIM</v>
      </c>
      <c r="AB1742" s="0" t="str">
        <f aca="false">IFERROR(INDEX('Mov Entradas (Rel 10497)'!$L:$L,MATCH(AC1742,'Mov Entradas (Rel 10497)'!$I:$I,0)),"nao encontrado")</f>
        <v>TRASEIRO DE BOI L1</v>
      </c>
      <c r="AC1742" s="0" t="n">
        <v>15150</v>
      </c>
    </row>
    <row r="1743" customFormat="false" ht="12.75" hidden="false" customHeight="true" outlineLevel="0" collapsed="false">
      <c r="A1743" s="13" t="n">
        <v>2</v>
      </c>
      <c r="B1743" s="14" t="n">
        <v>46266</v>
      </c>
      <c r="C1743" s="14" t="n">
        <v>46266</v>
      </c>
      <c r="D1743" s="13" t="n">
        <v>48</v>
      </c>
      <c r="E1743" s="0" t="s">
        <v>153</v>
      </c>
      <c r="F1743" s="13" t="n">
        <v>34</v>
      </c>
      <c r="G1743" s="0" t="s">
        <v>55</v>
      </c>
      <c r="H1743" s="13" t="n">
        <v>2110101</v>
      </c>
      <c r="I1743" s="0" t="s">
        <v>43</v>
      </c>
      <c r="J1743" s="13" t="n">
        <v>1635063</v>
      </c>
      <c r="L1743" s="13" t="n">
        <v>2649</v>
      </c>
      <c r="M1743" s="0" t="s">
        <v>52</v>
      </c>
      <c r="N1743" s="0" t="s">
        <v>37</v>
      </c>
      <c r="P1743" s="13" t="n">
        <v>113</v>
      </c>
      <c r="Q1743" s="0" t="s">
        <v>46</v>
      </c>
      <c r="R1743" s="0" t="s">
        <v>47</v>
      </c>
      <c r="S1743" s="13" t="n">
        <v>1130101</v>
      </c>
      <c r="T1743" s="0" t="s">
        <v>48</v>
      </c>
      <c r="U1743" s="15" t="n">
        <v>315</v>
      </c>
      <c r="W1743" s="15" t="n">
        <v>315</v>
      </c>
      <c r="X1743" s="0" t="s">
        <v>1543</v>
      </c>
      <c r="Z1743" s="0" t="str">
        <f aca="false">IF($T1743="","",IFERROR(INDEX('Resumo Grupos'!$AC$3:$AC$200,MATCH($T1743,'Resumo Grupos'!$AB$3:$AB$200,0)),"n/d"))</f>
        <v>Mercadoria</v>
      </c>
      <c r="AA1743" s="0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3" t="n">
        <v>2</v>
      </c>
      <c r="B1744" s="14" t="n">
        <v>46266</v>
      </c>
      <c r="C1744" s="14" t="n">
        <v>46266</v>
      </c>
      <c r="D1744" s="13" t="n">
        <v>48</v>
      </c>
      <c r="E1744" s="0" t="s">
        <v>153</v>
      </c>
      <c r="F1744" s="13" t="n">
        <v>34</v>
      </c>
      <c r="G1744" s="0" t="s">
        <v>55</v>
      </c>
      <c r="H1744" s="13" t="n">
        <v>2110101</v>
      </c>
      <c r="I1744" s="0" t="s">
        <v>43</v>
      </c>
      <c r="J1744" s="13" t="n">
        <v>1635174</v>
      </c>
      <c r="L1744" s="13" t="n">
        <v>2650</v>
      </c>
      <c r="M1744" s="0" t="s">
        <v>52</v>
      </c>
      <c r="N1744" s="0" t="s">
        <v>37</v>
      </c>
      <c r="P1744" s="13" t="n">
        <v>113</v>
      </c>
      <c r="Q1744" s="0" t="s">
        <v>46</v>
      </c>
      <c r="R1744" s="0" t="s">
        <v>47</v>
      </c>
      <c r="S1744" s="13" t="n">
        <v>1130101</v>
      </c>
      <c r="T1744" s="0" t="s">
        <v>48</v>
      </c>
      <c r="U1744" s="15" t="n">
        <v>1440</v>
      </c>
      <c r="W1744" s="15" t="n">
        <v>1440</v>
      </c>
      <c r="X1744" s="0" t="s">
        <v>1544</v>
      </c>
      <c r="Z1744" s="0" t="str">
        <f aca="false">IF($T1744="","",IFERROR(INDEX('Resumo Grupos'!$AC$3:$AC$200,MATCH($T1744,'Resumo Grupos'!$AB$3:$AB$200,0)),"n/d"))</f>
        <v>Mercadoria</v>
      </c>
      <c r="AA1744" s="0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3" t="n">
        <v>2</v>
      </c>
      <c r="B1745" s="14" t="n">
        <v>46259</v>
      </c>
      <c r="C1745" s="14" t="n">
        <v>46266</v>
      </c>
      <c r="D1745" s="13" t="n">
        <v>1740</v>
      </c>
      <c r="E1745" s="0" t="s">
        <v>468</v>
      </c>
      <c r="F1745" s="13" t="n">
        <v>24</v>
      </c>
      <c r="G1745" s="0" t="s">
        <v>51</v>
      </c>
      <c r="H1745" s="13" t="n">
        <v>2110405</v>
      </c>
      <c r="I1745" s="0" t="s">
        <v>56</v>
      </c>
      <c r="J1745" s="13" t="n">
        <v>1599326</v>
      </c>
      <c r="L1745" s="13" t="n">
        <v>218927</v>
      </c>
      <c r="M1745" s="0" t="s">
        <v>52</v>
      </c>
      <c r="N1745" s="0" t="s">
        <v>45</v>
      </c>
      <c r="P1745" s="13" t="n">
        <v>113</v>
      </c>
      <c r="Q1745" s="0" t="s">
        <v>46</v>
      </c>
      <c r="R1745" s="0" t="s">
        <v>47</v>
      </c>
      <c r="S1745" s="13" t="n">
        <v>1130101</v>
      </c>
      <c r="T1745" s="0" t="s">
        <v>48</v>
      </c>
      <c r="U1745" s="15" t="n">
        <v>2372.5</v>
      </c>
      <c r="W1745" s="15" t="n">
        <v>2372.5</v>
      </c>
      <c r="X1745" s="0" t="s">
        <v>1545</v>
      </c>
      <c r="Z1745" s="0" t="str">
        <f aca="false">IF($T1745="","",IFERROR(INDEX('Resumo Grupos'!$AC$3:$AC$200,MATCH($T1745,'Resumo Grupos'!$AB$3:$AB$200,0)),"n/d"))</f>
        <v>Mercadoria</v>
      </c>
      <c r="AA1745" s="0" t="str">
        <f aca="false">IF($T1745="","",IF(COUNTIF('Resumo Grupos'!$AE$3:$AE$40,$T1745)&gt;0,"NAO","SIM"))</f>
        <v>SIM</v>
      </c>
      <c r="AB1745" s="0" t="str">
        <f aca="false">IFERROR(INDEX('Mov Entradas (Rel 10497)'!$L:$L,MATCH(AC1745,'Mov Entradas (Rel 10497)'!$I:$I,0)),"nao encontrado")</f>
        <v>LINGUI DE FRANGO KG</v>
      </c>
      <c r="AC1745" s="0" t="n">
        <v>1262474</v>
      </c>
    </row>
    <row r="1746" customFormat="false" ht="12.75" hidden="false" customHeight="true" outlineLevel="0" collapsed="false">
      <c r="A1746" s="13" t="n">
        <v>2</v>
      </c>
      <c r="B1746" s="14" t="n">
        <v>46226</v>
      </c>
      <c r="C1746" s="14" t="n">
        <v>46266</v>
      </c>
      <c r="D1746" s="13" t="n">
        <v>10011</v>
      </c>
      <c r="E1746" s="0" t="s">
        <v>349</v>
      </c>
      <c r="F1746" s="13" t="n">
        <v>24</v>
      </c>
      <c r="G1746" s="0" t="s">
        <v>51</v>
      </c>
      <c r="H1746" s="13" t="n">
        <v>2110405</v>
      </c>
      <c r="I1746" s="0" t="s">
        <v>56</v>
      </c>
      <c r="J1746" s="13" t="n">
        <v>1438962</v>
      </c>
      <c r="L1746" s="13" t="n">
        <v>194443</v>
      </c>
      <c r="M1746" s="0" t="s">
        <v>52</v>
      </c>
      <c r="N1746" s="0" t="s">
        <v>45</v>
      </c>
      <c r="P1746" s="13" t="n">
        <v>113</v>
      </c>
      <c r="Q1746" s="0" t="s">
        <v>46</v>
      </c>
      <c r="R1746" s="0" t="s">
        <v>47</v>
      </c>
      <c r="S1746" s="13" t="n">
        <v>1130101</v>
      </c>
      <c r="T1746" s="0" t="s">
        <v>48</v>
      </c>
      <c r="U1746" s="15" t="n">
        <v>591.07</v>
      </c>
      <c r="W1746" s="15" t="n">
        <v>591.07</v>
      </c>
      <c r="X1746" s="0" t="s">
        <v>1290</v>
      </c>
      <c r="Z1746" s="0" t="str">
        <f aca="false">IF($T1746="","",IFERROR(INDEX('Resumo Grupos'!$AC$3:$AC$200,MATCH($T1746,'Resumo Grupos'!$AB$3:$AB$200,0)),"n/d"))</f>
        <v>Mercadoria</v>
      </c>
      <c r="AA1746" s="0" t="str">
        <f aca="false">IF($T1746="","",IF(COUNTIF('Resumo Grupos'!$AE$3:$AE$40,$T1746)&gt;0,"NAO","SIM"))</f>
        <v>SIM</v>
      </c>
      <c r="AB1746" s="0" t="str">
        <f aca="false">IFERROR(INDEX('Mov Entradas (Rel 10497)'!$L:$L,MATCH(AC1746,'Mov Entradas (Rel 10497)'!$I:$I,0)),"nao encontrado")</f>
        <v>GRAN PLUS MENU KG</v>
      </c>
      <c r="AC1746" s="0" t="n">
        <v>34738</v>
      </c>
    </row>
    <row r="1747" customFormat="false" ht="12.75" hidden="false" customHeight="true" outlineLevel="0" collapsed="false">
      <c r="A1747" s="13" t="n">
        <v>2</v>
      </c>
      <c r="B1747" s="14" t="n">
        <v>45992</v>
      </c>
      <c r="C1747" s="14" t="n">
        <v>46266</v>
      </c>
      <c r="D1747" s="13" t="n">
        <v>983</v>
      </c>
      <c r="E1747" s="0" t="s">
        <v>97</v>
      </c>
      <c r="F1747" s="13" t="n">
        <v>47</v>
      </c>
      <c r="G1747" s="0" t="s">
        <v>34</v>
      </c>
      <c r="H1747" s="13" t="n">
        <v>2110101</v>
      </c>
      <c r="I1747" s="0" t="s">
        <v>43</v>
      </c>
      <c r="J1747" s="13" t="n">
        <v>361903</v>
      </c>
      <c r="L1747" s="13" t="n">
        <v>47174</v>
      </c>
      <c r="M1747" s="0" t="s">
        <v>1546</v>
      </c>
      <c r="N1747" s="0" t="s">
        <v>45</v>
      </c>
      <c r="P1747" s="13" t="n">
        <v>113</v>
      </c>
      <c r="Q1747" s="0" t="s">
        <v>46</v>
      </c>
      <c r="R1747" s="0" t="s">
        <v>98</v>
      </c>
      <c r="S1747" s="13" t="n">
        <v>1240103</v>
      </c>
      <c r="T1747" s="0" t="s">
        <v>99</v>
      </c>
      <c r="U1747" s="15" t="n">
        <v>1898</v>
      </c>
      <c r="W1747" s="15" t="n">
        <v>1898</v>
      </c>
      <c r="X1747" s="0" t="s">
        <v>1547</v>
      </c>
      <c r="Z1747" s="0" t="str">
        <f aca="false">IF($T1747="","",IFERROR(INDEX('Resumo Grupos'!$AC$3:$AC$200,MATCH($T1747,'Resumo Grupos'!$AB$3:$AB$200,0)),"n/d"))</f>
        <v>Despesa</v>
      </c>
      <c r="AA1747" s="0" t="str">
        <f aca="false">IF($T1747="","",IF(COUNTIF('Resumo Grupos'!$AE$3:$AE$40,$T1747)&gt;0,"NAO","SIM"))</f>
        <v>SIM</v>
      </c>
      <c r="AB1747" s="0" t="str">
        <f aca="false">IFERROR(INDEX('Mov Entradas (Rel 10497)'!$L:$L,MATCH(AC1747,'Mov Entradas (Rel 10497)'!$I:$I,0)),"nao encontrado")</f>
        <v>nao encontrado</v>
      </c>
      <c r="AC1747" s="0" t="n">
        <v>17382</v>
      </c>
    </row>
    <row r="1748" customFormat="false" ht="12.75" hidden="false" customHeight="true" outlineLevel="0" collapsed="false">
      <c r="A1748" s="13" t="n">
        <v>2</v>
      </c>
      <c r="B1748" s="14" t="n">
        <v>46251</v>
      </c>
      <c r="C1748" s="14" t="n">
        <v>46266</v>
      </c>
      <c r="D1748" s="13" t="n">
        <v>10017</v>
      </c>
      <c r="E1748" s="0" t="s">
        <v>183</v>
      </c>
      <c r="F1748" s="13" t="n">
        <v>24</v>
      </c>
      <c r="G1748" s="0" t="s">
        <v>51</v>
      </c>
      <c r="H1748" s="13" t="n">
        <v>2110405</v>
      </c>
      <c r="I1748" s="0" t="s">
        <v>56</v>
      </c>
      <c r="J1748" s="13" t="n">
        <v>1561240</v>
      </c>
      <c r="L1748" s="13" t="n">
        <v>212990</v>
      </c>
      <c r="M1748" s="0" t="s">
        <v>52</v>
      </c>
      <c r="N1748" s="0" t="s">
        <v>45</v>
      </c>
      <c r="P1748" s="13" t="n">
        <v>113</v>
      </c>
      <c r="Q1748" s="0" t="s">
        <v>46</v>
      </c>
      <c r="R1748" s="0" t="s">
        <v>47</v>
      </c>
      <c r="S1748" s="13" t="n">
        <v>1130101</v>
      </c>
      <c r="T1748" s="0" t="s">
        <v>48</v>
      </c>
      <c r="U1748" s="15" t="n">
        <v>599.85</v>
      </c>
      <c r="W1748" s="15" t="n">
        <v>599.85</v>
      </c>
      <c r="X1748" s="0" t="s">
        <v>1548</v>
      </c>
      <c r="Z1748" s="0" t="str">
        <f aca="false">IF($T1748="","",IFERROR(INDEX('Resumo Grupos'!$AC$3:$AC$200,MATCH($T1748,'Resumo Grupos'!$AB$3:$AB$200,0)),"n/d"))</f>
        <v>Mercadoria</v>
      </c>
      <c r="AA1748" s="0" t="str">
        <f aca="false">IF($T1748="","",IF(COUNTIF('Resumo Grupos'!$AE$3:$AE$40,$T1748)&gt;0,"NAO","SIM"))</f>
        <v>SIM</v>
      </c>
      <c r="AB1748" s="0" t="str">
        <f aca="false">IFERROR(INDEX('Mov Entradas (Rel 10497)'!$L:$L,MATCH(AC1748,'Mov Entradas (Rel 10497)'!$I:$I,0)),"nao encontrado")</f>
        <v>PAPEL HIGIENICO ALLE</v>
      </c>
      <c r="AC1748" s="0" t="n">
        <v>195597</v>
      </c>
    </row>
    <row r="1749" customFormat="false" ht="12.75" hidden="false" customHeight="true" outlineLevel="0" collapsed="false">
      <c r="A1749" s="13" t="n">
        <v>2</v>
      </c>
      <c r="B1749" s="14" t="n">
        <v>46252</v>
      </c>
      <c r="C1749" s="14" t="n">
        <v>46266</v>
      </c>
      <c r="D1749" s="13" t="n">
        <v>1697</v>
      </c>
      <c r="E1749" s="0" t="s">
        <v>787</v>
      </c>
      <c r="F1749" s="13" t="n">
        <v>24</v>
      </c>
      <c r="G1749" s="0" t="s">
        <v>51</v>
      </c>
      <c r="H1749" s="13" t="n">
        <v>2110405</v>
      </c>
      <c r="I1749" s="0" t="s">
        <v>56</v>
      </c>
      <c r="J1749" s="13" t="n">
        <v>1566723</v>
      </c>
      <c r="L1749" s="13" t="n">
        <v>213866</v>
      </c>
      <c r="M1749" s="0" t="s">
        <v>52</v>
      </c>
      <c r="N1749" s="0" t="s">
        <v>45</v>
      </c>
      <c r="P1749" s="13" t="n">
        <v>113</v>
      </c>
      <c r="Q1749" s="0" t="s">
        <v>46</v>
      </c>
      <c r="R1749" s="0" t="s">
        <v>47</v>
      </c>
      <c r="S1749" s="13" t="n">
        <v>1130101</v>
      </c>
      <c r="T1749" s="0" t="s">
        <v>48</v>
      </c>
      <c r="U1749" s="15" t="n">
        <v>584.64</v>
      </c>
      <c r="W1749" s="15" t="n">
        <v>584.64</v>
      </c>
      <c r="X1749" s="0" t="s">
        <v>1549</v>
      </c>
      <c r="Z1749" s="0" t="str">
        <f aca="false">IF($T1749="","",IFERROR(INDEX('Resumo Grupos'!$AC$3:$AC$200,MATCH($T1749,'Resumo Grupos'!$AB$3:$AB$200,0)),"n/d"))</f>
        <v>Mercadoria</v>
      </c>
      <c r="AA1749" s="0" t="str">
        <f aca="false">IF($T1749="","",IF(COUNTIF('Resumo Grupos'!$AE$3:$AE$40,$T1749)&gt;0,"NAO","SIM"))</f>
        <v>SIM</v>
      </c>
      <c r="AB1749" s="0" t="str">
        <f aca="false">IFERROR(INDEX('Mov Entradas (Rel 10497)'!$L:$L,MATCH(AC1749,'Mov Entradas (Rel 10497)'!$I:$I,0)),"nao encontrado")</f>
        <v>LEITE ITALAC DESN 1L</v>
      </c>
      <c r="AC1749" s="0" t="n">
        <v>211355</v>
      </c>
    </row>
    <row r="1750" customFormat="false" ht="12.75" hidden="false" customHeight="true" outlineLevel="0" collapsed="false">
      <c r="A1750" s="13" t="n">
        <v>2</v>
      </c>
      <c r="B1750" s="14" t="n">
        <v>46266</v>
      </c>
      <c r="C1750" s="14" t="n">
        <v>46266</v>
      </c>
      <c r="D1750" s="13" t="n">
        <v>21</v>
      </c>
      <c r="E1750" s="0" t="s">
        <v>107</v>
      </c>
      <c r="F1750" s="13" t="n">
        <v>34</v>
      </c>
      <c r="G1750" s="0" t="s">
        <v>55</v>
      </c>
      <c r="H1750" s="13" t="n">
        <v>2110405</v>
      </c>
      <c r="I1750" s="0" t="s">
        <v>56</v>
      </c>
      <c r="J1750" s="13" t="n">
        <v>1634968</v>
      </c>
      <c r="L1750" s="13" t="n">
        <v>224545</v>
      </c>
      <c r="M1750" s="0" t="s">
        <v>52</v>
      </c>
      <c r="N1750" s="0" t="s">
        <v>45</v>
      </c>
      <c r="P1750" s="13" t="n">
        <v>113</v>
      </c>
      <c r="Q1750" s="0" t="s">
        <v>46</v>
      </c>
      <c r="R1750" s="0" t="s">
        <v>71</v>
      </c>
      <c r="S1750" s="13" t="n">
        <v>4210309</v>
      </c>
      <c r="T1750" s="0" t="s">
        <v>72</v>
      </c>
      <c r="U1750" s="15" t="n">
        <v>260</v>
      </c>
      <c r="W1750" s="15" t="n">
        <v>260</v>
      </c>
      <c r="X1750" s="0" t="s">
        <v>1534</v>
      </c>
      <c r="Z1750" s="0" t="str">
        <f aca="false">IF($T1750="","",IFERROR(INDEX('Resumo Grupos'!$AC$3:$AC$200,MATCH($T1750,'Resumo Grupos'!$AB$3:$AB$200,0)),"n/d"))</f>
        <v>Salários</v>
      </c>
      <c r="AA1750" s="0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3" t="n">
        <v>2</v>
      </c>
      <c r="B1751" s="14" t="n">
        <v>46266</v>
      </c>
      <c r="C1751" s="14" t="n">
        <v>46266</v>
      </c>
      <c r="D1751" s="13" t="n">
        <v>514</v>
      </c>
      <c r="E1751" s="0" t="s">
        <v>759</v>
      </c>
      <c r="F1751" s="13" t="n">
        <v>34</v>
      </c>
      <c r="G1751" s="0" t="s">
        <v>55</v>
      </c>
      <c r="H1751" s="13" t="n">
        <v>2110405</v>
      </c>
      <c r="I1751" s="0" t="s">
        <v>56</v>
      </c>
      <c r="J1751" s="13" t="n">
        <v>1635280</v>
      </c>
      <c r="L1751" s="13" t="n">
        <v>224585</v>
      </c>
      <c r="M1751" s="0" t="s">
        <v>52</v>
      </c>
      <c r="N1751" s="0" t="s">
        <v>45</v>
      </c>
      <c r="P1751" s="13" t="n">
        <v>102</v>
      </c>
      <c r="Q1751" s="0" t="s">
        <v>308</v>
      </c>
      <c r="R1751" s="0" t="s">
        <v>81</v>
      </c>
      <c r="S1751" s="13" t="n">
        <v>4220199</v>
      </c>
      <c r="T1751" s="0" t="s">
        <v>82</v>
      </c>
      <c r="U1751" s="15" t="n">
        <v>200</v>
      </c>
      <c r="W1751" s="15" t="n">
        <v>200</v>
      </c>
      <c r="X1751" s="0" t="s">
        <v>1550</v>
      </c>
      <c r="Z1751" s="0" t="str">
        <f aca="false">IF($T1751="","",IFERROR(INDEX('Resumo Grupos'!$AC$3:$AC$200,MATCH($T1751,'Resumo Grupos'!$AB$3:$AB$200,0)),"n/d"))</f>
        <v>Pagamentos outros não operacionais</v>
      </c>
      <c r="AA1751" s="0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3" t="n">
        <v>2</v>
      </c>
      <c r="B1752" s="14" t="n">
        <v>46266</v>
      </c>
      <c r="C1752" s="14" t="n">
        <v>46266</v>
      </c>
      <c r="D1752" s="13" t="n">
        <v>0</v>
      </c>
      <c r="E1752" s="0" t="s">
        <v>109</v>
      </c>
      <c r="F1752" s="13" t="n">
        <v>17</v>
      </c>
      <c r="G1752" s="0" t="s">
        <v>110</v>
      </c>
      <c r="H1752" s="13" t="n">
        <v>1110101</v>
      </c>
      <c r="I1752" s="0" t="s">
        <v>111</v>
      </c>
      <c r="J1752" s="13" t="n">
        <v>1638259</v>
      </c>
      <c r="L1752" s="13" t="n">
        <v>1638259</v>
      </c>
      <c r="M1752" s="0" t="s">
        <v>52</v>
      </c>
      <c r="N1752" s="0" t="s">
        <v>112</v>
      </c>
      <c r="P1752" s="13" t="n">
        <v>113</v>
      </c>
      <c r="Q1752" s="0" t="s">
        <v>46</v>
      </c>
      <c r="R1752" s="0" t="s">
        <v>39</v>
      </c>
      <c r="S1752" s="13" t="n">
        <v>4210227</v>
      </c>
      <c r="T1752" s="0" t="s">
        <v>68</v>
      </c>
      <c r="U1752" s="15" t="n">
        <v>50</v>
      </c>
      <c r="W1752" s="15" t="n">
        <v>50</v>
      </c>
      <c r="X1752" s="0" t="s">
        <v>1551</v>
      </c>
      <c r="Z1752" s="0" t="str">
        <f aca="false">IF($T1752="","",IFERROR(INDEX('Resumo Grupos'!$AC$3:$AC$200,MATCH($T1752,'Resumo Grupos'!$AB$3:$AB$200,0)),"n/d"))</f>
        <v>Despesa</v>
      </c>
      <c r="AA1752" s="0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3" t="n">
        <v>2</v>
      </c>
      <c r="B1753" s="14" t="n">
        <v>46266</v>
      </c>
      <c r="C1753" s="14" t="n">
        <v>46266</v>
      </c>
      <c r="D1753" s="13" t="n">
        <v>0</v>
      </c>
      <c r="E1753" s="0" t="s">
        <v>109</v>
      </c>
      <c r="F1753" s="13" t="n">
        <v>17</v>
      </c>
      <c r="G1753" s="0" t="s">
        <v>110</v>
      </c>
      <c r="H1753" s="13" t="n">
        <v>1110101</v>
      </c>
      <c r="I1753" s="0" t="s">
        <v>111</v>
      </c>
      <c r="J1753" s="13" t="n">
        <v>1638260</v>
      </c>
      <c r="L1753" s="13" t="n">
        <v>1638260</v>
      </c>
      <c r="M1753" s="0" t="s">
        <v>52</v>
      </c>
      <c r="N1753" s="0" t="s">
        <v>112</v>
      </c>
      <c r="P1753" s="13" t="n">
        <v>113</v>
      </c>
      <c r="Q1753" s="0" t="s">
        <v>46</v>
      </c>
      <c r="R1753" s="0" t="s">
        <v>71</v>
      </c>
      <c r="S1753" s="13" t="n">
        <v>4210309</v>
      </c>
      <c r="T1753" s="0" t="s">
        <v>72</v>
      </c>
      <c r="U1753" s="15" t="n">
        <v>10</v>
      </c>
      <c r="W1753" s="15" t="n">
        <v>10</v>
      </c>
      <c r="X1753" s="0" t="s">
        <v>1552</v>
      </c>
      <c r="Z1753" s="0" t="str">
        <f aca="false">IF($T1753="","",IFERROR(INDEX('Resumo Grupos'!$AC$3:$AC$200,MATCH($T1753,'Resumo Grupos'!$AB$3:$AB$200,0)),"n/d"))</f>
        <v>Salários</v>
      </c>
      <c r="AA1753" s="0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3" t="n">
        <v>2</v>
      </c>
      <c r="B1754" s="14" t="n">
        <v>46266</v>
      </c>
      <c r="C1754" s="14" t="n">
        <v>46266</v>
      </c>
      <c r="D1754" s="13" t="n">
        <v>0</v>
      </c>
      <c r="E1754" s="0" t="s">
        <v>109</v>
      </c>
      <c r="F1754" s="13" t="n">
        <v>17</v>
      </c>
      <c r="G1754" s="0" t="s">
        <v>110</v>
      </c>
      <c r="H1754" s="13" t="n">
        <v>1110101</v>
      </c>
      <c r="I1754" s="0" t="s">
        <v>111</v>
      </c>
      <c r="J1754" s="13" t="n">
        <v>1638266</v>
      </c>
      <c r="L1754" s="13" t="n">
        <v>1638266</v>
      </c>
      <c r="M1754" s="0" t="s">
        <v>52</v>
      </c>
      <c r="N1754" s="0" t="s">
        <v>112</v>
      </c>
      <c r="P1754" s="13" t="n">
        <v>113</v>
      </c>
      <c r="Q1754" s="0" t="s">
        <v>46</v>
      </c>
      <c r="R1754" s="0" t="s">
        <v>71</v>
      </c>
      <c r="S1754" s="13" t="n">
        <v>4210314</v>
      </c>
      <c r="T1754" s="0" t="s">
        <v>113</v>
      </c>
      <c r="U1754" s="15" t="n">
        <v>50</v>
      </c>
      <c r="W1754" s="15" t="n">
        <v>50</v>
      </c>
      <c r="X1754" s="0" t="s">
        <v>368</v>
      </c>
      <c r="Z1754" s="0" t="str">
        <f aca="false">IF($T1754="","",IFERROR(INDEX('Resumo Grupos'!$AC$3:$AC$200,MATCH($T1754,'Resumo Grupos'!$AB$3:$AB$200,0)),"n/d"))</f>
        <v>Despesa</v>
      </c>
      <c r="AA1754" s="0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3" t="n">
        <v>2</v>
      </c>
      <c r="B1755" s="14" t="n">
        <v>46266</v>
      </c>
      <c r="C1755" s="14" t="n">
        <v>46266</v>
      </c>
      <c r="D1755" s="13" t="n">
        <v>0</v>
      </c>
      <c r="E1755" s="0" t="s">
        <v>109</v>
      </c>
      <c r="F1755" s="13" t="n">
        <v>17</v>
      </c>
      <c r="G1755" s="0" t="s">
        <v>110</v>
      </c>
      <c r="H1755" s="13" t="n">
        <v>1110101</v>
      </c>
      <c r="I1755" s="0" t="s">
        <v>111</v>
      </c>
      <c r="J1755" s="13" t="n">
        <v>1638269</v>
      </c>
      <c r="L1755" s="13" t="n">
        <v>1638269</v>
      </c>
      <c r="M1755" s="0" t="s">
        <v>52</v>
      </c>
      <c r="N1755" s="0" t="s">
        <v>112</v>
      </c>
      <c r="P1755" s="13" t="n">
        <v>113</v>
      </c>
      <c r="Q1755" s="0" t="s">
        <v>46</v>
      </c>
      <c r="R1755" s="0" t="s">
        <v>71</v>
      </c>
      <c r="S1755" s="13" t="n">
        <v>4210314</v>
      </c>
      <c r="T1755" s="0" t="s">
        <v>113</v>
      </c>
      <c r="U1755" s="15" t="n">
        <v>70</v>
      </c>
      <c r="W1755" s="15" t="n">
        <v>70</v>
      </c>
      <c r="X1755" s="0" t="s">
        <v>187</v>
      </c>
      <c r="Z1755" s="0" t="str">
        <f aca="false">IF($T1755="","",IFERROR(INDEX('Resumo Grupos'!$AC$3:$AC$200,MATCH($T1755,'Resumo Grupos'!$AB$3:$AB$200,0)),"n/d"))</f>
        <v>Despesa</v>
      </c>
      <c r="AA1755" s="0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3" t="n">
        <v>2</v>
      </c>
      <c r="B1756" s="14" t="n">
        <v>46266</v>
      </c>
      <c r="C1756" s="14" t="n">
        <v>46266</v>
      </c>
      <c r="D1756" s="13" t="n">
        <v>0</v>
      </c>
      <c r="E1756" s="0" t="s">
        <v>109</v>
      </c>
      <c r="F1756" s="13" t="n">
        <v>17</v>
      </c>
      <c r="G1756" s="0" t="s">
        <v>110</v>
      </c>
      <c r="H1756" s="13" t="n">
        <v>1110101</v>
      </c>
      <c r="I1756" s="0" t="s">
        <v>111</v>
      </c>
      <c r="J1756" s="13" t="n">
        <v>1716432</v>
      </c>
      <c r="L1756" s="13" t="n">
        <v>1716432</v>
      </c>
      <c r="M1756" s="0" t="s">
        <v>52</v>
      </c>
      <c r="N1756" s="0" t="s">
        <v>112</v>
      </c>
      <c r="P1756" s="13" t="n">
        <v>113</v>
      </c>
      <c r="Q1756" s="0" t="s">
        <v>46</v>
      </c>
      <c r="R1756" s="0" t="s">
        <v>116</v>
      </c>
      <c r="S1756" s="13" t="n">
        <v>1110203</v>
      </c>
      <c r="T1756" s="0" t="s">
        <v>117</v>
      </c>
      <c r="U1756" s="15" t="n">
        <v>3650</v>
      </c>
      <c r="W1756" s="15" t="n">
        <v>3650</v>
      </c>
      <c r="X1756" s="0" t="s">
        <v>1553</v>
      </c>
      <c r="Z1756" s="0" t="str">
        <f aca="false">IF($T1756="","",IFERROR(INDEX('Resumo Grupos'!$AC$3:$AC$200,MATCH($T1756,'Resumo Grupos'!$AB$3:$AB$200,0)),"n/d"))</f>
        <v>Despesa</v>
      </c>
      <c r="AA1756" s="0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3" t="n">
        <v>2</v>
      </c>
      <c r="B1757" s="14" t="n">
        <v>46253</v>
      </c>
      <c r="C1757" s="14" t="n">
        <v>46266</v>
      </c>
      <c r="D1757" s="13" t="n">
        <v>1708</v>
      </c>
      <c r="E1757" s="0" t="s">
        <v>275</v>
      </c>
      <c r="F1757" s="13" t="n">
        <v>24</v>
      </c>
      <c r="G1757" s="0" t="s">
        <v>51</v>
      </c>
      <c r="H1757" s="13" t="n">
        <v>2110405</v>
      </c>
      <c r="I1757" s="0" t="s">
        <v>56</v>
      </c>
      <c r="J1757" s="13" t="n">
        <v>1572967</v>
      </c>
      <c r="L1757" s="13" t="n">
        <v>214926</v>
      </c>
      <c r="M1757" s="0" t="s">
        <v>52</v>
      </c>
      <c r="N1757" s="0" t="s">
        <v>45</v>
      </c>
      <c r="P1757" s="13" t="n">
        <v>113</v>
      </c>
      <c r="Q1757" s="0" t="s">
        <v>46</v>
      </c>
      <c r="R1757" s="0" t="s">
        <v>47</v>
      </c>
      <c r="S1757" s="13" t="n">
        <v>1130101</v>
      </c>
      <c r="T1757" s="0" t="s">
        <v>48</v>
      </c>
      <c r="U1757" s="15" t="n">
        <v>548.18</v>
      </c>
      <c r="W1757" s="15" t="n">
        <v>548.18</v>
      </c>
      <c r="X1757" s="0" t="s">
        <v>1554</v>
      </c>
      <c r="Z1757" s="0" t="str">
        <f aca="false">IF($T1757="","",IFERROR(INDEX('Resumo Grupos'!$AC$3:$AC$200,MATCH($T1757,'Resumo Grupos'!$AB$3:$AB$200,0)),"n/d"))</f>
        <v>Mercadoria</v>
      </c>
      <c r="AA1757" s="0" t="str">
        <f aca="false">IF($T1757="","",IF(COUNTIF('Resumo Grupos'!$AE$3:$AE$40,$T1757)&gt;0,"NAO","SIM"))</f>
        <v>SIM</v>
      </c>
      <c r="AB1757" s="0" t="str">
        <f aca="false">IFERROR(INDEX('Mov Entradas (Rel 10497)'!$L:$L,MATCH(AC1757,'Mov Entradas (Rel 10497)'!$I:$I,0)),"nao encontrado")</f>
        <v>DISQUETI 18G</v>
      </c>
      <c r="AC1757" s="0" t="n">
        <v>265359</v>
      </c>
    </row>
    <row r="1758" customFormat="false" ht="12.75" hidden="false" customHeight="true" outlineLevel="0" collapsed="false">
      <c r="A1758" s="13" t="n">
        <v>2</v>
      </c>
      <c r="B1758" s="14" t="n">
        <v>46266</v>
      </c>
      <c r="C1758" s="14" t="n">
        <v>46266</v>
      </c>
      <c r="D1758" s="13" t="n">
        <v>18</v>
      </c>
      <c r="E1758" s="0" t="s">
        <v>121</v>
      </c>
      <c r="F1758" s="13" t="n">
        <v>34</v>
      </c>
      <c r="G1758" s="0" t="s">
        <v>55</v>
      </c>
      <c r="H1758" s="13" t="n">
        <v>2110405</v>
      </c>
      <c r="I1758" s="0" t="s">
        <v>56</v>
      </c>
      <c r="J1758" s="13" t="n">
        <v>1634966</v>
      </c>
      <c r="L1758" s="13" t="n">
        <v>224543</v>
      </c>
      <c r="M1758" s="0" t="s">
        <v>52</v>
      </c>
      <c r="N1758" s="0" t="s">
        <v>45</v>
      </c>
      <c r="P1758" s="13" t="n">
        <v>113</v>
      </c>
      <c r="Q1758" s="0" t="s">
        <v>46</v>
      </c>
      <c r="R1758" s="0" t="s">
        <v>71</v>
      </c>
      <c r="S1758" s="13" t="n">
        <v>4210309</v>
      </c>
      <c r="T1758" s="0" t="s">
        <v>72</v>
      </c>
      <c r="U1758" s="15" t="n">
        <v>260</v>
      </c>
      <c r="W1758" s="15" t="n">
        <v>260</v>
      </c>
      <c r="X1758" s="0" t="s">
        <v>1534</v>
      </c>
      <c r="Z1758" s="0" t="str">
        <f aca="false">IF($T1758="","",IFERROR(INDEX('Resumo Grupos'!$AC$3:$AC$200,MATCH($T1758,'Resumo Grupos'!$AB$3:$AB$200,0)),"n/d"))</f>
        <v>Salários</v>
      </c>
      <c r="AA1758" s="0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3" t="n">
        <v>2</v>
      </c>
      <c r="B1759" s="14" t="n">
        <v>46248</v>
      </c>
      <c r="C1759" s="14" t="n">
        <v>46267</v>
      </c>
      <c r="D1759" s="13" t="n">
        <v>1613</v>
      </c>
      <c r="E1759" s="0" t="s">
        <v>50</v>
      </c>
      <c r="F1759" s="13" t="n">
        <v>24</v>
      </c>
      <c r="G1759" s="0" t="s">
        <v>51</v>
      </c>
      <c r="H1759" s="13" t="n">
        <v>2110405</v>
      </c>
      <c r="I1759" s="0" t="s">
        <v>56</v>
      </c>
      <c r="J1759" s="13" t="n">
        <v>1547487</v>
      </c>
      <c r="L1759" s="13" t="n">
        <v>211364</v>
      </c>
      <c r="M1759" s="0" t="s">
        <v>52</v>
      </c>
      <c r="N1759" s="0" t="s">
        <v>45</v>
      </c>
      <c r="P1759" s="13" t="n">
        <v>113</v>
      </c>
      <c r="Q1759" s="0" t="s">
        <v>46</v>
      </c>
      <c r="R1759" s="0" t="s">
        <v>47</v>
      </c>
      <c r="S1759" s="13" t="n">
        <v>1130101</v>
      </c>
      <c r="T1759" s="0" t="s">
        <v>48</v>
      </c>
      <c r="U1759" s="15" t="n">
        <v>1164.76</v>
      </c>
      <c r="W1759" s="15" t="n">
        <v>1164.76</v>
      </c>
      <c r="X1759" s="0" t="s">
        <v>1445</v>
      </c>
      <c r="Z1759" s="0" t="str">
        <f aca="false">IF($T1759="","",IFERROR(INDEX('Resumo Grupos'!$AC$3:$AC$200,MATCH($T1759,'Resumo Grupos'!$AB$3:$AB$200,0)),"n/d"))</f>
        <v>Mercadoria</v>
      </c>
      <c r="AA1759" s="0" t="str">
        <f aca="false">IF($T1759="","",IF(COUNTIF('Resumo Grupos'!$AE$3:$AE$40,$T1759)&gt;0,"NAO","SIM"))</f>
        <v>SIM</v>
      </c>
      <c r="AB1759" s="0" t="str">
        <f aca="false">IFERROR(INDEX('Mov Entradas (Rel 10497)'!$L:$L,MATCH(AC1759,'Mov Entradas (Rel 10497)'!$I:$I,0)),"nao encontrado")</f>
        <v>FILE PEITOA GRANEL</v>
      </c>
      <c r="AC1759" s="0" t="n">
        <v>1619132</v>
      </c>
    </row>
    <row r="1760" customFormat="false" ht="12.75" hidden="false" customHeight="true" outlineLevel="0" collapsed="false">
      <c r="A1760" s="13" t="n">
        <v>2</v>
      </c>
      <c r="B1760" s="14" t="n">
        <v>46246</v>
      </c>
      <c r="C1760" s="14" t="n">
        <v>46267</v>
      </c>
      <c r="D1760" s="13" t="n">
        <v>1608</v>
      </c>
      <c r="E1760" s="0" t="s">
        <v>240</v>
      </c>
      <c r="F1760" s="13" t="n">
        <v>24</v>
      </c>
      <c r="G1760" s="0" t="s">
        <v>51</v>
      </c>
      <c r="H1760" s="13" t="n">
        <v>2110405</v>
      </c>
      <c r="I1760" s="0" t="s">
        <v>56</v>
      </c>
      <c r="J1760" s="13" t="n">
        <v>1534795</v>
      </c>
      <c r="L1760" s="13" t="n">
        <v>209428</v>
      </c>
      <c r="M1760" s="0" t="s">
        <v>52</v>
      </c>
      <c r="N1760" s="0" t="s">
        <v>45</v>
      </c>
      <c r="P1760" s="13" t="n">
        <v>113</v>
      </c>
      <c r="Q1760" s="0" t="s">
        <v>46</v>
      </c>
      <c r="R1760" s="0" t="s">
        <v>47</v>
      </c>
      <c r="S1760" s="13" t="n">
        <v>1130101</v>
      </c>
      <c r="T1760" s="0" t="s">
        <v>48</v>
      </c>
      <c r="U1760" s="15" t="n">
        <v>1279.58</v>
      </c>
      <c r="W1760" s="15" t="n">
        <v>1279.58</v>
      </c>
      <c r="X1760" s="0" t="s">
        <v>1446</v>
      </c>
      <c r="Z1760" s="0" t="str">
        <f aca="false">IF($T1760="","",IFERROR(INDEX('Resumo Grupos'!$AC$3:$AC$200,MATCH($T1760,'Resumo Grupos'!$AB$3:$AB$200,0)),"n/d"))</f>
        <v>Mercadoria</v>
      </c>
      <c r="AA1760" s="0" t="str">
        <f aca="false">IF($T1760="","",IF(COUNTIF('Resumo Grupos'!$AE$3:$AE$40,$T1760)&gt;0,"NAO","SIM"))</f>
        <v>SIM</v>
      </c>
      <c r="AB1760" s="0" t="str">
        <f aca="false">IFERROR(INDEX('Mov Entradas (Rel 10497)'!$L:$L,MATCH(AC1760,'Mov Entradas (Rel 10497)'!$I:$I,0)),"nao encontrado")</f>
        <v>TODDYNHO CHOCOLATE</v>
      </c>
      <c r="AC1760" s="0" t="n">
        <v>1709601</v>
      </c>
    </row>
    <row r="1761" customFormat="false" ht="12.75" hidden="false" customHeight="true" outlineLevel="0" collapsed="false">
      <c r="A1761" s="13" t="n">
        <v>2</v>
      </c>
      <c r="B1761" s="14" t="n">
        <v>46261</v>
      </c>
      <c r="C1761" s="14" t="n">
        <v>46267</v>
      </c>
      <c r="D1761" s="13" t="n">
        <v>1636</v>
      </c>
      <c r="E1761" s="0" t="s">
        <v>61</v>
      </c>
      <c r="F1761" s="13" t="n">
        <v>24</v>
      </c>
      <c r="G1761" s="0" t="s">
        <v>51</v>
      </c>
      <c r="H1761" s="13" t="n">
        <v>2110405</v>
      </c>
      <c r="I1761" s="0" t="s">
        <v>56</v>
      </c>
      <c r="J1761" s="13" t="n">
        <v>1609057</v>
      </c>
      <c r="L1761" s="13" t="n">
        <v>220487</v>
      </c>
      <c r="M1761" s="0" t="s">
        <v>52</v>
      </c>
      <c r="N1761" s="0" t="s">
        <v>45</v>
      </c>
      <c r="P1761" s="13" t="n">
        <v>113</v>
      </c>
      <c r="Q1761" s="0" t="s">
        <v>46</v>
      </c>
      <c r="R1761" s="0" t="s">
        <v>47</v>
      </c>
      <c r="S1761" s="13" t="n">
        <v>1130101</v>
      </c>
      <c r="T1761" s="0" t="s">
        <v>48</v>
      </c>
      <c r="U1761" s="15" t="n">
        <v>731.86</v>
      </c>
      <c r="W1761" s="15" t="n">
        <v>731.86</v>
      </c>
      <c r="X1761" s="0" t="s">
        <v>1555</v>
      </c>
      <c r="Z1761" s="0" t="str">
        <f aca="false">IF($T1761="","",IFERROR(INDEX('Resumo Grupos'!$AC$3:$AC$200,MATCH($T1761,'Resumo Grupos'!$AB$3:$AB$200,0)),"n/d"))</f>
        <v>Mercadoria</v>
      </c>
      <c r="AA1761" s="0" t="str">
        <f aca="false">IF($T1761="","",IF(COUNTIF('Resumo Grupos'!$AE$3:$AE$40,$T1761)&gt;0,"NAO","SIM"))</f>
        <v>SIM</v>
      </c>
      <c r="AB1761" s="0" t="str">
        <f aca="false">IFERROR(INDEX('Mov Entradas (Rel 10497)'!$L:$L,MATCH(AC1761,'Mov Entradas (Rel 10497)'!$I:$I,0)),"nao encontrado")</f>
        <v>BISC. RICHESTER RECH QUAD CHOCO ANI 130G</v>
      </c>
      <c r="AC1761" s="0" t="n">
        <v>3242273</v>
      </c>
    </row>
    <row r="1762" customFormat="false" ht="12.75" hidden="false" customHeight="true" outlineLevel="0" collapsed="false">
      <c r="A1762" s="13" t="n">
        <v>2</v>
      </c>
      <c r="B1762" s="14" t="n">
        <v>46252</v>
      </c>
      <c r="C1762" s="14" t="n">
        <v>46267</v>
      </c>
      <c r="D1762" s="13" t="n">
        <v>1612</v>
      </c>
      <c r="E1762" s="0" t="s">
        <v>74</v>
      </c>
      <c r="F1762" s="13" t="n">
        <v>24</v>
      </c>
      <c r="G1762" s="0" t="s">
        <v>51</v>
      </c>
      <c r="H1762" s="13" t="n">
        <v>2110405</v>
      </c>
      <c r="I1762" s="0" t="s">
        <v>56</v>
      </c>
      <c r="J1762" s="13" t="n">
        <v>1567416</v>
      </c>
      <c r="L1762" s="13" t="n">
        <v>214022</v>
      </c>
      <c r="M1762" s="0" t="s">
        <v>52</v>
      </c>
      <c r="N1762" s="0" t="s">
        <v>45</v>
      </c>
      <c r="P1762" s="13" t="n">
        <v>113</v>
      </c>
      <c r="Q1762" s="0" t="s">
        <v>46</v>
      </c>
      <c r="R1762" s="0" t="s">
        <v>47</v>
      </c>
      <c r="S1762" s="13" t="n">
        <v>1130101</v>
      </c>
      <c r="T1762" s="0" t="s">
        <v>48</v>
      </c>
      <c r="U1762" s="15" t="n">
        <v>1154.64</v>
      </c>
      <c r="W1762" s="15" t="n">
        <v>1154.64</v>
      </c>
      <c r="X1762" s="0" t="s">
        <v>1556</v>
      </c>
      <c r="Z1762" s="0" t="str">
        <f aca="false">IF($T1762="","",IFERROR(INDEX('Resumo Grupos'!$AC$3:$AC$200,MATCH($T1762,'Resumo Grupos'!$AB$3:$AB$200,0)),"n/d"))</f>
        <v>Mercadoria</v>
      </c>
      <c r="AA1762" s="0" t="str">
        <f aca="false">IF($T1762="","",IF(COUNTIF('Resumo Grupos'!$AE$3:$AE$40,$T1762)&gt;0,"NAO","SIM"))</f>
        <v>SIM</v>
      </c>
      <c r="AB1762" s="0" t="str">
        <f aca="false">IFERROR(INDEX('Mov Entradas (Rel 10497)'!$L:$L,MATCH(AC1762,'Mov Entradas (Rel 10497)'!$I:$I,0)),"nao encontrado")</f>
        <v>AGUA SANI BRILUX1L</v>
      </c>
      <c r="AC1762" s="0" t="n">
        <v>2310769</v>
      </c>
    </row>
    <row r="1763" customFormat="false" ht="12.75" hidden="false" customHeight="true" outlineLevel="0" collapsed="false">
      <c r="A1763" s="13" t="n">
        <v>2</v>
      </c>
      <c r="B1763" s="14" t="n">
        <v>46260</v>
      </c>
      <c r="C1763" s="14" t="n">
        <v>46267</v>
      </c>
      <c r="D1763" s="13" t="n">
        <v>10019</v>
      </c>
      <c r="E1763" s="0" t="s">
        <v>268</v>
      </c>
      <c r="F1763" s="13" t="n">
        <v>24</v>
      </c>
      <c r="G1763" s="0" t="s">
        <v>51</v>
      </c>
      <c r="H1763" s="13" t="n">
        <v>2110405</v>
      </c>
      <c r="I1763" s="0" t="s">
        <v>56</v>
      </c>
      <c r="J1763" s="13" t="n">
        <v>1605120</v>
      </c>
      <c r="L1763" s="13" t="n">
        <v>219903</v>
      </c>
      <c r="M1763" s="0" t="s">
        <v>52</v>
      </c>
      <c r="N1763" s="0" t="s">
        <v>45</v>
      </c>
      <c r="P1763" s="13" t="n">
        <v>113</v>
      </c>
      <c r="Q1763" s="0" t="s">
        <v>46</v>
      </c>
      <c r="R1763" s="0" t="s">
        <v>47</v>
      </c>
      <c r="S1763" s="13" t="n">
        <v>1130101</v>
      </c>
      <c r="T1763" s="0" t="s">
        <v>48</v>
      </c>
      <c r="U1763" s="15" t="n">
        <v>2752.16</v>
      </c>
      <c r="W1763" s="15" t="n">
        <v>2752.16</v>
      </c>
      <c r="X1763" s="0" t="s">
        <v>1557</v>
      </c>
      <c r="Z1763" s="0" t="str">
        <f aca="false">IF($T1763="","",IFERROR(INDEX('Resumo Grupos'!$AC$3:$AC$200,MATCH($T1763,'Resumo Grupos'!$AB$3:$AB$200,0)),"n/d"))</f>
        <v>Mercadoria</v>
      </c>
      <c r="AA1763" s="0" t="str">
        <f aca="false">IF($T1763="","",IF(COUNTIF('Resumo Grupos'!$AE$3:$AE$40,$T1763)&gt;0,"NAO","SIM"))</f>
        <v>SIM</v>
      </c>
      <c r="AB1763" s="0" t="str">
        <f aca="false">IFERROR(INDEX('Mov Entradas (Rel 10497)'!$L:$L,MATCH(AC1763,'Mov Entradas (Rel 10497)'!$I:$I,0)),"nao encontrado")</f>
        <v>PATINHO BOVINO KG</v>
      </c>
      <c r="AC1763" s="0" t="n">
        <v>33028</v>
      </c>
    </row>
    <row r="1764" customFormat="false" ht="12.75" hidden="false" customHeight="true" outlineLevel="0" collapsed="false">
      <c r="A1764" s="13" t="n">
        <v>2</v>
      </c>
      <c r="B1764" s="14" t="n">
        <v>46260</v>
      </c>
      <c r="C1764" s="14" t="n">
        <v>46267</v>
      </c>
      <c r="D1764" s="13" t="n">
        <v>1626</v>
      </c>
      <c r="E1764" s="0" t="s">
        <v>77</v>
      </c>
      <c r="F1764" s="13" t="n">
        <v>24</v>
      </c>
      <c r="G1764" s="0" t="s">
        <v>51</v>
      </c>
      <c r="H1764" s="13" t="n">
        <v>2110405</v>
      </c>
      <c r="I1764" s="0" t="s">
        <v>56</v>
      </c>
      <c r="J1764" s="13" t="n">
        <v>1605219</v>
      </c>
      <c r="L1764" s="13" t="n">
        <v>219912</v>
      </c>
      <c r="M1764" s="0" t="s">
        <v>52</v>
      </c>
      <c r="N1764" s="0" t="s">
        <v>45</v>
      </c>
      <c r="P1764" s="13" t="n">
        <v>113</v>
      </c>
      <c r="Q1764" s="0" t="s">
        <v>46</v>
      </c>
      <c r="R1764" s="0" t="s">
        <v>47</v>
      </c>
      <c r="S1764" s="13" t="n">
        <v>1130101</v>
      </c>
      <c r="T1764" s="0" t="s">
        <v>48</v>
      </c>
      <c r="U1764" s="15" t="n">
        <v>679.17</v>
      </c>
      <c r="W1764" s="15" t="n">
        <v>679.17</v>
      </c>
      <c r="X1764" s="0" t="s">
        <v>1558</v>
      </c>
      <c r="Z1764" s="0" t="str">
        <f aca="false">IF($T1764="","",IFERROR(INDEX('Resumo Grupos'!$AC$3:$AC$200,MATCH($T1764,'Resumo Grupos'!$AB$3:$AB$200,0)),"n/d"))</f>
        <v>Mercadoria</v>
      </c>
      <c r="AA1764" s="0" t="str">
        <f aca="false">IF($T1764="","",IF(COUNTIF('Resumo Grupos'!$AE$3:$AE$40,$T1764)&gt;0,"NAO","SIM"))</f>
        <v>SIM</v>
      </c>
      <c r="AB1764" s="0" t="str">
        <f aca="false">IFERROR(INDEX('Mov Entradas (Rel 10497)'!$L:$L,MATCH(AC1764,'Mov Entradas (Rel 10497)'!$I:$I,0)),"nao encontrado")</f>
        <v>CALABRESA SEARA KG</v>
      </c>
      <c r="AC1764" s="0" t="n">
        <v>319020</v>
      </c>
    </row>
    <row r="1765" customFormat="false" ht="12.75" hidden="false" customHeight="true" outlineLevel="0" collapsed="false">
      <c r="A1765" s="13" t="n">
        <v>2</v>
      </c>
      <c r="B1765" s="14" t="n">
        <v>46246</v>
      </c>
      <c r="C1765" s="14" t="n">
        <v>46267</v>
      </c>
      <c r="D1765" s="13" t="n">
        <v>1634</v>
      </c>
      <c r="E1765" s="0" t="s">
        <v>285</v>
      </c>
      <c r="F1765" s="13" t="n">
        <v>24</v>
      </c>
      <c r="G1765" s="0" t="s">
        <v>51</v>
      </c>
      <c r="H1765" s="13" t="n">
        <v>2110405</v>
      </c>
      <c r="I1765" s="0" t="s">
        <v>56</v>
      </c>
      <c r="J1765" s="13" t="n">
        <v>1535495</v>
      </c>
      <c r="L1765" s="13" t="n">
        <v>209569</v>
      </c>
      <c r="M1765" s="0" t="s">
        <v>52</v>
      </c>
      <c r="N1765" s="0" t="s">
        <v>45</v>
      </c>
      <c r="P1765" s="13" t="n">
        <v>113</v>
      </c>
      <c r="Q1765" s="0" t="s">
        <v>46</v>
      </c>
      <c r="R1765" s="0" t="s">
        <v>47</v>
      </c>
      <c r="S1765" s="13" t="n">
        <v>1130101</v>
      </c>
      <c r="T1765" s="0" t="s">
        <v>48</v>
      </c>
      <c r="U1765" s="15" t="n">
        <v>700.7</v>
      </c>
      <c r="W1765" s="15" t="n">
        <v>700.7</v>
      </c>
      <c r="X1765" s="0" t="s">
        <v>1447</v>
      </c>
      <c r="Z1765" s="0" t="str">
        <f aca="false">IF($T1765="","",IFERROR(INDEX('Resumo Grupos'!$AC$3:$AC$200,MATCH($T1765,'Resumo Grupos'!$AB$3:$AB$200,0)),"n/d"))</f>
        <v>Mercadoria</v>
      </c>
      <c r="AA1765" s="0" t="str">
        <f aca="false">IF($T1765="","",IF(COUNTIF('Resumo Grupos'!$AE$3:$AE$40,$T1765)&gt;0,"NAO","SIM"))</f>
        <v>SIM</v>
      </c>
      <c r="AB1765" s="0" t="str">
        <f aca="false">IFERROR(INDEX('Mov Entradas (Rel 10497)'!$L:$L,MATCH(AC1765,'Mov Entradas (Rel 10497)'!$I:$I,0)),"nao encontrado")</f>
        <v>FOSFORO PARANA 10CXS</v>
      </c>
      <c r="AC1765" s="0" t="n">
        <v>330057</v>
      </c>
    </row>
    <row r="1766" customFormat="false" ht="12.75" hidden="false" customHeight="true" outlineLevel="0" collapsed="false">
      <c r="A1766" s="13" t="n">
        <v>2</v>
      </c>
      <c r="B1766" s="14" t="n">
        <v>46261</v>
      </c>
      <c r="C1766" s="14" t="n">
        <v>46267</v>
      </c>
      <c r="D1766" s="13" t="n">
        <v>1609</v>
      </c>
      <c r="E1766" s="0" t="s">
        <v>84</v>
      </c>
      <c r="F1766" s="13" t="n">
        <v>24</v>
      </c>
      <c r="G1766" s="0" t="s">
        <v>51</v>
      </c>
      <c r="H1766" s="13" t="n">
        <v>2110405</v>
      </c>
      <c r="I1766" s="0" t="s">
        <v>56</v>
      </c>
      <c r="J1766" s="13" t="n">
        <v>1609116</v>
      </c>
      <c r="L1766" s="13" t="n">
        <v>220499</v>
      </c>
      <c r="M1766" s="0" t="s">
        <v>52</v>
      </c>
      <c r="N1766" s="0" t="s">
        <v>45</v>
      </c>
      <c r="P1766" s="13" t="n">
        <v>113</v>
      </c>
      <c r="Q1766" s="0" t="s">
        <v>46</v>
      </c>
      <c r="R1766" s="0" t="s">
        <v>47</v>
      </c>
      <c r="S1766" s="13" t="n">
        <v>1130101</v>
      </c>
      <c r="T1766" s="0" t="s">
        <v>48</v>
      </c>
      <c r="U1766" s="15" t="n">
        <v>741.3</v>
      </c>
      <c r="W1766" s="15" t="n">
        <v>741.3</v>
      </c>
      <c r="X1766" s="0" t="s">
        <v>1559</v>
      </c>
      <c r="Z1766" s="0" t="str">
        <f aca="false">IF($T1766="","",IFERROR(INDEX('Resumo Grupos'!$AC$3:$AC$200,MATCH($T1766,'Resumo Grupos'!$AB$3:$AB$200,0)),"n/d"))</f>
        <v>Mercadoria</v>
      </c>
      <c r="AA1766" s="0" t="str">
        <f aca="false">IF($T1766="","",IF(COUNTIF('Resumo Grupos'!$AE$3:$AE$40,$T1766)&gt;0,"NAO","SIM"))</f>
        <v>SIM</v>
      </c>
      <c r="AB1766" s="0" t="str">
        <f aca="false">IFERROR(INDEX('Mov Entradas (Rel 10497)'!$L:$L,MATCH(AC1766,'Mov Entradas (Rel 10497)'!$I:$I,0)),"nao encontrado")</f>
        <v>SUCO YOFRUT COPO 300</v>
      </c>
      <c r="AC1766" s="0" t="n">
        <v>6042</v>
      </c>
    </row>
    <row r="1767" customFormat="false" ht="12.75" hidden="false" customHeight="true" outlineLevel="0" collapsed="false">
      <c r="A1767" s="13" t="n">
        <v>2</v>
      </c>
      <c r="B1767" s="14" t="n">
        <v>46267</v>
      </c>
      <c r="C1767" s="14" t="n">
        <v>46267</v>
      </c>
      <c r="D1767" s="13" t="n">
        <v>515</v>
      </c>
      <c r="E1767" s="0" t="s">
        <v>137</v>
      </c>
      <c r="F1767" s="13" t="n">
        <v>34</v>
      </c>
      <c r="G1767" s="0" t="s">
        <v>55</v>
      </c>
      <c r="H1767" s="13" t="n">
        <v>2110405</v>
      </c>
      <c r="I1767" s="0" t="s">
        <v>56</v>
      </c>
      <c r="J1767" s="13" t="n">
        <v>1648737</v>
      </c>
      <c r="L1767" s="13" t="n">
        <v>226479</v>
      </c>
      <c r="M1767" s="0" t="s">
        <v>52</v>
      </c>
      <c r="N1767" s="0" t="s">
        <v>45</v>
      </c>
      <c r="P1767" s="13" t="n">
        <v>102</v>
      </c>
      <c r="Q1767" s="0" t="s">
        <v>308</v>
      </c>
      <c r="R1767" s="0" t="s">
        <v>138</v>
      </c>
      <c r="S1767" s="13" t="n">
        <v>4210504</v>
      </c>
      <c r="T1767" s="0" t="s">
        <v>143</v>
      </c>
      <c r="U1767" s="15" t="n">
        <v>21.12</v>
      </c>
      <c r="W1767" s="15" t="n">
        <v>21.12</v>
      </c>
      <c r="X1767" s="0" t="s">
        <v>1560</v>
      </c>
      <c r="Z1767" s="0" t="str">
        <f aca="false">IF($T1767="","",IFERROR(INDEX('Resumo Grupos'!$AC$3:$AC$200,MATCH($T1767,'Resumo Grupos'!$AB$3:$AB$200,0)),"n/d"))</f>
        <v>Despesa</v>
      </c>
      <c r="AA1767" s="0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3" t="n">
        <v>2</v>
      </c>
      <c r="B1768" s="14" t="n">
        <v>46267</v>
      </c>
      <c r="C1768" s="14" t="n">
        <v>46267</v>
      </c>
      <c r="D1768" s="13" t="n">
        <v>515</v>
      </c>
      <c r="E1768" s="0" t="s">
        <v>137</v>
      </c>
      <c r="F1768" s="13" t="n">
        <v>34</v>
      </c>
      <c r="G1768" s="0" t="s">
        <v>55</v>
      </c>
      <c r="H1768" s="13" t="n">
        <v>2110405</v>
      </c>
      <c r="I1768" s="0" t="s">
        <v>56</v>
      </c>
      <c r="J1768" s="13" t="n">
        <v>1648740</v>
      </c>
      <c r="L1768" s="13" t="n">
        <v>226481</v>
      </c>
      <c r="M1768" s="0" t="s">
        <v>52</v>
      </c>
      <c r="N1768" s="0" t="s">
        <v>45</v>
      </c>
      <c r="P1768" s="13" t="n">
        <v>102</v>
      </c>
      <c r="Q1768" s="0" t="s">
        <v>308</v>
      </c>
      <c r="R1768" s="0" t="s">
        <v>138</v>
      </c>
      <c r="S1768" s="13" t="n">
        <v>4210505</v>
      </c>
      <c r="T1768" s="0" t="s">
        <v>139</v>
      </c>
      <c r="U1768" s="15" t="n">
        <v>107.26</v>
      </c>
      <c r="W1768" s="15" t="n">
        <v>107.26</v>
      </c>
      <c r="X1768" s="0" t="s">
        <v>1561</v>
      </c>
      <c r="Z1768" s="0" t="str">
        <f aca="false">IF($T1768="","",IFERROR(INDEX('Resumo Grupos'!$AC$3:$AC$200,MATCH($T1768,'Resumo Grupos'!$AB$3:$AB$200,0)),"n/d"))</f>
        <v>Despesa</v>
      </c>
      <c r="AA1768" s="0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3" t="n">
        <v>2</v>
      </c>
      <c r="B1769" s="14" t="n">
        <v>46267</v>
      </c>
      <c r="C1769" s="14" t="n">
        <v>46267</v>
      </c>
      <c r="D1769" s="13" t="n">
        <v>515</v>
      </c>
      <c r="E1769" s="0" t="s">
        <v>137</v>
      </c>
      <c r="F1769" s="13" t="n">
        <v>34</v>
      </c>
      <c r="G1769" s="0" t="s">
        <v>55</v>
      </c>
      <c r="H1769" s="13" t="n">
        <v>2110405</v>
      </c>
      <c r="I1769" s="0" t="s">
        <v>56</v>
      </c>
      <c r="J1769" s="13" t="n">
        <v>1648749</v>
      </c>
      <c r="L1769" s="13" t="n">
        <v>226483</v>
      </c>
      <c r="M1769" s="0" t="s">
        <v>52</v>
      </c>
      <c r="N1769" s="0" t="s">
        <v>45</v>
      </c>
      <c r="P1769" s="13" t="n">
        <v>102</v>
      </c>
      <c r="Q1769" s="0" t="s">
        <v>308</v>
      </c>
      <c r="R1769" s="0" t="s">
        <v>138</v>
      </c>
      <c r="S1769" s="13" t="n">
        <v>4210504</v>
      </c>
      <c r="T1769" s="0" t="s">
        <v>143</v>
      </c>
      <c r="U1769" s="15" t="n">
        <v>143.03</v>
      </c>
      <c r="W1769" s="15" t="n">
        <v>143.03</v>
      </c>
      <c r="X1769" s="0" t="s">
        <v>1562</v>
      </c>
      <c r="Z1769" s="0" t="str">
        <f aca="false">IF($T1769="","",IFERROR(INDEX('Resumo Grupos'!$AC$3:$AC$200,MATCH($T1769,'Resumo Grupos'!$AB$3:$AB$200,0)),"n/d"))</f>
        <v>Despesa</v>
      </c>
      <c r="AA1769" s="0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3" t="n">
        <v>2</v>
      </c>
      <c r="B1770" s="14" t="n">
        <v>46267</v>
      </c>
      <c r="C1770" s="14" t="n">
        <v>46267</v>
      </c>
      <c r="D1770" s="13" t="n">
        <v>515</v>
      </c>
      <c r="E1770" s="0" t="s">
        <v>137</v>
      </c>
      <c r="F1770" s="13" t="n">
        <v>34</v>
      </c>
      <c r="G1770" s="0" t="s">
        <v>55</v>
      </c>
      <c r="H1770" s="13" t="n">
        <v>2110405</v>
      </c>
      <c r="I1770" s="0" t="s">
        <v>56</v>
      </c>
      <c r="J1770" s="13" t="n">
        <v>1648764</v>
      </c>
      <c r="L1770" s="13" t="n">
        <v>226486</v>
      </c>
      <c r="M1770" s="0" t="s">
        <v>52</v>
      </c>
      <c r="N1770" s="0" t="s">
        <v>45</v>
      </c>
      <c r="P1770" s="13" t="n">
        <v>102</v>
      </c>
      <c r="Q1770" s="0" t="s">
        <v>308</v>
      </c>
      <c r="R1770" s="0" t="s">
        <v>138</v>
      </c>
      <c r="S1770" s="13" t="n">
        <v>4210505</v>
      </c>
      <c r="T1770" s="0" t="s">
        <v>139</v>
      </c>
      <c r="U1770" s="15" t="n">
        <v>281.13</v>
      </c>
      <c r="W1770" s="15" t="n">
        <v>281.13</v>
      </c>
      <c r="X1770" s="0" t="s">
        <v>1563</v>
      </c>
      <c r="Z1770" s="0" t="str">
        <f aca="false">IF($T1770="","",IFERROR(INDEX('Resumo Grupos'!$AC$3:$AC$200,MATCH($T1770,'Resumo Grupos'!$AB$3:$AB$200,0)),"n/d"))</f>
        <v>Despesa</v>
      </c>
      <c r="AA1770" s="0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3" t="n">
        <v>2</v>
      </c>
      <c r="B1771" s="14" t="n">
        <v>46267</v>
      </c>
      <c r="C1771" s="14" t="n">
        <v>46267</v>
      </c>
      <c r="D1771" s="13" t="n">
        <v>515</v>
      </c>
      <c r="E1771" s="0" t="s">
        <v>137</v>
      </c>
      <c r="F1771" s="13" t="n">
        <v>34</v>
      </c>
      <c r="G1771" s="0" t="s">
        <v>55</v>
      </c>
      <c r="H1771" s="13" t="n">
        <v>2110405</v>
      </c>
      <c r="I1771" s="0" t="s">
        <v>56</v>
      </c>
      <c r="J1771" s="13" t="n">
        <v>1648788</v>
      </c>
      <c r="L1771" s="13" t="n">
        <v>226491</v>
      </c>
      <c r="M1771" s="0" t="s">
        <v>52</v>
      </c>
      <c r="N1771" s="0" t="s">
        <v>45</v>
      </c>
      <c r="P1771" s="13" t="n">
        <v>102</v>
      </c>
      <c r="Q1771" s="0" t="s">
        <v>308</v>
      </c>
      <c r="R1771" s="0" t="s">
        <v>138</v>
      </c>
      <c r="S1771" s="13" t="n">
        <v>4210505</v>
      </c>
      <c r="T1771" s="0" t="s">
        <v>139</v>
      </c>
      <c r="U1771" s="15" t="n">
        <v>327.4</v>
      </c>
      <c r="W1771" s="15" t="n">
        <v>327.4</v>
      </c>
      <c r="X1771" s="0" t="s">
        <v>1564</v>
      </c>
      <c r="Z1771" s="0" t="str">
        <f aca="false">IF($T1771="","",IFERROR(INDEX('Resumo Grupos'!$AC$3:$AC$200,MATCH($T1771,'Resumo Grupos'!$AB$3:$AB$200,0)),"n/d"))</f>
        <v>Despesa</v>
      </c>
      <c r="AA1771" s="0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3" t="n">
        <v>2</v>
      </c>
      <c r="B1772" s="14" t="n">
        <v>46267</v>
      </c>
      <c r="C1772" s="14" t="n">
        <v>46267</v>
      </c>
      <c r="D1772" s="13" t="n">
        <v>515</v>
      </c>
      <c r="E1772" s="0" t="s">
        <v>137</v>
      </c>
      <c r="F1772" s="13" t="n">
        <v>34</v>
      </c>
      <c r="G1772" s="0" t="s">
        <v>55</v>
      </c>
      <c r="H1772" s="13" t="n">
        <v>2110405</v>
      </c>
      <c r="I1772" s="0" t="s">
        <v>56</v>
      </c>
      <c r="J1772" s="13" t="n">
        <v>1648793</v>
      </c>
      <c r="L1772" s="13" t="n">
        <v>226493</v>
      </c>
      <c r="M1772" s="0" t="s">
        <v>52</v>
      </c>
      <c r="N1772" s="0" t="s">
        <v>45</v>
      </c>
      <c r="P1772" s="13" t="n">
        <v>102</v>
      </c>
      <c r="Q1772" s="0" t="s">
        <v>308</v>
      </c>
      <c r="R1772" s="0" t="s">
        <v>138</v>
      </c>
      <c r="S1772" s="13" t="n">
        <v>4210504</v>
      </c>
      <c r="T1772" s="0" t="s">
        <v>143</v>
      </c>
      <c r="U1772" s="15" t="n">
        <v>550.38</v>
      </c>
      <c r="W1772" s="15" t="n">
        <v>550.38</v>
      </c>
      <c r="X1772" s="0" t="s">
        <v>1565</v>
      </c>
      <c r="Z1772" s="0" t="str">
        <f aca="false">IF($T1772="","",IFERROR(INDEX('Resumo Grupos'!$AC$3:$AC$200,MATCH($T1772,'Resumo Grupos'!$AB$3:$AB$200,0)),"n/d"))</f>
        <v>Despesa</v>
      </c>
      <c r="AA1772" s="0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3" t="n">
        <v>2</v>
      </c>
      <c r="B1773" s="14" t="n">
        <v>46267</v>
      </c>
      <c r="C1773" s="14" t="n">
        <v>46267</v>
      </c>
      <c r="D1773" s="13" t="n">
        <v>48</v>
      </c>
      <c r="E1773" s="0" t="s">
        <v>153</v>
      </c>
      <c r="F1773" s="13" t="n">
        <v>13</v>
      </c>
      <c r="G1773" s="0" t="s">
        <v>135</v>
      </c>
      <c r="H1773" s="13" t="n">
        <v>2110101</v>
      </c>
      <c r="I1773" s="0" t="s">
        <v>43</v>
      </c>
      <c r="J1773" s="13" t="n">
        <v>1641414</v>
      </c>
      <c r="L1773" s="13" t="n">
        <v>2653</v>
      </c>
      <c r="M1773" s="0" t="s">
        <v>52</v>
      </c>
      <c r="N1773" s="0" t="s">
        <v>37</v>
      </c>
      <c r="P1773" s="13" t="n">
        <v>113</v>
      </c>
      <c r="Q1773" s="0" t="s">
        <v>46</v>
      </c>
      <c r="R1773" s="0" t="s">
        <v>47</v>
      </c>
      <c r="S1773" s="13" t="n">
        <v>1130101</v>
      </c>
      <c r="T1773" s="0" t="s">
        <v>48</v>
      </c>
      <c r="U1773" s="15" t="n">
        <v>300</v>
      </c>
      <c r="W1773" s="15" t="n">
        <v>300</v>
      </c>
      <c r="X1773" s="0" t="s">
        <v>1566</v>
      </c>
      <c r="Z1773" s="0" t="str">
        <f aca="false">IF($T1773="","",IFERROR(INDEX('Resumo Grupos'!$AC$3:$AC$200,MATCH($T1773,'Resumo Grupos'!$AB$3:$AB$200,0)),"n/d"))</f>
        <v>Mercadoria</v>
      </c>
      <c r="AA1773" s="0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3" t="n">
        <v>2</v>
      </c>
      <c r="B1774" s="14" t="n">
        <v>46247</v>
      </c>
      <c r="C1774" s="14" t="n">
        <v>46267</v>
      </c>
      <c r="D1774" s="13" t="n">
        <v>1624</v>
      </c>
      <c r="E1774" s="0" t="s">
        <v>351</v>
      </c>
      <c r="F1774" s="13" t="n">
        <v>24</v>
      </c>
      <c r="G1774" s="0" t="s">
        <v>51</v>
      </c>
      <c r="H1774" s="13" t="n">
        <v>2110405</v>
      </c>
      <c r="I1774" s="0" t="s">
        <v>56</v>
      </c>
      <c r="J1774" s="13" t="n">
        <v>1543912</v>
      </c>
      <c r="L1774" s="13" t="n">
        <v>210532</v>
      </c>
      <c r="M1774" s="0" t="s">
        <v>52</v>
      </c>
      <c r="N1774" s="0" t="s">
        <v>45</v>
      </c>
      <c r="P1774" s="13" t="n">
        <v>113</v>
      </c>
      <c r="Q1774" s="0" t="s">
        <v>46</v>
      </c>
      <c r="R1774" s="0" t="s">
        <v>47</v>
      </c>
      <c r="S1774" s="13" t="n">
        <v>1130101</v>
      </c>
      <c r="T1774" s="0" t="s">
        <v>48</v>
      </c>
      <c r="U1774" s="15" t="n">
        <v>830.14</v>
      </c>
      <c r="W1774" s="15" t="n">
        <v>830.14</v>
      </c>
      <c r="X1774" s="0" t="s">
        <v>1567</v>
      </c>
      <c r="Z1774" s="0" t="str">
        <f aca="false">IF($T1774="","",IFERROR(INDEX('Resumo Grupos'!$AC$3:$AC$200,MATCH($T1774,'Resumo Grupos'!$AB$3:$AB$200,0)),"n/d"))</f>
        <v>Mercadoria</v>
      </c>
      <c r="AA1774" s="0" t="str">
        <f aca="false">IF($T1774="","",IF(COUNTIF('Resumo Grupos'!$AE$3:$AE$40,$T1774)&gt;0,"NAO","SIM"))</f>
        <v>SIM</v>
      </c>
      <c r="AB1774" s="0" t="str">
        <f aca="false">IFERROR(INDEX('Mov Entradas (Rel 10497)'!$L:$L,MATCH(AC1774,'Mov Entradas (Rel 10497)'!$I:$I,0)),"nao encontrado")</f>
        <v>SAB SARNICIDA MATACURA 80G</v>
      </c>
      <c r="AC1774" s="0" t="n">
        <v>668739</v>
      </c>
    </row>
    <row r="1775" customFormat="false" ht="12.75" hidden="false" customHeight="true" outlineLevel="0" collapsed="false">
      <c r="A1775" s="13" t="n">
        <v>2</v>
      </c>
      <c r="B1775" s="14" t="n">
        <v>46267</v>
      </c>
      <c r="C1775" s="14" t="n">
        <v>46267</v>
      </c>
      <c r="D1775" s="13" t="n">
        <v>0</v>
      </c>
      <c r="E1775" s="0" t="s">
        <v>109</v>
      </c>
      <c r="F1775" s="13" t="n">
        <v>17</v>
      </c>
      <c r="G1775" s="0" t="s">
        <v>110</v>
      </c>
      <c r="H1775" s="13" t="n">
        <v>1110101</v>
      </c>
      <c r="I1775" s="0" t="s">
        <v>111</v>
      </c>
      <c r="J1775" s="13" t="n">
        <v>1646059</v>
      </c>
      <c r="L1775" s="13" t="n">
        <v>1646059</v>
      </c>
      <c r="M1775" s="0" t="s">
        <v>52</v>
      </c>
      <c r="N1775" s="0" t="s">
        <v>112</v>
      </c>
      <c r="P1775" s="13" t="n">
        <v>113</v>
      </c>
      <c r="Q1775" s="0" t="s">
        <v>46</v>
      </c>
      <c r="R1775" s="0" t="s">
        <v>259</v>
      </c>
      <c r="S1775" s="13" t="n">
        <v>2110101</v>
      </c>
      <c r="T1775" s="0" t="s">
        <v>43</v>
      </c>
      <c r="U1775" s="15" t="n">
        <v>300</v>
      </c>
      <c r="W1775" s="15" t="n">
        <v>300</v>
      </c>
      <c r="X1775" s="0" t="s">
        <v>1568</v>
      </c>
      <c r="Z1775" s="0" t="str">
        <f aca="false">IF($T1775="","",IFERROR(INDEX('Resumo Grupos'!$AC$3:$AC$200,MATCH($T1775,'Resumo Grupos'!$AB$3:$AB$200,0)),"n/d"))</f>
        <v>Despesa</v>
      </c>
      <c r="AA1775" s="0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3" t="n">
        <v>2</v>
      </c>
      <c r="B1776" s="14" t="n">
        <v>46267</v>
      </c>
      <c r="C1776" s="14" t="n">
        <v>46267</v>
      </c>
      <c r="D1776" s="13" t="n">
        <v>0</v>
      </c>
      <c r="E1776" s="0" t="s">
        <v>109</v>
      </c>
      <c r="F1776" s="13" t="n">
        <v>17</v>
      </c>
      <c r="G1776" s="0" t="s">
        <v>110</v>
      </c>
      <c r="H1776" s="13" t="n">
        <v>1110101</v>
      </c>
      <c r="I1776" s="0" t="s">
        <v>111</v>
      </c>
      <c r="J1776" s="13" t="n">
        <v>1646062</v>
      </c>
      <c r="L1776" s="13" t="n">
        <v>1646062</v>
      </c>
      <c r="M1776" s="0" t="s">
        <v>52</v>
      </c>
      <c r="N1776" s="0" t="s">
        <v>112</v>
      </c>
      <c r="P1776" s="13" t="n">
        <v>113</v>
      </c>
      <c r="Q1776" s="0" t="s">
        <v>46</v>
      </c>
      <c r="R1776" s="0" t="s">
        <v>71</v>
      </c>
      <c r="S1776" s="13" t="n">
        <v>4210314</v>
      </c>
      <c r="T1776" s="0" t="s">
        <v>113</v>
      </c>
      <c r="U1776" s="15" t="n">
        <v>50</v>
      </c>
      <c r="W1776" s="15" t="n">
        <v>50</v>
      </c>
      <c r="X1776" s="0" t="s">
        <v>368</v>
      </c>
      <c r="Z1776" s="0" t="str">
        <f aca="false">IF($T1776="","",IFERROR(INDEX('Resumo Grupos'!$AC$3:$AC$200,MATCH($T1776,'Resumo Grupos'!$AB$3:$AB$200,0)),"n/d"))</f>
        <v>Despesa</v>
      </c>
      <c r="AA1776" s="0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3" t="n">
        <v>2</v>
      </c>
      <c r="B1777" s="14" t="n">
        <v>46267</v>
      </c>
      <c r="C1777" s="14" t="n">
        <v>46267</v>
      </c>
      <c r="D1777" s="13" t="n">
        <v>0</v>
      </c>
      <c r="E1777" s="0" t="s">
        <v>109</v>
      </c>
      <c r="F1777" s="13" t="n">
        <v>17</v>
      </c>
      <c r="G1777" s="0" t="s">
        <v>110</v>
      </c>
      <c r="H1777" s="13" t="n">
        <v>1110101</v>
      </c>
      <c r="I1777" s="0" t="s">
        <v>111</v>
      </c>
      <c r="J1777" s="13" t="n">
        <v>1646119</v>
      </c>
      <c r="L1777" s="13" t="n">
        <v>1646119</v>
      </c>
      <c r="M1777" s="0" t="s">
        <v>52</v>
      </c>
      <c r="N1777" s="0" t="s">
        <v>112</v>
      </c>
      <c r="P1777" s="13" t="n">
        <v>113</v>
      </c>
      <c r="Q1777" s="0" t="s">
        <v>46</v>
      </c>
      <c r="R1777" s="0" t="s">
        <v>39</v>
      </c>
      <c r="S1777" s="13" t="n">
        <v>4210227</v>
      </c>
      <c r="T1777" s="0" t="s">
        <v>68</v>
      </c>
      <c r="U1777" s="15" t="n">
        <v>150</v>
      </c>
      <c r="W1777" s="15" t="n">
        <v>150</v>
      </c>
      <c r="X1777" s="0" t="s">
        <v>1569</v>
      </c>
      <c r="Z1777" s="0" t="str">
        <f aca="false">IF($T1777="","",IFERROR(INDEX('Resumo Grupos'!$AC$3:$AC$200,MATCH($T1777,'Resumo Grupos'!$AB$3:$AB$200,0)),"n/d"))</f>
        <v>Despesa</v>
      </c>
      <c r="AA1777" s="0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3" t="n">
        <v>2</v>
      </c>
      <c r="B1778" s="14" t="n">
        <v>46267</v>
      </c>
      <c r="C1778" s="14" t="n">
        <v>46267</v>
      </c>
      <c r="D1778" s="13" t="n">
        <v>0</v>
      </c>
      <c r="E1778" s="0" t="s">
        <v>109</v>
      </c>
      <c r="F1778" s="13" t="n">
        <v>17</v>
      </c>
      <c r="G1778" s="0" t="s">
        <v>110</v>
      </c>
      <c r="H1778" s="13" t="n">
        <v>1110101</v>
      </c>
      <c r="I1778" s="0" t="s">
        <v>111</v>
      </c>
      <c r="J1778" s="13" t="n">
        <v>1646127</v>
      </c>
      <c r="L1778" s="13" t="n">
        <v>1646127</v>
      </c>
      <c r="M1778" s="0" t="s">
        <v>52</v>
      </c>
      <c r="N1778" s="0" t="s">
        <v>112</v>
      </c>
      <c r="P1778" s="13" t="n">
        <v>113</v>
      </c>
      <c r="Q1778" s="0" t="s">
        <v>46</v>
      </c>
      <c r="R1778" s="0" t="s">
        <v>39</v>
      </c>
      <c r="S1778" s="13" t="n">
        <v>4210227</v>
      </c>
      <c r="T1778" s="0" t="s">
        <v>68</v>
      </c>
      <c r="U1778" s="15" t="n">
        <v>260</v>
      </c>
      <c r="W1778" s="15" t="n">
        <v>260</v>
      </c>
      <c r="X1778" s="0" t="s">
        <v>1570</v>
      </c>
      <c r="Z1778" s="0" t="str">
        <f aca="false">IF($T1778="","",IFERROR(INDEX('Resumo Grupos'!$AC$3:$AC$200,MATCH($T1778,'Resumo Grupos'!$AB$3:$AB$200,0)),"n/d"))</f>
        <v>Despesa</v>
      </c>
      <c r="AA1778" s="0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3" t="n">
        <v>2</v>
      </c>
      <c r="B1779" s="14" t="n">
        <v>46267</v>
      </c>
      <c r="C1779" s="14" t="n">
        <v>46267</v>
      </c>
      <c r="D1779" s="13" t="n">
        <v>0</v>
      </c>
      <c r="E1779" s="0" t="s">
        <v>109</v>
      </c>
      <c r="F1779" s="13" t="n">
        <v>17</v>
      </c>
      <c r="G1779" s="0" t="s">
        <v>110</v>
      </c>
      <c r="H1779" s="13" t="n">
        <v>1110101</v>
      </c>
      <c r="I1779" s="0" t="s">
        <v>111</v>
      </c>
      <c r="J1779" s="13" t="n">
        <v>1646138</v>
      </c>
      <c r="L1779" s="13" t="n">
        <v>1646138</v>
      </c>
      <c r="M1779" s="0" t="s">
        <v>52</v>
      </c>
      <c r="N1779" s="0" t="s">
        <v>112</v>
      </c>
      <c r="P1779" s="13" t="n">
        <v>113</v>
      </c>
      <c r="Q1779" s="0" t="s">
        <v>46</v>
      </c>
      <c r="R1779" s="0" t="s">
        <v>71</v>
      </c>
      <c r="S1779" s="13" t="n">
        <v>4210309</v>
      </c>
      <c r="T1779" s="0" t="s">
        <v>72</v>
      </c>
      <c r="U1779" s="15" t="n">
        <v>10</v>
      </c>
      <c r="W1779" s="15" t="n">
        <v>10</v>
      </c>
      <c r="X1779" s="0" t="s">
        <v>1571</v>
      </c>
      <c r="Z1779" s="0" t="str">
        <f aca="false">IF($T1779="","",IFERROR(INDEX('Resumo Grupos'!$AC$3:$AC$200,MATCH($T1779,'Resumo Grupos'!$AB$3:$AB$200,0)),"n/d"))</f>
        <v>Salários</v>
      </c>
      <c r="AA1779" s="0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3" t="n">
        <v>2</v>
      </c>
      <c r="B1780" s="14" t="n">
        <v>46267</v>
      </c>
      <c r="C1780" s="14" t="n">
        <v>46267</v>
      </c>
      <c r="D1780" s="13" t="n">
        <v>0</v>
      </c>
      <c r="E1780" s="0" t="s">
        <v>109</v>
      </c>
      <c r="F1780" s="13" t="n">
        <v>17</v>
      </c>
      <c r="G1780" s="0" t="s">
        <v>110</v>
      </c>
      <c r="H1780" s="13" t="n">
        <v>1110101</v>
      </c>
      <c r="I1780" s="0" t="s">
        <v>111</v>
      </c>
      <c r="J1780" s="13" t="n">
        <v>1716434</v>
      </c>
      <c r="L1780" s="13" t="n">
        <v>1716434</v>
      </c>
      <c r="M1780" s="0" t="s">
        <v>52</v>
      </c>
      <c r="N1780" s="0" t="s">
        <v>112</v>
      </c>
      <c r="P1780" s="13" t="n">
        <v>113</v>
      </c>
      <c r="Q1780" s="0" t="s">
        <v>46</v>
      </c>
      <c r="R1780" s="0" t="s">
        <v>116</v>
      </c>
      <c r="S1780" s="13" t="n">
        <v>1110203</v>
      </c>
      <c r="T1780" s="0" t="s">
        <v>117</v>
      </c>
      <c r="U1780" s="15" t="n">
        <v>2350</v>
      </c>
      <c r="W1780" s="15" t="n">
        <v>2350</v>
      </c>
      <c r="X1780" s="0" t="s">
        <v>1572</v>
      </c>
      <c r="Z1780" s="0" t="str">
        <f aca="false">IF($T1780="","",IFERROR(INDEX('Resumo Grupos'!$AC$3:$AC$200,MATCH($T1780,'Resumo Grupos'!$AB$3:$AB$200,0)),"n/d"))</f>
        <v>Despesa</v>
      </c>
      <c r="AA1780" s="0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3" t="n">
        <v>2</v>
      </c>
      <c r="B1781" s="14" t="n">
        <v>46261</v>
      </c>
      <c r="C1781" s="14" t="n">
        <v>46267</v>
      </c>
      <c r="D1781" s="13" t="n">
        <v>754</v>
      </c>
      <c r="E1781" s="0" t="s">
        <v>162</v>
      </c>
      <c r="F1781" s="13" t="n">
        <v>24</v>
      </c>
      <c r="G1781" s="0" t="s">
        <v>51</v>
      </c>
      <c r="H1781" s="13" t="n">
        <v>2110405</v>
      </c>
      <c r="I1781" s="0" t="s">
        <v>56</v>
      </c>
      <c r="J1781" s="13" t="n">
        <v>1608625</v>
      </c>
      <c r="L1781" s="13" t="n">
        <v>220386</v>
      </c>
      <c r="M1781" s="0" t="s">
        <v>52</v>
      </c>
      <c r="N1781" s="0" t="s">
        <v>45</v>
      </c>
      <c r="P1781" s="13" t="n">
        <v>113</v>
      </c>
      <c r="Q1781" s="0" t="s">
        <v>46</v>
      </c>
      <c r="R1781" s="0" t="s">
        <v>47</v>
      </c>
      <c r="S1781" s="13" t="n">
        <v>1130101</v>
      </c>
      <c r="T1781" s="0" t="s">
        <v>48</v>
      </c>
      <c r="U1781" s="15" t="n">
        <v>1069.2</v>
      </c>
      <c r="W1781" s="15" t="n">
        <v>1069.2</v>
      </c>
      <c r="X1781" s="0" t="s">
        <v>1573</v>
      </c>
      <c r="Z1781" s="0" t="str">
        <f aca="false">IF($T1781="","",IFERROR(INDEX('Resumo Grupos'!$AC$3:$AC$200,MATCH($T1781,'Resumo Grupos'!$AB$3:$AB$200,0)),"n/d"))</f>
        <v>Mercadoria</v>
      </c>
      <c r="AA1781" s="0" t="str">
        <f aca="false">IF($T1781="","",IF(COUNTIF('Resumo Grupos'!$AE$3:$AE$40,$T1781)&gt;0,"NAO","SIM"))</f>
        <v>SIM</v>
      </c>
      <c r="AB1781" s="0" t="str">
        <f aca="false">IFERROR(INDEX('Mov Entradas (Rel 10497)'!$L:$L,MATCH(AC1781,'Mov Entradas (Rel 10497)'!$I:$I,0)),"nao encontrado")</f>
        <v>DIANTEIRO DE BOI L</v>
      </c>
      <c r="AC1781" s="0" t="n">
        <v>32719</v>
      </c>
    </row>
    <row r="1782" customFormat="false" ht="12.75" hidden="false" customHeight="true" outlineLevel="0" collapsed="false">
      <c r="A1782" s="13" t="n">
        <v>2</v>
      </c>
      <c r="B1782" s="14" t="n">
        <v>46246</v>
      </c>
      <c r="C1782" s="14" t="n">
        <v>46267</v>
      </c>
      <c r="D1782" s="13" t="n">
        <v>10010</v>
      </c>
      <c r="E1782" s="0" t="s">
        <v>837</v>
      </c>
      <c r="F1782" s="13" t="n">
        <v>24</v>
      </c>
      <c r="G1782" s="0" t="s">
        <v>51</v>
      </c>
      <c r="H1782" s="13" t="n">
        <v>2110405</v>
      </c>
      <c r="I1782" s="0" t="s">
        <v>56</v>
      </c>
      <c r="J1782" s="13" t="n">
        <v>1537384</v>
      </c>
      <c r="L1782" s="13" t="n">
        <v>209767</v>
      </c>
      <c r="M1782" s="0" t="s">
        <v>52</v>
      </c>
      <c r="N1782" s="0" t="s">
        <v>45</v>
      </c>
      <c r="P1782" s="13" t="n">
        <v>113</v>
      </c>
      <c r="Q1782" s="0" t="s">
        <v>46</v>
      </c>
      <c r="R1782" s="0" t="s">
        <v>47</v>
      </c>
      <c r="S1782" s="13" t="n">
        <v>1130101</v>
      </c>
      <c r="T1782" s="0" t="s">
        <v>48</v>
      </c>
      <c r="U1782" s="15" t="n">
        <v>205.44</v>
      </c>
      <c r="W1782" s="15" t="n">
        <v>205.44</v>
      </c>
      <c r="X1782" s="0" t="s">
        <v>1574</v>
      </c>
      <c r="Z1782" s="0" t="str">
        <f aca="false">IF($T1782="","",IFERROR(INDEX('Resumo Grupos'!$AC$3:$AC$200,MATCH($T1782,'Resumo Grupos'!$AB$3:$AB$200,0)),"n/d"))</f>
        <v>Mercadoria</v>
      </c>
      <c r="AA1782" s="0" t="str">
        <f aca="false">IF($T1782="","",IF(COUNTIF('Resumo Grupos'!$AE$3:$AE$40,$T1782)&gt;0,"NAO","SIM"))</f>
        <v>SIM</v>
      </c>
      <c r="AB1782" s="0" t="str">
        <f aca="false">IFERROR(INDEX('Mov Entradas (Rel 10497)'!$L:$L,MATCH(AC1782,'Mov Entradas (Rel 10497)'!$I:$I,0)),"nao encontrado")</f>
        <v>DESINFETANTE TOPAZIO</v>
      </c>
      <c r="AC1782" s="0" t="n">
        <v>44054</v>
      </c>
    </row>
    <row r="1783" customFormat="false" ht="12.75" hidden="false" customHeight="true" outlineLevel="0" collapsed="false">
      <c r="A1783" s="13" t="n">
        <v>2</v>
      </c>
      <c r="B1783" s="14" t="n">
        <v>46266</v>
      </c>
      <c r="C1783" s="14" t="n">
        <v>46268</v>
      </c>
      <c r="D1783" s="13" t="n">
        <v>642</v>
      </c>
      <c r="E1783" s="0" t="s">
        <v>123</v>
      </c>
      <c r="F1783" s="13" t="n">
        <v>24</v>
      </c>
      <c r="G1783" s="0" t="s">
        <v>51</v>
      </c>
      <c r="H1783" s="13" t="n">
        <v>2110405</v>
      </c>
      <c r="I1783" s="0" t="s">
        <v>56</v>
      </c>
      <c r="J1783" s="13" t="n">
        <v>1635015</v>
      </c>
      <c r="L1783" s="13" t="n">
        <v>224551</v>
      </c>
      <c r="M1783" s="0" t="s">
        <v>52</v>
      </c>
      <c r="N1783" s="0" t="s">
        <v>45</v>
      </c>
      <c r="P1783" s="13" t="n">
        <v>113</v>
      </c>
      <c r="Q1783" s="0" t="s">
        <v>46</v>
      </c>
      <c r="R1783" s="0" t="s">
        <v>47</v>
      </c>
      <c r="S1783" s="13" t="n">
        <v>1130101</v>
      </c>
      <c r="T1783" s="0" t="s">
        <v>48</v>
      </c>
      <c r="U1783" s="15" t="n">
        <v>180</v>
      </c>
      <c r="W1783" s="15" t="n">
        <v>180</v>
      </c>
      <c r="X1783" s="0" t="s">
        <v>1575</v>
      </c>
      <c r="Z1783" s="0" t="str">
        <f aca="false">IF($T1783="","",IFERROR(INDEX('Resumo Grupos'!$AC$3:$AC$200,MATCH($T1783,'Resumo Grupos'!$AB$3:$AB$200,0)),"n/d"))</f>
        <v>Mercadoria</v>
      </c>
      <c r="AA1783" s="0" t="str">
        <f aca="false">IF($T1783="","",IF(COUNTIF('Resumo Grupos'!$AE$3:$AE$40,$T1783)&gt;0,"NAO","SIM"))</f>
        <v>SIM</v>
      </c>
      <c r="AB1783" s="0" t="str">
        <f aca="false">IFERROR(INDEX('Mov Entradas (Rel 10497)'!$L:$L,MATCH(AC1783,'Mov Entradas (Rel 10497)'!$I:$I,0)),"nao encontrado")</f>
        <v>BOLO BLOOM 600G</v>
      </c>
      <c r="AC1783" s="0" t="n">
        <v>633</v>
      </c>
    </row>
    <row r="1784" customFormat="false" ht="12.75" hidden="false" customHeight="true" outlineLevel="0" collapsed="false">
      <c r="A1784" s="13" t="n">
        <v>2</v>
      </c>
      <c r="B1784" s="14" t="n">
        <v>46268</v>
      </c>
      <c r="C1784" s="14" t="n">
        <v>46268</v>
      </c>
      <c r="D1784" s="13" t="n">
        <v>10018</v>
      </c>
      <c r="E1784" s="0" t="s">
        <v>216</v>
      </c>
      <c r="F1784" s="13" t="n">
        <v>34</v>
      </c>
      <c r="G1784" s="0" t="s">
        <v>55</v>
      </c>
      <c r="H1784" s="13" t="n">
        <v>2110405</v>
      </c>
      <c r="I1784" s="0" t="s">
        <v>56</v>
      </c>
      <c r="J1784" s="13" t="n">
        <v>1647397</v>
      </c>
      <c r="L1784" s="13" t="n">
        <v>226222</v>
      </c>
      <c r="M1784" s="0" t="s">
        <v>52</v>
      </c>
      <c r="N1784" s="0" t="s">
        <v>45</v>
      </c>
      <c r="P1784" s="13" t="n">
        <v>113</v>
      </c>
      <c r="Q1784" s="0" t="s">
        <v>46</v>
      </c>
      <c r="R1784" s="0" t="s">
        <v>47</v>
      </c>
      <c r="S1784" s="13" t="n">
        <v>1130101</v>
      </c>
      <c r="T1784" s="0" t="s">
        <v>48</v>
      </c>
      <c r="U1784" s="15" t="n">
        <v>895</v>
      </c>
      <c r="W1784" s="15" t="n">
        <v>895</v>
      </c>
      <c r="X1784" s="0" t="s">
        <v>1576</v>
      </c>
      <c r="Z1784" s="0" t="str">
        <f aca="false">IF($T1784="","",IFERROR(INDEX('Resumo Grupos'!$AC$3:$AC$200,MATCH($T1784,'Resumo Grupos'!$AB$3:$AB$200,0)),"n/d"))</f>
        <v>Mercadoria</v>
      </c>
      <c r="AA1784" s="0" t="str">
        <f aca="false">IF($T1784="","",IF(COUNTIF('Resumo Grupos'!$AE$3:$AE$40,$T1784)&gt;0,"NAO","SIM"))</f>
        <v>SIM</v>
      </c>
      <c r="AB1784" s="0" t="str">
        <f aca="false">IFERROR(INDEX('Mov Entradas (Rel 10497)'!$L:$L,MATCH(AC1784,'Mov Entradas (Rel 10497)'!$I:$I,0)),"nao encontrado")</f>
        <v>OVOS BRANCO UNID</v>
      </c>
      <c r="AC1784" s="0" t="n">
        <v>374</v>
      </c>
    </row>
    <row r="1785" customFormat="false" ht="12.75" hidden="false" customHeight="true" outlineLevel="0" collapsed="false">
      <c r="A1785" s="13" t="n">
        <v>2</v>
      </c>
      <c r="B1785" s="14" t="n">
        <v>46248</v>
      </c>
      <c r="C1785" s="14" t="n">
        <v>46268</v>
      </c>
      <c r="D1785" s="13" t="n">
        <v>1720</v>
      </c>
      <c r="E1785" s="0" t="s">
        <v>842</v>
      </c>
      <c r="F1785" s="13" t="n">
        <v>24</v>
      </c>
      <c r="G1785" s="0" t="s">
        <v>51</v>
      </c>
      <c r="H1785" s="13" t="n">
        <v>2110405</v>
      </c>
      <c r="I1785" s="0" t="s">
        <v>56</v>
      </c>
      <c r="J1785" s="13" t="n">
        <v>1545774</v>
      </c>
      <c r="L1785" s="13" t="n">
        <v>211087</v>
      </c>
      <c r="M1785" s="0" t="s">
        <v>52</v>
      </c>
      <c r="N1785" s="0" t="s">
        <v>45</v>
      </c>
      <c r="P1785" s="13" t="n">
        <v>113</v>
      </c>
      <c r="Q1785" s="0" t="s">
        <v>46</v>
      </c>
      <c r="R1785" s="0" t="s">
        <v>47</v>
      </c>
      <c r="S1785" s="13" t="n">
        <v>1130101</v>
      </c>
      <c r="T1785" s="0" t="s">
        <v>48</v>
      </c>
      <c r="U1785" s="15" t="n">
        <v>1130.5</v>
      </c>
      <c r="W1785" s="15" t="n">
        <v>1130.5</v>
      </c>
      <c r="X1785" s="0" t="s">
        <v>1577</v>
      </c>
      <c r="Z1785" s="0" t="str">
        <f aca="false">IF($T1785="","",IFERROR(INDEX('Resumo Grupos'!$AC$3:$AC$200,MATCH($T1785,'Resumo Grupos'!$AB$3:$AB$200,0)),"n/d"))</f>
        <v>Mercadoria</v>
      </c>
      <c r="AA1785" s="0" t="str">
        <f aca="false">IF($T1785="","",IF(COUNTIF('Resumo Grupos'!$AE$3:$AE$40,$T1785)&gt;0,"NAO","SIM"))</f>
        <v>SIM</v>
      </c>
      <c r="AB1785" s="0" t="str">
        <f aca="false">IFERROR(INDEX('Mov Entradas (Rel 10497)'!$L:$L,MATCH(AC1785,'Mov Entradas (Rel 10497)'!$I:$I,0)),"nao encontrado")</f>
        <v>VELAS D'LUZ 8UN</v>
      </c>
      <c r="AC1785" s="0" t="n">
        <v>48205</v>
      </c>
    </row>
    <row r="1786" customFormat="false" ht="12.75" hidden="false" customHeight="true" outlineLevel="0" collapsed="false">
      <c r="A1786" s="13" t="n">
        <v>2</v>
      </c>
      <c r="B1786" s="14" t="n">
        <v>46263</v>
      </c>
      <c r="C1786" s="14" t="n">
        <v>46268</v>
      </c>
      <c r="D1786" s="13" t="n">
        <v>10090</v>
      </c>
      <c r="E1786" s="0" t="s">
        <v>1578</v>
      </c>
      <c r="F1786" s="13" t="n">
        <v>24</v>
      </c>
      <c r="G1786" s="0" t="s">
        <v>51</v>
      </c>
      <c r="H1786" s="13" t="n">
        <v>2110405</v>
      </c>
      <c r="I1786" s="0" t="s">
        <v>56</v>
      </c>
      <c r="J1786" s="13" t="n">
        <v>1618577</v>
      </c>
      <c r="L1786" s="13" t="n">
        <v>221971</v>
      </c>
      <c r="M1786" s="0" t="s">
        <v>52</v>
      </c>
      <c r="N1786" s="0" t="s">
        <v>45</v>
      </c>
      <c r="P1786" s="13" t="n">
        <v>113</v>
      </c>
      <c r="Q1786" s="0" t="s">
        <v>46</v>
      </c>
      <c r="R1786" s="0" t="s">
        <v>47</v>
      </c>
      <c r="S1786" s="13" t="n">
        <v>1130101</v>
      </c>
      <c r="T1786" s="0" t="s">
        <v>48</v>
      </c>
      <c r="U1786" s="15" t="n">
        <v>1012.44</v>
      </c>
      <c r="W1786" s="15" t="n">
        <v>1012.44</v>
      </c>
      <c r="X1786" s="0" t="s">
        <v>447</v>
      </c>
      <c r="Z1786" s="0" t="str">
        <f aca="false">IF($T1786="","",IFERROR(INDEX('Resumo Grupos'!$AC$3:$AC$200,MATCH($T1786,'Resumo Grupos'!$AB$3:$AB$200,0)),"n/d"))</f>
        <v>Mercadoria</v>
      </c>
      <c r="AA1786" s="0" t="str">
        <f aca="false">IF($T1786="","",IF(COUNTIF('Resumo Grupos'!$AE$3:$AE$40,$T1786)&gt;0,"NAO","SIM"))</f>
        <v>SIM</v>
      </c>
      <c r="AB1786" s="0" t="str">
        <f aca="false">IFERROR(INDEX('Mov Entradas (Rel 10497)'!$L:$L,MATCH(AC1786,'Mov Entradas (Rel 10497)'!$I:$I,0)),"nao encontrado")</f>
        <v>OVOS BRANCO UNID</v>
      </c>
      <c r="AC1786" s="0" t="n">
        <v>299</v>
      </c>
    </row>
    <row r="1787" customFormat="false" ht="12.75" hidden="false" customHeight="true" outlineLevel="0" collapsed="false">
      <c r="A1787" s="13" t="n">
        <v>2</v>
      </c>
      <c r="B1787" s="14" t="n">
        <v>46262</v>
      </c>
      <c r="C1787" s="14" t="n">
        <v>46268</v>
      </c>
      <c r="D1787" s="13" t="n">
        <v>1695</v>
      </c>
      <c r="E1787" s="0" t="s">
        <v>390</v>
      </c>
      <c r="F1787" s="13" t="n">
        <v>24</v>
      </c>
      <c r="G1787" s="0" t="s">
        <v>51</v>
      </c>
      <c r="H1787" s="13" t="n">
        <v>2110405</v>
      </c>
      <c r="I1787" s="0" t="s">
        <v>56</v>
      </c>
      <c r="J1787" s="13" t="n">
        <v>1613791</v>
      </c>
      <c r="L1787" s="13" t="n">
        <v>221285</v>
      </c>
      <c r="M1787" s="0" t="s">
        <v>52</v>
      </c>
      <c r="N1787" s="0" t="s">
        <v>45</v>
      </c>
      <c r="P1787" s="13" t="n">
        <v>113</v>
      </c>
      <c r="Q1787" s="0" t="s">
        <v>46</v>
      </c>
      <c r="R1787" s="0" t="s">
        <v>47</v>
      </c>
      <c r="S1787" s="13" t="n">
        <v>1130101</v>
      </c>
      <c r="T1787" s="0" t="s">
        <v>48</v>
      </c>
      <c r="U1787" s="15" t="n">
        <v>1063.84</v>
      </c>
      <c r="W1787" s="15" t="n">
        <v>1063.84</v>
      </c>
      <c r="X1787" s="0" t="s">
        <v>1579</v>
      </c>
      <c r="Z1787" s="0" t="str">
        <f aca="false">IF($T1787="","",IFERROR(INDEX('Resumo Grupos'!$AC$3:$AC$200,MATCH($T1787,'Resumo Grupos'!$AB$3:$AB$200,0)),"n/d"))</f>
        <v>Mercadoria</v>
      </c>
      <c r="AA1787" s="0" t="str">
        <f aca="false">IF($T1787="","",IF(COUNTIF('Resumo Grupos'!$AE$3:$AE$40,$T1787)&gt;0,"NAO","SIM"))</f>
        <v>SIM</v>
      </c>
      <c r="AB1787" s="0" t="str">
        <f aca="false">IFERROR(INDEX('Mov Entradas (Rel 10497)'!$L:$L,MATCH(AC1787,'Mov Entradas (Rel 10497)'!$I:$I,0)),"nao encontrado")</f>
        <v>CAFE KIMINO 250G</v>
      </c>
      <c r="AC1787" s="0" t="n">
        <v>20104</v>
      </c>
    </row>
    <row r="1788" customFormat="false" ht="12.75" hidden="false" customHeight="true" outlineLevel="0" collapsed="false">
      <c r="A1788" s="13" t="n">
        <v>2</v>
      </c>
      <c r="B1788" s="14" t="n">
        <v>46262</v>
      </c>
      <c r="C1788" s="14" t="n">
        <v>46268</v>
      </c>
      <c r="D1788" s="13" t="n">
        <v>1695</v>
      </c>
      <c r="E1788" s="0" t="s">
        <v>390</v>
      </c>
      <c r="F1788" s="13" t="n">
        <v>34</v>
      </c>
      <c r="G1788" s="0" t="s">
        <v>55</v>
      </c>
      <c r="H1788" s="13" t="n">
        <v>2110405</v>
      </c>
      <c r="I1788" s="0" t="s">
        <v>56</v>
      </c>
      <c r="J1788" s="13" t="n">
        <v>1614920</v>
      </c>
      <c r="L1788" s="13" t="n">
        <v>221517</v>
      </c>
      <c r="M1788" s="0" t="s">
        <v>52</v>
      </c>
      <c r="N1788" s="0" t="s">
        <v>45</v>
      </c>
      <c r="P1788" s="13" t="n">
        <v>113</v>
      </c>
      <c r="Q1788" s="0" t="s">
        <v>46</v>
      </c>
      <c r="R1788" s="0" t="s">
        <v>47</v>
      </c>
      <c r="S1788" s="13" t="n">
        <v>1130101</v>
      </c>
      <c r="T1788" s="0" t="s">
        <v>48</v>
      </c>
      <c r="U1788" s="15" t="n">
        <v>1150.13</v>
      </c>
      <c r="W1788" s="15" t="n">
        <v>1150.13</v>
      </c>
      <c r="X1788" s="0" t="s">
        <v>1580</v>
      </c>
      <c r="Z1788" s="0" t="str">
        <f aca="false">IF($T1788="","",IFERROR(INDEX('Resumo Grupos'!$AC$3:$AC$200,MATCH($T1788,'Resumo Grupos'!$AB$3:$AB$200,0)),"n/d"))</f>
        <v>Mercadoria</v>
      </c>
      <c r="AA1788" s="0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3" t="n">
        <v>2</v>
      </c>
      <c r="B1789" s="14" t="n">
        <v>46241</v>
      </c>
      <c r="C1789" s="14" t="n">
        <v>46268</v>
      </c>
      <c r="D1789" s="13" t="n">
        <v>1705</v>
      </c>
      <c r="E1789" s="0" t="s">
        <v>130</v>
      </c>
      <c r="F1789" s="13" t="n">
        <v>24</v>
      </c>
      <c r="G1789" s="0" t="s">
        <v>51</v>
      </c>
      <c r="H1789" s="13" t="n">
        <v>2110405</v>
      </c>
      <c r="I1789" s="0" t="s">
        <v>56</v>
      </c>
      <c r="J1789" s="13" t="n">
        <v>1514117</v>
      </c>
      <c r="L1789" s="13" t="n">
        <v>205956</v>
      </c>
      <c r="M1789" s="0" t="s">
        <v>52</v>
      </c>
      <c r="N1789" s="0" t="s">
        <v>45</v>
      </c>
      <c r="P1789" s="13" t="n">
        <v>113</v>
      </c>
      <c r="Q1789" s="0" t="s">
        <v>46</v>
      </c>
      <c r="R1789" s="0" t="s">
        <v>47</v>
      </c>
      <c r="S1789" s="13" t="n">
        <v>1130101</v>
      </c>
      <c r="T1789" s="0" t="s">
        <v>48</v>
      </c>
      <c r="U1789" s="15" t="n">
        <v>77.62</v>
      </c>
      <c r="W1789" s="15" t="n">
        <v>77.62</v>
      </c>
      <c r="X1789" s="0" t="s">
        <v>1581</v>
      </c>
      <c r="Z1789" s="0" t="str">
        <f aca="false">IF($T1789="","",IFERROR(INDEX('Resumo Grupos'!$AC$3:$AC$200,MATCH($T1789,'Resumo Grupos'!$AB$3:$AB$200,0)),"n/d"))</f>
        <v>Mercadoria</v>
      </c>
      <c r="AA1789" s="0" t="str">
        <f aca="false">IF($T1789="","",IF(COUNTIF('Resumo Grupos'!$AE$3:$AE$40,$T1789)&gt;0,"NAO","SIM"))</f>
        <v>SIM</v>
      </c>
      <c r="AB1789" s="0" t="str">
        <f aca="false">IFERROR(INDEX('Mov Entradas (Rel 10497)'!$L:$L,MATCH(AC1789,'Mov Entradas (Rel 10497)'!$I:$I,0)),"nao encontrado")</f>
        <v>nao encontrado</v>
      </c>
      <c r="AC1789" s="0" t="n">
        <v>1236492</v>
      </c>
    </row>
    <row r="1790" customFormat="false" ht="12.75" hidden="false" customHeight="true" outlineLevel="0" collapsed="false">
      <c r="A1790" s="13" t="n">
        <v>2</v>
      </c>
      <c r="B1790" s="14" t="n">
        <v>46247</v>
      </c>
      <c r="C1790" s="14" t="n">
        <v>46268</v>
      </c>
      <c r="D1790" s="13" t="n">
        <v>1608</v>
      </c>
      <c r="E1790" s="0" t="s">
        <v>240</v>
      </c>
      <c r="F1790" s="13" t="n">
        <v>24</v>
      </c>
      <c r="G1790" s="0" t="s">
        <v>51</v>
      </c>
      <c r="H1790" s="13" t="n">
        <v>2110405</v>
      </c>
      <c r="I1790" s="0" t="s">
        <v>56</v>
      </c>
      <c r="J1790" s="13" t="n">
        <v>1540762</v>
      </c>
      <c r="L1790" s="13" t="n">
        <v>210179</v>
      </c>
      <c r="M1790" s="0" t="s">
        <v>52</v>
      </c>
      <c r="N1790" s="0" t="s">
        <v>45</v>
      </c>
      <c r="P1790" s="13" t="n">
        <v>113</v>
      </c>
      <c r="Q1790" s="0" t="s">
        <v>46</v>
      </c>
      <c r="R1790" s="0" t="s">
        <v>47</v>
      </c>
      <c r="S1790" s="13" t="n">
        <v>1130101</v>
      </c>
      <c r="T1790" s="0" t="s">
        <v>48</v>
      </c>
      <c r="U1790" s="15" t="n">
        <v>692.26</v>
      </c>
      <c r="W1790" s="15" t="n">
        <v>692.26</v>
      </c>
      <c r="X1790" s="0" t="s">
        <v>1461</v>
      </c>
      <c r="Z1790" s="0" t="str">
        <f aca="false">IF($T1790="","",IFERROR(INDEX('Resumo Grupos'!$AC$3:$AC$200,MATCH($T1790,'Resumo Grupos'!$AB$3:$AB$200,0)),"n/d"))</f>
        <v>Mercadoria</v>
      </c>
      <c r="AA1790" s="0" t="str">
        <f aca="false">IF($T1790="","",IF(COUNTIF('Resumo Grupos'!$AE$3:$AE$40,$T1790)&gt;0,"NAO","SIM"))</f>
        <v>SIM</v>
      </c>
      <c r="AB1790" s="0" t="str">
        <f aca="false">IFERROR(INDEX('Mov Entradas (Rel 10497)'!$L:$L,MATCH(AC1790,'Mov Entradas (Rel 10497)'!$I:$I,0)),"nao encontrado")</f>
        <v>SAZON CALDO CARNE 32</v>
      </c>
      <c r="AC1790" s="0" t="n">
        <v>1710665</v>
      </c>
    </row>
    <row r="1791" customFormat="false" ht="12.75" hidden="false" customHeight="true" outlineLevel="0" collapsed="false">
      <c r="A1791" s="13" t="n">
        <v>2</v>
      </c>
      <c r="B1791" s="14" t="n">
        <v>46261</v>
      </c>
      <c r="C1791" s="14" t="n">
        <v>46268</v>
      </c>
      <c r="D1791" s="13" t="n">
        <v>1608</v>
      </c>
      <c r="E1791" s="0" t="s">
        <v>240</v>
      </c>
      <c r="F1791" s="13" t="n">
        <v>24</v>
      </c>
      <c r="G1791" s="0" t="s">
        <v>51</v>
      </c>
      <c r="H1791" s="13" t="n">
        <v>2110405</v>
      </c>
      <c r="I1791" s="0" t="s">
        <v>56</v>
      </c>
      <c r="J1791" s="13" t="n">
        <v>1608534</v>
      </c>
      <c r="L1791" s="13" t="n">
        <v>220365</v>
      </c>
      <c r="M1791" s="0" t="s">
        <v>52</v>
      </c>
      <c r="N1791" s="0" t="s">
        <v>45</v>
      </c>
      <c r="P1791" s="13" t="n">
        <v>113</v>
      </c>
      <c r="Q1791" s="0" t="s">
        <v>46</v>
      </c>
      <c r="R1791" s="0" t="s">
        <v>47</v>
      </c>
      <c r="S1791" s="13" t="n">
        <v>1130101</v>
      </c>
      <c r="T1791" s="0" t="s">
        <v>48</v>
      </c>
      <c r="U1791" s="15" t="n">
        <v>774.74</v>
      </c>
      <c r="W1791" s="15" t="n">
        <v>774.74</v>
      </c>
      <c r="X1791" s="0" t="s">
        <v>1582</v>
      </c>
      <c r="Z1791" s="0" t="str">
        <f aca="false">IF($T1791="","",IFERROR(INDEX('Resumo Grupos'!$AC$3:$AC$200,MATCH($T1791,'Resumo Grupos'!$AB$3:$AB$200,0)),"n/d"))</f>
        <v>Mercadoria</v>
      </c>
      <c r="AA1791" s="0" t="str">
        <f aca="false">IF($T1791="","",IF(COUNTIF('Resumo Grupos'!$AE$3:$AE$40,$T1791)&gt;0,"NAO","SIM"))</f>
        <v>SIM</v>
      </c>
      <c r="AB1791" s="0" t="str">
        <f aca="false">IFERROR(INDEX('Mov Entradas (Rel 10497)'!$L:$L,MATCH(AC1791,'Mov Entradas (Rel 10497)'!$I:$I,0)),"nao encontrado")</f>
        <v>DANONE GREGO UNID FR</v>
      </c>
      <c r="AC1791" s="0" t="n">
        <v>1719576</v>
      </c>
    </row>
    <row r="1792" customFormat="false" ht="12.75" hidden="false" customHeight="true" outlineLevel="0" collapsed="false">
      <c r="A1792" s="13" t="n">
        <v>2</v>
      </c>
      <c r="B1792" s="14" t="n">
        <v>46241</v>
      </c>
      <c r="C1792" s="14" t="n">
        <v>46268</v>
      </c>
      <c r="D1792" s="13" t="n">
        <v>794</v>
      </c>
      <c r="E1792" s="0" t="s">
        <v>335</v>
      </c>
      <c r="F1792" s="13" t="n">
        <v>24</v>
      </c>
      <c r="G1792" s="0" t="s">
        <v>51</v>
      </c>
      <c r="H1792" s="13" t="n">
        <v>2110405</v>
      </c>
      <c r="I1792" s="0" t="s">
        <v>56</v>
      </c>
      <c r="J1792" s="13" t="n">
        <v>1514442</v>
      </c>
      <c r="L1792" s="13" t="n">
        <v>206014</v>
      </c>
      <c r="M1792" s="0" t="s">
        <v>52</v>
      </c>
      <c r="N1792" s="0" t="s">
        <v>45</v>
      </c>
      <c r="P1792" s="13" t="n">
        <v>113</v>
      </c>
      <c r="Q1792" s="0" t="s">
        <v>46</v>
      </c>
      <c r="R1792" s="0" t="s">
        <v>39</v>
      </c>
      <c r="S1792" s="13" t="n">
        <v>4210299</v>
      </c>
      <c r="T1792" s="0" t="s">
        <v>165</v>
      </c>
      <c r="U1792" s="15" t="n">
        <v>520.46</v>
      </c>
      <c r="W1792" s="15" t="n">
        <v>520.46</v>
      </c>
      <c r="X1792" s="0" t="s">
        <v>1377</v>
      </c>
      <c r="Z1792" s="0" t="str">
        <f aca="false">IF($T1792="","",IFERROR(INDEX('Resumo Grupos'!$AC$3:$AC$200,MATCH($T1792,'Resumo Grupos'!$AB$3:$AB$200,0)),"n/d"))</f>
        <v>Despesa</v>
      </c>
      <c r="AA1792" s="0" t="str">
        <f aca="false">IF($T1792="","",IF(COUNTIF('Resumo Grupos'!$AE$3:$AE$40,$T1792)&gt;0,"NAO","SIM"))</f>
        <v>SIM</v>
      </c>
      <c r="AB1792" s="0" t="str">
        <f aca="false">IFERROR(INDEX('Mov Entradas (Rel 10497)'!$L:$L,MATCH(AC1792,'Mov Entradas (Rel 10497)'!$I:$I,0)),"nao encontrado")</f>
        <v>SACOLA BRC. L. ALIP.</v>
      </c>
      <c r="AC1792" s="0" t="n">
        <v>8583</v>
      </c>
    </row>
    <row r="1793" customFormat="false" ht="12.75" hidden="false" customHeight="true" outlineLevel="0" collapsed="false">
      <c r="A1793" s="13" t="n">
        <v>2</v>
      </c>
      <c r="B1793" s="14" t="n">
        <v>46247</v>
      </c>
      <c r="C1793" s="14" t="n">
        <v>46268</v>
      </c>
      <c r="D1793" s="13" t="n">
        <v>1667</v>
      </c>
      <c r="E1793" s="0" t="s">
        <v>77</v>
      </c>
      <c r="F1793" s="13" t="n">
        <v>24</v>
      </c>
      <c r="G1793" s="0" t="s">
        <v>51</v>
      </c>
      <c r="H1793" s="13" t="n">
        <v>2110405</v>
      </c>
      <c r="I1793" s="0" t="s">
        <v>56</v>
      </c>
      <c r="J1793" s="13" t="n">
        <v>1540925</v>
      </c>
      <c r="L1793" s="13" t="n">
        <v>210243</v>
      </c>
      <c r="M1793" s="0" t="s">
        <v>52</v>
      </c>
      <c r="N1793" s="0" t="s">
        <v>45</v>
      </c>
      <c r="P1793" s="13" t="n">
        <v>113</v>
      </c>
      <c r="Q1793" s="0" t="s">
        <v>46</v>
      </c>
      <c r="R1793" s="0" t="s">
        <v>47</v>
      </c>
      <c r="S1793" s="13" t="n">
        <v>1130101</v>
      </c>
      <c r="T1793" s="0" t="s">
        <v>48</v>
      </c>
      <c r="U1793" s="15" t="n">
        <v>668.78</v>
      </c>
      <c r="W1793" s="15" t="n">
        <v>668.78</v>
      </c>
      <c r="X1793" s="0" t="s">
        <v>1462</v>
      </c>
      <c r="Z1793" s="0" t="str">
        <f aca="false">IF($T1793="","",IFERROR(INDEX('Resumo Grupos'!$AC$3:$AC$200,MATCH($T1793,'Resumo Grupos'!$AB$3:$AB$200,0)),"n/d"))</f>
        <v>Mercadoria</v>
      </c>
      <c r="AA1793" s="0" t="str">
        <f aca="false">IF($T1793="","",IF(COUNTIF('Resumo Grupos'!$AE$3:$AE$40,$T1793)&gt;0,"NAO","SIM"))</f>
        <v>SIM</v>
      </c>
      <c r="AB1793" s="0" t="str">
        <f aca="false">IFERROR(INDEX('Mov Entradas (Rel 10497)'!$L:$L,MATCH(AC1793,'Mov Entradas (Rel 10497)'!$I:$I,0)),"nao encontrado")</f>
        <v>MINGAU DE ARROZ ALLNUTRI 230G</v>
      </c>
      <c r="AC1793" s="0" t="n">
        <v>398227</v>
      </c>
    </row>
    <row r="1794" customFormat="false" ht="12.75" hidden="false" customHeight="true" outlineLevel="0" collapsed="false">
      <c r="A1794" s="13" t="n">
        <v>2</v>
      </c>
      <c r="B1794" s="14" t="n">
        <v>46255</v>
      </c>
      <c r="C1794" s="14" t="n">
        <v>46268</v>
      </c>
      <c r="D1794" s="13" t="n">
        <v>1681</v>
      </c>
      <c r="E1794" s="0" t="s">
        <v>1583</v>
      </c>
      <c r="F1794" s="13" t="n">
        <v>24</v>
      </c>
      <c r="G1794" s="0" t="s">
        <v>51</v>
      </c>
      <c r="H1794" s="13" t="n">
        <v>2110405</v>
      </c>
      <c r="I1794" s="0" t="s">
        <v>56</v>
      </c>
      <c r="J1794" s="13" t="n">
        <v>1581162</v>
      </c>
      <c r="L1794" s="13" t="n">
        <v>216304</v>
      </c>
      <c r="M1794" s="0" t="s">
        <v>52</v>
      </c>
      <c r="N1794" s="0" t="s">
        <v>45</v>
      </c>
      <c r="P1794" s="13" t="n">
        <v>113</v>
      </c>
      <c r="Q1794" s="0" t="s">
        <v>46</v>
      </c>
      <c r="R1794" s="0" t="s">
        <v>47</v>
      </c>
      <c r="S1794" s="13" t="n">
        <v>1130101</v>
      </c>
      <c r="T1794" s="0" t="s">
        <v>48</v>
      </c>
      <c r="U1794" s="15" t="n">
        <v>2055.66</v>
      </c>
      <c r="W1794" s="15" t="n">
        <v>2055.66</v>
      </c>
      <c r="X1794" s="0" t="s">
        <v>1584</v>
      </c>
      <c r="Z1794" s="0" t="str">
        <f aca="false">IF($T1794="","",IFERROR(INDEX('Resumo Grupos'!$AC$3:$AC$200,MATCH($T1794,'Resumo Grupos'!$AB$3:$AB$200,0)),"n/d"))</f>
        <v>Mercadoria</v>
      </c>
      <c r="AA1794" s="0" t="str">
        <f aca="false">IF($T1794="","",IF(COUNTIF('Resumo Grupos'!$AE$3:$AE$40,$T1794)&gt;0,"NAO","SIM"))</f>
        <v>SIM</v>
      </c>
      <c r="AB1794" s="0" t="str">
        <f aca="false">IFERROR(INDEX('Mov Entradas (Rel 10497)'!$L:$L,MATCH(AC1794,'Mov Entradas (Rel 10497)'!$I:$I,0)),"nao encontrado")</f>
        <v>AM MILHO MAIZENA 500</v>
      </c>
      <c r="AC1794" s="0" t="n">
        <v>39521</v>
      </c>
    </row>
    <row r="1795" customFormat="false" ht="12.75" hidden="false" customHeight="true" outlineLevel="0" collapsed="false">
      <c r="A1795" s="13" t="n">
        <v>2</v>
      </c>
      <c r="B1795" s="14" t="n">
        <v>46251</v>
      </c>
      <c r="C1795" s="14" t="n">
        <v>46268</v>
      </c>
      <c r="D1795" s="13" t="n">
        <v>1657</v>
      </c>
      <c r="E1795" s="0" t="s">
        <v>1585</v>
      </c>
      <c r="F1795" s="13" t="n">
        <v>24</v>
      </c>
      <c r="G1795" s="0" t="s">
        <v>51</v>
      </c>
      <c r="H1795" s="13" t="n">
        <v>2110405</v>
      </c>
      <c r="I1795" s="0" t="s">
        <v>56</v>
      </c>
      <c r="J1795" s="13" t="n">
        <v>1562800</v>
      </c>
      <c r="L1795" s="13" t="n">
        <v>213295</v>
      </c>
      <c r="M1795" s="0" t="s">
        <v>52</v>
      </c>
      <c r="N1795" s="0" t="s">
        <v>45</v>
      </c>
      <c r="P1795" s="13" t="n">
        <v>113</v>
      </c>
      <c r="Q1795" s="0" t="s">
        <v>46</v>
      </c>
      <c r="R1795" s="0" t="s">
        <v>47</v>
      </c>
      <c r="S1795" s="13" t="n">
        <v>1130101</v>
      </c>
      <c r="T1795" s="0" t="s">
        <v>48</v>
      </c>
      <c r="U1795" s="15" t="n">
        <v>1120.76</v>
      </c>
      <c r="W1795" s="15" t="n">
        <v>1120.76</v>
      </c>
      <c r="X1795" s="0" t="s">
        <v>1586</v>
      </c>
      <c r="Z1795" s="0" t="str">
        <f aca="false">IF($T1795="","",IFERROR(INDEX('Resumo Grupos'!$AC$3:$AC$200,MATCH($T1795,'Resumo Grupos'!$AB$3:$AB$200,0)),"n/d"))</f>
        <v>Mercadoria</v>
      </c>
      <c r="AA1795" s="0" t="str">
        <f aca="false">IF($T1795="","",IF(COUNTIF('Resumo Grupos'!$AE$3:$AE$40,$T1795)&gt;0,"NAO","SIM"))</f>
        <v>SIM</v>
      </c>
      <c r="AB1795" s="0" t="str">
        <f aca="false">IFERROR(INDEX('Mov Entradas (Rel 10497)'!$L:$L,MATCH(AC1795,'Mov Entradas (Rel 10497)'!$I:$I,0)),"nao encontrado")</f>
        <v>LEIT COCO MENINA 500</v>
      </c>
      <c r="AC1795" s="0" t="n">
        <v>297321</v>
      </c>
    </row>
    <row r="1796" customFormat="false" ht="12.75" hidden="false" customHeight="true" outlineLevel="0" collapsed="false">
      <c r="A1796" s="13" t="n">
        <v>2</v>
      </c>
      <c r="B1796" s="14" t="n">
        <v>46265</v>
      </c>
      <c r="C1796" s="14" t="n">
        <v>46268</v>
      </c>
      <c r="D1796" s="13" t="n">
        <v>1899</v>
      </c>
      <c r="E1796" s="0" t="s">
        <v>204</v>
      </c>
      <c r="F1796" s="13" t="n">
        <v>24</v>
      </c>
      <c r="G1796" s="0" t="s">
        <v>51</v>
      </c>
      <c r="H1796" s="13" t="n">
        <v>2110405</v>
      </c>
      <c r="I1796" s="0" t="s">
        <v>56</v>
      </c>
      <c r="J1796" s="13" t="n">
        <v>1628827</v>
      </c>
      <c r="L1796" s="13" t="n">
        <v>223363</v>
      </c>
      <c r="M1796" s="0" t="s">
        <v>52</v>
      </c>
      <c r="N1796" s="0" t="s">
        <v>45</v>
      </c>
      <c r="P1796" s="13" t="n">
        <v>113</v>
      </c>
      <c r="Q1796" s="0" t="s">
        <v>46</v>
      </c>
      <c r="R1796" s="0" t="s">
        <v>47</v>
      </c>
      <c r="S1796" s="13" t="n">
        <v>1130101</v>
      </c>
      <c r="T1796" s="0" t="s">
        <v>48</v>
      </c>
      <c r="U1796" s="15" t="n">
        <v>180.22</v>
      </c>
      <c r="W1796" s="15" t="n">
        <v>180.22</v>
      </c>
      <c r="X1796" s="0" t="s">
        <v>1587</v>
      </c>
      <c r="Z1796" s="0" t="str">
        <f aca="false">IF($T1796="","",IFERROR(INDEX('Resumo Grupos'!$AC$3:$AC$200,MATCH($T1796,'Resumo Grupos'!$AB$3:$AB$200,0)),"n/d"))</f>
        <v>Mercadoria</v>
      </c>
      <c r="AA1796" s="0" t="str">
        <f aca="false">IF($T1796="","",IF(COUNTIF('Resumo Grupos'!$AE$3:$AE$40,$T1796)&gt;0,"NAO","SIM"))</f>
        <v>SIM</v>
      </c>
      <c r="AB1796" s="0" t="str">
        <f aca="false">IFERROR(INDEX('Mov Entradas (Rel 10497)'!$L:$L,MATCH(AC1796,'Mov Entradas (Rel 10497)'!$I:$I,0)),"nao encontrado")</f>
        <v>PAO DE FORMA REAL MA</v>
      </c>
      <c r="AC1796" s="0" t="n">
        <v>780</v>
      </c>
    </row>
    <row r="1797" customFormat="false" ht="12.75" hidden="false" customHeight="true" outlineLevel="0" collapsed="false">
      <c r="A1797" s="13" t="n">
        <v>2</v>
      </c>
      <c r="B1797" s="14" t="n">
        <v>46268</v>
      </c>
      <c r="C1797" s="14" t="n">
        <v>46268</v>
      </c>
      <c r="D1797" s="13" t="n">
        <v>0</v>
      </c>
      <c r="E1797" s="0" t="s">
        <v>109</v>
      </c>
      <c r="F1797" s="13" t="n">
        <v>17</v>
      </c>
      <c r="G1797" s="0" t="s">
        <v>110</v>
      </c>
      <c r="H1797" s="13" t="n">
        <v>1110101</v>
      </c>
      <c r="I1797" s="0" t="s">
        <v>111</v>
      </c>
      <c r="J1797" s="13" t="n">
        <v>1652734</v>
      </c>
      <c r="L1797" s="13" t="n">
        <v>1652734</v>
      </c>
      <c r="M1797" s="0" t="s">
        <v>52</v>
      </c>
      <c r="N1797" s="0" t="s">
        <v>112</v>
      </c>
      <c r="P1797" s="13" t="n">
        <v>113</v>
      </c>
      <c r="Q1797" s="0" t="s">
        <v>46</v>
      </c>
      <c r="R1797" s="0" t="s">
        <v>71</v>
      </c>
      <c r="S1797" s="13" t="n">
        <v>4210314</v>
      </c>
      <c r="T1797" s="0" t="s">
        <v>113</v>
      </c>
      <c r="U1797" s="15" t="n">
        <v>50</v>
      </c>
      <c r="W1797" s="15" t="n">
        <v>50</v>
      </c>
      <c r="X1797" s="0" t="s">
        <v>368</v>
      </c>
      <c r="Z1797" s="0" t="str">
        <f aca="false">IF($T1797="","",IFERROR(INDEX('Resumo Grupos'!$AC$3:$AC$200,MATCH($T1797,'Resumo Grupos'!$AB$3:$AB$200,0)),"n/d"))</f>
        <v>Despesa</v>
      </c>
      <c r="AA1797" s="0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3" t="n">
        <v>2</v>
      </c>
      <c r="B1798" s="14" t="n">
        <v>46268</v>
      </c>
      <c r="C1798" s="14" t="n">
        <v>46268</v>
      </c>
      <c r="D1798" s="13" t="n">
        <v>0</v>
      </c>
      <c r="E1798" s="0" t="s">
        <v>109</v>
      </c>
      <c r="F1798" s="13" t="n">
        <v>17</v>
      </c>
      <c r="G1798" s="0" t="s">
        <v>110</v>
      </c>
      <c r="H1798" s="13" t="n">
        <v>1110101</v>
      </c>
      <c r="I1798" s="0" t="s">
        <v>111</v>
      </c>
      <c r="J1798" s="13" t="n">
        <v>1652736</v>
      </c>
      <c r="L1798" s="13" t="n">
        <v>1652736</v>
      </c>
      <c r="M1798" s="0" t="s">
        <v>52</v>
      </c>
      <c r="N1798" s="0" t="s">
        <v>112</v>
      </c>
      <c r="P1798" s="13" t="n">
        <v>113</v>
      </c>
      <c r="Q1798" s="0" t="s">
        <v>46</v>
      </c>
      <c r="R1798" s="0" t="s">
        <v>39</v>
      </c>
      <c r="S1798" s="13" t="n">
        <v>4210227</v>
      </c>
      <c r="T1798" s="0" t="s">
        <v>68</v>
      </c>
      <c r="U1798" s="15" t="n">
        <v>24</v>
      </c>
      <c r="W1798" s="15" t="n">
        <v>24</v>
      </c>
      <c r="X1798" s="0" t="s">
        <v>1588</v>
      </c>
      <c r="Z1798" s="0" t="str">
        <f aca="false">IF($T1798="","",IFERROR(INDEX('Resumo Grupos'!$AC$3:$AC$200,MATCH($T1798,'Resumo Grupos'!$AB$3:$AB$200,0)),"n/d"))</f>
        <v>Despesa</v>
      </c>
      <c r="AA1798" s="0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3" t="n">
        <v>2</v>
      </c>
      <c r="B1799" s="14" t="n">
        <v>46268</v>
      </c>
      <c r="C1799" s="14" t="n">
        <v>46268</v>
      </c>
      <c r="D1799" s="13" t="n">
        <v>0</v>
      </c>
      <c r="E1799" s="0" t="s">
        <v>109</v>
      </c>
      <c r="F1799" s="13" t="n">
        <v>17</v>
      </c>
      <c r="G1799" s="0" t="s">
        <v>110</v>
      </c>
      <c r="H1799" s="13" t="n">
        <v>1110101</v>
      </c>
      <c r="I1799" s="0" t="s">
        <v>111</v>
      </c>
      <c r="J1799" s="13" t="n">
        <v>1652737</v>
      </c>
      <c r="L1799" s="13" t="n">
        <v>1652737</v>
      </c>
      <c r="M1799" s="0" t="s">
        <v>52</v>
      </c>
      <c r="N1799" s="0" t="s">
        <v>112</v>
      </c>
      <c r="P1799" s="13" t="n">
        <v>113</v>
      </c>
      <c r="Q1799" s="0" t="s">
        <v>46</v>
      </c>
      <c r="R1799" s="0" t="s">
        <v>71</v>
      </c>
      <c r="S1799" s="13" t="n">
        <v>4210309</v>
      </c>
      <c r="T1799" s="0" t="s">
        <v>72</v>
      </c>
      <c r="U1799" s="15" t="n">
        <v>10</v>
      </c>
      <c r="W1799" s="15" t="n">
        <v>10</v>
      </c>
      <c r="X1799" s="0" t="s">
        <v>1552</v>
      </c>
      <c r="Z1799" s="0" t="str">
        <f aca="false">IF($T1799="","",IFERROR(INDEX('Resumo Grupos'!$AC$3:$AC$200,MATCH($T1799,'Resumo Grupos'!$AB$3:$AB$200,0)),"n/d"))</f>
        <v>Salários</v>
      </c>
      <c r="AA1799" s="0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3" t="n">
        <v>2</v>
      </c>
      <c r="B1800" s="14" t="n">
        <v>46268</v>
      </c>
      <c r="C1800" s="14" t="n">
        <v>46268</v>
      </c>
      <c r="D1800" s="13" t="n">
        <v>0</v>
      </c>
      <c r="E1800" s="0" t="s">
        <v>109</v>
      </c>
      <c r="F1800" s="13" t="n">
        <v>17</v>
      </c>
      <c r="G1800" s="0" t="s">
        <v>110</v>
      </c>
      <c r="H1800" s="13" t="n">
        <v>1110101</v>
      </c>
      <c r="I1800" s="0" t="s">
        <v>111</v>
      </c>
      <c r="J1800" s="13" t="n">
        <v>1716437</v>
      </c>
      <c r="L1800" s="13" t="n">
        <v>1716437</v>
      </c>
      <c r="M1800" s="0" t="s">
        <v>52</v>
      </c>
      <c r="N1800" s="0" t="s">
        <v>112</v>
      </c>
      <c r="P1800" s="13" t="n">
        <v>113</v>
      </c>
      <c r="Q1800" s="0" t="s">
        <v>46</v>
      </c>
      <c r="R1800" s="0" t="s">
        <v>116</v>
      </c>
      <c r="S1800" s="13" t="n">
        <v>1110203</v>
      </c>
      <c r="T1800" s="0" t="s">
        <v>117</v>
      </c>
      <c r="U1800" s="15" t="n">
        <v>2300</v>
      </c>
      <c r="W1800" s="15" t="n">
        <v>2300</v>
      </c>
      <c r="X1800" s="0" t="s">
        <v>1589</v>
      </c>
      <c r="Z1800" s="0" t="str">
        <f aca="false">IF($T1800="","",IFERROR(INDEX('Resumo Grupos'!$AC$3:$AC$200,MATCH($T1800,'Resumo Grupos'!$AB$3:$AB$200,0)),"n/d"))</f>
        <v>Despesa</v>
      </c>
      <c r="AA1800" s="0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3" t="n">
        <v>2</v>
      </c>
      <c r="B1801" s="14" t="n">
        <v>46252</v>
      </c>
      <c r="C1801" s="14" t="n">
        <v>46268</v>
      </c>
      <c r="D1801" s="13" t="n">
        <v>1671</v>
      </c>
      <c r="E1801" s="0" t="s">
        <v>119</v>
      </c>
      <c r="F1801" s="13" t="n">
        <v>24</v>
      </c>
      <c r="G1801" s="0" t="s">
        <v>51</v>
      </c>
      <c r="H1801" s="13" t="n">
        <v>2110405</v>
      </c>
      <c r="I1801" s="0" t="s">
        <v>56</v>
      </c>
      <c r="J1801" s="13" t="n">
        <v>1567131</v>
      </c>
      <c r="L1801" s="13" t="n">
        <v>213983</v>
      </c>
      <c r="M1801" s="0" t="s">
        <v>52</v>
      </c>
      <c r="N1801" s="0" t="s">
        <v>45</v>
      </c>
      <c r="P1801" s="13" t="n">
        <v>113</v>
      </c>
      <c r="Q1801" s="0" t="s">
        <v>46</v>
      </c>
      <c r="R1801" s="0" t="s">
        <v>47</v>
      </c>
      <c r="S1801" s="13" t="n">
        <v>1130101</v>
      </c>
      <c r="T1801" s="0" t="s">
        <v>48</v>
      </c>
      <c r="U1801" s="15" t="n">
        <v>795.81</v>
      </c>
      <c r="W1801" s="15" t="n">
        <v>795.81</v>
      </c>
      <c r="X1801" s="0" t="s">
        <v>1469</v>
      </c>
      <c r="Z1801" s="0" t="str">
        <f aca="false">IF($T1801="","",IFERROR(INDEX('Resumo Grupos'!$AC$3:$AC$200,MATCH($T1801,'Resumo Grupos'!$AB$3:$AB$200,0)),"n/d"))</f>
        <v>Mercadoria</v>
      </c>
      <c r="AA1801" s="0" t="str">
        <f aca="false">IF($T1801="","",IF(COUNTIF('Resumo Grupos'!$AE$3:$AE$40,$T1801)&gt;0,"NAO","SIM"))</f>
        <v>SIM</v>
      </c>
      <c r="AB1801" s="0" t="str">
        <f aca="false">IFERROR(INDEX('Mov Entradas (Rel 10497)'!$L:$L,MATCH(AC1801,'Mov Entradas (Rel 10497)'!$I:$I,0)),"nao encontrado")</f>
        <v>SAB LIQ PROTEX CREAM</v>
      </c>
      <c r="AC1801" s="0" t="n">
        <v>586415</v>
      </c>
    </row>
    <row r="1802" customFormat="false" ht="12.75" hidden="false" customHeight="true" outlineLevel="0" collapsed="false">
      <c r="A1802" s="13" t="n">
        <v>2</v>
      </c>
      <c r="B1802" s="14" t="n">
        <v>46256</v>
      </c>
      <c r="C1802" s="14" t="n">
        <v>46268</v>
      </c>
      <c r="D1802" s="13" t="n">
        <v>1745</v>
      </c>
      <c r="E1802" s="0" t="s">
        <v>189</v>
      </c>
      <c r="F1802" s="13" t="n">
        <v>24</v>
      </c>
      <c r="G1802" s="0" t="s">
        <v>51</v>
      </c>
      <c r="H1802" s="13" t="n">
        <v>2110405</v>
      </c>
      <c r="I1802" s="0" t="s">
        <v>56</v>
      </c>
      <c r="J1802" s="13" t="n">
        <v>1585070</v>
      </c>
      <c r="L1802" s="13" t="n">
        <v>216839</v>
      </c>
      <c r="M1802" s="0" t="s">
        <v>52</v>
      </c>
      <c r="N1802" s="0" t="s">
        <v>45</v>
      </c>
      <c r="P1802" s="13" t="n">
        <v>113</v>
      </c>
      <c r="Q1802" s="0" t="s">
        <v>46</v>
      </c>
      <c r="R1802" s="0" t="s">
        <v>47</v>
      </c>
      <c r="S1802" s="13" t="n">
        <v>1130101</v>
      </c>
      <c r="T1802" s="0" t="s">
        <v>48</v>
      </c>
      <c r="U1802" s="15" t="n">
        <v>182.8</v>
      </c>
      <c r="W1802" s="15" t="n">
        <v>182.8</v>
      </c>
      <c r="X1802" s="0" t="s">
        <v>1590</v>
      </c>
      <c r="Z1802" s="0" t="str">
        <f aca="false">IF($T1802="","",IFERROR(INDEX('Resumo Grupos'!$AC$3:$AC$200,MATCH($T1802,'Resumo Grupos'!$AB$3:$AB$200,0)),"n/d"))</f>
        <v>Mercadoria</v>
      </c>
      <c r="AA1802" s="0" t="str">
        <f aca="false">IF($T1802="","",IF(COUNTIF('Resumo Grupos'!$AE$3:$AE$40,$T1802)&gt;0,"NAO","SIM"))</f>
        <v>SIM</v>
      </c>
      <c r="AB1802" s="0" t="str">
        <f aca="false">IFERROR(INDEX('Mov Entradas (Rel 10497)'!$L:$L,MATCH(AC1802,'Mov Entradas (Rel 10497)'!$I:$I,0)),"nao encontrado")</f>
        <v>MILHO PIPOCA DONA CLARA 400G</v>
      </c>
      <c r="AC1802" s="0" t="n">
        <v>357892</v>
      </c>
    </row>
    <row r="1803" customFormat="false" ht="12.75" hidden="false" customHeight="true" outlineLevel="0" collapsed="false">
      <c r="A1803" s="13" t="n">
        <v>2</v>
      </c>
      <c r="B1803" s="14" t="n">
        <v>46238</v>
      </c>
      <c r="C1803" s="14" t="n">
        <v>46269</v>
      </c>
      <c r="D1803" s="13" t="n">
        <v>862</v>
      </c>
      <c r="E1803" s="0" t="s">
        <v>318</v>
      </c>
      <c r="F1803" s="13" t="n">
        <v>24</v>
      </c>
      <c r="G1803" s="0" t="s">
        <v>51</v>
      </c>
      <c r="H1803" s="13" t="n">
        <v>2110405</v>
      </c>
      <c r="I1803" s="0" t="s">
        <v>56</v>
      </c>
      <c r="J1803" s="13" t="n">
        <v>1498421</v>
      </c>
      <c r="L1803" s="13" t="n">
        <v>202608</v>
      </c>
      <c r="M1803" s="0" t="s">
        <v>44</v>
      </c>
      <c r="N1803" s="0" t="s">
        <v>45</v>
      </c>
      <c r="P1803" s="13" t="n">
        <v>101</v>
      </c>
      <c r="Q1803" s="0" t="s">
        <v>57</v>
      </c>
      <c r="R1803" s="0" t="s">
        <v>39</v>
      </c>
      <c r="S1803" s="13" t="n">
        <v>4210233</v>
      </c>
      <c r="T1803" s="0" t="s">
        <v>207</v>
      </c>
      <c r="U1803" s="15" t="n">
        <v>270.9</v>
      </c>
      <c r="W1803" s="15" t="n">
        <v>270.9</v>
      </c>
      <c r="Z1803" s="0" t="str">
        <f aca="false">IF($T1803="","",IFERROR(INDEX('Resumo Grupos'!$AC$3:$AC$200,MATCH($T1803,'Resumo Grupos'!$AB$3:$AB$200,0)),"n/d"))</f>
        <v>Despesa</v>
      </c>
      <c r="AA1803" s="0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3" t="n">
        <v>2</v>
      </c>
      <c r="B1804" s="14" t="n">
        <v>46269</v>
      </c>
      <c r="C1804" s="14" t="n">
        <v>46269</v>
      </c>
      <c r="D1804" s="13" t="n">
        <v>52</v>
      </c>
      <c r="E1804" s="0" t="s">
        <v>219</v>
      </c>
      <c r="F1804" s="13" t="n">
        <v>34</v>
      </c>
      <c r="G1804" s="0" t="s">
        <v>55</v>
      </c>
      <c r="H1804" s="13" t="n">
        <v>2110405</v>
      </c>
      <c r="I1804" s="0" t="s">
        <v>56</v>
      </c>
      <c r="J1804" s="13" t="n">
        <v>1677956</v>
      </c>
      <c r="L1804" s="13" t="n">
        <v>230195</v>
      </c>
      <c r="M1804" s="0" t="s">
        <v>52</v>
      </c>
      <c r="N1804" s="0" t="s">
        <v>45</v>
      </c>
      <c r="P1804" s="13" t="n">
        <v>113</v>
      </c>
      <c r="Q1804" s="0" t="s">
        <v>46</v>
      </c>
      <c r="R1804" s="0" t="s">
        <v>71</v>
      </c>
      <c r="S1804" s="13" t="n">
        <v>4210301</v>
      </c>
      <c r="T1804" s="0" t="s">
        <v>220</v>
      </c>
      <c r="U1804" s="15" t="n">
        <v>506.98</v>
      </c>
      <c r="W1804" s="15" t="n">
        <v>506.98</v>
      </c>
      <c r="X1804" s="0" t="s">
        <v>1591</v>
      </c>
      <c r="Z1804" s="0" t="str">
        <f aca="false">IF($T1804="","",IFERROR(INDEX('Resumo Grupos'!$AC$3:$AC$200,MATCH($T1804,'Resumo Grupos'!$AB$3:$AB$200,0)),"n/d"))</f>
        <v>Salários</v>
      </c>
      <c r="AA1804" s="0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3" t="n">
        <v>2</v>
      </c>
      <c r="B1805" s="14" t="n">
        <v>46269</v>
      </c>
      <c r="C1805" s="14" t="n">
        <v>46269</v>
      </c>
      <c r="D1805" s="13" t="n">
        <v>52</v>
      </c>
      <c r="E1805" s="0" t="s">
        <v>219</v>
      </c>
      <c r="F1805" s="13" t="n">
        <v>7</v>
      </c>
      <c r="G1805" s="0" t="s">
        <v>222</v>
      </c>
      <c r="H1805" s="13" t="n">
        <v>2110405</v>
      </c>
      <c r="I1805" s="0" t="s">
        <v>56</v>
      </c>
      <c r="J1805" s="13" t="n">
        <v>1677966</v>
      </c>
      <c r="L1805" s="13" t="n">
        <v>230197</v>
      </c>
      <c r="M1805" s="0" t="s">
        <v>52</v>
      </c>
      <c r="N1805" s="0" t="s">
        <v>45</v>
      </c>
      <c r="P1805" s="13" t="n">
        <v>113</v>
      </c>
      <c r="Q1805" s="0" t="s">
        <v>46</v>
      </c>
      <c r="R1805" s="0" t="s">
        <v>71</v>
      </c>
      <c r="S1805" s="13" t="n">
        <v>4210301</v>
      </c>
      <c r="T1805" s="0" t="s">
        <v>220</v>
      </c>
      <c r="U1805" s="15" t="n">
        <v>496.11</v>
      </c>
      <c r="W1805" s="15" t="n">
        <v>0</v>
      </c>
      <c r="X1805" s="0" t="s">
        <v>733</v>
      </c>
      <c r="Z1805" s="0" t="str">
        <f aca="false">IF($T1805="","",IFERROR(INDEX('Resumo Grupos'!$AC$3:$AC$200,MATCH($T1805,'Resumo Grupos'!$AB$3:$AB$200,0)),"n/d"))</f>
        <v>Salários</v>
      </c>
      <c r="AA1805" s="0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3" t="n">
        <v>2</v>
      </c>
      <c r="B1806" s="14" t="n">
        <v>46269</v>
      </c>
      <c r="C1806" s="14" t="n">
        <v>46269</v>
      </c>
      <c r="D1806" s="13" t="n">
        <v>34</v>
      </c>
      <c r="E1806" s="0" t="s">
        <v>230</v>
      </c>
      <c r="F1806" s="13" t="n">
        <v>23</v>
      </c>
      <c r="G1806" s="0" t="s">
        <v>1592</v>
      </c>
      <c r="H1806" s="13" t="n">
        <v>2110405</v>
      </c>
      <c r="I1806" s="0" t="s">
        <v>56</v>
      </c>
      <c r="J1806" s="13" t="n">
        <v>1651589</v>
      </c>
      <c r="L1806" s="13" t="n">
        <v>226834</v>
      </c>
      <c r="M1806" s="0" t="s">
        <v>52</v>
      </c>
      <c r="N1806" s="0" t="s">
        <v>45</v>
      </c>
      <c r="P1806" s="13" t="n">
        <v>101</v>
      </c>
      <c r="Q1806" s="0" t="s">
        <v>57</v>
      </c>
      <c r="R1806" s="0" t="s">
        <v>39</v>
      </c>
      <c r="S1806" s="13" t="n">
        <v>4210231</v>
      </c>
      <c r="T1806" s="0" t="s">
        <v>737</v>
      </c>
      <c r="U1806" s="15" t="n">
        <v>1736.58</v>
      </c>
      <c r="W1806" s="15" t="n">
        <v>0</v>
      </c>
      <c r="X1806" s="0" t="s">
        <v>1593</v>
      </c>
      <c r="Z1806" s="0" t="str">
        <f aca="false">IF($T1806="","",IFERROR(INDEX('Resumo Grupos'!$AC$3:$AC$200,MATCH($T1806,'Resumo Grupos'!$AB$3:$AB$200,0)),"n/d"))</f>
        <v>Despesa</v>
      </c>
      <c r="AA1806" s="0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3" t="n">
        <v>2</v>
      </c>
      <c r="B1807" s="14" t="n">
        <v>46269</v>
      </c>
      <c r="C1807" s="14" t="n">
        <v>46269</v>
      </c>
      <c r="D1807" s="13" t="n">
        <v>34</v>
      </c>
      <c r="E1807" s="0" t="s">
        <v>230</v>
      </c>
      <c r="F1807" s="13" t="n">
        <v>7</v>
      </c>
      <c r="G1807" s="0" t="s">
        <v>222</v>
      </c>
      <c r="H1807" s="13" t="n">
        <v>2110405</v>
      </c>
      <c r="I1807" s="0" t="s">
        <v>56</v>
      </c>
      <c r="J1807" s="13" t="n">
        <v>1678182</v>
      </c>
      <c r="L1807" s="13" t="n">
        <v>230242</v>
      </c>
      <c r="M1807" s="0" t="s">
        <v>52</v>
      </c>
      <c r="N1807" s="0" t="s">
        <v>45</v>
      </c>
      <c r="P1807" s="13" t="n">
        <v>113</v>
      </c>
      <c r="Q1807" s="0" t="s">
        <v>46</v>
      </c>
      <c r="R1807" s="0" t="s">
        <v>71</v>
      </c>
      <c r="S1807" s="13" t="n">
        <v>4210301</v>
      </c>
      <c r="T1807" s="0" t="s">
        <v>220</v>
      </c>
      <c r="U1807" s="15" t="n">
        <v>1736.58</v>
      </c>
      <c r="W1807" s="15" t="n">
        <v>0</v>
      </c>
      <c r="X1807" s="0" t="s">
        <v>733</v>
      </c>
      <c r="Z1807" s="0" t="str">
        <f aca="false">IF($T1807="","",IFERROR(INDEX('Resumo Grupos'!$AC$3:$AC$200,MATCH($T1807,'Resumo Grupos'!$AB$3:$AB$200,0)),"n/d"))</f>
        <v>Salários</v>
      </c>
      <c r="AA1807" s="0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3" t="n">
        <v>2</v>
      </c>
      <c r="B1808" s="14" t="n">
        <v>46269</v>
      </c>
      <c r="C1808" s="14" t="n">
        <v>46269</v>
      </c>
      <c r="D1808" s="13" t="n">
        <v>340</v>
      </c>
      <c r="E1808" s="0" t="s">
        <v>235</v>
      </c>
      <c r="F1808" s="13" t="n">
        <v>34</v>
      </c>
      <c r="G1808" s="0" t="s">
        <v>55</v>
      </c>
      <c r="H1808" s="13" t="n">
        <v>2110405</v>
      </c>
      <c r="I1808" s="0" t="s">
        <v>56</v>
      </c>
      <c r="J1808" s="13" t="n">
        <v>1677971</v>
      </c>
      <c r="L1808" s="13" t="n">
        <v>230200</v>
      </c>
      <c r="M1808" s="0" t="s">
        <v>52</v>
      </c>
      <c r="N1808" s="0" t="s">
        <v>45</v>
      </c>
      <c r="P1808" s="13" t="n">
        <v>113</v>
      </c>
      <c r="Q1808" s="0" t="s">
        <v>46</v>
      </c>
      <c r="R1808" s="0" t="s">
        <v>71</v>
      </c>
      <c r="S1808" s="13" t="n">
        <v>4210301</v>
      </c>
      <c r="T1808" s="0" t="s">
        <v>220</v>
      </c>
      <c r="U1808" s="15" t="n">
        <v>1495.62</v>
      </c>
      <c r="W1808" s="15" t="n">
        <v>1495.62</v>
      </c>
      <c r="X1808" s="0" t="s">
        <v>1591</v>
      </c>
      <c r="Z1808" s="0" t="str">
        <f aca="false">IF($T1808="","",IFERROR(INDEX('Resumo Grupos'!$AC$3:$AC$200,MATCH($T1808,'Resumo Grupos'!$AB$3:$AB$200,0)),"n/d"))</f>
        <v>Salários</v>
      </c>
      <c r="AA1808" s="0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3" t="n">
        <v>2</v>
      </c>
      <c r="B1809" s="14" t="n">
        <v>46269</v>
      </c>
      <c r="C1809" s="14" t="n">
        <v>46269</v>
      </c>
      <c r="D1809" s="13" t="n">
        <v>340</v>
      </c>
      <c r="E1809" s="0" t="s">
        <v>235</v>
      </c>
      <c r="F1809" s="13" t="n">
        <v>7</v>
      </c>
      <c r="G1809" s="0" t="s">
        <v>222</v>
      </c>
      <c r="H1809" s="13" t="n">
        <v>2110405</v>
      </c>
      <c r="I1809" s="0" t="s">
        <v>56</v>
      </c>
      <c r="J1809" s="13" t="n">
        <v>1677976</v>
      </c>
      <c r="L1809" s="13" t="n">
        <v>230202</v>
      </c>
      <c r="M1809" s="0" t="s">
        <v>52</v>
      </c>
      <c r="N1809" s="0" t="s">
        <v>45</v>
      </c>
      <c r="P1809" s="13" t="n">
        <v>113</v>
      </c>
      <c r="Q1809" s="0" t="s">
        <v>46</v>
      </c>
      <c r="R1809" s="0" t="s">
        <v>71</v>
      </c>
      <c r="S1809" s="13" t="n">
        <v>4210301</v>
      </c>
      <c r="T1809" s="0" t="s">
        <v>220</v>
      </c>
      <c r="U1809" s="15" t="n">
        <v>97.74</v>
      </c>
      <c r="W1809" s="15" t="n">
        <v>0</v>
      </c>
      <c r="X1809" s="0" t="s">
        <v>733</v>
      </c>
      <c r="Z1809" s="0" t="str">
        <f aca="false">IF($T1809="","",IFERROR(INDEX('Resumo Grupos'!$AC$3:$AC$200,MATCH($T1809,'Resumo Grupos'!$AB$3:$AB$200,0)),"n/d"))</f>
        <v>Salários</v>
      </c>
      <c r="AA1809" s="0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3" t="n">
        <v>2</v>
      </c>
      <c r="B1810" s="14" t="n">
        <v>46249</v>
      </c>
      <c r="C1810" s="14" t="n">
        <v>46269</v>
      </c>
      <c r="D1810" s="13" t="n">
        <v>1636</v>
      </c>
      <c r="E1810" s="0" t="s">
        <v>61</v>
      </c>
      <c r="F1810" s="13" t="n">
        <v>24</v>
      </c>
      <c r="G1810" s="0" t="s">
        <v>51</v>
      </c>
      <c r="H1810" s="13" t="n">
        <v>2110405</v>
      </c>
      <c r="I1810" s="0" t="s">
        <v>56</v>
      </c>
      <c r="J1810" s="13" t="n">
        <v>1551860</v>
      </c>
      <c r="L1810" s="13" t="n">
        <v>211776</v>
      </c>
      <c r="M1810" s="0" t="s">
        <v>52</v>
      </c>
      <c r="N1810" s="0" t="s">
        <v>45</v>
      </c>
      <c r="P1810" s="13" t="n">
        <v>113</v>
      </c>
      <c r="Q1810" s="0" t="s">
        <v>46</v>
      </c>
      <c r="R1810" s="0" t="s">
        <v>47</v>
      </c>
      <c r="S1810" s="13" t="n">
        <v>1130101</v>
      </c>
      <c r="T1810" s="0" t="s">
        <v>48</v>
      </c>
      <c r="U1810" s="15" t="n">
        <v>748.32</v>
      </c>
      <c r="W1810" s="15" t="n">
        <v>748.32</v>
      </c>
      <c r="X1810" s="0" t="s">
        <v>1594</v>
      </c>
      <c r="Z1810" s="0" t="str">
        <f aca="false">IF($T1810="","",IFERROR(INDEX('Resumo Grupos'!$AC$3:$AC$200,MATCH($T1810,'Resumo Grupos'!$AB$3:$AB$200,0)),"n/d"))</f>
        <v>Mercadoria</v>
      </c>
      <c r="AA1810" s="0" t="str">
        <f aca="false">IF($T1810="","",IF(COUNTIF('Resumo Grupos'!$AE$3:$AE$40,$T1810)&gt;0,"NAO","SIM"))</f>
        <v>SIM</v>
      </c>
      <c r="AB1810" s="0" t="str">
        <f aca="false">IFERROR(INDEX('Mov Entradas (Rel 10497)'!$L:$L,MATCH(AC1810,'Mov Entradas (Rel 10497)'!$I:$I,0)),"nao encontrado")</f>
        <v>MOLHO POMAROLA 260G</v>
      </c>
      <c r="AC1810" s="0" t="n">
        <v>3237036</v>
      </c>
    </row>
    <row r="1811" customFormat="false" ht="12.75" hidden="false" customHeight="true" outlineLevel="0" collapsed="false">
      <c r="A1811" s="13" t="n">
        <v>2</v>
      </c>
      <c r="B1811" s="14" t="n">
        <v>46269</v>
      </c>
      <c r="C1811" s="14" t="n">
        <v>46269</v>
      </c>
      <c r="D1811" s="13" t="n">
        <v>23</v>
      </c>
      <c r="E1811" s="0" t="s">
        <v>243</v>
      </c>
      <c r="F1811" s="13" t="n">
        <v>34</v>
      </c>
      <c r="G1811" s="0" t="s">
        <v>55</v>
      </c>
      <c r="H1811" s="13" t="n">
        <v>2110405</v>
      </c>
      <c r="I1811" s="0" t="s">
        <v>56</v>
      </c>
      <c r="J1811" s="13" t="n">
        <v>1677979</v>
      </c>
      <c r="L1811" s="13" t="n">
        <v>230203</v>
      </c>
      <c r="M1811" s="0" t="s">
        <v>52</v>
      </c>
      <c r="N1811" s="0" t="s">
        <v>45</v>
      </c>
      <c r="P1811" s="13" t="n">
        <v>113</v>
      </c>
      <c r="Q1811" s="0" t="s">
        <v>46</v>
      </c>
      <c r="R1811" s="0" t="s">
        <v>71</v>
      </c>
      <c r="S1811" s="13" t="n">
        <v>4210301</v>
      </c>
      <c r="T1811" s="0" t="s">
        <v>220</v>
      </c>
      <c r="U1811" s="15" t="n">
        <v>216.08</v>
      </c>
      <c r="W1811" s="15" t="n">
        <v>216.08</v>
      </c>
      <c r="X1811" s="0" t="s">
        <v>1591</v>
      </c>
      <c r="Z1811" s="0" t="str">
        <f aca="false">IF($T1811="","",IFERROR(INDEX('Resumo Grupos'!$AC$3:$AC$200,MATCH($T1811,'Resumo Grupos'!$AB$3:$AB$200,0)),"n/d"))</f>
        <v>Salários</v>
      </c>
      <c r="AA1811" s="0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3" t="n">
        <v>2</v>
      </c>
      <c r="B1812" s="14" t="n">
        <v>46269</v>
      </c>
      <c r="C1812" s="14" t="n">
        <v>46269</v>
      </c>
      <c r="D1812" s="13" t="n">
        <v>23</v>
      </c>
      <c r="E1812" s="0" t="s">
        <v>243</v>
      </c>
      <c r="F1812" s="13" t="n">
        <v>7</v>
      </c>
      <c r="G1812" s="0" t="s">
        <v>222</v>
      </c>
      <c r="H1812" s="13" t="n">
        <v>2110405</v>
      </c>
      <c r="I1812" s="0" t="s">
        <v>56</v>
      </c>
      <c r="J1812" s="13" t="n">
        <v>1677982</v>
      </c>
      <c r="L1812" s="13" t="n">
        <v>230205</v>
      </c>
      <c r="M1812" s="0" t="s">
        <v>52</v>
      </c>
      <c r="N1812" s="0" t="s">
        <v>45</v>
      </c>
      <c r="P1812" s="13" t="n">
        <v>113</v>
      </c>
      <c r="Q1812" s="0" t="s">
        <v>46</v>
      </c>
      <c r="R1812" s="0" t="s">
        <v>71</v>
      </c>
      <c r="S1812" s="13" t="n">
        <v>4210301</v>
      </c>
      <c r="T1812" s="0" t="s">
        <v>220</v>
      </c>
      <c r="U1812" s="15" t="n">
        <v>800.42</v>
      </c>
      <c r="W1812" s="15" t="n">
        <v>0</v>
      </c>
      <c r="X1812" s="0" t="s">
        <v>1595</v>
      </c>
      <c r="Z1812" s="0" t="str">
        <f aca="false">IF($T1812="","",IFERROR(INDEX('Resumo Grupos'!$AC$3:$AC$200,MATCH($T1812,'Resumo Grupos'!$AB$3:$AB$200,0)),"n/d"))</f>
        <v>Salários</v>
      </c>
      <c r="AA1812" s="0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3" t="n">
        <v>2</v>
      </c>
      <c r="B1813" s="14" t="n">
        <v>46269</v>
      </c>
      <c r="C1813" s="14" t="n">
        <v>46269</v>
      </c>
      <c r="D1813" s="13" t="n">
        <v>73</v>
      </c>
      <c r="E1813" s="0" t="s">
        <v>70</v>
      </c>
      <c r="F1813" s="13" t="n">
        <v>34</v>
      </c>
      <c r="G1813" s="0" t="s">
        <v>55</v>
      </c>
      <c r="H1813" s="13" t="n">
        <v>2110405</v>
      </c>
      <c r="I1813" s="0" t="s">
        <v>56</v>
      </c>
      <c r="J1813" s="13" t="n">
        <v>1677987</v>
      </c>
      <c r="L1813" s="13" t="n">
        <v>230207</v>
      </c>
      <c r="M1813" s="0" t="s">
        <v>52</v>
      </c>
      <c r="N1813" s="0" t="s">
        <v>45</v>
      </c>
      <c r="P1813" s="13" t="n">
        <v>113</v>
      </c>
      <c r="Q1813" s="0" t="s">
        <v>46</v>
      </c>
      <c r="R1813" s="0" t="s">
        <v>71</v>
      </c>
      <c r="S1813" s="13" t="n">
        <v>4210301</v>
      </c>
      <c r="T1813" s="0" t="s">
        <v>220</v>
      </c>
      <c r="U1813" s="15" t="n">
        <v>1088.44</v>
      </c>
      <c r="W1813" s="15" t="n">
        <v>1088.44</v>
      </c>
      <c r="X1813" s="0" t="s">
        <v>1591</v>
      </c>
      <c r="Z1813" s="0" t="str">
        <f aca="false">IF($T1813="","",IFERROR(INDEX('Resumo Grupos'!$AC$3:$AC$200,MATCH($T1813,'Resumo Grupos'!$AB$3:$AB$200,0)),"n/d"))</f>
        <v>Salários</v>
      </c>
      <c r="AA1813" s="0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3" t="n">
        <v>2</v>
      </c>
      <c r="B1814" s="14" t="n">
        <v>46269</v>
      </c>
      <c r="C1814" s="14" t="n">
        <v>46269</v>
      </c>
      <c r="D1814" s="13" t="n">
        <v>73</v>
      </c>
      <c r="E1814" s="0" t="s">
        <v>70</v>
      </c>
      <c r="F1814" s="13" t="n">
        <v>7</v>
      </c>
      <c r="G1814" s="0" t="s">
        <v>222</v>
      </c>
      <c r="H1814" s="13" t="n">
        <v>2110405</v>
      </c>
      <c r="I1814" s="0" t="s">
        <v>56</v>
      </c>
      <c r="J1814" s="13" t="n">
        <v>1677992</v>
      </c>
      <c r="L1814" s="13" t="n">
        <v>230208</v>
      </c>
      <c r="M1814" s="0" t="s">
        <v>52</v>
      </c>
      <c r="N1814" s="0" t="s">
        <v>45</v>
      </c>
      <c r="P1814" s="13" t="n">
        <v>113</v>
      </c>
      <c r="Q1814" s="0" t="s">
        <v>46</v>
      </c>
      <c r="R1814" s="0" t="s">
        <v>71</v>
      </c>
      <c r="S1814" s="13" t="n">
        <v>4210301</v>
      </c>
      <c r="T1814" s="0" t="s">
        <v>220</v>
      </c>
      <c r="U1814" s="15" t="n">
        <v>82.95</v>
      </c>
      <c r="W1814" s="15" t="n">
        <v>0</v>
      </c>
      <c r="X1814" s="0" t="s">
        <v>733</v>
      </c>
      <c r="Z1814" s="0" t="str">
        <f aca="false">IF($T1814="","",IFERROR(INDEX('Resumo Grupos'!$AC$3:$AC$200,MATCH($T1814,'Resumo Grupos'!$AB$3:$AB$200,0)),"n/d"))</f>
        <v>Salários</v>
      </c>
      <c r="AA1814" s="0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3" t="n">
        <v>2</v>
      </c>
      <c r="B1815" s="14" t="n">
        <v>46269</v>
      </c>
      <c r="C1815" s="14" t="n">
        <v>46269</v>
      </c>
      <c r="D1815" s="13" t="n">
        <v>1037</v>
      </c>
      <c r="E1815" s="0" t="s">
        <v>134</v>
      </c>
      <c r="F1815" s="13" t="n">
        <v>34</v>
      </c>
      <c r="G1815" s="0" t="s">
        <v>55</v>
      </c>
      <c r="H1815" s="13" t="n">
        <v>2110405</v>
      </c>
      <c r="I1815" s="0" t="s">
        <v>56</v>
      </c>
      <c r="J1815" s="13" t="n">
        <v>1653157</v>
      </c>
      <c r="L1815" s="13" t="n">
        <v>227121</v>
      </c>
      <c r="M1815" s="0" t="s">
        <v>52</v>
      </c>
      <c r="N1815" s="0" t="s">
        <v>45</v>
      </c>
      <c r="P1815" s="13" t="n">
        <v>113</v>
      </c>
      <c r="Q1815" s="0" t="s">
        <v>46</v>
      </c>
      <c r="R1815" s="0" t="s">
        <v>47</v>
      </c>
      <c r="S1815" s="13" t="n">
        <v>1130101</v>
      </c>
      <c r="T1815" s="0" t="s">
        <v>48</v>
      </c>
      <c r="U1815" s="15" t="n">
        <v>200</v>
      </c>
      <c r="W1815" s="15" t="n">
        <v>200</v>
      </c>
      <c r="X1815" s="0" t="s">
        <v>1596</v>
      </c>
      <c r="Z1815" s="0" t="str">
        <f aca="false">IF($T1815="","",IFERROR(INDEX('Resumo Grupos'!$AC$3:$AC$200,MATCH($T1815,'Resumo Grupos'!$AB$3:$AB$200,0)),"n/d"))</f>
        <v>Mercadoria</v>
      </c>
      <c r="AA1815" s="0" t="str">
        <f aca="false">IF($T1815="","",IF(COUNTIF('Resumo Grupos'!$AE$3:$AE$40,$T1815)&gt;0,"NAO","SIM"))</f>
        <v>SIM</v>
      </c>
      <c r="AB1815" s="0" t="str">
        <f aca="false">IFERROR(INDEX('Mov Entradas (Rel 10497)'!$L:$L,MATCH(AC1815,'Mov Entradas (Rel 10497)'!$I:$I,0)),"nao encontrado")</f>
        <v>ABACATE KG</v>
      </c>
      <c r="AC1815" s="0" t="n">
        <v>2657</v>
      </c>
    </row>
    <row r="1816" customFormat="false" ht="12.75" hidden="false" customHeight="true" outlineLevel="0" collapsed="false">
      <c r="A1816" s="13" t="n">
        <v>2</v>
      </c>
      <c r="B1816" s="14" t="n">
        <v>46269</v>
      </c>
      <c r="C1816" s="14" t="n">
        <v>46269</v>
      </c>
      <c r="D1816" s="13" t="n">
        <v>717</v>
      </c>
      <c r="E1816" s="0" t="s">
        <v>449</v>
      </c>
      <c r="F1816" s="13" t="n">
        <v>34</v>
      </c>
      <c r="G1816" s="0" t="s">
        <v>55</v>
      </c>
      <c r="H1816" s="13" t="n">
        <v>2110405</v>
      </c>
      <c r="I1816" s="0" t="s">
        <v>56</v>
      </c>
      <c r="J1816" s="13" t="n">
        <v>1678452</v>
      </c>
      <c r="L1816" s="13" t="n">
        <v>230270</v>
      </c>
      <c r="M1816" s="0" t="s">
        <v>52</v>
      </c>
      <c r="N1816" s="0" t="s">
        <v>45</v>
      </c>
      <c r="P1816" s="13" t="n">
        <v>102</v>
      </c>
      <c r="Q1816" s="0" t="s">
        <v>308</v>
      </c>
      <c r="R1816" s="0" t="s">
        <v>71</v>
      </c>
      <c r="S1816" s="13" t="n">
        <v>4210316</v>
      </c>
      <c r="T1816" s="0" t="s">
        <v>159</v>
      </c>
      <c r="U1816" s="15" t="n">
        <v>100</v>
      </c>
      <c r="W1816" s="15" t="n">
        <v>100</v>
      </c>
      <c r="X1816" s="0" t="s">
        <v>1597</v>
      </c>
      <c r="Z1816" s="0" t="str">
        <f aca="false">IF($T1816="","",IFERROR(INDEX('Resumo Grupos'!$AC$3:$AC$200,MATCH($T1816,'Resumo Grupos'!$AB$3:$AB$200,0)),"n/d"))</f>
        <v>Salários</v>
      </c>
      <c r="AA1816" s="0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3" t="n">
        <v>2</v>
      </c>
      <c r="B1817" s="14" t="n">
        <v>46269</v>
      </c>
      <c r="C1817" s="14" t="n">
        <v>46269</v>
      </c>
      <c r="D1817" s="13" t="n">
        <v>12</v>
      </c>
      <c r="E1817" s="0" t="s">
        <v>79</v>
      </c>
      <c r="F1817" s="13" t="n">
        <v>34</v>
      </c>
      <c r="G1817" s="0" t="s">
        <v>55</v>
      </c>
      <c r="H1817" s="13" t="n">
        <v>2110405</v>
      </c>
      <c r="I1817" s="0" t="s">
        <v>56</v>
      </c>
      <c r="J1817" s="13" t="n">
        <v>1678011</v>
      </c>
      <c r="L1817" s="13" t="n">
        <v>230210</v>
      </c>
      <c r="M1817" s="0" t="s">
        <v>52</v>
      </c>
      <c r="N1817" s="0" t="s">
        <v>45</v>
      </c>
      <c r="P1817" s="13" t="n">
        <v>113</v>
      </c>
      <c r="Q1817" s="0" t="s">
        <v>46</v>
      </c>
      <c r="R1817" s="0" t="s">
        <v>71</v>
      </c>
      <c r="S1817" s="13" t="n">
        <v>4210301</v>
      </c>
      <c r="T1817" s="0" t="s">
        <v>220</v>
      </c>
      <c r="U1817" s="15" t="n">
        <v>295.36</v>
      </c>
      <c r="W1817" s="15" t="n">
        <v>295.36</v>
      </c>
      <c r="X1817" s="0" t="s">
        <v>1591</v>
      </c>
      <c r="Z1817" s="0" t="str">
        <f aca="false">IF($T1817="","",IFERROR(INDEX('Resumo Grupos'!$AC$3:$AC$200,MATCH($T1817,'Resumo Grupos'!$AB$3:$AB$200,0)),"n/d"))</f>
        <v>Salários</v>
      </c>
      <c r="AA1817" s="0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3" t="n">
        <v>2</v>
      </c>
      <c r="B1818" s="14" t="n">
        <v>46269</v>
      </c>
      <c r="C1818" s="14" t="n">
        <v>46269</v>
      </c>
      <c r="D1818" s="13" t="n">
        <v>12</v>
      </c>
      <c r="E1818" s="0" t="s">
        <v>79</v>
      </c>
      <c r="F1818" s="13" t="n">
        <v>7</v>
      </c>
      <c r="G1818" s="0" t="s">
        <v>222</v>
      </c>
      <c r="H1818" s="13" t="n">
        <v>2110405</v>
      </c>
      <c r="I1818" s="0" t="s">
        <v>56</v>
      </c>
      <c r="J1818" s="13" t="n">
        <v>1678012</v>
      </c>
      <c r="L1818" s="13" t="n">
        <v>230212</v>
      </c>
      <c r="M1818" s="0" t="s">
        <v>52</v>
      </c>
      <c r="N1818" s="0" t="s">
        <v>45</v>
      </c>
      <c r="P1818" s="13" t="n">
        <v>113</v>
      </c>
      <c r="Q1818" s="0" t="s">
        <v>46</v>
      </c>
      <c r="R1818" s="0" t="s">
        <v>71</v>
      </c>
      <c r="S1818" s="13" t="n">
        <v>4210301</v>
      </c>
      <c r="T1818" s="0" t="s">
        <v>220</v>
      </c>
      <c r="U1818" s="15" t="n">
        <v>435.23</v>
      </c>
      <c r="W1818" s="15" t="n">
        <v>0</v>
      </c>
      <c r="X1818" s="0" t="s">
        <v>733</v>
      </c>
      <c r="Z1818" s="0" t="str">
        <f aca="false">IF($T1818="","",IFERROR(INDEX('Resumo Grupos'!$AC$3:$AC$200,MATCH($T1818,'Resumo Grupos'!$AB$3:$AB$200,0)),"n/d"))</f>
        <v>Salários</v>
      </c>
      <c r="AA1818" s="0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3" t="n">
        <v>2</v>
      </c>
      <c r="B1819" s="14" t="n">
        <v>46269</v>
      </c>
      <c r="C1819" s="14" t="n">
        <v>46269</v>
      </c>
      <c r="D1819" s="13" t="n">
        <v>22</v>
      </c>
      <c r="E1819" s="0" t="s">
        <v>245</v>
      </c>
      <c r="F1819" s="13" t="n">
        <v>34</v>
      </c>
      <c r="G1819" s="0" t="s">
        <v>55</v>
      </c>
      <c r="H1819" s="13" t="n">
        <v>2110405</v>
      </c>
      <c r="I1819" s="0" t="s">
        <v>56</v>
      </c>
      <c r="J1819" s="13" t="n">
        <v>1678017</v>
      </c>
      <c r="L1819" s="13" t="n">
        <v>230214</v>
      </c>
      <c r="M1819" s="0" t="s">
        <v>52</v>
      </c>
      <c r="N1819" s="0" t="s">
        <v>45</v>
      </c>
      <c r="P1819" s="13" t="n">
        <v>113</v>
      </c>
      <c r="Q1819" s="0" t="s">
        <v>46</v>
      </c>
      <c r="R1819" s="0" t="s">
        <v>71</v>
      </c>
      <c r="S1819" s="13" t="n">
        <v>4210301</v>
      </c>
      <c r="T1819" s="0" t="s">
        <v>220</v>
      </c>
      <c r="U1819" s="15" t="n">
        <v>55.22</v>
      </c>
      <c r="W1819" s="15" t="n">
        <v>55.22</v>
      </c>
      <c r="X1819" s="0" t="s">
        <v>1591</v>
      </c>
      <c r="Z1819" s="0" t="str">
        <f aca="false">IF($T1819="","",IFERROR(INDEX('Resumo Grupos'!$AC$3:$AC$200,MATCH($T1819,'Resumo Grupos'!$AB$3:$AB$200,0)),"n/d"))</f>
        <v>Salários</v>
      </c>
      <c r="AA1819" s="0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3" t="n">
        <v>2</v>
      </c>
      <c r="B1820" s="14" t="n">
        <v>46252</v>
      </c>
      <c r="C1820" s="14" t="n">
        <v>46269</v>
      </c>
      <c r="D1820" s="13" t="n">
        <v>1699</v>
      </c>
      <c r="E1820" s="0" t="s">
        <v>248</v>
      </c>
      <c r="F1820" s="13" t="n">
        <v>24</v>
      </c>
      <c r="G1820" s="0" t="s">
        <v>51</v>
      </c>
      <c r="H1820" s="13" t="n">
        <v>2110405</v>
      </c>
      <c r="I1820" s="0" t="s">
        <v>56</v>
      </c>
      <c r="J1820" s="13" t="n">
        <v>1568210</v>
      </c>
      <c r="L1820" s="13" t="n">
        <v>214139</v>
      </c>
      <c r="M1820" s="0" t="s">
        <v>52</v>
      </c>
      <c r="N1820" s="0" t="s">
        <v>45</v>
      </c>
      <c r="P1820" s="13" t="n">
        <v>113</v>
      </c>
      <c r="Q1820" s="0" t="s">
        <v>46</v>
      </c>
      <c r="R1820" s="0" t="s">
        <v>47</v>
      </c>
      <c r="S1820" s="13" t="n">
        <v>1130101</v>
      </c>
      <c r="T1820" s="0" t="s">
        <v>48</v>
      </c>
      <c r="U1820" s="15" t="n">
        <v>474.75</v>
      </c>
      <c r="W1820" s="15" t="n">
        <v>474.75</v>
      </c>
      <c r="X1820" s="0" t="s">
        <v>1478</v>
      </c>
      <c r="Z1820" s="0" t="str">
        <f aca="false">IF($T1820="","",IFERROR(INDEX('Resumo Grupos'!$AC$3:$AC$200,MATCH($T1820,'Resumo Grupos'!$AB$3:$AB$200,0)),"n/d"))</f>
        <v>Mercadoria</v>
      </c>
      <c r="AA1820" s="0" t="str">
        <f aca="false">IF($T1820="","",IF(COUNTIF('Resumo Grupos'!$AE$3:$AE$40,$T1820)&gt;0,"NAO","SIM"))</f>
        <v>SIM</v>
      </c>
      <c r="AB1820" s="0" t="str">
        <f aca="false">IFERROR(INDEX('Mov Entradas (Rel 10497)'!$L:$L,MATCH(AC1820,'Mov Entradas (Rel 10497)'!$I:$I,0)),"nao encontrado")</f>
        <v>LING CALABRESA PERD</v>
      </c>
      <c r="AC1820" s="0" t="n">
        <v>311351</v>
      </c>
    </row>
    <row r="1821" customFormat="false" ht="12.75" hidden="false" customHeight="true" outlineLevel="0" collapsed="false">
      <c r="A1821" s="13" t="n">
        <v>2</v>
      </c>
      <c r="B1821" s="14" t="n">
        <v>46263</v>
      </c>
      <c r="C1821" s="14" t="n">
        <v>46269</v>
      </c>
      <c r="D1821" s="13" t="n">
        <v>581</v>
      </c>
      <c r="E1821" s="0" t="s">
        <v>147</v>
      </c>
      <c r="F1821" s="13" t="n">
        <v>24</v>
      </c>
      <c r="G1821" s="0" t="s">
        <v>51</v>
      </c>
      <c r="H1821" s="13" t="n">
        <v>2110405</v>
      </c>
      <c r="I1821" s="0" t="s">
        <v>56</v>
      </c>
      <c r="J1821" s="13" t="n">
        <v>1618529</v>
      </c>
      <c r="L1821" s="13" t="n">
        <v>221956</v>
      </c>
      <c r="M1821" s="0" t="s">
        <v>52</v>
      </c>
      <c r="N1821" s="0" t="s">
        <v>45</v>
      </c>
      <c r="P1821" s="13" t="n">
        <v>113</v>
      </c>
      <c r="Q1821" s="0" t="s">
        <v>46</v>
      </c>
      <c r="R1821" s="0" t="s">
        <v>47</v>
      </c>
      <c r="S1821" s="13" t="n">
        <v>1130101</v>
      </c>
      <c r="T1821" s="0" t="s">
        <v>48</v>
      </c>
      <c r="U1821" s="15" t="n">
        <v>264</v>
      </c>
      <c r="W1821" s="15" t="n">
        <v>264</v>
      </c>
      <c r="X1821" s="0" t="s">
        <v>1598</v>
      </c>
      <c r="Z1821" s="0" t="str">
        <f aca="false">IF($T1821="","",IFERROR(INDEX('Resumo Grupos'!$AC$3:$AC$200,MATCH($T1821,'Resumo Grupos'!$AB$3:$AB$200,0)),"n/d"))</f>
        <v>Mercadoria</v>
      </c>
      <c r="AA1821" s="0" t="str">
        <f aca="false">IF($T1821="","",IF(COUNTIF('Resumo Grupos'!$AE$3:$AE$40,$T1821)&gt;0,"NAO","SIM"))</f>
        <v>SIM</v>
      </c>
      <c r="AB1821" s="0" t="str">
        <f aca="false">IFERROR(INDEX('Mov Entradas (Rel 10497)'!$L:$L,MATCH(AC1821,'Mov Entradas (Rel 10497)'!$I:$I,0)),"nao encontrado")</f>
        <v>GOMA DE MANDIOCA AMA</v>
      </c>
      <c r="AC1821" s="0" t="n">
        <v>32154</v>
      </c>
    </row>
    <row r="1822" customFormat="false" ht="12.75" hidden="false" customHeight="true" outlineLevel="0" collapsed="false">
      <c r="A1822" s="13" t="n">
        <v>2</v>
      </c>
      <c r="B1822" s="14" t="n">
        <v>46269</v>
      </c>
      <c r="C1822" s="14" t="n">
        <v>46269</v>
      </c>
      <c r="D1822" s="13" t="n">
        <v>1979</v>
      </c>
      <c r="E1822" s="0" t="s">
        <v>250</v>
      </c>
      <c r="F1822" s="13" t="n">
        <v>34</v>
      </c>
      <c r="G1822" s="0" t="s">
        <v>55</v>
      </c>
      <c r="H1822" s="13" t="n">
        <v>2110405</v>
      </c>
      <c r="I1822" s="0" t="s">
        <v>56</v>
      </c>
      <c r="J1822" s="13" t="n">
        <v>1678020</v>
      </c>
      <c r="L1822" s="13" t="n">
        <v>230217</v>
      </c>
      <c r="M1822" s="0" t="s">
        <v>52</v>
      </c>
      <c r="N1822" s="0" t="s">
        <v>45</v>
      </c>
      <c r="P1822" s="13" t="n">
        <v>113</v>
      </c>
      <c r="Q1822" s="0" t="s">
        <v>46</v>
      </c>
      <c r="R1822" s="0" t="s">
        <v>71</v>
      </c>
      <c r="S1822" s="13" t="n">
        <v>4210301</v>
      </c>
      <c r="T1822" s="0" t="s">
        <v>220</v>
      </c>
      <c r="U1822" s="15" t="n">
        <v>821.88</v>
      </c>
      <c r="W1822" s="15" t="n">
        <v>821.88</v>
      </c>
      <c r="X1822" s="0" t="s">
        <v>1591</v>
      </c>
      <c r="Z1822" s="0" t="str">
        <f aca="false">IF($T1822="","",IFERROR(INDEX('Resumo Grupos'!$AC$3:$AC$200,MATCH($T1822,'Resumo Grupos'!$AB$3:$AB$200,0)),"n/d"))</f>
        <v>Salários</v>
      </c>
      <c r="AA1822" s="0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3" t="n">
        <v>2</v>
      </c>
      <c r="B1823" s="14" t="n">
        <v>46269</v>
      </c>
      <c r="C1823" s="14" t="n">
        <v>46269</v>
      </c>
      <c r="D1823" s="13" t="n">
        <v>1979</v>
      </c>
      <c r="E1823" s="0" t="s">
        <v>250</v>
      </c>
      <c r="F1823" s="13" t="n">
        <v>7</v>
      </c>
      <c r="G1823" s="0" t="s">
        <v>222</v>
      </c>
      <c r="H1823" s="13" t="n">
        <v>2110405</v>
      </c>
      <c r="I1823" s="0" t="s">
        <v>56</v>
      </c>
      <c r="J1823" s="13" t="n">
        <v>1678028</v>
      </c>
      <c r="L1823" s="13" t="n">
        <v>230218</v>
      </c>
      <c r="M1823" s="0" t="s">
        <v>52</v>
      </c>
      <c r="N1823" s="0" t="s">
        <v>45</v>
      </c>
      <c r="P1823" s="13" t="n">
        <v>113</v>
      </c>
      <c r="Q1823" s="0" t="s">
        <v>46</v>
      </c>
      <c r="R1823" s="0" t="s">
        <v>71</v>
      </c>
      <c r="S1823" s="13" t="n">
        <v>4210301</v>
      </c>
      <c r="T1823" s="0" t="s">
        <v>220</v>
      </c>
      <c r="U1823" s="15" t="n">
        <v>391.16</v>
      </c>
      <c r="W1823" s="15" t="n">
        <v>0</v>
      </c>
      <c r="X1823" s="0" t="s">
        <v>733</v>
      </c>
      <c r="Z1823" s="0" t="str">
        <f aca="false">IF($T1823="","",IFERROR(INDEX('Resumo Grupos'!$AC$3:$AC$200,MATCH($T1823,'Resumo Grupos'!$AB$3:$AB$200,0)),"n/d"))</f>
        <v>Salários</v>
      </c>
      <c r="AA1823" s="0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3" t="n">
        <v>2</v>
      </c>
      <c r="B1824" s="14" t="n">
        <v>46263</v>
      </c>
      <c r="C1824" s="14" t="n">
        <v>46269</v>
      </c>
      <c r="D1824" s="13" t="n">
        <v>1625</v>
      </c>
      <c r="E1824" s="0" t="s">
        <v>270</v>
      </c>
      <c r="F1824" s="13" t="n">
        <v>24</v>
      </c>
      <c r="G1824" s="0" t="s">
        <v>51</v>
      </c>
      <c r="H1824" s="13" t="n">
        <v>2110405</v>
      </c>
      <c r="I1824" s="0" t="s">
        <v>56</v>
      </c>
      <c r="J1824" s="13" t="n">
        <v>1618725</v>
      </c>
      <c r="L1824" s="13" t="n">
        <v>221995</v>
      </c>
      <c r="M1824" s="0" t="s">
        <v>52</v>
      </c>
      <c r="N1824" s="0" t="s">
        <v>45</v>
      </c>
      <c r="P1824" s="13" t="n">
        <v>113</v>
      </c>
      <c r="Q1824" s="0" t="s">
        <v>46</v>
      </c>
      <c r="R1824" s="0" t="s">
        <v>47</v>
      </c>
      <c r="S1824" s="13" t="n">
        <v>1130101</v>
      </c>
      <c r="T1824" s="0" t="s">
        <v>48</v>
      </c>
      <c r="U1824" s="15" t="n">
        <v>2771.2</v>
      </c>
      <c r="W1824" s="15" t="n">
        <v>2771.2</v>
      </c>
      <c r="X1824" s="0" t="s">
        <v>1599</v>
      </c>
      <c r="Z1824" s="0" t="str">
        <f aca="false">IF($T1824="","",IFERROR(INDEX('Resumo Grupos'!$AC$3:$AC$200,MATCH($T1824,'Resumo Grupos'!$AB$3:$AB$200,0)),"n/d"))</f>
        <v>Mercadoria</v>
      </c>
      <c r="AA1824" s="0" t="str">
        <f aca="false">IF($T1824="","",IF(COUNTIF('Resumo Grupos'!$AE$3:$AE$40,$T1824)&gt;0,"NAO","SIM"))</f>
        <v>SIM</v>
      </c>
      <c r="AB1824" s="0" t="str">
        <f aca="false">IFERROR(INDEX('Mov Entradas (Rel 10497)'!$L:$L,MATCH(AC1824,'Mov Entradas (Rel 10497)'!$I:$I,0)),"nao encontrado")</f>
        <v>TRASEIRO DE BOI L1</v>
      </c>
      <c r="AC1824" s="0" t="n">
        <v>15192</v>
      </c>
    </row>
    <row r="1825" customFormat="false" ht="12.75" hidden="false" customHeight="true" outlineLevel="0" collapsed="false">
      <c r="A1825" s="13" t="n">
        <v>2</v>
      </c>
      <c r="B1825" s="14" t="n">
        <v>46269</v>
      </c>
      <c r="C1825" s="14" t="n">
        <v>46269</v>
      </c>
      <c r="D1825" s="13" t="n">
        <v>48</v>
      </c>
      <c r="E1825" s="0" t="s">
        <v>153</v>
      </c>
      <c r="F1825" s="13" t="n">
        <v>13</v>
      </c>
      <c r="G1825" s="0" t="s">
        <v>135</v>
      </c>
      <c r="H1825" s="13" t="n">
        <v>2110101</v>
      </c>
      <c r="I1825" s="0" t="s">
        <v>43</v>
      </c>
      <c r="J1825" s="13" t="n">
        <v>1652454</v>
      </c>
      <c r="L1825" s="13" t="n">
        <v>2654</v>
      </c>
      <c r="M1825" s="0" t="s">
        <v>52</v>
      </c>
      <c r="N1825" s="0" t="s">
        <v>37</v>
      </c>
      <c r="P1825" s="13" t="n">
        <v>113</v>
      </c>
      <c r="Q1825" s="0" t="s">
        <v>46</v>
      </c>
      <c r="R1825" s="0" t="s">
        <v>47</v>
      </c>
      <c r="S1825" s="13" t="n">
        <v>1130101</v>
      </c>
      <c r="T1825" s="0" t="s">
        <v>48</v>
      </c>
      <c r="U1825" s="15" t="n">
        <v>300</v>
      </c>
      <c r="W1825" s="15" t="n">
        <v>300</v>
      </c>
      <c r="X1825" s="0" t="s">
        <v>1600</v>
      </c>
      <c r="Z1825" s="0" t="str">
        <f aca="false">IF($T1825="","",IFERROR(INDEX('Resumo Grupos'!$AC$3:$AC$200,MATCH($T1825,'Resumo Grupos'!$AB$3:$AB$200,0)),"n/d"))</f>
        <v>Mercadoria</v>
      </c>
      <c r="AA1825" s="0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3" t="n">
        <v>2</v>
      </c>
      <c r="B1826" s="14" t="n">
        <v>46269</v>
      </c>
      <c r="C1826" s="14" t="n">
        <v>46269</v>
      </c>
      <c r="D1826" s="13" t="n">
        <v>48</v>
      </c>
      <c r="E1826" s="0" t="s">
        <v>153</v>
      </c>
      <c r="F1826" s="13" t="n">
        <v>5</v>
      </c>
      <c r="G1826" s="0" t="s">
        <v>1395</v>
      </c>
      <c r="H1826" s="13" t="n">
        <v>2110304</v>
      </c>
      <c r="I1826" s="0" t="s">
        <v>1396</v>
      </c>
      <c r="J1826" s="13" t="n">
        <v>1652619</v>
      </c>
      <c r="L1826" s="13" t="n">
        <v>2655</v>
      </c>
      <c r="M1826" s="0" t="s">
        <v>52</v>
      </c>
      <c r="N1826" s="0" t="s">
        <v>37</v>
      </c>
      <c r="P1826" s="13" t="n">
        <v>113</v>
      </c>
      <c r="Q1826" s="0" t="s">
        <v>46</v>
      </c>
      <c r="R1826" s="0" t="s">
        <v>1397</v>
      </c>
      <c r="S1826" s="13" t="n">
        <v>3110301</v>
      </c>
      <c r="T1826" s="0" t="s">
        <v>1398</v>
      </c>
      <c r="U1826" s="15" t="n">
        <v>16.28</v>
      </c>
      <c r="W1826" s="15" t="n">
        <v>16.28</v>
      </c>
      <c r="X1826" s="0" t="s">
        <v>1601</v>
      </c>
      <c r="Z1826" s="0" t="str">
        <f aca="false">IF($T1826="","",IFERROR(INDEX('Resumo Grupos'!$AC$3:$AC$200,MATCH($T1826,'Resumo Grupos'!$AB$3:$AB$200,0)),"n/d"))</f>
        <v>Despesa</v>
      </c>
      <c r="AA1826" s="0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3" t="n">
        <v>2</v>
      </c>
      <c r="B1827" s="14" t="n">
        <v>46269</v>
      </c>
      <c r="C1827" s="14" t="n">
        <v>46269</v>
      </c>
      <c r="D1827" s="13" t="n">
        <v>48</v>
      </c>
      <c r="E1827" s="0" t="s">
        <v>153</v>
      </c>
      <c r="F1827" s="13" t="n">
        <v>34</v>
      </c>
      <c r="G1827" s="0" t="s">
        <v>55</v>
      </c>
      <c r="H1827" s="13" t="n">
        <v>2110101</v>
      </c>
      <c r="I1827" s="0" t="s">
        <v>43</v>
      </c>
      <c r="J1827" s="13" t="n">
        <v>1652758</v>
      </c>
      <c r="L1827" s="13" t="n">
        <v>2656</v>
      </c>
      <c r="M1827" s="0" t="s">
        <v>52</v>
      </c>
      <c r="N1827" s="0" t="s">
        <v>37</v>
      </c>
      <c r="P1827" s="13" t="n">
        <v>113</v>
      </c>
      <c r="Q1827" s="0" t="s">
        <v>46</v>
      </c>
      <c r="R1827" s="0" t="s">
        <v>47</v>
      </c>
      <c r="S1827" s="13" t="n">
        <v>1130101</v>
      </c>
      <c r="T1827" s="0" t="s">
        <v>48</v>
      </c>
      <c r="U1827" s="15" t="n">
        <v>340</v>
      </c>
      <c r="W1827" s="15" t="n">
        <v>340</v>
      </c>
      <c r="X1827" s="0" t="s">
        <v>1543</v>
      </c>
      <c r="Z1827" s="0" t="str">
        <f aca="false">IF($T1827="","",IFERROR(INDEX('Resumo Grupos'!$AC$3:$AC$200,MATCH($T1827,'Resumo Grupos'!$AB$3:$AB$200,0)),"n/d"))</f>
        <v>Mercadoria</v>
      </c>
      <c r="AA1827" s="0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3" t="n">
        <v>2</v>
      </c>
      <c r="B1828" s="14" t="n">
        <v>46269</v>
      </c>
      <c r="C1828" s="14" t="n">
        <v>46269</v>
      </c>
      <c r="D1828" s="13" t="n">
        <v>48</v>
      </c>
      <c r="E1828" s="0" t="s">
        <v>153</v>
      </c>
      <c r="F1828" s="13" t="n">
        <v>34</v>
      </c>
      <c r="G1828" s="0" t="s">
        <v>55</v>
      </c>
      <c r="H1828" s="13" t="n">
        <v>2110101</v>
      </c>
      <c r="I1828" s="0" t="s">
        <v>43</v>
      </c>
      <c r="J1828" s="13" t="n">
        <v>1653148</v>
      </c>
      <c r="L1828" s="13" t="n">
        <v>2657</v>
      </c>
      <c r="M1828" s="0" t="s">
        <v>52</v>
      </c>
      <c r="N1828" s="0" t="s">
        <v>37</v>
      </c>
      <c r="P1828" s="13" t="n">
        <v>113</v>
      </c>
      <c r="Q1828" s="0" t="s">
        <v>46</v>
      </c>
      <c r="R1828" s="0" t="s">
        <v>47</v>
      </c>
      <c r="S1828" s="13" t="n">
        <v>1130101</v>
      </c>
      <c r="T1828" s="0" t="s">
        <v>48</v>
      </c>
      <c r="U1828" s="15" t="n">
        <v>1972</v>
      </c>
      <c r="W1828" s="15" t="n">
        <v>1972</v>
      </c>
      <c r="X1828" s="0" t="s">
        <v>1602</v>
      </c>
      <c r="Z1828" s="0" t="str">
        <f aca="false">IF($T1828="","",IFERROR(INDEX('Resumo Grupos'!$AC$3:$AC$200,MATCH($T1828,'Resumo Grupos'!$AB$3:$AB$200,0)),"n/d"))</f>
        <v>Mercadoria</v>
      </c>
      <c r="AA1828" s="0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3" t="n">
        <v>2</v>
      </c>
      <c r="B1829" s="14" t="n">
        <v>46269</v>
      </c>
      <c r="C1829" s="14" t="n">
        <v>46269</v>
      </c>
      <c r="D1829" s="13" t="n">
        <v>17</v>
      </c>
      <c r="E1829" s="0" t="s">
        <v>489</v>
      </c>
      <c r="F1829" s="13" t="n">
        <v>7</v>
      </c>
      <c r="G1829" s="0" t="s">
        <v>222</v>
      </c>
      <c r="H1829" s="13" t="n">
        <v>2110405</v>
      </c>
      <c r="I1829" s="0" t="s">
        <v>56</v>
      </c>
      <c r="J1829" s="13" t="n">
        <v>1678109</v>
      </c>
      <c r="L1829" s="13" t="n">
        <v>230232</v>
      </c>
      <c r="M1829" s="0" t="s">
        <v>52</v>
      </c>
      <c r="N1829" s="0" t="s">
        <v>45</v>
      </c>
      <c r="P1829" s="13" t="n">
        <v>113</v>
      </c>
      <c r="Q1829" s="0" t="s">
        <v>46</v>
      </c>
      <c r="R1829" s="0" t="s">
        <v>71</v>
      </c>
      <c r="S1829" s="13" t="n">
        <v>4210301</v>
      </c>
      <c r="T1829" s="0" t="s">
        <v>220</v>
      </c>
      <c r="U1829" s="15" t="n">
        <v>18.5</v>
      </c>
      <c r="W1829" s="15" t="n">
        <v>0</v>
      </c>
      <c r="X1829" s="0" t="s">
        <v>733</v>
      </c>
      <c r="Z1829" s="0" t="str">
        <f aca="false">IF($T1829="","",IFERROR(INDEX('Resumo Grupos'!$AC$3:$AC$200,MATCH($T1829,'Resumo Grupos'!$AB$3:$AB$200,0)),"n/d"))</f>
        <v>Salários</v>
      </c>
      <c r="AA1829" s="0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3" t="n">
        <v>2</v>
      </c>
      <c r="B1830" s="14" t="n">
        <v>46265</v>
      </c>
      <c r="C1830" s="14" t="n">
        <v>46269</v>
      </c>
      <c r="D1830" s="13" t="n">
        <v>1328</v>
      </c>
      <c r="E1830" s="0" t="s">
        <v>95</v>
      </c>
      <c r="F1830" s="13" t="n">
        <v>24</v>
      </c>
      <c r="G1830" s="0" t="s">
        <v>51</v>
      </c>
      <c r="H1830" s="13" t="n">
        <v>2110405</v>
      </c>
      <c r="I1830" s="0" t="s">
        <v>56</v>
      </c>
      <c r="J1830" s="13" t="n">
        <v>1628800</v>
      </c>
      <c r="L1830" s="13" t="n">
        <v>223358</v>
      </c>
      <c r="M1830" s="0" t="s">
        <v>52</v>
      </c>
      <c r="N1830" s="0" t="s">
        <v>45</v>
      </c>
      <c r="P1830" s="13" t="n">
        <v>113</v>
      </c>
      <c r="Q1830" s="0" t="s">
        <v>46</v>
      </c>
      <c r="R1830" s="0" t="s">
        <v>47</v>
      </c>
      <c r="S1830" s="13" t="n">
        <v>1130101</v>
      </c>
      <c r="T1830" s="0" t="s">
        <v>48</v>
      </c>
      <c r="U1830" s="15" t="n">
        <v>300</v>
      </c>
      <c r="W1830" s="15" t="n">
        <v>300</v>
      </c>
      <c r="X1830" s="0" t="s">
        <v>1603</v>
      </c>
      <c r="Z1830" s="0" t="str">
        <f aca="false">IF($T1830="","",IFERROR(INDEX('Resumo Grupos'!$AC$3:$AC$200,MATCH($T1830,'Resumo Grupos'!$AB$3:$AB$200,0)),"n/d"))</f>
        <v>Mercadoria</v>
      </c>
      <c r="AA1830" s="0" t="str">
        <f aca="false">IF($T1830="","",IF(COUNTIF('Resumo Grupos'!$AE$3:$AE$40,$T1830)&gt;0,"NAO","SIM"))</f>
        <v>SIM</v>
      </c>
      <c r="AB1830" s="0" t="str">
        <f aca="false">IFERROR(INDEX('Mov Entradas (Rel 10497)'!$L:$L,MATCH(AC1830,'Mov Entradas (Rel 10497)'!$I:$I,0)),"nao encontrado")</f>
        <v>PAO DE KIKAO 10</v>
      </c>
      <c r="AC1830" s="0" t="n">
        <v>4492</v>
      </c>
    </row>
    <row r="1831" customFormat="false" ht="12.75" hidden="false" customHeight="true" outlineLevel="0" collapsed="false">
      <c r="A1831" s="13" t="n">
        <v>2</v>
      </c>
      <c r="B1831" s="14" t="n">
        <v>46265</v>
      </c>
      <c r="C1831" s="14" t="n">
        <v>46269</v>
      </c>
      <c r="D1831" s="13" t="n">
        <v>1899</v>
      </c>
      <c r="E1831" s="0" t="s">
        <v>204</v>
      </c>
      <c r="F1831" s="13" t="n">
        <v>24</v>
      </c>
      <c r="G1831" s="0" t="s">
        <v>51</v>
      </c>
      <c r="H1831" s="13" t="n">
        <v>2110405</v>
      </c>
      <c r="I1831" s="0" t="s">
        <v>56</v>
      </c>
      <c r="J1831" s="13" t="n">
        <v>1630511</v>
      </c>
      <c r="L1831" s="13" t="n">
        <v>223757</v>
      </c>
      <c r="M1831" s="0" t="s">
        <v>52</v>
      </c>
      <c r="N1831" s="0" t="s">
        <v>45</v>
      </c>
      <c r="P1831" s="13" t="n">
        <v>113</v>
      </c>
      <c r="Q1831" s="0" t="s">
        <v>46</v>
      </c>
      <c r="R1831" s="0" t="s">
        <v>47</v>
      </c>
      <c r="S1831" s="13" t="n">
        <v>1130101</v>
      </c>
      <c r="T1831" s="0" t="s">
        <v>48</v>
      </c>
      <c r="U1831" s="15" t="n">
        <v>90</v>
      </c>
      <c r="W1831" s="15" t="n">
        <v>90</v>
      </c>
      <c r="X1831" s="0" t="s">
        <v>1604</v>
      </c>
      <c r="Z1831" s="0" t="str">
        <f aca="false">IF($T1831="","",IFERROR(INDEX('Resumo Grupos'!$AC$3:$AC$200,MATCH($T1831,'Resumo Grupos'!$AB$3:$AB$200,0)),"n/d"))</f>
        <v>Mercadoria</v>
      </c>
      <c r="AA1831" s="0" t="str">
        <f aca="false">IF($T1831="","",IF(COUNTIF('Resumo Grupos'!$AE$3:$AE$40,$T1831)&gt;0,"NAO","SIM"))</f>
        <v>SIM</v>
      </c>
      <c r="AB1831" s="0" t="str">
        <f aca="false">IFERROR(INDEX('Mov Entradas (Rel 10497)'!$L:$L,MATCH(AC1831,'Mov Entradas (Rel 10497)'!$I:$I,0)),"nao encontrado")</f>
        <v>MASSA FINA</v>
      </c>
      <c r="AC1831" s="0" t="n">
        <v>782</v>
      </c>
    </row>
    <row r="1832" customFormat="false" ht="12.75" hidden="false" customHeight="true" outlineLevel="0" collapsed="false">
      <c r="A1832" s="13" t="n">
        <v>2</v>
      </c>
      <c r="B1832" s="14" t="n">
        <v>46269</v>
      </c>
      <c r="C1832" s="14" t="n">
        <v>46269</v>
      </c>
      <c r="D1832" s="13" t="n">
        <v>16</v>
      </c>
      <c r="E1832" s="0" t="s">
        <v>257</v>
      </c>
      <c r="F1832" s="13" t="n">
        <v>7</v>
      </c>
      <c r="G1832" s="0" t="s">
        <v>222</v>
      </c>
      <c r="H1832" s="13" t="n">
        <v>2110405</v>
      </c>
      <c r="I1832" s="0" t="s">
        <v>56</v>
      </c>
      <c r="J1832" s="13" t="n">
        <v>1678075</v>
      </c>
      <c r="L1832" s="13" t="n">
        <v>230230</v>
      </c>
      <c r="M1832" s="0" t="s">
        <v>52</v>
      </c>
      <c r="N1832" s="0" t="s">
        <v>45</v>
      </c>
      <c r="P1832" s="13" t="n">
        <v>113</v>
      </c>
      <c r="Q1832" s="0" t="s">
        <v>46</v>
      </c>
      <c r="R1832" s="0" t="s">
        <v>71</v>
      </c>
      <c r="S1832" s="13" t="n">
        <v>4210301</v>
      </c>
      <c r="T1832" s="0" t="s">
        <v>220</v>
      </c>
      <c r="U1832" s="15" t="n">
        <v>948.74</v>
      </c>
      <c r="W1832" s="15" t="n">
        <v>0</v>
      </c>
      <c r="X1832" s="0" t="s">
        <v>733</v>
      </c>
      <c r="Z1832" s="0" t="str">
        <f aca="false">IF($T1832="","",IFERROR(INDEX('Resumo Grupos'!$AC$3:$AC$200,MATCH($T1832,'Resumo Grupos'!$AB$3:$AB$200,0)),"n/d"))</f>
        <v>Salários</v>
      </c>
      <c r="AA1832" s="0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3" t="n">
        <v>2</v>
      </c>
      <c r="B1833" s="14" t="n">
        <v>46269</v>
      </c>
      <c r="C1833" s="14" t="n">
        <v>46269</v>
      </c>
      <c r="D1833" s="13" t="n">
        <v>21</v>
      </c>
      <c r="E1833" s="0" t="s">
        <v>107</v>
      </c>
      <c r="F1833" s="13" t="n">
        <v>34</v>
      </c>
      <c r="G1833" s="0" t="s">
        <v>55</v>
      </c>
      <c r="H1833" s="13" t="n">
        <v>2110405</v>
      </c>
      <c r="I1833" s="0" t="s">
        <v>56</v>
      </c>
      <c r="J1833" s="13" t="n">
        <v>1678031</v>
      </c>
      <c r="L1833" s="13" t="n">
        <v>230219</v>
      </c>
      <c r="M1833" s="0" t="s">
        <v>52</v>
      </c>
      <c r="N1833" s="0" t="s">
        <v>45</v>
      </c>
      <c r="P1833" s="13" t="n">
        <v>113</v>
      </c>
      <c r="Q1833" s="0" t="s">
        <v>46</v>
      </c>
      <c r="R1833" s="0" t="s">
        <v>71</v>
      </c>
      <c r="S1833" s="13" t="n">
        <v>4210301</v>
      </c>
      <c r="T1833" s="0" t="s">
        <v>220</v>
      </c>
      <c r="U1833" s="15" t="n">
        <v>443.58</v>
      </c>
      <c r="W1833" s="15" t="n">
        <v>443.58</v>
      </c>
      <c r="X1833" s="0" t="s">
        <v>1591</v>
      </c>
      <c r="Z1833" s="0" t="str">
        <f aca="false">IF($T1833="","",IFERROR(INDEX('Resumo Grupos'!$AC$3:$AC$200,MATCH($T1833,'Resumo Grupos'!$AB$3:$AB$200,0)),"n/d"))</f>
        <v>Salários</v>
      </c>
      <c r="AA1833" s="0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3" t="n">
        <v>2</v>
      </c>
      <c r="B1834" s="14" t="n">
        <v>46269</v>
      </c>
      <c r="C1834" s="14" t="n">
        <v>46269</v>
      </c>
      <c r="D1834" s="13" t="n">
        <v>21</v>
      </c>
      <c r="E1834" s="0" t="s">
        <v>107</v>
      </c>
      <c r="F1834" s="13" t="n">
        <v>7</v>
      </c>
      <c r="G1834" s="0" t="s">
        <v>222</v>
      </c>
      <c r="H1834" s="13" t="n">
        <v>2110405</v>
      </c>
      <c r="I1834" s="0" t="s">
        <v>56</v>
      </c>
      <c r="J1834" s="13" t="n">
        <v>1678033</v>
      </c>
      <c r="L1834" s="13" t="n">
        <v>230221</v>
      </c>
      <c r="M1834" s="0" t="s">
        <v>52</v>
      </c>
      <c r="N1834" s="0" t="s">
        <v>45</v>
      </c>
      <c r="P1834" s="13" t="n">
        <v>113</v>
      </c>
      <c r="Q1834" s="0" t="s">
        <v>46</v>
      </c>
      <c r="R1834" s="0" t="s">
        <v>71</v>
      </c>
      <c r="S1834" s="13" t="n">
        <v>4210301</v>
      </c>
      <c r="T1834" s="0" t="s">
        <v>220</v>
      </c>
      <c r="U1834" s="15" t="n">
        <v>299.05</v>
      </c>
      <c r="W1834" s="15" t="n">
        <v>0</v>
      </c>
      <c r="X1834" s="0" t="s">
        <v>733</v>
      </c>
      <c r="Z1834" s="0" t="str">
        <f aca="false">IF($T1834="","",IFERROR(INDEX('Resumo Grupos'!$AC$3:$AC$200,MATCH($T1834,'Resumo Grupos'!$AB$3:$AB$200,0)),"n/d"))</f>
        <v>Salários</v>
      </c>
      <c r="AA1834" s="0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3" t="n">
        <v>2</v>
      </c>
      <c r="B1835" s="14" t="n">
        <v>46269</v>
      </c>
      <c r="C1835" s="14" t="n">
        <v>46269</v>
      </c>
      <c r="D1835" s="13" t="n">
        <v>0</v>
      </c>
      <c r="E1835" s="0" t="s">
        <v>109</v>
      </c>
      <c r="F1835" s="13" t="n">
        <v>17</v>
      </c>
      <c r="G1835" s="0" t="s">
        <v>110</v>
      </c>
      <c r="H1835" s="13" t="n">
        <v>1110101</v>
      </c>
      <c r="I1835" s="0" t="s">
        <v>111</v>
      </c>
      <c r="J1835" s="13" t="n">
        <v>1673243</v>
      </c>
      <c r="L1835" s="13" t="n">
        <v>1673243</v>
      </c>
      <c r="M1835" s="0" t="s">
        <v>52</v>
      </c>
      <c r="N1835" s="0" t="s">
        <v>112</v>
      </c>
      <c r="P1835" s="13" t="n">
        <v>113</v>
      </c>
      <c r="Q1835" s="0" t="s">
        <v>46</v>
      </c>
      <c r="R1835" s="0" t="s">
        <v>259</v>
      </c>
      <c r="S1835" s="13" t="n">
        <v>2110101</v>
      </c>
      <c r="T1835" s="0" t="s">
        <v>43</v>
      </c>
      <c r="U1835" s="15" t="n">
        <v>300</v>
      </c>
      <c r="W1835" s="15" t="n">
        <v>300</v>
      </c>
      <c r="X1835" s="0" t="s">
        <v>1605</v>
      </c>
      <c r="Z1835" s="0" t="str">
        <f aca="false">IF($T1835="","",IFERROR(INDEX('Resumo Grupos'!$AC$3:$AC$200,MATCH($T1835,'Resumo Grupos'!$AB$3:$AB$200,0)),"n/d"))</f>
        <v>Despesa</v>
      </c>
      <c r="AA1835" s="0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3" t="n">
        <v>2</v>
      </c>
      <c r="B1836" s="14" t="n">
        <v>46269</v>
      </c>
      <c r="C1836" s="14" t="n">
        <v>46269</v>
      </c>
      <c r="D1836" s="13" t="n">
        <v>0</v>
      </c>
      <c r="E1836" s="0" t="s">
        <v>109</v>
      </c>
      <c r="F1836" s="13" t="n">
        <v>17</v>
      </c>
      <c r="G1836" s="0" t="s">
        <v>110</v>
      </c>
      <c r="H1836" s="13" t="n">
        <v>1110101</v>
      </c>
      <c r="I1836" s="0" t="s">
        <v>111</v>
      </c>
      <c r="J1836" s="13" t="n">
        <v>1673244</v>
      </c>
      <c r="L1836" s="13" t="n">
        <v>1673244</v>
      </c>
      <c r="M1836" s="0" t="s">
        <v>52</v>
      </c>
      <c r="N1836" s="0" t="s">
        <v>112</v>
      </c>
      <c r="P1836" s="13" t="n">
        <v>113</v>
      </c>
      <c r="Q1836" s="0" t="s">
        <v>46</v>
      </c>
      <c r="R1836" s="0" t="s">
        <v>71</v>
      </c>
      <c r="S1836" s="13" t="n">
        <v>4210314</v>
      </c>
      <c r="T1836" s="0" t="s">
        <v>113</v>
      </c>
      <c r="U1836" s="15" t="n">
        <v>50</v>
      </c>
      <c r="W1836" s="15" t="n">
        <v>50</v>
      </c>
      <c r="X1836" s="0" t="s">
        <v>368</v>
      </c>
      <c r="Z1836" s="0" t="str">
        <f aca="false">IF($T1836="","",IFERROR(INDEX('Resumo Grupos'!$AC$3:$AC$200,MATCH($T1836,'Resumo Grupos'!$AB$3:$AB$200,0)),"n/d"))</f>
        <v>Despesa</v>
      </c>
      <c r="AA1836" s="0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3" t="n">
        <v>2</v>
      </c>
      <c r="B1837" s="14" t="n">
        <v>46269</v>
      </c>
      <c r="C1837" s="14" t="n">
        <v>46269</v>
      </c>
      <c r="D1837" s="13" t="n">
        <v>0</v>
      </c>
      <c r="E1837" s="0" t="s">
        <v>109</v>
      </c>
      <c r="F1837" s="13" t="n">
        <v>17</v>
      </c>
      <c r="G1837" s="0" t="s">
        <v>110</v>
      </c>
      <c r="H1837" s="13" t="n">
        <v>1110101</v>
      </c>
      <c r="I1837" s="0" t="s">
        <v>111</v>
      </c>
      <c r="J1837" s="13" t="n">
        <v>1673246</v>
      </c>
      <c r="L1837" s="13" t="n">
        <v>1673246</v>
      </c>
      <c r="M1837" s="0" t="s">
        <v>52</v>
      </c>
      <c r="N1837" s="0" t="s">
        <v>112</v>
      </c>
      <c r="P1837" s="13" t="n">
        <v>113</v>
      </c>
      <c r="Q1837" s="0" t="s">
        <v>46</v>
      </c>
      <c r="R1837" s="0" t="s">
        <v>71</v>
      </c>
      <c r="S1837" s="13" t="n">
        <v>4210309</v>
      </c>
      <c r="T1837" s="0" t="s">
        <v>72</v>
      </c>
      <c r="U1837" s="15" t="n">
        <v>10</v>
      </c>
      <c r="W1837" s="15" t="n">
        <v>10</v>
      </c>
      <c r="X1837" s="0" t="s">
        <v>1552</v>
      </c>
      <c r="Z1837" s="0" t="str">
        <f aca="false">IF($T1837="","",IFERROR(INDEX('Resumo Grupos'!$AC$3:$AC$200,MATCH($T1837,'Resumo Grupos'!$AB$3:$AB$200,0)),"n/d"))</f>
        <v>Salários</v>
      </c>
      <c r="AA1837" s="0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3" t="n">
        <v>2</v>
      </c>
      <c r="B1838" s="14" t="n">
        <v>46269</v>
      </c>
      <c r="C1838" s="14" t="n">
        <v>46269</v>
      </c>
      <c r="D1838" s="13" t="n">
        <v>0</v>
      </c>
      <c r="E1838" s="0" t="s">
        <v>109</v>
      </c>
      <c r="F1838" s="13" t="n">
        <v>17</v>
      </c>
      <c r="G1838" s="0" t="s">
        <v>110</v>
      </c>
      <c r="H1838" s="13" t="n">
        <v>1110101</v>
      </c>
      <c r="I1838" s="0" t="s">
        <v>111</v>
      </c>
      <c r="J1838" s="13" t="n">
        <v>1673247</v>
      </c>
      <c r="L1838" s="13" t="n">
        <v>1673247</v>
      </c>
      <c r="M1838" s="0" t="s">
        <v>52</v>
      </c>
      <c r="N1838" s="0" t="s">
        <v>112</v>
      </c>
      <c r="P1838" s="13" t="n">
        <v>113</v>
      </c>
      <c r="Q1838" s="0" t="s">
        <v>46</v>
      </c>
      <c r="R1838" s="0" t="s">
        <v>39</v>
      </c>
      <c r="S1838" s="13" t="n">
        <v>4210227</v>
      </c>
      <c r="T1838" s="0" t="s">
        <v>68</v>
      </c>
      <c r="U1838" s="15" t="n">
        <v>100</v>
      </c>
      <c r="W1838" s="15" t="n">
        <v>100</v>
      </c>
      <c r="X1838" s="0" t="s">
        <v>1606</v>
      </c>
      <c r="Z1838" s="0" t="str">
        <f aca="false">IF($T1838="","",IFERROR(INDEX('Resumo Grupos'!$AC$3:$AC$200,MATCH($T1838,'Resumo Grupos'!$AB$3:$AB$200,0)),"n/d"))</f>
        <v>Despesa</v>
      </c>
      <c r="AA1838" s="0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3" t="n">
        <v>2</v>
      </c>
      <c r="B1839" s="14" t="n">
        <v>46269</v>
      </c>
      <c r="C1839" s="14" t="n">
        <v>46269</v>
      </c>
      <c r="D1839" s="13" t="n">
        <v>0</v>
      </c>
      <c r="E1839" s="0" t="s">
        <v>109</v>
      </c>
      <c r="F1839" s="13" t="n">
        <v>17</v>
      </c>
      <c r="G1839" s="0" t="s">
        <v>110</v>
      </c>
      <c r="H1839" s="13" t="n">
        <v>1110101</v>
      </c>
      <c r="I1839" s="0" t="s">
        <v>111</v>
      </c>
      <c r="J1839" s="13" t="n">
        <v>1716440</v>
      </c>
      <c r="L1839" s="13" t="n">
        <v>1716440</v>
      </c>
      <c r="M1839" s="0" t="s">
        <v>52</v>
      </c>
      <c r="N1839" s="0" t="s">
        <v>112</v>
      </c>
      <c r="P1839" s="13" t="n">
        <v>113</v>
      </c>
      <c r="Q1839" s="0" t="s">
        <v>46</v>
      </c>
      <c r="R1839" s="0" t="s">
        <v>116</v>
      </c>
      <c r="S1839" s="13" t="n">
        <v>1110203</v>
      </c>
      <c r="T1839" s="0" t="s">
        <v>117</v>
      </c>
      <c r="U1839" s="15" t="n">
        <v>3150</v>
      </c>
      <c r="W1839" s="15" t="n">
        <v>3150</v>
      </c>
      <c r="X1839" s="0" t="s">
        <v>1607</v>
      </c>
      <c r="Z1839" s="0" t="str">
        <f aca="false">IF($T1839="","",IFERROR(INDEX('Resumo Grupos'!$AC$3:$AC$200,MATCH($T1839,'Resumo Grupos'!$AB$3:$AB$200,0)),"n/d"))</f>
        <v>Despesa</v>
      </c>
      <c r="AA1839" s="0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3" t="n">
        <v>2</v>
      </c>
      <c r="B1840" s="14" t="n">
        <v>46256</v>
      </c>
      <c r="C1840" s="14" t="n">
        <v>46269</v>
      </c>
      <c r="D1840" s="13" t="n">
        <v>1666</v>
      </c>
      <c r="E1840" s="0" t="s">
        <v>266</v>
      </c>
      <c r="F1840" s="13" t="n">
        <v>24</v>
      </c>
      <c r="G1840" s="0" t="s">
        <v>51</v>
      </c>
      <c r="H1840" s="13" t="n">
        <v>2110405</v>
      </c>
      <c r="I1840" s="0" t="s">
        <v>56</v>
      </c>
      <c r="J1840" s="13" t="n">
        <v>1585299</v>
      </c>
      <c r="L1840" s="13" t="n">
        <v>216889</v>
      </c>
      <c r="M1840" s="0" t="s">
        <v>52</v>
      </c>
      <c r="N1840" s="0" t="s">
        <v>45</v>
      </c>
      <c r="P1840" s="13" t="n">
        <v>113</v>
      </c>
      <c r="Q1840" s="0" t="s">
        <v>46</v>
      </c>
      <c r="R1840" s="0" t="s">
        <v>47</v>
      </c>
      <c r="S1840" s="13" t="n">
        <v>1130101</v>
      </c>
      <c r="T1840" s="0" t="s">
        <v>48</v>
      </c>
      <c r="U1840" s="15" t="n">
        <v>5720.74</v>
      </c>
      <c r="W1840" s="15" t="n">
        <v>5720.74</v>
      </c>
      <c r="X1840" s="0" t="s">
        <v>1486</v>
      </c>
      <c r="Z1840" s="0" t="str">
        <f aca="false">IF($T1840="","",IFERROR(INDEX('Resumo Grupos'!$AC$3:$AC$200,MATCH($T1840,'Resumo Grupos'!$AB$3:$AB$200,0)),"n/d"))</f>
        <v>Mercadoria</v>
      </c>
      <c r="AA1840" s="0" t="str">
        <f aca="false">IF($T1840="","",IF(COUNTIF('Resumo Grupos'!$AE$3:$AE$40,$T1840)&gt;0,"NAO","SIM"))</f>
        <v>SIM</v>
      </c>
      <c r="AB1840" s="0" t="str">
        <f aca="false">IFERROR(INDEX('Mov Entradas (Rel 10497)'!$L:$L,MATCH(AC1840,'Mov Entradas (Rel 10497)'!$I:$I,0)),"nao encontrado")</f>
        <v>DUNHILL CARLTON BLEN</v>
      </c>
      <c r="AC1840" s="0" t="n">
        <v>570907</v>
      </c>
    </row>
    <row r="1841" customFormat="false" ht="12.75" hidden="false" customHeight="true" outlineLevel="0" collapsed="false">
      <c r="A1841" s="13" t="n">
        <v>2</v>
      </c>
      <c r="B1841" s="14" t="n">
        <v>46269</v>
      </c>
      <c r="C1841" s="14" t="n">
        <v>46269</v>
      </c>
      <c r="D1841" s="13" t="n">
        <v>18</v>
      </c>
      <c r="E1841" s="0" t="s">
        <v>121</v>
      </c>
      <c r="F1841" s="13" t="n">
        <v>7</v>
      </c>
      <c r="G1841" s="0" t="s">
        <v>222</v>
      </c>
      <c r="H1841" s="13" t="n">
        <v>2110405</v>
      </c>
      <c r="I1841" s="0" t="s">
        <v>56</v>
      </c>
      <c r="J1841" s="13" t="n">
        <v>1678194</v>
      </c>
      <c r="L1841" s="13" t="n">
        <v>230245</v>
      </c>
      <c r="M1841" s="0" t="s">
        <v>52</v>
      </c>
      <c r="N1841" s="0" t="s">
        <v>45</v>
      </c>
      <c r="P1841" s="13" t="n">
        <v>113</v>
      </c>
      <c r="Q1841" s="0" t="s">
        <v>46</v>
      </c>
      <c r="R1841" s="0" t="s">
        <v>71</v>
      </c>
      <c r="S1841" s="13" t="n">
        <v>4210301</v>
      </c>
      <c r="T1841" s="0" t="s">
        <v>220</v>
      </c>
      <c r="U1841" s="15" t="n">
        <v>525.19</v>
      </c>
      <c r="W1841" s="15" t="n">
        <v>0</v>
      </c>
      <c r="X1841" s="0" t="s">
        <v>733</v>
      </c>
      <c r="Z1841" s="0" t="str">
        <f aca="false">IF($T1841="","",IFERROR(INDEX('Resumo Grupos'!$AC$3:$AC$200,MATCH($T1841,'Resumo Grupos'!$AB$3:$AB$200,0)),"n/d"))</f>
        <v>Salários</v>
      </c>
      <c r="AA1841" s="0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3" t="n">
        <v>2</v>
      </c>
      <c r="B1842" s="14" t="n">
        <v>46247</v>
      </c>
      <c r="C1842" s="14" t="n">
        <v>46269</v>
      </c>
      <c r="D1842" s="13" t="n">
        <v>1136</v>
      </c>
      <c r="E1842" s="0" t="s">
        <v>1193</v>
      </c>
      <c r="F1842" s="13" t="n">
        <v>24</v>
      </c>
      <c r="G1842" s="0" t="s">
        <v>51</v>
      </c>
      <c r="H1842" s="13" t="n">
        <v>2110405</v>
      </c>
      <c r="I1842" s="0" t="s">
        <v>56</v>
      </c>
      <c r="J1842" s="13" t="n">
        <v>1543200</v>
      </c>
      <c r="L1842" s="13" t="n">
        <v>210474</v>
      </c>
      <c r="M1842" s="0" t="s">
        <v>52</v>
      </c>
      <c r="N1842" s="0" t="s">
        <v>45</v>
      </c>
      <c r="P1842" s="13" t="n">
        <v>113</v>
      </c>
      <c r="Q1842" s="0" t="s">
        <v>46</v>
      </c>
      <c r="R1842" s="0" t="s">
        <v>47</v>
      </c>
      <c r="S1842" s="13" t="n">
        <v>1130101</v>
      </c>
      <c r="T1842" s="0" t="s">
        <v>48</v>
      </c>
      <c r="U1842" s="15" t="n">
        <v>1393.49</v>
      </c>
      <c r="W1842" s="15" t="n">
        <v>1393.49</v>
      </c>
      <c r="X1842" s="0" t="s">
        <v>1608</v>
      </c>
      <c r="Z1842" s="0" t="str">
        <f aca="false">IF($T1842="","",IFERROR(INDEX('Resumo Grupos'!$AC$3:$AC$200,MATCH($T1842,'Resumo Grupos'!$AB$3:$AB$200,0)),"n/d"))</f>
        <v>Mercadoria</v>
      </c>
      <c r="AA1842" s="0" t="str">
        <f aca="false">IF($T1842="","",IF(COUNTIF('Resumo Grupos'!$AE$3:$AE$40,$T1842)&gt;0,"NAO","SIM"))</f>
        <v>SIM</v>
      </c>
      <c r="AB1842" s="0" t="str">
        <f aca="false">IFERROR(INDEX('Mov Entradas (Rel 10497)'!$L:$L,MATCH(AC1842,'Mov Entradas (Rel 10497)'!$I:$I,0)),"nao encontrado")</f>
        <v>KRO QUEIJO 100G</v>
      </c>
      <c r="AC1842" s="0" t="n">
        <v>53859</v>
      </c>
    </row>
    <row r="1843" customFormat="false" ht="12.75" hidden="false" customHeight="true" outlineLevel="0" collapsed="false">
      <c r="A1843" s="13" t="n">
        <v>2</v>
      </c>
      <c r="B1843" s="14" t="n">
        <v>46248</v>
      </c>
      <c r="C1843" s="14" t="n">
        <v>46270</v>
      </c>
      <c r="D1843" s="13" t="n">
        <v>1718</v>
      </c>
      <c r="E1843" s="0" t="s">
        <v>236</v>
      </c>
      <c r="F1843" s="13" t="n">
        <v>24</v>
      </c>
      <c r="G1843" s="0" t="s">
        <v>51</v>
      </c>
      <c r="H1843" s="13" t="n">
        <v>2110405</v>
      </c>
      <c r="I1843" s="0" t="s">
        <v>56</v>
      </c>
      <c r="J1843" s="13" t="n">
        <v>1547755</v>
      </c>
      <c r="L1843" s="13" t="n">
        <v>211394</v>
      </c>
      <c r="M1843" s="0" t="s">
        <v>52</v>
      </c>
      <c r="N1843" s="0" t="s">
        <v>45</v>
      </c>
      <c r="P1843" s="13" t="n">
        <v>113</v>
      </c>
      <c r="Q1843" s="0" t="s">
        <v>46</v>
      </c>
      <c r="R1843" s="0" t="s">
        <v>47</v>
      </c>
      <c r="S1843" s="13" t="n">
        <v>1130101</v>
      </c>
      <c r="T1843" s="0" t="s">
        <v>48</v>
      </c>
      <c r="U1843" s="15" t="n">
        <v>706.56</v>
      </c>
      <c r="W1843" s="15" t="n">
        <v>706.56</v>
      </c>
      <c r="X1843" s="0" t="s">
        <v>1487</v>
      </c>
      <c r="Z1843" s="0" t="str">
        <f aca="false">IF($T1843="","",IFERROR(INDEX('Resumo Grupos'!$AC$3:$AC$200,MATCH($T1843,'Resumo Grupos'!$AB$3:$AB$200,0)),"n/d"))</f>
        <v>Mercadoria</v>
      </c>
      <c r="AA1843" s="0" t="str">
        <f aca="false">IF($T1843="","",IF(COUNTIF('Resumo Grupos'!$AE$3:$AE$40,$T1843)&gt;0,"NAO","SIM"))</f>
        <v>SIM</v>
      </c>
      <c r="AB1843" s="0" t="str">
        <f aca="false">IFERROR(INDEX('Mov Entradas (Rel 10497)'!$L:$L,MATCH(AC1843,'Mov Entradas (Rel 10497)'!$I:$I,0)),"nao encontrado")</f>
        <v>CAFE PILAO 250G</v>
      </c>
      <c r="AC1843" s="0" t="n">
        <v>689222</v>
      </c>
    </row>
    <row r="1844" customFormat="false" ht="12.75" hidden="false" customHeight="true" outlineLevel="0" collapsed="false">
      <c r="A1844" s="13" t="n">
        <v>2</v>
      </c>
      <c r="B1844" s="14" t="n">
        <v>46249</v>
      </c>
      <c r="C1844" s="14" t="n">
        <v>46270</v>
      </c>
      <c r="D1844" s="13" t="n">
        <v>1718</v>
      </c>
      <c r="E1844" s="0" t="s">
        <v>236</v>
      </c>
      <c r="F1844" s="13" t="n">
        <v>24</v>
      </c>
      <c r="G1844" s="0" t="s">
        <v>51</v>
      </c>
      <c r="H1844" s="13" t="n">
        <v>2110405</v>
      </c>
      <c r="I1844" s="0" t="s">
        <v>56</v>
      </c>
      <c r="J1844" s="13" t="n">
        <v>1551498</v>
      </c>
      <c r="L1844" s="13" t="n">
        <v>211718</v>
      </c>
      <c r="M1844" s="0" t="s">
        <v>52</v>
      </c>
      <c r="N1844" s="0" t="s">
        <v>45</v>
      </c>
      <c r="P1844" s="13" t="n">
        <v>113</v>
      </c>
      <c r="Q1844" s="0" t="s">
        <v>46</v>
      </c>
      <c r="R1844" s="0" t="s">
        <v>47</v>
      </c>
      <c r="S1844" s="13" t="n">
        <v>1130101</v>
      </c>
      <c r="T1844" s="0" t="s">
        <v>48</v>
      </c>
      <c r="U1844" s="15" t="n">
        <v>1422.67</v>
      </c>
      <c r="W1844" s="15" t="n">
        <v>1422.67</v>
      </c>
      <c r="X1844" s="0" t="s">
        <v>1488</v>
      </c>
      <c r="Z1844" s="0" t="str">
        <f aca="false">IF($T1844="","",IFERROR(INDEX('Resumo Grupos'!$AC$3:$AC$200,MATCH($T1844,'Resumo Grupos'!$AB$3:$AB$200,0)),"n/d"))</f>
        <v>Mercadoria</v>
      </c>
      <c r="AA1844" s="0" t="str">
        <f aca="false">IF($T1844="","",IF(COUNTIF('Resumo Grupos'!$AE$3:$AE$40,$T1844)&gt;0,"NAO","SIM"))</f>
        <v>SIM</v>
      </c>
      <c r="AB1844" s="0" t="str">
        <f aca="false">IFERROR(INDEX('Mov Entradas (Rel 10497)'!$L:$L,MATCH(AC1844,'Mov Entradas (Rel 10497)'!$I:$I,0)),"nao encontrado")</f>
        <v>TRIDENT CANELA</v>
      </c>
      <c r="AC1844" s="0" t="n">
        <v>689224</v>
      </c>
    </row>
    <row r="1845" customFormat="false" ht="12.75" hidden="false" customHeight="true" outlineLevel="0" collapsed="false">
      <c r="A1845" s="13" t="n">
        <v>2</v>
      </c>
      <c r="B1845" s="14" t="n">
        <v>46209</v>
      </c>
      <c r="C1845" s="14" t="n">
        <v>46270</v>
      </c>
      <c r="D1845" s="13" t="n">
        <v>1768</v>
      </c>
      <c r="E1845" s="0" t="s">
        <v>378</v>
      </c>
      <c r="F1845" s="13" t="n">
        <v>34</v>
      </c>
      <c r="G1845" s="0" t="s">
        <v>55</v>
      </c>
      <c r="H1845" s="13" t="n">
        <v>2110405</v>
      </c>
      <c r="I1845" s="0" t="s">
        <v>56</v>
      </c>
      <c r="J1845" s="13" t="n">
        <v>628286</v>
      </c>
      <c r="L1845" s="13" t="n">
        <v>81552</v>
      </c>
      <c r="M1845" s="0" t="s">
        <v>80</v>
      </c>
      <c r="N1845" s="0" t="s">
        <v>45</v>
      </c>
      <c r="P1845" s="13" t="n">
        <v>102</v>
      </c>
      <c r="Q1845" s="0" t="s">
        <v>308</v>
      </c>
      <c r="R1845" s="0" t="s">
        <v>39</v>
      </c>
      <c r="S1845" s="13" t="n">
        <v>4210202</v>
      </c>
      <c r="T1845" s="0" t="s">
        <v>379</v>
      </c>
      <c r="U1845" s="15" t="n">
        <v>2431.5</v>
      </c>
      <c r="W1845" s="15" t="n">
        <v>2431.5</v>
      </c>
      <c r="X1845" s="0" t="s">
        <v>380</v>
      </c>
      <c r="Z1845" s="0" t="str">
        <f aca="false">IF($T1845="","",IFERROR(INDEX('Resumo Grupos'!$AC$3:$AC$200,MATCH($T1845,'Resumo Grupos'!$AB$3:$AB$200,0)),"n/d"))</f>
        <v>Despesa</v>
      </c>
      <c r="AA1845" s="0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3" t="n">
        <v>2</v>
      </c>
      <c r="B1846" s="14" t="n">
        <v>46270</v>
      </c>
      <c r="C1846" s="14" t="n">
        <v>46270</v>
      </c>
      <c r="D1846" s="13" t="n">
        <v>10096</v>
      </c>
      <c r="E1846" s="0" t="s">
        <v>622</v>
      </c>
      <c r="F1846" s="13" t="n">
        <v>13</v>
      </c>
      <c r="G1846" s="0" t="s">
        <v>135</v>
      </c>
      <c r="H1846" s="13" t="n">
        <v>2110405</v>
      </c>
      <c r="I1846" s="0" t="s">
        <v>56</v>
      </c>
      <c r="J1846" s="13" t="n">
        <v>1672522</v>
      </c>
      <c r="L1846" s="13" t="n">
        <v>229259</v>
      </c>
      <c r="M1846" s="0" t="s">
        <v>52</v>
      </c>
      <c r="N1846" s="0" t="s">
        <v>45</v>
      </c>
      <c r="P1846" s="13" t="n">
        <v>113</v>
      </c>
      <c r="Q1846" s="0" t="s">
        <v>46</v>
      </c>
      <c r="R1846" s="0" t="s">
        <v>47</v>
      </c>
      <c r="S1846" s="13" t="n">
        <v>1130101</v>
      </c>
      <c r="T1846" s="0" t="s">
        <v>48</v>
      </c>
      <c r="U1846" s="15" t="n">
        <v>200</v>
      </c>
      <c r="W1846" s="15" t="n">
        <v>200</v>
      </c>
      <c r="X1846" s="0" t="s">
        <v>1609</v>
      </c>
      <c r="Z1846" s="0" t="str">
        <f aca="false">IF($T1846="","",IFERROR(INDEX('Resumo Grupos'!$AC$3:$AC$200,MATCH($T1846,'Resumo Grupos'!$AB$3:$AB$200,0)),"n/d"))</f>
        <v>Mercadoria</v>
      </c>
      <c r="AA1846" s="0" t="str">
        <f aca="false">IF($T1846="","",IF(COUNTIF('Resumo Grupos'!$AE$3:$AE$40,$T1846)&gt;0,"NAO","SIM"))</f>
        <v>SIM</v>
      </c>
      <c r="AB1846" s="0" t="str">
        <f aca="false">IFERROR(INDEX('Mov Entradas (Rel 10497)'!$L:$L,MATCH(AC1846,'Mov Entradas (Rel 10497)'!$I:$I,0)),"nao encontrado")</f>
        <v>BOLO MIYAZAKI GRANDE</v>
      </c>
      <c r="AC1846" s="0" t="n">
        <v>256</v>
      </c>
    </row>
    <row r="1847" customFormat="false" ht="12.75" hidden="false" customHeight="true" outlineLevel="0" collapsed="false">
      <c r="A1847" s="13" t="n">
        <v>2</v>
      </c>
      <c r="B1847" s="14" t="n">
        <v>46265</v>
      </c>
      <c r="C1847" s="14" t="n">
        <v>46270</v>
      </c>
      <c r="D1847" s="13" t="n">
        <v>1363</v>
      </c>
      <c r="E1847" s="0" t="s">
        <v>174</v>
      </c>
      <c r="F1847" s="13" t="n">
        <v>24</v>
      </c>
      <c r="G1847" s="0" t="s">
        <v>51</v>
      </c>
      <c r="H1847" s="13" t="n">
        <v>2110405</v>
      </c>
      <c r="I1847" s="0" t="s">
        <v>56</v>
      </c>
      <c r="J1847" s="13" t="n">
        <v>1628789</v>
      </c>
      <c r="L1847" s="13" t="n">
        <v>223357</v>
      </c>
      <c r="M1847" s="0" t="s">
        <v>52</v>
      </c>
      <c r="N1847" s="0" t="s">
        <v>45</v>
      </c>
      <c r="P1847" s="13" t="n">
        <v>113</v>
      </c>
      <c r="Q1847" s="0" t="s">
        <v>46</v>
      </c>
      <c r="R1847" s="0" t="s">
        <v>47</v>
      </c>
      <c r="S1847" s="13" t="n">
        <v>1130101</v>
      </c>
      <c r="T1847" s="0" t="s">
        <v>48</v>
      </c>
      <c r="U1847" s="15" t="n">
        <v>125</v>
      </c>
      <c r="W1847" s="15" t="n">
        <v>125</v>
      </c>
      <c r="X1847" s="0" t="s">
        <v>1610</v>
      </c>
      <c r="Z1847" s="0" t="str">
        <f aca="false">IF($T1847="","",IFERROR(INDEX('Resumo Grupos'!$AC$3:$AC$200,MATCH($T1847,'Resumo Grupos'!$AB$3:$AB$200,0)),"n/d"))</f>
        <v>Mercadoria</v>
      </c>
      <c r="AA1847" s="0" t="str">
        <f aca="false">IF($T1847="","",IF(COUNTIF('Resumo Grupos'!$AE$3:$AE$40,$T1847)&gt;0,"NAO","SIM"))</f>
        <v>SIM</v>
      </c>
      <c r="AB1847" s="0" t="str">
        <f aca="false">IFERROR(INDEX('Mov Entradas (Rel 10497)'!$L:$L,MATCH(AC1847,'Mov Entradas (Rel 10497)'!$I:$I,0)),"nao encontrado")</f>
        <v>PAO HAMBURGUER SANTO PAO</v>
      </c>
      <c r="AC1847" s="0" t="n">
        <v>3829</v>
      </c>
    </row>
    <row r="1848" customFormat="false" ht="12.75" hidden="false" customHeight="true" outlineLevel="0" collapsed="false">
      <c r="A1848" s="13" t="n">
        <v>2</v>
      </c>
      <c r="B1848" s="14" t="n">
        <v>46262</v>
      </c>
      <c r="C1848" s="14" t="n">
        <v>46270</v>
      </c>
      <c r="D1848" s="13" t="n">
        <v>1778</v>
      </c>
      <c r="E1848" s="0" t="s">
        <v>200</v>
      </c>
      <c r="F1848" s="13" t="n">
        <v>24</v>
      </c>
      <c r="G1848" s="0" t="s">
        <v>51</v>
      </c>
      <c r="H1848" s="13" t="n">
        <v>2110405</v>
      </c>
      <c r="I1848" s="0" t="s">
        <v>56</v>
      </c>
      <c r="J1848" s="13" t="n">
        <v>1614618</v>
      </c>
      <c r="L1848" s="13" t="n">
        <v>221466</v>
      </c>
      <c r="M1848" s="0" t="s">
        <v>52</v>
      </c>
      <c r="N1848" s="0" t="s">
        <v>45</v>
      </c>
      <c r="P1848" s="13" t="n">
        <v>113</v>
      </c>
      <c r="Q1848" s="0" t="s">
        <v>46</v>
      </c>
      <c r="R1848" s="0" t="s">
        <v>39</v>
      </c>
      <c r="S1848" s="13" t="n">
        <v>4210207</v>
      </c>
      <c r="T1848" s="0" t="s">
        <v>201</v>
      </c>
      <c r="U1848" s="15" t="n">
        <v>620.88</v>
      </c>
      <c r="W1848" s="15" t="n">
        <v>620.88</v>
      </c>
      <c r="X1848" s="0" t="s">
        <v>202</v>
      </c>
      <c r="Z1848" s="0" t="str">
        <f aca="false">IF($T1848="","",IFERROR(INDEX('Resumo Grupos'!$AC$3:$AC$200,MATCH($T1848,'Resumo Grupos'!$AB$3:$AB$200,0)),"n/d"))</f>
        <v>Despesa</v>
      </c>
      <c r="AA1848" s="0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3" t="n">
        <v>2</v>
      </c>
      <c r="B1849" s="14" t="n">
        <v>46265</v>
      </c>
      <c r="C1849" s="14" t="n">
        <v>46270</v>
      </c>
      <c r="D1849" s="13" t="n">
        <v>1625</v>
      </c>
      <c r="E1849" s="0" t="s">
        <v>270</v>
      </c>
      <c r="F1849" s="13" t="n">
        <v>24</v>
      </c>
      <c r="G1849" s="0" t="s">
        <v>51</v>
      </c>
      <c r="H1849" s="13" t="n">
        <v>2110405</v>
      </c>
      <c r="I1849" s="0" t="s">
        <v>56</v>
      </c>
      <c r="J1849" s="13" t="n">
        <v>1629113</v>
      </c>
      <c r="L1849" s="13" t="n">
        <v>223429</v>
      </c>
      <c r="M1849" s="0" t="s">
        <v>52</v>
      </c>
      <c r="N1849" s="0" t="s">
        <v>45</v>
      </c>
      <c r="P1849" s="13" t="n">
        <v>113</v>
      </c>
      <c r="Q1849" s="0" t="s">
        <v>46</v>
      </c>
      <c r="R1849" s="0" t="s">
        <v>47</v>
      </c>
      <c r="S1849" s="13" t="n">
        <v>1130101</v>
      </c>
      <c r="T1849" s="0" t="s">
        <v>48</v>
      </c>
      <c r="U1849" s="15" t="n">
        <v>1557.6</v>
      </c>
      <c r="W1849" s="15" t="n">
        <v>1557.6</v>
      </c>
      <c r="X1849" s="0" t="s">
        <v>1611</v>
      </c>
      <c r="Z1849" s="0" t="str">
        <f aca="false">IF($T1849="","",IFERROR(INDEX('Resumo Grupos'!$AC$3:$AC$200,MATCH($T1849,'Resumo Grupos'!$AB$3:$AB$200,0)),"n/d"))</f>
        <v>Mercadoria</v>
      </c>
      <c r="AA1849" s="0" t="str">
        <f aca="false">IF($T1849="","",IF(COUNTIF('Resumo Grupos'!$AE$3:$AE$40,$T1849)&gt;0,"NAO","SIM"))</f>
        <v>SIM</v>
      </c>
      <c r="AB1849" s="0" t="str">
        <f aca="false">IFERROR(INDEX('Mov Entradas (Rel 10497)'!$L:$L,MATCH(AC1849,'Mov Entradas (Rel 10497)'!$I:$I,0)),"nao encontrado")</f>
        <v>DIANTEIRO DE BOI L</v>
      </c>
      <c r="AC1849" s="0" t="n">
        <v>15213</v>
      </c>
    </row>
    <row r="1850" customFormat="false" ht="12.75" hidden="false" customHeight="true" outlineLevel="0" collapsed="false">
      <c r="A1850" s="13" t="n">
        <v>2</v>
      </c>
      <c r="B1850" s="14" t="n">
        <v>46270</v>
      </c>
      <c r="C1850" s="14" t="n">
        <v>46270</v>
      </c>
      <c r="D1850" s="13" t="n">
        <v>0</v>
      </c>
      <c r="E1850" s="0" t="s">
        <v>109</v>
      </c>
      <c r="F1850" s="13" t="n">
        <v>17</v>
      </c>
      <c r="G1850" s="0" t="s">
        <v>110</v>
      </c>
      <c r="H1850" s="13" t="n">
        <v>1110101</v>
      </c>
      <c r="I1850" s="0" t="s">
        <v>111</v>
      </c>
      <c r="J1850" s="13" t="n">
        <v>1673344</v>
      </c>
      <c r="L1850" s="13" t="n">
        <v>1673344</v>
      </c>
      <c r="M1850" s="0" t="s">
        <v>52</v>
      </c>
      <c r="N1850" s="0" t="s">
        <v>112</v>
      </c>
      <c r="P1850" s="13" t="n">
        <v>113</v>
      </c>
      <c r="Q1850" s="0" t="s">
        <v>46</v>
      </c>
      <c r="R1850" s="0" t="s">
        <v>56</v>
      </c>
      <c r="S1850" s="13" t="n">
        <v>2110405</v>
      </c>
      <c r="T1850" s="0" t="s">
        <v>56</v>
      </c>
      <c r="U1850" s="15" t="n">
        <v>200</v>
      </c>
      <c r="W1850" s="15" t="n">
        <v>200</v>
      </c>
      <c r="X1850" s="0" t="s">
        <v>1612</v>
      </c>
      <c r="Z1850" s="0" t="str">
        <f aca="false">IF($T1850="","",IFERROR(INDEX('Resumo Grupos'!$AC$3:$AC$200,MATCH($T1850,'Resumo Grupos'!$AB$3:$AB$200,0)),"n/d"))</f>
        <v>Cobertura de conta</v>
      </c>
      <c r="AA1850" s="0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3" t="n">
        <v>2</v>
      </c>
      <c r="B1851" s="14" t="n">
        <v>46270</v>
      </c>
      <c r="C1851" s="14" t="n">
        <v>46270</v>
      </c>
      <c r="D1851" s="13" t="n">
        <v>0</v>
      </c>
      <c r="E1851" s="0" t="s">
        <v>109</v>
      </c>
      <c r="F1851" s="13" t="n">
        <v>17</v>
      </c>
      <c r="G1851" s="0" t="s">
        <v>110</v>
      </c>
      <c r="H1851" s="13" t="n">
        <v>1110101</v>
      </c>
      <c r="I1851" s="0" t="s">
        <v>111</v>
      </c>
      <c r="J1851" s="13" t="n">
        <v>1673360</v>
      </c>
      <c r="L1851" s="13" t="n">
        <v>1673360</v>
      </c>
      <c r="M1851" s="0" t="s">
        <v>52</v>
      </c>
      <c r="N1851" s="0" t="s">
        <v>112</v>
      </c>
      <c r="P1851" s="13" t="n">
        <v>113</v>
      </c>
      <c r="Q1851" s="0" t="s">
        <v>46</v>
      </c>
      <c r="R1851" s="0" t="s">
        <v>71</v>
      </c>
      <c r="S1851" s="13" t="n">
        <v>4210314</v>
      </c>
      <c r="T1851" s="0" t="s">
        <v>113</v>
      </c>
      <c r="U1851" s="15" t="n">
        <v>50</v>
      </c>
      <c r="W1851" s="15" t="n">
        <v>50</v>
      </c>
      <c r="X1851" s="0" t="s">
        <v>368</v>
      </c>
      <c r="Z1851" s="0" t="str">
        <f aca="false">IF($T1851="","",IFERROR(INDEX('Resumo Grupos'!$AC$3:$AC$200,MATCH($T1851,'Resumo Grupos'!$AB$3:$AB$200,0)),"n/d"))</f>
        <v>Despesa</v>
      </c>
      <c r="AA1851" s="0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3" t="n">
        <v>2</v>
      </c>
      <c r="B1852" s="14" t="n">
        <v>46270</v>
      </c>
      <c r="C1852" s="14" t="n">
        <v>46270</v>
      </c>
      <c r="D1852" s="13" t="n">
        <v>0</v>
      </c>
      <c r="E1852" s="0" t="s">
        <v>109</v>
      </c>
      <c r="F1852" s="13" t="n">
        <v>17</v>
      </c>
      <c r="G1852" s="0" t="s">
        <v>110</v>
      </c>
      <c r="H1852" s="13" t="n">
        <v>1110101</v>
      </c>
      <c r="I1852" s="0" t="s">
        <v>111</v>
      </c>
      <c r="J1852" s="13" t="n">
        <v>1673363</v>
      </c>
      <c r="L1852" s="13" t="n">
        <v>1673363</v>
      </c>
      <c r="M1852" s="0" t="s">
        <v>52</v>
      </c>
      <c r="N1852" s="0" t="s">
        <v>112</v>
      </c>
      <c r="P1852" s="13" t="n">
        <v>113</v>
      </c>
      <c r="Q1852" s="0" t="s">
        <v>46</v>
      </c>
      <c r="R1852" s="0" t="s">
        <v>71</v>
      </c>
      <c r="S1852" s="13" t="n">
        <v>4210314</v>
      </c>
      <c r="T1852" s="0" t="s">
        <v>113</v>
      </c>
      <c r="U1852" s="15" t="n">
        <v>200</v>
      </c>
      <c r="W1852" s="15" t="n">
        <v>200</v>
      </c>
      <c r="X1852" s="0" t="s">
        <v>1613</v>
      </c>
      <c r="Z1852" s="0" t="str">
        <f aca="false">IF($T1852="","",IFERROR(INDEX('Resumo Grupos'!$AC$3:$AC$200,MATCH($T1852,'Resumo Grupos'!$AB$3:$AB$200,0)),"n/d"))</f>
        <v>Despesa</v>
      </c>
      <c r="AA1852" s="0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3" t="n">
        <v>2</v>
      </c>
      <c r="B1853" s="14" t="n">
        <v>46270</v>
      </c>
      <c r="C1853" s="14" t="n">
        <v>46270</v>
      </c>
      <c r="D1853" s="13" t="n">
        <v>0</v>
      </c>
      <c r="E1853" s="0" t="s">
        <v>109</v>
      </c>
      <c r="F1853" s="13" t="n">
        <v>17</v>
      </c>
      <c r="G1853" s="0" t="s">
        <v>110</v>
      </c>
      <c r="H1853" s="13" t="n">
        <v>1110101</v>
      </c>
      <c r="I1853" s="0" t="s">
        <v>111</v>
      </c>
      <c r="J1853" s="13" t="n">
        <v>1673365</v>
      </c>
      <c r="L1853" s="13" t="n">
        <v>1673365</v>
      </c>
      <c r="M1853" s="0" t="s">
        <v>52</v>
      </c>
      <c r="N1853" s="0" t="s">
        <v>112</v>
      </c>
      <c r="P1853" s="13" t="n">
        <v>113</v>
      </c>
      <c r="Q1853" s="0" t="s">
        <v>46</v>
      </c>
      <c r="R1853" s="0" t="s">
        <v>71</v>
      </c>
      <c r="S1853" s="13" t="n">
        <v>4210316</v>
      </c>
      <c r="T1853" s="0" t="s">
        <v>159</v>
      </c>
      <c r="U1853" s="15" t="n">
        <v>400</v>
      </c>
      <c r="W1853" s="15" t="n">
        <v>400</v>
      </c>
      <c r="X1853" s="0" t="s">
        <v>1614</v>
      </c>
      <c r="Z1853" s="0" t="str">
        <f aca="false">IF($T1853="","",IFERROR(INDEX('Resumo Grupos'!$AC$3:$AC$200,MATCH($T1853,'Resumo Grupos'!$AB$3:$AB$200,0)),"n/d"))</f>
        <v>Salários</v>
      </c>
      <c r="AA1853" s="0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3" t="n">
        <v>2</v>
      </c>
      <c r="B1854" s="14" t="n">
        <v>46270</v>
      </c>
      <c r="C1854" s="14" t="n">
        <v>46270</v>
      </c>
      <c r="D1854" s="13" t="n">
        <v>0</v>
      </c>
      <c r="E1854" s="0" t="s">
        <v>109</v>
      </c>
      <c r="F1854" s="13" t="n">
        <v>17</v>
      </c>
      <c r="G1854" s="0" t="s">
        <v>110</v>
      </c>
      <c r="H1854" s="13" t="n">
        <v>1110101</v>
      </c>
      <c r="I1854" s="0" t="s">
        <v>111</v>
      </c>
      <c r="J1854" s="13" t="n">
        <v>1673367</v>
      </c>
      <c r="L1854" s="13" t="n">
        <v>1673367</v>
      </c>
      <c r="M1854" s="0" t="s">
        <v>52</v>
      </c>
      <c r="N1854" s="0" t="s">
        <v>112</v>
      </c>
      <c r="P1854" s="13" t="n">
        <v>113</v>
      </c>
      <c r="Q1854" s="0" t="s">
        <v>46</v>
      </c>
      <c r="R1854" s="0" t="s">
        <v>71</v>
      </c>
      <c r="S1854" s="13" t="n">
        <v>4210309</v>
      </c>
      <c r="T1854" s="0" t="s">
        <v>72</v>
      </c>
      <c r="U1854" s="15" t="n">
        <v>10</v>
      </c>
      <c r="W1854" s="15" t="n">
        <v>10</v>
      </c>
      <c r="X1854" s="0" t="s">
        <v>1552</v>
      </c>
      <c r="Z1854" s="0" t="str">
        <f aca="false">IF($T1854="","",IFERROR(INDEX('Resumo Grupos'!$AC$3:$AC$200,MATCH($T1854,'Resumo Grupos'!$AB$3:$AB$200,0)),"n/d"))</f>
        <v>Salários</v>
      </c>
      <c r="AA1854" s="0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3" t="n">
        <v>2</v>
      </c>
      <c r="B1855" s="14" t="n">
        <v>46270</v>
      </c>
      <c r="C1855" s="14" t="n">
        <v>46270</v>
      </c>
      <c r="D1855" s="13" t="n">
        <v>0</v>
      </c>
      <c r="E1855" s="0" t="s">
        <v>109</v>
      </c>
      <c r="F1855" s="13" t="n">
        <v>17</v>
      </c>
      <c r="G1855" s="0" t="s">
        <v>110</v>
      </c>
      <c r="H1855" s="13" t="n">
        <v>1110101</v>
      </c>
      <c r="I1855" s="0" t="s">
        <v>111</v>
      </c>
      <c r="J1855" s="13" t="n">
        <v>1673394</v>
      </c>
      <c r="L1855" s="13" t="n">
        <v>1673394</v>
      </c>
      <c r="M1855" s="0" t="s">
        <v>52</v>
      </c>
      <c r="N1855" s="0" t="s">
        <v>112</v>
      </c>
      <c r="P1855" s="13" t="n">
        <v>113</v>
      </c>
      <c r="Q1855" s="0" t="s">
        <v>46</v>
      </c>
      <c r="R1855" s="0" t="s">
        <v>39</v>
      </c>
      <c r="S1855" s="13" t="n">
        <v>4210227</v>
      </c>
      <c r="T1855" s="0" t="s">
        <v>68</v>
      </c>
      <c r="U1855" s="15" t="n">
        <v>400</v>
      </c>
      <c r="W1855" s="15" t="n">
        <v>400</v>
      </c>
      <c r="X1855" s="0" t="s">
        <v>1615</v>
      </c>
      <c r="Z1855" s="0" t="str">
        <f aca="false">IF($T1855="","",IFERROR(INDEX('Resumo Grupos'!$AC$3:$AC$200,MATCH($T1855,'Resumo Grupos'!$AB$3:$AB$200,0)),"n/d"))</f>
        <v>Despesa</v>
      </c>
      <c r="AA1855" s="0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3" t="n">
        <v>2</v>
      </c>
      <c r="B1856" s="14" t="n">
        <v>46270</v>
      </c>
      <c r="C1856" s="14" t="n">
        <v>46270</v>
      </c>
      <c r="D1856" s="13" t="n">
        <v>0</v>
      </c>
      <c r="E1856" s="0" t="s">
        <v>109</v>
      </c>
      <c r="F1856" s="13" t="n">
        <v>17</v>
      </c>
      <c r="G1856" s="0" t="s">
        <v>110</v>
      </c>
      <c r="H1856" s="13" t="n">
        <v>1110101</v>
      </c>
      <c r="I1856" s="0" t="s">
        <v>111</v>
      </c>
      <c r="J1856" s="13" t="n">
        <v>1673401</v>
      </c>
      <c r="L1856" s="13" t="n">
        <v>1673401</v>
      </c>
      <c r="M1856" s="0" t="s">
        <v>52</v>
      </c>
      <c r="N1856" s="0" t="s">
        <v>112</v>
      </c>
      <c r="P1856" s="13" t="n">
        <v>113</v>
      </c>
      <c r="Q1856" s="0" t="s">
        <v>46</v>
      </c>
      <c r="R1856" s="0" t="s">
        <v>39</v>
      </c>
      <c r="S1856" s="13" t="n">
        <v>4210227</v>
      </c>
      <c r="T1856" s="0" t="s">
        <v>68</v>
      </c>
      <c r="U1856" s="15" t="n">
        <v>372.25</v>
      </c>
      <c r="W1856" s="15" t="n">
        <v>372.25</v>
      </c>
      <c r="X1856" s="0" t="s">
        <v>1615</v>
      </c>
      <c r="Z1856" s="0" t="str">
        <f aca="false">IF($T1856="","",IFERROR(INDEX('Resumo Grupos'!$AC$3:$AC$200,MATCH($T1856,'Resumo Grupos'!$AB$3:$AB$200,0)),"n/d"))</f>
        <v>Despesa</v>
      </c>
      <c r="AA1856" s="0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3" t="n">
        <v>2</v>
      </c>
      <c r="B1857" s="14" t="n">
        <v>46270</v>
      </c>
      <c r="C1857" s="14" t="n">
        <v>46270</v>
      </c>
      <c r="D1857" s="13" t="n">
        <v>0</v>
      </c>
      <c r="E1857" s="0" t="s">
        <v>109</v>
      </c>
      <c r="F1857" s="13" t="n">
        <v>17</v>
      </c>
      <c r="G1857" s="0" t="s">
        <v>110</v>
      </c>
      <c r="H1857" s="13" t="n">
        <v>1110101</v>
      </c>
      <c r="I1857" s="0" t="s">
        <v>111</v>
      </c>
      <c r="J1857" s="13" t="n">
        <v>1716443</v>
      </c>
      <c r="L1857" s="13" t="n">
        <v>1716443</v>
      </c>
      <c r="M1857" s="0" t="s">
        <v>52</v>
      </c>
      <c r="N1857" s="0" t="s">
        <v>112</v>
      </c>
      <c r="P1857" s="13" t="n">
        <v>113</v>
      </c>
      <c r="Q1857" s="0" t="s">
        <v>46</v>
      </c>
      <c r="R1857" s="0" t="s">
        <v>116</v>
      </c>
      <c r="S1857" s="13" t="n">
        <v>1110203</v>
      </c>
      <c r="T1857" s="0" t="s">
        <v>117</v>
      </c>
      <c r="U1857" s="15" t="n">
        <v>1750</v>
      </c>
      <c r="W1857" s="15" t="n">
        <v>1750</v>
      </c>
      <c r="X1857" s="0" t="s">
        <v>1616</v>
      </c>
      <c r="Z1857" s="0" t="str">
        <f aca="false">IF($T1857="","",IFERROR(INDEX('Resumo Grupos'!$AC$3:$AC$200,MATCH($T1857,'Resumo Grupos'!$AB$3:$AB$200,0)),"n/d"))</f>
        <v>Despesa</v>
      </c>
      <c r="AA1857" s="0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3" t="n">
        <v>2</v>
      </c>
      <c r="B1858" s="14" t="n">
        <v>46271</v>
      </c>
      <c r="C1858" s="14" t="n">
        <v>46271</v>
      </c>
      <c r="D1858" s="13" t="n">
        <v>0</v>
      </c>
      <c r="E1858" s="0" t="s">
        <v>109</v>
      </c>
      <c r="F1858" s="13" t="n">
        <v>17</v>
      </c>
      <c r="G1858" s="0" t="s">
        <v>110</v>
      </c>
      <c r="H1858" s="13" t="n">
        <v>1110101</v>
      </c>
      <c r="I1858" s="0" t="s">
        <v>111</v>
      </c>
      <c r="J1858" s="13" t="n">
        <v>1673466</v>
      </c>
      <c r="L1858" s="13" t="n">
        <v>1673466</v>
      </c>
      <c r="M1858" s="0" t="s">
        <v>52</v>
      </c>
      <c r="N1858" s="0" t="s">
        <v>112</v>
      </c>
      <c r="P1858" s="13" t="n">
        <v>113</v>
      </c>
      <c r="Q1858" s="0" t="s">
        <v>46</v>
      </c>
      <c r="R1858" s="0" t="s">
        <v>71</v>
      </c>
      <c r="S1858" s="13" t="n">
        <v>4210310</v>
      </c>
      <c r="T1858" s="0" t="s">
        <v>126</v>
      </c>
      <c r="U1858" s="15" t="n">
        <v>92</v>
      </c>
      <c r="W1858" s="15" t="n">
        <v>92</v>
      </c>
      <c r="X1858" s="0" t="s">
        <v>283</v>
      </c>
      <c r="Z1858" s="0" t="str">
        <f aca="false">IF($T1858="","",IFERROR(INDEX('Resumo Grupos'!$AC$3:$AC$200,MATCH($T1858,'Resumo Grupos'!$AB$3:$AB$200,0)),"n/d"))</f>
        <v>Despesa</v>
      </c>
      <c r="AA1858" s="0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3" t="n">
        <v>2</v>
      </c>
      <c r="B1859" s="14" t="n">
        <v>46271</v>
      </c>
      <c r="C1859" s="14" t="n">
        <v>46271</v>
      </c>
      <c r="D1859" s="13" t="n">
        <v>0</v>
      </c>
      <c r="E1859" s="0" t="s">
        <v>109</v>
      </c>
      <c r="F1859" s="13" t="n">
        <v>17</v>
      </c>
      <c r="G1859" s="0" t="s">
        <v>110</v>
      </c>
      <c r="H1859" s="13" t="n">
        <v>1110101</v>
      </c>
      <c r="I1859" s="0" t="s">
        <v>111</v>
      </c>
      <c r="J1859" s="13" t="n">
        <v>1673471</v>
      </c>
      <c r="L1859" s="13" t="n">
        <v>1673471</v>
      </c>
      <c r="M1859" s="0" t="s">
        <v>52</v>
      </c>
      <c r="N1859" s="0" t="s">
        <v>112</v>
      </c>
      <c r="P1859" s="13" t="n">
        <v>113</v>
      </c>
      <c r="Q1859" s="0" t="s">
        <v>46</v>
      </c>
      <c r="R1859" s="0" t="s">
        <v>71</v>
      </c>
      <c r="S1859" s="13" t="n">
        <v>4210314</v>
      </c>
      <c r="T1859" s="0" t="s">
        <v>113</v>
      </c>
      <c r="U1859" s="15" t="n">
        <v>70</v>
      </c>
      <c r="W1859" s="15" t="n">
        <v>70</v>
      </c>
      <c r="X1859" s="0" t="s">
        <v>368</v>
      </c>
      <c r="Z1859" s="0" t="str">
        <f aca="false">IF($T1859="","",IFERROR(INDEX('Resumo Grupos'!$AC$3:$AC$200,MATCH($T1859,'Resumo Grupos'!$AB$3:$AB$200,0)),"n/d"))</f>
        <v>Despesa</v>
      </c>
      <c r="AA1859" s="0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3" t="n">
        <v>2</v>
      </c>
      <c r="B1860" s="14" t="n">
        <v>46271</v>
      </c>
      <c r="C1860" s="14" t="n">
        <v>46271</v>
      </c>
      <c r="D1860" s="13" t="n">
        <v>0</v>
      </c>
      <c r="E1860" s="0" t="s">
        <v>109</v>
      </c>
      <c r="F1860" s="13" t="n">
        <v>17</v>
      </c>
      <c r="G1860" s="0" t="s">
        <v>110</v>
      </c>
      <c r="H1860" s="13" t="n">
        <v>1110101</v>
      </c>
      <c r="I1860" s="0" t="s">
        <v>111</v>
      </c>
      <c r="J1860" s="13" t="n">
        <v>1673474</v>
      </c>
      <c r="L1860" s="13" t="n">
        <v>1673474</v>
      </c>
      <c r="M1860" s="0" t="s">
        <v>52</v>
      </c>
      <c r="N1860" s="0" t="s">
        <v>112</v>
      </c>
      <c r="P1860" s="13" t="n">
        <v>113</v>
      </c>
      <c r="Q1860" s="0" t="s">
        <v>46</v>
      </c>
      <c r="R1860" s="0" t="s">
        <v>71</v>
      </c>
      <c r="S1860" s="13" t="n">
        <v>4210314</v>
      </c>
      <c r="T1860" s="0" t="s">
        <v>113</v>
      </c>
      <c r="U1860" s="15" t="n">
        <v>70</v>
      </c>
      <c r="W1860" s="15" t="n">
        <v>70</v>
      </c>
      <c r="X1860" s="0" t="s">
        <v>187</v>
      </c>
      <c r="Z1860" s="0" t="str">
        <f aca="false">IF($T1860="","",IFERROR(INDEX('Resumo Grupos'!$AC$3:$AC$200,MATCH($T1860,'Resumo Grupos'!$AB$3:$AB$200,0)),"n/d"))</f>
        <v>Despesa</v>
      </c>
      <c r="AA1860" s="0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3" t="n">
        <v>2</v>
      </c>
      <c r="B1861" s="14" t="n">
        <v>46271</v>
      </c>
      <c r="C1861" s="14" t="n">
        <v>46271</v>
      </c>
      <c r="D1861" s="13" t="n">
        <v>0</v>
      </c>
      <c r="E1861" s="0" t="s">
        <v>109</v>
      </c>
      <c r="F1861" s="13" t="n">
        <v>17</v>
      </c>
      <c r="G1861" s="0" t="s">
        <v>110</v>
      </c>
      <c r="H1861" s="13" t="n">
        <v>1110101</v>
      </c>
      <c r="I1861" s="0" t="s">
        <v>111</v>
      </c>
      <c r="J1861" s="13" t="n">
        <v>1716446</v>
      </c>
      <c r="L1861" s="13" t="n">
        <v>1716446</v>
      </c>
      <c r="M1861" s="0" t="s">
        <v>52</v>
      </c>
      <c r="N1861" s="0" t="s">
        <v>112</v>
      </c>
      <c r="P1861" s="13" t="n">
        <v>113</v>
      </c>
      <c r="Q1861" s="0" t="s">
        <v>46</v>
      </c>
      <c r="R1861" s="0" t="s">
        <v>116</v>
      </c>
      <c r="S1861" s="13" t="n">
        <v>1110203</v>
      </c>
      <c r="T1861" s="0" t="s">
        <v>117</v>
      </c>
      <c r="U1861" s="15" t="n">
        <v>1450</v>
      </c>
      <c r="W1861" s="15" t="n">
        <v>1450</v>
      </c>
      <c r="X1861" s="0" t="s">
        <v>1617</v>
      </c>
      <c r="Z1861" s="0" t="str">
        <f aca="false">IF($T1861="","",IFERROR(INDEX('Resumo Grupos'!$AC$3:$AC$200,MATCH($T1861,'Resumo Grupos'!$AB$3:$AB$200,0)),"n/d"))</f>
        <v>Despesa</v>
      </c>
      <c r="AA1861" s="0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3" t="n">
        <v>2</v>
      </c>
      <c r="B1862" s="14" t="n">
        <v>46251</v>
      </c>
      <c r="C1862" s="14" t="n">
        <v>46272</v>
      </c>
      <c r="D1862" s="13" t="n">
        <v>1921</v>
      </c>
      <c r="E1862" s="0" t="s">
        <v>167</v>
      </c>
      <c r="F1862" s="13" t="n">
        <v>24</v>
      </c>
      <c r="G1862" s="0" t="s">
        <v>51</v>
      </c>
      <c r="H1862" s="13" t="n">
        <v>2110405</v>
      </c>
      <c r="I1862" s="0" t="s">
        <v>56</v>
      </c>
      <c r="J1862" s="13" t="n">
        <v>1562668</v>
      </c>
      <c r="L1862" s="13" t="n">
        <v>213270</v>
      </c>
      <c r="M1862" s="0" t="s">
        <v>52</v>
      </c>
      <c r="N1862" s="0" t="s">
        <v>45</v>
      </c>
      <c r="P1862" s="13" t="n">
        <v>113</v>
      </c>
      <c r="Q1862" s="0" t="s">
        <v>46</v>
      </c>
      <c r="R1862" s="0" t="s">
        <v>47</v>
      </c>
      <c r="S1862" s="13" t="n">
        <v>1130101</v>
      </c>
      <c r="T1862" s="0" t="s">
        <v>48</v>
      </c>
      <c r="U1862" s="15" t="n">
        <v>691.91</v>
      </c>
      <c r="W1862" s="15" t="n">
        <v>691.91</v>
      </c>
      <c r="X1862" s="0" t="s">
        <v>1618</v>
      </c>
      <c r="Z1862" s="0" t="str">
        <f aca="false">IF($T1862="","",IFERROR(INDEX('Resumo Grupos'!$AC$3:$AC$200,MATCH($T1862,'Resumo Grupos'!$AB$3:$AB$200,0)),"n/d"))</f>
        <v>Mercadoria</v>
      </c>
      <c r="AA1862" s="0" t="str">
        <f aca="false">IF($T1862="","",IF(COUNTIF('Resumo Grupos'!$AE$3:$AE$40,$T1862)&gt;0,"NAO","SIM"))</f>
        <v>SIM</v>
      </c>
      <c r="AB1862" s="0" t="str">
        <f aca="false">IFERROR(INDEX('Mov Entradas (Rel 10497)'!$L:$L,MATCH(AC1862,'Mov Entradas (Rel 10497)'!$I:$I,0)),"nao encontrado")</f>
        <v>MILHO PIPOCA 200G</v>
      </c>
      <c r="AC1862" s="0" t="n">
        <v>21279</v>
      </c>
    </row>
    <row r="1863" customFormat="false" ht="12.75" hidden="false" customHeight="true" outlineLevel="0" collapsed="false">
      <c r="A1863" s="13" t="n">
        <v>2</v>
      </c>
      <c r="B1863" s="14" t="n">
        <v>46251</v>
      </c>
      <c r="C1863" s="14" t="n">
        <v>46272</v>
      </c>
      <c r="D1863" s="13" t="n">
        <v>1636</v>
      </c>
      <c r="E1863" s="0" t="s">
        <v>61</v>
      </c>
      <c r="F1863" s="13" t="n">
        <v>24</v>
      </c>
      <c r="G1863" s="0" t="s">
        <v>51</v>
      </c>
      <c r="H1863" s="13" t="n">
        <v>2110405</v>
      </c>
      <c r="I1863" s="0" t="s">
        <v>56</v>
      </c>
      <c r="J1863" s="13" t="n">
        <v>1562691</v>
      </c>
      <c r="L1863" s="13" t="n">
        <v>213277</v>
      </c>
      <c r="M1863" s="0" t="s">
        <v>52</v>
      </c>
      <c r="N1863" s="0" t="s">
        <v>45</v>
      </c>
      <c r="P1863" s="13" t="n">
        <v>113</v>
      </c>
      <c r="Q1863" s="0" t="s">
        <v>46</v>
      </c>
      <c r="R1863" s="0" t="s">
        <v>47</v>
      </c>
      <c r="S1863" s="13" t="n">
        <v>1130101</v>
      </c>
      <c r="T1863" s="0" t="s">
        <v>48</v>
      </c>
      <c r="U1863" s="15" t="n">
        <v>1352.12</v>
      </c>
      <c r="W1863" s="15" t="n">
        <v>1352.12</v>
      </c>
      <c r="X1863" s="0" t="s">
        <v>1619</v>
      </c>
      <c r="Z1863" s="0" t="str">
        <f aca="false">IF($T1863="","",IFERROR(INDEX('Resumo Grupos'!$AC$3:$AC$200,MATCH($T1863,'Resumo Grupos'!$AB$3:$AB$200,0)),"n/d"))</f>
        <v>Mercadoria</v>
      </c>
      <c r="AA1863" s="0" t="str">
        <f aca="false">IF($T1863="","",IF(COUNTIF('Resumo Grupos'!$AE$3:$AE$40,$T1863)&gt;0,"NAO","SIM"))</f>
        <v>SIM</v>
      </c>
      <c r="AB1863" s="0" t="str">
        <f aca="false">IFERROR(INDEX('Mov Entradas (Rel 10497)'!$L:$L,MATCH(AC1863,'Mov Entradas (Rel 10497)'!$I:$I,0)),"nao encontrado")</f>
        <v>PAPEL HIG SUBLIME NATURAL 4R</v>
      </c>
      <c r="AC1863" s="0" t="n">
        <v>3237634</v>
      </c>
    </row>
    <row r="1864" customFormat="false" ht="12.75" hidden="false" customHeight="true" outlineLevel="0" collapsed="false">
      <c r="A1864" s="13" t="n">
        <v>2</v>
      </c>
      <c r="B1864" s="14" t="n">
        <v>46253</v>
      </c>
      <c r="C1864" s="14" t="n">
        <v>46272</v>
      </c>
      <c r="D1864" s="13" t="n">
        <v>1616</v>
      </c>
      <c r="E1864" s="0" t="s">
        <v>64</v>
      </c>
      <c r="F1864" s="13" t="n">
        <v>24</v>
      </c>
      <c r="G1864" s="0" t="s">
        <v>51</v>
      </c>
      <c r="H1864" s="13" t="n">
        <v>2110405</v>
      </c>
      <c r="I1864" s="0" t="s">
        <v>56</v>
      </c>
      <c r="J1864" s="13" t="n">
        <v>1570979</v>
      </c>
      <c r="L1864" s="13" t="n">
        <v>214492</v>
      </c>
      <c r="M1864" s="0" t="s">
        <v>52</v>
      </c>
      <c r="N1864" s="0" t="s">
        <v>45</v>
      </c>
      <c r="P1864" s="13" t="n">
        <v>113</v>
      </c>
      <c r="Q1864" s="0" t="s">
        <v>46</v>
      </c>
      <c r="R1864" s="0" t="s">
        <v>47</v>
      </c>
      <c r="S1864" s="13" t="n">
        <v>1130101</v>
      </c>
      <c r="T1864" s="0" t="s">
        <v>48</v>
      </c>
      <c r="U1864" s="15" t="n">
        <v>606.56</v>
      </c>
      <c r="W1864" s="15" t="n">
        <v>606.56</v>
      </c>
      <c r="X1864" s="0" t="s">
        <v>1508</v>
      </c>
      <c r="Z1864" s="0" t="str">
        <f aca="false">IF($T1864="","",IFERROR(INDEX('Resumo Grupos'!$AC$3:$AC$200,MATCH($T1864,'Resumo Grupos'!$AB$3:$AB$200,0)),"n/d"))</f>
        <v>Mercadoria</v>
      </c>
      <c r="AA1864" s="0" t="str">
        <f aca="false">IF($T1864="","",IF(COUNTIF('Resumo Grupos'!$AE$3:$AE$40,$T1864)&gt;0,"NAO","SIM"))</f>
        <v>SIM</v>
      </c>
      <c r="AB1864" s="0" t="str">
        <f aca="false">IFERROR(INDEX('Mov Entradas (Rel 10497)'!$L:$L,MATCH(AC1864,'Mov Entradas (Rel 10497)'!$I:$I,0)),"nao encontrado")</f>
        <v>DETER LIMPOL MACA 500ML</v>
      </c>
      <c r="AC1864" s="0" t="n">
        <v>654907</v>
      </c>
    </row>
    <row r="1865" customFormat="false" ht="12.75" hidden="false" customHeight="true" outlineLevel="0" collapsed="false">
      <c r="A1865" s="13" t="n">
        <v>2</v>
      </c>
      <c r="B1865" s="14" t="n">
        <v>46253</v>
      </c>
      <c r="C1865" s="14" t="n">
        <v>46272</v>
      </c>
      <c r="D1865" s="13" t="n">
        <v>616</v>
      </c>
      <c r="E1865" s="0" t="s">
        <v>941</v>
      </c>
      <c r="F1865" s="13" t="n">
        <v>24</v>
      </c>
      <c r="G1865" s="0" t="s">
        <v>51</v>
      </c>
      <c r="H1865" s="13" t="n">
        <v>2110405</v>
      </c>
      <c r="I1865" s="0" t="s">
        <v>56</v>
      </c>
      <c r="J1865" s="13" t="n">
        <v>1572199</v>
      </c>
      <c r="L1865" s="13" t="n">
        <v>214772</v>
      </c>
      <c r="M1865" s="0" t="s">
        <v>52</v>
      </c>
      <c r="N1865" s="0" t="s">
        <v>45</v>
      </c>
      <c r="P1865" s="13" t="n">
        <v>113</v>
      </c>
      <c r="Q1865" s="0" t="s">
        <v>46</v>
      </c>
      <c r="R1865" s="0" t="s">
        <v>47</v>
      </c>
      <c r="S1865" s="13" t="n">
        <v>1130101</v>
      </c>
      <c r="T1865" s="0" t="s">
        <v>48</v>
      </c>
      <c r="U1865" s="15" t="n">
        <v>983.76</v>
      </c>
      <c r="W1865" s="15" t="n">
        <v>983.76</v>
      </c>
      <c r="X1865" s="0" t="s">
        <v>1620</v>
      </c>
      <c r="Z1865" s="0" t="str">
        <f aca="false">IF($T1865="","",IFERROR(INDEX('Resumo Grupos'!$AC$3:$AC$200,MATCH($T1865,'Resumo Grupos'!$AB$3:$AB$200,0)),"n/d"))</f>
        <v>Mercadoria</v>
      </c>
      <c r="AA1865" s="0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3" t="n">
        <v>2</v>
      </c>
      <c r="B1866" s="14" t="n">
        <v>46246</v>
      </c>
      <c r="C1866" s="14" t="n">
        <v>46272</v>
      </c>
      <c r="D1866" s="13" t="n">
        <v>1668</v>
      </c>
      <c r="E1866" s="0" t="s">
        <v>151</v>
      </c>
      <c r="F1866" s="13" t="n">
        <v>24</v>
      </c>
      <c r="G1866" s="0" t="s">
        <v>51</v>
      </c>
      <c r="H1866" s="13" t="n">
        <v>2110405</v>
      </c>
      <c r="I1866" s="0" t="s">
        <v>56</v>
      </c>
      <c r="J1866" s="13" t="n">
        <v>1534508</v>
      </c>
      <c r="L1866" s="13" t="n">
        <v>209393</v>
      </c>
      <c r="M1866" s="0" t="s">
        <v>52</v>
      </c>
      <c r="N1866" s="0" t="s">
        <v>45</v>
      </c>
      <c r="P1866" s="13" t="n">
        <v>113</v>
      </c>
      <c r="Q1866" s="0" t="s">
        <v>46</v>
      </c>
      <c r="R1866" s="0" t="s">
        <v>47</v>
      </c>
      <c r="S1866" s="13" t="n">
        <v>1130101</v>
      </c>
      <c r="T1866" s="0" t="s">
        <v>48</v>
      </c>
      <c r="U1866" s="15" t="n">
        <v>509.85</v>
      </c>
      <c r="W1866" s="15" t="n">
        <v>509.85</v>
      </c>
      <c r="X1866" s="0" t="s">
        <v>1621</v>
      </c>
      <c r="Z1866" s="0" t="str">
        <f aca="false">IF($T1866="","",IFERROR(INDEX('Resumo Grupos'!$AC$3:$AC$200,MATCH($T1866,'Resumo Grupos'!$AB$3:$AB$200,0)),"n/d"))</f>
        <v>Mercadoria</v>
      </c>
      <c r="AA1866" s="0" t="str">
        <f aca="false">IF($T1866="","",IF(COUNTIF('Resumo Grupos'!$AE$3:$AE$40,$T1866)&gt;0,"NAO","SIM"))</f>
        <v>SIM</v>
      </c>
      <c r="AB1866" s="0" t="str">
        <f aca="false">IFERROR(INDEX('Mov Entradas (Rel 10497)'!$L:$L,MATCH(AC1866,'Mov Entradas (Rel 10497)'!$I:$I,0)),"nao encontrado")</f>
        <v>MARMITEX ISOP COPOBRAS C/10UND</v>
      </c>
      <c r="AC1866" s="0" t="n">
        <v>747704</v>
      </c>
    </row>
    <row r="1867" customFormat="false" ht="12.75" hidden="false" customHeight="true" outlineLevel="0" collapsed="false">
      <c r="A1867" s="13" t="n">
        <v>2</v>
      </c>
      <c r="B1867" s="14" t="n">
        <v>46232</v>
      </c>
      <c r="C1867" s="14" t="n">
        <v>46272</v>
      </c>
      <c r="D1867" s="13" t="n">
        <v>1932</v>
      </c>
      <c r="E1867" s="0" t="s">
        <v>278</v>
      </c>
      <c r="F1867" s="13" t="n">
        <v>34</v>
      </c>
      <c r="G1867" s="0" t="s">
        <v>55</v>
      </c>
      <c r="H1867" s="13" t="n">
        <v>2110405</v>
      </c>
      <c r="I1867" s="0" t="s">
        <v>56</v>
      </c>
      <c r="J1867" s="13" t="n">
        <v>1469462</v>
      </c>
      <c r="L1867" s="13" t="n">
        <v>199057</v>
      </c>
      <c r="M1867" s="0" t="s">
        <v>44</v>
      </c>
      <c r="N1867" s="0" t="s">
        <v>45</v>
      </c>
      <c r="P1867" s="13" t="n">
        <v>101</v>
      </c>
      <c r="Q1867" s="0" t="s">
        <v>57</v>
      </c>
      <c r="R1867" s="0" t="s">
        <v>71</v>
      </c>
      <c r="S1867" s="13" t="n">
        <v>4210315</v>
      </c>
      <c r="T1867" s="0" t="s">
        <v>279</v>
      </c>
      <c r="U1867" s="15" t="n">
        <v>119.97</v>
      </c>
      <c r="W1867" s="15" t="n">
        <v>119.97</v>
      </c>
      <c r="X1867" s="0" t="s">
        <v>1220</v>
      </c>
      <c r="Z1867" s="0" t="str">
        <f aca="false">IF($T1867="","",IFERROR(INDEX('Resumo Grupos'!$AC$3:$AC$200,MATCH($T1867,'Resumo Grupos'!$AB$3:$AB$200,0)),"n/d"))</f>
        <v>Despesa</v>
      </c>
      <c r="AA1867" s="0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3" t="n">
        <v>2</v>
      </c>
      <c r="B1868" s="14" t="n">
        <v>46268</v>
      </c>
      <c r="C1868" s="14" t="n">
        <v>46272</v>
      </c>
      <c r="D1868" s="13" t="n">
        <v>1899</v>
      </c>
      <c r="E1868" s="0" t="s">
        <v>204</v>
      </c>
      <c r="F1868" s="13" t="n">
        <v>24</v>
      </c>
      <c r="G1868" s="0" t="s">
        <v>51</v>
      </c>
      <c r="H1868" s="13" t="n">
        <v>2110405</v>
      </c>
      <c r="I1868" s="0" t="s">
        <v>56</v>
      </c>
      <c r="J1868" s="13" t="n">
        <v>1647882</v>
      </c>
      <c r="L1868" s="13" t="n">
        <v>226324</v>
      </c>
      <c r="M1868" s="0" t="s">
        <v>52</v>
      </c>
      <c r="N1868" s="0" t="s">
        <v>45</v>
      </c>
      <c r="P1868" s="13" t="n">
        <v>113</v>
      </c>
      <c r="Q1868" s="0" t="s">
        <v>46</v>
      </c>
      <c r="R1868" s="0" t="s">
        <v>47</v>
      </c>
      <c r="S1868" s="13" t="n">
        <v>1130101</v>
      </c>
      <c r="T1868" s="0" t="s">
        <v>48</v>
      </c>
      <c r="U1868" s="15" t="n">
        <v>204.77</v>
      </c>
      <c r="W1868" s="15" t="n">
        <v>204.77</v>
      </c>
      <c r="X1868" s="0" t="s">
        <v>1622</v>
      </c>
      <c r="Z1868" s="0" t="str">
        <f aca="false">IF($T1868="","",IFERROR(INDEX('Resumo Grupos'!$AC$3:$AC$200,MATCH($T1868,'Resumo Grupos'!$AB$3:$AB$200,0)),"n/d"))</f>
        <v>Mercadoria</v>
      </c>
      <c r="AA1868" s="0" t="str">
        <f aca="false">IF($T1868="","",IF(COUNTIF('Resumo Grupos'!$AE$3:$AE$40,$T1868)&gt;0,"NAO","SIM"))</f>
        <v>SIM</v>
      </c>
      <c r="AB1868" s="0" t="str">
        <f aca="false">IFERROR(INDEX('Mov Entradas (Rel 10497)'!$L:$L,MATCH(AC1868,'Mov Entradas (Rel 10497)'!$I:$I,0)),"nao encontrado")</f>
        <v>PAO DE FORMA REAL MA</v>
      </c>
      <c r="AC1868" s="0" t="n">
        <v>790</v>
      </c>
    </row>
    <row r="1869" customFormat="false" ht="12.75" hidden="false" customHeight="true" outlineLevel="0" collapsed="false">
      <c r="A1869" s="13" t="n">
        <v>2</v>
      </c>
      <c r="B1869" s="14" t="n">
        <v>46254</v>
      </c>
      <c r="C1869" s="14" t="n">
        <v>46272</v>
      </c>
      <c r="D1869" s="13" t="n">
        <v>10012</v>
      </c>
      <c r="E1869" s="0" t="s">
        <v>185</v>
      </c>
      <c r="F1869" s="13" t="n">
        <v>24</v>
      </c>
      <c r="G1869" s="0" t="s">
        <v>51</v>
      </c>
      <c r="H1869" s="13" t="n">
        <v>2110405</v>
      </c>
      <c r="I1869" s="0" t="s">
        <v>56</v>
      </c>
      <c r="J1869" s="13" t="n">
        <v>1577216</v>
      </c>
      <c r="L1869" s="13" t="n">
        <v>215616</v>
      </c>
      <c r="M1869" s="0" t="s">
        <v>52</v>
      </c>
      <c r="N1869" s="0" t="s">
        <v>45</v>
      </c>
      <c r="P1869" s="13" t="n">
        <v>113</v>
      </c>
      <c r="Q1869" s="0" t="s">
        <v>46</v>
      </c>
      <c r="R1869" s="0" t="s">
        <v>47</v>
      </c>
      <c r="S1869" s="13" t="n">
        <v>1130101</v>
      </c>
      <c r="T1869" s="0" t="s">
        <v>48</v>
      </c>
      <c r="U1869" s="15" t="n">
        <v>521.58</v>
      </c>
      <c r="W1869" s="15" t="n">
        <v>521.58</v>
      </c>
      <c r="X1869" s="0" t="s">
        <v>1623</v>
      </c>
      <c r="Z1869" s="0" t="str">
        <f aca="false">IF($T1869="","",IFERROR(INDEX('Resumo Grupos'!$AC$3:$AC$200,MATCH($T1869,'Resumo Grupos'!$AB$3:$AB$200,0)),"n/d"))</f>
        <v>Mercadoria</v>
      </c>
      <c r="AA1869" s="0" t="str">
        <f aca="false">IF($T1869="","",IF(COUNTIF('Resumo Grupos'!$AE$3:$AE$40,$T1869)&gt;0,"NAO","SIM"))</f>
        <v>SIM</v>
      </c>
      <c r="AB1869" s="0" t="str">
        <f aca="false">IFERROR(INDEX('Mov Entradas (Rel 10497)'!$L:$L,MATCH(AC1869,'Mov Entradas (Rel 10497)'!$I:$I,0)),"nao encontrado")</f>
        <v>SAB PHEBO ODOR90G</v>
      </c>
      <c r="AC1869" s="0" t="n">
        <v>1966312</v>
      </c>
    </row>
    <row r="1870" customFormat="false" ht="12.75" hidden="false" customHeight="true" outlineLevel="0" collapsed="false">
      <c r="A1870" s="13" t="n">
        <v>2</v>
      </c>
      <c r="B1870" s="14" t="n">
        <v>46272</v>
      </c>
      <c r="C1870" s="14" t="n">
        <v>46272</v>
      </c>
      <c r="D1870" s="13" t="n">
        <v>0</v>
      </c>
      <c r="E1870" s="0" t="s">
        <v>109</v>
      </c>
      <c r="F1870" s="13" t="n">
        <v>17</v>
      </c>
      <c r="G1870" s="0" t="s">
        <v>110</v>
      </c>
      <c r="H1870" s="13" t="n">
        <v>1110101</v>
      </c>
      <c r="I1870" s="0" t="s">
        <v>111</v>
      </c>
      <c r="J1870" s="13" t="n">
        <v>1673521</v>
      </c>
      <c r="L1870" s="13" t="n">
        <v>1673521</v>
      </c>
      <c r="M1870" s="0" t="s">
        <v>52</v>
      </c>
      <c r="N1870" s="0" t="s">
        <v>112</v>
      </c>
      <c r="P1870" s="13" t="n">
        <v>113</v>
      </c>
      <c r="Q1870" s="0" t="s">
        <v>46</v>
      </c>
      <c r="R1870" s="0" t="s">
        <v>71</v>
      </c>
      <c r="S1870" s="13" t="n">
        <v>4210316</v>
      </c>
      <c r="T1870" s="0" t="s">
        <v>159</v>
      </c>
      <c r="U1870" s="15" t="n">
        <v>200</v>
      </c>
      <c r="W1870" s="15" t="n">
        <v>200</v>
      </c>
      <c r="X1870" s="0" t="s">
        <v>1624</v>
      </c>
      <c r="Z1870" s="0" t="str">
        <f aca="false">IF($T1870="","",IFERROR(INDEX('Resumo Grupos'!$AC$3:$AC$200,MATCH($T1870,'Resumo Grupos'!$AB$3:$AB$200,0)),"n/d"))</f>
        <v>Salários</v>
      </c>
      <c r="AA1870" s="0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3" t="n">
        <v>2</v>
      </c>
      <c r="B1871" s="14" t="n">
        <v>46272</v>
      </c>
      <c r="C1871" s="14" t="n">
        <v>46272</v>
      </c>
      <c r="D1871" s="13" t="n">
        <v>0</v>
      </c>
      <c r="E1871" s="0" t="s">
        <v>109</v>
      </c>
      <c r="F1871" s="13" t="n">
        <v>17</v>
      </c>
      <c r="G1871" s="0" t="s">
        <v>110</v>
      </c>
      <c r="H1871" s="13" t="n">
        <v>1110101</v>
      </c>
      <c r="I1871" s="0" t="s">
        <v>111</v>
      </c>
      <c r="J1871" s="13" t="n">
        <v>1673524</v>
      </c>
      <c r="L1871" s="13" t="n">
        <v>1673524</v>
      </c>
      <c r="M1871" s="0" t="s">
        <v>52</v>
      </c>
      <c r="N1871" s="0" t="s">
        <v>112</v>
      </c>
      <c r="P1871" s="13" t="n">
        <v>113</v>
      </c>
      <c r="Q1871" s="0" t="s">
        <v>46</v>
      </c>
      <c r="R1871" s="0" t="s">
        <v>71</v>
      </c>
      <c r="S1871" s="13" t="n">
        <v>4210309</v>
      </c>
      <c r="T1871" s="0" t="s">
        <v>72</v>
      </c>
      <c r="U1871" s="15" t="n">
        <v>10</v>
      </c>
      <c r="W1871" s="15" t="n">
        <v>10</v>
      </c>
      <c r="X1871" s="0" t="s">
        <v>1552</v>
      </c>
      <c r="Z1871" s="0" t="str">
        <f aca="false">IF($T1871="","",IFERROR(INDEX('Resumo Grupos'!$AC$3:$AC$200,MATCH($T1871,'Resumo Grupos'!$AB$3:$AB$200,0)),"n/d"))</f>
        <v>Salários</v>
      </c>
      <c r="AA1871" s="0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3" t="n">
        <v>2</v>
      </c>
      <c r="B1872" s="14" t="n">
        <v>46272</v>
      </c>
      <c r="C1872" s="14" t="n">
        <v>46272</v>
      </c>
      <c r="D1872" s="13" t="n">
        <v>0</v>
      </c>
      <c r="E1872" s="0" t="s">
        <v>109</v>
      </c>
      <c r="F1872" s="13" t="n">
        <v>17</v>
      </c>
      <c r="G1872" s="0" t="s">
        <v>110</v>
      </c>
      <c r="H1872" s="13" t="n">
        <v>1110101</v>
      </c>
      <c r="I1872" s="0" t="s">
        <v>111</v>
      </c>
      <c r="J1872" s="13" t="n">
        <v>1673526</v>
      </c>
      <c r="L1872" s="13" t="n">
        <v>1673526</v>
      </c>
      <c r="M1872" s="0" t="s">
        <v>52</v>
      </c>
      <c r="N1872" s="0" t="s">
        <v>112</v>
      </c>
      <c r="P1872" s="13" t="n">
        <v>113</v>
      </c>
      <c r="Q1872" s="0" t="s">
        <v>46</v>
      </c>
      <c r="R1872" s="0" t="s">
        <v>39</v>
      </c>
      <c r="S1872" s="13" t="n">
        <v>4210227</v>
      </c>
      <c r="T1872" s="0" t="s">
        <v>68</v>
      </c>
      <c r="U1872" s="15" t="n">
        <v>10</v>
      </c>
      <c r="W1872" s="15" t="n">
        <v>10</v>
      </c>
      <c r="X1872" s="0" t="s">
        <v>1625</v>
      </c>
      <c r="Z1872" s="0" t="str">
        <f aca="false">IF($T1872="","",IFERROR(INDEX('Resumo Grupos'!$AC$3:$AC$200,MATCH($T1872,'Resumo Grupos'!$AB$3:$AB$200,0)),"n/d"))</f>
        <v>Despesa</v>
      </c>
      <c r="AA1872" s="0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3" t="n">
        <v>2</v>
      </c>
      <c r="B1873" s="14" t="n">
        <v>46272</v>
      </c>
      <c r="C1873" s="14" t="n">
        <v>46272</v>
      </c>
      <c r="D1873" s="13" t="n">
        <v>0</v>
      </c>
      <c r="E1873" s="0" t="s">
        <v>109</v>
      </c>
      <c r="F1873" s="13" t="n">
        <v>17</v>
      </c>
      <c r="G1873" s="0" t="s">
        <v>110</v>
      </c>
      <c r="H1873" s="13" t="n">
        <v>1110101</v>
      </c>
      <c r="I1873" s="0" t="s">
        <v>111</v>
      </c>
      <c r="J1873" s="13" t="n">
        <v>1673529</v>
      </c>
      <c r="L1873" s="13" t="n">
        <v>1673529</v>
      </c>
      <c r="M1873" s="0" t="s">
        <v>52</v>
      </c>
      <c r="N1873" s="0" t="s">
        <v>112</v>
      </c>
      <c r="P1873" s="13" t="n">
        <v>113</v>
      </c>
      <c r="Q1873" s="0" t="s">
        <v>46</v>
      </c>
      <c r="R1873" s="0" t="s">
        <v>71</v>
      </c>
      <c r="S1873" s="13" t="n">
        <v>4210310</v>
      </c>
      <c r="T1873" s="0" t="s">
        <v>126</v>
      </c>
      <c r="U1873" s="15" t="n">
        <v>126</v>
      </c>
      <c r="W1873" s="15" t="n">
        <v>126</v>
      </c>
      <c r="X1873" s="0" t="s">
        <v>283</v>
      </c>
      <c r="Z1873" s="0" t="str">
        <f aca="false">IF($T1873="","",IFERROR(INDEX('Resumo Grupos'!$AC$3:$AC$200,MATCH($T1873,'Resumo Grupos'!$AB$3:$AB$200,0)),"n/d"))</f>
        <v>Despesa</v>
      </c>
      <c r="AA1873" s="0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3" t="n">
        <v>2</v>
      </c>
      <c r="B1874" s="14" t="n">
        <v>46272</v>
      </c>
      <c r="C1874" s="14" t="n">
        <v>46272</v>
      </c>
      <c r="D1874" s="13" t="n">
        <v>0</v>
      </c>
      <c r="E1874" s="0" t="s">
        <v>109</v>
      </c>
      <c r="F1874" s="13" t="n">
        <v>17</v>
      </c>
      <c r="G1874" s="0" t="s">
        <v>110</v>
      </c>
      <c r="H1874" s="13" t="n">
        <v>1110101</v>
      </c>
      <c r="I1874" s="0" t="s">
        <v>111</v>
      </c>
      <c r="J1874" s="13" t="n">
        <v>1716449</v>
      </c>
      <c r="L1874" s="13" t="n">
        <v>1716449</v>
      </c>
      <c r="M1874" s="0" t="s">
        <v>52</v>
      </c>
      <c r="N1874" s="0" t="s">
        <v>112</v>
      </c>
      <c r="P1874" s="13" t="n">
        <v>113</v>
      </c>
      <c r="Q1874" s="0" t="s">
        <v>46</v>
      </c>
      <c r="R1874" s="0" t="s">
        <v>116</v>
      </c>
      <c r="S1874" s="13" t="n">
        <v>1110203</v>
      </c>
      <c r="T1874" s="0" t="s">
        <v>117</v>
      </c>
      <c r="U1874" s="15" t="n">
        <v>1300</v>
      </c>
      <c r="W1874" s="15" t="n">
        <v>1300</v>
      </c>
      <c r="X1874" s="0" t="s">
        <v>1626</v>
      </c>
      <c r="Z1874" s="0" t="str">
        <f aca="false">IF($T1874="","",IFERROR(INDEX('Resumo Grupos'!$AC$3:$AC$200,MATCH($T1874,'Resumo Grupos'!$AB$3:$AB$200,0)),"n/d"))</f>
        <v>Despesa</v>
      </c>
      <c r="AA1874" s="0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3" t="n">
        <v>2</v>
      </c>
      <c r="B1875" s="14" t="n">
        <v>46247</v>
      </c>
      <c r="C1875" s="14" t="n">
        <v>46272</v>
      </c>
      <c r="D1875" s="13" t="n">
        <v>1671</v>
      </c>
      <c r="E1875" s="0" t="s">
        <v>119</v>
      </c>
      <c r="F1875" s="13" t="n">
        <v>24</v>
      </c>
      <c r="G1875" s="0" t="s">
        <v>51</v>
      </c>
      <c r="H1875" s="13" t="n">
        <v>2110405</v>
      </c>
      <c r="I1875" s="0" t="s">
        <v>56</v>
      </c>
      <c r="J1875" s="13" t="n">
        <v>1543021</v>
      </c>
      <c r="L1875" s="13" t="n">
        <v>210470</v>
      </c>
      <c r="M1875" s="0" t="s">
        <v>52</v>
      </c>
      <c r="N1875" s="0" t="s">
        <v>45</v>
      </c>
      <c r="P1875" s="13" t="n">
        <v>113</v>
      </c>
      <c r="Q1875" s="0" t="s">
        <v>46</v>
      </c>
      <c r="R1875" s="0" t="s">
        <v>47</v>
      </c>
      <c r="S1875" s="13" t="n">
        <v>1130101</v>
      </c>
      <c r="T1875" s="0" t="s">
        <v>48</v>
      </c>
      <c r="U1875" s="15" t="n">
        <v>271.2</v>
      </c>
      <c r="W1875" s="15" t="n">
        <v>271.2</v>
      </c>
      <c r="X1875" s="0" t="s">
        <v>1627</v>
      </c>
      <c r="Z1875" s="0" t="str">
        <f aca="false">IF($T1875="","",IFERROR(INDEX('Resumo Grupos'!$AC$3:$AC$200,MATCH($T1875,'Resumo Grupos'!$AB$3:$AB$200,0)),"n/d"))</f>
        <v>Mercadoria</v>
      </c>
      <c r="AA1875" s="0" t="str">
        <f aca="false">IF($T1875="","",IF(COUNTIF('Resumo Grupos'!$AE$3:$AE$40,$T1875)&gt;0,"NAO","SIM"))</f>
        <v>SIM</v>
      </c>
      <c r="AB1875" s="0" t="str">
        <f aca="false">IFERROR(INDEX('Mov Entradas (Rel 10497)'!$L:$L,MATCH(AC1875,'Mov Entradas (Rel 10497)'!$I:$I,0)),"nao encontrado")</f>
        <v>MASSA P LASANHA ESTR</v>
      </c>
      <c r="AC1875" s="0" t="n">
        <v>586317</v>
      </c>
    </row>
    <row r="1876" customFormat="false" ht="12.75" hidden="false" customHeight="true" outlineLevel="0" collapsed="false">
      <c r="A1876" s="13" t="n">
        <v>2</v>
      </c>
      <c r="B1876" s="14" t="n">
        <v>46273</v>
      </c>
      <c r="C1876" s="14" t="n">
        <v>46273</v>
      </c>
      <c r="D1876" s="13" t="n">
        <v>642</v>
      </c>
      <c r="E1876" s="0" t="s">
        <v>123</v>
      </c>
      <c r="F1876" s="13" t="n">
        <v>24</v>
      </c>
      <c r="G1876" s="0" t="s">
        <v>51</v>
      </c>
      <c r="H1876" s="13" t="n">
        <v>2110405</v>
      </c>
      <c r="I1876" s="0" t="s">
        <v>56</v>
      </c>
      <c r="J1876" s="13" t="n">
        <v>1672490</v>
      </c>
      <c r="L1876" s="13" t="n">
        <v>229254</v>
      </c>
      <c r="M1876" s="0" t="s">
        <v>52</v>
      </c>
      <c r="N1876" s="0" t="s">
        <v>45</v>
      </c>
      <c r="P1876" s="13" t="n">
        <v>113</v>
      </c>
      <c r="Q1876" s="0" t="s">
        <v>46</v>
      </c>
      <c r="R1876" s="0" t="s">
        <v>47</v>
      </c>
      <c r="S1876" s="13" t="n">
        <v>1130101</v>
      </c>
      <c r="T1876" s="0" t="s">
        <v>48</v>
      </c>
      <c r="U1876" s="15" t="n">
        <v>132</v>
      </c>
      <c r="W1876" s="15" t="n">
        <v>132</v>
      </c>
      <c r="X1876" s="0" t="s">
        <v>1628</v>
      </c>
      <c r="Z1876" s="0" t="str">
        <f aca="false">IF($T1876="","",IFERROR(INDEX('Resumo Grupos'!$AC$3:$AC$200,MATCH($T1876,'Resumo Grupos'!$AB$3:$AB$200,0)),"n/d"))</f>
        <v>Mercadoria</v>
      </c>
      <c r="AA1876" s="0" t="str">
        <f aca="false">IF($T1876="","",IF(COUNTIF('Resumo Grupos'!$AE$3:$AE$40,$T1876)&gt;0,"NAO","SIM"))</f>
        <v>SIM</v>
      </c>
      <c r="AB1876" s="0" t="str">
        <f aca="false">IFERROR(INDEX('Mov Entradas (Rel 10497)'!$L:$L,MATCH(AC1876,'Mov Entradas (Rel 10497)'!$I:$I,0)),"nao encontrado")</f>
        <v>BOLO BLOOM 600G</v>
      </c>
      <c r="AC1876" s="0" t="n">
        <v>644</v>
      </c>
    </row>
    <row r="1877" customFormat="false" ht="12.75" hidden="false" customHeight="true" outlineLevel="0" collapsed="false">
      <c r="A1877" s="13" t="n">
        <v>2</v>
      </c>
      <c r="B1877" s="14" t="n">
        <v>46239</v>
      </c>
      <c r="C1877" s="14" t="n">
        <v>46273</v>
      </c>
      <c r="D1877" s="13" t="n">
        <v>1637</v>
      </c>
      <c r="E1877" s="0" t="s">
        <v>871</v>
      </c>
      <c r="F1877" s="13" t="n">
        <v>24</v>
      </c>
      <c r="G1877" s="0" t="s">
        <v>51</v>
      </c>
      <c r="H1877" s="13" t="n">
        <v>2110405</v>
      </c>
      <c r="I1877" s="0" t="s">
        <v>56</v>
      </c>
      <c r="J1877" s="13" t="n">
        <v>1503931</v>
      </c>
      <c r="L1877" s="13" t="n">
        <v>204198</v>
      </c>
      <c r="M1877" s="0" t="s">
        <v>52</v>
      </c>
      <c r="N1877" s="0" t="s">
        <v>45</v>
      </c>
      <c r="P1877" s="13" t="n">
        <v>113</v>
      </c>
      <c r="Q1877" s="0" t="s">
        <v>46</v>
      </c>
      <c r="R1877" s="0" t="s">
        <v>47</v>
      </c>
      <c r="S1877" s="13" t="n">
        <v>1130101</v>
      </c>
      <c r="T1877" s="0" t="s">
        <v>48</v>
      </c>
      <c r="U1877" s="15" t="n">
        <v>1184.7</v>
      </c>
      <c r="W1877" s="15" t="n">
        <v>1184.7</v>
      </c>
      <c r="X1877" s="0" t="s">
        <v>1629</v>
      </c>
      <c r="Z1877" s="0" t="str">
        <f aca="false">IF($T1877="","",IFERROR(INDEX('Resumo Grupos'!$AC$3:$AC$200,MATCH($T1877,'Resumo Grupos'!$AB$3:$AB$200,0)),"n/d"))</f>
        <v>Mercadoria</v>
      </c>
      <c r="AA1877" s="0" t="str">
        <f aca="false">IF($T1877="","",IF(COUNTIF('Resumo Grupos'!$AE$3:$AE$40,$T1877)&gt;0,"NAO","SIM"))</f>
        <v>SIM</v>
      </c>
      <c r="AB1877" s="0" t="str">
        <f aca="false">IFERROR(INDEX('Mov Entradas (Rel 10497)'!$L:$L,MATCH(AC1877,'Mov Entradas (Rel 10497)'!$I:$I,0)),"nao encontrado")</f>
        <v>CERVEJA ITAIPAVA 269ML</v>
      </c>
      <c r="AC1877" s="0" t="n">
        <v>1915876</v>
      </c>
    </row>
    <row r="1878" customFormat="false" ht="12.75" hidden="false" customHeight="true" outlineLevel="0" collapsed="false">
      <c r="A1878" s="13" t="n">
        <v>2</v>
      </c>
      <c r="B1878" s="14" t="n">
        <v>46259</v>
      </c>
      <c r="C1878" s="14" t="n">
        <v>46273</v>
      </c>
      <c r="D1878" s="13" t="n">
        <v>1705</v>
      </c>
      <c r="E1878" s="0" t="s">
        <v>130</v>
      </c>
      <c r="F1878" s="13" t="n">
        <v>24</v>
      </c>
      <c r="G1878" s="0" t="s">
        <v>51</v>
      </c>
      <c r="H1878" s="13" t="n">
        <v>2110405</v>
      </c>
      <c r="I1878" s="0" t="s">
        <v>56</v>
      </c>
      <c r="J1878" s="13" t="n">
        <v>1600068</v>
      </c>
      <c r="L1878" s="13" t="n">
        <v>219099</v>
      </c>
      <c r="M1878" s="0" t="s">
        <v>52</v>
      </c>
      <c r="N1878" s="0" t="s">
        <v>45</v>
      </c>
      <c r="P1878" s="13" t="n">
        <v>113</v>
      </c>
      <c r="Q1878" s="0" t="s">
        <v>46</v>
      </c>
      <c r="R1878" s="0" t="s">
        <v>47</v>
      </c>
      <c r="S1878" s="13" t="n">
        <v>1130101</v>
      </c>
      <c r="T1878" s="0" t="s">
        <v>48</v>
      </c>
      <c r="U1878" s="15" t="n">
        <v>639.05</v>
      </c>
      <c r="W1878" s="15" t="n">
        <v>639.05</v>
      </c>
      <c r="X1878" s="0" t="s">
        <v>1630</v>
      </c>
      <c r="Z1878" s="0" t="str">
        <f aca="false">IF($T1878="","",IFERROR(INDEX('Resumo Grupos'!$AC$3:$AC$200,MATCH($T1878,'Resumo Grupos'!$AB$3:$AB$200,0)),"n/d"))</f>
        <v>Mercadoria</v>
      </c>
      <c r="AA1878" s="0" t="str">
        <f aca="false">IF($T1878="","",IF(COUNTIF('Resumo Grupos'!$AE$3:$AE$40,$T1878)&gt;0,"NAO","SIM"))</f>
        <v>SIM</v>
      </c>
      <c r="AB1878" s="0" t="str">
        <f aca="false">IFERROR(INDEX('Mov Entradas (Rel 10497)'!$L:$L,MATCH(AC1878,'Mov Entradas (Rel 10497)'!$I:$I,0)),"nao encontrado")</f>
        <v>CERVEJA KAISER LATA</v>
      </c>
      <c r="AC1878" s="0" t="n">
        <v>1262093</v>
      </c>
    </row>
    <row r="1879" customFormat="false" ht="12.75" hidden="false" customHeight="true" outlineLevel="0" collapsed="false">
      <c r="A1879" s="13" t="n">
        <v>2</v>
      </c>
      <c r="B1879" s="14" t="n">
        <v>46259</v>
      </c>
      <c r="C1879" s="14" t="n">
        <v>46273</v>
      </c>
      <c r="D1879" s="13" t="n">
        <v>1705</v>
      </c>
      <c r="E1879" s="0" t="s">
        <v>130</v>
      </c>
      <c r="F1879" s="13" t="n">
        <v>24</v>
      </c>
      <c r="G1879" s="0" t="s">
        <v>51</v>
      </c>
      <c r="H1879" s="13" t="n">
        <v>2110405</v>
      </c>
      <c r="I1879" s="0" t="s">
        <v>56</v>
      </c>
      <c r="J1879" s="13" t="n">
        <v>1600077</v>
      </c>
      <c r="L1879" s="13" t="n">
        <v>219102</v>
      </c>
      <c r="M1879" s="0" t="s">
        <v>52</v>
      </c>
      <c r="N1879" s="0" t="s">
        <v>45</v>
      </c>
      <c r="P1879" s="13" t="n">
        <v>113</v>
      </c>
      <c r="Q1879" s="0" t="s">
        <v>46</v>
      </c>
      <c r="R1879" s="0" t="s">
        <v>47</v>
      </c>
      <c r="S1879" s="13" t="n">
        <v>1130101</v>
      </c>
      <c r="T1879" s="0" t="s">
        <v>48</v>
      </c>
      <c r="U1879" s="15" t="n">
        <v>3064.41</v>
      </c>
      <c r="W1879" s="15" t="n">
        <v>3064.41</v>
      </c>
      <c r="X1879" s="0" t="s">
        <v>1631</v>
      </c>
      <c r="Z1879" s="0" t="str">
        <f aca="false">IF($T1879="","",IFERROR(INDEX('Resumo Grupos'!$AC$3:$AC$200,MATCH($T1879,'Resumo Grupos'!$AB$3:$AB$200,0)),"n/d"))</f>
        <v>Mercadoria</v>
      </c>
      <c r="AA1879" s="0" t="str">
        <f aca="false">IF($T1879="","",IF(COUNTIF('Resumo Grupos'!$AE$3:$AE$40,$T1879)&gt;0,"NAO","SIM"))</f>
        <v>SIM</v>
      </c>
      <c r="AB1879" s="0" t="str">
        <f aca="false">IFERROR(INDEX('Mov Entradas (Rel 10497)'!$L:$L,MATCH(AC1879,'Mov Entradas (Rel 10497)'!$I:$I,0)),"nao encontrado")</f>
        <v>REFRI. FANTA UVA 1,5</v>
      </c>
      <c r="AC1879" s="0" t="n">
        <v>2004983</v>
      </c>
    </row>
    <row r="1880" customFormat="false" ht="12.75" hidden="false" customHeight="true" outlineLevel="0" collapsed="false">
      <c r="A1880" s="13" t="n">
        <v>2</v>
      </c>
      <c r="B1880" s="14" t="n">
        <v>46266</v>
      </c>
      <c r="C1880" s="14" t="n">
        <v>46273</v>
      </c>
      <c r="D1880" s="13" t="n">
        <v>1642</v>
      </c>
      <c r="E1880" s="0" t="s">
        <v>228</v>
      </c>
      <c r="F1880" s="13" t="n">
        <v>24</v>
      </c>
      <c r="G1880" s="0" t="s">
        <v>51</v>
      </c>
      <c r="H1880" s="13" t="n">
        <v>2110405</v>
      </c>
      <c r="I1880" s="0" t="s">
        <v>56</v>
      </c>
      <c r="J1880" s="13" t="n">
        <v>1633903</v>
      </c>
      <c r="L1880" s="13" t="n">
        <v>224228</v>
      </c>
      <c r="M1880" s="0" t="s">
        <v>52</v>
      </c>
      <c r="N1880" s="0" t="s">
        <v>45</v>
      </c>
      <c r="P1880" s="13" t="n">
        <v>113</v>
      </c>
      <c r="Q1880" s="0" t="s">
        <v>46</v>
      </c>
      <c r="R1880" s="0" t="s">
        <v>47</v>
      </c>
      <c r="S1880" s="13" t="n">
        <v>1130101</v>
      </c>
      <c r="T1880" s="0" t="s">
        <v>48</v>
      </c>
      <c r="U1880" s="15" t="n">
        <v>492.29</v>
      </c>
      <c r="W1880" s="15" t="n">
        <v>492.29</v>
      </c>
      <c r="X1880" s="0" t="s">
        <v>1632</v>
      </c>
      <c r="Z1880" s="0" t="str">
        <f aca="false">IF($T1880="","",IFERROR(INDEX('Resumo Grupos'!$AC$3:$AC$200,MATCH($T1880,'Resumo Grupos'!$AB$3:$AB$200,0)),"n/d"))</f>
        <v>Mercadoria</v>
      </c>
      <c r="AA1880" s="0" t="str">
        <f aca="false">IF($T1880="","",IF(COUNTIF('Resumo Grupos'!$AE$3:$AE$40,$T1880)&gt;0,"NAO","SIM"))</f>
        <v>SIM</v>
      </c>
      <c r="AB1880" s="0" t="str">
        <f aca="false">IFERROR(INDEX('Mov Entradas (Rel 10497)'!$L:$L,MATCH(AC1880,'Mov Entradas (Rel 10497)'!$I:$I,0)),"nao encontrado")</f>
        <v>PAO DE FORMA BROTHER</v>
      </c>
      <c r="AC1880" s="0" t="n">
        <v>1039683</v>
      </c>
    </row>
    <row r="1881" customFormat="false" ht="12.75" hidden="false" customHeight="true" outlineLevel="0" collapsed="false">
      <c r="A1881" s="13" t="n">
        <v>2</v>
      </c>
      <c r="B1881" s="14" t="n">
        <v>46260</v>
      </c>
      <c r="C1881" s="14" t="n">
        <v>46273</v>
      </c>
      <c r="D1881" s="13" t="n">
        <v>1601</v>
      </c>
      <c r="E1881" s="0" t="s">
        <v>193</v>
      </c>
      <c r="F1881" s="13" t="n">
        <v>24</v>
      </c>
      <c r="G1881" s="0" t="s">
        <v>51</v>
      </c>
      <c r="H1881" s="13" t="n">
        <v>2110405</v>
      </c>
      <c r="I1881" s="0" t="s">
        <v>56</v>
      </c>
      <c r="J1881" s="13" t="n">
        <v>1603992</v>
      </c>
      <c r="L1881" s="13" t="n">
        <v>219684</v>
      </c>
      <c r="M1881" s="0" t="s">
        <v>52</v>
      </c>
      <c r="N1881" s="0" t="s">
        <v>45</v>
      </c>
      <c r="P1881" s="13" t="n">
        <v>113</v>
      </c>
      <c r="Q1881" s="0" t="s">
        <v>46</v>
      </c>
      <c r="R1881" s="0" t="s">
        <v>47</v>
      </c>
      <c r="S1881" s="13" t="n">
        <v>1130101</v>
      </c>
      <c r="T1881" s="0" t="s">
        <v>48</v>
      </c>
      <c r="U1881" s="15" t="n">
        <v>843.65</v>
      </c>
      <c r="W1881" s="15" t="n">
        <v>843.65</v>
      </c>
      <c r="X1881" s="0" t="s">
        <v>1633</v>
      </c>
      <c r="Z1881" s="0" t="str">
        <f aca="false">IF($T1881="","",IFERROR(INDEX('Resumo Grupos'!$AC$3:$AC$200,MATCH($T1881,'Resumo Grupos'!$AB$3:$AB$200,0)),"n/d"))</f>
        <v>Mercadoria</v>
      </c>
      <c r="AA1881" s="0" t="str">
        <f aca="false">IF($T1881="","",IF(COUNTIF('Resumo Grupos'!$AE$3:$AE$40,$T1881)&gt;0,"NAO","SIM"))</f>
        <v>SIM</v>
      </c>
      <c r="AB1881" s="0" t="str">
        <f aca="false">IFERROR(INDEX('Mov Entradas (Rel 10497)'!$L:$L,MATCH(AC1881,'Mov Entradas (Rel 10497)'!$I:$I,0)),"nao encontrado")</f>
        <v>HEINZ YELLOW MUSTARD</v>
      </c>
      <c r="AC1881" s="0" t="n">
        <v>866347</v>
      </c>
    </row>
    <row r="1882" customFormat="false" ht="12.75" hidden="false" customHeight="true" outlineLevel="0" collapsed="false">
      <c r="A1882" s="13" t="n">
        <v>2</v>
      </c>
      <c r="B1882" s="14" t="n">
        <v>46265</v>
      </c>
      <c r="C1882" s="14" t="n">
        <v>46273</v>
      </c>
      <c r="D1882" s="13" t="n">
        <v>1621</v>
      </c>
      <c r="E1882" s="0" t="s">
        <v>232</v>
      </c>
      <c r="F1882" s="13" t="n">
        <v>24</v>
      </c>
      <c r="G1882" s="0" t="s">
        <v>51</v>
      </c>
      <c r="H1882" s="13" t="n">
        <v>2110405</v>
      </c>
      <c r="I1882" s="0" t="s">
        <v>56</v>
      </c>
      <c r="J1882" s="13" t="n">
        <v>1630703</v>
      </c>
      <c r="L1882" s="13" t="n">
        <v>223795</v>
      </c>
      <c r="M1882" s="0" t="s">
        <v>52</v>
      </c>
      <c r="N1882" s="0" t="s">
        <v>45</v>
      </c>
      <c r="P1882" s="13" t="n">
        <v>113</v>
      </c>
      <c r="Q1882" s="0" t="s">
        <v>46</v>
      </c>
      <c r="R1882" s="0" t="s">
        <v>47</v>
      </c>
      <c r="S1882" s="13" t="n">
        <v>1130101</v>
      </c>
      <c r="T1882" s="0" t="s">
        <v>48</v>
      </c>
      <c r="U1882" s="15" t="n">
        <v>1825.37</v>
      </c>
      <c r="W1882" s="15" t="n">
        <v>1825.37</v>
      </c>
      <c r="X1882" s="0" t="s">
        <v>1634</v>
      </c>
      <c r="Z1882" s="0" t="str">
        <f aca="false">IF($T1882="","",IFERROR(INDEX('Resumo Grupos'!$AC$3:$AC$200,MATCH($T1882,'Resumo Grupos'!$AB$3:$AB$200,0)),"n/d"))</f>
        <v>Mercadoria</v>
      </c>
      <c r="AA1882" s="0" t="str">
        <f aca="false">IF($T1882="","",IF(COUNTIF('Resumo Grupos'!$AE$3:$AE$40,$T1882)&gt;0,"NAO","SIM"))</f>
        <v>SIM</v>
      </c>
      <c r="AB1882" s="0" t="str">
        <f aca="false">IFERROR(INDEX('Mov Entradas (Rel 10497)'!$L:$L,MATCH(AC1882,'Mov Entradas (Rel 10497)'!$I:$I,0)),"nao encontrado")</f>
        <v>CERVEJANTARCTIC 1L</v>
      </c>
      <c r="AC1882" s="0" t="n">
        <v>982558</v>
      </c>
    </row>
    <row r="1883" customFormat="false" ht="12.75" hidden="false" customHeight="true" outlineLevel="0" collapsed="false">
      <c r="A1883" s="13" t="n">
        <v>2</v>
      </c>
      <c r="B1883" s="14" t="n">
        <v>46260</v>
      </c>
      <c r="C1883" s="14" t="n">
        <v>46273</v>
      </c>
      <c r="D1883" s="13" t="n">
        <v>794</v>
      </c>
      <c r="E1883" s="0" t="s">
        <v>335</v>
      </c>
      <c r="F1883" s="13" t="n">
        <v>24</v>
      </c>
      <c r="G1883" s="0" t="s">
        <v>51</v>
      </c>
      <c r="H1883" s="13" t="n">
        <v>2110405</v>
      </c>
      <c r="I1883" s="0" t="s">
        <v>56</v>
      </c>
      <c r="J1883" s="13" t="n">
        <v>1604320</v>
      </c>
      <c r="L1883" s="13" t="n">
        <v>219749</v>
      </c>
      <c r="M1883" s="0" t="s">
        <v>52</v>
      </c>
      <c r="N1883" s="0" t="s">
        <v>45</v>
      </c>
      <c r="P1883" s="13" t="n">
        <v>113</v>
      </c>
      <c r="Q1883" s="0" t="s">
        <v>46</v>
      </c>
      <c r="R1883" s="0" t="s">
        <v>47</v>
      </c>
      <c r="S1883" s="13" t="n">
        <v>1130101</v>
      </c>
      <c r="T1883" s="0" t="s">
        <v>48</v>
      </c>
      <c r="U1883" s="15" t="n">
        <v>873.08</v>
      </c>
      <c r="W1883" s="15" t="n">
        <v>873.08</v>
      </c>
      <c r="X1883" s="0" t="s">
        <v>1635</v>
      </c>
      <c r="Z1883" s="0" t="str">
        <f aca="false">IF($T1883="","",IFERROR(INDEX('Resumo Grupos'!$AC$3:$AC$200,MATCH($T1883,'Resumo Grupos'!$AB$3:$AB$200,0)),"n/d"))</f>
        <v>Mercadoria</v>
      </c>
      <c r="AA1883" s="0" t="str">
        <f aca="false">IF($T1883="","",IF(COUNTIF('Resumo Grupos'!$AE$3:$AE$40,$T1883)&gt;0,"NAO","SIM"))</f>
        <v>SIM</v>
      </c>
      <c r="AB1883" s="0" t="str">
        <f aca="false">IFERROR(INDEX('Mov Entradas (Rel 10497)'!$L:$L,MATCH(AC1883,'Mov Entradas (Rel 10497)'!$I:$I,0)),"nao encontrado")</f>
        <v>RODO M 30CM CONDOR</v>
      </c>
      <c r="AC1883" s="0" t="n">
        <v>8744</v>
      </c>
    </row>
    <row r="1884" customFormat="false" ht="12.75" hidden="false" customHeight="true" outlineLevel="0" collapsed="false">
      <c r="A1884" s="13" t="n">
        <v>2</v>
      </c>
      <c r="B1884" s="14" t="n">
        <v>46273</v>
      </c>
      <c r="C1884" s="14" t="n">
        <v>46273</v>
      </c>
      <c r="D1884" s="13" t="n">
        <v>1037</v>
      </c>
      <c r="E1884" s="0" t="s">
        <v>134</v>
      </c>
      <c r="F1884" s="13" t="n">
        <v>34</v>
      </c>
      <c r="G1884" s="0" t="s">
        <v>55</v>
      </c>
      <c r="H1884" s="13" t="n">
        <v>2110405</v>
      </c>
      <c r="I1884" s="0" t="s">
        <v>56</v>
      </c>
      <c r="J1884" s="13" t="n">
        <v>1673644</v>
      </c>
      <c r="L1884" s="13" t="n">
        <v>229464</v>
      </c>
      <c r="M1884" s="0" t="s">
        <v>52</v>
      </c>
      <c r="N1884" s="0" t="s">
        <v>45</v>
      </c>
      <c r="P1884" s="13" t="n">
        <v>113</v>
      </c>
      <c r="Q1884" s="0" t="s">
        <v>46</v>
      </c>
      <c r="R1884" s="0" t="s">
        <v>47</v>
      </c>
      <c r="S1884" s="13" t="n">
        <v>1130101</v>
      </c>
      <c r="T1884" s="0" t="s">
        <v>48</v>
      </c>
      <c r="U1884" s="15" t="n">
        <v>340</v>
      </c>
      <c r="W1884" s="15" t="n">
        <v>340</v>
      </c>
      <c r="X1884" s="0" t="s">
        <v>1636</v>
      </c>
      <c r="Z1884" s="0" t="str">
        <f aca="false">IF($T1884="","",IFERROR(INDEX('Resumo Grupos'!$AC$3:$AC$200,MATCH($T1884,'Resumo Grupos'!$AB$3:$AB$200,0)),"n/d"))</f>
        <v>Mercadoria</v>
      </c>
      <c r="AA1884" s="0" t="str">
        <f aca="false">IF($T1884="","",IF(COUNTIF('Resumo Grupos'!$AE$3:$AE$40,$T1884)&gt;0,"NAO","SIM"))</f>
        <v>SIM</v>
      </c>
      <c r="AB1884" s="0" t="str">
        <f aca="false">IFERROR(INDEX('Mov Entradas (Rel 10497)'!$L:$L,MATCH(AC1884,'Mov Entradas (Rel 10497)'!$I:$I,0)),"nao encontrado")</f>
        <v>ABACATE KG</v>
      </c>
      <c r="AC1884" s="0" t="n">
        <v>2661</v>
      </c>
    </row>
    <row r="1885" customFormat="false" ht="12.75" hidden="false" customHeight="true" outlineLevel="0" collapsed="false">
      <c r="A1885" s="13" t="n">
        <v>2</v>
      </c>
      <c r="B1885" s="14" t="n">
        <v>46273</v>
      </c>
      <c r="C1885" s="14" t="n">
        <v>46273</v>
      </c>
      <c r="D1885" s="13" t="n">
        <v>515</v>
      </c>
      <c r="E1885" s="0" t="s">
        <v>137</v>
      </c>
      <c r="F1885" s="13" t="n">
        <v>34</v>
      </c>
      <c r="G1885" s="0" t="s">
        <v>55</v>
      </c>
      <c r="H1885" s="13" t="n">
        <v>2110405</v>
      </c>
      <c r="I1885" s="0" t="s">
        <v>56</v>
      </c>
      <c r="J1885" s="13" t="n">
        <v>1678273</v>
      </c>
      <c r="L1885" s="13" t="n">
        <v>230256</v>
      </c>
      <c r="M1885" s="0" t="s">
        <v>52</v>
      </c>
      <c r="N1885" s="0" t="s">
        <v>45</v>
      </c>
      <c r="P1885" s="13" t="n">
        <v>102</v>
      </c>
      <c r="Q1885" s="0" t="s">
        <v>308</v>
      </c>
      <c r="R1885" s="0" t="s">
        <v>138</v>
      </c>
      <c r="S1885" s="13" t="n">
        <v>4210502</v>
      </c>
      <c r="T1885" s="0" t="s">
        <v>246</v>
      </c>
      <c r="U1885" s="15" t="n">
        <v>2846.63</v>
      </c>
      <c r="W1885" s="15" t="n">
        <v>2846.63</v>
      </c>
      <c r="X1885" s="0" t="s">
        <v>1637</v>
      </c>
      <c r="Z1885" s="0" t="str">
        <f aca="false">IF($T1885="","",IFERROR(INDEX('Resumo Grupos'!$AC$3:$AC$200,MATCH($T1885,'Resumo Grupos'!$AB$3:$AB$200,0)),"n/d"))</f>
        <v>Empréstimo</v>
      </c>
      <c r="AA1885" s="0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3" t="n">
        <v>2</v>
      </c>
      <c r="B1886" s="14" t="n">
        <v>46269</v>
      </c>
      <c r="C1886" s="14" t="n">
        <v>46273</v>
      </c>
      <c r="D1886" s="13" t="n">
        <v>10035</v>
      </c>
      <c r="E1886" s="0" t="s">
        <v>86</v>
      </c>
      <c r="F1886" s="13" t="n">
        <v>34</v>
      </c>
      <c r="G1886" s="0" t="s">
        <v>55</v>
      </c>
      <c r="H1886" s="13" t="n">
        <v>2110405</v>
      </c>
      <c r="I1886" s="0" t="s">
        <v>56</v>
      </c>
      <c r="J1886" s="13" t="n">
        <v>1651836</v>
      </c>
      <c r="L1886" s="13" t="n">
        <v>226891</v>
      </c>
      <c r="M1886" s="0" t="s">
        <v>52</v>
      </c>
      <c r="N1886" s="0" t="s">
        <v>45</v>
      </c>
      <c r="P1886" s="13" t="n">
        <v>113</v>
      </c>
      <c r="Q1886" s="0" t="s">
        <v>46</v>
      </c>
      <c r="R1886" s="0" t="s">
        <v>47</v>
      </c>
      <c r="S1886" s="13" t="n">
        <v>1130101</v>
      </c>
      <c r="T1886" s="0" t="s">
        <v>48</v>
      </c>
      <c r="U1886" s="15" t="n">
        <v>177.5</v>
      </c>
      <c r="W1886" s="15" t="n">
        <v>177.5</v>
      </c>
      <c r="X1886" s="0" t="s">
        <v>1638</v>
      </c>
      <c r="Z1886" s="0" t="str">
        <f aca="false">IF($T1886="","",IFERROR(INDEX('Resumo Grupos'!$AC$3:$AC$200,MATCH($T1886,'Resumo Grupos'!$AB$3:$AB$200,0)),"n/d"))</f>
        <v>Mercadoria</v>
      </c>
      <c r="AA1886" s="0" t="str">
        <f aca="false">IF($T1886="","",IF(COUNTIF('Resumo Grupos'!$AE$3:$AE$40,$T1886)&gt;0,"NAO","SIM"))</f>
        <v>SIM</v>
      </c>
      <c r="AB1886" s="0" t="str">
        <f aca="false">IFERROR(INDEX('Mov Entradas (Rel 10497)'!$L:$L,MATCH(AC1886,'Mov Entradas (Rel 10497)'!$I:$I,0)),"nao encontrado")</f>
        <v>CARVAO VEGETAL 3KG</v>
      </c>
      <c r="AC1886" s="0" t="n">
        <v>427</v>
      </c>
    </row>
    <row r="1887" customFormat="false" ht="12.75" hidden="false" customHeight="true" outlineLevel="0" collapsed="false">
      <c r="A1887" s="13" t="n">
        <v>2</v>
      </c>
      <c r="B1887" s="14" t="n">
        <v>46252</v>
      </c>
      <c r="C1887" s="14" t="n">
        <v>46273</v>
      </c>
      <c r="D1887" s="13" t="n">
        <v>1711</v>
      </c>
      <c r="E1887" s="0" t="s">
        <v>1537</v>
      </c>
      <c r="F1887" s="13" t="n">
        <v>24</v>
      </c>
      <c r="G1887" s="0" t="s">
        <v>51</v>
      </c>
      <c r="H1887" s="13" t="n">
        <v>2110405</v>
      </c>
      <c r="I1887" s="0" t="s">
        <v>56</v>
      </c>
      <c r="J1887" s="13" t="n">
        <v>1568092</v>
      </c>
      <c r="L1887" s="13" t="n">
        <v>214110</v>
      </c>
      <c r="M1887" s="0" t="s">
        <v>52</v>
      </c>
      <c r="N1887" s="0" t="s">
        <v>45</v>
      </c>
      <c r="P1887" s="13" t="n">
        <v>113</v>
      </c>
      <c r="Q1887" s="0" t="s">
        <v>46</v>
      </c>
      <c r="R1887" s="0" t="s">
        <v>47</v>
      </c>
      <c r="S1887" s="13" t="n">
        <v>1130101</v>
      </c>
      <c r="T1887" s="0" t="s">
        <v>48</v>
      </c>
      <c r="U1887" s="15" t="n">
        <v>645.71</v>
      </c>
      <c r="W1887" s="15" t="n">
        <v>645.71</v>
      </c>
      <c r="X1887" s="0" t="s">
        <v>1538</v>
      </c>
      <c r="Z1887" s="0" t="str">
        <f aca="false">IF($T1887="","",IFERROR(INDEX('Resumo Grupos'!$AC$3:$AC$200,MATCH($T1887,'Resumo Grupos'!$AB$3:$AB$200,0)),"n/d"))</f>
        <v>Mercadoria</v>
      </c>
      <c r="AA1887" s="0" t="str">
        <f aca="false">IF($T1887="","",IF(COUNTIF('Resumo Grupos'!$AE$3:$AE$40,$T1887)&gt;0,"NAO","SIM"))</f>
        <v>SIM</v>
      </c>
      <c r="AB1887" s="0" t="str">
        <f aca="false">IFERROR(INDEX('Mov Entradas (Rel 10497)'!$L:$L,MATCH(AC1887,'Mov Entradas (Rel 10497)'!$I:$I,0)),"nao encontrado")</f>
        <v>CAD BROCH UNIV COST</v>
      </c>
      <c r="AC1887" s="0" t="n">
        <v>160332</v>
      </c>
    </row>
    <row r="1888" customFormat="false" ht="12.75" hidden="false" customHeight="true" outlineLevel="0" collapsed="false">
      <c r="A1888" s="13" t="n">
        <v>2</v>
      </c>
      <c r="B1888" s="14" t="n">
        <v>46266</v>
      </c>
      <c r="C1888" s="14" t="n">
        <v>46273</v>
      </c>
      <c r="D1888" s="13" t="n">
        <v>560</v>
      </c>
      <c r="E1888" s="0" t="s">
        <v>453</v>
      </c>
      <c r="F1888" s="13" t="n">
        <v>24</v>
      </c>
      <c r="G1888" s="0" t="s">
        <v>51</v>
      </c>
      <c r="H1888" s="13" t="n">
        <v>2110405</v>
      </c>
      <c r="I1888" s="0" t="s">
        <v>56</v>
      </c>
      <c r="J1888" s="13" t="n">
        <v>1635028</v>
      </c>
      <c r="L1888" s="13" t="n">
        <v>224552</v>
      </c>
      <c r="M1888" s="0" t="s">
        <v>52</v>
      </c>
      <c r="N1888" s="0" t="s">
        <v>45</v>
      </c>
      <c r="P1888" s="13" t="n">
        <v>113</v>
      </c>
      <c r="Q1888" s="0" t="s">
        <v>46</v>
      </c>
      <c r="R1888" s="0" t="s">
        <v>47</v>
      </c>
      <c r="S1888" s="13" t="n">
        <v>1130101</v>
      </c>
      <c r="T1888" s="0" t="s">
        <v>48</v>
      </c>
      <c r="U1888" s="15" t="n">
        <v>250</v>
      </c>
      <c r="W1888" s="15" t="n">
        <v>250</v>
      </c>
      <c r="X1888" s="0" t="s">
        <v>1639</v>
      </c>
      <c r="Z1888" s="0" t="str">
        <f aca="false">IF($T1888="","",IFERROR(INDEX('Resumo Grupos'!$AC$3:$AC$200,MATCH($T1888,'Resumo Grupos'!$AB$3:$AB$200,0)),"n/d"))</f>
        <v>Mercadoria</v>
      </c>
      <c r="AA1888" s="0" t="str">
        <f aca="false">IF($T1888="","",IF(COUNTIF('Resumo Grupos'!$AE$3:$AE$40,$T1888)&gt;0,"NAO","SIM"))</f>
        <v>SIM</v>
      </c>
      <c r="AB1888" s="0" t="str">
        <f aca="false">IFERROR(INDEX('Mov Entradas (Rel 10497)'!$L:$L,MATCH(AC1888,'Mov Entradas (Rel 10497)'!$I:$I,0)),"nao encontrado")</f>
        <v>BISCOITOS DA MARIA S</v>
      </c>
      <c r="AC1888" s="0" t="n">
        <v>2142</v>
      </c>
    </row>
    <row r="1889" customFormat="false" ht="12.75" hidden="false" customHeight="true" outlineLevel="0" collapsed="false">
      <c r="A1889" s="13" t="n">
        <v>2</v>
      </c>
      <c r="B1889" s="14" t="n">
        <v>46266</v>
      </c>
      <c r="C1889" s="14" t="n">
        <v>46273</v>
      </c>
      <c r="D1889" s="13" t="n">
        <v>1699</v>
      </c>
      <c r="E1889" s="0" t="s">
        <v>248</v>
      </c>
      <c r="F1889" s="13" t="n">
        <v>24</v>
      </c>
      <c r="G1889" s="0" t="s">
        <v>51</v>
      </c>
      <c r="H1889" s="13" t="n">
        <v>2110405</v>
      </c>
      <c r="I1889" s="0" t="s">
        <v>56</v>
      </c>
      <c r="J1889" s="13" t="n">
        <v>1635345</v>
      </c>
      <c r="L1889" s="13" t="n">
        <v>224604</v>
      </c>
      <c r="M1889" s="0" t="s">
        <v>52</v>
      </c>
      <c r="N1889" s="0" t="s">
        <v>45</v>
      </c>
      <c r="P1889" s="13" t="n">
        <v>113</v>
      </c>
      <c r="Q1889" s="0" t="s">
        <v>46</v>
      </c>
      <c r="R1889" s="0" t="s">
        <v>47</v>
      </c>
      <c r="S1889" s="13" t="n">
        <v>1130101</v>
      </c>
      <c r="T1889" s="0" t="s">
        <v>48</v>
      </c>
      <c r="U1889" s="15" t="n">
        <v>658.8</v>
      </c>
      <c r="W1889" s="15" t="n">
        <v>658.8</v>
      </c>
      <c r="X1889" s="0" t="s">
        <v>1512</v>
      </c>
      <c r="Z1889" s="0" t="str">
        <f aca="false">IF($T1889="","",IFERROR(INDEX('Resumo Grupos'!$AC$3:$AC$200,MATCH($T1889,'Resumo Grupos'!$AB$3:$AB$200,0)),"n/d"))</f>
        <v>Mercadoria</v>
      </c>
      <c r="AA1889" s="0" t="str">
        <f aca="false">IF($T1889="","",IF(COUNTIF('Resumo Grupos'!$AE$3:$AE$40,$T1889)&gt;0,"NAO","SIM"))</f>
        <v>SIM</v>
      </c>
      <c r="AB1889" s="0" t="str">
        <f aca="false">IFERROR(INDEX('Mov Entradas (Rel 10497)'!$L:$L,MATCH(AC1889,'Mov Entradas (Rel 10497)'!$I:$I,0)),"nao encontrado")</f>
        <v>SUCO JANDAI CAJU500M</v>
      </c>
      <c r="AC1889" s="0" t="n">
        <v>311270</v>
      </c>
    </row>
    <row r="1890" customFormat="false" ht="12.75" hidden="false" customHeight="true" outlineLevel="0" collapsed="false">
      <c r="A1890" s="13" t="n">
        <v>2</v>
      </c>
      <c r="B1890" s="14" t="n">
        <v>46254</v>
      </c>
      <c r="C1890" s="14" t="n">
        <v>46273</v>
      </c>
      <c r="D1890" s="13" t="n">
        <v>967</v>
      </c>
      <c r="E1890" s="0" t="s">
        <v>1540</v>
      </c>
      <c r="F1890" s="13" t="n">
        <v>24</v>
      </c>
      <c r="G1890" s="0" t="s">
        <v>51</v>
      </c>
      <c r="H1890" s="13" t="n">
        <v>2110405</v>
      </c>
      <c r="I1890" s="0" t="s">
        <v>56</v>
      </c>
      <c r="J1890" s="13" t="n">
        <v>1576162</v>
      </c>
      <c r="L1890" s="13" t="n">
        <v>215378</v>
      </c>
      <c r="M1890" s="0" t="s">
        <v>52</v>
      </c>
      <c r="N1890" s="0" t="s">
        <v>45</v>
      </c>
      <c r="P1890" s="13" t="n">
        <v>113</v>
      </c>
      <c r="Q1890" s="0" t="s">
        <v>46</v>
      </c>
      <c r="R1890" s="0" t="s">
        <v>47</v>
      </c>
      <c r="S1890" s="13" t="n">
        <v>1130101</v>
      </c>
      <c r="T1890" s="0" t="s">
        <v>48</v>
      </c>
      <c r="U1890" s="15" t="n">
        <v>424</v>
      </c>
      <c r="W1890" s="15" t="n">
        <v>424</v>
      </c>
      <c r="X1890" s="0" t="s">
        <v>1541</v>
      </c>
      <c r="Z1890" s="0" t="str">
        <f aca="false">IF($T1890="","",IFERROR(INDEX('Resumo Grupos'!$AC$3:$AC$200,MATCH($T1890,'Resumo Grupos'!$AB$3:$AB$200,0)),"n/d"))</f>
        <v>Mercadoria</v>
      </c>
      <c r="AA1890" s="0" t="str">
        <f aca="false">IF($T1890="","",IF(COUNTIF('Resumo Grupos'!$AE$3:$AE$40,$T1890)&gt;0,"NAO","SIM"))</f>
        <v>SIM</v>
      </c>
      <c r="AB1890" s="0" t="str">
        <f aca="false">IFERROR(INDEX('Mov Entradas (Rel 10497)'!$L:$L,MATCH(AC1890,'Mov Entradas (Rel 10497)'!$I:$I,0)),"nao encontrado")</f>
        <v>COROTE LIMÃO 50ML</v>
      </c>
      <c r="AC1890" s="0" t="n">
        <v>37213</v>
      </c>
    </row>
    <row r="1891" customFormat="false" ht="12.75" hidden="false" customHeight="true" outlineLevel="0" collapsed="false">
      <c r="A1891" s="13" t="n">
        <v>2</v>
      </c>
      <c r="B1891" s="14" t="n">
        <v>46267</v>
      </c>
      <c r="C1891" s="14" t="n">
        <v>46273</v>
      </c>
      <c r="D1891" s="13" t="n">
        <v>1625</v>
      </c>
      <c r="E1891" s="0" t="s">
        <v>270</v>
      </c>
      <c r="F1891" s="13" t="n">
        <v>24</v>
      </c>
      <c r="G1891" s="0" t="s">
        <v>51</v>
      </c>
      <c r="H1891" s="13" t="n">
        <v>2110405</v>
      </c>
      <c r="I1891" s="0" t="s">
        <v>56</v>
      </c>
      <c r="J1891" s="13" t="n">
        <v>1638627</v>
      </c>
      <c r="L1891" s="13" t="n">
        <v>225125</v>
      </c>
      <c r="M1891" s="0" t="s">
        <v>52</v>
      </c>
      <c r="N1891" s="0" t="s">
        <v>45</v>
      </c>
      <c r="P1891" s="13" t="n">
        <v>113</v>
      </c>
      <c r="Q1891" s="0" t="s">
        <v>46</v>
      </c>
      <c r="R1891" s="0" t="s">
        <v>47</v>
      </c>
      <c r="S1891" s="13" t="n">
        <v>1130101</v>
      </c>
      <c r="T1891" s="0" t="s">
        <v>48</v>
      </c>
      <c r="U1891" s="15" t="n">
        <v>4886.4</v>
      </c>
      <c r="W1891" s="15" t="n">
        <v>4886.4</v>
      </c>
      <c r="X1891" s="0" t="s">
        <v>1640</v>
      </c>
      <c r="Z1891" s="0" t="str">
        <f aca="false">IF($T1891="","",IFERROR(INDEX('Resumo Grupos'!$AC$3:$AC$200,MATCH($T1891,'Resumo Grupos'!$AB$3:$AB$200,0)),"n/d"))</f>
        <v>Mercadoria</v>
      </c>
      <c r="AA1891" s="0" t="str">
        <f aca="false">IF($T1891="","",IF(COUNTIF('Resumo Grupos'!$AE$3:$AE$40,$T1891)&gt;0,"NAO","SIM"))</f>
        <v>SIM</v>
      </c>
      <c r="AB1891" s="0" t="str">
        <f aca="false">IFERROR(INDEX('Mov Entradas (Rel 10497)'!$L:$L,MATCH(AC1891,'Mov Entradas (Rel 10497)'!$I:$I,0)),"nao encontrado")</f>
        <v>TRASEIRO DE BOI L1</v>
      </c>
      <c r="AC1891" s="0" t="n">
        <v>15237</v>
      </c>
    </row>
    <row r="1892" customFormat="false" ht="12.75" hidden="false" customHeight="true" outlineLevel="0" collapsed="false">
      <c r="A1892" s="13" t="n">
        <v>2</v>
      </c>
      <c r="B1892" s="14" t="n">
        <v>46259</v>
      </c>
      <c r="C1892" s="14" t="n">
        <v>46273</v>
      </c>
      <c r="D1892" s="13" t="n">
        <v>10009</v>
      </c>
      <c r="E1892" s="0" t="s">
        <v>464</v>
      </c>
      <c r="F1892" s="13" t="n">
        <v>24</v>
      </c>
      <c r="G1892" s="0" t="s">
        <v>51</v>
      </c>
      <c r="H1892" s="13" t="n">
        <v>2110405</v>
      </c>
      <c r="I1892" s="0" t="s">
        <v>56</v>
      </c>
      <c r="J1892" s="13" t="n">
        <v>1600144</v>
      </c>
      <c r="L1892" s="13" t="n">
        <v>219111</v>
      </c>
      <c r="M1892" s="0" t="s">
        <v>52</v>
      </c>
      <c r="N1892" s="0" t="s">
        <v>45</v>
      </c>
      <c r="P1892" s="13" t="n">
        <v>113</v>
      </c>
      <c r="Q1892" s="0" t="s">
        <v>46</v>
      </c>
      <c r="R1892" s="0" t="s">
        <v>47</v>
      </c>
      <c r="S1892" s="13" t="n">
        <v>1130101</v>
      </c>
      <c r="T1892" s="0" t="s">
        <v>48</v>
      </c>
      <c r="U1892" s="15" t="n">
        <v>1509.12</v>
      </c>
      <c r="W1892" s="15" t="n">
        <v>1509.12</v>
      </c>
      <c r="X1892" s="0" t="s">
        <v>1641</v>
      </c>
      <c r="Z1892" s="0" t="str">
        <f aca="false">IF($T1892="","",IFERROR(INDEX('Resumo Grupos'!$AC$3:$AC$200,MATCH($T1892,'Resumo Grupos'!$AB$3:$AB$200,0)),"n/d"))</f>
        <v>Mercadoria</v>
      </c>
      <c r="AA1892" s="0" t="str">
        <f aca="false">IF($T1892="","",IF(COUNTIF('Resumo Grupos'!$AE$3:$AE$40,$T1892)&gt;0,"NAO","SIM"))</f>
        <v>SIM</v>
      </c>
      <c r="AB1892" s="0" t="str">
        <f aca="false">IFERROR(INDEX('Mov Entradas (Rel 10497)'!$L:$L,MATCH(AC1892,'Mov Entradas (Rel 10497)'!$I:$I,0)),"nao encontrado")</f>
        <v>PRESTIGIO 33G</v>
      </c>
      <c r="AC1892" s="0" t="n">
        <v>1442202</v>
      </c>
    </row>
    <row r="1893" customFormat="false" ht="12.75" hidden="false" customHeight="true" outlineLevel="0" collapsed="false">
      <c r="A1893" s="13" t="n">
        <v>2</v>
      </c>
      <c r="B1893" s="14" t="n">
        <v>46259</v>
      </c>
      <c r="C1893" s="14" t="n">
        <v>46273</v>
      </c>
      <c r="D1893" s="13" t="n">
        <v>10009</v>
      </c>
      <c r="E1893" s="0" t="s">
        <v>464</v>
      </c>
      <c r="F1893" s="13" t="n">
        <v>24</v>
      </c>
      <c r="G1893" s="0" t="s">
        <v>51</v>
      </c>
      <c r="H1893" s="13" t="n">
        <v>2110405</v>
      </c>
      <c r="I1893" s="0" t="s">
        <v>56</v>
      </c>
      <c r="J1893" s="13" t="n">
        <v>1600168</v>
      </c>
      <c r="L1893" s="13" t="n">
        <v>219115</v>
      </c>
      <c r="M1893" s="0" t="s">
        <v>52</v>
      </c>
      <c r="N1893" s="0" t="s">
        <v>45</v>
      </c>
      <c r="P1893" s="13" t="n">
        <v>113</v>
      </c>
      <c r="Q1893" s="0" t="s">
        <v>46</v>
      </c>
      <c r="R1893" s="0" t="s">
        <v>47</v>
      </c>
      <c r="S1893" s="13" t="n">
        <v>1130101</v>
      </c>
      <c r="T1893" s="0" t="s">
        <v>48</v>
      </c>
      <c r="U1893" s="15" t="n">
        <v>202.95</v>
      </c>
      <c r="W1893" s="15" t="n">
        <v>202.95</v>
      </c>
      <c r="X1893" s="0" t="s">
        <v>1642</v>
      </c>
      <c r="Z1893" s="0" t="str">
        <f aca="false">IF($T1893="","",IFERROR(INDEX('Resumo Grupos'!$AC$3:$AC$200,MATCH($T1893,'Resumo Grupos'!$AB$3:$AB$200,0)),"n/d"))</f>
        <v>Mercadoria</v>
      </c>
      <c r="AA1893" s="0" t="str">
        <f aca="false">IF($T1893="","",IF(COUNTIF('Resumo Grupos'!$AE$3:$AE$40,$T1893)&gt;0,"NAO","SIM"))</f>
        <v>SIM</v>
      </c>
      <c r="AB1893" s="0" t="str">
        <f aca="false">IFERROR(INDEX('Mov Entradas (Rel 10497)'!$L:$L,MATCH(AC1893,'Mov Entradas (Rel 10497)'!$I:$I,0)),"nao encontrado")</f>
        <v>TEMP MAGGI FONDO120G</v>
      </c>
      <c r="AC1893" s="0" t="n">
        <v>1441732</v>
      </c>
    </row>
    <row r="1894" customFormat="false" ht="12.75" hidden="false" customHeight="true" outlineLevel="0" collapsed="false">
      <c r="A1894" s="13" t="n">
        <v>2</v>
      </c>
      <c r="B1894" s="14" t="n">
        <v>46273</v>
      </c>
      <c r="C1894" s="14" t="n">
        <v>46273</v>
      </c>
      <c r="D1894" s="13" t="n">
        <v>48</v>
      </c>
      <c r="E1894" s="0" t="s">
        <v>153</v>
      </c>
      <c r="F1894" s="13" t="n">
        <v>13</v>
      </c>
      <c r="G1894" s="0" t="s">
        <v>135</v>
      </c>
      <c r="H1894" s="13" t="n">
        <v>2110101</v>
      </c>
      <c r="I1894" s="0" t="s">
        <v>43</v>
      </c>
      <c r="J1894" s="13" t="n">
        <v>1673597</v>
      </c>
      <c r="L1894" s="13" t="n">
        <v>2660</v>
      </c>
      <c r="M1894" s="0" t="s">
        <v>52</v>
      </c>
      <c r="N1894" s="0" t="s">
        <v>37</v>
      </c>
      <c r="P1894" s="13" t="n">
        <v>113</v>
      </c>
      <c r="Q1894" s="0" t="s">
        <v>46</v>
      </c>
      <c r="R1894" s="0" t="s">
        <v>47</v>
      </c>
      <c r="S1894" s="13" t="n">
        <v>1130101</v>
      </c>
      <c r="T1894" s="0" t="s">
        <v>48</v>
      </c>
      <c r="U1894" s="15" t="n">
        <v>300</v>
      </c>
      <c r="W1894" s="15" t="n">
        <v>300</v>
      </c>
      <c r="X1894" s="0" t="s">
        <v>1643</v>
      </c>
      <c r="Z1894" s="0" t="str">
        <f aca="false">IF($T1894="","",IFERROR(INDEX('Resumo Grupos'!$AC$3:$AC$200,MATCH($T1894,'Resumo Grupos'!$AB$3:$AB$200,0)),"n/d"))</f>
        <v>Mercadoria</v>
      </c>
      <c r="AA1894" s="0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3" t="n">
        <v>2</v>
      </c>
      <c r="B1895" s="14" t="n">
        <v>46273</v>
      </c>
      <c r="C1895" s="14" t="n">
        <v>46273</v>
      </c>
      <c r="D1895" s="13" t="n">
        <v>48</v>
      </c>
      <c r="E1895" s="0" t="s">
        <v>153</v>
      </c>
      <c r="F1895" s="13" t="n">
        <v>34</v>
      </c>
      <c r="G1895" s="0" t="s">
        <v>55</v>
      </c>
      <c r="H1895" s="13" t="n">
        <v>2110101</v>
      </c>
      <c r="I1895" s="0" t="s">
        <v>43</v>
      </c>
      <c r="J1895" s="13" t="n">
        <v>1673635</v>
      </c>
      <c r="L1895" s="13" t="n">
        <v>2661</v>
      </c>
      <c r="M1895" s="0" t="s">
        <v>52</v>
      </c>
      <c r="N1895" s="0" t="s">
        <v>37</v>
      </c>
      <c r="P1895" s="13" t="n">
        <v>113</v>
      </c>
      <c r="Q1895" s="0" t="s">
        <v>46</v>
      </c>
      <c r="R1895" s="0" t="s">
        <v>47</v>
      </c>
      <c r="S1895" s="13" t="n">
        <v>1130101</v>
      </c>
      <c r="T1895" s="0" t="s">
        <v>48</v>
      </c>
      <c r="U1895" s="15" t="n">
        <v>1637</v>
      </c>
      <c r="W1895" s="15" t="n">
        <v>1637</v>
      </c>
      <c r="X1895" s="0" t="s">
        <v>1275</v>
      </c>
      <c r="Z1895" s="0" t="str">
        <f aca="false">IF($T1895="","",IFERROR(INDEX('Resumo Grupos'!$AC$3:$AC$200,MATCH($T1895,'Resumo Grupos'!$AB$3:$AB$200,0)),"n/d"))</f>
        <v>Mercadoria</v>
      </c>
      <c r="AA1895" s="0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3" t="n">
        <v>2</v>
      </c>
      <c r="B1896" s="14" t="n">
        <v>46268</v>
      </c>
      <c r="C1896" s="14" t="n">
        <v>46273</v>
      </c>
      <c r="D1896" s="13" t="n">
        <v>1328</v>
      </c>
      <c r="E1896" s="0" t="s">
        <v>95</v>
      </c>
      <c r="F1896" s="13" t="n">
        <v>24</v>
      </c>
      <c r="G1896" s="0" t="s">
        <v>51</v>
      </c>
      <c r="H1896" s="13" t="n">
        <v>2110405</v>
      </c>
      <c r="I1896" s="0" t="s">
        <v>56</v>
      </c>
      <c r="J1896" s="13" t="n">
        <v>1646208</v>
      </c>
      <c r="L1896" s="13" t="n">
        <v>225890</v>
      </c>
      <c r="M1896" s="0" t="s">
        <v>52</v>
      </c>
      <c r="N1896" s="0" t="s">
        <v>45</v>
      </c>
      <c r="P1896" s="13" t="n">
        <v>113</v>
      </c>
      <c r="Q1896" s="0" t="s">
        <v>46</v>
      </c>
      <c r="R1896" s="0" t="s">
        <v>47</v>
      </c>
      <c r="S1896" s="13" t="n">
        <v>1130101</v>
      </c>
      <c r="T1896" s="0" t="s">
        <v>48</v>
      </c>
      <c r="U1896" s="15" t="n">
        <v>133.5</v>
      </c>
      <c r="W1896" s="15" t="n">
        <v>133.5</v>
      </c>
      <c r="X1896" s="0" t="s">
        <v>1644</v>
      </c>
      <c r="Z1896" s="0" t="str">
        <f aca="false">IF($T1896="","",IFERROR(INDEX('Resumo Grupos'!$AC$3:$AC$200,MATCH($T1896,'Resumo Grupos'!$AB$3:$AB$200,0)),"n/d"))</f>
        <v>Mercadoria</v>
      </c>
      <c r="AA1896" s="0" t="str">
        <f aca="false">IF($T1896="","",IF(COUNTIF('Resumo Grupos'!$AE$3:$AE$40,$T1896)&gt;0,"NAO","SIM"))</f>
        <v>SIM</v>
      </c>
      <c r="AB1896" s="0" t="str">
        <f aca="false">IFERROR(INDEX('Mov Entradas (Rel 10497)'!$L:$L,MATCH(AC1896,'Mov Entradas (Rel 10497)'!$I:$I,0)),"nao encontrado")</f>
        <v>PAO DE KIKAO 10</v>
      </c>
      <c r="AC1896" s="0" t="n">
        <v>4523</v>
      </c>
    </row>
    <row r="1897" customFormat="false" ht="12.75" hidden="false" customHeight="true" outlineLevel="0" collapsed="false">
      <c r="A1897" s="13" t="n">
        <v>2</v>
      </c>
      <c r="B1897" s="14" t="n">
        <v>46251</v>
      </c>
      <c r="C1897" s="14" t="n">
        <v>46273</v>
      </c>
      <c r="D1897" s="13" t="n">
        <v>10017</v>
      </c>
      <c r="E1897" s="0" t="s">
        <v>183</v>
      </c>
      <c r="F1897" s="13" t="n">
        <v>24</v>
      </c>
      <c r="G1897" s="0" t="s">
        <v>51</v>
      </c>
      <c r="H1897" s="13" t="n">
        <v>2110405</v>
      </c>
      <c r="I1897" s="0" t="s">
        <v>56</v>
      </c>
      <c r="J1897" s="13" t="n">
        <v>1561245</v>
      </c>
      <c r="L1897" s="13" t="n">
        <v>212996</v>
      </c>
      <c r="M1897" s="0" t="s">
        <v>52</v>
      </c>
      <c r="N1897" s="0" t="s">
        <v>45</v>
      </c>
      <c r="P1897" s="13" t="n">
        <v>113</v>
      </c>
      <c r="Q1897" s="0" t="s">
        <v>46</v>
      </c>
      <c r="R1897" s="0" t="s">
        <v>47</v>
      </c>
      <c r="S1897" s="13" t="n">
        <v>1130101</v>
      </c>
      <c r="T1897" s="0" t="s">
        <v>48</v>
      </c>
      <c r="U1897" s="15" t="n">
        <v>599.85</v>
      </c>
      <c r="W1897" s="15" t="n">
        <v>599.85</v>
      </c>
      <c r="X1897" s="0" t="s">
        <v>1548</v>
      </c>
      <c r="Z1897" s="0" t="str">
        <f aca="false">IF($T1897="","",IFERROR(INDEX('Resumo Grupos'!$AC$3:$AC$200,MATCH($T1897,'Resumo Grupos'!$AB$3:$AB$200,0)),"n/d"))</f>
        <v>Mercadoria</v>
      </c>
      <c r="AA1897" s="0" t="str">
        <f aca="false">IF($T1897="","",IF(COUNTIF('Resumo Grupos'!$AE$3:$AE$40,$T1897)&gt;0,"NAO","SIM"))</f>
        <v>SIM</v>
      </c>
      <c r="AB1897" s="0" t="str">
        <f aca="false">IFERROR(INDEX('Mov Entradas (Rel 10497)'!$L:$L,MATCH(AC1897,'Mov Entradas (Rel 10497)'!$I:$I,0)),"nao encontrado")</f>
        <v>PAPEL HIGIENICO ALLE</v>
      </c>
      <c r="AC1897" s="0" t="n">
        <v>195597</v>
      </c>
    </row>
    <row r="1898" customFormat="false" ht="12.75" hidden="false" customHeight="true" outlineLevel="0" collapsed="false">
      <c r="A1898" s="13" t="n">
        <v>2</v>
      </c>
      <c r="B1898" s="14" t="n">
        <v>46244</v>
      </c>
      <c r="C1898" s="14" t="n">
        <v>46273</v>
      </c>
      <c r="D1898" s="13" t="n">
        <v>33</v>
      </c>
      <c r="E1898" s="0" t="s">
        <v>313</v>
      </c>
      <c r="F1898" s="13" t="n">
        <v>34</v>
      </c>
      <c r="G1898" s="0" t="s">
        <v>55</v>
      </c>
      <c r="H1898" s="13" t="n">
        <v>2110405</v>
      </c>
      <c r="I1898" s="0" t="s">
        <v>56</v>
      </c>
      <c r="J1898" s="13" t="n">
        <v>1530158</v>
      </c>
      <c r="L1898" s="13" t="n">
        <v>208205</v>
      </c>
      <c r="M1898" s="0" t="s">
        <v>52</v>
      </c>
      <c r="N1898" s="0" t="s">
        <v>45</v>
      </c>
      <c r="P1898" s="13" t="n">
        <v>101</v>
      </c>
      <c r="Q1898" s="0" t="s">
        <v>57</v>
      </c>
      <c r="R1898" s="0" t="s">
        <v>71</v>
      </c>
      <c r="S1898" s="13" t="n">
        <v>4210301</v>
      </c>
      <c r="T1898" s="0" t="s">
        <v>220</v>
      </c>
      <c r="U1898" s="15" t="n">
        <v>253.2</v>
      </c>
      <c r="W1898" s="15" t="n">
        <v>253.2</v>
      </c>
      <c r="X1898" s="0" t="s">
        <v>1645</v>
      </c>
      <c r="Z1898" s="0" t="str">
        <f aca="false">IF($T1898="","",IFERROR(INDEX('Resumo Grupos'!$AC$3:$AC$200,MATCH($T1898,'Resumo Grupos'!$AB$3:$AB$200,0)),"n/d"))</f>
        <v>Salários</v>
      </c>
      <c r="AA1898" s="0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3" t="n">
        <v>2</v>
      </c>
      <c r="B1899" s="14" t="n">
        <v>46273</v>
      </c>
      <c r="C1899" s="14" t="n">
        <v>46273</v>
      </c>
      <c r="D1899" s="13" t="n">
        <v>519</v>
      </c>
      <c r="E1899" s="0" t="s">
        <v>257</v>
      </c>
      <c r="F1899" s="13" t="n">
        <v>34</v>
      </c>
      <c r="G1899" s="0" t="s">
        <v>55</v>
      </c>
      <c r="H1899" s="13" t="n">
        <v>2110405</v>
      </c>
      <c r="I1899" s="0" t="s">
        <v>56</v>
      </c>
      <c r="J1899" s="13" t="n">
        <v>1678261</v>
      </c>
      <c r="L1899" s="13" t="n">
        <v>230253</v>
      </c>
      <c r="M1899" s="0" t="s">
        <v>52</v>
      </c>
      <c r="N1899" s="0" t="s">
        <v>45</v>
      </c>
      <c r="P1899" s="13" t="n">
        <v>102</v>
      </c>
      <c r="Q1899" s="0" t="s">
        <v>308</v>
      </c>
      <c r="R1899" s="0" t="s">
        <v>71</v>
      </c>
      <c r="S1899" s="13" t="n">
        <v>4210301</v>
      </c>
      <c r="T1899" s="0" t="s">
        <v>220</v>
      </c>
      <c r="U1899" s="15" t="n">
        <v>500</v>
      </c>
      <c r="W1899" s="15" t="n">
        <v>500</v>
      </c>
      <c r="X1899" s="0" t="s">
        <v>1646</v>
      </c>
      <c r="Z1899" s="0" t="str">
        <f aca="false">IF($T1899="","",IFERROR(INDEX('Resumo Grupos'!$AC$3:$AC$200,MATCH($T1899,'Resumo Grupos'!$AB$3:$AB$200,0)),"n/d"))</f>
        <v>Salários</v>
      </c>
      <c r="AA1899" s="0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3" t="n">
        <v>2</v>
      </c>
      <c r="B1900" s="14" t="n">
        <v>46252</v>
      </c>
      <c r="C1900" s="14" t="n">
        <v>46273</v>
      </c>
      <c r="D1900" s="13" t="n">
        <v>1697</v>
      </c>
      <c r="E1900" s="0" t="s">
        <v>787</v>
      </c>
      <c r="F1900" s="13" t="n">
        <v>24</v>
      </c>
      <c r="G1900" s="0" t="s">
        <v>51</v>
      </c>
      <c r="H1900" s="13" t="n">
        <v>2110405</v>
      </c>
      <c r="I1900" s="0" t="s">
        <v>56</v>
      </c>
      <c r="J1900" s="13" t="n">
        <v>1566729</v>
      </c>
      <c r="L1900" s="13" t="n">
        <v>213867</v>
      </c>
      <c r="M1900" s="0" t="s">
        <v>52</v>
      </c>
      <c r="N1900" s="0" t="s">
        <v>45</v>
      </c>
      <c r="P1900" s="13" t="n">
        <v>113</v>
      </c>
      <c r="Q1900" s="0" t="s">
        <v>46</v>
      </c>
      <c r="R1900" s="0" t="s">
        <v>47</v>
      </c>
      <c r="S1900" s="13" t="n">
        <v>1130101</v>
      </c>
      <c r="T1900" s="0" t="s">
        <v>48</v>
      </c>
      <c r="U1900" s="15" t="n">
        <v>584.64</v>
      </c>
      <c r="W1900" s="15" t="n">
        <v>584.64</v>
      </c>
      <c r="X1900" s="0" t="s">
        <v>1549</v>
      </c>
      <c r="Z1900" s="0" t="str">
        <f aca="false">IF($T1900="","",IFERROR(INDEX('Resumo Grupos'!$AC$3:$AC$200,MATCH($T1900,'Resumo Grupos'!$AB$3:$AB$200,0)),"n/d"))</f>
        <v>Mercadoria</v>
      </c>
      <c r="AA1900" s="0" t="str">
        <f aca="false">IF($T1900="","",IF(COUNTIF('Resumo Grupos'!$AE$3:$AE$40,$T1900)&gt;0,"NAO","SIM"))</f>
        <v>SIM</v>
      </c>
      <c r="AB1900" s="0" t="str">
        <f aca="false">IFERROR(INDEX('Mov Entradas (Rel 10497)'!$L:$L,MATCH(AC1900,'Mov Entradas (Rel 10497)'!$I:$I,0)),"nao encontrado")</f>
        <v>LEITE ITALAC DESN 1L</v>
      </c>
      <c r="AC1900" s="0" t="n">
        <v>211355</v>
      </c>
    </row>
    <row r="1901" customFormat="false" ht="12.75" hidden="false" customHeight="true" outlineLevel="0" collapsed="false">
      <c r="A1901" s="13" t="n">
        <v>2</v>
      </c>
      <c r="B1901" s="14" t="n">
        <v>46273</v>
      </c>
      <c r="C1901" s="14" t="n">
        <v>46273</v>
      </c>
      <c r="D1901" s="13" t="n">
        <v>1936</v>
      </c>
      <c r="E1901" s="0" t="s">
        <v>1277</v>
      </c>
      <c r="F1901" s="13" t="n">
        <v>24</v>
      </c>
      <c r="G1901" s="0" t="s">
        <v>51</v>
      </c>
      <c r="H1901" s="13" t="n">
        <v>2110405</v>
      </c>
      <c r="I1901" s="0" t="s">
        <v>56</v>
      </c>
      <c r="J1901" s="13" t="n">
        <v>1678249</v>
      </c>
      <c r="L1901" s="13" t="n">
        <v>230251</v>
      </c>
      <c r="M1901" s="0" t="s">
        <v>52</v>
      </c>
      <c r="N1901" s="0" t="s">
        <v>45</v>
      </c>
      <c r="P1901" s="13" t="n">
        <v>102</v>
      </c>
      <c r="Q1901" s="0" t="s">
        <v>308</v>
      </c>
      <c r="R1901" s="0" t="s">
        <v>47</v>
      </c>
      <c r="S1901" s="13" t="n">
        <v>1130101</v>
      </c>
      <c r="T1901" s="0" t="s">
        <v>48</v>
      </c>
      <c r="U1901" s="15" t="n">
        <v>504</v>
      </c>
      <c r="W1901" s="15" t="n">
        <v>504</v>
      </c>
      <c r="X1901" s="0" t="s">
        <v>1647</v>
      </c>
      <c r="Z1901" s="0" t="str">
        <f aca="false">IF($T1901="","",IFERROR(INDEX('Resumo Grupos'!$AC$3:$AC$200,MATCH($T1901,'Resumo Grupos'!$AB$3:$AB$200,0)),"n/d"))</f>
        <v>Mercadoria</v>
      </c>
      <c r="AA1901" s="0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3" t="n">
        <v>2</v>
      </c>
      <c r="B1902" s="14" t="n">
        <v>46273</v>
      </c>
      <c r="C1902" s="14" t="n">
        <v>46273</v>
      </c>
      <c r="D1902" s="13" t="n">
        <v>0</v>
      </c>
      <c r="E1902" s="0" t="s">
        <v>109</v>
      </c>
      <c r="F1902" s="13" t="n">
        <v>17</v>
      </c>
      <c r="G1902" s="0" t="s">
        <v>110</v>
      </c>
      <c r="H1902" s="13" t="n">
        <v>1110101</v>
      </c>
      <c r="I1902" s="0" t="s">
        <v>111</v>
      </c>
      <c r="J1902" s="13" t="n">
        <v>1676396</v>
      </c>
      <c r="L1902" s="13" t="n">
        <v>1676396</v>
      </c>
      <c r="M1902" s="0" t="s">
        <v>52</v>
      </c>
      <c r="N1902" s="0" t="s">
        <v>112</v>
      </c>
      <c r="P1902" s="13" t="n">
        <v>113</v>
      </c>
      <c r="Q1902" s="0" t="s">
        <v>46</v>
      </c>
      <c r="R1902" s="0" t="s">
        <v>259</v>
      </c>
      <c r="S1902" s="13" t="n">
        <v>2110101</v>
      </c>
      <c r="T1902" s="0" t="s">
        <v>43</v>
      </c>
      <c r="U1902" s="15" t="n">
        <v>300</v>
      </c>
      <c r="W1902" s="15" t="n">
        <v>300</v>
      </c>
      <c r="X1902" s="0" t="s">
        <v>1648</v>
      </c>
      <c r="Z1902" s="0" t="str">
        <f aca="false">IF($T1902="","",IFERROR(INDEX('Resumo Grupos'!$AC$3:$AC$200,MATCH($T1902,'Resumo Grupos'!$AB$3:$AB$200,0)),"n/d"))</f>
        <v>Despesa</v>
      </c>
      <c r="AA1902" s="0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3" t="n">
        <v>2</v>
      </c>
      <c r="B1903" s="14" t="n">
        <v>46273</v>
      </c>
      <c r="C1903" s="14" t="n">
        <v>46273</v>
      </c>
      <c r="D1903" s="13" t="n">
        <v>0</v>
      </c>
      <c r="E1903" s="0" t="s">
        <v>109</v>
      </c>
      <c r="F1903" s="13" t="n">
        <v>17</v>
      </c>
      <c r="G1903" s="0" t="s">
        <v>110</v>
      </c>
      <c r="H1903" s="13" t="n">
        <v>1110101</v>
      </c>
      <c r="I1903" s="0" t="s">
        <v>111</v>
      </c>
      <c r="J1903" s="13" t="n">
        <v>1676397</v>
      </c>
      <c r="L1903" s="13" t="n">
        <v>1676397</v>
      </c>
      <c r="M1903" s="0" t="s">
        <v>52</v>
      </c>
      <c r="N1903" s="0" t="s">
        <v>112</v>
      </c>
      <c r="P1903" s="13" t="n">
        <v>113</v>
      </c>
      <c r="Q1903" s="0" t="s">
        <v>46</v>
      </c>
      <c r="R1903" s="0" t="s">
        <v>71</v>
      </c>
      <c r="S1903" s="13" t="n">
        <v>4210314</v>
      </c>
      <c r="T1903" s="0" t="s">
        <v>113</v>
      </c>
      <c r="U1903" s="15" t="n">
        <v>50</v>
      </c>
      <c r="W1903" s="15" t="n">
        <v>50</v>
      </c>
      <c r="X1903" s="0" t="s">
        <v>368</v>
      </c>
      <c r="Z1903" s="0" t="str">
        <f aca="false">IF($T1903="","",IFERROR(INDEX('Resumo Grupos'!$AC$3:$AC$200,MATCH($T1903,'Resumo Grupos'!$AB$3:$AB$200,0)),"n/d"))</f>
        <v>Despesa</v>
      </c>
      <c r="AA1903" s="0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3" t="n">
        <v>2</v>
      </c>
      <c r="B1904" s="14" t="n">
        <v>46273</v>
      </c>
      <c r="C1904" s="14" t="n">
        <v>46273</v>
      </c>
      <c r="D1904" s="13" t="n">
        <v>0</v>
      </c>
      <c r="E1904" s="0" t="s">
        <v>109</v>
      </c>
      <c r="F1904" s="13" t="n">
        <v>17</v>
      </c>
      <c r="G1904" s="0" t="s">
        <v>110</v>
      </c>
      <c r="H1904" s="13" t="n">
        <v>1110101</v>
      </c>
      <c r="I1904" s="0" t="s">
        <v>111</v>
      </c>
      <c r="J1904" s="13" t="n">
        <v>1676399</v>
      </c>
      <c r="L1904" s="13" t="n">
        <v>1676399</v>
      </c>
      <c r="M1904" s="0" t="s">
        <v>52</v>
      </c>
      <c r="N1904" s="0" t="s">
        <v>112</v>
      </c>
      <c r="P1904" s="13" t="n">
        <v>113</v>
      </c>
      <c r="Q1904" s="0" t="s">
        <v>46</v>
      </c>
      <c r="R1904" s="0" t="s">
        <v>71</v>
      </c>
      <c r="S1904" s="13" t="n">
        <v>4210309</v>
      </c>
      <c r="T1904" s="0" t="s">
        <v>72</v>
      </c>
      <c r="U1904" s="15" t="n">
        <v>10</v>
      </c>
      <c r="W1904" s="15" t="n">
        <v>10</v>
      </c>
      <c r="X1904" s="0" t="s">
        <v>1552</v>
      </c>
      <c r="Z1904" s="0" t="str">
        <f aca="false">IF($T1904="","",IFERROR(INDEX('Resumo Grupos'!$AC$3:$AC$200,MATCH($T1904,'Resumo Grupos'!$AB$3:$AB$200,0)),"n/d"))</f>
        <v>Salários</v>
      </c>
      <c r="AA1904" s="0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3" t="n">
        <v>2</v>
      </c>
      <c r="B1905" s="14" t="n">
        <v>46273</v>
      </c>
      <c r="C1905" s="14" t="n">
        <v>46273</v>
      </c>
      <c r="D1905" s="13" t="n">
        <v>0</v>
      </c>
      <c r="E1905" s="0" t="s">
        <v>109</v>
      </c>
      <c r="F1905" s="13" t="n">
        <v>17</v>
      </c>
      <c r="G1905" s="0" t="s">
        <v>110</v>
      </c>
      <c r="H1905" s="13" t="n">
        <v>1110101</v>
      </c>
      <c r="I1905" s="0" t="s">
        <v>111</v>
      </c>
      <c r="J1905" s="13" t="n">
        <v>1676400</v>
      </c>
      <c r="L1905" s="13" t="n">
        <v>1676400</v>
      </c>
      <c r="M1905" s="0" t="s">
        <v>52</v>
      </c>
      <c r="N1905" s="0" t="s">
        <v>112</v>
      </c>
      <c r="P1905" s="13" t="n">
        <v>113</v>
      </c>
      <c r="Q1905" s="0" t="s">
        <v>46</v>
      </c>
      <c r="R1905" s="0" t="s">
        <v>71</v>
      </c>
      <c r="S1905" s="13" t="n">
        <v>4210309</v>
      </c>
      <c r="T1905" s="0" t="s">
        <v>72</v>
      </c>
      <c r="U1905" s="15" t="n">
        <v>10</v>
      </c>
      <c r="W1905" s="15" t="n">
        <v>10</v>
      </c>
      <c r="X1905" s="0" t="s">
        <v>1552</v>
      </c>
      <c r="Z1905" s="0" t="str">
        <f aca="false">IF($T1905="","",IFERROR(INDEX('Resumo Grupos'!$AC$3:$AC$200,MATCH($T1905,'Resumo Grupos'!$AB$3:$AB$200,0)),"n/d"))</f>
        <v>Salários</v>
      </c>
      <c r="AA1905" s="0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3" t="n">
        <v>2</v>
      </c>
      <c r="B1906" s="14" t="n">
        <v>46273</v>
      </c>
      <c r="C1906" s="14" t="n">
        <v>46273</v>
      </c>
      <c r="D1906" s="13" t="n">
        <v>0</v>
      </c>
      <c r="E1906" s="0" t="s">
        <v>109</v>
      </c>
      <c r="F1906" s="13" t="n">
        <v>17</v>
      </c>
      <c r="G1906" s="0" t="s">
        <v>110</v>
      </c>
      <c r="H1906" s="13" t="n">
        <v>1110101</v>
      </c>
      <c r="I1906" s="0" t="s">
        <v>111</v>
      </c>
      <c r="J1906" s="13" t="n">
        <v>1676401</v>
      </c>
      <c r="L1906" s="13" t="n">
        <v>1676401</v>
      </c>
      <c r="M1906" s="0" t="s">
        <v>52</v>
      </c>
      <c r="N1906" s="0" t="s">
        <v>112</v>
      </c>
      <c r="P1906" s="13" t="n">
        <v>113</v>
      </c>
      <c r="Q1906" s="0" t="s">
        <v>46</v>
      </c>
      <c r="R1906" s="0" t="s">
        <v>71</v>
      </c>
      <c r="S1906" s="13" t="n">
        <v>4210314</v>
      </c>
      <c r="T1906" s="0" t="s">
        <v>113</v>
      </c>
      <c r="U1906" s="15" t="n">
        <v>200</v>
      </c>
      <c r="W1906" s="15" t="n">
        <v>200</v>
      </c>
      <c r="X1906" s="0" t="s">
        <v>1649</v>
      </c>
      <c r="Z1906" s="0" t="str">
        <f aca="false">IF($T1906="","",IFERROR(INDEX('Resumo Grupos'!$AC$3:$AC$200,MATCH($T1906,'Resumo Grupos'!$AB$3:$AB$200,0)),"n/d"))</f>
        <v>Despesa</v>
      </c>
      <c r="AA1906" s="0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3" t="n">
        <v>2</v>
      </c>
      <c r="B1907" s="14" t="n">
        <v>46273</v>
      </c>
      <c r="C1907" s="14" t="n">
        <v>46273</v>
      </c>
      <c r="D1907" s="13" t="n">
        <v>0</v>
      </c>
      <c r="E1907" s="0" t="s">
        <v>109</v>
      </c>
      <c r="F1907" s="13" t="n">
        <v>17</v>
      </c>
      <c r="G1907" s="0" t="s">
        <v>110</v>
      </c>
      <c r="H1907" s="13" t="n">
        <v>1110101</v>
      </c>
      <c r="I1907" s="0" t="s">
        <v>111</v>
      </c>
      <c r="J1907" s="13" t="n">
        <v>1716451</v>
      </c>
      <c r="L1907" s="13" t="n">
        <v>1716451</v>
      </c>
      <c r="M1907" s="0" t="s">
        <v>52</v>
      </c>
      <c r="N1907" s="0" t="s">
        <v>112</v>
      </c>
      <c r="P1907" s="13" t="n">
        <v>113</v>
      </c>
      <c r="Q1907" s="0" t="s">
        <v>46</v>
      </c>
      <c r="R1907" s="0" t="s">
        <v>116</v>
      </c>
      <c r="S1907" s="13" t="n">
        <v>1110203</v>
      </c>
      <c r="T1907" s="0" t="s">
        <v>117</v>
      </c>
      <c r="U1907" s="15" t="n">
        <v>2400</v>
      </c>
      <c r="W1907" s="15" t="n">
        <v>2400</v>
      </c>
      <c r="X1907" s="0" t="s">
        <v>1650</v>
      </c>
      <c r="Z1907" s="0" t="str">
        <f aca="false">IF($T1907="","",IFERROR(INDEX('Resumo Grupos'!$AC$3:$AC$200,MATCH($T1907,'Resumo Grupos'!$AB$3:$AB$200,0)),"n/d"))</f>
        <v>Despesa</v>
      </c>
      <c r="AA1907" s="0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3" t="n">
        <v>2</v>
      </c>
      <c r="B1908" s="14" t="n">
        <v>46253</v>
      </c>
      <c r="C1908" s="14" t="n">
        <v>46273</v>
      </c>
      <c r="D1908" s="13" t="n">
        <v>1708</v>
      </c>
      <c r="E1908" s="0" t="s">
        <v>275</v>
      </c>
      <c r="F1908" s="13" t="n">
        <v>24</v>
      </c>
      <c r="G1908" s="0" t="s">
        <v>51</v>
      </c>
      <c r="H1908" s="13" t="n">
        <v>2110405</v>
      </c>
      <c r="I1908" s="0" t="s">
        <v>56</v>
      </c>
      <c r="J1908" s="13" t="n">
        <v>1572971</v>
      </c>
      <c r="L1908" s="13" t="n">
        <v>214927</v>
      </c>
      <c r="M1908" s="0" t="s">
        <v>52</v>
      </c>
      <c r="N1908" s="0" t="s">
        <v>45</v>
      </c>
      <c r="P1908" s="13" t="n">
        <v>113</v>
      </c>
      <c r="Q1908" s="0" t="s">
        <v>46</v>
      </c>
      <c r="R1908" s="0" t="s">
        <v>47</v>
      </c>
      <c r="S1908" s="13" t="n">
        <v>1130101</v>
      </c>
      <c r="T1908" s="0" t="s">
        <v>48</v>
      </c>
      <c r="U1908" s="15" t="n">
        <v>548.18</v>
      </c>
      <c r="W1908" s="15" t="n">
        <v>548.18</v>
      </c>
      <c r="X1908" s="0" t="s">
        <v>1554</v>
      </c>
      <c r="Z1908" s="0" t="str">
        <f aca="false">IF($T1908="","",IFERROR(INDEX('Resumo Grupos'!$AC$3:$AC$200,MATCH($T1908,'Resumo Grupos'!$AB$3:$AB$200,0)),"n/d"))</f>
        <v>Mercadoria</v>
      </c>
      <c r="AA1908" s="0" t="str">
        <f aca="false">IF($T1908="","",IF(COUNTIF('Resumo Grupos'!$AE$3:$AE$40,$T1908)&gt;0,"NAO","SIM"))</f>
        <v>SIM</v>
      </c>
      <c r="AB1908" s="0" t="str">
        <f aca="false">IFERROR(INDEX('Mov Entradas (Rel 10497)'!$L:$L,MATCH(AC1908,'Mov Entradas (Rel 10497)'!$I:$I,0)),"nao encontrado")</f>
        <v>DISQUETI 18G</v>
      </c>
      <c r="AC1908" s="0" t="n">
        <v>265359</v>
      </c>
    </row>
    <row r="1909" customFormat="false" ht="12.75" hidden="false" customHeight="true" outlineLevel="0" collapsed="false">
      <c r="A1909" s="13" t="n">
        <v>2</v>
      </c>
      <c r="B1909" s="14" t="n">
        <v>46265</v>
      </c>
      <c r="C1909" s="14" t="n">
        <v>46273</v>
      </c>
      <c r="D1909" s="13" t="n">
        <v>1196</v>
      </c>
      <c r="E1909" s="0" t="s">
        <v>1470</v>
      </c>
      <c r="F1909" s="13" t="n">
        <v>24</v>
      </c>
      <c r="G1909" s="0" t="s">
        <v>51</v>
      </c>
      <c r="H1909" s="13" t="n">
        <v>2110405</v>
      </c>
      <c r="I1909" s="0" t="s">
        <v>56</v>
      </c>
      <c r="J1909" s="13" t="n">
        <v>1629256</v>
      </c>
      <c r="L1909" s="13" t="n">
        <v>223466</v>
      </c>
      <c r="M1909" s="0" t="s">
        <v>52</v>
      </c>
      <c r="N1909" s="0" t="s">
        <v>45</v>
      </c>
      <c r="P1909" s="13" t="n">
        <v>113</v>
      </c>
      <c r="Q1909" s="0" t="s">
        <v>46</v>
      </c>
      <c r="R1909" s="0" t="s">
        <v>47</v>
      </c>
      <c r="S1909" s="13" t="n">
        <v>1130101</v>
      </c>
      <c r="T1909" s="0" t="s">
        <v>48</v>
      </c>
      <c r="U1909" s="15" t="n">
        <v>410</v>
      </c>
      <c r="W1909" s="15" t="n">
        <v>410</v>
      </c>
      <c r="X1909" s="0" t="s">
        <v>1651</v>
      </c>
      <c r="Z1909" s="0" t="str">
        <f aca="false">IF($T1909="","",IFERROR(INDEX('Resumo Grupos'!$AC$3:$AC$200,MATCH($T1909,'Resumo Grupos'!$AB$3:$AB$200,0)),"n/d"))</f>
        <v>Mercadoria</v>
      </c>
      <c r="AA1909" s="0" t="str">
        <f aca="false">IF($T1909="","",IF(COUNTIF('Resumo Grupos'!$AE$3:$AE$40,$T1909)&gt;0,"NAO","SIM"))</f>
        <v>SIM</v>
      </c>
      <c r="AB1909" s="0" t="str">
        <f aca="false">IFERROR(INDEX('Mov Entradas (Rel 10497)'!$L:$L,MATCH(AC1909,'Mov Entradas (Rel 10497)'!$I:$I,0)),"nao encontrado")</f>
        <v>ACUCAR CRISTAL DOCE TODO DIA 30X1KG</v>
      </c>
      <c r="AC1909" s="0" t="n">
        <v>13095</v>
      </c>
    </row>
    <row r="1910" customFormat="false" ht="12.75" hidden="false" customHeight="true" outlineLevel="0" collapsed="false">
      <c r="A1910" s="13" t="n">
        <v>2</v>
      </c>
      <c r="B1910" s="14" t="n">
        <v>46268</v>
      </c>
      <c r="C1910" s="14" t="n">
        <v>46274</v>
      </c>
      <c r="D1910" s="13" t="n">
        <v>821</v>
      </c>
      <c r="E1910" s="0" t="s">
        <v>394</v>
      </c>
      <c r="F1910" s="13" t="n">
        <v>24</v>
      </c>
      <c r="G1910" s="0" t="s">
        <v>51</v>
      </c>
      <c r="H1910" s="13" t="n">
        <v>2110405</v>
      </c>
      <c r="I1910" s="0" t="s">
        <v>56</v>
      </c>
      <c r="J1910" s="13" t="n">
        <v>1646724</v>
      </c>
      <c r="L1910" s="13" t="n">
        <v>226033</v>
      </c>
      <c r="M1910" s="0" t="s">
        <v>52</v>
      </c>
      <c r="N1910" s="0" t="s">
        <v>45</v>
      </c>
      <c r="P1910" s="13" t="n">
        <v>113</v>
      </c>
      <c r="Q1910" s="0" t="s">
        <v>46</v>
      </c>
      <c r="R1910" s="0" t="s">
        <v>47</v>
      </c>
      <c r="S1910" s="13" t="n">
        <v>1130101</v>
      </c>
      <c r="T1910" s="0" t="s">
        <v>48</v>
      </c>
      <c r="U1910" s="15" t="n">
        <v>229.85</v>
      </c>
      <c r="W1910" s="15" t="n">
        <v>229.85</v>
      </c>
      <c r="X1910" s="0" t="s">
        <v>1652</v>
      </c>
      <c r="Z1910" s="0" t="str">
        <f aca="false">IF($T1910="","",IFERROR(INDEX('Resumo Grupos'!$AC$3:$AC$200,MATCH($T1910,'Resumo Grupos'!$AB$3:$AB$200,0)),"n/d"))</f>
        <v>Mercadoria</v>
      </c>
      <c r="AA1910" s="0" t="str">
        <f aca="false">IF($T1910="","",IF(COUNTIF('Resumo Grupos'!$AE$3:$AE$40,$T1910)&gt;0,"NAO","SIM"))</f>
        <v>SIM</v>
      </c>
      <c r="AB1910" s="0" t="str">
        <f aca="false">IFERROR(INDEX('Mov Entradas (Rel 10497)'!$L:$L,MATCH(AC1910,'Mov Entradas (Rel 10497)'!$I:$I,0)),"nao encontrado")</f>
        <v>CERV ITAIPAVA 250ML</v>
      </c>
      <c r="AC1910" s="0" t="n">
        <v>491629</v>
      </c>
    </row>
    <row r="1911" customFormat="false" ht="12.75" hidden="false" customHeight="true" outlineLevel="0" collapsed="false">
      <c r="A1911" s="13" t="n">
        <v>2</v>
      </c>
      <c r="B1911" s="14" t="n">
        <v>46265</v>
      </c>
      <c r="C1911" s="14" t="n">
        <v>46274</v>
      </c>
      <c r="D1911" s="13" t="n">
        <v>1635</v>
      </c>
      <c r="E1911" s="0" t="s">
        <v>128</v>
      </c>
      <c r="F1911" s="13" t="n">
        <v>24</v>
      </c>
      <c r="G1911" s="0" t="s">
        <v>51</v>
      </c>
      <c r="H1911" s="13" t="n">
        <v>2110405</v>
      </c>
      <c r="I1911" s="0" t="s">
        <v>56</v>
      </c>
      <c r="J1911" s="13" t="n">
        <v>1628851</v>
      </c>
      <c r="L1911" s="13" t="n">
        <v>223368</v>
      </c>
      <c r="M1911" s="0" t="s">
        <v>52</v>
      </c>
      <c r="N1911" s="0" t="s">
        <v>45</v>
      </c>
      <c r="P1911" s="13" t="n">
        <v>113</v>
      </c>
      <c r="Q1911" s="0" t="s">
        <v>46</v>
      </c>
      <c r="R1911" s="0" t="s">
        <v>47</v>
      </c>
      <c r="S1911" s="13" t="n">
        <v>1130101</v>
      </c>
      <c r="T1911" s="0" t="s">
        <v>48</v>
      </c>
      <c r="U1911" s="15" t="n">
        <v>938.06</v>
      </c>
      <c r="W1911" s="15" t="n">
        <v>938.06</v>
      </c>
      <c r="X1911" s="0" t="s">
        <v>1653</v>
      </c>
      <c r="Z1911" s="0" t="str">
        <f aca="false">IF($T1911="","",IFERROR(INDEX('Resumo Grupos'!$AC$3:$AC$200,MATCH($T1911,'Resumo Grupos'!$AB$3:$AB$200,0)),"n/d"))</f>
        <v>Mercadoria</v>
      </c>
      <c r="AA1911" s="0" t="str">
        <f aca="false">IF($T1911="","",IF(COUNTIF('Resumo Grupos'!$AE$3:$AE$40,$T1911)&gt;0,"NAO","SIM"))</f>
        <v>SIM</v>
      </c>
      <c r="AB1911" s="0" t="str">
        <f aca="false">IFERROR(INDEX('Mov Entradas (Rel 10497)'!$L:$L,MATCH(AC1911,'Mov Entradas (Rel 10497)'!$I:$I,0)),"nao encontrado")</f>
        <v>FIGADO BOVINO KG</v>
      </c>
      <c r="AC1911" s="0" t="n">
        <v>4363</v>
      </c>
    </row>
    <row r="1912" customFormat="false" ht="12.75" hidden="false" customHeight="true" outlineLevel="0" collapsed="false">
      <c r="A1912" s="13" t="n">
        <v>2</v>
      </c>
      <c r="B1912" s="14" t="n">
        <v>46260</v>
      </c>
      <c r="C1912" s="14" t="n">
        <v>46274</v>
      </c>
      <c r="D1912" s="13" t="n">
        <v>1705</v>
      </c>
      <c r="E1912" s="0" t="s">
        <v>130</v>
      </c>
      <c r="F1912" s="13" t="n">
        <v>24</v>
      </c>
      <c r="G1912" s="0" t="s">
        <v>51</v>
      </c>
      <c r="H1912" s="13" t="n">
        <v>2110405</v>
      </c>
      <c r="I1912" s="0" t="s">
        <v>56</v>
      </c>
      <c r="J1912" s="13" t="n">
        <v>1603826</v>
      </c>
      <c r="L1912" s="13" t="n">
        <v>219652</v>
      </c>
      <c r="M1912" s="0" t="s">
        <v>52</v>
      </c>
      <c r="N1912" s="0" t="s">
        <v>45</v>
      </c>
      <c r="P1912" s="13" t="n">
        <v>113</v>
      </c>
      <c r="Q1912" s="0" t="s">
        <v>46</v>
      </c>
      <c r="R1912" s="0" t="s">
        <v>47</v>
      </c>
      <c r="S1912" s="13" t="n">
        <v>1130101</v>
      </c>
      <c r="T1912" s="0" t="s">
        <v>48</v>
      </c>
      <c r="U1912" s="15" t="n">
        <v>264.36</v>
      </c>
      <c r="W1912" s="15" t="n">
        <v>264.36</v>
      </c>
      <c r="X1912" s="0" t="s">
        <v>1654</v>
      </c>
      <c r="Z1912" s="0" t="str">
        <f aca="false">IF($T1912="","",IFERROR(INDEX('Resumo Grupos'!$AC$3:$AC$200,MATCH($T1912,'Resumo Grupos'!$AB$3:$AB$200,0)),"n/d"))</f>
        <v>Mercadoria</v>
      </c>
      <c r="AA1912" s="0" t="str">
        <f aca="false">IF($T1912="","",IF(COUNTIF('Resumo Grupos'!$AE$3:$AE$40,$T1912)&gt;0,"NAO","SIM"))</f>
        <v>SIM</v>
      </c>
      <c r="AB1912" s="0" t="str">
        <f aca="false">IFERROR(INDEX('Mov Entradas (Rel 10497)'!$L:$L,MATCH(AC1912,'Mov Entradas (Rel 10497)'!$I:$I,0)),"nao encontrado")</f>
        <v>SPRITE LT 350ML</v>
      </c>
      <c r="AC1912" s="0" t="n">
        <v>1263938</v>
      </c>
    </row>
    <row r="1913" customFormat="false" ht="12.75" hidden="false" customHeight="true" outlineLevel="0" collapsed="false">
      <c r="A1913" s="13" t="n">
        <v>2</v>
      </c>
      <c r="B1913" s="14" t="n">
        <v>46260</v>
      </c>
      <c r="C1913" s="14" t="n">
        <v>46274</v>
      </c>
      <c r="D1913" s="13" t="n">
        <v>1705</v>
      </c>
      <c r="E1913" s="0" t="s">
        <v>130</v>
      </c>
      <c r="F1913" s="13" t="n">
        <v>24</v>
      </c>
      <c r="G1913" s="0" t="s">
        <v>51</v>
      </c>
      <c r="H1913" s="13" t="n">
        <v>2110405</v>
      </c>
      <c r="I1913" s="0" t="s">
        <v>56</v>
      </c>
      <c r="J1913" s="13" t="n">
        <v>1603844</v>
      </c>
      <c r="L1913" s="13" t="n">
        <v>219659</v>
      </c>
      <c r="M1913" s="0" t="s">
        <v>52</v>
      </c>
      <c r="N1913" s="0" t="s">
        <v>45</v>
      </c>
      <c r="P1913" s="13" t="n">
        <v>113</v>
      </c>
      <c r="Q1913" s="0" t="s">
        <v>46</v>
      </c>
      <c r="R1913" s="0" t="s">
        <v>47</v>
      </c>
      <c r="S1913" s="13" t="n">
        <v>1130101</v>
      </c>
      <c r="T1913" s="0" t="s">
        <v>48</v>
      </c>
      <c r="U1913" s="15" t="n">
        <v>3257.14</v>
      </c>
      <c r="W1913" s="15" t="n">
        <v>3257.14</v>
      </c>
      <c r="X1913" s="0" t="s">
        <v>1655</v>
      </c>
      <c r="Z1913" s="0" t="str">
        <f aca="false">IF($T1913="","",IFERROR(INDEX('Resumo Grupos'!$AC$3:$AC$200,MATCH($T1913,'Resumo Grupos'!$AB$3:$AB$200,0)),"n/d"))</f>
        <v>Mercadoria</v>
      </c>
      <c r="AA1913" s="0" t="str">
        <f aca="false">IF($T1913="","",IF(COUNTIF('Resumo Grupos'!$AE$3:$AE$40,$T1913)&gt;0,"NAO","SIM"))</f>
        <v>SIM</v>
      </c>
      <c r="AB1913" s="0" t="str">
        <f aca="false">IFERROR(INDEX('Mov Entradas (Rel 10497)'!$L:$L,MATCH(AC1913,'Mov Entradas (Rel 10497)'!$I:$I,0)),"nao encontrado")</f>
        <v>REFR FANTA UVA 200ML</v>
      </c>
      <c r="AC1913" s="0" t="n">
        <v>2007955</v>
      </c>
    </row>
    <row r="1914" customFormat="false" ht="12.75" hidden="false" customHeight="true" outlineLevel="0" collapsed="false">
      <c r="A1914" s="13" t="n">
        <v>2</v>
      </c>
      <c r="B1914" s="14" t="n">
        <v>46246</v>
      </c>
      <c r="C1914" s="14" t="n">
        <v>46274</v>
      </c>
      <c r="D1914" s="13" t="n">
        <v>1608</v>
      </c>
      <c r="E1914" s="0" t="s">
        <v>240</v>
      </c>
      <c r="F1914" s="13" t="n">
        <v>24</v>
      </c>
      <c r="G1914" s="0" t="s">
        <v>51</v>
      </c>
      <c r="H1914" s="13" t="n">
        <v>2110405</v>
      </c>
      <c r="I1914" s="0" t="s">
        <v>56</v>
      </c>
      <c r="J1914" s="13" t="n">
        <v>1534806</v>
      </c>
      <c r="L1914" s="13" t="n">
        <v>209429</v>
      </c>
      <c r="M1914" s="0" t="s">
        <v>52</v>
      </c>
      <c r="N1914" s="0" t="s">
        <v>45</v>
      </c>
      <c r="P1914" s="13" t="n">
        <v>113</v>
      </c>
      <c r="Q1914" s="0" t="s">
        <v>46</v>
      </c>
      <c r="R1914" s="0" t="s">
        <v>47</v>
      </c>
      <c r="S1914" s="13" t="n">
        <v>1130101</v>
      </c>
      <c r="T1914" s="0" t="s">
        <v>48</v>
      </c>
      <c r="U1914" s="15" t="n">
        <v>1279.58</v>
      </c>
      <c r="W1914" s="15" t="n">
        <v>1279.58</v>
      </c>
      <c r="X1914" s="0" t="s">
        <v>1446</v>
      </c>
      <c r="Z1914" s="0" t="str">
        <f aca="false">IF($T1914="","",IFERROR(INDEX('Resumo Grupos'!$AC$3:$AC$200,MATCH($T1914,'Resumo Grupos'!$AB$3:$AB$200,0)),"n/d"))</f>
        <v>Mercadoria</v>
      </c>
      <c r="AA1914" s="0" t="str">
        <f aca="false">IF($T1914="","",IF(COUNTIF('Resumo Grupos'!$AE$3:$AE$40,$T1914)&gt;0,"NAO","SIM"))</f>
        <v>SIM</v>
      </c>
      <c r="AB1914" s="0" t="str">
        <f aca="false">IFERROR(INDEX('Mov Entradas (Rel 10497)'!$L:$L,MATCH(AC1914,'Mov Entradas (Rel 10497)'!$I:$I,0)),"nao encontrado")</f>
        <v>TODDYNHO CHOCOLATE</v>
      </c>
      <c r="AC1914" s="0" t="n">
        <v>1709601</v>
      </c>
    </row>
    <row r="1915" customFormat="false" ht="12.75" hidden="false" customHeight="true" outlineLevel="0" collapsed="false">
      <c r="A1915" s="13" t="n">
        <v>2</v>
      </c>
      <c r="B1915" s="14" t="n">
        <v>46261</v>
      </c>
      <c r="C1915" s="14" t="n">
        <v>46274</v>
      </c>
      <c r="D1915" s="13" t="n">
        <v>1636</v>
      </c>
      <c r="E1915" s="0" t="s">
        <v>61</v>
      </c>
      <c r="F1915" s="13" t="n">
        <v>24</v>
      </c>
      <c r="G1915" s="0" t="s">
        <v>51</v>
      </c>
      <c r="H1915" s="13" t="n">
        <v>2110405</v>
      </c>
      <c r="I1915" s="0" t="s">
        <v>56</v>
      </c>
      <c r="J1915" s="13" t="n">
        <v>1609062</v>
      </c>
      <c r="L1915" s="13" t="n">
        <v>220489</v>
      </c>
      <c r="M1915" s="0" t="s">
        <v>52</v>
      </c>
      <c r="N1915" s="0" t="s">
        <v>45</v>
      </c>
      <c r="P1915" s="13" t="n">
        <v>113</v>
      </c>
      <c r="Q1915" s="0" t="s">
        <v>46</v>
      </c>
      <c r="R1915" s="0" t="s">
        <v>47</v>
      </c>
      <c r="S1915" s="13" t="n">
        <v>1130101</v>
      </c>
      <c r="T1915" s="0" t="s">
        <v>48</v>
      </c>
      <c r="U1915" s="15" t="n">
        <v>733.77</v>
      </c>
      <c r="W1915" s="15" t="n">
        <v>733.77</v>
      </c>
      <c r="X1915" s="0" t="s">
        <v>1555</v>
      </c>
      <c r="Z1915" s="0" t="str">
        <f aca="false">IF($T1915="","",IFERROR(INDEX('Resumo Grupos'!$AC$3:$AC$200,MATCH($T1915,'Resumo Grupos'!$AB$3:$AB$200,0)),"n/d"))</f>
        <v>Mercadoria</v>
      </c>
      <c r="AA1915" s="0" t="str">
        <f aca="false">IF($T1915="","",IF(COUNTIF('Resumo Grupos'!$AE$3:$AE$40,$T1915)&gt;0,"NAO","SIM"))</f>
        <v>SIM</v>
      </c>
      <c r="AB1915" s="0" t="str">
        <f aca="false">IFERROR(INDEX('Mov Entradas (Rel 10497)'!$L:$L,MATCH(AC1915,'Mov Entradas (Rel 10497)'!$I:$I,0)),"nao encontrado")</f>
        <v>BISC. RICHESTER RECH QUAD CHOCO ANI 130G</v>
      </c>
      <c r="AC1915" s="0" t="n">
        <v>3242273</v>
      </c>
    </row>
    <row r="1916" customFormat="false" ht="12.75" hidden="false" customHeight="true" outlineLevel="0" collapsed="false">
      <c r="A1916" s="13" t="n">
        <v>2</v>
      </c>
      <c r="B1916" s="14" t="n">
        <v>46252</v>
      </c>
      <c r="C1916" s="14" t="n">
        <v>46274</v>
      </c>
      <c r="D1916" s="13" t="n">
        <v>1612</v>
      </c>
      <c r="E1916" s="0" t="s">
        <v>74</v>
      </c>
      <c r="F1916" s="13" t="n">
        <v>24</v>
      </c>
      <c r="G1916" s="0" t="s">
        <v>51</v>
      </c>
      <c r="H1916" s="13" t="n">
        <v>2110405</v>
      </c>
      <c r="I1916" s="0" t="s">
        <v>56</v>
      </c>
      <c r="J1916" s="13" t="n">
        <v>1567419</v>
      </c>
      <c r="L1916" s="13" t="n">
        <v>214024</v>
      </c>
      <c r="M1916" s="0" t="s">
        <v>52</v>
      </c>
      <c r="N1916" s="0" t="s">
        <v>45</v>
      </c>
      <c r="P1916" s="13" t="n">
        <v>113</v>
      </c>
      <c r="Q1916" s="0" t="s">
        <v>46</v>
      </c>
      <c r="R1916" s="0" t="s">
        <v>47</v>
      </c>
      <c r="S1916" s="13" t="n">
        <v>1130101</v>
      </c>
      <c r="T1916" s="0" t="s">
        <v>48</v>
      </c>
      <c r="U1916" s="15" t="n">
        <v>1154.65</v>
      </c>
      <c r="W1916" s="15" t="n">
        <v>1154.65</v>
      </c>
      <c r="X1916" s="0" t="s">
        <v>1556</v>
      </c>
      <c r="Z1916" s="0" t="str">
        <f aca="false">IF($T1916="","",IFERROR(INDEX('Resumo Grupos'!$AC$3:$AC$200,MATCH($T1916,'Resumo Grupos'!$AB$3:$AB$200,0)),"n/d"))</f>
        <v>Mercadoria</v>
      </c>
      <c r="AA1916" s="0" t="str">
        <f aca="false">IF($T1916="","",IF(COUNTIF('Resumo Grupos'!$AE$3:$AE$40,$T1916)&gt;0,"NAO","SIM"))</f>
        <v>SIM</v>
      </c>
      <c r="AB1916" s="0" t="str">
        <f aca="false">IFERROR(INDEX('Mov Entradas (Rel 10497)'!$L:$L,MATCH(AC1916,'Mov Entradas (Rel 10497)'!$I:$I,0)),"nao encontrado")</f>
        <v>AGUA SANI BRILUX1L</v>
      </c>
      <c r="AC1916" s="0" t="n">
        <v>2310769</v>
      </c>
    </row>
    <row r="1917" customFormat="false" ht="12.75" hidden="false" customHeight="true" outlineLevel="0" collapsed="false">
      <c r="A1917" s="13" t="n">
        <v>2</v>
      </c>
      <c r="B1917" s="14" t="n">
        <v>46260</v>
      </c>
      <c r="C1917" s="14" t="n">
        <v>46274</v>
      </c>
      <c r="D1917" s="13" t="n">
        <v>10019</v>
      </c>
      <c r="E1917" s="0" t="s">
        <v>268</v>
      </c>
      <c r="F1917" s="13" t="n">
        <v>24</v>
      </c>
      <c r="G1917" s="0" t="s">
        <v>51</v>
      </c>
      <c r="H1917" s="13" t="n">
        <v>2110405</v>
      </c>
      <c r="I1917" s="0" t="s">
        <v>56</v>
      </c>
      <c r="J1917" s="13" t="n">
        <v>1605124</v>
      </c>
      <c r="L1917" s="13" t="n">
        <v>219904</v>
      </c>
      <c r="M1917" s="0" t="s">
        <v>52</v>
      </c>
      <c r="N1917" s="0" t="s">
        <v>45</v>
      </c>
      <c r="P1917" s="13" t="n">
        <v>113</v>
      </c>
      <c r="Q1917" s="0" t="s">
        <v>46</v>
      </c>
      <c r="R1917" s="0" t="s">
        <v>47</v>
      </c>
      <c r="S1917" s="13" t="n">
        <v>1130101</v>
      </c>
      <c r="T1917" s="0" t="s">
        <v>48</v>
      </c>
      <c r="U1917" s="15" t="n">
        <v>2752.16</v>
      </c>
      <c r="W1917" s="15" t="n">
        <v>2752.16</v>
      </c>
      <c r="X1917" s="0" t="s">
        <v>1557</v>
      </c>
      <c r="Z1917" s="0" t="str">
        <f aca="false">IF($T1917="","",IFERROR(INDEX('Resumo Grupos'!$AC$3:$AC$200,MATCH($T1917,'Resumo Grupos'!$AB$3:$AB$200,0)),"n/d"))</f>
        <v>Mercadoria</v>
      </c>
      <c r="AA1917" s="0" t="str">
        <f aca="false">IF($T1917="","",IF(COUNTIF('Resumo Grupos'!$AE$3:$AE$40,$T1917)&gt;0,"NAO","SIM"))</f>
        <v>SIM</v>
      </c>
      <c r="AB1917" s="0" t="str">
        <f aca="false">IFERROR(INDEX('Mov Entradas (Rel 10497)'!$L:$L,MATCH(AC1917,'Mov Entradas (Rel 10497)'!$I:$I,0)),"nao encontrado")</f>
        <v>PATINHO BOVINO KG</v>
      </c>
      <c r="AC1917" s="0" t="n">
        <v>33028</v>
      </c>
    </row>
    <row r="1918" customFormat="false" ht="12.75" hidden="false" customHeight="true" outlineLevel="0" collapsed="false">
      <c r="A1918" s="13" t="n">
        <v>2</v>
      </c>
      <c r="B1918" s="14" t="n">
        <v>46260</v>
      </c>
      <c r="C1918" s="14" t="n">
        <v>46274</v>
      </c>
      <c r="D1918" s="13" t="n">
        <v>1626</v>
      </c>
      <c r="E1918" s="0" t="s">
        <v>77</v>
      </c>
      <c r="F1918" s="13" t="n">
        <v>24</v>
      </c>
      <c r="G1918" s="0" t="s">
        <v>51</v>
      </c>
      <c r="H1918" s="13" t="n">
        <v>2110405</v>
      </c>
      <c r="I1918" s="0" t="s">
        <v>56</v>
      </c>
      <c r="J1918" s="13" t="n">
        <v>1605220</v>
      </c>
      <c r="L1918" s="13" t="n">
        <v>219914</v>
      </c>
      <c r="M1918" s="0" t="s">
        <v>52</v>
      </c>
      <c r="N1918" s="0" t="s">
        <v>45</v>
      </c>
      <c r="P1918" s="13" t="n">
        <v>113</v>
      </c>
      <c r="Q1918" s="0" t="s">
        <v>46</v>
      </c>
      <c r="R1918" s="0" t="s">
        <v>47</v>
      </c>
      <c r="S1918" s="13" t="n">
        <v>1130101</v>
      </c>
      <c r="T1918" s="0" t="s">
        <v>48</v>
      </c>
      <c r="U1918" s="15" t="n">
        <v>679.16</v>
      </c>
      <c r="W1918" s="15" t="n">
        <v>679.16</v>
      </c>
      <c r="X1918" s="0" t="s">
        <v>1558</v>
      </c>
      <c r="Z1918" s="0" t="str">
        <f aca="false">IF($T1918="","",IFERROR(INDEX('Resumo Grupos'!$AC$3:$AC$200,MATCH($T1918,'Resumo Grupos'!$AB$3:$AB$200,0)),"n/d"))</f>
        <v>Mercadoria</v>
      </c>
      <c r="AA1918" s="0" t="str">
        <f aca="false">IF($T1918="","",IF(COUNTIF('Resumo Grupos'!$AE$3:$AE$40,$T1918)&gt;0,"NAO","SIM"))</f>
        <v>SIM</v>
      </c>
      <c r="AB1918" s="0" t="str">
        <f aca="false">IFERROR(INDEX('Mov Entradas (Rel 10497)'!$L:$L,MATCH(AC1918,'Mov Entradas (Rel 10497)'!$I:$I,0)),"nao encontrado")</f>
        <v>CALABRESA SEARA KG</v>
      </c>
      <c r="AC1918" s="0" t="n">
        <v>319020</v>
      </c>
    </row>
    <row r="1919" customFormat="false" ht="12.75" hidden="false" customHeight="true" outlineLevel="0" collapsed="false">
      <c r="A1919" s="13" t="n">
        <v>2</v>
      </c>
      <c r="B1919" s="14" t="n">
        <v>46274</v>
      </c>
      <c r="C1919" s="14" t="n">
        <v>46274</v>
      </c>
      <c r="D1919" s="13" t="n">
        <v>10096</v>
      </c>
      <c r="E1919" s="0" t="s">
        <v>622</v>
      </c>
      <c r="F1919" s="13" t="n">
        <v>13</v>
      </c>
      <c r="G1919" s="0" t="s">
        <v>135</v>
      </c>
      <c r="H1919" s="13" t="n">
        <v>2110405</v>
      </c>
      <c r="I1919" s="0" t="s">
        <v>56</v>
      </c>
      <c r="J1919" s="13" t="n">
        <v>1677458</v>
      </c>
      <c r="L1919" s="13" t="n">
        <v>230087</v>
      </c>
      <c r="M1919" s="0" t="s">
        <v>52</v>
      </c>
      <c r="N1919" s="0" t="s">
        <v>45</v>
      </c>
      <c r="P1919" s="13" t="n">
        <v>113</v>
      </c>
      <c r="Q1919" s="0" t="s">
        <v>46</v>
      </c>
      <c r="R1919" s="0" t="s">
        <v>47</v>
      </c>
      <c r="S1919" s="13" t="n">
        <v>1130101</v>
      </c>
      <c r="T1919" s="0" t="s">
        <v>48</v>
      </c>
      <c r="U1919" s="15" t="n">
        <v>140</v>
      </c>
      <c r="W1919" s="15" t="n">
        <v>140</v>
      </c>
      <c r="X1919" s="0" t="s">
        <v>1656</v>
      </c>
      <c r="Z1919" s="0" t="str">
        <f aca="false">IF($T1919="","",IFERROR(INDEX('Resumo Grupos'!$AC$3:$AC$200,MATCH($T1919,'Resumo Grupos'!$AB$3:$AB$200,0)),"n/d"))</f>
        <v>Mercadoria</v>
      </c>
      <c r="AA1919" s="0" t="str">
        <f aca="false">IF($T1919="","",IF(COUNTIF('Resumo Grupos'!$AE$3:$AE$40,$T1919)&gt;0,"NAO","SIM"))</f>
        <v>SIM</v>
      </c>
      <c r="AB1919" s="0" t="str">
        <f aca="false">IFERROR(INDEX('Mov Entradas (Rel 10497)'!$L:$L,MATCH(AC1919,'Mov Entradas (Rel 10497)'!$I:$I,0)),"nao encontrado")</f>
        <v>BOLO MIYAZAKI GRANDE</v>
      </c>
      <c r="AC1919" s="0" t="n">
        <v>268</v>
      </c>
    </row>
    <row r="1920" customFormat="false" ht="12.75" hidden="false" customHeight="true" outlineLevel="0" collapsed="false">
      <c r="A1920" s="13" t="n">
        <v>2</v>
      </c>
      <c r="B1920" s="14" t="n">
        <v>46274</v>
      </c>
      <c r="C1920" s="14" t="n">
        <v>46274</v>
      </c>
      <c r="D1920" s="13" t="n">
        <v>1783</v>
      </c>
      <c r="E1920" s="0" t="s">
        <v>340</v>
      </c>
      <c r="F1920" s="13" t="n">
        <v>13</v>
      </c>
      <c r="G1920" s="0" t="s">
        <v>135</v>
      </c>
      <c r="H1920" s="13" t="n">
        <v>2110405</v>
      </c>
      <c r="I1920" s="0" t="s">
        <v>56</v>
      </c>
      <c r="J1920" s="13" t="n">
        <v>1681530</v>
      </c>
      <c r="L1920" s="13" t="n">
        <v>230709</v>
      </c>
      <c r="M1920" s="0" t="s">
        <v>52</v>
      </c>
      <c r="N1920" s="0" t="s">
        <v>45</v>
      </c>
      <c r="P1920" s="13" t="n">
        <v>113</v>
      </c>
      <c r="Q1920" s="0" t="s">
        <v>46</v>
      </c>
      <c r="R1920" s="0" t="s">
        <v>47</v>
      </c>
      <c r="S1920" s="13" t="n">
        <v>1130101</v>
      </c>
      <c r="T1920" s="0" t="s">
        <v>48</v>
      </c>
      <c r="U1920" s="15" t="n">
        <v>160.32</v>
      </c>
      <c r="W1920" s="15" t="n">
        <v>160.32</v>
      </c>
      <c r="X1920" s="0" t="s">
        <v>1657</v>
      </c>
      <c r="Z1920" s="0" t="str">
        <f aca="false">IF($T1920="","",IFERROR(INDEX('Resumo Grupos'!$AC$3:$AC$200,MATCH($T1920,'Resumo Grupos'!$AB$3:$AB$200,0)),"n/d"))</f>
        <v>Mercadoria</v>
      </c>
      <c r="AA1920" s="0" t="str">
        <f aca="false">IF($T1920="","",IF(COUNTIF('Resumo Grupos'!$AE$3:$AE$40,$T1920)&gt;0,"NAO","SIM"))</f>
        <v>SIM</v>
      </c>
      <c r="AB1920" s="0" t="str">
        <f aca="false">IFERROR(INDEX('Mov Entradas (Rel 10497)'!$L:$L,MATCH(AC1920,'Mov Entradas (Rel 10497)'!$I:$I,0)),"nao encontrado")</f>
        <v>MARSHMALOW NO PALITO</v>
      </c>
      <c r="AC1920" s="0" t="n">
        <v>536</v>
      </c>
    </row>
    <row r="1921" customFormat="false" ht="12.75" hidden="false" customHeight="true" outlineLevel="0" collapsed="false">
      <c r="A1921" s="13" t="n">
        <v>2</v>
      </c>
      <c r="B1921" s="14" t="n">
        <v>46274</v>
      </c>
      <c r="C1921" s="14" t="n">
        <v>46274</v>
      </c>
      <c r="D1921" s="13" t="n">
        <v>48</v>
      </c>
      <c r="E1921" s="0" t="s">
        <v>153</v>
      </c>
      <c r="F1921" s="13" t="n">
        <v>13</v>
      </c>
      <c r="G1921" s="0" t="s">
        <v>135</v>
      </c>
      <c r="H1921" s="13" t="n">
        <v>2110101</v>
      </c>
      <c r="I1921" s="0" t="s">
        <v>43</v>
      </c>
      <c r="J1921" s="13" t="n">
        <v>1677481</v>
      </c>
      <c r="L1921" s="13" t="n">
        <v>2664</v>
      </c>
      <c r="M1921" s="0" t="s">
        <v>52</v>
      </c>
      <c r="N1921" s="0" t="s">
        <v>37</v>
      </c>
      <c r="P1921" s="13" t="n">
        <v>113</v>
      </c>
      <c r="Q1921" s="0" t="s">
        <v>46</v>
      </c>
      <c r="R1921" s="0" t="s">
        <v>47</v>
      </c>
      <c r="S1921" s="13" t="n">
        <v>1130101</v>
      </c>
      <c r="T1921" s="0" t="s">
        <v>48</v>
      </c>
      <c r="U1921" s="15" t="n">
        <v>180</v>
      </c>
      <c r="W1921" s="15" t="n">
        <v>180</v>
      </c>
      <c r="X1921" s="0" t="s">
        <v>1658</v>
      </c>
      <c r="Z1921" s="0" t="str">
        <f aca="false">IF($T1921="","",IFERROR(INDEX('Resumo Grupos'!$AC$3:$AC$200,MATCH($T1921,'Resumo Grupos'!$AB$3:$AB$200,0)),"n/d"))</f>
        <v>Mercadoria</v>
      </c>
      <c r="AA1921" s="0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3" t="n">
        <v>2</v>
      </c>
      <c r="B1922" s="14" t="n">
        <v>46268</v>
      </c>
      <c r="C1922" s="14" t="n">
        <v>46274</v>
      </c>
      <c r="D1922" s="13" t="n">
        <v>666</v>
      </c>
      <c r="E1922" s="0" t="s">
        <v>417</v>
      </c>
      <c r="F1922" s="13" t="n">
        <v>24</v>
      </c>
      <c r="G1922" s="0" t="s">
        <v>51</v>
      </c>
      <c r="H1922" s="13" t="n">
        <v>2110405</v>
      </c>
      <c r="I1922" s="0" t="s">
        <v>56</v>
      </c>
      <c r="J1922" s="13" t="n">
        <v>1646676</v>
      </c>
      <c r="L1922" s="13" t="n">
        <v>226021</v>
      </c>
      <c r="M1922" s="0" t="s">
        <v>52</v>
      </c>
      <c r="N1922" s="0" t="s">
        <v>45</v>
      </c>
      <c r="P1922" s="13" t="n">
        <v>113</v>
      </c>
      <c r="Q1922" s="0" t="s">
        <v>46</v>
      </c>
      <c r="R1922" s="0" t="s">
        <v>47</v>
      </c>
      <c r="S1922" s="13" t="n">
        <v>1130101</v>
      </c>
      <c r="T1922" s="0" t="s">
        <v>48</v>
      </c>
      <c r="U1922" s="15" t="n">
        <v>314</v>
      </c>
      <c r="W1922" s="15" t="n">
        <v>314</v>
      </c>
      <c r="X1922" s="0" t="s">
        <v>1659</v>
      </c>
      <c r="Z1922" s="0" t="str">
        <f aca="false">IF($T1922="","",IFERROR(INDEX('Resumo Grupos'!$AC$3:$AC$200,MATCH($T1922,'Resumo Grupos'!$AB$3:$AB$200,0)),"n/d"))</f>
        <v>Mercadoria</v>
      </c>
      <c r="AA1922" s="0" t="str">
        <f aca="false">IF($T1922="","",IF(COUNTIF('Resumo Grupos'!$AE$3:$AE$40,$T1922)&gt;0,"NAO","SIM"))</f>
        <v>SIM</v>
      </c>
      <c r="AB1922" s="0" t="str">
        <f aca="false">IFERROR(INDEX('Mov Entradas (Rel 10497)'!$L:$L,MATCH(AC1922,'Mov Entradas (Rel 10497)'!$I:$I,0)),"nao encontrado")</f>
        <v>RACAO SABOR DOG FILH</v>
      </c>
      <c r="AC1922" s="0" t="n">
        <v>8180</v>
      </c>
    </row>
    <row r="1923" customFormat="false" ht="12.75" hidden="false" customHeight="true" outlineLevel="0" collapsed="false">
      <c r="A1923" s="13" t="n">
        <v>2</v>
      </c>
      <c r="B1923" s="14" t="n">
        <v>46260</v>
      </c>
      <c r="C1923" s="14" t="n">
        <v>46274</v>
      </c>
      <c r="D1923" s="13" t="n">
        <v>1107</v>
      </c>
      <c r="E1923" s="0" t="s">
        <v>254</v>
      </c>
      <c r="F1923" s="13" t="n">
        <v>24</v>
      </c>
      <c r="G1923" s="0" t="s">
        <v>51</v>
      </c>
      <c r="H1923" s="13" t="n">
        <v>2110405</v>
      </c>
      <c r="I1923" s="0" t="s">
        <v>56</v>
      </c>
      <c r="J1923" s="13" t="n">
        <v>1605197</v>
      </c>
      <c r="L1923" s="13" t="n">
        <v>219908</v>
      </c>
      <c r="M1923" s="0" t="s">
        <v>52</v>
      </c>
      <c r="N1923" s="0" t="s">
        <v>45</v>
      </c>
      <c r="P1923" s="13" t="n">
        <v>113</v>
      </c>
      <c r="Q1923" s="0" t="s">
        <v>46</v>
      </c>
      <c r="R1923" s="0" t="s">
        <v>47</v>
      </c>
      <c r="S1923" s="13" t="n">
        <v>1130101</v>
      </c>
      <c r="T1923" s="0" t="s">
        <v>48</v>
      </c>
      <c r="U1923" s="15" t="n">
        <v>1510.33</v>
      </c>
      <c r="W1923" s="15" t="n">
        <v>1510.33</v>
      </c>
      <c r="X1923" s="0" t="s">
        <v>1660</v>
      </c>
      <c r="Z1923" s="0" t="str">
        <f aca="false">IF($T1923="","",IFERROR(INDEX('Resumo Grupos'!$AC$3:$AC$200,MATCH($T1923,'Resumo Grupos'!$AB$3:$AB$200,0)),"n/d"))</f>
        <v>Mercadoria</v>
      </c>
      <c r="AA1923" s="0" t="str">
        <f aca="false">IF($T1923="","",IF(COUNTIF('Resumo Grupos'!$AE$3:$AE$40,$T1923)&gt;0,"NAO","SIM"))</f>
        <v>SIM</v>
      </c>
      <c r="AB1923" s="0" t="str">
        <f aca="false">IFERROR(INDEX('Mov Entradas (Rel 10497)'!$L:$L,MATCH(AC1923,'Mov Entradas (Rel 10497)'!$I:$I,0)),"nao encontrado")</f>
        <v>BOLINHO MORANGO 7308</v>
      </c>
      <c r="AC1923" s="0" t="n">
        <v>447609</v>
      </c>
    </row>
    <row r="1924" customFormat="false" ht="12.75" hidden="false" customHeight="true" outlineLevel="0" collapsed="false">
      <c r="A1924" s="13" t="n">
        <v>2</v>
      </c>
      <c r="B1924" s="14" t="n">
        <v>46274</v>
      </c>
      <c r="C1924" s="14" t="n">
        <v>46274</v>
      </c>
      <c r="D1924" s="13" t="n">
        <v>607</v>
      </c>
      <c r="E1924" s="0" t="s">
        <v>281</v>
      </c>
      <c r="F1924" s="13" t="n">
        <v>24</v>
      </c>
      <c r="G1924" s="0" t="s">
        <v>51</v>
      </c>
      <c r="H1924" s="13" t="n">
        <v>2110405</v>
      </c>
      <c r="I1924" s="0" t="s">
        <v>56</v>
      </c>
      <c r="J1924" s="13" t="n">
        <v>1676410</v>
      </c>
      <c r="L1924" s="13" t="n">
        <v>229911</v>
      </c>
      <c r="M1924" s="0" t="s">
        <v>52</v>
      </c>
      <c r="N1924" s="0" t="s">
        <v>45</v>
      </c>
      <c r="P1924" s="13" t="n">
        <v>113</v>
      </c>
      <c r="Q1924" s="0" t="s">
        <v>46</v>
      </c>
      <c r="R1924" s="0" t="s">
        <v>47</v>
      </c>
      <c r="S1924" s="13" t="n">
        <v>1130101</v>
      </c>
      <c r="T1924" s="0" t="s">
        <v>48</v>
      </c>
      <c r="U1924" s="15" t="n">
        <v>446.29</v>
      </c>
      <c r="W1924" s="15" t="n">
        <v>446.29</v>
      </c>
      <c r="X1924" s="0" t="s">
        <v>1255</v>
      </c>
      <c r="Z1924" s="0" t="str">
        <f aca="false">IF($T1924="","",IFERROR(INDEX('Resumo Grupos'!$AC$3:$AC$200,MATCH($T1924,'Resumo Grupos'!$AB$3:$AB$200,0)),"n/d"))</f>
        <v>Mercadoria</v>
      </c>
      <c r="AA1924" s="0" t="str">
        <f aca="false">IF($T1924="","",IF(COUNTIF('Resumo Grupos'!$AE$3:$AE$40,$T1924)&gt;0,"NAO","SIM"))</f>
        <v>SIM</v>
      </c>
      <c r="AB1924" s="0" t="str">
        <f aca="false">IFERROR(INDEX('Mov Entradas (Rel 10497)'!$L:$L,MATCH(AC1924,'Mov Entradas (Rel 10497)'!$I:$I,0)),"nao encontrado")</f>
        <v>RC JAPI PREM.FILH25K</v>
      </c>
      <c r="AC1924" s="0" t="n">
        <v>11173</v>
      </c>
    </row>
    <row r="1925" customFormat="false" ht="12.75" hidden="false" customHeight="true" outlineLevel="0" collapsed="false">
      <c r="A1925" s="13" t="n">
        <v>2</v>
      </c>
      <c r="B1925" s="14" t="n">
        <v>46247</v>
      </c>
      <c r="C1925" s="14" t="n">
        <v>46274</v>
      </c>
      <c r="D1925" s="13" t="n">
        <v>1624</v>
      </c>
      <c r="E1925" s="0" t="s">
        <v>351</v>
      </c>
      <c r="F1925" s="13" t="n">
        <v>24</v>
      </c>
      <c r="G1925" s="0" t="s">
        <v>51</v>
      </c>
      <c r="H1925" s="13" t="n">
        <v>2110405</v>
      </c>
      <c r="I1925" s="0" t="s">
        <v>56</v>
      </c>
      <c r="J1925" s="13" t="n">
        <v>1543917</v>
      </c>
      <c r="L1925" s="13" t="n">
        <v>210534</v>
      </c>
      <c r="M1925" s="0" t="s">
        <v>52</v>
      </c>
      <c r="N1925" s="0" t="s">
        <v>45</v>
      </c>
      <c r="P1925" s="13" t="n">
        <v>113</v>
      </c>
      <c r="Q1925" s="0" t="s">
        <v>46</v>
      </c>
      <c r="R1925" s="0" t="s">
        <v>47</v>
      </c>
      <c r="S1925" s="13" t="n">
        <v>1130101</v>
      </c>
      <c r="T1925" s="0" t="s">
        <v>48</v>
      </c>
      <c r="U1925" s="15" t="n">
        <v>830.13</v>
      </c>
      <c r="W1925" s="15" t="n">
        <v>830.13</v>
      </c>
      <c r="X1925" s="0" t="s">
        <v>1567</v>
      </c>
      <c r="Z1925" s="0" t="str">
        <f aca="false">IF($T1925="","",IFERROR(INDEX('Resumo Grupos'!$AC$3:$AC$200,MATCH($T1925,'Resumo Grupos'!$AB$3:$AB$200,0)),"n/d"))</f>
        <v>Mercadoria</v>
      </c>
      <c r="AA1925" s="0" t="str">
        <f aca="false">IF($T1925="","",IF(COUNTIF('Resumo Grupos'!$AE$3:$AE$40,$T1925)&gt;0,"NAO","SIM"))</f>
        <v>SIM</v>
      </c>
      <c r="AB1925" s="0" t="str">
        <f aca="false">IFERROR(INDEX('Mov Entradas (Rel 10497)'!$L:$L,MATCH(AC1925,'Mov Entradas (Rel 10497)'!$I:$I,0)),"nao encontrado")</f>
        <v>SAB SARNICIDA MATACURA 80G</v>
      </c>
      <c r="AC1925" s="0" t="n">
        <v>668739</v>
      </c>
    </row>
    <row r="1926" customFormat="false" ht="12.75" hidden="false" customHeight="true" outlineLevel="0" collapsed="false">
      <c r="A1926" s="13" t="n">
        <v>2</v>
      </c>
      <c r="B1926" s="14" t="n">
        <v>46274</v>
      </c>
      <c r="C1926" s="14" t="n">
        <v>46274</v>
      </c>
      <c r="D1926" s="13" t="n">
        <v>0</v>
      </c>
      <c r="E1926" s="0" t="s">
        <v>109</v>
      </c>
      <c r="F1926" s="13" t="n">
        <v>17</v>
      </c>
      <c r="G1926" s="0" t="s">
        <v>110</v>
      </c>
      <c r="H1926" s="13" t="n">
        <v>1110101</v>
      </c>
      <c r="I1926" s="0" t="s">
        <v>111</v>
      </c>
      <c r="J1926" s="13" t="n">
        <v>1681494</v>
      </c>
      <c r="L1926" s="13" t="n">
        <v>1681494</v>
      </c>
      <c r="M1926" s="0" t="s">
        <v>52</v>
      </c>
      <c r="N1926" s="0" t="s">
        <v>112</v>
      </c>
      <c r="P1926" s="13" t="n">
        <v>113</v>
      </c>
      <c r="Q1926" s="0" t="s">
        <v>46</v>
      </c>
      <c r="R1926" s="0" t="s">
        <v>259</v>
      </c>
      <c r="S1926" s="13" t="n">
        <v>2110101</v>
      </c>
      <c r="T1926" s="0" t="s">
        <v>43</v>
      </c>
      <c r="U1926" s="15" t="n">
        <v>180</v>
      </c>
      <c r="W1926" s="15" t="n">
        <v>180</v>
      </c>
      <c r="X1926" s="0" t="s">
        <v>1661</v>
      </c>
      <c r="Z1926" s="0" t="str">
        <f aca="false">IF($T1926="","",IFERROR(INDEX('Resumo Grupos'!$AC$3:$AC$200,MATCH($T1926,'Resumo Grupos'!$AB$3:$AB$200,0)),"n/d"))</f>
        <v>Despesa</v>
      </c>
      <c r="AA1926" s="0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3" t="n">
        <v>2</v>
      </c>
      <c r="B1927" s="14" t="n">
        <v>46274</v>
      </c>
      <c r="C1927" s="14" t="n">
        <v>46274</v>
      </c>
      <c r="D1927" s="13" t="n">
        <v>0</v>
      </c>
      <c r="E1927" s="0" t="s">
        <v>109</v>
      </c>
      <c r="F1927" s="13" t="n">
        <v>17</v>
      </c>
      <c r="G1927" s="0" t="s">
        <v>110</v>
      </c>
      <c r="H1927" s="13" t="n">
        <v>1110101</v>
      </c>
      <c r="I1927" s="0" t="s">
        <v>111</v>
      </c>
      <c r="J1927" s="13" t="n">
        <v>1681496</v>
      </c>
      <c r="L1927" s="13" t="n">
        <v>1681496</v>
      </c>
      <c r="M1927" s="0" t="s">
        <v>52</v>
      </c>
      <c r="N1927" s="0" t="s">
        <v>112</v>
      </c>
      <c r="P1927" s="13" t="n">
        <v>113</v>
      </c>
      <c r="Q1927" s="0" t="s">
        <v>46</v>
      </c>
      <c r="R1927" s="0" t="s">
        <v>56</v>
      </c>
      <c r="S1927" s="13" t="n">
        <v>2110405</v>
      </c>
      <c r="T1927" s="0" t="s">
        <v>56</v>
      </c>
      <c r="U1927" s="15" t="n">
        <v>140</v>
      </c>
      <c r="W1927" s="15" t="n">
        <v>140</v>
      </c>
      <c r="X1927" s="0" t="s">
        <v>1662</v>
      </c>
      <c r="Z1927" s="0" t="str">
        <f aca="false">IF($T1927="","",IFERROR(INDEX('Resumo Grupos'!$AC$3:$AC$200,MATCH($T1927,'Resumo Grupos'!$AB$3:$AB$200,0)),"n/d"))</f>
        <v>Cobertura de conta</v>
      </c>
      <c r="AA1927" s="0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3" t="n">
        <v>2</v>
      </c>
      <c r="B1928" s="14" t="n">
        <v>46274</v>
      </c>
      <c r="C1928" s="14" t="n">
        <v>46274</v>
      </c>
      <c r="D1928" s="13" t="n">
        <v>0</v>
      </c>
      <c r="E1928" s="0" t="s">
        <v>109</v>
      </c>
      <c r="F1928" s="13" t="n">
        <v>17</v>
      </c>
      <c r="G1928" s="0" t="s">
        <v>110</v>
      </c>
      <c r="H1928" s="13" t="n">
        <v>1110101</v>
      </c>
      <c r="I1928" s="0" t="s">
        <v>111</v>
      </c>
      <c r="J1928" s="13" t="n">
        <v>1681497</v>
      </c>
      <c r="L1928" s="13" t="n">
        <v>1681497</v>
      </c>
      <c r="M1928" s="0" t="s">
        <v>52</v>
      </c>
      <c r="N1928" s="0" t="s">
        <v>112</v>
      </c>
      <c r="P1928" s="13" t="n">
        <v>113</v>
      </c>
      <c r="Q1928" s="0" t="s">
        <v>46</v>
      </c>
      <c r="R1928" s="0" t="s">
        <v>47</v>
      </c>
      <c r="S1928" s="13" t="n">
        <v>1130101</v>
      </c>
      <c r="T1928" s="0" t="s">
        <v>48</v>
      </c>
      <c r="U1928" s="15" t="n">
        <v>145</v>
      </c>
      <c r="W1928" s="15" t="n">
        <v>145</v>
      </c>
      <c r="X1928" s="0" t="s">
        <v>1663</v>
      </c>
      <c r="Z1928" s="0" t="str">
        <f aca="false">IF($T1928="","",IFERROR(INDEX('Resumo Grupos'!$AC$3:$AC$200,MATCH($T1928,'Resumo Grupos'!$AB$3:$AB$200,0)),"n/d"))</f>
        <v>Mercadoria</v>
      </c>
      <c r="AA1928" s="0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3" t="n">
        <v>2</v>
      </c>
      <c r="B1929" s="14" t="n">
        <v>46274</v>
      </c>
      <c r="C1929" s="14" t="n">
        <v>46274</v>
      </c>
      <c r="D1929" s="13" t="n">
        <v>0</v>
      </c>
      <c r="E1929" s="0" t="s">
        <v>109</v>
      </c>
      <c r="F1929" s="13" t="n">
        <v>17</v>
      </c>
      <c r="G1929" s="0" t="s">
        <v>110</v>
      </c>
      <c r="H1929" s="13" t="n">
        <v>1110101</v>
      </c>
      <c r="I1929" s="0" t="s">
        <v>111</v>
      </c>
      <c r="J1929" s="13" t="n">
        <v>1681503</v>
      </c>
      <c r="L1929" s="13" t="n">
        <v>1681503</v>
      </c>
      <c r="M1929" s="0" t="s">
        <v>52</v>
      </c>
      <c r="N1929" s="0" t="s">
        <v>112</v>
      </c>
      <c r="P1929" s="13" t="n">
        <v>113</v>
      </c>
      <c r="Q1929" s="0" t="s">
        <v>46</v>
      </c>
      <c r="R1929" s="0" t="s">
        <v>71</v>
      </c>
      <c r="S1929" s="13" t="n">
        <v>4210314</v>
      </c>
      <c r="T1929" s="0" t="s">
        <v>113</v>
      </c>
      <c r="U1929" s="15" t="n">
        <v>50</v>
      </c>
      <c r="W1929" s="15" t="n">
        <v>50</v>
      </c>
      <c r="X1929" s="0" t="s">
        <v>1664</v>
      </c>
      <c r="Z1929" s="0" t="str">
        <f aca="false">IF($T1929="","",IFERROR(INDEX('Resumo Grupos'!$AC$3:$AC$200,MATCH($T1929,'Resumo Grupos'!$AB$3:$AB$200,0)),"n/d"))</f>
        <v>Despesa</v>
      </c>
      <c r="AA1929" s="0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3" t="n">
        <v>2</v>
      </c>
      <c r="B1930" s="14" t="n">
        <v>46274</v>
      </c>
      <c r="C1930" s="14" t="n">
        <v>46274</v>
      </c>
      <c r="D1930" s="13" t="n">
        <v>0</v>
      </c>
      <c r="E1930" s="0" t="s">
        <v>109</v>
      </c>
      <c r="F1930" s="13" t="n">
        <v>17</v>
      </c>
      <c r="G1930" s="0" t="s">
        <v>110</v>
      </c>
      <c r="H1930" s="13" t="n">
        <v>1110101</v>
      </c>
      <c r="I1930" s="0" t="s">
        <v>111</v>
      </c>
      <c r="J1930" s="13" t="n">
        <v>1681510</v>
      </c>
      <c r="L1930" s="13" t="n">
        <v>1681510</v>
      </c>
      <c r="M1930" s="0" t="s">
        <v>52</v>
      </c>
      <c r="N1930" s="0" t="s">
        <v>112</v>
      </c>
      <c r="P1930" s="13" t="n">
        <v>113</v>
      </c>
      <c r="Q1930" s="0" t="s">
        <v>46</v>
      </c>
      <c r="R1930" s="0" t="s">
        <v>71</v>
      </c>
      <c r="S1930" s="13" t="n">
        <v>4210314</v>
      </c>
      <c r="T1930" s="0" t="s">
        <v>113</v>
      </c>
      <c r="U1930" s="15" t="n">
        <v>100</v>
      </c>
      <c r="W1930" s="15" t="n">
        <v>100</v>
      </c>
      <c r="X1930" s="0" t="s">
        <v>1665</v>
      </c>
      <c r="Z1930" s="0" t="str">
        <f aca="false">IF($T1930="","",IFERROR(INDEX('Resumo Grupos'!$AC$3:$AC$200,MATCH($T1930,'Resumo Grupos'!$AB$3:$AB$200,0)),"n/d"))</f>
        <v>Despesa</v>
      </c>
      <c r="AA1930" s="0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3" t="n">
        <v>2</v>
      </c>
      <c r="B1931" s="14" t="n">
        <v>46274</v>
      </c>
      <c r="C1931" s="14" t="n">
        <v>46274</v>
      </c>
      <c r="D1931" s="13" t="n">
        <v>0</v>
      </c>
      <c r="E1931" s="0" t="s">
        <v>109</v>
      </c>
      <c r="F1931" s="13" t="n">
        <v>17</v>
      </c>
      <c r="G1931" s="0" t="s">
        <v>110</v>
      </c>
      <c r="H1931" s="13" t="n">
        <v>1110101</v>
      </c>
      <c r="I1931" s="0" t="s">
        <v>111</v>
      </c>
      <c r="J1931" s="13" t="n">
        <v>1681512</v>
      </c>
      <c r="L1931" s="13" t="n">
        <v>1681512</v>
      </c>
      <c r="M1931" s="0" t="s">
        <v>52</v>
      </c>
      <c r="N1931" s="0" t="s">
        <v>112</v>
      </c>
      <c r="P1931" s="13" t="n">
        <v>113</v>
      </c>
      <c r="Q1931" s="0" t="s">
        <v>46</v>
      </c>
      <c r="R1931" s="0" t="s">
        <v>71</v>
      </c>
      <c r="S1931" s="13" t="n">
        <v>4210309</v>
      </c>
      <c r="T1931" s="0" t="s">
        <v>72</v>
      </c>
      <c r="U1931" s="15" t="n">
        <v>10</v>
      </c>
      <c r="W1931" s="15" t="n">
        <v>10</v>
      </c>
      <c r="X1931" s="0" t="s">
        <v>1552</v>
      </c>
      <c r="Z1931" s="0" t="str">
        <f aca="false">IF($T1931="","",IFERROR(INDEX('Resumo Grupos'!$AC$3:$AC$200,MATCH($T1931,'Resumo Grupos'!$AB$3:$AB$200,0)),"n/d"))</f>
        <v>Salários</v>
      </c>
      <c r="AA1931" s="0" t="str">
        <f aca="false">IF($T1931="","",IF(COUNTIF('Resumo Grupos'!$AE$3:$AE$40,$T1931)&gt;0,"NAO","SIM"))</f>
        <v>SIM</v>
      </c>
    </row>
    <row r="1932" customFormat="false" ht="63.75" hidden="false" customHeight="true" outlineLevel="0" collapsed="false">
      <c r="A1932" s="9" t="n">
        <v>2</v>
      </c>
      <c r="B1932" s="10" t="n">
        <v>46274</v>
      </c>
      <c r="C1932" s="10" t="n">
        <v>46274</v>
      </c>
      <c r="D1932" s="9" t="n">
        <v>0</v>
      </c>
      <c r="E1932" s="11" t="s">
        <v>109</v>
      </c>
      <c r="F1932" s="9" t="n">
        <v>17</v>
      </c>
      <c r="G1932" s="11" t="s">
        <v>110</v>
      </c>
      <c r="H1932" s="9" t="n">
        <v>1110101</v>
      </c>
      <c r="I1932" s="11" t="s">
        <v>111</v>
      </c>
      <c r="J1932" s="9" t="n">
        <v>1681514</v>
      </c>
      <c r="L1932" s="9" t="n">
        <v>1681514</v>
      </c>
      <c r="M1932" s="11" t="s">
        <v>52</v>
      </c>
      <c r="N1932" s="11" t="s">
        <v>112</v>
      </c>
      <c r="P1932" s="9" t="n">
        <v>113</v>
      </c>
      <c r="Q1932" s="11" t="s">
        <v>46</v>
      </c>
      <c r="R1932" s="11" t="s">
        <v>71</v>
      </c>
      <c r="S1932" s="9" t="n">
        <v>4210314</v>
      </c>
      <c r="T1932" s="11" t="s">
        <v>113</v>
      </c>
      <c r="U1932" s="12" t="n">
        <v>70</v>
      </c>
      <c r="W1932" s="12" t="n">
        <v>70</v>
      </c>
      <c r="X1932" s="11" t="s">
        <v>187</v>
      </c>
      <c r="Z1932" s="0" t="str">
        <f aca="false">IF($T1932="","",IFERROR(INDEX('Resumo Grupos'!$AC$3:$AC$200,MATCH($T1932,'Resumo Grupos'!$AB$3:$AB$200,0)),"n/d"))</f>
        <v>Despesa</v>
      </c>
      <c r="AA1932" s="0" t="str">
        <f aca="false">IF($T1932="","",IF(COUNTIF('Resumo Grupos'!$AE$3:$AE$40,$T1932)&gt;0,"NAO","SIM"))</f>
        <v>SIM</v>
      </c>
    </row>
    <row r="1933" customFormat="false" ht="54.75" hidden="false" customHeight="true" outlineLevel="0" collapsed="false">
      <c r="A1933" s="9" t="n">
        <v>2</v>
      </c>
      <c r="B1933" s="10" t="n">
        <v>46274</v>
      </c>
      <c r="C1933" s="10" t="n">
        <v>46274</v>
      </c>
      <c r="D1933" s="9" t="n">
        <v>0</v>
      </c>
      <c r="E1933" s="11" t="s">
        <v>109</v>
      </c>
      <c r="F1933" s="9" t="n">
        <v>17</v>
      </c>
      <c r="G1933" s="11" t="s">
        <v>110</v>
      </c>
      <c r="H1933" s="9" t="n">
        <v>1110101</v>
      </c>
      <c r="I1933" s="11" t="s">
        <v>111</v>
      </c>
      <c r="J1933" s="9" t="n">
        <v>1681531</v>
      </c>
      <c r="L1933" s="9" t="n">
        <v>1681531</v>
      </c>
      <c r="M1933" s="11" t="s">
        <v>52</v>
      </c>
      <c r="N1933" s="11" t="s">
        <v>112</v>
      </c>
      <c r="P1933" s="9" t="n">
        <v>113</v>
      </c>
      <c r="Q1933" s="11" t="s">
        <v>46</v>
      </c>
      <c r="R1933" s="11" t="s">
        <v>56</v>
      </c>
      <c r="S1933" s="9" t="n">
        <v>2110405</v>
      </c>
      <c r="T1933" s="11" t="s">
        <v>56</v>
      </c>
      <c r="U1933" s="12" t="n">
        <v>160.32</v>
      </c>
      <c r="W1933" s="12" t="n">
        <v>160.32</v>
      </c>
      <c r="X1933" s="11" t="s">
        <v>1666</v>
      </c>
      <c r="Z1933" s="0" t="str">
        <f aca="false">IF($T1933="","",IFERROR(INDEX('Resumo Grupos'!$AC$3:$AC$200,MATCH($T1933,'Resumo Grupos'!$AB$3:$AB$200,0)),"n/d"))</f>
        <v>Cobertura de conta</v>
      </c>
      <c r="AA1933" s="0" t="str">
        <f aca="false">IF($T1933="","",IF(COUNTIF('Resumo Grupos'!$AE$3:$AE$40,$T1933)&gt;0,"NAO","SIM"))</f>
        <v>SIM</v>
      </c>
    </row>
    <row r="1934" customFormat="false" ht="45.75" hidden="false" customHeight="true" outlineLevel="0" collapsed="false">
      <c r="A1934" s="9" t="n">
        <v>2</v>
      </c>
      <c r="B1934" s="10" t="n">
        <v>46274</v>
      </c>
      <c r="C1934" s="10" t="n">
        <v>46274</v>
      </c>
      <c r="D1934" s="9" t="n">
        <v>0</v>
      </c>
      <c r="E1934" s="11" t="s">
        <v>109</v>
      </c>
      <c r="F1934" s="9" t="n">
        <v>17</v>
      </c>
      <c r="G1934" s="11" t="s">
        <v>110</v>
      </c>
      <c r="H1934" s="9" t="n">
        <v>1110101</v>
      </c>
      <c r="I1934" s="11" t="s">
        <v>111</v>
      </c>
      <c r="J1934" s="9" t="n">
        <v>1716455</v>
      </c>
      <c r="L1934" s="9" t="n">
        <v>1716455</v>
      </c>
      <c r="M1934" s="11" t="s">
        <v>52</v>
      </c>
      <c r="N1934" s="11" t="s">
        <v>112</v>
      </c>
      <c r="P1934" s="9" t="n">
        <v>113</v>
      </c>
      <c r="Q1934" s="11" t="s">
        <v>46</v>
      </c>
      <c r="R1934" s="11" t="s">
        <v>116</v>
      </c>
      <c r="S1934" s="9" t="n">
        <v>1110203</v>
      </c>
      <c r="T1934" s="11" t="s">
        <v>117</v>
      </c>
      <c r="U1934" s="12" t="n">
        <v>2100</v>
      </c>
      <c r="W1934" s="12" t="n">
        <v>2100</v>
      </c>
      <c r="X1934" s="11" t="s">
        <v>1667</v>
      </c>
      <c r="Z1934" s="0" t="str">
        <f aca="false">IF($T1934="","",IFERROR(INDEX('Resumo Grupos'!$AC$3:$AC$200,MATCH($T1934,'Resumo Grupos'!$AB$3:$AB$200,0)),"n/d"))</f>
        <v>Despesa</v>
      </c>
      <c r="AA1934" s="0" t="str">
        <f aca="false">IF($T1934="","",IF(COUNTIF('Resumo Grupos'!$AE$3:$AE$40,$T1934)&gt;0,"NAO","SIM"))</f>
        <v>SIM</v>
      </c>
    </row>
    <row r="1935" customFormat="false" ht="45.75" hidden="false" customHeight="true" outlineLevel="0" collapsed="false">
      <c r="A1935" s="9" t="n">
        <v>2</v>
      </c>
      <c r="B1935" s="10" t="n">
        <v>46269</v>
      </c>
      <c r="C1935" s="10" t="n">
        <v>46275</v>
      </c>
      <c r="D1935" s="9" t="n">
        <v>10018</v>
      </c>
      <c r="E1935" s="11" t="s">
        <v>216</v>
      </c>
      <c r="F1935" s="9" t="n">
        <v>34</v>
      </c>
      <c r="G1935" s="11" t="s">
        <v>55</v>
      </c>
      <c r="H1935" s="9" t="n">
        <v>2110405</v>
      </c>
      <c r="I1935" s="11" t="s">
        <v>56</v>
      </c>
      <c r="J1935" s="9" t="n">
        <v>1653370</v>
      </c>
      <c r="L1935" s="9" t="n">
        <v>227145</v>
      </c>
      <c r="M1935" s="11" t="s">
        <v>52</v>
      </c>
      <c r="N1935" s="11" t="s">
        <v>45</v>
      </c>
      <c r="P1935" s="9" t="n">
        <v>113</v>
      </c>
      <c r="Q1935" s="11" t="s">
        <v>46</v>
      </c>
      <c r="R1935" s="11" t="s">
        <v>47</v>
      </c>
      <c r="S1935" s="9" t="n">
        <v>1130101</v>
      </c>
      <c r="T1935" s="11" t="s">
        <v>48</v>
      </c>
      <c r="U1935" s="12" t="n">
        <v>1045</v>
      </c>
      <c r="W1935" s="12" t="n">
        <v>1045</v>
      </c>
      <c r="X1935" s="11" t="s">
        <v>1668</v>
      </c>
      <c r="Z1935" s="0" t="str">
        <f aca="false">IF($T1935="","",IFERROR(INDEX('Resumo Grupos'!$AC$3:$AC$200,MATCH($T1935,'Resumo Grupos'!$AB$3:$AB$200,0)),"n/d"))</f>
        <v>Mercadoria</v>
      </c>
      <c r="AA1935" s="0" t="str">
        <f aca="false">IF($T1935="","",IF(COUNTIF('Resumo Grupos'!$AE$3:$AE$40,$T1935)&gt;0,"NAO","SIM"))</f>
        <v>SIM</v>
      </c>
      <c r="AB1935" s="0" t="str">
        <f aca="false">IFERROR(INDEX('Mov Entradas (Rel 10497)'!$L:$L,MATCH(AC1935,'Mov Entradas (Rel 10497)'!$I:$I,0)),"nao encontrado")</f>
        <v>TRIGOLAR S/FERM 1KG</v>
      </c>
      <c r="AC1935" s="0" t="n">
        <v>378</v>
      </c>
    </row>
    <row r="1936" customFormat="false" ht="27.75" hidden="false" customHeight="true" outlineLevel="0" collapsed="false">
      <c r="A1936" s="9" t="n">
        <v>2</v>
      </c>
      <c r="B1936" s="10" t="n">
        <v>46274</v>
      </c>
      <c r="C1936" s="10" t="n">
        <v>46275</v>
      </c>
      <c r="D1936" s="9" t="n">
        <v>1176</v>
      </c>
      <c r="E1936" s="11" t="s">
        <v>322</v>
      </c>
      <c r="F1936" s="9" t="n">
        <v>24</v>
      </c>
      <c r="G1936" s="11" t="s">
        <v>51</v>
      </c>
      <c r="H1936" s="9" t="n">
        <v>2110405</v>
      </c>
      <c r="I1936" s="11" t="s">
        <v>56</v>
      </c>
      <c r="J1936" s="9" t="n">
        <v>1702194</v>
      </c>
      <c r="L1936" s="9" t="n">
        <v>233613</v>
      </c>
      <c r="M1936" s="11" t="s">
        <v>52</v>
      </c>
      <c r="N1936" s="11" t="s">
        <v>45</v>
      </c>
      <c r="P1936" s="9" t="n">
        <v>102</v>
      </c>
      <c r="Q1936" s="11" t="s">
        <v>308</v>
      </c>
      <c r="R1936" s="11" t="s">
        <v>323</v>
      </c>
      <c r="S1936" s="9" t="n">
        <v>2110901</v>
      </c>
      <c r="T1936" s="11" t="s">
        <v>324</v>
      </c>
      <c r="U1936" s="12" t="n">
        <v>2344.8</v>
      </c>
      <c r="W1936" s="12" t="n">
        <v>2344.8</v>
      </c>
      <c r="X1936" s="11" t="s">
        <v>1669</v>
      </c>
      <c r="Z1936" s="0" t="str">
        <f aca="false">IF($T1936="","",IFERROR(INDEX('Resumo Grupos'!$AC$3:$AC$200,MATCH($T1936,'Resumo Grupos'!$AB$3:$AB$200,0)),"n/d"))</f>
        <v>Empréstimo</v>
      </c>
      <c r="AA1936" s="0" t="str">
        <f aca="false">IF($T1936="","",IF(COUNTIF('Resumo Grupos'!$AE$3:$AE$40,$T1936)&gt;0,"NAO","SIM"))</f>
        <v>SIM</v>
      </c>
    </row>
    <row r="1937" customFormat="false" ht="45.75" hidden="false" customHeight="true" outlineLevel="0" collapsed="false">
      <c r="A1937" s="9" t="n">
        <v>2</v>
      </c>
      <c r="B1937" s="10" t="n">
        <v>46248</v>
      </c>
      <c r="C1937" s="10" t="n">
        <v>46275</v>
      </c>
      <c r="D1937" s="9" t="n">
        <v>1678</v>
      </c>
      <c r="E1937" s="11" t="s">
        <v>840</v>
      </c>
      <c r="F1937" s="9" t="n">
        <v>24</v>
      </c>
      <c r="G1937" s="11" t="s">
        <v>51</v>
      </c>
      <c r="H1937" s="9" t="n">
        <v>2110405</v>
      </c>
      <c r="I1937" s="11" t="s">
        <v>56</v>
      </c>
      <c r="J1937" s="9" t="n">
        <v>1545805</v>
      </c>
      <c r="L1937" s="9" t="n">
        <v>211100</v>
      </c>
      <c r="M1937" s="11" t="s">
        <v>52</v>
      </c>
      <c r="N1937" s="11" t="s">
        <v>45</v>
      </c>
      <c r="P1937" s="9" t="n">
        <v>113</v>
      </c>
      <c r="Q1937" s="11" t="s">
        <v>46</v>
      </c>
      <c r="R1937" s="11" t="s">
        <v>47</v>
      </c>
      <c r="S1937" s="9" t="n">
        <v>1130101</v>
      </c>
      <c r="T1937" s="11" t="s">
        <v>48</v>
      </c>
      <c r="U1937" s="12" t="n">
        <v>2153.25</v>
      </c>
      <c r="W1937" s="12" t="n">
        <v>2153.25</v>
      </c>
      <c r="X1937" s="11" t="s">
        <v>1670</v>
      </c>
      <c r="Z1937" s="0" t="str">
        <f aca="false">IF($T1937="","",IFERROR(INDEX('Resumo Grupos'!$AC$3:$AC$200,MATCH($T1937,'Resumo Grupos'!$AB$3:$AB$200,0)),"n/d"))</f>
        <v>Mercadoria</v>
      </c>
      <c r="AA1937" s="0" t="str">
        <f aca="false">IF($T1937="","",IF(COUNTIF('Resumo Grupos'!$AE$3:$AE$40,$T1937)&gt;0,"NAO","SIM"))</f>
        <v>SIM</v>
      </c>
      <c r="AB1937" s="0" t="str">
        <f aca="false">IFERROR(INDEX('Mov Entradas (Rel 10497)'!$L:$L,MATCH(AC1937,'Mov Entradas (Rel 10497)'!$I:$I,0)),"nao encontrado")</f>
        <v>AGUA SANI MODALVA 1L</v>
      </c>
      <c r="AC1937" s="0" t="n">
        <v>163912</v>
      </c>
    </row>
    <row r="1938" customFormat="false" ht="45.75" hidden="false" customHeight="true" outlineLevel="0" collapsed="false">
      <c r="A1938" s="9" t="n">
        <v>2</v>
      </c>
      <c r="B1938" s="10" t="n">
        <v>46263</v>
      </c>
      <c r="C1938" s="10" t="n">
        <v>46275</v>
      </c>
      <c r="D1938" s="9" t="n">
        <v>10090</v>
      </c>
      <c r="E1938" s="11" t="s">
        <v>1578</v>
      </c>
      <c r="F1938" s="9" t="n">
        <v>24</v>
      </c>
      <c r="G1938" s="11" t="s">
        <v>51</v>
      </c>
      <c r="H1938" s="9" t="n">
        <v>2110405</v>
      </c>
      <c r="I1938" s="11" t="s">
        <v>56</v>
      </c>
      <c r="J1938" s="9" t="n">
        <v>1618583</v>
      </c>
      <c r="L1938" s="9" t="n">
        <v>221972</v>
      </c>
      <c r="M1938" s="11" t="s">
        <v>52</v>
      </c>
      <c r="N1938" s="11" t="s">
        <v>45</v>
      </c>
      <c r="P1938" s="9" t="n">
        <v>113</v>
      </c>
      <c r="Q1938" s="11" t="s">
        <v>46</v>
      </c>
      <c r="R1938" s="11" t="s">
        <v>47</v>
      </c>
      <c r="S1938" s="9" t="n">
        <v>1130101</v>
      </c>
      <c r="T1938" s="11" t="s">
        <v>48</v>
      </c>
      <c r="U1938" s="12" t="n">
        <v>1012.43</v>
      </c>
      <c r="W1938" s="12" t="n">
        <v>1012.43</v>
      </c>
      <c r="X1938" s="11" t="s">
        <v>447</v>
      </c>
      <c r="Z1938" s="0" t="str">
        <f aca="false">IF($T1938="","",IFERROR(INDEX('Resumo Grupos'!$AC$3:$AC$200,MATCH($T1938,'Resumo Grupos'!$AB$3:$AB$200,0)),"n/d"))</f>
        <v>Mercadoria</v>
      </c>
      <c r="AA1938" s="0" t="str">
        <f aca="false">IF($T1938="","",IF(COUNTIF('Resumo Grupos'!$AE$3:$AE$40,$T1938)&gt;0,"NAO","SIM"))</f>
        <v>SIM</v>
      </c>
      <c r="AB1938" s="0" t="str">
        <f aca="false">IFERROR(INDEX('Mov Entradas (Rel 10497)'!$L:$L,MATCH(AC1938,'Mov Entradas (Rel 10497)'!$I:$I,0)),"nao encontrado")</f>
        <v>OVOS BRANCO UNID</v>
      </c>
      <c r="AC1938" s="0" t="n">
        <v>299</v>
      </c>
    </row>
    <row r="1939" customFormat="false" ht="45.75" hidden="false" customHeight="true" outlineLevel="0" collapsed="false">
      <c r="A1939" s="9" t="n">
        <v>2</v>
      </c>
      <c r="B1939" s="10" t="n">
        <v>46261</v>
      </c>
      <c r="C1939" s="10" t="n">
        <v>46275</v>
      </c>
      <c r="D1939" s="9" t="n">
        <v>1706</v>
      </c>
      <c r="E1939" s="11" t="s">
        <v>1671</v>
      </c>
      <c r="F1939" s="9" t="n">
        <v>24</v>
      </c>
      <c r="G1939" s="11" t="s">
        <v>51</v>
      </c>
      <c r="H1939" s="9" t="n">
        <v>2110405</v>
      </c>
      <c r="I1939" s="11" t="s">
        <v>56</v>
      </c>
      <c r="J1939" s="9" t="n">
        <v>1608551</v>
      </c>
      <c r="L1939" s="9" t="n">
        <v>220369</v>
      </c>
      <c r="M1939" s="11" t="s">
        <v>52</v>
      </c>
      <c r="N1939" s="11" t="s">
        <v>45</v>
      </c>
      <c r="P1939" s="9" t="n">
        <v>113</v>
      </c>
      <c r="Q1939" s="11" t="s">
        <v>46</v>
      </c>
      <c r="R1939" s="11" t="s">
        <v>47</v>
      </c>
      <c r="S1939" s="9" t="n">
        <v>1130101</v>
      </c>
      <c r="T1939" s="11" t="s">
        <v>48</v>
      </c>
      <c r="U1939" s="12" t="n">
        <v>805.4</v>
      </c>
      <c r="W1939" s="12" t="n">
        <v>805.4</v>
      </c>
      <c r="X1939" s="11" t="s">
        <v>1672</v>
      </c>
      <c r="Z1939" s="0" t="str">
        <f aca="false">IF($T1939="","",IFERROR(INDEX('Resumo Grupos'!$AC$3:$AC$200,MATCH($T1939,'Resumo Grupos'!$AB$3:$AB$200,0)),"n/d"))</f>
        <v>Mercadoria</v>
      </c>
      <c r="AA1939" s="0" t="str">
        <f aca="false">IF($T1939="","",IF(COUNTIF('Resumo Grupos'!$AE$3:$AE$40,$T1939)&gt;0,"NAO","SIM"))</f>
        <v>SIM</v>
      </c>
      <c r="AB1939" s="0" t="str">
        <f aca="false">IFERROR(INDEX('Mov Entradas (Rel 10497)'!$L:$L,MATCH(AC1939,'Mov Entradas (Rel 10497)'!$I:$I,0)),"nao encontrado")</f>
        <v>BATATA PRINGLES ORIGINAL 104G</v>
      </c>
      <c r="AC1939" s="0" t="n">
        <v>206697</v>
      </c>
    </row>
    <row r="1940" customFormat="false" ht="54.75" hidden="false" customHeight="true" outlineLevel="0" collapsed="false">
      <c r="A1940" s="9" t="n">
        <v>2</v>
      </c>
      <c r="B1940" s="10" t="n">
        <v>46251</v>
      </c>
      <c r="C1940" s="10" t="n">
        <v>46275</v>
      </c>
      <c r="D1940" s="9" t="n">
        <v>1637</v>
      </c>
      <c r="E1940" s="11" t="s">
        <v>871</v>
      </c>
      <c r="F1940" s="9" t="n">
        <v>24</v>
      </c>
      <c r="G1940" s="11" t="s">
        <v>51</v>
      </c>
      <c r="H1940" s="9" t="n">
        <v>2110405</v>
      </c>
      <c r="I1940" s="11" t="s">
        <v>56</v>
      </c>
      <c r="J1940" s="9" t="n">
        <v>1561330</v>
      </c>
      <c r="L1940" s="9" t="n">
        <v>213017</v>
      </c>
      <c r="M1940" s="11" t="s">
        <v>52</v>
      </c>
      <c r="N1940" s="11" t="s">
        <v>45</v>
      </c>
      <c r="P1940" s="9" t="n">
        <v>113</v>
      </c>
      <c r="Q1940" s="11" t="s">
        <v>46</v>
      </c>
      <c r="R1940" s="11" t="s">
        <v>47</v>
      </c>
      <c r="S1940" s="9" t="n">
        <v>1130101</v>
      </c>
      <c r="T1940" s="11" t="s">
        <v>48</v>
      </c>
      <c r="U1940" s="12" t="n">
        <v>561.84</v>
      </c>
      <c r="W1940" s="12" t="n">
        <v>561.84</v>
      </c>
      <c r="X1940" s="11" t="s">
        <v>1673</v>
      </c>
      <c r="Z1940" s="0" t="str">
        <f aca="false">IF($T1940="","",IFERROR(INDEX('Resumo Grupos'!$AC$3:$AC$200,MATCH($T1940,'Resumo Grupos'!$AB$3:$AB$200,0)),"n/d"))</f>
        <v>Mercadoria</v>
      </c>
      <c r="AA1940" s="0" t="str">
        <f aca="false">IF($T1940="","",IF(COUNTIF('Resumo Grupos'!$AE$3:$AE$40,$T1940)&gt;0,"NAO","SIM"))</f>
        <v>SIM</v>
      </c>
      <c r="AB1940" s="0" t="str">
        <f aca="false">IFERROR(INDEX('Mov Entradas (Rel 10497)'!$L:$L,MATCH(AC1940,'Mov Entradas (Rel 10497)'!$I:$I,0)),"nao encontrado")</f>
        <v>SALSICHA VIENA TARGET 300G</v>
      </c>
      <c r="AC1940" s="0" t="n">
        <v>1919900</v>
      </c>
    </row>
    <row r="1941" customFormat="false" ht="45.75" hidden="false" customHeight="true" outlineLevel="0" collapsed="false">
      <c r="A1941" s="9" t="n">
        <v>2</v>
      </c>
      <c r="B1941" s="10" t="n">
        <v>46262</v>
      </c>
      <c r="C1941" s="10" t="n">
        <v>46275</v>
      </c>
      <c r="D1941" s="9" t="n">
        <v>1695</v>
      </c>
      <c r="E1941" s="11" t="s">
        <v>390</v>
      </c>
      <c r="F1941" s="9" t="n">
        <v>24</v>
      </c>
      <c r="G1941" s="11" t="s">
        <v>51</v>
      </c>
      <c r="H1941" s="9" t="n">
        <v>2110405</v>
      </c>
      <c r="I1941" s="11" t="s">
        <v>56</v>
      </c>
      <c r="J1941" s="9" t="n">
        <v>1613806</v>
      </c>
      <c r="L1941" s="9" t="n">
        <v>221286</v>
      </c>
      <c r="M1941" s="11" t="s">
        <v>52</v>
      </c>
      <c r="N1941" s="11" t="s">
        <v>45</v>
      </c>
      <c r="P1941" s="9" t="n">
        <v>113</v>
      </c>
      <c r="Q1941" s="11" t="s">
        <v>46</v>
      </c>
      <c r="R1941" s="11" t="s">
        <v>47</v>
      </c>
      <c r="S1941" s="9" t="n">
        <v>1130101</v>
      </c>
      <c r="T1941" s="11" t="s">
        <v>48</v>
      </c>
      <c r="U1941" s="12" t="n">
        <v>1063.84</v>
      </c>
      <c r="W1941" s="12" t="n">
        <v>1063.84</v>
      </c>
      <c r="X1941" s="11" t="s">
        <v>1579</v>
      </c>
      <c r="Z1941" s="0" t="str">
        <f aca="false">IF($T1941="","",IFERROR(INDEX('Resumo Grupos'!$AC$3:$AC$200,MATCH($T1941,'Resumo Grupos'!$AB$3:$AB$200,0)),"n/d"))</f>
        <v>Mercadoria</v>
      </c>
      <c r="AA1941" s="0" t="str">
        <f aca="false">IF($T1941="","",IF(COUNTIF('Resumo Grupos'!$AE$3:$AE$40,$T1941)&gt;0,"NAO","SIM"))</f>
        <v>SIM</v>
      </c>
      <c r="AB1941" s="0" t="str">
        <f aca="false">IFERROR(INDEX('Mov Entradas (Rel 10497)'!$L:$L,MATCH(AC1941,'Mov Entradas (Rel 10497)'!$I:$I,0)),"nao encontrado")</f>
        <v>CAFE KIMINO 250G</v>
      </c>
      <c r="AC1941" s="0" t="n">
        <v>20104</v>
      </c>
    </row>
    <row r="1942" customFormat="false" ht="45.75" hidden="false" customHeight="true" outlineLevel="0" collapsed="false">
      <c r="A1942" s="9" t="n">
        <v>2</v>
      </c>
      <c r="B1942" s="10" t="n">
        <v>46224</v>
      </c>
      <c r="C1942" s="10" t="n">
        <v>46275</v>
      </c>
      <c r="D1942" s="9" t="n">
        <v>1100</v>
      </c>
      <c r="E1942" s="11" t="s">
        <v>327</v>
      </c>
      <c r="F1942" s="9" t="n">
        <v>46</v>
      </c>
      <c r="G1942" s="11" t="s">
        <v>319</v>
      </c>
      <c r="H1942" s="9" t="n">
        <v>2110405</v>
      </c>
      <c r="I1942" s="11" t="s">
        <v>56</v>
      </c>
      <c r="J1942" s="9" t="n">
        <v>1427624</v>
      </c>
      <c r="L1942" s="9" t="n">
        <v>190916</v>
      </c>
      <c r="M1942" s="11" t="s">
        <v>44</v>
      </c>
      <c r="N1942" s="11" t="s">
        <v>45</v>
      </c>
      <c r="P1942" s="9" t="n">
        <v>113</v>
      </c>
      <c r="Q1942" s="11" t="s">
        <v>46</v>
      </c>
      <c r="R1942" s="11" t="s">
        <v>39</v>
      </c>
      <c r="S1942" s="9" t="n">
        <v>4210227</v>
      </c>
      <c r="T1942" s="11" t="s">
        <v>68</v>
      </c>
      <c r="U1942" s="12" t="n">
        <v>266.68</v>
      </c>
      <c r="W1942" s="12" t="n">
        <v>266.68</v>
      </c>
      <c r="X1942" s="11" t="s">
        <v>1674</v>
      </c>
      <c r="Z1942" s="0" t="str">
        <f aca="false">IF($T1942="","",IFERROR(INDEX('Resumo Grupos'!$AC$3:$AC$200,MATCH($T1942,'Resumo Grupos'!$AB$3:$AB$200,0)),"n/d"))</f>
        <v>Despesa</v>
      </c>
      <c r="AA1942" s="0" t="str">
        <f aca="false">IF($T1942="","",IF(COUNTIF('Resumo Grupos'!$AE$3:$AE$40,$T1942)&gt;0,"NAO","SIM"))</f>
        <v>SIM</v>
      </c>
      <c r="AB1942" s="0" t="str">
        <f aca="false">IFERROR(INDEX('Mov Entradas (Rel 10497)'!$L:$L,MATCH(AC1942,'Mov Entradas (Rel 10497)'!$I:$I,0)),"nao encontrado")</f>
        <v>MEMORIA HIKSEMI HIKER 8GB DDR4 3200 - HS</v>
      </c>
      <c r="AC1942" s="0" t="n">
        <v>9481</v>
      </c>
    </row>
    <row r="1943" customFormat="false" ht="45.75" hidden="false" customHeight="true" outlineLevel="0" collapsed="false">
      <c r="A1943" s="9" t="n">
        <v>2</v>
      </c>
      <c r="B1943" s="10" t="n">
        <v>46255</v>
      </c>
      <c r="C1943" s="10" t="n">
        <v>46275</v>
      </c>
      <c r="D1943" s="9" t="n">
        <v>1758</v>
      </c>
      <c r="E1943" s="11" t="s">
        <v>478</v>
      </c>
      <c r="F1943" s="9" t="n">
        <v>46</v>
      </c>
      <c r="G1943" s="11" t="s">
        <v>319</v>
      </c>
      <c r="H1943" s="9" t="n">
        <v>2110405</v>
      </c>
      <c r="I1943" s="11" t="s">
        <v>56</v>
      </c>
      <c r="J1943" s="9" t="n">
        <v>1681758</v>
      </c>
      <c r="L1943" s="9" t="n">
        <v>230766</v>
      </c>
      <c r="M1943" s="11" t="s">
        <v>52</v>
      </c>
      <c r="N1943" s="11" t="s">
        <v>45</v>
      </c>
      <c r="P1943" s="9" t="n">
        <v>101</v>
      </c>
      <c r="Q1943" s="11" t="s">
        <v>57</v>
      </c>
      <c r="R1943" s="11" t="s">
        <v>39</v>
      </c>
      <c r="S1943" s="9" t="n">
        <v>4210227</v>
      </c>
      <c r="T1943" s="11" t="s">
        <v>68</v>
      </c>
      <c r="U1943" s="12" t="n">
        <v>84</v>
      </c>
      <c r="W1943" s="12" t="n">
        <v>84</v>
      </c>
      <c r="X1943" s="11" t="s">
        <v>1675</v>
      </c>
      <c r="Z1943" s="0" t="str">
        <f aca="false">IF($T1943="","",IFERROR(INDEX('Resumo Grupos'!$AC$3:$AC$200,MATCH($T1943,'Resumo Grupos'!$AB$3:$AB$200,0)),"n/d"))</f>
        <v>Despesa</v>
      </c>
      <c r="AA1943" s="0" t="str">
        <f aca="false">IF($T1943="","",IF(COUNTIF('Resumo Grupos'!$AE$3:$AE$40,$T1943)&gt;0,"NAO","SIM"))</f>
        <v>SIM</v>
      </c>
    </row>
    <row r="1944" customFormat="false" ht="36.75" hidden="false" customHeight="true" outlineLevel="0" collapsed="false">
      <c r="A1944" s="9" t="n">
        <v>2</v>
      </c>
      <c r="B1944" s="10" t="n">
        <v>46247</v>
      </c>
      <c r="C1944" s="10" t="n">
        <v>46275</v>
      </c>
      <c r="D1944" s="9" t="n">
        <v>1608</v>
      </c>
      <c r="E1944" s="11" t="s">
        <v>240</v>
      </c>
      <c r="F1944" s="9" t="n">
        <v>24</v>
      </c>
      <c r="G1944" s="11" t="s">
        <v>51</v>
      </c>
      <c r="H1944" s="9" t="n">
        <v>2110405</v>
      </c>
      <c r="I1944" s="11" t="s">
        <v>56</v>
      </c>
      <c r="J1944" s="9" t="n">
        <v>1540769</v>
      </c>
      <c r="L1944" s="9" t="n">
        <v>210180</v>
      </c>
      <c r="M1944" s="11" t="s">
        <v>52</v>
      </c>
      <c r="N1944" s="11" t="s">
        <v>45</v>
      </c>
      <c r="P1944" s="9" t="n">
        <v>113</v>
      </c>
      <c r="Q1944" s="11" t="s">
        <v>46</v>
      </c>
      <c r="R1944" s="11" t="s">
        <v>47</v>
      </c>
      <c r="S1944" s="9" t="n">
        <v>1130101</v>
      </c>
      <c r="T1944" s="11" t="s">
        <v>48</v>
      </c>
      <c r="U1944" s="12" t="n">
        <v>692.26</v>
      </c>
      <c r="W1944" s="12" t="n">
        <v>692.26</v>
      </c>
      <c r="X1944" s="11" t="s">
        <v>1461</v>
      </c>
      <c r="Z1944" s="0" t="str">
        <f aca="false">IF($T1944="","",IFERROR(INDEX('Resumo Grupos'!$AC$3:$AC$200,MATCH($T1944,'Resumo Grupos'!$AB$3:$AB$200,0)),"n/d"))</f>
        <v>Mercadoria</v>
      </c>
      <c r="AA1944" s="0" t="str">
        <f aca="false">IF($T1944="","",IF(COUNTIF('Resumo Grupos'!$AE$3:$AE$40,$T1944)&gt;0,"NAO","SIM"))</f>
        <v>SIM</v>
      </c>
      <c r="AB1944" s="0" t="str">
        <f aca="false">IFERROR(INDEX('Mov Entradas (Rel 10497)'!$L:$L,MATCH(AC1944,'Mov Entradas (Rel 10497)'!$I:$I,0)),"nao encontrado")</f>
        <v>SAZON CALDO CARNE 32</v>
      </c>
      <c r="AC1944" s="0" t="n">
        <v>1710665</v>
      </c>
    </row>
    <row r="1945" customFormat="false" ht="54.75" hidden="false" customHeight="true" outlineLevel="0" collapsed="false">
      <c r="A1945" s="9" t="n">
        <v>2</v>
      </c>
      <c r="B1945" s="10" t="n">
        <v>46191</v>
      </c>
      <c r="C1945" s="10" t="n">
        <v>46275</v>
      </c>
      <c r="D1945" s="9" t="n">
        <v>957</v>
      </c>
      <c r="E1945" s="11" t="s">
        <v>628</v>
      </c>
      <c r="F1945" s="9" t="n">
        <v>24</v>
      </c>
      <c r="G1945" s="11" t="s">
        <v>51</v>
      </c>
      <c r="H1945" s="9" t="n">
        <v>2110101</v>
      </c>
      <c r="I1945" s="11" t="s">
        <v>43</v>
      </c>
      <c r="J1945" s="9" t="n">
        <v>1268715</v>
      </c>
      <c r="L1945" s="9" t="n">
        <v>20440</v>
      </c>
      <c r="M1945" s="11" t="s">
        <v>52</v>
      </c>
      <c r="N1945" s="11" t="s">
        <v>37</v>
      </c>
      <c r="P1945" s="9" t="n">
        <v>113</v>
      </c>
      <c r="Q1945" s="11" t="s">
        <v>46</v>
      </c>
      <c r="R1945" s="11" t="s">
        <v>47</v>
      </c>
      <c r="S1945" s="9" t="n">
        <v>1130101</v>
      </c>
      <c r="T1945" s="11" t="s">
        <v>48</v>
      </c>
      <c r="U1945" s="12" t="n">
        <v>128.85</v>
      </c>
      <c r="W1945" s="12" t="n">
        <v>128.85</v>
      </c>
      <c r="X1945" s="11" t="s">
        <v>1676</v>
      </c>
      <c r="Z1945" s="0" t="str">
        <f aca="false">IF($T1945="","",IFERROR(INDEX('Resumo Grupos'!$AC$3:$AC$200,MATCH($T1945,'Resumo Grupos'!$AB$3:$AB$200,0)),"n/d"))</f>
        <v>Mercadoria</v>
      </c>
      <c r="AA1945" s="0" t="str">
        <f aca="false">IF($T1945="","",IF(COUNTIF('Resumo Grupos'!$AE$3:$AE$40,$T1945)&gt;0,"NAO","SIM"))</f>
        <v>SIM</v>
      </c>
      <c r="AB1945" s="0" t="str">
        <f aca="false">IFERROR(INDEX('Mov Entradas (Rel 10497)'!$L:$L,MATCH(AC1945,'Mov Entradas (Rel 10497)'!$I:$I,0)),"nao encontrado")</f>
        <v>PETISCOS GATO DREAMIES 40G</v>
      </c>
      <c r="AC1945" s="0" t="n">
        <v>20440</v>
      </c>
    </row>
    <row r="1946" customFormat="false" ht="45.75" hidden="false" customHeight="true" outlineLevel="0" collapsed="false">
      <c r="A1946" s="9" t="n">
        <v>2</v>
      </c>
      <c r="B1946" s="10" t="n">
        <v>46261</v>
      </c>
      <c r="C1946" s="10" t="n">
        <v>46275</v>
      </c>
      <c r="D1946" s="9" t="n">
        <v>1270</v>
      </c>
      <c r="E1946" s="11" t="s">
        <v>925</v>
      </c>
      <c r="F1946" s="9" t="n">
        <v>24</v>
      </c>
      <c r="G1946" s="11" t="s">
        <v>51</v>
      </c>
      <c r="H1946" s="9" t="n">
        <v>2110405</v>
      </c>
      <c r="I1946" s="11" t="s">
        <v>56</v>
      </c>
      <c r="J1946" s="9" t="n">
        <v>1609996</v>
      </c>
      <c r="L1946" s="9" t="n">
        <v>220684</v>
      </c>
      <c r="M1946" s="11" t="s">
        <v>52</v>
      </c>
      <c r="N1946" s="11" t="s">
        <v>45</v>
      </c>
      <c r="P1946" s="9" t="n">
        <v>113</v>
      </c>
      <c r="Q1946" s="11" t="s">
        <v>46</v>
      </c>
      <c r="R1946" s="11" t="s">
        <v>47</v>
      </c>
      <c r="S1946" s="9" t="n">
        <v>1130101</v>
      </c>
      <c r="T1946" s="11" t="s">
        <v>48</v>
      </c>
      <c r="U1946" s="12" t="n">
        <v>190</v>
      </c>
      <c r="W1946" s="12" t="n">
        <v>190</v>
      </c>
      <c r="X1946" s="11" t="s">
        <v>1677</v>
      </c>
      <c r="Z1946" s="0" t="str">
        <f aca="false">IF($T1946="","",IFERROR(INDEX('Resumo Grupos'!$AC$3:$AC$200,MATCH($T1946,'Resumo Grupos'!$AB$3:$AB$200,0)),"n/d"))</f>
        <v>Mercadoria</v>
      </c>
      <c r="AA1946" s="0" t="str">
        <f aca="false">IF($T1946="","",IF(COUNTIF('Resumo Grupos'!$AE$3:$AE$40,$T1946)&gt;0,"NAO","SIM"))</f>
        <v>SIM</v>
      </c>
      <c r="AB1946" s="0" t="str">
        <f aca="false">IFERROR(INDEX('Mov Entradas (Rel 10497)'!$L:$L,MATCH(AC1946,'Mov Entradas (Rel 10497)'!$I:$I,0)),"nao encontrado")</f>
        <v>PASTA DE ALHO 200G</v>
      </c>
      <c r="AC1946" s="0" t="n">
        <v>2859</v>
      </c>
    </row>
    <row r="1947" customFormat="false" ht="27.75" hidden="false" customHeight="true" outlineLevel="0" collapsed="false">
      <c r="A1947" s="9" t="n">
        <v>2</v>
      </c>
      <c r="B1947" s="10" t="n">
        <v>46268</v>
      </c>
      <c r="C1947" s="10" t="n">
        <v>46275</v>
      </c>
      <c r="D1947" s="9" t="n">
        <v>1363</v>
      </c>
      <c r="E1947" s="11" t="s">
        <v>174</v>
      </c>
      <c r="F1947" s="9" t="n">
        <v>24</v>
      </c>
      <c r="G1947" s="11" t="s">
        <v>51</v>
      </c>
      <c r="H1947" s="9" t="n">
        <v>2110405</v>
      </c>
      <c r="I1947" s="11" t="s">
        <v>56</v>
      </c>
      <c r="J1947" s="9" t="n">
        <v>1647846</v>
      </c>
      <c r="L1947" s="9" t="n">
        <v>226313</v>
      </c>
      <c r="M1947" s="11" t="s">
        <v>52</v>
      </c>
      <c r="N1947" s="11" t="s">
        <v>45</v>
      </c>
      <c r="P1947" s="9" t="n">
        <v>113</v>
      </c>
      <c r="Q1947" s="11" t="s">
        <v>46</v>
      </c>
      <c r="R1947" s="11" t="s">
        <v>47</v>
      </c>
      <c r="S1947" s="9" t="n">
        <v>1130101</v>
      </c>
      <c r="T1947" s="11" t="s">
        <v>48</v>
      </c>
      <c r="U1947" s="12" t="n">
        <v>125</v>
      </c>
      <c r="W1947" s="12" t="n">
        <v>125</v>
      </c>
      <c r="X1947" s="11" t="s">
        <v>1678</v>
      </c>
      <c r="Z1947" s="0" t="str">
        <f aca="false">IF($T1947="","",IFERROR(INDEX('Resumo Grupos'!$AC$3:$AC$200,MATCH($T1947,'Resumo Grupos'!$AB$3:$AB$200,0)),"n/d"))</f>
        <v>Mercadoria</v>
      </c>
      <c r="AA1947" s="0" t="str">
        <f aca="false">IF($T1947="","",IF(COUNTIF('Resumo Grupos'!$AE$3:$AE$40,$T1947)&gt;0,"NAO","SIM"))</f>
        <v>SIM</v>
      </c>
      <c r="AB1947" s="0" t="str">
        <f aca="false">IFERROR(INDEX('Mov Entradas (Rel 10497)'!$L:$L,MATCH(AC1947,'Mov Entradas (Rel 10497)'!$I:$I,0)),"nao encontrado")</f>
        <v>PAO BOLINHA SANTO PAO</v>
      </c>
      <c r="AC1947" s="0" t="n">
        <v>3867</v>
      </c>
    </row>
    <row r="1948" customFormat="false" ht="45.75" hidden="false" customHeight="true" outlineLevel="0" collapsed="false">
      <c r="A1948" s="9" t="n">
        <v>2</v>
      </c>
      <c r="B1948" s="10" t="n">
        <v>46256</v>
      </c>
      <c r="C1948" s="10" t="n">
        <v>46275</v>
      </c>
      <c r="D1948" s="9" t="n">
        <v>10106</v>
      </c>
      <c r="E1948" s="11" t="s">
        <v>1679</v>
      </c>
      <c r="F1948" s="9" t="n">
        <v>46</v>
      </c>
      <c r="G1948" s="11" t="s">
        <v>319</v>
      </c>
      <c r="H1948" s="9" t="n">
        <v>2110405</v>
      </c>
      <c r="I1948" s="11" t="s">
        <v>56</v>
      </c>
      <c r="J1948" s="9" t="n">
        <v>1585437</v>
      </c>
      <c r="L1948" s="9" t="n">
        <v>216905</v>
      </c>
      <c r="M1948" s="11" t="s">
        <v>52</v>
      </c>
      <c r="N1948" s="11" t="s">
        <v>45</v>
      </c>
      <c r="P1948" s="9" t="n">
        <v>113</v>
      </c>
      <c r="Q1948" s="11" t="s">
        <v>46</v>
      </c>
      <c r="R1948" s="11" t="s">
        <v>39</v>
      </c>
      <c r="S1948" s="9" t="n">
        <v>4210229</v>
      </c>
      <c r="T1948" s="11" t="s">
        <v>1091</v>
      </c>
      <c r="U1948" s="12" t="n">
        <v>101.9</v>
      </c>
      <c r="W1948" s="12" t="n">
        <v>101.9</v>
      </c>
      <c r="X1948" s="11" t="s">
        <v>1680</v>
      </c>
      <c r="Z1948" s="0" t="str">
        <f aca="false">IF($T1948="","",IFERROR(INDEX('Resumo Grupos'!$AC$3:$AC$200,MATCH($T1948,'Resumo Grupos'!$AB$3:$AB$200,0)),"n/d"))</f>
        <v>Despesa</v>
      </c>
      <c r="AA1948" s="0" t="str">
        <f aca="false">IF($T1948="","",IF(COUNTIF('Resumo Grupos'!$AE$3:$AE$40,$T1948)&gt;0,"NAO","SIM"))</f>
        <v>SIM</v>
      </c>
    </row>
    <row r="1949" customFormat="false" ht="54.75" hidden="false" customHeight="true" outlineLevel="0" collapsed="false">
      <c r="A1949" s="9" t="n">
        <v>2</v>
      </c>
      <c r="B1949" s="10" t="n">
        <v>46260</v>
      </c>
      <c r="C1949" s="10" t="n">
        <v>46275</v>
      </c>
      <c r="D1949" s="9" t="n">
        <v>1672</v>
      </c>
      <c r="E1949" s="11" t="s">
        <v>343</v>
      </c>
      <c r="F1949" s="9" t="n">
        <v>24</v>
      </c>
      <c r="G1949" s="11" t="s">
        <v>51</v>
      </c>
      <c r="H1949" s="9" t="n">
        <v>2110405</v>
      </c>
      <c r="I1949" s="11" t="s">
        <v>56</v>
      </c>
      <c r="J1949" s="9" t="n">
        <v>1605100</v>
      </c>
      <c r="L1949" s="9" t="n">
        <v>219899</v>
      </c>
      <c r="M1949" s="11" t="s">
        <v>52</v>
      </c>
      <c r="N1949" s="11" t="s">
        <v>45</v>
      </c>
      <c r="P1949" s="9" t="n">
        <v>113</v>
      </c>
      <c r="Q1949" s="11" t="s">
        <v>46</v>
      </c>
      <c r="R1949" s="11" t="s">
        <v>47</v>
      </c>
      <c r="S1949" s="9" t="n">
        <v>1130101</v>
      </c>
      <c r="T1949" s="11" t="s">
        <v>48</v>
      </c>
      <c r="U1949" s="12" t="n">
        <v>1515.2</v>
      </c>
      <c r="W1949" s="12" t="n">
        <v>1515.2</v>
      </c>
      <c r="X1949" s="11" t="s">
        <v>1681</v>
      </c>
      <c r="Z1949" s="0" t="str">
        <f aca="false">IF($T1949="","",IFERROR(INDEX('Resumo Grupos'!$AC$3:$AC$200,MATCH($T1949,'Resumo Grupos'!$AB$3:$AB$200,0)),"n/d"))</f>
        <v>Mercadoria</v>
      </c>
      <c r="AA1949" s="0" t="str">
        <f aca="false">IF($T1949="","",IF(COUNTIF('Resumo Grupos'!$AE$3:$AE$40,$T1949)&gt;0,"NAO","SIM"))</f>
        <v>SIM</v>
      </c>
      <c r="AB1949" s="0" t="str">
        <f aca="false">IFERROR(INDEX('Mov Entradas (Rel 10497)'!$L:$L,MATCH(AC1949,'Mov Entradas (Rel 10497)'!$I:$I,0)),"nao encontrado")</f>
        <v>AGUA MINE YARA 350ML</v>
      </c>
      <c r="AC1949" s="0" t="n">
        <v>1430146</v>
      </c>
    </row>
    <row r="1950" customFormat="false" ht="45.75" hidden="false" customHeight="true" outlineLevel="0" collapsed="false">
      <c r="A1950" s="9" t="n">
        <v>2</v>
      </c>
      <c r="B1950" s="10" t="n">
        <v>46269</v>
      </c>
      <c r="C1950" s="10" t="n">
        <v>46275</v>
      </c>
      <c r="D1950" s="9" t="n">
        <v>1625</v>
      </c>
      <c r="E1950" s="11" t="s">
        <v>270</v>
      </c>
      <c r="F1950" s="9" t="n">
        <v>24</v>
      </c>
      <c r="G1950" s="11" t="s">
        <v>51</v>
      </c>
      <c r="H1950" s="9" t="n">
        <v>2110405</v>
      </c>
      <c r="I1950" s="11" t="s">
        <v>56</v>
      </c>
      <c r="J1950" s="9" t="n">
        <v>1653478</v>
      </c>
      <c r="L1950" s="9" t="n">
        <v>227162</v>
      </c>
      <c r="M1950" s="11" t="s">
        <v>52</v>
      </c>
      <c r="N1950" s="11" t="s">
        <v>45</v>
      </c>
      <c r="P1950" s="9" t="n">
        <v>113</v>
      </c>
      <c r="Q1950" s="11" t="s">
        <v>46</v>
      </c>
      <c r="R1950" s="11" t="s">
        <v>47</v>
      </c>
      <c r="S1950" s="9" t="n">
        <v>1130101</v>
      </c>
      <c r="T1950" s="11" t="s">
        <v>48</v>
      </c>
      <c r="U1950" s="12" t="n">
        <v>4057.6</v>
      </c>
      <c r="W1950" s="12" t="n">
        <v>4057.6</v>
      </c>
      <c r="X1950" s="11" t="s">
        <v>1682</v>
      </c>
      <c r="Z1950" s="0" t="str">
        <f aca="false">IF($T1950="","",IFERROR(INDEX('Resumo Grupos'!$AC$3:$AC$200,MATCH($T1950,'Resumo Grupos'!$AB$3:$AB$200,0)),"n/d"))</f>
        <v>Mercadoria</v>
      </c>
      <c r="AA1950" s="0" t="str">
        <f aca="false">IF($T1950="","",IF(COUNTIF('Resumo Grupos'!$AE$3:$AE$40,$T1950)&gt;0,"NAO","SIM"))</f>
        <v>SIM</v>
      </c>
      <c r="AB1950" s="0" t="str">
        <f aca="false">IFERROR(INDEX('Mov Entradas (Rel 10497)'!$L:$L,MATCH(AC1950,'Mov Entradas (Rel 10497)'!$I:$I,0)),"nao encontrado")</f>
        <v>TRASEIRO DE BOI L1</v>
      </c>
      <c r="AC1950" s="0" t="n">
        <v>15256</v>
      </c>
    </row>
    <row r="1951" customFormat="false" ht="45.75" hidden="false" customHeight="true" outlineLevel="0" collapsed="false">
      <c r="A1951" s="9" t="n">
        <v>2</v>
      </c>
      <c r="B1951" s="10" t="n">
        <v>46230</v>
      </c>
      <c r="C1951" s="10" t="n">
        <v>46275</v>
      </c>
      <c r="D1951" s="9" t="n">
        <v>513</v>
      </c>
      <c r="E1951" s="11" t="s">
        <v>346</v>
      </c>
      <c r="F1951" s="9" t="n">
        <v>24</v>
      </c>
      <c r="G1951" s="11" t="s">
        <v>51</v>
      </c>
      <c r="H1951" s="9" t="n">
        <v>2110405</v>
      </c>
      <c r="I1951" s="11" t="s">
        <v>56</v>
      </c>
      <c r="J1951" s="9" t="n">
        <v>1459285</v>
      </c>
      <c r="L1951" s="9" t="n">
        <v>197498</v>
      </c>
      <c r="M1951" s="11" t="s">
        <v>44</v>
      </c>
      <c r="N1951" s="11" t="s">
        <v>45</v>
      </c>
      <c r="P1951" s="9" t="n">
        <v>101</v>
      </c>
      <c r="Q1951" s="11" t="s">
        <v>57</v>
      </c>
      <c r="R1951" s="11" t="s">
        <v>71</v>
      </c>
      <c r="S1951" s="9" t="n">
        <v>4210315</v>
      </c>
      <c r="T1951" s="11" t="s">
        <v>279</v>
      </c>
      <c r="U1951" s="12" t="n">
        <v>167</v>
      </c>
      <c r="W1951" s="12" t="n">
        <v>167</v>
      </c>
      <c r="X1951" s="11" t="s">
        <v>803</v>
      </c>
      <c r="Z1951" s="0" t="str">
        <f aca="false">IF($T1951="","",IFERROR(INDEX('Resumo Grupos'!$AC$3:$AC$200,MATCH($T1951,'Resumo Grupos'!$AB$3:$AB$200,0)),"n/d"))</f>
        <v>Despesa</v>
      </c>
      <c r="AA1951" s="0" t="str">
        <f aca="false">IF($T1951="","",IF(COUNTIF('Resumo Grupos'!$AE$3:$AE$40,$T1951)&gt;0,"NAO","SIM"))</f>
        <v>SIM</v>
      </c>
    </row>
    <row r="1952" customFormat="false" ht="45.75" hidden="false" customHeight="true" outlineLevel="0" collapsed="false">
      <c r="A1952" s="9" t="n">
        <v>2</v>
      </c>
      <c r="B1952" s="10" t="n">
        <v>46275</v>
      </c>
      <c r="C1952" s="10" t="n">
        <v>46275</v>
      </c>
      <c r="D1952" s="9" t="n">
        <v>48</v>
      </c>
      <c r="E1952" s="11" t="s">
        <v>153</v>
      </c>
      <c r="F1952" s="9" t="n">
        <v>13</v>
      </c>
      <c r="G1952" s="11" t="s">
        <v>135</v>
      </c>
      <c r="H1952" s="9" t="n">
        <v>2110101</v>
      </c>
      <c r="I1952" s="11" t="s">
        <v>43</v>
      </c>
      <c r="J1952" s="9" t="n">
        <v>1682333</v>
      </c>
      <c r="L1952" s="9" t="n">
        <v>2667</v>
      </c>
      <c r="M1952" s="11" t="s">
        <v>52</v>
      </c>
      <c r="N1952" s="11" t="s">
        <v>37</v>
      </c>
      <c r="P1952" s="9" t="n">
        <v>113</v>
      </c>
      <c r="Q1952" s="11" t="s">
        <v>46</v>
      </c>
      <c r="R1952" s="11" t="s">
        <v>47</v>
      </c>
      <c r="S1952" s="9" t="n">
        <v>1130101</v>
      </c>
      <c r="T1952" s="11" t="s">
        <v>48</v>
      </c>
      <c r="U1952" s="12" t="n">
        <v>300</v>
      </c>
      <c r="W1952" s="12" t="n">
        <v>300</v>
      </c>
      <c r="X1952" s="11" t="s">
        <v>1683</v>
      </c>
      <c r="Z1952" s="0" t="str">
        <f aca="false">IF($T1952="","",IFERROR(INDEX('Resumo Grupos'!$AC$3:$AC$200,MATCH($T1952,'Resumo Grupos'!$AB$3:$AB$200,0)),"n/d"))</f>
        <v>Mercadoria</v>
      </c>
      <c r="AA1952" s="0" t="str">
        <f aca="false">IF($T1952="","",IF(COUNTIF('Resumo Grupos'!$AE$3:$AE$40,$T1952)&gt;0,"NAO","SIM"))</f>
        <v>SIM</v>
      </c>
    </row>
    <row r="1953" customFormat="false" ht="36.75" hidden="false" customHeight="true" outlineLevel="0" collapsed="false">
      <c r="A1953" s="9" t="n">
        <v>2</v>
      </c>
      <c r="B1953" s="10" t="n">
        <v>46211</v>
      </c>
      <c r="C1953" s="10" t="n">
        <v>46275</v>
      </c>
      <c r="D1953" s="9" t="n">
        <v>33</v>
      </c>
      <c r="E1953" s="11" t="s">
        <v>313</v>
      </c>
      <c r="F1953" s="9" t="n">
        <v>34</v>
      </c>
      <c r="G1953" s="11" t="s">
        <v>55</v>
      </c>
      <c r="H1953" s="9" t="n">
        <v>2110405</v>
      </c>
      <c r="I1953" s="11" t="s">
        <v>56</v>
      </c>
      <c r="J1953" s="9" t="n">
        <v>1370733</v>
      </c>
      <c r="L1953" s="9" t="n">
        <v>184338</v>
      </c>
      <c r="M1953" s="11" t="s">
        <v>44</v>
      </c>
      <c r="N1953" s="11" t="s">
        <v>45</v>
      </c>
      <c r="P1953" s="9" t="n">
        <v>101</v>
      </c>
      <c r="Q1953" s="11" t="s">
        <v>57</v>
      </c>
      <c r="R1953" s="11" t="s">
        <v>39</v>
      </c>
      <c r="S1953" s="9" t="n">
        <v>4210222</v>
      </c>
      <c r="T1953" s="11" t="s">
        <v>1256</v>
      </c>
      <c r="U1953" s="12" t="n">
        <v>666.67</v>
      </c>
      <c r="W1953" s="12" t="n">
        <v>666.67</v>
      </c>
      <c r="X1953" s="11" t="s">
        <v>1257</v>
      </c>
      <c r="Z1953" s="0" t="str">
        <f aca="false">IF($T1953="","",IFERROR(INDEX('Resumo Grupos'!$AC$3:$AC$200,MATCH($T1953,'Resumo Grupos'!$AB$3:$AB$200,0)),"n/d"))</f>
        <v>Despesa</v>
      </c>
      <c r="AA1953" s="0" t="str">
        <f aca="false">IF($T1953="","",IF(COUNTIF('Resumo Grupos'!$AE$3:$AE$40,$T1953)&gt;0,"NAO","SIM"))</f>
        <v>SIM</v>
      </c>
    </row>
    <row r="1954" customFormat="false" ht="54.75" hidden="false" customHeight="true" outlineLevel="0" collapsed="false">
      <c r="A1954" s="9" t="n">
        <v>2</v>
      </c>
      <c r="B1954" s="10" t="n">
        <v>46256</v>
      </c>
      <c r="C1954" s="10" t="n">
        <v>46275</v>
      </c>
      <c r="D1954" s="9" t="n">
        <v>1713</v>
      </c>
      <c r="E1954" s="11" t="s">
        <v>104</v>
      </c>
      <c r="F1954" s="9" t="n">
        <v>46</v>
      </c>
      <c r="G1954" s="11" t="s">
        <v>319</v>
      </c>
      <c r="H1954" s="9" t="n">
        <v>2110405</v>
      </c>
      <c r="I1954" s="11" t="s">
        <v>56</v>
      </c>
      <c r="J1954" s="9" t="n">
        <v>1585399</v>
      </c>
      <c r="L1954" s="9" t="n">
        <v>216902</v>
      </c>
      <c r="M1954" s="11" t="s">
        <v>52</v>
      </c>
      <c r="N1954" s="11" t="s">
        <v>45</v>
      </c>
      <c r="P1954" s="9" t="n">
        <v>113</v>
      </c>
      <c r="Q1954" s="11" t="s">
        <v>46</v>
      </c>
      <c r="R1954" s="11" t="s">
        <v>39</v>
      </c>
      <c r="S1954" s="9" t="n">
        <v>4210227</v>
      </c>
      <c r="T1954" s="11" t="s">
        <v>68</v>
      </c>
      <c r="U1954" s="12" t="n">
        <v>79.8</v>
      </c>
      <c r="W1954" s="12" t="n">
        <v>79.8</v>
      </c>
      <c r="X1954" s="11" t="s">
        <v>1684</v>
      </c>
      <c r="Z1954" s="0" t="str">
        <f aca="false">IF($T1954="","",IFERROR(INDEX('Resumo Grupos'!$AC$3:$AC$200,MATCH($T1954,'Resumo Grupos'!$AB$3:$AB$200,0)),"n/d"))</f>
        <v>Despesa</v>
      </c>
      <c r="AA1954" s="0" t="str">
        <f aca="false">IF($T1954="","",IF(COUNTIF('Resumo Grupos'!$AE$3:$AE$40,$T1954)&gt;0,"NAO","SIM"))</f>
        <v>SIM</v>
      </c>
      <c r="AB1954" s="0" t="str">
        <f aca="false">IFERROR(INDEX('Mov Entradas (Rel 10497)'!$L:$L,MATCH(AC1954,'Mov Entradas (Rel 10497)'!$I:$I,0)),"nao encontrado")</f>
        <v>BARRA ROSCADA FERRO</v>
      </c>
      <c r="AC1954" s="0" t="n">
        <v>13976</v>
      </c>
    </row>
    <row r="1955" customFormat="false" ht="45.75" hidden="false" customHeight="true" outlineLevel="0" collapsed="false">
      <c r="A1955" s="9" t="n">
        <v>2</v>
      </c>
      <c r="B1955" s="10" t="n">
        <v>46275</v>
      </c>
      <c r="C1955" s="10" t="n">
        <v>46275</v>
      </c>
      <c r="D1955" s="9" t="n">
        <v>0</v>
      </c>
      <c r="E1955" s="11" t="s">
        <v>109</v>
      </c>
      <c r="F1955" s="9" t="n">
        <v>17</v>
      </c>
      <c r="G1955" s="11" t="s">
        <v>110</v>
      </c>
      <c r="H1955" s="9" t="n">
        <v>1110101</v>
      </c>
      <c r="I1955" s="11" t="s">
        <v>111</v>
      </c>
      <c r="J1955" s="9" t="n">
        <v>1687410</v>
      </c>
      <c r="L1955" s="9" t="n">
        <v>1687410</v>
      </c>
      <c r="M1955" s="11" t="s">
        <v>52</v>
      </c>
      <c r="N1955" s="11" t="s">
        <v>112</v>
      </c>
      <c r="P1955" s="9" t="n">
        <v>113</v>
      </c>
      <c r="Q1955" s="11" t="s">
        <v>46</v>
      </c>
      <c r="R1955" s="11" t="s">
        <v>259</v>
      </c>
      <c r="S1955" s="9" t="n">
        <v>2110101</v>
      </c>
      <c r="T1955" s="11" t="s">
        <v>43</v>
      </c>
      <c r="U1955" s="12" t="n">
        <v>300</v>
      </c>
      <c r="W1955" s="12" t="n">
        <v>300</v>
      </c>
      <c r="X1955" s="11" t="s">
        <v>1685</v>
      </c>
      <c r="Z1955" s="0" t="str">
        <f aca="false">IF($T1955="","",IFERROR(INDEX('Resumo Grupos'!$AC$3:$AC$200,MATCH($T1955,'Resumo Grupos'!$AB$3:$AB$200,0)),"n/d"))</f>
        <v>Despesa</v>
      </c>
      <c r="AA1955" s="0" t="str">
        <f aca="false">IF($T1955="","",IF(COUNTIF('Resumo Grupos'!$AE$3:$AE$40,$T1955)&gt;0,"NAO","SIM"))</f>
        <v>SIM</v>
      </c>
    </row>
    <row r="1956" customFormat="false" ht="27.75" hidden="false" customHeight="true" outlineLevel="0" collapsed="false">
      <c r="A1956" s="9" t="n">
        <v>2</v>
      </c>
      <c r="B1956" s="10" t="n">
        <v>46275</v>
      </c>
      <c r="C1956" s="10" t="n">
        <v>46275</v>
      </c>
      <c r="D1956" s="9" t="n">
        <v>0</v>
      </c>
      <c r="E1956" s="11" t="s">
        <v>109</v>
      </c>
      <c r="F1956" s="9" t="n">
        <v>17</v>
      </c>
      <c r="G1956" s="11" t="s">
        <v>110</v>
      </c>
      <c r="H1956" s="9" t="n">
        <v>1110101</v>
      </c>
      <c r="I1956" s="11" t="s">
        <v>111</v>
      </c>
      <c r="J1956" s="9" t="n">
        <v>1687413</v>
      </c>
      <c r="L1956" s="9" t="n">
        <v>1687413</v>
      </c>
      <c r="M1956" s="11" t="s">
        <v>52</v>
      </c>
      <c r="N1956" s="11" t="s">
        <v>112</v>
      </c>
      <c r="P1956" s="9" t="n">
        <v>113</v>
      </c>
      <c r="Q1956" s="11" t="s">
        <v>46</v>
      </c>
      <c r="R1956" s="11" t="s">
        <v>47</v>
      </c>
      <c r="S1956" s="9" t="n">
        <v>1130101</v>
      </c>
      <c r="T1956" s="11" t="s">
        <v>48</v>
      </c>
      <c r="U1956" s="12" t="n">
        <v>72</v>
      </c>
      <c r="W1956" s="12" t="n">
        <v>72</v>
      </c>
      <c r="X1956" s="11" t="s">
        <v>1686</v>
      </c>
      <c r="Z1956" s="0" t="str">
        <f aca="false">IF($T1956="","",IFERROR(INDEX('Resumo Grupos'!$AC$3:$AC$200,MATCH($T1956,'Resumo Grupos'!$AB$3:$AB$200,0)),"n/d"))</f>
        <v>Mercadoria</v>
      </c>
      <c r="AA1956" s="0" t="str">
        <f aca="false">IF($T1956="","",IF(COUNTIF('Resumo Grupos'!$AE$3:$AE$40,$T1956)&gt;0,"NAO","SIM"))</f>
        <v>SIM</v>
      </c>
    </row>
    <row r="1957" customFormat="false" ht="45.75" hidden="false" customHeight="true" outlineLevel="0" collapsed="false">
      <c r="A1957" s="9" t="n">
        <v>2</v>
      </c>
      <c r="B1957" s="10" t="n">
        <v>46275</v>
      </c>
      <c r="C1957" s="10" t="n">
        <v>46275</v>
      </c>
      <c r="D1957" s="9" t="n">
        <v>0</v>
      </c>
      <c r="E1957" s="11" t="s">
        <v>109</v>
      </c>
      <c r="F1957" s="9" t="n">
        <v>17</v>
      </c>
      <c r="G1957" s="11" t="s">
        <v>110</v>
      </c>
      <c r="H1957" s="9" t="n">
        <v>1110101</v>
      </c>
      <c r="I1957" s="11" t="s">
        <v>111</v>
      </c>
      <c r="J1957" s="9" t="n">
        <v>1687414</v>
      </c>
      <c r="L1957" s="9" t="n">
        <v>1687414</v>
      </c>
      <c r="M1957" s="11" t="s">
        <v>52</v>
      </c>
      <c r="N1957" s="11" t="s">
        <v>112</v>
      </c>
      <c r="P1957" s="9" t="n">
        <v>113</v>
      </c>
      <c r="Q1957" s="11" t="s">
        <v>46</v>
      </c>
      <c r="R1957" s="11" t="s">
        <v>71</v>
      </c>
      <c r="S1957" s="9" t="n">
        <v>4210314</v>
      </c>
      <c r="T1957" s="11" t="s">
        <v>113</v>
      </c>
      <c r="U1957" s="12" t="n">
        <v>50</v>
      </c>
      <c r="W1957" s="12" t="n">
        <v>50</v>
      </c>
      <c r="X1957" s="11" t="s">
        <v>368</v>
      </c>
      <c r="Z1957" s="0" t="str">
        <f aca="false">IF($T1957="","",IFERROR(INDEX('Resumo Grupos'!$AC$3:$AC$200,MATCH($T1957,'Resumo Grupos'!$AB$3:$AB$200,0)),"n/d"))</f>
        <v>Despesa</v>
      </c>
      <c r="AA1957" s="0" t="str">
        <f aca="false">IF($T1957="","",IF(COUNTIF('Resumo Grupos'!$AE$3:$AE$40,$T1957)&gt;0,"NAO","SIM"))</f>
        <v>SIM</v>
      </c>
    </row>
    <row r="1958" customFormat="false" ht="54.75" hidden="false" customHeight="true" outlineLevel="0" collapsed="false">
      <c r="A1958" s="9" t="n">
        <v>2</v>
      </c>
      <c r="B1958" s="10" t="n">
        <v>46275</v>
      </c>
      <c r="C1958" s="10" t="n">
        <v>46275</v>
      </c>
      <c r="D1958" s="9" t="n">
        <v>0</v>
      </c>
      <c r="E1958" s="11" t="s">
        <v>109</v>
      </c>
      <c r="F1958" s="9" t="n">
        <v>17</v>
      </c>
      <c r="G1958" s="11" t="s">
        <v>110</v>
      </c>
      <c r="H1958" s="9" t="n">
        <v>1110101</v>
      </c>
      <c r="I1958" s="11" t="s">
        <v>111</v>
      </c>
      <c r="J1958" s="9" t="n">
        <v>1687415</v>
      </c>
      <c r="L1958" s="9" t="n">
        <v>1687415</v>
      </c>
      <c r="M1958" s="11" t="s">
        <v>52</v>
      </c>
      <c r="N1958" s="11" t="s">
        <v>112</v>
      </c>
      <c r="P1958" s="9" t="n">
        <v>113</v>
      </c>
      <c r="Q1958" s="11" t="s">
        <v>46</v>
      </c>
      <c r="R1958" s="11" t="s">
        <v>39</v>
      </c>
      <c r="S1958" s="9" t="n">
        <v>4210227</v>
      </c>
      <c r="T1958" s="11" t="s">
        <v>68</v>
      </c>
      <c r="U1958" s="12" t="n">
        <v>280</v>
      </c>
      <c r="W1958" s="12" t="n">
        <v>280</v>
      </c>
      <c r="X1958" s="11" t="s">
        <v>1687</v>
      </c>
      <c r="Z1958" s="0" t="str">
        <f aca="false">IF($T1958="","",IFERROR(INDEX('Resumo Grupos'!$AC$3:$AC$200,MATCH($T1958,'Resumo Grupos'!$AB$3:$AB$200,0)),"n/d"))</f>
        <v>Despesa</v>
      </c>
      <c r="AA1958" s="0" t="str">
        <f aca="false">IF($T1958="","",IF(COUNTIF('Resumo Grupos'!$AE$3:$AE$40,$T1958)&gt;0,"NAO","SIM"))</f>
        <v>SIM</v>
      </c>
    </row>
    <row r="1959" customFormat="false" ht="54.75" hidden="false" customHeight="true" outlineLevel="0" collapsed="false">
      <c r="A1959" s="9" t="n">
        <v>2</v>
      </c>
      <c r="B1959" s="10" t="n">
        <v>46275</v>
      </c>
      <c r="C1959" s="10" t="n">
        <v>46275</v>
      </c>
      <c r="D1959" s="9" t="n">
        <v>0</v>
      </c>
      <c r="E1959" s="11" t="s">
        <v>109</v>
      </c>
      <c r="F1959" s="9" t="n">
        <v>17</v>
      </c>
      <c r="G1959" s="11" t="s">
        <v>110</v>
      </c>
      <c r="H1959" s="9" t="n">
        <v>1110101</v>
      </c>
      <c r="I1959" s="11" t="s">
        <v>111</v>
      </c>
      <c r="J1959" s="9" t="n">
        <v>1687416</v>
      </c>
      <c r="L1959" s="9" t="n">
        <v>1687416</v>
      </c>
      <c r="M1959" s="11" t="s">
        <v>52</v>
      </c>
      <c r="N1959" s="11" t="s">
        <v>112</v>
      </c>
      <c r="P1959" s="9" t="n">
        <v>113</v>
      </c>
      <c r="Q1959" s="11" t="s">
        <v>46</v>
      </c>
      <c r="R1959" s="11" t="s">
        <v>71</v>
      </c>
      <c r="S1959" s="9" t="n">
        <v>4210309</v>
      </c>
      <c r="T1959" s="11" t="s">
        <v>72</v>
      </c>
      <c r="U1959" s="12" t="n">
        <v>10</v>
      </c>
      <c r="W1959" s="12" t="n">
        <v>10</v>
      </c>
      <c r="X1959" s="11" t="s">
        <v>1552</v>
      </c>
      <c r="Z1959" s="0" t="str">
        <f aca="false">IF($T1959="","",IFERROR(INDEX('Resumo Grupos'!$AC$3:$AC$200,MATCH($T1959,'Resumo Grupos'!$AB$3:$AB$200,0)),"n/d"))</f>
        <v>Salários</v>
      </c>
      <c r="AA1959" s="0" t="str">
        <f aca="false">IF($T1959="","",IF(COUNTIF('Resumo Grupos'!$AE$3:$AE$40,$T1959)&gt;0,"NAO","SIM"))</f>
        <v>SIM</v>
      </c>
    </row>
    <row r="1960" customFormat="false" ht="45.75" hidden="false" customHeight="true" outlineLevel="0" collapsed="false">
      <c r="A1960" s="9" t="n">
        <v>2</v>
      </c>
      <c r="B1960" s="10" t="n">
        <v>46275</v>
      </c>
      <c r="C1960" s="10" t="n">
        <v>46275</v>
      </c>
      <c r="D1960" s="9" t="n">
        <v>0</v>
      </c>
      <c r="E1960" s="11" t="s">
        <v>109</v>
      </c>
      <c r="F1960" s="9" t="n">
        <v>17</v>
      </c>
      <c r="G1960" s="11" t="s">
        <v>110</v>
      </c>
      <c r="H1960" s="9" t="n">
        <v>1110101</v>
      </c>
      <c r="I1960" s="11" t="s">
        <v>111</v>
      </c>
      <c r="J1960" s="9" t="n">
        <v>1716456</v>
      </c>
      <c r="L1960" s="9" t="n">
        <v>1716456</v>
      </c>
      <c r="M1960" s="11" t="s">
        <v>52</v>
      </c>
      <c r="N1960" s="11" t="s">
        <v>112</v>
      </c>
      <c r="P1960" s="9" t="n">
        <v>113</v>
      </c>
      <c r="Q1960" s="11" t="s">
        <v>46</v>
      </c>
      <c r="R1960" s="11" t="s">
        <v>116</v>
      </c>
      <c r="S1960" s="9" t="n">
        <v>1110203</v>
      </c>
      <c r="T1960" s="11" t="s">
        <v>117</v>
      </c>
      <c r="U1960" s="12" t="n">
        <v>2400</v>
      </c>
      <c r="W1960" s="12" t="n">
        <v>2400</v>
      </c>
      <c r="X1960" s="11" t="s">
        <v>1688</v>
      </c>
      <c r="Z1960" s="0" t="str">
        <f aca="false">IF($T1960="","",IFERROR(INDEX('Resumo Grupos'!$AC$3:$AC$200,MATCH($T1960,'Resumo Grupos'!$AB$3:$AB$200,0)),"n/d"))</f>
        <v>Despesa</v>
      </c>
      <c r="AA1960" s="0" t="str">
        <f aca="false">IF($T1960="","",IF(COUNTIF('Resumo Grupos'!$AE$3:$AE$40,$T1960)&gt;0,"NAO","SIM"))</f>
        <v>SIM</v>
      </c>
    </row>
    <row r="1961" customFormat="false" ht="36.75" hidden="false" customHeight="true" outlineLevel="0" collapsed="false">
      <c r="A1961" s="9" t="n">
        <v>2</v>
      </c>
      <c r="B1961" s="10" t="n">
        <v>46261</v>
      </c>
      <c r="C1961" s="10" t="n">
        <v>46275</v>
      </c>
      <c r="D1961" s="9" t="n">
        <v>1643</v>
      </c>
      <c r="E1961" s="11" t="s">
        <v>212</v>
      </c>
      <c r="F1961" s="9" t="n">
        <v>24</v>
      </c>
      <c r="G1961" s="11" t="s">
        <v>51</v>
      </c>
      <c r="H1961" s="9" t="n">
        <v>2110405</v>
      </c>
      <c r="I1961" s="11" t="s">
        <v>56</v>
      </c>
      <c r="J1961" s="9" t="n">
        <v>1608890</v>
      </c>
      <c r="L1961" s="9" t="n">
        <v>220447</v>
      </c>
      <c r="M1961" s="11" t="s">
        <v>52</v>
      </c>
      <c r="N1961" s="11" t="s">
        <v>45</v>
      </c>
      <c r="P1961" s="9" t="n">
        <v>113</v>
      </c>
      <c r="Q1961" s="11" t="s">
        <v>46</v>
      </c>
      <c r="R1961" s="11" t="s">
        <v>47</v>
      </c>
      <c r="S1961" s="9" t="n">
        <v>1130101</v>
      </c>
      <c r="T1961" s="11" t="s">
        <v>48</v>
      </c>
      <c r="U1961" s="12" t="n">
        <v>228</v>
      </c>
      <c r="W1961" s="12" t="n">
        <v>228</v>
      </c>
      <c r="X1961" s="11" t="s">
        <v>1689</v>
      </c>
      <c r="Z1961" s="0" t="str">
        <f aca="false">IF($T1961="","",IFERROR(INDEX('Resumo Grupos'!$AC$3:$AC$200,MATCH($T1961,'Resumo Grupos'!$AB$3:$AB$200,0)),"n/d"))</f>
        <v>Mercadoria</v>
      </c>
      <c r="AA1961" s="0" t="str">
        <f aca="false">IF($T1961="","",IF(COUNTIF('Resumo Grupos'!$AE$3:$AE$40,$T1961)&gt;0,"NAO","SIM"))</f>
        <v>SIM</v>
      </c>
      <c r="AB1961" s="0" t="str">
        <f aca="false">IFERROR(INDEX('Mov Entradas (Rel 10497)'!$L:$L,MATCH(AC1961,'Mov Entradas (Rel 10497)'!$I:$I,0)),"nao encontrado")</f>
        <v>COCADA CASMORENINH</v>
      </c>
      <c r="AC1961" s="0" t="n">
        <v>10951</v>
      </c>
    </row>
    <row r="1962" customFormat="false" ht="63.75" hidden="false" customHeight="true" outlineLevel="0" collapsed="false">
      <c r="A1962" s="9" t="n">
        <v>2</v>
      </c>
      <c r="B1962" s="10" t="n">
        <v>46252</v>
      </c>
      <c r="C1962" s="10" t="n">
        <v>46275</v>
      </c>
      <c r="D1962" s="9" t="n">
        <v>1671</v>
      </c>
      <c r="E1962" s="11" t="s">
        <v>119</v>
      </c>
      <c r="F1962" s="9" t="n">
        <v>24</v>
      </c>
      <c r="G1962" s="11" t="s">
        <v>51</v>
      </c>
      <c r="H1962" s="9" t="n">
        <v>2110405</v>
      </c>
      <c r="I1962" s="11" t="s">
        <v>56</v>
      </c>
      <c r="J1962" s="9" t="n">
        <v>1567132</v>
      </c>
      <c r="L1962" s="9" t="n">
        <v>213985</v>
      </c>
      <c r="M1962" s="11" t="s">
        <v>52</v>
      </c>
      <c r="N1962" s="11" t="s">
        <v>45</v>
      </c>
      <c r="P1962" s="9" t="n">
        <v>113</v>
      </c>
      <c r="Q1962" s="11" t="s">
        <v>46</v>
      </c>
      <c r="R1962" s="11" t="s">
        <v>47</v>
      </c>
      <c r="S1962" s="9" t="n">
        <v>1130101</v>
      </c>
      <c r="T1962" s="11" t="s">
        <v>48</v>
      </c>
      <c r="U1962" s="12" t="n">
        <v>795.81</v>
      </c>
      <c r="W1962" s="12" t="n">
        <v>795.81</v>
      </c>
      <c r="X1962" s="11" t="s">
        <v>1469</v>
      </c>
      <c r="Z1962" s="0" t="str">
        <f aca="false">IF($T1962="","",IFERROR(INDEX('Resumo Grupos'!$AC$3:$AC$200,MATCH($T1962,'Resumo Grupos'!$AB$3:$AB$200,0)),"n/d"))</f>
        <v>Mercadoria</v>
      </c>
      <c r="AA1962" s="0" t="str">
        <f aca="false">IF($T1962="","",IF(COUNTIF('Resumo Grupos'!$AE$3:$AE$40,$T1962)&gt;0,"NAO","SIM"))</f>
        <v>SIM</v>
      </c>
      <c r="AB1962" s="0" t="str">
        <f aca="false">IFERROR(INDEX('Mov Entradas (Rel 10497)'!$L:$L,MATCH(AC1962,'Mov Entradas (Rel 10497)'!$I:$I,0)),"nao encontrado")</f>
        <v>SAB LIQ PROTEX CREAM</v>
      </c>
      <c r="AC1962" s="0" t="n">
        <v>586415</v>
      </c>
    </row>
    <row r="1963" customFormat="false" ht="36.75" hidden="false" customHeight="true" outlineLevel="0" collapsed="false">
      <c r="A1963" s="9" t="n">
        <v>2</v>
      </c>
      <c r="B1963" s="10" t="n">
        <v>46256</v>
      </c>
      <c r="C1963" s="10" t="n">
        <v>46275</v>
      </c>
      <c r="D1963" s="9" t="n">
        <v>1745</v>
      </c>
      <c r="E1963" s="11" t="s">
        <v>189</v>
      </c>
      <c r="F1963" s="9" t="n">
        <v>24</v>
      </c>
      <c r="G1963" s="11" t="s">
        <v>51</v>
      </c>
      <c r="H1963" s="9" t="n">
        <v>2110405</v>
      </c>
      <c r="I1963" s="11" t="s">
        <v>56</v>
      </c>
      <c r="J1963" s="9" t="n">
        <v>1585074</v>
      </c>
      <c r="L1963" s="9" t="n">
        <v>216840</v>
      </c>
      <c r="M1963" s="11" t="s">
        <v>52</v>
      </c>
      <c r="N1963" s="11" t="s">
        <v>45</v>
      </c>
      <c r="P1963" s="9" t="n">
        <v>113</v>
      </c>
      <c r="Q1963" s="11" t="s">
        <v>46</v>
      </c>
      <c r="R1963" s="11" t="s">
        <v>47</v>
      </c>
      <c r="S1963" s="9" t="n">
        <v>1130101</v>
      </c>
      <c r="T1963" s="11" t="s">
        <v>48</v>
      </c>
      <c r="U1963" s="12" t="n">
        <v>182.8</v>
      </c>
      <c r="W1963" s="12" t="n">
        <v>182.8</v>
      </c>
      <c r="X1963" s="11" t="s">
        <v>1590</v>
      </c>
      <c r="Z1963" s="0" t="str">
        <f aca="false">IF($T1963="","",IFERROR(INDEX('Resumo Grupos'!$AC$3:$AC$200,MATCH($T1963,'Resumo Grupos'!$AB$3:$AB$200,0)),"n/d"))</f>
        <v>Mercadoria</v>
      </c>
      <c r="AA1963" s="0" t="str">
        <f aca="false">IF($T1963="","",IF(COUNTIF('Resumo Grupos'!$AE$3:$AE$40,$T1963)&gt;0,"NAO","SIM"))</f>
        <v>SIM</v>
      </c>
      <c r="AB1963" s="0" t="str">
        <f aca="false">IFERROR(INDEX('Mov Entradas (Rel 10497)'!$L:$L,MATCH(AC1963,'Mov Entradas (Rel 10497)'!$I:$I,0)),"nao encontrado")</f>
        <v>MILHO PIPOCA DONA CLARA 400G</v>
      </c>
      <c r="AC1963" s="0" t="n">
        <v>357892</v>
      </c>
    </row>
    <row r="1964" customFormat="false" ht="45.75" hidden="false" customHeight="true" outlineLevel="0" collapsed="false">
      <c r="A1964" s="9" t="n">
        <v>2</v>
      </c>
      <c r="B1964" s="10" t="n">
        <v>46273</v>
      </c>
      <c r="C1964" s="10" t="n">
        <v>46276</v>
      </c>
      <c r="D1964" s="9" t="n">
        <v>1695</v>
      </c>
      <c r="E1964" s="11" t="s">
        <v>390</v>
      </c>
      <c r="F1964" s="9" t="n">
        <v>24</v>
      </c>
      <c r="G1964" s="11" t="s">
        <v>51</v>
      </c>
      <c r="H1964" s="9" t="n">
        <v>2110405</v>
      </c>
      <c r="I1964" s="11" t="s">
        <v>56</v>
      </c>
      <c r="J1964" s="9" t="n">
        <v>1673927</v>
      </c>
      <c r="L1964" s="9" t="n">
        <v>229534</v>
      </c>
      <c r="M1964" s="11" t="s">
        <v>52</v>
      </c>
      <c r="N1964" s="11" t="s">
        <v>45</v>
      </c>
      <c r="P1964" s="9" t="n">
        <v>113</v>
      </c>
      <c r="Q1964" s="11" t="s">
        <v>46</v>
      </c>
      <c r="R1964" s="11" t="s">
        <v>47</v>
      </c>
      <c r="S1964" s="9" t="n">
        <v>1130101</v>
      </c>
      <c r="T1964" s="11" t="s">
        <v>48</v>
      </c>
      <c r="U1964" s="12" t="n">
        <v>860.51</v>
      </c>
      <c r="W1964" s="12" t="n">
        <v>860.51</v>
      </c>
      <c r="X1964" s="11" t="s">
        <v>1690</v>
      </c>
      <c r="Z1964" s="0" t="str">
        <f aca="false">IF($T1964="","",IFERROR(INDEX('Resumo Grupos'!$AC$3:$AC$200,MATCH($T1964,'Resumo Grupos'!$AB$3:$AB$200,0)),"n/d"))</f>
        <v>Mercadoria</v>
      </c>
      <c r="AA1964" s="0" t="str">
        <f aca="false">IF($T1964="","",IF(COUNTIF('Resumo Grupos'!$AE$3:$AE$40,$T1964)&gt;0,"NAO","SIM"))</f>
        <v>SIM</v>
      </c>
      <c r="AB1964" s="0" t="str">
        <f aca="false">IFERROR(INDEX('Mov Entradas (Rel 10497)'!$L:$L,MATCH(AC1964,'Mov Entradas (Rel 10497)'!$I:$I,0)),"nao encontrado")</f>
        <v>TRIGOLAR C/FERMENTO 1KG</v>
      </c>
      <c r="AC1964" s="0" t="n">
        <v>20278</v>
      </c>
    </row>
    <row r="1965" customFormat="false" ht="36.75" hidden="false" customHeight="true" outlineLevel="0" collapsed="false">
      <c r="A1965" s="9" t="n">
        <v>2</v>
      </c>
      <c r="B1965" s="10" t="n">
        <v>46262</v>
      </c>
      <c r="C1965" s="10" t="n">
        <v>46276</v>
      </c>
      <c r="D1965" s="9" t="n">
        <v>10002</v>
      </c>
      <c r="E1965" s="11" t="s">
        <v>197</v>
      </c>
      <c r="F1965" s="9" t="n">
        <v>24</v>
      </c>
      <c r="G1965" s="11" t="s">
        <v>51</v>
      </c>
      <c r="H1965" s="9" t="n">
        <v>2110405</v>
      </c>
      <c r="I1965" s="11" t="s">
        <v>56</v>
      </c>
      <c r="J1965" s="9" t="n">
        <v>1614688</v>
      </c>
      <c r="L1965" s="9" t="n">
        <v>221482</v>
      </c>
      <c r="M1965" s="11" t="s">
        <v>52</v>
      </c>
      <c r="N1965" s="11" t="s">
        <v>45</v>
      </c>
      <c r="P1965" s="9" t="n">
        <v>113</v>
      </c>
      <c r="Q1965" s="11" t="s">
        <v>46</v>
      </c>
      <c r="R1965" s="11" t="s">
        <v>47</v>
      </c>
      <c r="S1965" s="9" t="n">
        <v>1130101</v>
      </c>
      <c r="T1965" s="11" t="s">
        <v>48</v>
      </c>
      <c r="U1965" s="12" t="n">
        <v>624.41</v>
      </c>
      <c r="W1965" s="12" t="n">
        <v>624.41</v>
      </c>
      <c r="X1965" s="11" t="s">
        <v>1691</v>
      </c>
      <c r="Z1965" s="0" t="str">
        <f aca="false">IF($T1965="","",IFERROR(INDEX('Resumo Grupos'!$AC$3:$AC$200,MATCH($T1965,'Resumo Grupos'!$AB$3:$AB$200,0)),"n/d"))</f>
        <v>Mercadoria</v>
      </c>
      <c r="AA1965" s="0" t="str">
        <f aca="false">IF($T1965="","",IF(COUNTIF('Resumo Grupos'!$AE$3:$AE$40,$T1965)&gt;0,"NAO","SIM"))</f>
        <v>SIM</v>
      </c>
      <c r="AB1965" s="0" t="str">
        <f aca="false">IFERROR(INDEX('Mov Entradas (Rel 10497)'!$L:$L,MATCH(AC1965,'Mov Entradas (Rel 10497)'!$I:$I,0)),"nao encontrado")</f>
        <v>POLPA MANGA BRASFRUT</v>
      </c>
      <c r="AC1965" s="0" t="n">
        <v>197945</v>
      </c>
    </row>
    <row r="1966" customFormat="false" ht="36.75" hidden="false" customHeight="true" outlineLevel="0" collapsed="false">
      <c r="A1966" s="9" t="n">
        <v>2</v>
      </c>
      <c r="B1966" s="10" t="n">
        <v>46269</v>
      </c>
      <c r="C1966" s="10" t="n">
        <v>46276</v>
      </c>
      <c r="D1966" s="9" t="n">
        <v>1608</v>
      </c>
      <c r="E1966" s="11" t="s">
        <v>240</v>
      </c>
      <c r="F1966" s="9" t="n">
        <v>24</v>
      </c>
      <c r="G1966" s="11" t="s">
        <v>51</v>
      </c>
      <c r="H1966" s="9" t="n">
        <v>2110405</v>
      </c>
      <c r="I1966" s="11" t="s">
        <v>56</v>
      </c>
      <c r="J1966" s="9" t="n">
        <v>1652225</v>
      </c>
      <c r="L1966" s="9" t="n">
        <v>226976</v>
      </c>
      <c r="M1966" s="11" t="s">
        <v>52</v>
      </c>
      <c r="N1966" s="11" t="s">
        <v>45</v>
      </c>
      <c r="P1966" s="9" t="n">
        <v>113</v>
      </c>
      <c r="Q1966" s="11" t="s">
        <v>46</v>
      </c>
      <c r="R1966" s="11" t="s">
        <v>47</v>
      </c>
      <c r="S1966" s="9" t="n">
        <v>1130101</v>
      </c>
      <c r="T1966" s="11" t="s">
        <v>48</v>
      </c>
      <c r="U1966" s="12" t="n">
        <v>832.2</v>
      </c>
      <c r="W1966" s="12" t="n">
        <v>832.2</v>
      </c>
      <c r="X1966" s="11" t="s">
        <v>1692</v>
      </c>
      <c r="Z1966" s="0" t="str">
        <f aca="false">IF($T1966="","",IFERROR(INDEX('Resumo Grupos'!$AC$3:$AC$200,MATCH($T1966,'Resumo Grupos'!$AB$3:$AB$200,0)),"n/d"))</f>
        <v>Mercadoria</v>
      </c>
      <c r="AA1966" s="0" t="str">
        <f aca="false">IF($T1966="","",IF(COUNTIF('Resumo Grupos'!$AE$3:$AE$40,$T1966)&gt;0,"NAO","SIM"))</f>
        <v>SIM</v>
      </c>
      <c r="AB1966" s="0" t="str">
        <f aca="false">IFERROR(INDEX('Mov Entradas (Rel 10497)'!$L:$L,MATCH(AC1966,'Mov Entradas (Rel 10497)'!$I:$I,0)),"nao encontrado")</f>
        <v>DANONE GREGO UNID FR</v>
      </c>
      <c r="AC1966" s="0" t="n">
        <v>1724730</v>
      </c>
    </row>
    <row r="1967" customFormat="false" ht="54.75" hidden="false" customHeight="true" outlineLevel="0" collapsed="false">
      <c r="A1967" s="9" t="n">
        <v>2</v>
      </c>
      <c r="B1967" s="10" t="n">
        <v>46265</v>
      </c>
      <c r="C1967" s="10" t="n">
        <v>46276</v>
      </c>
      <c r="D1967" s="9" t="n">
        <v>1616</v>
      </c>
      <c r="E1967" s="11" t="s">
        <v>64</v>
      </c>
      <c r="F1967" s="9" t="n">
        <v>24</v>
      </c>
      <c r="G1967" s="11" t="s">
        <v>51</v>
      </c>
      <c r="H1967" s="9" t="n">
        <v>2110405</v>
      </c>
      <c r="I1967" s="11" t="s">
        <v>56</v>
      </c>
      <c r="J1967" s="9" t="n">
        <v>1629531</v>
      </c>
      <c r="L1967" s="9" t="n">
        <v>223542</v>
      </c>
      <c r="M1967" s="11" t="s">
        <v>52</v>
      </c>
      <c r="N1967" s="11" t="s">
        <v>45</v>
      </c>
      <c r="P1967" s="9" t="n">
        <v>113</v>
      </c>
      <c r="Q1967" s="11" t="s">
        <v>46</v>
      </c>
      <c r="R1967" s="11" t="s">
        <v>47</v>
      </c>
      <c r="S1967" s="9" t="n">
        <v>1130101</v>
      </c>
      <c r="T1967" s="11" t="s">
        <v>48</v>
      </c>
      <c r="U1967" s="12" t="n">
        <v>610.2</v>
      </c>
      <c r="W1967" s="12" t="n">
        <v>610.2</v>
      </c>
      <c r="X1967" s="11" t="s">
        <v>1693</v>
      </c>
      <c r="Z1967" s="0" t="str">
        <f aca="false">IF($T1967="","",IFERROR(INDEX('Resumo Grupos'!$AC$3:$AC$200,MATCH($T1967,'Resumo Grupos'!$AB$3:$AB$200,0)),"n/d"))</f>
        <v>Mercadoria</v>
      </c>
      <c r="AA1967" s="0" t="str">
        <f aca="false">IF($T1967="","",IF(COUNTIF('Resumo Grupos'!$AE$3:$AE$40,$T1967)&gt;0,"NAO","SIM"))</f>
        <v>SIM</v>
      </c>
      <c r="AB1967" s="0" t="str">
        <f aca="false">IFERROR(INDEX('Mov Entradas (Rel 10497)'!$L:$L,MATCH(AC1967,'Mov Entradas (Rel 10497)'!$I:$I,0)),"nao encontrado")</f>
        <v>ESPONJA BRILHUS 1UNI</v>
      </c>
      <c r="AC1967" s="0" t="n">
        <v>656817</v>
      </c>
    </row>
    <row r="1968" customFormat="false" ht="63.75" hidden="false" customHeight="true" outlineLevel="0" collapsed="false">
      <c r="A1968" s="9" t="n">
        <v>2</v>
      </c>
      <c r="B1968" s="10" t="n">
        <v>46276</v>
      </c>
      <c r="C1968" s="10" t="n">
        <v>46276</v>
      </c>
      <c r="D1968" s="9" t="n">
        <v>1037</v>
      </c>
      <c r="E1968" s="11" t="s">
        <v>134</v>
      </c>
      <c r="F1968" s="9" t="n">
        <v>34</v>
      </c>
      <c r="G1968" s="11" t="s">
        <v>55</v>
      </c>
      <c r="H1968" s="9" t="n">
        <v>2110405</v>
      </c>
      <c r="I1968" s="11" t="s">
        <v>56</v>
      </c>
      <c r="J1968" s="9" t="n">
        <v>1687489</v>
      </c>
      <c r="L1968" s="9" t="n">
        <v>231738</v>
      </c>
      <c r="M1968" s="11" t="s">
        <v>52</v>
      </c>
      <c r="N1968" s="11" t="s">
        <v>45</v>
      </c>
      <c r="P1968" s="9" t="n">
        <v>113</v>
      </c>
      <c r="Q1968" s="11" t="s">
        <v>46</v>
      </c>
      <c r="R1968" s="11" t="s">
        <v>47</v>
      </c>
      <c r="S1968" s="9" t="n">
        <v>1130101</v>
      </c>
      <c r="T1968" s="11" t="s">
        <v>48</v>
      </c>
      <c r="U1968" s="12" t="n">
        <v>300</v>
      </c>
      <c r="W1968" s="12" t="n">
        <v>300</v>
      </c>
      <c r="X1968" s="11" t="s">
        <v>1694</v>
      </c>
      <c r="Z1968" s="0" t="str">
        <f aca="false">IF($T1968="","",IFERROR(INDEX('Resumo Grupos'!$AC$3:$AC$200,MATCH($T1968,'Resumo Grupos'!$AB$3:$AB$200,0)),"n/d"))</f>
        <v>Mercadoria</v>
      </c>
      <c r="AA1968" s="0" t="str">
        <f aca="false">IF($T1968="","",IF(COUNTIF('Resumo Grupos'!$AE$3:$AE$40,$T1968)&gt;0,"NAO","SIM"))</f>
        <v>SIM</v>
      </c>
    </row>
    <row r="1969" customFormat="false" ht="54.75" hidden="false" customHeight="true" outlineLevel="0" collapsed="false">
      <c r="A1969" s="9" t="n">
        <v>2</v>
      </c>
      <c r="B1969" s="10" t="n">
        <v>46269</v>
      </c>
      <c r="C1969" s="10" t="n">
        <v>46276</v>
      </c>
      <c r="D1969" s="9" t="n">
        <v>911</v>
      </c>
      <c r="E1969" s="11" t="s">
        <v>487</v>
      </c>
      <c r="F1969" s="9" t="n">
        <v>24</v>
      </c>
      <c r="G1969" s="11" t="s">
        <v>51</v>
      </c>
      <c r="H1969" s="9" t="n">
        <v>2110405</v>
      </c>
      <c r="I1969" s="11" t="s">
        <v>56</v>
      </c>
      <c r="J1969" s="9" t="n">
        <v>1652166</v>
      </c>
      <c r="L1969" s="9" t="n">
        <v>226960</v>
      </c>
      <c r="M1969" s="11" t="s">
        <v>52</v>
      </c>
      <c r="N1969" s="11" t="s">
        <v>45</v>
      </c>
      <c r="P1969" s="9" t="n">
        <v>113</v>
      </c>
      <c r="Q1969" s="11" t="s">
        <v>46</v>
      </c>
      <c r="R1969" s="11" t="s">
        <v>47</v>
      </c>
      <c r="S1969" s="9" t="n">
        <v>1130101</v>
      </c>
      <c r="T1969" s="11" t="s">
        <v>48</v>
      </c>
      <c r="U1969" s="12" t="n">
        <v>247.55</v>
      </c>
      <c r="W1969" s="12" t="n">
        <v>247.55</v>
      </c>
      <c r="X1969" s="11" t="s">
        <v>1695</v>
      </c>
      <c r="Z1969" s="0" t="str">
        <f aca="false">IF($T1969="","",IFERROR(INDEX('Resumo Grupos'!$AC$3:$AC$200,MATCH($T1969,'Resumo Grupos'!$AB$3:$AB$200,0)),"n/d"))</f>
        <v>Mercadoria</v>
      </c>
      <c r="AA1969" s="0" t="str">
        <f aca="false">IF($T1969="","",IF(COUNTIF('Resumo Grupos'!$AE$3:$AE$40,$T1969)&gt;0,"NAO","SIM"))</f>
        <v>SIM</v>
      </c>
      <c r="AB1969" s="0" t="str">
        <f aca="false">IFERROR(INDEX('Mov Entradas (Rel 10497)'!$L:$L,MATCH(AC1969,'Mov Entradas (Rel 10497)'!$I:$I,0)),"nao encontrado")</f>
        <v>PURAGUA SODA COM GAS</v>
      </c>
      <c r="AC1969" s="0" t="n">
        <v>58376</v>
      </c>
    </row>
    <row r="1970" customFormat="false" ht="45.75" hidden="false" customHeight="true" outlineLevel="0" collapsed="false">
      <c r="A1970" s="9" t="n">
        <v>2</v>
      </c>
      <c r="B1970" s="10" t="n">
        <v>46276</v>
      </c>
      <c r="C1970" s="10" t="n">
        <v>46276</v>
      </c>
      <c r="D1970" s="9" t="n">
        <v>10096</v>
      </c>
      <c r="E1970" s="11" t="s">
        <v>622</v>
      </c>
      <c r="F1970" s="9" t="n">
        <v>13</v>
      </c>
      <c r="G1970" s="11" t="s">
        <v>135</v>
      </c>
      <c r="H1970" s="9" t="n">
        <v>2110405</v>
      </c>
      <c r="I1970" s="11" t="s">
        <v>56</v>
      </c>
      <c r="J1970" s="9" t="n">
        <v>1687529</v>
      </c>
      <c r="L1970" s="9" t="n">
        <v>231742</v>
      </c>
      <c r="M1970" s="11" t="s">
        <v>52</v>
      </c>
      <c r="N1970" s="11" t="s">
        <v>45</v>
      </c>
      <c r="P1970" s="9" t="n">
        <v>113</v>
      </c>
      <c r="Q1970" s="11" t="s">
        <v>46</v>
      </c>
      <c r="R1970" s="11" t="s">
        <v>47</v>
      </c>
      <c r="S1970" s="9" t="n">
        <v>1130101</v>
      </c>
      <c r="T1970" s="11" t="s">
        <v>48</v>
      </c>
      <c r="U1970" s="12" t="n">
        <v>200</v>
      </c>
      <c r="W1970" s="12" t="n">
        <v>200</v>
      </c>
      <c r="X1970" s="11" t="s">
        <v>1696</v>
      </c>
      <c r="Z1970" s="0" t="str">
        <f aca="false">IF($T1970="","",IFERROR(INDEX('Resumo Grupos'!$AC$3:$AC$200,MATCH($T1970,'Resumo Grupos'!$AB$3:$AB$200,0)),"n/d"))</f>
        <v>Mercadoria</v>
      </c>
      <c r="AA1970" s="0" t="str">
        <f aca="false">IF($T1970="","",IF(COUNTIF('Resumo Grupos'!$AE$3:$AE$40,$T1970)&gt;0,"NAO","SIM"))</f>
        <v>SIM</v>
      </c>
      <c r="AB1970" s="0" t="str">
        <f aca="false">IFERROR(INDEX('Mov Entradas (Rel 10497)'!$L:$L,MATCH(AC1970,'Mov Entradas (Rel 10497)'!$I:$I,0)),"nao encontrado")</f>
        <v>BOLO MIYAZAKI GRANDE</v>
      </c>
      <c r="AC1970" s="0" t="n">
        <v>278</v>
      </c>
    </row>
    <row r="1971" customFormat="false" ht="45.75" hidden="false" customHeight="true" outlineLevel="0" collapsed="false">
      <c r="A1971" s="9" t="n">
        <v>2</v>
      </c>
      <c r="B1971" s="10" t="n">
        <v>46269</v>
      </c>
      <c r="C1971" s="10" t="n">
        <v>46276</v>
      </c>
      <c r="D1971" s="9" t="n">
        <v>1815</v>
      </c>
      <c r="E1971" s="11" t="s">
        <v>172</v>
      </c>
      <c r="F1971" s="9" t="n">
        <v>24</v>
      </c>
      <c r="G1971" s="11" t="s">
        <v>51</v>
      </c>
      <c r="H1971" s="9" t="n">
        <v>2110405</v>
      </c>
      <c r="I1971" s="11" t="s">
        <v>56</v>
      </c>
      <c r="J1971" s="9" t="n">
        <v>1652435</v>
      </c>
      <c r="L1971" s="9" t="n">
        <v>227015</v>
      </c>
      <c r="M1971" s="11" t="s">
        <v>52</v>
      </c>
      <c r="N1971" s="11" t="s">
        <v>45</v>
      </c>
      <c r="P1971" s="9" t="n">
        <v>113</v>
      </c>
      <c r="Q1971" s="11" t="s">
        <v>46</v>
      </c>
      <c r="R1971" s="11" t="s">
        <v>47</v>
      </c>
      <c r="S1971" s="9" t="n">
        <v>1130101</v>
      </c>
      <c r="T1971" s="11" t="s">
        <v>48</v>
      </c>
      <c r="U1971" s="12" t="n">
        <v>474.45</v>
      </c>
      <c r="W1971" s="12" t="n">
        <v>474.45</v>
      </c>
      <c r="X1971" s="11" t="s">
        <v>1697</v>
      </c>
      <c r="Z1971" s="0" t="str">
        <f aca="false">IF($T1971="","",IFERROR(INDEX('Resumo Grupos'!$AC$3:$AC$200,MATCH($T1971,'Resumo Grupos'!$AB$3:$AB$200,0)),"n/d"))</f>
        <v>Mercadoria</v>
      </c>
      <c r="AA1971" s="0" t="str">
        <f aca="false">IF($T1971="","",IF(COUNTIF('Resumo Grupos'!$AE$3:$AE$40,$T1971)&gt;0,"NAO","SIM"))</f>
        <v>SIM</v>
      </c>
      <c r="AB1971" s="0" t="str">
        <f aca="false">IFERROR(INDEX('Mov Entradas (Rel 10497)'!$L:$L,MATCH(AC1971,'Mov Entradas (Rel 10497)'!$I:$I,0)),"nao encontrado")</f>
        <v>COXINHA DA ASA KG</v>
      </c>
      <c r="AC1971" s="0" t="n">
        <v>401423</v>
      </c>
    </row>
    <row r="1972" customFormat="false" ht="27.75" hidden="false" customHeight="true" outlineLevel="0" collapsed="false">
      <c r="A1972" s="9" t="n">
        <v>2</v>
      </c>
      <c r="B1972" s="10" t="n">
        <v>46276</v>
      </c>
      <c r="C1972" s="10" t="n">
        <v>46276</v>
      </c>
      <c r="D1972" s="9" t="n">
        <v>48</v>
      </c>
      <c r="E1972" s="11" t="s">
        <v>153</v>
      </c>
      <c r="F1972" s="9" t="n">
        <v>34</v>
      </c>
      <c r="G1972" s="11" t="s">
        <v>55</v>
      </c>
      <c r="H1972" s="9" t="n">
        <v>2110101</v>
      </c>
      <c r="I1972" s="11" t="s">
        <v>43</v>
      </c>
      <c r="J1972" s="9" t="n">
        <v>1687423</v>
      </c>
      <c r="L1972" s="9" t="n">
        <v>2668</v>
      </c>
      <c r="M1972" s="11" t="s">
        <v>52</v>
      </c>
      <c r="N1972" s="11" t="s">
        <v>37</v>
      </c>
      <c r="P1972" s="9" t="n">
        <v>113</v>
      </c>
      <c r="Q1972" s="11" t="s">
        <v>46</v>
      </c>
      <c r="R1972" s="11" t="s">
        <v>47</v>
      </c>
      <c r="S1972" s="9" t="n">
        <v>1130101</v>
      </c>
      <c r="T1972" s="11" t="s">
        <v>48</v>
      </c>
      <c r="U1972" s="12" t="n">
        <v>260</v>
      </c>
      <c r="W1972" s="12" t="n">
        <v>260</v>
      </c>
      <c r="X1972" s="11" t="s">
        <v>1698</v>
      </c>
      <c r="Z1972" s="0" t="str">
        <f aca="false">IF($T1972="","",IFERROR(INDEX('Resumo Grupos'!$AC$3:$AC$200,MATCH($T1972,'Resumo Grupos'!$AB$3:$AB$200,0)),"n/d"))</f>
        <v>Mercadoria</v>
      </c>
      <c r="AA1972" s="0" t="str">
        <f aca="false">IF($T1972="","",IF(COUNTIF('Resumo Grupos'!$AE$3:$AE$40,$T1972)&gt;0,"NAO","SIM"))</f>
        <v>SIM</v>
      </c>
    </row>
    <row r="1973" customFormat="false" ht="45.75" hidden="false" customHeight="true" outlineLevel="0" collapsed="false">
      <c r="A1973" s="9" t="n">
        <v>2</v>
      </c>
      <c r="B1973" s="10" t="n">
        <v>46276</v>
      </c>
      <c r="C1973" s="10" t="n">
        <v>46276</v>
      </c>
      <c r="D1973" s="9" t="n">
        <v>48</v>
      </c>
      <c r="E1973" s="11" t="s">
        <v>153</v>
      </c>
      <c r="F1973" s="9" t="n">
        <v>34</v>
      </c>
      <c r="G1973" s="11" t="s">
        <v>55</v>
      </c>
      <c r="H1973" s="9" t="n">
        <v>2110101</v>
      </c>
      <c r="I1973" s="11" t="s">
        <v>43</v>
      </c>
      <c r="J1973" s="9" t="n">
        <v>1687467</v>
      </c>
      <c r="L1973" s="9" t="n">
        <v>2669</v>
      </c>
      <c r="M1973" s="11" t="s">
        <v>52</v>
      </c>
      <c r="N1973" s="11" t="s">
        <v>37</v>
      </c>
      <c r="P1973" s="9" t="n">
        <v>113</v>
      </c>
      <c r="Q1973" s="11" t="s">
        <v>46</v>
      </c>
      <c r="R1973" s="11" t="s">
        <v>47</v>
      </c>
      <c r="S1973" s="9" t="n">
        <v>1130101</v>
      </c>
      <c r="T1973" s="11" t="s">
        <v>48</v>
      </c>
      <c r="U1973" s="12" t="n">
        <v>2174</v>
      </c>
      <c r="W1973" s="12" t="n">
        <v>2174</v>
      </c>
      <c r="X1973" s="11" t="s">
        <v>1699</v>
      </c>
      <c r="Z1973" s="0" t="str">
        <f aca="false">IF($T1973="","",IFERROR(INDEX('Resumo Grupos'!$AC$3:$AC$200,MATCH($T1973,'Resumo Grupos'!$AB$3:$AB$200,0)),"n/d"))</f>
        <v>Mercadoria</v>
      </c>
      <c r="AA1973" s="0" t="str">
        <f aca="false">IF($T1973="","",IF(COUNTIF('Resumo Grupos'!$AE$3:$AE$40,$T1973)&gt;0,"NAO","SIM"))</f>
        <v>SIM</v>
      </c>
    </row>
    <row r="1974" customFormat="false" ht="45.75" hidden="false" customHeight="true" outlineLevel="0" collapsed="false">
      <c r="A1974" s="9" t="n">
        <v>2</v>
      </c>
      <c r="B1974" s="10" t="n">
        <v>46274</v>
      </c>
      <c r="C1974" s="10" t="n">
        <v>46276</v>
      </c>
      <c r="D1974" s="9" t="n">
        <v>1899</v>
      </c>
      <c r="E1974" s="11" t="s">
        <v>204</v>
      </c>
      <c r="F1974" s="9" t="n">
        <v>24</v>
      </c>
      <c r="G1974" s="11" t="s">
        <v>51</v>
      </c>
      <c r="H1974" s="9" t="n">
        <v>2110405</v>
      </c>
      <c r="I1974" s="11" t="s">
        <v>56</v>
      </c>
      <c r="J1974" s="9" t="n">
        <v>1678724</v>
      </c>
      <c r="L1974" s="9" t="n">
        <v>230329</v>
      </c>
      <c r="M1974" s="11" t="s">
        <v>52</v>
      </c>
      <c r="N1974" s="11" t="s">
        <v>45</v>
      </c>
      <c r="P1974" s="9" t="n">
        <v>113</v>
      </c>
      <c r="Q1974" s="11" t="s">
        <v>46</v>
      </c>
      <c r="R1974" s="11" t="s">
        <v>47</v>
      </c>
      <c r="S1974" s="9" t="n">
        <v>1130101</v>
      </c>
      <c r="T1974" s="11" t="s">
        <v>48</v>
      </c>
      <c r="U1974" s="12" t="n">
        <v>135</v>
      </c>
      <c r="W1974" s="12" t="n">
        <v>135</v>
      </c>
      <c r="X1974" s="11" t="s">
        <v>1700</v>
      </c>
      <c r="Z1974" s="0" t="str">
        <f aca="false">IF($T1974="","",IFERROR(INDEX('Resumo Grupos'!$AC$3:$AC$200,MATCH($T1974,'Resumo Grupos'!$AB$3:$AB$200,0)),"n/d"))</f>
        <v>Mercadoria</v>
      </c>
      <c r="AA1974" s="0" t="str">
        <f aca="false">IF($T1974="","",IF(COUNTIF('Resumo Grupos'!$AE$3:$AE$40,$T1974)&gt;0,"NAO","SIM"))</f>
        <v>SIM</v>
      </c>
      <c r="AB1974" s="0" t="str">
        <f aca="false">IFERROR(INDEX('Mov Entradas (Rel 10497)'!$L:$L,MATCH(AC1974,'Mov Entradas (Rel 10497)'!$I:$I,0)),"nao encontrado")</f>
        <v>MASSA FINA</v>
      </c>
      <c r="AC1974" s="0" t="n">
        <v>797</v>
      </c>
    </row>
    <row r="1975" customFormat="false" ht="45.75" hidden="false" customHeight="true" outlineLevel="0" collapsed="false">
      <c r="A1975" s="9" t="n">
        <v>2</v>
      </c>
      <c r="B1975" s="10" t="n">
        <v>46276</v>
      </c>
      <c r="C1975" s="10" t="n">
        <v>46276</v>
      </c>
      <c r="D1975" s="9" t="n">
        <v>0</v>
      </c>
      <c r="E1975" s="11" t="s">
        <v>109</v>
      </c>
      <c r="F1975" s="9" t="n">
        <v>17</v>
      </c>
      <c r="G1975" s="11" t="s">
        <v>110</v>
      </c>
      <c r="H1975" s="9" t="n">
        <v>1110101</v>
      </c>
      <c r="I1975" s="11" t="s">
        <v>111</v>
      </c>
      <c r="J1975" s="9" t="n">
        <v>1700691</v>
      </c>
      <c r="L1975" s="9" t="n">
        <v>1700691</v>
      </c>
      <c r="M1975" s="11" t="s">
        <v>52</v>
      </c>
      <c r="N1975" s="11" t="s">
        <v>112</v>
      </c>
      <c r="P1975" s="9" t="n">
        <v>113</v>
      </c>
      <c r="Q1975" s="11" t="s">
        <v>46</v>
      </c>
      <c r="R1975" s="11" t="s">
        <v>56</v>
      </c>
      <c r="S1975" s="9" t="n">
        <v>2110405</v>
      </c>
      <c r="T1975" s="11" t="s">
        <v>56</v>
      </c>
      <c r="U1975" s="12" t="n">
        <v>200</v>
      </c>
      <c r="W1975" s="12" t="n">
        <v>200</v>
      </c>
      <c r="X1975" s="11" t="s">
        <v>1701</v>
      </c>
      <c r="Z1975" s="0" t="str">
        <f aca="false">IF($T1975="","",IFERROR(INDEX('Resumo Grupos'!$AC$3:$AC$200,MATCH($T1975,'Resumo Grupos'!$AB$3:$AB$200,0)),"n/d"))</f>
        <v>Cobertura de conta</v>
      </c>
      <c r="AA1975" s="0" t="str">
        <f aca="false">IF($T1975="","",IF(COUNTIF('Resumo Grupos'!$AE$3:$AE$40,$T1975)&gt;0,"NAO","SIM"))</f>
        <v>SIM</v>
      </c>
    </row>
    <row r="1976" customFormat="false" ht="54.75" hidden="false" customHeight="true" outlineLevel="0" collapsed="false">
      <c r="A1976" s="9" t="n">
        <v>2</v>
      </c>
      <c r="B1976" s="10" t="n">
        <v>46276</v>
      </c>
      <c r="C1976" s="10" t="n">
        <v>46276</v>
      </c>
      <c r="D1976" s="9" t="n">
        <v>0</v>
      </c>
      <c r="E1976" s="11" t="s">
        <v>109</v>
      </c>
      <c r="F1976" s="9" t="n">
        <v>17</v>
      </c>
      <c r="G1976" s="11" t="s">
        <v>110</v>
      </c>
      <c r="H1976" s="9" t="n">
        <v>1110101</v>
      </c>
      <c r="I1976" s="11" t="s">
        <v>111</v>
      </c>
      <c r="J1976" s="9" t="n">
        <v>1700702</v>
      </c>
      <c r="L1976" s="9" t="n">
        <v>1700702</v>
      </c>
      <c r="M1976" s="11" t="s">
        <v>52</v>
      </c>
      <c r="N1976" s="11" t="s">
        <v>112</v>
      </c>
      <c r="P1976" s="9" t="n">
        <v>113</v>
      </c>
      <c r="Q1976" s="11" t="s">
        <v>46</v>
      </c>
      <c r="R1976" s="11" t="s">
        <v>71</v>
      </c>
      <c r="S1976" s="9" t="n">
        <v>4210314</v>
      </c>
      <c r="T1976" s="11" t="s">
        <v>113</v>
      </c>
      <c r="U1976" s="12" t="n">
        <v>50</v>
      </c>
      <c r="W1976" s="12" t="n">
        <v>50</v>
      </c>
      <c r="X1976" s="11" t="s">
        <v>368</v>
      </c>
      <c r="Z1976" s="0" t="str">
        <f aca="false">IF($T1976="","",IFERROR(INDEX('Resumo Grupos'!$AC$3:$AC$200,MATCH($T1976,'Resumo Grupos'!$AB$3:$AB$200,0)),"n/d"))</f>
        <v>Despesa</v>
      </c>
      <c r="AA1976" s="0" t="str">
        <f aca="false">IF($T1976="","",IF(COUNTIF('Resumo Grupos'!$AE$3:$AE$40,$T1976)&gt;0,"NAO","SIM"))</f>
        <v>SIM</v>
      </c>
    </row>
    <row r="1977" customFormat="false" ht="45.75" hidden="false" customHeight="true" outlineLevel="0" collapsed="false">
      <c r="A1977" s="9" t="n">
        <v>2</v>
      </c>
      <c r="B1977" s="10" t="n">
        <v>46276</v>
      </c>
      <c r="C1977" s="10" t="n">
        <v>46276</v>
      </c>
      <c r="D1977" s="9" t="n">
        <v>0</v>
      </c>
      <c r="E1977" s="11" t="s">
        <v>109</v>
      </c>
      <c r="F1977" s="9" t="n">
        <v>17</v>
      </c>
      <c r="G1977" s="11" t="s">
        <v>110</v>
      </c>
      <c r="H1977" s="9" t="n">
        <v>1110101</v>
      </c>
      <c r="I1977" s="11" t="s">
        <v>111</v>
      </c>
      <c r="J1977" s="9" t="n">
        <v>1700709</v>
      </c>
      <c r="L1977" s="9" t="n">
        <v>1700709</v>
      </c>
      <c r="M1977" s="11" t="s">
        <v>52</v>
      </c>
      <c r="N1977" s="11" t="s">
        <v>112</v>
      </c>
      <c r="P1977" s="9" t="n">
        <v>113</v>
      </c>
      <c r="Q1977" s="11" t="s">
        <v>46</v>
      </c>
      <c r="R1977" s="11" t="s">
        <v>71</v>
      </c>
      <c r="S1977" s="9" t="n">
        <v>4210309</v>
      </c>
      <c r="T1977" s="11" t="s">
        <v>72</v>
      </c>
      <c r="U1977" s="12" t="n">
        <v>10</v>
      </c>
      <c r="W1977" s="12" t="n">
        <v>10</v>
      </c>
      <c r="X1977" s="11" t="s">
        <v>1552</v>
      </c>
      <c r="Z1977" s="0" t="str">
        <f aca="false">IF($T1977="","",IFERROR(INDEX('Resumo Grupos'!$AC$3:$AC$200,MATCH($T1977,'Resumo Grupos'!$AB$3:$AB$200,0)),"n/d"))</f>
        <v>Salários</v>
      </c>
      <c r="AA1977" s="0" t="str">
        <f aca="false">IF($T1977="","",IF(COUNTIF('Resumo Grupos'!$AE$3:$AE$40,$T1977)&gt;0,"NAO","SIM"))</f>
        <v>SIM</v>
      </c>
    </row>
    <row r="1978" customFormat="false" ht="45.75" hidden="false" customHeight="true" outlineLevel="0" collapsed="false">
      <c r="A1978" s="9" t="n">
        <v>2</v>
      </c>
      <c r="B1978" s="10" t="n">
        <v>46276</v>
      </c>
      <c r="C1978" s="10" t="n">
        <v>46276</v>
      </c>
      <c r="D1978" s="9" t="n">
        <v>0</v>
      </c>
      <c r="E1978" s="11" t="s">
        <v>109</v>
      </c>
      <c r="F1978" s="9" t="n">
        <v>17</v>
      </c>
      <c r="G1978" s="11" t="s">
        <v>110</v>
      </c>
      <c r="H1978" s="9" t="n">
        <v>1110101</v>
      </c>
      <c r="I1978" s="11" t="s">
        <v>111</v>
      </c>
      <c r="J1978" s="9" t="n">
        <v>1700712</v>
      </c>
      <c r="L1978" s="9" t="n">
        <v>1700712</v>
      </c>
      <c r="M1978" s="11" t="s">
        <v>52</v>
      </c>
      <c r="N1978" s="11" t="s">
        <v>112</v>
      </c>
      <c r="P1978" s="9" t="n">
        <v>113</v>
      </c>
      <c r="Q1978" s="11" t="s">
        <v>46</v>
      </c>
      <c r="R1978" s="11" t="s">
        <v>71</v>
      </c>
      <c r="S1978" s="9" t="n">
        <v>4210310</v>
      </c>
      <c r="T1978" s="11" t="s">
        <v>126</v>
      </c>
      <c r="U1978" s="12" t="n">
        <v>10</v>
      </c>
      <c r="W1978" s="12" t="n">
        <v>10</v>
      </c>
      <c r="X1978" s="11" t="s">
        <v>1702</v>
      </c>
      <c r="Z1978" s="0" t="str">
        <f aca="false">IF($T1978="","",IFERROR(INDEX('Resumo Grupos'!$AC$3:$AC$200,MATCH($T1978,'Resumo Grupos'!$AB$3:$AB$200,0)),"n/d"))</f>
        <v>Despesa</v>
      </c>
      <c r="AA1978" s="0" t="str">
        <f aca="false">IF($T1978="","",IF(COUNTIF('Resumo Grupos'!$AE$3:$AE$40,$T1978)&gt;0,"NAO","SIM"))</f>
        <v>SIM</v>
      </c>
    </row>
    <row r="1979" customFormat="false" ht="45.75" hidden="false" customHeight="true" outlineLevel="0" collapsed="false">
      <c r="A1979" s="9" t="n">
        <v>2</v>
      </c>
      <c r="B1979" s="10" t="n">
        <v>46276</v>
      </c>
      <c r="C1979" s="10" t="n">
        <v>46276</v>
      </c>
      <c r="D1979" s="9" t="n">
        <v>0</v>
      </c>
      <c r="E1979" s="11" t="s">
        <v>109</v>
      </c>
      <c r="F1979" s="9" t="n">
        <v>17</v>
      </c>
      <c r="G1979" s="11" t="s">
        <v>110</v>
      </c>
      <c r="H1979" s="9" t="n">
        <v>1110101</v>
      </c>
      <c r="I1979" s="11" t="s">
        <v>111</v>
      </c>
      <c r="J1979" s="9" t="n">
        <v>1716458</v>
      </c>
      <c r="L1979" s="9" t="n">
        <v>1716458</v>
      </c>
      <c r="M1979" s="11" t="s">
        <v>52</v>
      </c>
      <c r="N1979" s="11" t="s">
        <v>112</v>
      </c>
      <c r="P1979" s="9" t="n">
        <v>113</v>
      </c>
      <c r="Q1979" s="11" t="s">
        <v>46</v>
      </c>
      <c r="R1979" s="11" t="s">
        <v>116</v>
      </c>
      <c r="S1979" s="9" t="n">
        <v>1110203</v>
      </c>
      <c r="T1979" s="11" t="s">
        <v>117</v>
      </c>
      <c r="U1979" s="12" t="n">
        <v>2600</v>
      </c>
      <c r="W1979" s="12" t="n">
        <v>2600</v>
      </c>
      <c r="X1979" s="11" t="s">
        <v>1703</v>
      </c>
      <c r="Z1979" s="0" t="str">
        <f aca="false">IF($T1979="","",IFERROR(INDEX('Resumo Grupos'!$AC$3:$AC$200,MATCH($T1979,'Resumo Grupos'!$AB$3:$AB$200,0)),"n/d"))</f>
        <v>Despesa</v>
      </c>
      <c r="AA1979" s="0" t="str">
        <f aca="false">IF($T1979="","",IF(COUNTIF('Resumo Grupos'!$AE$3:$AE$40,$T1979)&gt;0,"NAO","SIM"))</f>
        <v>SIM</v>
      </c>
    </row>
    <row r="1980" customFormat="false" ht="36.75" hidden="false" customHeight="true" outlineLevel="0" collapsed="false">
      <c r="A1980" s="9" t="n">
        <v>2</v>
      </c>
      <c r="B1980" s="10" t="n">
        <v>46256</v>
      </c>
      <c r="C1980" s="10" t="n">
        <v>46276</v>
      </c>
      <c r="D1980" s="9" t="n">
        <v>1666</v>
      </c>
      <c r="E1980" s="11" t="s">
        <v>266</v>
      </c>
      <c r="F1980" s="9" t="n">
        <v>24</v>
      </c>
      <c r="G1980" s="11" t="s">
        <v>51</v>
      </c>
      <c r="H1980" s="9" t="n">
        <v>2110405</v>
      </c>
      <c r="I1980" s="11" t="s">
        <v>56</v>
      </c>
      <c r="J1980" s="9" t="n">
        <v>1585303</v>
      </c>
      <c r="L1980" s="9" t="n">
        <v>216891</v>
      </c>
      <c r="M1980" s="11" t="s">
        <v>52</v>
      </c>
      <c r="N1980" s="11" t="s">
        <v>45</v>
      </c>
      <c r="P1980" s="9" t="n">
        <v>113</v>
      </c>
      <c r="Q1980" s="11" t="s">
        <v>46</v>
      </c>
      <c r="R1980" s="11" t="s">
        <v>47</v>
      </c>
      <c r="S1980" s="9" t="n">
        <v>1130101</v>
      </c>
      <c r="T1980" s="11" t="s">
        <v>48</v>
      </c>
      <c r="U1980" s="12" t="n">
        <v>5894.1</v>
      </c>
      <c r="W1980" s="12" t="n">
        <v>5894.1</v>
      </c>
      <c r="X1980" s="11" t="s">
        <v>1486</v>
      </c>
      <c r="Z1980" s="0" t="str">
        <f aca="false">IF($T1980="","",IFERROR(INDEX('Resumo Grupos'!$AC$3:$AC$200,MATCH($T1980,'Resumo Grupos'!$AB$3:$AB$200,0)),"n/d"))</f>
        <v>Mercadoria</v>
      </c>
      <c r="AA1980" s="0" t="str">
        <f aca="false">IF($T1980="","",IF(COUNTIF('Resumo Grupos'!$AE$3:$AE$40,$T1980)&gt;0,"NAO","SIM"))</f>
        <v>SIM</v>
      </c>
      <c r="AB1980" s="0" t="str">
        <f aca="false">IFERROR(INDEX('Mov Entradas (Rel 10497)'!$L:$L,MATCH(AC1980,'Mov Entradas (Rel 10497)'!$I:$I,0)),"nao encontrado")</f>
        <v>DUNHILL CARLTON BLEN</v>
      </c>
      <c r="AC1980" s="0" t="n">
        <v>570907</v>
      </c>
    </row>
    <row r="1981" customFormat="false" ht="54.75" hidden="false" customHeight="true" outlineLevel="0" collapsed="false">
      <c r="A1981" s="9" t="n">
        <v>2</v>
      </c>
      <c r="B1981" s="10" t="n">
        <v>46269</v>
      </c>
      <c r="C1981" s="10" t="n">
        <v>46277</v>
      </c>
      <c r="D1981" s="9" t="n">
        <v>1659</v>
      </c>
      <c r="E1981" s="11" t="s">
        <v>214</v>
      </c>
      <c r="F1981" s="9" t="n">
        <v>24</v>
      </c>
      <c r="G1981" s="11" t="s">
        <v>51</v>
      </c>
      <c r="H1981" s="9" t="n">
        <v>2110405</v>
      </c>
      <c r="I1981" s="11" t="s">
        <v>56</v>
      </c>
      <c r="J1981" s="9" t="n">
        <v>1652079</v>
      </c>
      <c r="L1981" s="9" t="n">
        <v>226955</v>
      </c>
      <c r="M1981" s="11" t="s">
        <v>52</v>
      </c>
      <c r="N1981" s="11" t="s">
        <v>45</v>
      </c>
      <c r="P1981" s="9" t="n">
        <v>113</v>
      </c>
      <c r="Q1981" s="11" t="s">
        <v>46</v>
      </c>
      <c r="R1981" s="11" t="s">
        <v>47</v>
      </c>
      <c r="S1981" s="9" t="n">
        <v>1130101</v>
      </c>
      <c r="T1981" s="11" t="s">
        <v>48</v>
      </c>
      <c r="U1981" s="12" t="n">
        <v>365</v>
      </c>
      <c r="W1981" s="12" t="n">
        <v>365</v>
      </c>
      <c r="X1981" s="11" t="s">
        <v>1704</v>
      </c>
      <c r="Z1981" s="0" t="str">
        <f aca="false">IF($T1981="","",IFERROR(INDEX('Resumo Grupos'!$AC$3:$AC$200,MATCH($T1981,'Resumo Grupos'!$AB$3:$AB$200,0)),"n/d"))</f>
        <v>Mercadoria</v>
      </c>
      <c r="AA1981" s="0" t="str">
        <f aca="false">IF($T1981="","",IF(COUNTIF('Resumo Grupos'!$AE$3:$AE$40,$T1981)&gt;0,"NAO","SIM"))</f>
        <v>SIM</v>
      </c>
      <c r="AB1981" s="0" t="str">
        <f aca="false">IFERROR(INDEX('Mov Entradas (Rel 10497)'!$L:$L,MATCH(AC1981,'Mov Entradas (Rel 10497)'!$I:$I,0)),"nao encontrado")</f>
        <v>MOCOQUINHA 200ML</v>
      </c>
      <c r="AC1981" s="0" t="n">
        <v>894544</v>
      </c>
    </row>
    <row r="1982" customFormat="false" ht="45.75" hidden="false" customHeight="true" outlineLevel="0" collapsed="false">
      <c r="A1982" s="9" t="n">
        <v>2</v>
      </c>
      <c r="B1982" s="10" t="n">
        <v>46248</v>
      </c>
      <c r="C1982" s="10" t="n">
        <v>46277</v>
      </c>
      <c r="D1982" s="9" t="n">
        <v>1718</v>
      </c>
      <c r="E1982" s="11" t="s">
        <v>236</v>
      </c>
      <c r="F1982" s="9" t="n">
        <v>24</v>
      </c>
      <c r="G1982" s="11" t="s">
        <v>51</v>
      </c>
      <c r="H1982" s="9" t="n">
        <v>2110405</v>
      </c>
      <c r="I1982" s="11" t="s">
        <v>56</v>
      </c>
      <c r="J1982" s="9" t="n">
        <v>1547763</v>
      </c>
      <c r="L1982" s="9" t="n">
        <v>211395</v>
      </c>
      <c r="M1982" s="11" t="s">
        <v>52</v>
      </c>
      <c r="N1982" s="11" t="s">
        <v>45</v>
      </c>
      <c r="P1982" s="9" t="n">
        <v>113</v>
      </c>
      <c r="Q1982" s="11" t="s">
        <v>46</v>
      </c>
      <c r="R1982" s="11" t="s">
        <v>47</v>
      </c>
      <c r="S1982" s="9" t="n">
        <v>1130101</v>
      </c>
      <c r="T1982" s="11" t="s">
        <v>48</v>
      </c>
      <c r="U1982" s="12" t="n">
        <v>706.55</v>
      </c>
      <c r="W1982" s="12" t="n">
        <v>706.55</v>
      </c>
      <c r="X1982" s="11" t="s">
        <v>1487</v>
      </c>
      <c r="Z1982" s="0" t="str">
        <f aca="false">IF($T1982="","",IFERROR(INDEX('Resumo Grupos'!$AC$3:$AC$200,MATCH($T1982,'Resumo Grupos'!$AB$3:$AB$200,0)),"n/d"))</f>
        <v>Mercadoria</v>
      </c>
      <c r="AA1982" s="0" t="str">
        <f aca="false">IF($T1982="","",IF(COUNTIF('Resumo Grupos'!$AE$3:$AE$40,$T1982)&gt;0,"NAO","SIM"))</f>
        <v>SIM</v>
      </c>
      <c r="AB1982" s="0" t="str">
        <f aca="false">IFERROR(INDEX('Mov Entradas (Rel 10497)'!$L:$L,MATCH(AC1982,'Mov Entradas (Rel 10497)'!$I:$I,0)),"nao encontrado")</f>
        <v>CAFE PILAO 250G</v>
      </c>
      <c r="AC1982" s="0" t="n">
        <v>689222</v>
      </c>
    </row>
    <row r="1983" customFormat="false" ht="27.75" hidden="false" customHeight="true" outlineLevel="0" collapsed="false">
      <c r="A1983" s="9" t="n">
        <v>2</v>
      </c>
      <c r="B1983" s="10" t="n">
        <v>46249</v>
      </c>
      <c r="C1983" s="10" t="n">
        <v>46277</v>
      </c>
      <c r="D1983" s="9" t="n">
        <v>1718</v>
      </c>
      <c r="E1983" s="11" t="s">
        <v>236</v>
      </c>
      <c r="F1983" s="9" t="n">
        <v>24</v>
      </c>
      <c r="G1983" s="11" t="s">
        <v>51</v>
      </c>
      <c r="H1983" s="9" t="n">
        <v>2110405</v>
      </c>
      <c r="I1983" s="11" t="s">
        <v>56</v>
      </c>
      <c r="J1983" s="9" t="n">
        <v>1551508</v>
      </c>
      <c r="L1983" s="9" t="n">
        <v>211719</v>
      </c>
      <c r="M1983" s="11" t="s">
        <v>52</v>
      </c>
      <c r="N1983" s="11" t="s">
        <v>45</v>
      </c>
      <c r="P1983" s="9" t="n">
        <v>113</v>
      </c>
      <c r="Q1983" s="11" t="s">
        <v>46</v>
      </c>
      <c r="R1983" s="11" t="s">
        <v>47</v>
      </c>
      <c r="S1983" s="9" t="n">
        <v>1130101</v>
      </c>
      <c r="T1983" s="11" t="s">
        <v>48</v>
      </c>
      <c r="U1983" s="12" t="n">
        <v>1422.68</v>
      </c>
      <c r="W1983" s="12" t="n">
        <v>1422.68</v>
      </c>
      <c r="X1983" s="11" t="s">
        <v>1488</v>
      </c>
      <c r="Z1983" s="0" t="str">
        <f aca="false">IF($T1983="","",IFERROR(INDEX('Resumo Grupos'!$AC$3:$AC$200,MATCH($T1983,'Resumo Grupos'!$AB$3:$AB$200,0)),"n/d"))</f>
        <v>Mercadoria</v>
      </c>
      <c r="AA1983" s="0" t="str">
        <f aca="false">IF($T1983="","",IF(COUNTIF('Resumo Grupos'!$AE$3:$AE$40,$T1983)&gt;0,"NAO","SIM"))</f>
        <v>SIM</v>
      </c>
      <c r="AB1983" s="0" t="str">
        <f aca="false">IFERROR(INDEX('Mov Entradas (Rel 10497)'!$L:$L,MATCH(AC1983,'Mov Entradas (Rel 10497)'!$I:$I,0)),"nao encontrado")</f>
        <v>TRIDENT CANELA</v>
      </c>
      <c r="AC1983" s="0" t="n">
        <v>689224</v>
      </c>
    </row>
    <row r="1984" customFormat="false" ht="45.75" hidden="false" customHeight="true" outlineLevel="0" collapsed="false">
      <c r="A1984" s="9" t="n">
        <v>2</v>
      </c>
      <c r="B1984" s="10" t="n">
        <v>46273</v>
      </c>
      <c r="C1984" s="10" t="n">
        <v>46277</v>
      </c>
      <c r="D1984" s="9" t="n">
        <v>10019</v>
      </c>
      <c r="E1984" s="11" t="s">
        <v>268</v>
      </c>
      <c r="F1984" s="9" t="n">
        <v>24</v>
      </c>
      <c r="G1984" s="11" t="s">
        <v>51</v>
      </c>
      <c r="H1984" s="9" t="n">
        <v>2110405</v>
      </c>
      <c r="I1984" s="11" t="s">
        <v>56</v>
      </c>
      <c r="J1984" s="9" t="n">
        <v>1673166</v>
      </c>
      <c r="L1984" s="9" t="n">
        <v>229409</v>
      </c>
      <c r="M1984" s="11" t="s">
        <v>52</v>
      </c>
      <c r="N1984" s="11" t="s">
        <v>45</v>
      </c>
      <c r="P1984" s="9" t="n">
        <v>113</v>
      </c>
      <c r="Q1984" s="11" t="s">
        <v>46</v>
      </c>
      <c r="R1984" s="11" t="s">
        <v>47</v>
      </c>
      <c r="S1984" s="9" t="n">
        <v>1130101</v>
      </c>
      <c r="T1984" s="11" t="s">
        <v>48</v>
      </c>
      <c r="U1984" s="12" t="n">
        <v>309.71</v>
      </c>
      <c r="W1984" s="12" t="n">
        <v>309.71</v>
      </c>
      <c r="X1984" s="11" t="s">
        <v>1705</v>
      </c>
      <c r="Z1984" s="0" t="str">
        <f aca="false">IF($T1984="","",IFERROR(INDEX('Resumo Grupos'!$AC$3:$AC$200,MATCH($T1984,'Resumo Grupos'!$AB$3:$AB$200,0)),"n/d"))</f>
        <v>Mercadoria</v>
      </c>
      <c r="AA1984" s="0" t="str">
        <f aca="false">IF($T1984="","",IF(COUNTIF('Resumo Grupos'!$AE$3:$AE$40,$T1984)&gt;0,"NAO","SIM"))</f>
        <v>SIM</v>
      </c>
      <c r="AB1984" s="0" t="str">
        <f aca="false">IFERROR(INDEX('Mov Entradas (Rel 10497)'!$L:$L,MATCH(AC1984,'Mov Entradas (Rel 10497)'!$I:$I,0)),"nao encontrado")</f>
        <v>PERNIL SUINO KG</v>
      </c>
      <c r="AC1984" s="0" t="n">
        <v>33408</v>
      </c>
    </row>
    <row r="1985" customFormat="false" ht="54.75" hidden="false" customHeight="true" outlineLevel="0" collapsed="false">
      <c r="A1985" s="9" t="n">
        <v>2</v>
      </c>
      <c r="B1985" s="10" t="n">
        <v>46277</v>
      </c>
      <c r="C1985" s="10" t="n">
        <v>46277</v>
      </c>
      <c r="D1985" s="9" t="n">
        <v>0</v>
      </c>
      <c r="E1985" s="11" t="s">
        <v>109</v>
      </c>
      <c r="F1985" s="9" t="n">
        <v>17</v>
      </c>
      <c r="G1985" s="11" t="s">
        <v>110</v>
      </c>
      <c r="H1985" s="9" t="n">
        <v>1110101</v>
      </c>
      <c r="I1985" s="11" t="s">
        <v>111</v>
      </c>
      <c r="J1985" s="9" t="n">
        <v>1700733</v>
      </c>
      <c r="L1985" s="9" t="n">
        <v>1700733</v>
      </c>
      <c r="M1985" s="11" t="s">
        <v>52</v>
      </c>
      <c r="N1985" s="11" t="s">
        <v>112</v>
      </c>
      <c r="P1985" s="9" t="n">
        <v>113</v>
      </c>
      <c r="Q1985" s="11" t="s">
        <v>46</v>
      </c>
      <c r="R1985" s="11" t="s">
        <v>71</v>
      </c>
      <c r="S1985" s="9" t="n">
        <v>4210314</v>
      </c>
      <c r="T1985" s="11" t="s">
        <v>113</v>
      </c>
      <c r="U1985" s="12" t="n">
        <v>50</v>
      </c>
      <c r="W1985" s="12" t="n">
        <v>50</v>
      </c>
      <c r="X1985" s="11" t="s">
        <v>368</v>
      </c>
      <c r="Z1985" s="0" t="str">
        <f aca="false">IF($T1985="","",IFERROR(INDEX('Resumo Grupos'!$AC$3:$AC$200,MATCH($T1985,'Resumo Grupos'!$AB$3:$AB$200,0)),"n/d"))</f>
        <v>Despesa</v>
      </c>
      <c r="AA1985" s="0" t="str">
        <f aca="false">IF($T1985="","",IF(COUNTIF('Resumo Grupos'!$AE$3:$AE$40,$T1985)&gt;0,"NAO","SIM"))</f>
        <v>SIM</v>
      </c>
    </row>
    <row r="1986" customFormat="false" ht="45.75" hidden="false" customHeight="true" outlineLevel="0" collapsed="false">
      <c r="A1986" s="9" t="n">
        <v>2</v>
      </c>
      <c r="B1986" s="10" t="n">
        <v>46277</v>
      </c>
      <c r="C1986" s="10" t="n">
        <v>46277</v>
      </c>
      <c r="D1986" s="9" t="n">
        <v>0</v>
      </c>
      <c r="E1986" s="11" t="s">
        <v>109</v>
      </c>
      <c r="F1986" s="9" t="n">
        <v>17</v>
      </c>
      <c r="G1986" s="11" t="s">
        <v>110</v>
      </c>
      <c r="H1986" s="9" t="n">
        <v>1110101</v>
      </c>
      <c r="I1986" s="11" t="s">
        <v>111</v>
      </c>
      <c r="J1986" s="9" t="n">
        <v>1700735</v>
      </c>
      <c r="L1986" s="9" t="n">
        <v>1700735</v>
      </c>
      <c r="M1986" s="11" t="s">
        <v>52</v>
      </c>
      <c r="N1986" s="11" t="s">
        <v>112</v>
      </c>
      <c r="P1986" s="9" t="n">
        <v>113</v>
      </c>
      <c r="Q1986" s="11" t="s">
        <v>46</v>
      </c>
      <c r="R1986" s="11" t="s">
        <v>71</v>
      </c>
      <c r="S1986" s="9" t="n">
        <v>4210314</v>
      </c>
      <c r="T1986" s="11" t="s">
        <v>113</v>
      </c>
      <c r="U1986" s="12" t="n">
        <v>100</v>
      </c>
      <c r="W1986" s="12" t="n">
        <v>100</v>
      </c>
      <c r="X1986" s="11" t="s">
        <v>1706</v>
      </c>
      <c r="Z1986" s="0" t="str">
        <f aca="false">IF($T1986="","",IFERROR(INDEX('Resumo Grupos'!$AC$3:$AC$200,MATCH($T1986,'Resumo Grupos'!$AB$3:$AB$200,0)),"n/d"))</f>
        <v>Despesa</v>
      </c>
      <c r="AA1986" s="0" t="str">
        <f aca="false">IF($T1986="","",IF(COUNTIF('Resumo Grupos'!$AE$3:$AE$40,$T1986)&gt;0,"NAO","SIM"))</f>
        <v>SIM</v>
      </c>
    </row>
    <row r="1987" customFormat="false" ht="45.75" hidden="false" customHeight="true" outlineLevel="0" collapsed="false">
      <c r="A1987" s="9" t="n">
        <v>2</v>
      </c>
      <c r="B1987" s="10" t="n">
        <v>46277</v>
      </c>
      <c r="C1987" s="10" t="n">
        <v>46277</v>
      </c>
      <c r="D1987" s="9" t="n">
        <v>0</v>
      </c>
      <c r="E1987" s="11" t="s">
        <v>109</v>
      </c>
      <c r="F1987" s="9" t="n">
        <v>17</v>
      </c>
      <c r="G1987" s="11" t="s">
        <v>110</v>
      </c>
      <c r="H1987" s="9" t="n">
        <v>1110101</v>
      </c>
      <c r="I1987" s="11" t="s">
        <v>111</v>
      </c>
      <c r="J1987" s="9" t="n">
        <v>1700736</v>
      </c>
      <c r="L1987" s="9" t="n">
        <v>1700736</v>
      </c>
      <c r="M1987" s="11" t="s">
        <v>52</v>
      </c>
      <c r="N1987" s="11" t="s">
        <v>112</v>
      </c>
      <c r="P1987" s="9" t="n">
        <v>113</v>
      </c>
      <c r="Q1987" s="11" t="s">
        <v>46</v>
      </c>
      <c r="R1987" s="11" t="s">
        <v>71</v>
      </c>
      <c r="S1987" s="9" t="n">
        <v>4210310</v>
      </c>
      <c r="T1987" s="11" t="s">
        <v>126</v>
      </c>
      <c r="U1987" s="12" t="n">
        <v>10</v>
      </c>
      <c r="W1987" s="12" t="n">
        <v>10</v>
      </c>
      <c r="X1987" s="11" t="s">
        <v>1707</v>
      </c>
      <c r="Z1987" s="0" t="str">
        <f aca="false">IF($T1987="","",IFERROR(INDEX('Resumo Grupos'!$AC$3:$AC$200,MATCH($T1987,'Resumo Grupos'!$AB$3:$AB$200,0)),"n/d"))</f>
        <v>Despesa</v>
      </c>
      <c r="AA1987" s="0" t="str">
        <f aca="false">IF($T1987="","",IF(COUNTIF('Resumo Grupos'!$AE$3:$AE$40,$T1987)&gt;0,"NAO","SIM"))</f>
        <v>SIM</v>
      </c>
    </row>
    <row r="1988" customFormat="false" ht="45.75" hidden="false" customHeight="true" outlineLevel="0" collapsed="false">
      <c r="A1988" s="9" t="n">
        <v>2</v>
      </c>
      <c r="B1988" s="10" t="n">
        <v>46277</v>
      </c>
      <c r="C1988" s="10" t="n">
        <v>46277</v>
      </c>
      <c r="D1988" s="9" t="n">
        <v>0</v>
      </c>
      <c r="E1988" s="11" t="s">
        <v>109</v>
      </c>
      <c r="F1988" s="9" t="n">
        <v>17</v>
      </c>
      <c r="G1988" s="11" t="s">
        <v>110</v>
      </c>
      <c r="H1988" s="9" t="n">
        <v>1110101</v>
      </c>
      <c r="I1988" s="11" t="s">
        <v>111</v>
      </c>
      <c r="J1988" s="9" t="n">
        <v>1700739</v>
      </c>
      <c r="L1988" s="9" t="n">
        <v>1700739</v>
      </c>
      <c r="M1988" s="11" t="s">
        <v>52</v>
      </c>
      <c r="N1988" s="11" t="s">
        <v>112</v>
      </c>
      <c r="P1988" s="9" t="n">
        <v>113</v>
      </c>
      <c r="Q1988" s="11" t="s">
        <v>46</v>
      </c>
      <c r="R1988" s="11" t="s">
        <v>71</v>
      </c>
      <c r="S1988" s="9" t="n">
        <v>4210316</v>
      </c>
      <c r="T1988" s="11" t="s">
        <v>159</v>
      </c>
      <c r="U1988" s="12" t="n">
        <v>400</v>
      </c>
      <c r="W1988" s="12" t="n">
        <v>400</v>
      </c>
      <c r="X1988" s="11" t="s">
        <v>1708</v>
      </c>
      <c r="Z1988" s="0" t="str">
        <f aca="false">IF($T1988="","",IFERROR(INDEX('Resumo Grupos'!$AC$3:$AC$200,MATCH($T1988,'Resumo Grupos'!$AB$3:$AB$200,0)),"n/d"))</f>
        <v>Salários</v>
      </c>
      <c r="AA1988" s="0" t="str">
        <f aca="false">IF($T1988="","",IF(COUNTIF('Resumo Grupos'!$AE$3:$AE$40,$T1988)&gt;0,"NAO","SIM"))</f>
        <v>SIM</v>
      </c>
    </row>
    <row r="1989" customFormat="false" ht="36.75" hidden="false" customHeight="true" outlineLevel="0" collapsed="false">
      <c r="A1989" s="9" t="n">
        <v>2</v>
      </c>
      <c r="B1989" s="10" t="n">
        <v>46277</v>
      </c>
      <c r="C1989" s="10" t="n">
        <v>46277</v>
      </c>
      <c r="D1989" s="9" t="n">
        <v>0</v>
      </c>
      <c r="E1989" s="11" t="s">
        <v>109</v>
      </c>
      <c r="F1989" s="9" t="n">
        <v>17</v>
      </c>
      <c r="G1989" s="11" t="s">
        <v>110</v>
      </c>
      <c r="H1989" s="9" t="n">
        <v>1110101</v>
      </c>
      <c r="I1989" s="11" t="s">
        <v>111</v>
      </c>
      <c r="J1989" s="9" t="n">
        <v>1700740</v>
      </c>
      <c r="L1989" s="9" t="n">
        <v>1700740</v>
      </c>
      <c r="M1989" s="11" t="s">
        <v>52</v>
      </c>
      <c r="N1989" s="11" t="s">
        <v>112</v>
      </c>
      <c r="P1989" s="9" t="n">
        <v>113</v>
      </c>
      <c r="Q1989" s="11" t="s">
        <v>46</v>
      </c>
      <c r="R1989" s="11" t="s">
        <v>71</v>
      </c>
      <c r="S1989" s="9" t="n">
        <v>4210309</v>
      </c>
      <c r="T1989" s="11" t="s">
        <v>72</v>
      </c>
      <c r="U1989" s="12" t="n">
        <v>10</v>
      </c>
      <c r="W1989" s="12" t="n">
        <v>10</v>
      </c>
      <c r="X1989" s="11" t="s">
        <v>1552</v>
      </c>
      <c r="Z1989" s="0" t="str">
        <f aca="false">IF($T1989="","",IFERROR(INDEX('Resumo Grupos'!$AC$3:$AC$200,MATCH($T1989,'Resumo Grupos'!$AB$3:$AB$200,0)),"n/d"))</f>
        <v>Salários</v>
      </c>
      <c r="AA1989" s="0" t="str">
        <f aca="false">IF($T1989="","",IF(COUNTIF('Resumo Grupos'!$AE$3:$AE$40,$T1989)&gt;0,"NAO","SIM"))</f>
        <v>SIM</v>
      </c>
    </row>
    <row r="1990" customFormat="false" ht="54.75" hidden="false" customHeight="true" outlineLevel="0" collapsed="false">
      <c r="A1990" s="9" t="n">
        <v>2</v>
      </c>
      <c r="B1990" s="10" t="n">
        <v>46277</v>
      </c>
      <c r="C1990" s="10" t="n">
        <v>46277</v>
      </c>
      <c r="D1990" s="9" t="n">
        <v>0</v>
      </c>
      <c r="E1990" s="11" t="s">
        <v>109</v>
      </c>
      <c r="F1990" s="9" t="n">
        <v>17</v>
      </c>
      <c r="G1990" s="11" t="s">
        <v>110</v>
      </c>
      <c r="H1990" s="9" t="n">
        <v>1110101</v>
      </c>
      <c r="I1990" s="11" t="s">
        <v>111</v>
      </c>
      <c r="J1990" s="9" t="n">
        <v>1700742</v>
      </c>
      <c r="L1990" s="9" t="n">
        <v>1700742</v>
      </c>
      <c r="M1990" s="11" t="s">
        <v>52</v>
      </c>
      <c r="N1990" s="11" t="s">
        <v>112</v>
      </c>
      <c r="P1990" s="9" t="n">
        <v>113</v>
      </c>
      <c r="Q1990" s="11" t="s">
        <v>46</v>
      </c>
      <c r="R1990" s="11" t="s">
        <v>71</v>
      </c>
      <c r="S1990" s="9" t="n">
        <v>4210314</v>
      </c>
      <c r="T1990" s="11" t="s">
        <v>113</v>
      </c>
      <c r="U1990" s="12" t="n">
        <v>50</v>
      </c>
      <c r="W1990" s="12" t="n">
        <v>50</v>
      </c>
      <c r="X1990" s="11" t="s">
        <v>187</v>
      </c>
      <c r="Z1990" s="0" t="str">
        <f aca="false">IF($T1990="","",IFERROR(INDEX('Resumo Grupos'!$AC$3:$AC$200,MATCH($T1990,'Resumo Grupos'!$AB$3:$AB$200,0)),"n/d"))</f>
        <v>Despesa</v>
      </c>
      <c r="AA1990" s="0" t="str">
        <f aca="false">IF($T1990="","",IF(COUNTIF('Resumo Grupos'!$AE$3:$AE$40,$T1990)&gt;0,"NAO","SIM"))</f>
        <v>SIM</v>
      </c>
    </row>
    <row r="1991" customFormat="false" ht="45.75" hidden="false" customHeight="true" outlineLevel="0" collapsed="false">
      <c r="A1991" s="9" t="n">
        <v>2</v>
      </c>
      <c r="B1991" s="10" t="n">
        <v>46277</v>
      </c>
      <c r="C1991" s="10" t="n">
        <v>46277</v>
      </c>
      <c r="D1991" s="9" t="n">
        <v>0</v>
      </c>
      <c r="E1991" s="11" t="s">
        <v>109</v>
      </c>
      <c r="F1991" s="9" t="n">
        <v>17</v>
      </c>
      <c r="G1991" s="11" t="s">
        <v>110</v>
      </c>
      <c r="H1991" s="9" t="n">
        <v>1110101</v>
      </c>
      <c r="I1991" s="11" t="s">
        <v>111</v>
      </c>
      <c r="J1991" s="9" t="n">
        <v>1716460</v>
      </c>
      <c r="L1991" s="9" t="n">
        <v>1716460</v>
      </c>
      <c r="M1991" s="11" t="s">
        <v>52</v>
      </c>
      <c r="N1991" s="11" t="s">
        <v>112</v>
      </c>
      <c r="P1991" s="9" t="n">
        <v>113</v>
      </c>
      <c r="Q1991" s="11" t="s">
        <v>46</v>
      </c>
      <c r="R1991" s="11" t="s">
        <v>116</v>
      </c>
      <c r="S1991" s="9" t="n">
        <v>1110203</v>
      </c>
      <c r="T1991" s="11" t="s">
        <v>117</v>
      </c>
      <c r="U1991" s="12" t="n">
        <v>1750</v>
      </c>
      <c r="W1991" s="12" t="n">
        <v>1750</v>
      </c>
      <c r="X1991" s="11" t="s">
        <v>1709</v>
      </c>
      <c r="Z1991" s="0" t="str">
        <f aca="false">IF($T1991="","",IFERROR(INDEX('Resumo Grupos'!$AC$3:$AC$200,MATCH($T1991,'Resumo Grupos'!$AB$3:$AB$200,0)),"n/d"))</f>
        <v>Despesa</v>
      </c>
      <c r="AA1991" s="0" t="str">
        <f aca="false">IF($T1991="","",IF(COUNTIF('Resumo Grupos'!$AE$3:$AE$40,$T1991)&gt;0,"NAO","SIM"))</f>
        <v>SIM</v>
      </c>
    </row>
    <row r="1992" customFormat="false" ht="27.75" hidden="false" customHeight="true" outlineLevel="0" collapsed="false">
      <c r="A1992" s="9" t="n">
        <v>2</v>
      </c>
      <c r="B1992" s="10" t="n">
        <v>46261</v>
      </c>
      <c r="C1992" s="10" t="n">
        <v>46277</v>
      </c>
      <c r="D1992" s="9" t="n">
        <v>1671</v>
      </c>
      <c r="E1992" s="11" t="s">
        <v>119</v>
      </c>
      <c r="F1992" s="9" t="n">
        <v>24</v>
      </c>
      <c r="G1992" s="11" t="s">
        <v>51</v>
      </c>
      <c r="H1992" s="9" t="n">
        <v>2110405</v>
      </c>
      <c r="I1992" s="11" t="s">
        <v>56</v>
      </c>
      <c r="J1992" s="9" t="n">
        <v>1610059</v>
      </c>
      <c r="L1992" s="9" t="n">
        <v>220696</v>
      </c>
      <c r="M1992" s="11" t="s">
        <v>52</v>
      </c>
      <c r="N1992" s="11" t="s">
        <v>45</v>
      </c>
      <c r="P1992" s="9" t="n">
        <v>113</v>
      </c>
      <c r="Q1992" s="11" t="s">
        <v>46</v>
      </c>
      <c r="R1992" s="11" t="s">
        <v>47</v>
      </c>
      <c r="S1992" s="9" t="n">
        <v>1130101</v>
      </c>
      <c r="T1992" s="11" t="s">
        <v>48</v>
      </c>
      <c r="U1992" s="12" t="n">
        <v>271.46</v>
      </c>
      <c r="W1992" s="12" t="n">
        <v>271.46</v>
      </c>
      <c r="X1992" s="11" t="s">
        <v>1710</v>
      </c>
      <c r="Z1992" s="0" t="str">
        <f aca="false">IF($T1992="","",IFERROR(INDEX('Resumo Grupos'!$AC$3:$AC$200,MATCH($T1992,'Resumo Grupos'!$AB$3:$AB$200,0)),"n/d"))</f>
        <v>Mercadoria</v>
      </c>
      <c r="AA1992" s="0" t="str">
        <f aca="false">IF($T1992="","",IF(COUNTIF('Resumo Grupos'!$AE$3:$AE$40,$T1992)&gt;0,"NAO","SIM"))</f>
        <v>SIM</v>
      </c>
      <c r="AB1992" s="0" t="str">
        <f aca="false">IFERROR(INDEX('Mov Entradas (Rel 10497)'!$L:$L,MATCH(AC1992,'Mov Entradas (Rel 10497)'!$I:$I,0)),"nao encontrado")</f>
        <v>AER NIVEA DRY 150ML</v>
      </c>
      <c r="AC1992" s="0" t="n">
        <v>588254</v>
      </c>
    </row>
    <row r="1993" customFormat="false" ht="45.75" hidden="false" customHeight="true" outlineLevel="0" collapsed="false">
      <c r="A1993" s="9" t="n">
        <v>2</v>
      </c>
      <c r="B1993" s="10" t="n">
        <v>46273</v>
      </c>
      <c r="C1993" s="10" t="n">
        <v>46278</v>
      </c>
      <c r="D1993" s="9" t="n">
        <v>901</v>
      </c>
      <c r="E1993" s="11" t="s">
        <v>332</v>
      </c>
      <c r="F1993" s="9" t="n">
        <v>24</v>
      </c>
      <c r="G1993" s="11" t="s">
        <v>51</v>
      </c>
      <c r="H1993" s="9" t="n">
        <v>2110405</v>
      </c>
      <c r="I1993" s="11" t="s">
        <v>56</v>
      </c>
      <c r="J1993" s="9" t="n">
        <v>1672379</v>
      </c>
      <c r="L1993" s="9" t="n">
        <v>229226</v>
      </c>
      <c r="M1993" s="11" t="s">
        <v>52</v>
      </c>
      <c r="N1993" s="11" t="s">
        <v>45</v>
      </c>
      <c r="P1993" s="9" t="n">
        <v>113</v>
      </c>
      <c r="Q1993" s="11" t="s">
        <v>46</v>
      </c>
      <c r="R1993" s="11" t="s">
        <v>47</v>
      </c>
      <c r="S1993" s="9" t="n">
        <v>1130101</v>
      </c>
      <c r="T1993" s="11" t="s">
        <v>48</v>
      </c>
      <c r="U1993" s="12" t="n">
        <v>660</v>
      </c>
      <c r="W1993" s="12" t="n">
        <v>660</v>
      </c>
      <c r="X1993" s="11" t="s">
        <v>1711</v>
      </c>
      <c r="Z1993" s="0" t="str">
        <f aca="false">IF($T1993="","",IFERROR(INDEX('Resumo Grupos'!$AC$3:$AC$200,MATCH($T1993,'Resumo Grupos'!$AB$3:$AB$200,0)),"n/d"))</f>
        <v>Mercadoria</v>
      </c>
      <c r="AA1993" s="0" t="str">
        <f aca="false">IF($T1993="","",IF(COUNTIF('Resumo Grupos'!$AE$3:$AE$40,$T1993)&gt;0,"NAO","SIM"))</f>
        <v>SIM</v>
      </c>
      <c r="AB1993" s="0" t="str">
        <f aca="false">IFERROR(INDEX('Mov Entradas (Rel 10497)'!$L:$L,MATCH(AC1993,'Mov Entradas (Rel 10497)'!$I:$I,0)),"nao encontrado")</f>
        <v>MARSHMALOW NO PALITO</v>
      </c>
      <c r="AC1993" s="0" t="n">
        <v>502</v>
      </c>
    </row>
    <row r="1994" customFormat="false" ht="54.75" hidden="false" customHeight="true" outlineLevel="0" collapsed="false">
      <c r="A1994" s="9" t="n">
        <v>2</v>
      </c>
      <c r="B1994" s="10" t="n">
        <v>46278</v>
      </c>
      <c r="C1994" s="10" t="n">
        <v>46278</v>
      </c>
      <c r="D1994" s="9" t="n">
        <v>0</v>
      </c>
      <c r="E1994" s="11" t="s">
        <v>109</v>
      </c>
      <c r="F1994" s="9" t="n">
        <v>17</v>
      </c>
      <c r="G1994" s="11" t="s">
        <v>110</v>
      </c>
      <c r="H1994" s="9" t="n">
        <v>1110101</v>
      </c>
      <c r="I1994" s="11" t="s">
        <v>111</v>
      </c>
      <c r="J1994" s="9" t="n">
        <v>1700781</v>
      </c>
      <c r="L1994" s="9" t="n">
        <v>1700781</v>
      </c>
      <c r="M1994" s="11" t="s">
        <v>52</v>
      </c>
      <c r="N1994" s="11" t="s">
        <v>112</v>
      </c>
      <c r="P1994" s="9" t="n">
        <v>113</v>
      </c>
      <c r="Q1994" s="11" t="s">
        <v>46</v>
      </c>
      <c r="R1994" s="11" t="s">
        <v>39</v>
      </c>
      <c r="S1994" s="9" t="n">
        <v>4210227</v>
      </c>
      <c r="T1994" s="11" t="s">
        <v>68</v>
      </c>
      <c r="U1994" s="12" t="n">
        <v>10.5</v>
      </c>
      <c r="W1994" s="12" t="n">
        <v>10.5</v>
      </c>
      <c r="X1994" s="11" t="s">
        <v>1712</v>
      </c>
      <c r="Z1994" s="0" t="str">
        <f aca="false">IF($T1994="","",IFERROR(INDEX('Resumo Grupos'!$AC$3:$AC$200,MATCH($T1994,'Resumo Grupos'!$AB$3:$AB$200,0)),"n/d"))</f>
        <v>Despesa</v>
      </c>
      <c r="AA1994" s="0" t="str">
        <f aca="false">IF($T1994="","",IF(COUNTIF('Resumo Grupos'!$AE$3:$AE$40,$T1994)&gt;0,"NAO","SIM"))</f>
        <v>SIM</v>
      </c>
    </row>
    <row r="1995" customFormat="false" ht="54.75" hidden="false" customHeight="true" outlineLevel="0" collapsed="false">
      <c r="A1995" s="9" t="n">
        <v>2</v>
      </c>
      <c r="B1995" s="10" t="n">
        <v>46278</v>
      </c>
      <c r="C1995" s="10" t="n">
        <v>46278</v>
      </c>
      <c r="D1995" s="9" t="n">
        <v>0</v>
      </c>
      <c r="E1995" s="11" t="s">
        <v>109</v>
      </c>
      <c r="F1995" s="9" t="n">
        <v>17</v>
      </c>
      <c r="G1995" s="11" t="s">
        <v>110</v>
      </c>
      <c r="H1995" s="9" t="n">
        <v>1110101</v>
      </c>
      <c r="I1995" s="11" t="s">
        <v>111</v>
      </c>
      <c r="J1995" s="9" t="n">
        <v>1700784</v>
      </c>
      <c r="L1995" s="9" t="n">
        <v>1700784</v>
      </c>
      <c r="M1995" s="11" t="s">
        <v>52</v>
      </c>
      <c r="N1995" s="11" t="s">
        <v>112</v>
      </c>
      <c r="P1995" s="9" t="n">
        <v>113</v>
      </c>
      <c r="Q1995" s="11" t="s">
        <v>46</v>
      </c>
      <c r="R1995" s="11" t="s">
        <v>71</v>
      </c>
      <c r="S1995" s="9" t="n">
        <v>4210310</v>
      </c>
      <c r="T1995" s="11" t="s">
        <v>126</v>
      </c>
      <c r="U1995" s="12" t="n">
        <v>96</v>
      </c>
      <c r="W1995" s="12" t="n">
        <v>96</v>
      </c>
      <c r="X1995" s="11" t="s">
        <v>283</v>
      </c>
      <c r="Z1995" s="0" t="str">
        <f aca="false">IF($T1995="","",IFERROR(INDEX('Resumo Grupos'!$AC$3:$AC$200,MATCH($T1995,'Resumo Grupos'!$AB$3:$AB$200,0)),"n/d"))</f>
        <v>Despesa</v>
      </c>
      <c r="AA1995" s="0" t="str">
        <f aca="false">IF($T1995="","",IF(COUNTIF('Resumo Grupos'!$AE$3:$AE$40,$T1995)&gt;0,"NAO","SIM"))</f>
        <v>SIM</v>
      </c>
    </row>
    <row r="1996" customFormat="false" ht="45.75" hidden="false" customHeight="true" outlineLevel="0" collapsed="false">
      <c r="A1996" s="9" t="n">
        <v>2</v>
      </c>
      <c r="B1996" s="10" t="n">
        <v>46278</v>
      </c>
      <c r="C1996" s="10" t="n">
        <v>46278</v>
      </c>
      <c r="D1996" s="9" t="n">
        <v>0</v>
      </c>
      <c r="E1996" s="11" t="s">
        <v>109</v>
      </c>
      <c r="F1996" s="9" t="n">
        <v>17</v>
      </c>
      <c r="G1996" s="11" t="s">
        <v>110</v>
      </c>
      <c r="H1996" s="9" t="n">
        <v>1110101</v>
      </c>
      <c r="I1996" s="11" t="s">
        <v>111</v>
      </c>
      <c r="J1996" s="9" t="n">
        <v>1700786</v>
      </c>
      <c r="L1996" s="9" t="n">
        <v>1700786</v>
      </c>
      <c r="M1996" s="11" t="s">
        <v>52</v>
      </c>
      <c r="N1996" s="11" t="s">
        <v>112</v>
      </c>
      <c r="P1996" s="9" t="n">
        <v>113</v>
      </c>
      <c r="Q1996" s="11" t="s">
        <v>46</v>
      </c>
      <c r="R1996" s="11" t="s">
        <v>71</v>
      </c>
      <c r="S1996" s="9" t="n">
        <v>4210314</v>
      </c>
      <c r="T1996" s="11" t="s">
        <v>113</v>
      </c>
      <c r="U1996" s="12" t="n">
        <v>70</v>
      </c>
      <c r="W1996" s="12" t="n">
        <v>70</v>
      </c>
      <c r="X1996" s="11" t="s">
        <v>368</v>
      </c>
      <c r="Z1996" s="0" t="str">
        <f aca="false">IF($T1996="","",IFERROR(INDEX('Resumo Grupos'!$AC$3:$AC$200,MATCH($T1996,'Resumo Grupos'!$AB$3:$AB$200,0)),"n/d"))</f>
        <v>Despesa</v>
      </c>
      <c r="AA1996" s="0" t="str">
        <f aca="false">IF($T1996="","",IF(COUNTIF('Resumo Grupos'!$AE$3:$AE$40,$T1996)&gt;0,"NAO","SIM"))</f>
        <v>SIM</v>
      </c>
    </row>
    <row r="1997" customFormat="false" ht="36.75" hidden="false" customHeight="true" outlineLevel="0" collapsed="false">
      <c r="A1997" s="9" t="n">
        <v>2</v>
      </c>
      <c r="B1997" s="10" t="n">
        <v>46278</v>
      </c>
      <c r="C1997" s="10" t="n">
        <v>46278</v>
      </c>
      <c r="D1997" s="9" t="n">
        <v>0</v>
      </c>
      <c r="E1997" s="11" t="s">
        <v>109</v>
      </c>
      <c r="F1997" s="9" t="n">
        <v>17</v>
      </c>
      <c r="G1997" s="11" t="s">
        <v>110</v>
      </c>
      <c r="H1997" s="9" t="n">
        <v>1110101</v>
      </c>
      <c r="I1997" s="11" t="s">
        <v>111</v>
      </c>
      <c r="J1997" s="9" t="n">
        <v>1716462</v>
      </c>
      <c r="L1997" s="9" t="n">
        <v>1716462</v>
      </c>
      <c r="M1997" s="11" t="s">
        <v>52</v>
      </c>
      <c r="N1997" s="11" t="s">
        <v>112</v>
      </c>
      <c r="P1997" s="9" t="n">
        <v>113</v>
      </c>
      <c r="Q1997" s="11" t="s">
        <v>46</v>
      </c>
      <c r="R1997" s="11" t="s">
        <v>116</v>
      </c>
      <c r="S1997" s="9" t="n">
        <v>1110203</v>
      </c>
      <c r="T1997" s="11" t="s">
        <v>117</v>
      </c>
      <c r="U1997" s="12" t="n">
        <v>2150</v>
      </c>
      <c r="W1997" s="12" t="n">
        <v>2150</v>
      </c>
      <c r="X1997" s="11" t="s">
        <v>1713</v>
      </c>
      <c r="Z1997" s="0" t="str">
        <f aca="false">IF($T1997="","",IFERROR(INDEX('Resumo Grupos'!$AC$3:$AC$200,MATCH($T1997,'Resumo Grupos'!$AB$3:$AB$200,0)),"n/d"))</f>
        <v>Despesa</v>
      </c>
      <c r="AA1997" s="0" t="str">
        <f aca="false">IF($T1997="","",IF(COUNTIF('Resumo Grupos'!$AE$3:$AE$40,$T1997)&gt;0,"NAO","SIM"))</f>
        <v>SIM</v>
      </c>
    </row>
    <row r="1998" customFormat="false" ht="36.75" hidden="false" customHeight="true" outlineLevel="0" collapsed="false">
      <c r="A1998" s="9" t="n">
        <v>2</v>
      </c>
      <c r="B1998" s="10" t="n">
        <v>46279</v>
      </c>
      <c r="C1998" s="10" t="n">
        <v>46279</v>
      </c>
      <c r="D1998" s="9" t="n">
        <v>52</v>
      </c>
      <c r="E1998" s="11" t="s">
        <v>219</v>
      </c>
      <c r="F1998" s="9" t="n">
        <v>34</v>
      </c>
      <c r="G1998" s="11" t="s">
        <v>55</v>
      </c>
      <c r="H1998" s="9" t="n">
        <v>2110405</v>
      </c>
      <c r="I1998" s="11" t="s">
        <v>56</v>
      </c>
      <c r="J1998" s="9" t="n">
        <v>1702189</v>
      </c>
      <c r="L1998" s="9" t="n">
        <v>233611</v>
      </c>
      <c r="M1998" s="11" t="s">
        <v>52</v>
      </c>
      <c r="N1998" s="11" t="s">
        <v>45</v>
      </c>
      <c r="P1998" s="9" t="n">
        <v>113</v>
      </c>
      <c r="Q1998" s="11" t="s">
        <v>46</v>
      </c>
      <c r="R1998" s="11" t="s">
        <v>71</v>
      </c>
      <c r="S1998" s="9" t="n">
        <v>4210301</v>
      </c>
      <c r="T1998" s="11" t="s">
        <v>220</v>
      </c>
      <c r="U1998" s="12" t="n">
        <v>200</v>
      </c>
      <c r="W1998" s="12" t="n">
        <v>200</v>
      </c>
      <c r="X1998" s="11" t="s">
        <v>1714</v>
      </c>
      <c r="Z1998" s="0" t="str">
        <f aca="false">IF($T1998="","",IFERROR(INDEX('Resumo Grupos'!$AC$3:$AC$200,MATCH($T1998,'Resumo Grupos'!$AB$3:$AB$200,0)),"n/d"))</f>
        <v>Salários</v>
      </c>
      <c r="AA1998" s="0" t="str">
        <f aca="false">IF($T1998="","",IF(COUNTIF('Resumo Grupos'!$AE$3:$AE$40,$T1998)&gt;0,"NAO","SIM"))</f>
        <v>SIM</v>
      </c>
    </row>
    <row r="1999" customFormat="false" ht="36.75" hidden="false" customHeight="true" outlineLevel="0" collapsed="false">
      <c r="A1999" s="9" t="n">
        <v>2</v>
      </c>
      <c r="B1999" s="10" t="n">
        <v>46268</v>
      </c>
      <c r="C1999" s="10" t="n">
        <v>46279</v>
      </c>
      <c r="D1999" s="9" t="n">
        <v>1621</v>
      </c>
      <c r="E1999" s="11" t="s">
        <v>232</v>
      </c>
      <c r="F1999" s="9" t="n">
        <v>24</v>
      </c>
      <c r="G1999" s="11" t="s">
        <v>51</v>
      </c>
      <c r="H1999" s="9" t="n">
        <v>2110405</v>
      </c>
      <c r="I1999" s="11" t="s">
        <v>56</v>
      </c>
      <c r="J1999" s="9" t="n">
        <v>1646646</v>
      </c>
      <c r="L1999" s="9" t="n">
        <v>226012</v>
      </c>
      <c r="M1999" s="11" t="s">
        <v>52</v>
      </c>
      <c r="N1999" s="11" t="s">
        <v>45</v>
      </c>
      <c r="P1999" s="9" t="n">
        <v>113</v>
      </c>
      <c r="Q1999" s="11" t="s">
        <v>46</v>
      </c>
      <c r="R1999" s="11" t="s">
        <v>47</v>
      </c>
      <c r="S1999" s="9" t="n">
        <v>1130101</v>
      </c>
      <c r="T1999" s="11" t="s">
        <v>48</v>
      </c>
      <c r="U1999" s="12" t="n">
        <v>489.74</v>
      </c>
      <c r="W1999" s="12" t="n">
        <v>489.74</v>
      </c>
      <c r="X1999" s="11" t="s">
        <v>1715</v>
      </c>
      <c r="Z1999" s="0" t="str">
        <f aca="false">IF($T1999="","",IFERROR(INDEX('Resumo Grupos'!$AC$3:$AC$200,MATCH($T1999,'Resumo Grupos'!$AB$3:$AB$200,0)),"n/d"))</f>
        <v>Mercadoria</v>
      </c>
      <c r="AA1999" s="0" t="str">
        <f aca="false">IF($T1999="","",IF(COUNTIF('Resumo Grupos'!$AE$3:$AE$40,$T1999)&gt;0,"NAO","SIM"))</f>
        <v>SIM</v>
      </c>
      <c r="AB1999" s="0" t="str">
        <f aca="false">IFERROR(INDEX('Mov Entradas (Rel 10497)'!$L:$L,MATCH(AC1999,'Mov Entradas (Rel 10497)'!$I:$I,0)),"nao encontrado")</f>
        <v>REFR PEPSI 2L</v>
      </c>
      <c r="AC1999" s="0" t="n">
        <v>993555</v>
      </c>
    </row>
    <row r="2000" customFormat="false" ht="36.75" hidden="false" customHeight="true" outlineLevel="0" collapsed="false">
      <c r="A2000" s="9" t="n">
        <v>2</v>
      </c>
      <c r="B2000" s="10" t="n">
        <v>46266</v>
      </c>
      <c r="C2000" s="10" t="n">
        <v>46279</v>
      </c>
      <c r="D2000" s="9" t="n">
        <v>794</v>
      </c>
      <c r="E2000" s="11" t="s">
        <v>335</v>
      </c>
      <c r="F2000" s="9" t="n">
        <v>24</v>
      </c>
      <c r="G2000" s="11" t="s">
        <v>51</v>
      </c>
      <c r="H2000" s="9" t="n">
        <v>2110405</v>
      </c>
      <c r="I2000" s="11" t="s">
        <v>56</v>
      </c>
      <c r="J2000" s="9" t="n">
        <v>1633934</v>
      </c>
      <c r="L2000" s="9" t="n">
        <v>224229</v>
      </c>
      <c r="M2000" s="11" t="s">
        <v>52</v>
      </c>
      <c r="N2000" s="11" t="s">
        <v>45</v>
      </c>
      <c r="P2000" s="9" t="n">
        <v>113</v>
      </c>
      <c r="Q2000" s="11" t="s">
        <v>46</v>
      </c>
      <c r="R2000" s="11" t="s">
        <v>39</v>
      </c>
      <c r="S2000" s="9" t="n">
        <v>4210299</v>
      </c>
      <c r="T2000" s="11" t="s">
        <v>165</v>
      </c>
      <c r="U2000" s="12" t="n">
        <v>1332.55</v>
      </c>
      <c r="W2000" s="12" t="n">
        <v>1332.55</v>
      </c>
      <c r="X2000" s="11" t="s">
        <v>1716</v>
      </c>
      <c r="Z2000" s="0" t="str">
        <f aca="false">IF($T2000="","",IFERROR(INDEX('Resumo Grupos'!$AC$3:$AC$200,MATCH($T2000,'Resumo Grupos'!$AB$3:$AB$200,0)),"n/d"))</f>
        <v>Despesa</v>
      </c>
      <c r="AA2000" s="0" t="str">
        <f aca="false">IF($T2000="","",IF(COUNTIF('Resumo Grupos'!$AE$3:$AE$40,$T2000)&gt;0,"NAO","SIM"))</f>
        <v>SIM</v>
      </c>
      <c r="AB2000" s="0" t="str">
        <f aca="false">IFERROR(INDEX('Mov Entradas (Rel 10497)'!$L:$L,MATCH(AC2000,'Mov Entradas (Rel 10497)'!$I:$I,0)),"nao encontrado")</f>
        <v>SACOLA BRC. L. ALIP.</v>
      </c>
      <c r="AC2000" s="0" t="n">
        <v>8802</v>
      </c>
    </row>
    <row r="2001" customFormat="false" ht="36.75" hidden="false" customHeight="true" outlineLevel="0" collapsed="false">
      <c r="A2001" s="9" t="n">
        <v>2</v>
      </c>
      <c r="B2001" s="10" t="n">
        <v>46279</v>
      </c>
      <c r="C2001" s="10" t="n">
        <v>46279</v>
      </c>
      <c r="D2001" s="9" t="n">
        <v>23</v>
      </c>
      <c r="E2001" s="11" t="s">
        <v>243</v>
      </c>
      <c r="F2001" s="9" t="n">
        <v>34</v>
      </c>
      <c r="G2001" s="11" t="s">
        <v>55</v>
      </c>
      <c r="H2001" s="9" t="n">
        <v>2110405</v>
      </c>
      <c r="I2001" s="11" t="s">
        <v>56</v>
      </c>
      <c r="J2001" s="9" t="n">
        <v>1702186</v>
      </c>
      <c r="L2001" s="9" t="n">
        <v>233610</v>
      </c>
      <c r="M2001" s="11" t="s">
        <v>52</v>
      </c>
      <c r="N2001" s="11" t="s">
        <v>45</v>
      </c>
      <c r="P2001" s="9" t="n">
        <v>113</v>
      </c>
      <c r="Q2001" s="11" t="s">
        <v>46</v>
      </c>
      <c r="R2001" s="11" t="s">
        <v>71</v>
      </c>
      <c r="S2001" s="9" t="n">
        <v>4210301</v>
      </c>
      <c r="T2001" s="11" t="s">
        <v>220</v>
      </c>
      <c r="U2001" s="12" t="n">
        <v>400</v>
      </c>
      <c r="W2001" s="12" t="n">
        <v>400</v>
      </c>
      <c r="X2001" s="11" t="s">
        <v>1714</v>
      </c>
      <c r="Z2001" s="0" t="str">
        <f aca="false">IF($T2001="","",IFERROR(INDEX('Resumo Grupos'!$AC$3:$AC$200,MATCH($T2001,'Resumo Grupos'!$AB$3:$AB$200,0)),"n/d"))</f>
        <v>Salários</v>
      </c>
      <c r="AA2001" s="0" t="str">
        <f aca="false">IF($T2001="","",IF(COUNTIF('Resumo Grupos'!$AE$3:$AE$40,$T2001)&gt;0,"NAO","SIM"))</f>
        <v>SIM</v>
      </c>
    </row>
    <row r="2002" customFormat="false" ht="36.75" hidden="false" customHeight="true" outlineLevel="0" collapsed="false">
      <c r="A2002" s="9" t="n">
        <v>2</v>
      </c>
      <c r="B2002" s="10" t="n">
        <v>46279</v>
      </c>
      <c r="C2002" s="10" t="n">
        <v>46279</v>
      </c>
      <c r="D2002" s="9" t="n">
        <v>73</v>
      </c>
      <c r="E2002" s="11" t="s">
        <v>70</v>
      </c>
      <c r="F2002" s="9" t="n">
        <v>34</v>
      </c>
      <c r="G2002" s="11" t="s">
        <v>55</v>
      </c>
      <c r="H2002" s="9" t="n">
        <v>2110405</v>
      </c>
      <c r="I2002" s="11" t="s">
        <v>56</v>
      </c>
      <c r="J2002" s="9" t="n">
        <v>1702182</v>
      </c>
      <c r="L2002" s="9" t="n">
        <v>233607</v>
      </c>
      <c r="M2002" s="11" t="s">
        <v>52</v>
      </c>
      <c r="N2002" s="11" t="s">
        <v>45</v>
      </c>
      <c r="P2002" s="9" t="n">
        <v>113</v>
      </c>
      <c r="Q2002" s="11" t="s">
        <v>46</v>
      </c>
      <c r="R2002" s="11" t="s">
        <v>71</v>
      </c>
      <c r="S2002" s="9" t="n">
        <v>4210301</v>
      </c>
      <c r="T2002" s="11" t="s">
        <v>220</v>
      </c>
      <c r="U2002" s="12" t="n">
        <v>400</v>
      </c>
      <c r="W2002" s="12" t="n">
        <v>400</v>
      </c>
      <c r="X2002" s="11" t="s">
        <v>1714</v>
      </c>
      <c r="Z2002" s="0" t="str">
        <f aca="false">IF($T2002="","",IFERROR(INDEX('Resumo Grupos'!$AC$3:$AC$200,MATCH($T2002,'Resumo Grupos'!$AB$3:$AB$200,0)),"n/d"))</f>
        <v>Salários</v>
      </c>
      <c r="AA2002" s="0" t="str">
        <f aca="false">IF($T2002="","",IF(COUNTIF('Resumo Grupos'!$AE$3:$AE$40,$T2002)&gt;0,"NAO","SIM"))</f>
        <v>SIM</v>
      </c>
    </row>
    <row r="2003" customFormat="false" ht="36.75" hidden="false" customHeight="true" outlineLevel="0" collapsed="false">
      <c r="A2003" s="9" t="n">
        <v>2</v>
      </c>
      <c r="B2003" s="10" t="n">
        <v>46279</v>
      </c>
      <c r="C2003" s="10" t="n">
        <v>46279</v>
      </c>
      <c r="D2003" s="9" t="n">
        <v>10096</v>
      </c>
      <c r="E2003" s="11" t="s">
        <v>622</v>
      </c>
      <c r="F2003" s="9" t="n">
        <v>13</v>
      </c>
      <c r="G2003" s="11" t="s">
        <v>135</v>
      </c>
      <c r="H2003" s="9" t="n">
        <v>2110405</v>
      </c>
      <c r="I2003" s="11" t="s">
        <v>56</v>
      </c>
      <c r="J2003" s="9" t="n">
        <v>1706181</v>
      </c>
      <c r="L2003" s="9" t="n">
        <v>234208</v>
      </c>
      <c r="M2003" s="11" t="s">
        <v>52</v>
      </c>
      <c r="N2003" s="11" t="s">
        <v>45</v>
      </c>
      <c r="P2003" s="9" t="n">
        <v>113</v>
      </c>
      <c r="Q2003" s="11" t="s">
        <v>46</v>
      </c>
      <c r="R2003" s="11" t="s">
        <v>47</v>
      </c>
      <c r="S2003" s="9" t="n">
        <v>1130101</v>
      </c>
      <c r="T2003" s="11" t="s">
        <v>48</v>
      </c>
      <c r="U2003" s="12" t="n">
        <v>140</v>
      </c>
      <c r="W2003" s="12" t="n">
        <v>140</v>
      </c>
      <c r="X2003" s="11" t="s">
        <v>1717</v>
      </c>
      <c r="Z2003" s="0" t="str">
        <f aca="false">IF($T2003="","",IFERROR(INDEX('Resumo Grupos'!$AC$3:$AC$200,MATCH($T2003,'Resumo Grupos'!$AB$3:$AB$200,0)),"n/d"))</f>
        <v>Mercadoria</v>
      </c>
      <c r="AA2003" s="0" t="str">
        <f aca="false">IF($T2003="","",IF(COUNTIF('Resumo Grupos'!$AE$3:$AE$40,$T2003)&gt;0,"NAO","SIM"))</f>
        <v>SIM</v>
      </c>
      <c r="AB2003" s="0" t="str">
        <f aca="false">IFERROR(INDEX('Mov Entradas (Rel 10497)'!$L:$L,MATCH(AC2003,'Mov Entradas (Rel 10497)'!$I:$I,0)),"nao encontrado")</f>
        <v>BOLO MIYAZAKI GRANDE</v>
      </c>
      <c r="AC2003" s="0" t="n">
        <v>286</v>
      </c>
    </row>
    <row r="2004" customFormat="false" ht="45.75" hidden="false" customHeight="true" outlineLevel="0" collapsed="false">
      <c r="A2004" s="9" t="n">
        <v>2</v>
      </c>
      <c r="B2004" s="10" t="n">
        <v>46276</v>
      </c>
      <c r="C2004" s="10" t="n">
        <v>46279</v>
      </c>
      <c r="D2004" s="9" t="n">
        <v>10035</v>
      </c>
      <c r="E2004" s="11" t="s">
        <v>86</v>
      </c>
      <c r="F2004" s="9" t="n">
        <v>34</v>
      </c>
      <c r="G2004" s="11" t="s">
        <v>55</v>
      </c>
      <c r="H2004" s="9" t="n">
        <v>2110405</v>
      </c>
      <c r="I2004" s="11" t="s">
        <v>56</v>
      </c>
      <c r="J2004" s="9" t="n">
        <v>1686472</v>
      </c>
      <c r="L2004" s="9" t="n">
        <v>231501</v>
      </c>
      <c r="M2004" s="11" t="s">
        <v>52</v>
      </c>
      <c r="N2004" s="11" t="s">
        <v>45</v>
      </c>
      <c r="P2004" s="9" t="n">
        <v>113</v>
      </c>
      <c r="Q2004" s="11" t="s">
        <v>46</v>
      </c>
      <c r="R2004" s="11" t="s">
        <v>47</v>
      </c>
      <c r="S2004" s="9" t="n">
        <v>1130101</v>
      </c>
      <c r="T2004" s="11" t="s">
        <v>48</v>
      </c>
      <c r="U2004" s="12" t="n">
        <v>286</v>
      </c>
      <c r="W2004" s="12" t="n">
        <v>286</v>
      </c>
      <c r="X2004" s="11" t="s">
        <v>1718</v>
      </c>
      <c r="Z2004" s="0" t="str">
        <f aca="false">IF($T2004="","",IFERROR(INDEX('Resumo Grupos'!$AC$3:$AC$200,MATCH($T2004,'Resumo Grupos'!$AB$3:$AB$200,0)),"n/d"))</f>
        <v>Mercadoria</v>
      </c>
      <c r="AA2004" s="0" t="str">
        <f aca="false">IF($T2004="","",IF(COUNTIF('Resumo Grupos'!$AE$3:$AE$40,$T2004)&gt;0,"NAO","SIM"))</f>
        <v>SIM</v>
      </c>
      <c r="AB2004" s="0" t="str">
        <f aca="false">IFERROR(INDEX('Mov Entradas (Rel 10497)'!$L:$L,MATCH(AC2004,'Mov Entradas (Rel 10497)'!$I:$I,0)),"nao encontrado")</f>
        <v>CARVAO VEGETAL 3KG</v>
      </c>
      <c r="AC2004" s="0" t="n">
        <v>440</v>
      </c>
    </row>
    <row r="2005" customFormat="false" ht="45.75" hidden="false" customHeight="true" outlineLevel="0" collapsed="false">
      <c r="A2005" s="9" t="n">
        <v>2</v>
      </c>
      <c r="B2005" s="10" t="n">
        <v>46279</v>
      </c>
      <c r="C2005" s="10" t="n">
        <v>46279</v>
      </c>
      <c r="D2005" s="9" t="n">
        <v>1979</v>
      </c>
      <c r="E2005" s="11" t="s">
        <v>250</v>
      </c>
      <c r="F2005" s="9" t="n">
        <v>34</v>
      </c>
      <c r="G2005" s="11" t="s">
        <v>55</v>
      </c>
      <c r="H2005" s="9" t="n">
        <v>2110405</v>
      </c>
      <c r="I2005" s="11" t="s">
        <v>56</v>
      </c>
      <c r="J2005" s="9" t="n">
        <v>1702192</v>
      </c>
      <c r="L2005" s="9" t="n">
        <v>233612</v>
      </c>
      <c r="M2005" s="11" t="s">
        <v>52</v>
      </c>
      <c r="N2005" s="11" t="s">
        <v>45</v>
      </c>
      <c r="P2005" s="9" t="n">
        <v>113</v>
      </c>
      <c r="Q2005" s="11" t="s">
        <v>46</v>
      </c>
      <c r="R2005" s="11" t="s">
        <v>71</v>
      </c>
      <c r="S2005" s="9" t="n">
        <v>4210301</v>
      </c>
      <c r="T2005" s="11" t="s">
        <v>220</v>
      </c>
      <c r="U2005" s="12" t="n">
        <v>400</v>
      </c>
      <c r="W2005" s="12" t="n">
        <v>400</v>
      </c>
      <c r="X2005" s="11" t="s">
        <v>1714</v>
      </c>
      <c r="Z2005" s="0" t="str">
        <f aca="false">IF($T2005="","",IFERROR(INDEX('Resumo Grupos'!$AC$3:$AC$200,MATCH($T2005,'Resumo Grupos'!$AB$3:$AB$200,0)),"n/d"))</f>
        <v>Salários</v>
      </c>
      <c r="AA2005" s="0" t="str">
        <f aca="false">IF($T2005="","",IF(COUNTIF('Resumo Grupos'!$AE$3:$AE$40,$T2005)&gt;0,"NAO","SIM"))</f>
        <v>SIM</v>
      </c>
    </row>
    <row r="2006" customFormat="false" ht="36.75" hidden="false" customHeight="true" outlineLevel="0" collapsed="false">
      <c r="A2006" s="9" t="n">
        <v>2</v>
      </c>
      <c r="B2006" s="10" t="n">
        <v>46268</v>
      </c>
      <c r="C2006" s="10" t="n">
        <v>46279</v>
      </c>
      <c r="D2006" s="9" t="n">
        <v>1611</v>
      </c>
      <c r="E2006" s="11" t="s">
        <v>178</v>
      </c>
      <c r="F2006" s="9" t="n">
        <v>24</v>
      </c>
      <c r="G2006" s="11" t="s">
        <v>51</v>
      </c>
      <c r="H2006" s="9" t="n">
        <v>2110405</v>
      </c>
      <c r="I2006" s="11" t="s">
        <v>56</v>
      </c>
      <c r="J2006" s="9" t="n">
        <v>1646250</v>
      </c>
      <c r="L2006" s="9" t="n">
        <v>225903</v>
      </c>
      <c r="M2006" s="11" t="s">
        <v>52</v>
      </c>
      <c r="N2006" s="11" t="s">
        <v>45</v>
      </c>
      <c r="P2006" s="9" t="n">
        <v>113</v>
      </c>
      <c r="Q2006" s="11" t="s">
        <v>46</v>
      </c>
      <c r="R2006" s="11" t="s">
        <v>47</v>
      </c>
      <c r="S2006" s="9" t="n">
        <v>1130101</v>
      </c>
      <c r="T2006" s="11" t="s">
        <v>48</v>
      </c>
      <c r="U2006" s="12" t="n">
        <v>176.58</v>
      </c>
      <c r="W2006" s="12" t="n">
        <v>176.58</v>
      </c>
      <c r="X2006" s="11" t="s">
        <v>1719</v>
      </c>
      <c r="Z2006" s="0" t="str">
        <f aca="false">IF($T2006="","",IFERROR(INDEX('Resumo Grupos'!$AC$3:$AC$200,MATCH($T2006,'Resumo Grupos'!$AB$3:$AB$200,0)),"n/d"))</f>
        <v>Mercadoria</v>
      </c>
      <c r="AA2006" s="0" t="str">
        <f aca="false">IF($T2006="","",IF(COUNTIF('Resumo Grupos'!$AE$3:$AE$40,$T2006)&gt;0,"NAO","SIM"))</f>
        <v>SIM</v>
      </c>
    </row>
    <row r="2007" customFormat="false" ht="36.75" hidden="false" customHeight="true" outlineLevel="0" collapsed="false">
      <c r="A2007" s="9" t="n">
        <v>2</v>
      </c>
      <c r="B2007" s="10" t="n">
        <v>46253</v>
      </c>
      <c r="C2007" s="10" t="n">
        <v>46279</v>
      </c>
      <c r="D2007" s="9" t="n">
        <v>616</v>
      </c>
      <c r="E2007" s="11" t="s">
        <v>941</v>
      </c>
      <c r="F2007" s="9" t="n">
        <v>24</v>
      </c>
      <c r="G2007" s="11" t="s">
        <v>51</v>
      </c>
      <c r="H2007" s="9" t="n">
        <v>2110405</v>
      </c>
      <c r="I2007" s="11" t="s">
        <v>56</v>
      </c>
      <c r="J2007" s="9" t="n">
        <v>1572201</v>
      </c>
      <c r="L2007" s="9" t="n">
        <v>214774</v>
      </c>
      <c r="M2007" s="11" t="s">
        <v>52</v>
      </c>
      <c r="N2007" s="11" t="s">
        <v>45</v>
      </c>
      <c r="P2007" s="9" t="n">
        <v>113</v>
      </c>
      <c r="Q2007" s="11" t="s">
        <v>46</v>
      </c>
      <c r="R2007" s="11" t="s">
        <v>47</v>
      </c>
      <c r="S2007" s="9" t="n">
        <v>1130101</v>
      </c>
      <c r="T2007" s="11" t="s">
        <v>48</v>
      </c>
      <c r="U2007" s="12" t="n">
        <v>983.77</v>
      </c>
      <c r="W2007" s="12" t="n">
        <v>983.77</v>
      </c>
      <c r="X2007" s="11" t="s">
        <v>1620</v>
      </c>
      <c r="Z2007" s="0" t="str">
        <f aca="false">IF($T2007="","",IFERROR(INDEX('Resumo Grupos'!$AC$3:$AC$200,MATCH($T2007,'Resumo Grupos'!$AB$3:$AB$200,0)),"n/d"))</f>
        <v>Mercadoria</v>
      </c>
      <c r="AA2007" s="0" t="str">
        <f aca="false">IF($T2007="","",IF(COUNTIF('Resumo Grupos'!$AE$3:$AE$40,$T2007)&gt;0,"NAO","SIM"))</f>
        <v>SIM</v>
      </c>
    </row>
    <row r="2008" customFormat="false" ht="36.75" hidden="false" customHeight="true" outlineLevel="0" collapsed="false">
      <c r="A2008" s="9" t="n">
        <v>2</v>
      </c>
      <c r="B2008" s="10" t="n">
        <v>46259</v>
      </c>
      <c r="C2008" s="10" t="n">
        <v>46279</v>
      </c>
      <c r="D2008" s="9" t="n">
        <v>10009</v>
      </c>
      <c r="E2008" s="11" t="s">
        <v>464</v>
      </c>
      <c r="F2008" s="9" t="n">
        <v>24</v>
      </c>
      <c r="G2008" s="11" t="s">
        <v>51</v>
      </c>
      <c r="H2008" s="9" t="n">
        <v>2110405</v>
      </c>
      <c r="I2008" s="11" t="s">
        <v>56</v>
      </c>
      <c r="J2008" s="9" t="n">
        <v>1600194</v>
      </c>
      <c r="L2008" s="9" t="n">
        <v>219123</v>
      </c>
      <c r="M2008" s="11" t="s">
        <v>52</v>
      </c>
      <c r="N2008" s="11" t="s">
        <v>45</v>
      </c>
      <c r="P2008" s="9" t="n">
        <v>113</v>
      </c>
      <c r="Q2008" s="11" t="s">
        <v>46</v>
      </c>
      <c r="R2008" s="11" t="s">
        <v>47</v>
      </c>
      <c r="S2008" s="9" t="n">
        <v>1130101</v>
      </c>
      <c r="T2008" s="11" t="s">
        <v>48</v>
      </c>
      <c r="U2008" s="12" t="n">
        <v>1268.78</v>
      </c>
      <c r="W2008" s="12" t="n">
        <v>1268.78</v>
      </c>
      <c r="X2008" s="11" t="s">
        <v>1720</v>
      </c>
      <c r="Z2008" s="0" t="str">
        <f aca="false">IF($T2008="","",IFERROR(INDEX('Resumo Grupos'!$AC$3:$AC$200,MATCH($T2008,'Resumo Grupos'!$AB$3:$AB$200,0)),"n/d"))</f>
        <v>Mercadoria</v>
      </c>
      <c r="AA2008" s="0" t="str">
        <f aca="false">IF($T2008="","",IF(COUNTIF('Resumo Grupos'!$AE$3:$AE$40,$T2008)&gt;0,"NAO","SIM"))</f>
        <v>SIM</v>
      </c>
      <c r="AB2008" s="0" t="str">
        <f aca="false">IFERROR(INDEX('Mov Entradas (Rel 10497)'!$L:$L,MATCH(AC2008,'Mov Entradas (Rel 10497)'!$I:$I,0)),"nao encontrado")</f>
        <v>BIS NESTL CLASS140G</v>
      </c>
      <c r="AC2008" s="0" t="n">
        <v>1442200</v>
      </c>
    </row>
    <row r="2009" customFormat="false" ht="36.75" hidden="false" customHeight="true" outlineLevel="0" collapsed="false">
      <c r="A2009" s="9" t="n">
        <v>2</v>
      </c>
      <c r="B2009" s="10" t="n">
        <v>46259</v>
      </c>
      <c r="C2009" s="10" t="n">
        <v>46279</v>
      </c>
      <c r="D2009" s="9" t="n">
        <v>10009</v>
      </c>
      <c r="E2009" s="11" t="s">
        <v>464</v>
      </c>
      <c r="F2009" s="9" t="n">
        <v>24</v>
      </c>
      <c r="G2009" s="11" t="s">
        <v>51</v>
      </c>
      <c r="H2009" s="9" t="n">
        <v>2110405</v>
      </c>
      <c r="I2009" s="11" t="s">
        <v>56</v>
      </c>
      <c r="J2009" s="9" t="n">
        <v>1600353</v>
      </c>
      <c r="L2009" s="9" t="n">
        <v>219142</v>
      </c>
      <c r="M2009" s="11" t="s">
        <v>52</v>
      </c>
      <c r="N2009" s="11" t="s">
        <v>45</v>
      </c>
      <c r="P2009" s="9" t="n">
        <v>113</v>
      </c>
      <c r="Q2009" s="11" t="s">
        <v>46</v>
      </c>
      <c r="R2009" s="11" t="s">
        <v>47</v>
      </c>
      <c r="S2009" s="9" t="n">
        <v>1130101</v>
      </c>
      <c r="T2009" s="11" t="s">
        <v>48</v>
      </c>
      <c r="U2009" s="12" t="n">
        <v>2477.62</v>
      </c>
      <c r="W2009" s="12" t="n">
        <v>2477.62</v>
      </c>
      <c r="X2009" s="11" t="s">
        <v>1721</v>
      </c>
      <c r="Z2009" s="0" t="str">
        <f aca="false">IF($T2009="","",IFERROR(INDEX('Resumo Grupos'!$AC$3:$AC$200,MATCH($T2009,'Resumo Grupos'!$AB$3:$AB$200,0)),"n/d"))</f>
        <v>Mercadoria</v>
      </c>
      <c r="AA2009" s="0" t="str">
        <f aca="false">IF($T2009="","",IF(COUNTIF('Resumo Grupos'!$AE$3:$AE$40,$T2009)&gt;0,"NAO","SIM"))</f>
        <v>SIM</v>
      </c>
      <c r="AB2009" s="0" t="str">
        <f aca="false">IFERROR(INDEX('Mov Entradas (Rel 10497)'!$L:$L,MATCH(AC2009,'Mov Entradas (Rel 10497)'!$I:$I,0)),"nao encontrado")</f>
        <v>NESFIT CACAU E AVELA</v>
      </c>
      <c r="AC2009" s="0" t="n">
        <v>1442668</v>
      </c>
    </row>
    <row r="2010" customFormat="false" ht="36.75" hidden="false" customHeight="true" outlineLevel="0" collapsed="false">
      <c r="A2010" s="9" t="n">
        <v>2</v>
      </c>
      <c r="B2010" s="10" t="n">
        <v>46279</v>
      </c>
      <c r="C2010" s="10" t="n">
        <v>46279</v>
      </c>
      <c r="D2010" s="9" t="n">
        <v>48</v>
      </c>
      <c r="E2010" s="11" t="s">
        <v>153</v>
      </c>
      <c r="F2010" s="9" t="n">
        <v>13</v>
      </c>
      <c r="G2010" s="11" t="s">
        <v>135</v>
      </c>
      <c r="H2010" s="9" t="n">
        <v>2110101</v>
      </c>
      <c r="I2010" s="11" t="s">
        <v>43</v>
      </c>
      <c r="J2010" s="9" t="n">
        <v>1700824</v>
      </c>
      <c r="L2010" s="9" t="n">
        <v>2670</v>
      </c>
      <c r="M2010" s="11" t="s">
        <v>52</v>
      </c>
      <c r="N2010" s="11" t="s">
        <v>37</v>
      </c>
      <c r="P2010" s="9" t="n">
        <v>113</v>
      </c>
      <c r="Q2010" s="11" t="s">
        <v>46</v>
      </c>
      <c r="R2010" s="11" t="s">
        <v>47</v>
      </c>
      <c r="S2010" s="9" t="n">
        <v>1130101</v>
      </c>
      <c r="T2010" s="11" t="s">
        <v>48</v>
      </c>
      <c r="U2010" s="12" t="n">
        <v>225</v>
      </c>
      <c r="W2010" s="12" t="n">
        <v>0</v>
      </c>
      <c r="X2010" s="11" t="s">
        <v>1722</v>
      </c>
      <c r="Z2010" s="0" t="str">
        <f aca="false">IF($T2010="","",IFERROR(INDEX('Resumo Grupos'!$AC$3:$AC$200,MATCH($T2010,'Resumo Grupos'!$AB$3:$AB$200,0)),"n/d"))</f>
        <v>Mercadoria</v>
      </c>
      <c r="AA2010" s="0" t="str">
        <f aca="false">IF($T2010="","",IF(COUNTIF('Resumo Grupos'!$AE$3:$AE$40,$T2010)&gt;0,"NAO","SIM"))</f>
        <v>SIM</v>
      </c>
    </row>
    <row r="2011" customFormat="false" ht="36.75" hidden="false" customHeight="true" outlineLevel="0" collapsed="false">
      <c r="A2011" s="9" t="n">
        <v>2</v>
      </c>
      <c r="B2011" s="10" t="n">
        <v>46279</v>
      </c>
      <c r="C2011" s="10" t="n">
        <v>46279</v>
      </c>
      <c r="D2011" s="9" t="n">
        <v>48</v>
      </c>
      <c r="E2011" s="11" t="s">
        <v>153</v>
      </c>
      <c r="F2011" s="9" t="n">
        <v>13</v>
      </c>
      <c r="G2011" s="11" t="s">
        <v>135</v>
      </c>
      <c r="H2011" s="9" t="n">
        <v>2110101</v>
      </c>
      <c r="I2011" s="11" t="s">
        <v>43</v>
      </c>
      <c r="J2011" s="9" t="n">
        <v>1702549</v>
      </c>
      <c r="L2011" s="9" t="n">
        <v>2673</v>
      </c>
      <c r="M2011" s="11" t="s">
        <v>52</v>
      </c>
      <c r="N2011" s="11" t="s">
        <v>37</v>
      </c>
      <c r="P2011" s="9" t="n">
        <v>113</v>
      </c>
      <c r="Q2011" s="11" t="s">
        <v>46</v>
      </c>
      <c r="R2011" s="11" t="s">
        <v>47</v>
      </c>
      <c r="S2011" s="9" t="n">
        <v>1130101</v>
      </c>
      <c r="T2011" s="11" t="s">
        <v>48</v>
      </c>
      <c r="U2011" s="12" t="n">
        <v>300</v>
      </c>
      <c r="W2011" s="12" t="n">
        <v>300</v>
      </c>
      <c r="X2011" s="11" t="s">
        <v>1723</v>
      </c>
      <c r="Z2011" s="0" t="str">
        <f aca="false">IF($T2011="","",IFERROR(INDEX('Resumo Grupos'!$AC$3:$AC$200,MATCH($T2011,'Resumo Grupos'!$AB$3:$AB$200,0)),"n/d"))</f>
        <v>Mercadoria</v>
      </c>
      <c r="AA2011" s="0" t="str">
        <f aca="false">IF($T2011="","",IF(COUNTIF('Resumo Grupos'!$AE$3:$AE$40,$T2011)&gt;0,"NAO","SIM"))</f>
        <v>SIM</v>
      </c>
    </row>
    <row r="2012" customFormat="false" ht="45.75" hidden="false" customHeight="true" outlineLevel="0" collapsed="false">
      <c r="A2012" s="9" t="n">
        <v>2</v>
      </c>
      <c r="B2012" s="10" t="n">
        <v>46274</v>
      </c>
      <c r="C2012" s="10" t="n">
        <v>46279</v>
      </c>
      <c r="D2012" s="9" t="n">
        <v>1328</v>
      </c>
      <c r="E2012" s="11" t="s">
        <v>95</v>
      </c>
      <c r="F2012" s="9" t="n">
        <v>24</v>
      </c>
      <c r="G2012" s="11" t="s">
        <v>51</v>
      </c>
      <c r="H2012" s="9" t="n">
        <v>2110405</v>
      </c>
      <c r="I2012" s="11" t="s">
        <v>56</v>
      </c>
      <c r="J2012" s="9" t="n">
        <v>1676686</v>
      </c>
      <c r="L2012" s="9" t="n">
        <v>229945</v>
      </c>
      <c r="M2012" s="11" t="s">
        <v>52</v>
      </c>
      <c r="N2012" s="11" t="s">
        <v>45</v>
      </c>
      <c r="P2012" s="9" t="n">
        <v>113</v>
      </c>
      <c r="Q2012" s="11" t="s">
        <v>46</v>
      </c>
      <c r="R2012" s="11" t="s">
        <v>47</v>
      </c>
      <c r="S2012" s="9" t="n">
        <v>1130101</v>
      </c>
      <c r="T2012" s="11" t="s">
        <v>48</v>
      </c>
      <c r="U2012" s="12" t="n">
        <v>258.2</v>
      </c>
      <c r="W2012" s="12" t="n">
        <v>258.2</v>
      </c>
      <c r="X2012" s="11" t="s">
        <v>1724</v>
      </c>
      <c r="Z2012" s="0" t="str">
        <f aca="false">IF($T2012="","",IFERROR(INDEX('Resumo Grupos'!$AC$3:$AC$200,MATCH($T2012,'Resumo Grupos'!$AB$3:$AB$200,0)),"n/d"))</f>
        <v>Mercadoria</v>
      </c>
      <c r="AA2012" s="0" t="str">
        <f aca="false">IF($T2012="","",IF(COUNTIF('Resumo Grupos'!$AE$3:$AE$40,$T2012)&gt;0,"NAO","SIM"))</f>
        <v>SIM</v>
      </c>
      <c r="AB2012" s="0" t="str">
        <f aca="false">IFERROR(INDEX('Mov Entradas (Rel 10497)'!$L:$L,MATCH(AC2012,'Mov Entradas (Rel 10497)'!$I:$I,0)),"nao encontrado")</f>
        <v>PAO DE KIKAO 10</v>
      </c>
      <c r="AC2012" s="0" t="n">
        <v>4564</v>
      </c>
    </row>
    <row r="2013" customFormat="false" ht="45.75" hidden="false" customHeight="true" outlineLevel="0" collapsed="false">
      <c r="A2013" s="9" t="n">
        <v>2</v>
      </c>
      <c r="B2013" s="10" t="n">
        <v>46276</v>
      </c>
      <c r="C2013" s="10" t="n">
        <v>46279</v>
      </c>
      <c r="D2013" s="9" t="n">
        <v>1899</v>
      </c>
      <c r="E2013" s="11" t="s">
        <v>204</v>
      </c>
      <c r="F2013" s="9" t="n">
        <v>24</v>
      </c>
      <c r="G2013" s="11" t="s">
        <v>51</v>
      </c>
      <c r="H2013" s="9" t="n">
        <v>2110405</v>
      </c>
      <c r="I2013" s="11" t="s">
        <v>56</v>
      </c>
      <c r="J2013" s="9" t="n">
        <v>1686380</v>
      </c>
      <c r="L2013" s="9" t="n">
        <v>231478</v>
      </c>
      <c r="M2013" s="11" t="s">
        <v>52</v>
      </c>
      <c r="N2013" s="11" t="s">
        <v>45</v>
      </c>
      <c r="P2013" s="9" t="n">
        <v>113</v>
      </c>
      <c r="Q2013" s="11" t="s">
        <v>46</v>
      </c>
      <c r="R2013" s="11" t="s">
        <v>47</v>
      </c>
      <c r="S2013" s="9" t="n">
        <v>1130101</v>
      </c>
      <c r="T2013" s="11" t="s">
        <v>48</v>
      </c>
      <c r="U2013" s="12" t="n">
        <v>259.75</v>
      </c>
      <c r="W2013" s="12" t="n">
        <v>259.75</v>
      </c>
      <c r="X2013" s="11" t="s">
        <v>1725</v>
      </c>
      <c r="Z2013" s="0" t="str">
        <f aca="false">IF($T2013="","",IFERROR(INDEX('Resumo Grupos'!$AC$3:$AC$200,MATCH($T2013,'Resumo Grupos'!$AB$3:$AB$200,0)),"n/d"))</f>
        <v>Mercadoria</v>
      </c>
      <c r="AA2013" s="0" t="str">
        <f aca="false">IF($T2013="","",IF(COUNTIF('Resumo Grupos'!$AE$3:$AE$40,$T2013)&gt;0,"NAO","SIM"))</f>
        <v>SIM</v>
      </c>
      <c r="AB2013" s="0" t="str">
        <f aca="false">IFERROR(INDEX('Mov Entradas (Rel 10497)'!$L:$L,MATCH(AC2013,'Mov Entradas (Rel 10497)'!$I:$I,0)),"nao encontrado")</f>
        <v>MASSA FINA</v>
      </c>
      <c r="AC2013" s="0" t="n">
        <v>802</v>
      </c>
    </row>
    <row r="2014" customFormat="false" ht="45.75" hidden="false" customHeight="true" outlineLevel="0" collapsed="false">
      <c r="A2014" s="9" t="n">
        <v>2</v>
      </c>
      <c r="B2014" s="10" t="n">
        <v>46279</v>
      </c>
      <c r="C2014" s="10" t="n">
        <v>46279</v>
      </c>
      <c r="D2014" s="9" t="n">
        <v>21</v>
      </c>
      <c r="E2014" s="11" t="s">
        <v>107</v>
      </c>
      <c r="F2014" s="9" t="n">
        <v>34</v>
      </c>
      <c r="G2014" s="11" t="s">
        <v>55</v>
      </c>
      <c r="H2014" s="9" t="n">
        <v>2110405</v>
      </c>
      <c r="I2014" s="11" t="s">
        <v>56</v>
      </c>
      <c r="J2014" s="9" t="n">
        <v>1702183</v>
      </c>
      <c r="L2014" s="9" t="n">
        <v>233609</v>
      </c>
      <c r="M2014" s="11" t="s">
        <v>52</v>
      </c>
      <c r="N2014" s="11" t="s">
        <v>45</v>
      </c>
      <c r="P2014" s="9" t="n">
        <v>113</v>
      </c>
      <c r="Q2014" s="11" t="s">
        <v>46</v>
      </c>
      <c r="R2014" s="11" t="s">
        <v>71</v>
      </c>
      <c r="S2014" s="9" t="n">
        <v>4210301</v>
      </c>
      <c r="T2014" s="11" t="s">
        <v>220</v>
      </c>
      <c r="U2014" s="12" t="n">
        <v>1000</v>
      </c>
      <c r="W2014" s="12" t="n">
        <v>1000</v>
      </c>
      <c r="X2014" s="11" t="s">
        <v>1714</v>
      </c>
      <c r="Z2014" s="0" t="str">
        <f aca="false">IF($T2014="","",IFERROR(INDEX('Resumo Grupos'!$AC$3:$AC$200,MATCH($T2014,'Resumo Grupos'!$AB$3:$AB$200,0)),"n/d"))</f>
        <v>Salários</v>
      </c>
      <c r="AA2014" s="0" t="str">
        <f aca="false">IF($T2014="","",IF(COUNTIF('Resumo Grupos'!$AE$3:$AE$40,$T2014)&gt;0,"NAO","SIM"))</f>
        <v>SIM</v>
      </c>
    </row>
    <row r="2015" customFormat="false" ht="54.75" hidden="false" customHeight="true" outlineLevel="0" collapsed="false">
      <c r="A2015" s="9" t="n">
        <v>2</v>
      </c>
      <c r="B2015" s="10" t="n">
        <v>46254</v>
      </c>
      <c r="C2015" s="10" t="n">
        <v>46279</v>
      </c>
      <c r="D2015" s="9" t="n">
        <v>10012</v>
      </c>
      <c r="E2015" s="11" t="s">
        <v>185</v>
      </c>
      <c r="F2015" s="9" t="n">
        <v>24</v>
      </c>
      <c r="G2015" s="11" t="s">
        <v>51</v>
      </c>
      <c r="H2015" s="9" t="n">
        <v>2110405</v>
      </c>
      <c r="I2015" s="11" t="s">
        <v>56</v>
      </c>
      <c r="J2015" s="9" t="n">
        <v>1577219</v>
      </c>
      <c r="L2015" s="9" t="n">
        <v>215619</v>
      </c>
      <c r="M2015" s="11" t="s">
        <v>52</v>
      </c>
      <c r="N2015" s="11" t="s">
        <v>45</v>
      </c>
      <c r="P2015" s="9" t="n">
        <v>113</v>
      </c>
      <c r="Q2015" s="11" t="s">
        <v>46</v>
      </c>
      <c r="R2015" s="11" t="s">
        <v>47</v>
      </c>
      <c r="S2015" s="9" t="n">
        <v>1130101</v>
      </c>
      <c r="T2015" s="11" t="s">
        <v>48</v>
      </c>
      <c r="U2015" s="12" t="n">
        <v>521.58</v>
      </c>
      <c r="W2015" s="12" t="n">
        <v>521.58</v>
      </c>
      <c r="X2015" s="11" t="s">
        <v>1623</v>
      </c>
      <c r="Z2015" s="0" t="str">
        <f aca="false">IF($T2015="","",IFERROR(INDEX('Resumo Grupos'!$AC$3:$AC$200,MATCH($T2015,'Resumo Grupos'!$AB$3:$AB$200,0)),"n/d"))</f>
        <v>Mercadoria</v>
      </c>
      <c r="AA2015" s="0" t="str">
        <f aca="false">IF($T2015="","",IF(COUNTIF('Resumo Grupos'!$AE$3:$AE$40,$T2015)&gt;0,"NAO","SIM"))</f>
        <v>SIM</v>
      </c>
      <c r="AB2015" s="0" t="str">
        <f aca="false">IFERROR(INDEX('Mov Entradas (Rel 10497)'!$L:$L,MATCH(AC2015,'Mov Entradas (Rel 10497)'!$I:$I,0)),"nao encontrado")</f>
        <v>SAB PHEBO ODOR90G</v>
      </c>
      <c r="AC2015" s="0" t="n">
        <v>1966312</v>
      </c>
    </row>
    <row r="2016" customFormat="false" ht="45.75" hidden="false" customHeight="true" outlineLevel="0" collapsed="false">
      <c r="A2016" s="9" t="n">
        <v>2</v>
      </c>
      <c r="B2016" s="10" t="n">
        <v>46279</v>
      </c>
      <c r="C2016" s="10" t="n">
        <v>46279</v>
      </c>
      <c r="D2016" s="9" t="n">
        <v>0</v>
      </c>
      <c r="E2016" s="11" t="s">
        <v>109</v>
      </c>
      <c r="F2016" s="9" t="n">
        <v>17</v>
      </c>
      <c r="G2016" s="11" t="s">
        <v>110</v>
      </c>
      <c r="H2016" s="9" t="n">
        <v>1110101</v>
      </c>
      <c r="I2016" s="11" t="s">
        <v>111</v>
      </c>
      <c r="J2016" s="9" t="n">
        <v>1710179</v>
      </c>
      <c r="L2016" s="9" t="n">
        <v>1710179</v>
      </c>
      <c r="M2016" s="11" t="s">
        <v>52</v>
      </c>
      <c r="N2016" s="11" t="s">
        <v>112</v>
      </c>
      <c r="P2016" s="9" t="n">
        <v>113</v>
      </c>
      <c r="Q2016" s="11" t="s">
        <v>46</v>
      </c>
      <c r="R2016" s="11" t="s">
        <v>259</v>
      </c>
      <c r="S2016" s="9" t="n">
        <v>2110101</v>
      </c>
      <c r="T2016" s="11" t="s">
        <v>43</v>
      </c>
      <c r="U2016" s="12" t="n">
        <v>300</v>
      </c>
      <c r="W2016" s="12" t="n">
        <v>300</v>
      </c>
      <c r="X2016" s="11" t="s">
        <v>1726</v>
      </c>
      <c r="Z2016" s="0" t="str">
        <f aca="false">IF($T2016="","",IFERROR(INDEX('Resumo Grupos'!$AC$3:$AC$200,MATCH($T2016,'Resumo Grupos'!$AB$3:$AB$200,0)),"n/d"))</f>
        <v>Despesa</v>
      </c>
      <c r="AA2016" s="0" t="str">
        <f aca="false">IF($T2016="","",IF(COUNTIF('Resumo Grupos'!$AE$3:$AE$40,$T2016)&gt;0,"NAO","SIM"))</f>
        <v>SIM</v>
      </c>
    </row>
    <row r="2017" customFormat="false" ht="36.75" hidden="false" customHeight="true" outlineLevel="0" collapsed="false">
      <c r="A2017" s="9" t="n">
        <v>2</v>
      </c>
      <c r="B2017" s="10" t="n">
        <v>46279</v>
      </c>
      <c r="C2017" s="10" t="n">
        <v>46279</v>
      </c>
      <c r="D2017" s="9" t="n">
        <v>0</v>
      </c>
      <c r="E2017" s="11" t="s">
        <v>109</v>
      </c>
      <c r="F2017" s="9" t="n">
        <v>17</v>
      </c>
      <c r="G2017" s="11" t="s">
        <v>110</v>
      </c>
      <c r="H2017" s="9" t="n">
        <v>1110101</v>
      </c>
      <c r="I2017" s="11" t="s">
        <v>111</v>
      </c>
      <c r="J2017" s="9" t="n">
        <v>1710182</v>
      </c>
      <c r="L2017" s="9" t="n">
        <v>1710182</v>
      </c>
      <c r="M2017" s="11" t="s">
        <v>52</v>
      </c>
      <c r="N2017" s="11" t="s">
        <v>112</v>
      </c>
      <c r="P2017" s="9" t="n">
        <v>113</v>
      </c>
      <c r="Q2017" s="11" t="s">
        <v>46</v>
      </c>
      <c r="R2017" s="11" t="s">
        <v>56</v>
      </c>
      <c r="S2017" s="9" t="n">
        <v>2110405</v>
      </c>
      <c r="T2017" s="11" t="s">
        <v>56</v>
      </c>
      <c r="U2017" s="12" t="n">
        <v>140</v>
      </c>
      <c r="W2017" s="12" t="n">
        <v>140</v>
      </c>
      <c r="X2017" s="11" t="s">
        <v>1727</v>
      </c>
      <c r="Z2017" s="0" t="str">
        <f aca="false">IF($T2017="","",IFERROR(INDEX('Resumo Grupos'!$AC$3:$AC$200,MATCH($T2017,'Resumo Grupos'!$AB$3:$AB$200,0)),"n/d"))</f>
        <v>Cobertura de conta</v>
      </c>
      <c r="AA2017" s="0" t="str">
        <f aca="false">IF($T2017="","",IF(COUNTIF('Resumo Grupos'!$AE$3:$AE$40,$T2017)&gt;0,"NAO","SIM"))</f>
        <v>SIM</v>
      </c>
    </row>
    <row r="2018" customFormat="false" ht="36.75" hidden="false" customHeight="true" outlineLevel="0" collapsed="false">
      <c r="A2018" s="9" t="n">
        <v>2</v>
      </c>
      <c r="B2018" s="10" t="n">
        <v>46279</v>
      </c>
      <c r="C2018" s="10" t="n">
        <v>46279</v>
      </c>
      <c r="D2018" s="9" t="n">
        <v>0</v>
      </c>
      <c r="E2018" s="11" t="s">
        <v>109</v>
      </c>
      <c r="F2018" s="9" t="n">
        <v>17</v>
      </c>
      <c r="G2018" s="11" t="s">
        <v>110</v>
      </c>
      <c r="H2018" s="9" t="n">
        <v>1110101</v>
      </c>
      <c r="I2018" s="11" t="s">
        <v>111</v>
      </c>
      <c r="J2018" s="9" t="n">
        <v>1710184</v>
      </c>
      <c r="L2018" s="9" t="n">
        <v>1710184</v>
      </c>
      <c r="M2018" s="11" t="s">
        <v>52</v>
      </c>
      <c r="N2018" s="11" t="s">
        <v>112</v>
      </c>
      <c r="P2018" s="9" t="n">
        <v>113</v>
      </c>
      <c r="Q2018" s="11" t="s">
        <v>46</v>
      </c>
      <c r="R2018" s="11" t="s">
        <v>71</v>
      </c>
      <c r="S2018" s="9" t="n">
        <v>4210309</v>
      </c>
      <c r="T2018" s="11" t="s">
        <v>72</v>
      </c>
      <c r="U2018" s="12" t="n">
        <v>10</v>
      </c>
      <c r="W2018" s="12" t="n">
        <v>10</v>
      </c>
      <c r="X2018" s="11" t="s">
        <v>1552</v>
      </c>
      <c r="Z2018" s="0" t="str">
        <f aca="false">IF($T2018="","",IFERROR(INDEX('Resumo Grupos'!$AC$3:$AC$200,MATCH($T2018,'Resumo Grupos'!$AB$3:$AB$200,0)),"n/d"))</f>
        <v>Salários</v>
      </c>
      <c r="AA2018" s="0" t="str">
        <f aca="false">IF($T2018="","",IF(COUNTIF('Resumo Grupos'!$AE$3:$AE$40,$T2018)&gt;0,"NAO","SIM"))</f>
        <v>SIM</v>
      </c>
    </row>
    <row r="2019" customFormat="false" ht="45.75" hidden="false" customHeight="true" outlineLevel="0" collapsed="false">
      <c r="A2019" s="9" t="n">
        <v>2</v>
      </c>
      <c r="B2019" s="10" t="n">
        <v>46279</v>
      </c>
      <c r="C2019" s="10" t="n">
        <v>46279</v>
      </c>
      <c r="D2019" s="9" t="n">
        <v>0</v>
      </c>
      <c r="E2019" s="11" t="s">
        <v>109</v>
      </c>
      <c r="F2019" s="9" t="n">
        <v>17</v>
      </c>
      <c r="G2019" s="11" t="s">
        <v>110</v>
      </c>
      <c r="H2019" s="9" t="n">
        <v>1110101</v>
      </c>
      <c r="I2019" s="11" t="s">
        <v>111</v>
      </c>
      <c r="J2019" s="9" t="n">
        <v>1710199</v>
      </c>
      <c r="L2019" s="9" t="n">
        <v>1710199</v>
      </c>
      <c r="M2019" s="11" t="s">
        <v>52</v>
      </c>
      <c r="N2019" s="11" t="s">
        <v>112</v>
      </c>
      <c r="P2019" s="9" t="n">
        <v>113</v>
      </c>
      <c r="Q2019" s="11" t="s">
        <v>46</v>
      </c>
      <c r="R2019" s="11" t="s">
        <v>71</v>
      </c>
      <c r="S2019" s="9" t="n">
        <v>4210314</v>
      </c>
      <c r="T2019" s="11" t="s">
        <v>113</v>
      </c>
      <c r="U2019" s="12" t="n">
        <v>100</v>
      </c>
      <c r="W2019" s="12" t="n">
        <v>100</v>
      </c>
      <c r="X2019" s="11" t="s">
        <v>1706</v>
      </c>
      <c r="Z2019" s="0" t="str">
        <f aca="false">IF($T2019="","",IFERROR(INDEX('Resumo Grupos'!$AC$3:$AC$200,MATCH($T2019,'Resumo Grupos'!$AB$3:$AB$200,0)),"n/d"))</f>
        <v>Despesa</v>
      </c>
      <c r="AA2019" s="0" t="str">
        <f aca="false">IF($T2019="","",IF(COUNTIF('Resumo Grupos'!$AE$3:$AE$40,$T2019)&gt;0,"NAO","SIM"))</f>
        <v>SIM</v>
      </c>
    </row>
    <row r="2020" customFormat="false" ht="45.75" hidden="false" customHeight="true" outlineLevel="0" collapsed="false">
      <c r="A2020" s="9" t="n">
        <v>2</v>
      </c>
      <c r="B2020" s="10" t="n">
        <v>46279</v>
      </c>
      <c r="C2020" s="10" t="n">
        <v>46279</v>
      </c>
      <c r="D2020" s="9" t="n">
        <v>0</v>
      </c>
      <c r="E2020" s="11" t="s">
        <v>109</v>
      </c>
      <c r="F2020" s="9" t="n">
        <v>17</v>
      </c>
      <c r="G2020" s="11" t="s">
        <v>110</v>
      </c>
      <c r="H2020" s="9" t="n">
        <v>1110101</v>
      </c>
      <c r="I2020" s="11" t="s">
        <v>111</v>
      </c>
      <c r="J2020" s="9" t="n">
        <v>1710201</v>
      </c>
      <c r="L2020" s="9" t="n">
        <v>1710201</v>
      </c>
      <c r="M2020" s="11" t="s">
        <v>52</v>
      </c>
      <c r="N2020" s="11" t="s">
        <v>112</v>
      </c>
      <c r="P2020" s="9" t="n">
        <v>113</v>
      </c>
      <c r="Q2020" s="11" t="s">
        <v>46</v>
      </c>
      <c r="R2020" s="11" t="s">
        <v>71</v>
      </c>
      <c r="S2020" s="9" t="n">
        <v>4210314</v>
      </c>
      <c r="T2020" s="11" t="s">
        <v>113</v>
      </c>
      <c r="U2020" s="12" t="n">
        <v>100</v>
      </c>
      <c r="W2020" s="12" t="n">
        <v>100</v>
      </c>
      <c r="X2020" s="11" t="s">
        <v>1728</v>
      </c>
      <c r="Z2020" s="0" t="str">
        <f aca="false">IF($T2020="","",IFERROR(INDEX('Resumo Grupos'!$AC$3:$AC$200,MATCH($T2020,'Resumo Grupos'!$AB$3:$AB$200,0)),"n/d"))</f>
        <v>Despesa</v>
      </c>
      <c r="AA2020" s="0" t="str">
        <f aca="false">IF($T2020="","",IF(COUNTIF('Resumo Grupos'!$AE$3:$AE$40,$T2020)&gt;0,"NAO","SIM"))</f>
        <v>SIM</v>
      </c>
    </row>
    <row r="2021" customFormat="false" ht="36.75" hidden="false" customHeight="true" outlineLevel="0" collapsed="false">
      <c r="A2021" s="9" t="n">
        <v>2</v>
      </c>
      <c r="B2021" s="10" t="n">
        <v>46279</v>
      </c>
      <c r="C2021" s="10" t="n">
        <v>46279</v>
      </c>
      <c r="D2021" s="9" t="n">
        <v>0</v>
      </c>
      <c r="E2021" s="11" t="s">
        <v>109</v>
      </c>
      <c r="F2021" s="9" t="n">
        <v>17</v>
      </c>
      <c r="G2021" s="11" t="s">
        <v>110</v>
      </c>
      <c r="H2021" s="9" t="n">
        <v>1110101</v>
      </c>
      <c r="I2021" s="11" t="s">
        <v>111</v>
      </c>
      <c r="J2021" s="9" t="n">
        <v>1710203</v>
      </c>
      <c r="L2021" s="9" t="n">
        <v>1710203</v>
      </c>
      <c r="M2021" s="11" t="s">
        <v>52</v>
      </c>
      <c r="N2021" s="11" t="s">
        <v>112</v>
      </c>
      <c r="P2021" s="9" t="n">
        <v>113</v>
      </c>
      <c r="Q2021" s="11" t="s">
        <v>46</v>
      </c>
      <c r="R2021" s="11" t="s">
        <v>71</v>
      </c>
      <c r="S2021" s="9" t="n">
        <v>4210310</v>
      </c>
      <c r="T2021" s="11" t="s">
        <v>126</v>
      </c>
      <c r="U2021" s="12" t="n">
        <v>7</v>
      </c>
      <c r="W2021" s="12" t="n">
        <v>7</v>
      </c>
      <c r="X2021" s="11" t="s">
        <v>1729</v>
      </c>
      <c r="Z2021" s="0" t="str">
        <f aca="false">IF($T2021="","",IFERROR(INDEX('Resumo Grupos'!$AC$3:$AC$200,MATCH($T2021,'Resumo Grupos'!$AB$3:$AB$200,0)),"n/d"))</f>
        <v>Despesa</v>
      </c>
      <c r="AA2021" s="0" t="str">
        <f aca="false">IF($T2021="","",IF(COUNTIF('Resumo Grupos'!$AE$3:$AE$40,$T2021)&gt;0,"NAO","SIM"))</f>
        <v>SIM</v>
      </c>
    </row>
    <row r="2022" customFormat="false" ht="45.75" hidden="false" customHeight="true" outlineLevel="0" collapsed="false">
      <c r="A2022" s="9" t="n">
        <v>2</v>
      </c>
      <c r="B2022" s="10" t="n">
        <v>46279</v>
      </c>
      <c r="C2022" s="10" t="n">
        <v>46279</v>
      </c>
      <c r="D2022" s="9" t="n">
        <v>0</v>
      </c>
      <c r="E2022" s="11" t="s">
        <v>109</v>
      </c>
      <c r="F2022" s="9" t="n">
        <v>17</v>
      </c>
      <c r="G2022" s="11" t="s">
        <v>110</v>
      </c>
      <c r="H2022" s="9" t="n">
        <v>1110101</v>
      </c>
      <c r="I2022" s="11" t="s">
        <v>111</v>
      </c>
      <c r="J2022" s="9" t="n">
        <v>1710208</v>
      </c>
      <c r="L2022" s="9" t="n">
        <v>1710208</v>
      </c>
      <c r="M2022" s="11" t="s">
        <v>52</v>
      </c>
      <c r="N2022" s="11" t="s">
        <v>112</v>
      </c>
      <c r="P2022" s="9" t="n">
        <v>113</v>
      </c>
      <c r="Q2022" s="11" t="s">
        <v>46</v>
      </c>
      <c r="R2022" s="11" t="s">
        <v>71</v>
      </c>
      <c r="S2022" s="9" t="n">
        <v>4210314</v>
      </c>
      <c r="T2022" s="11" t="s">
        <v>113</v>
      </c>
      <c r="U2022" s="12" t="n">
        <v>70</v>
      </c>
      <c r="W2022" s="12" t="n">
        <v>70</v>
      </c>
      <c r="X2022" s="11" t="s">
        <v>114</v>
      </c>
      <c r="Z2022" s="0" t="str">
        <f aca="false">IF($T2022="","",IFERROR(INDEX('Resumo Grupos'!$AC$3:$AC$200,MATCH($T2022,'Resumo Grupos'!$AB$3:$AB$200,0)),"n/d"))</f>
        <v>Despesa</v>
      </c>
      <c r="AA2022" s="0" t="str">
        <f aca="false">IF($T2022="","",IF(COUNTIF('Resumo Grupos'!$AE$3:$AE$40,$T2022)&gt;0,"NAO","SIM"))</f>
        <v>SIM</v>
      </c>
    </row>
    <row r="2023" customFormat="false" ht="36.75" hidden="false" customHeight="true" outlineLevel="0" collapsed="false">
      <c r="A2023" s="9" t="n">
        <v>2</v>
      </c>
      <c r="B2023" s="10" t="n">
        <v>46262</v>
      </c>
      <c r="C2023" s="10" t="n">
        <v>46279</v>
      </c>
      <c r="D2023" s="9" t="n">
        <v>1196</v>
      </c>
      <c r="E2023" s="11" t="s">
        <v>1470</v>
      </c>
      <c r="F2023" s="9" t="n">
        <v>24</v>
      </c>
      <c r="G2023" s="11" t="s">
        <v>51</v>
      </c>
      <c r="H2023" s="9" t="n">
        <v>2110405</v>
      </c>
      <c r="I2023" s="11" t="s">
        <v>56</v>
      </c>
      <c r="J2023" s="9" t="n">
        <v>1614552</v>
      </c>
      <c r="L2023" s="9" t="n">
        <v>221460</v>
      </c>
      <c r="M2023" s="11" t="s">
        <v>52</v>
      </c>
      <c r="N2023" s="11" t="s">
        <v>45</v>
      </c>
      <c r="P2023" s="9" t="n">
        <v>113</v>
      </c>
      <c r="Q2023" s="11" t="s">
        <v>46</v>
      </c>
      <c r="R2023" s="11" t="s">
        <v>47</v>
      </c>
      <c r="S2023" s="9" t="n">
        <v>1130101</v>
      </c>
      <c r="T2023" s="11" t="s">
        <v>48</v>
      </c>
      <c r="U2023" s="12" t="n">
        <v>1213.95</v>
      </c>
      <c r="W2023" s="12" t="n">
        <v>1213.95</v>
      </c>
      <c r="X2023" s="11" t="s">
        <v>1730</v>
      </c>
      <c r="Z2023" s="0" t="str">
        <f aca="false">IF($T2023="","",IFERROR(INDEX('Resumo Grupos'!$AC$3:$AC$200,MATCH($T2023,'Resumo Grupos'!$AB$3:$AB$200,0)),"n/d"))</f>
        <v>Mercadoria</v>
      </c>
      <c r="AA2023" s="0" t="str">
        <f aca="false">IF($T2023="","",IF(COUNTIF('Resumo Grupos'!$AE$3:$AE$40,$T2023)&gt;0,"NAO","SIM"))</f>
        <v>SIM</v>
      </c>
      <c r="AB2023" s="0" t="str">
        <f aca="false">IFERROR(INDEX('Mov Entradas (Rel 10497)'!$L:$L,MATCH(AC2023,'Mov Entradas (Rel 10497)'!$I:$I,0)),"nao encontrado")</f>
        <v>CAFÉ RANCHEIRO 250G</v>
      </c>
      <c r="AC2023" s="0" t="n">
        <v>13070</v>
      </c>
    </row>
    <row r="2024" customFormat="false" ht="54.75" hidden="false" customHeight="true" outlineLevel="0" collapsed="false">
      <c r="A2024" s="9" t="n">
        <v>2</v>
      </c>
      <c r="B2024" s="10" t="n">
        <v>46274</v>
      </c>
      <c r="C2024" s="10" t="n">
        <v>46280</v>
      </c>
      <c r="D2024" s="9" t="n">
        <v>10065</v>
      </c>
      <c r="E2024" s="11" t="s">
        <v>911</v>
      </c>
      <c r="F2024" s="9" t="n">
        <v>24</v>
      </c>
      <c r="G2024" s="11" t="s">
        <v>51</v>
      </c>
      <c r="H2024" s="9" t="n">
        <v>2110405</v>
      </c>
      <c r="I2024" s="11" t="s">
        <v>56</v>
      </c>
      <c r="J2024" s="9" t="n">
        <v>1676815</v>
      </c>
      <c r="L2024" s="9" t="n">
        <v>229972</v>
      </c>
      <c r="M2024" s="11" t="s">
        <v>52</v>
      </c>
      <c r="N2024" s="11" t="s">
        <v>45</v>
      </c>
      <c r="P2024" s="9" t="n">
        <v>113</v>
      </c>
      <c r="Q2024" s="11" t="s">
        <v>46</v>
      </c>
      <c r="R2024" s="11" t="s">
        <v>47</v>
      </c>
      <c r="S2024" s="9" t="n">
        <v>1130101</v>
      </c>
      <c r="T2024" s="11" t="s">
        <v>48</v>
      </c>
      <c r="U2024" s="12" t="n">
        <v>144</v>
      </c>
      <c r="W2024" s="12" t="n">
        <v>144</v>
      </c>
      <c r="X2024" s="11" t="s">
        <v>1731</v>
      </c>
      <c r="Z2024" s="0" t="str">
        <f aca="false">IF($T2024="","",IFERROR(INDEX('Resumo Grupos'!$AC$3:$AC$200,MATCH($T2024,'Resumo Grupos'!$AB$3:$AB$200,0)),"n/d"))</f>
        <v>Mercadoria</v>
      </c>
      <c r="AA2024" s="0" t="str">
        <f aca="false">IF($T2024="","",IF(COUNTIF('Resumo Grupos'!$AE$3:$AE$40,$T2024)&gt;0,"NAO","SIM"))</f>
        <v>SIM</v>
      </c>
      <c r="AB2024" s="0" t="str">
        <f aca="false">IFERROR(INDEX('Mov Entradas (Rel 10497)'!$L:$L,MATCH(AC2024,'Mov Entradas (Rel 10497)'!$I:$I,0)),"nao encontrado")</f>
        <v>MOLHO DE PIMENTA ARUBÉ C TUCUPI 120ML</v>
      </c>
      <c r="AC2024" s="0" t="n">
        <v>95</v>
      </c>
    </row>
    <row r="2025" customFormat="false" ht="45.75" hidden="false" customHeight="true" outlineLevel="0" collapsed="false">
      <c r="A2025" s="9" t="n">
        <v>2</v>
      </c>
      <c r="B2025" s="10" t="n">
        <v>46277</v>
      </c>
      <c r="C2025" s="10" t="n">
        <v>46280</v>
      </c>
      <c r="D2025" s="9" t="n">
        <v>642</v>
      </c>
      <c r="E2025" s="11" t="s">
        <v>123</v>
      </c>
      <c r="F2025" s="9" t="n">
        <v>24</v>
      </c>
      <c r="G2025" s="11" t="s">
        <v>51</v>
      </c>
      <c r="H2025" s="9" t="n">
        <v>2110405</v>
      </c>
      <c r="I2025" s="11" t="s">
        <v>56</v>
      </c>
      <c r="J2025" s="9" t="n">
        <v>1688936</v>
      </c>
      <c r="L2025" s="9" t="n">
        <v>232216</v>
      </c>
      <c r="M2025" s="11" t="s">
        <v>52</v>
      </c>
      <c r="N2025" s="11" t="s">
        <v>45</v>
      </c>
      <c r="P2025" s="9" t="n">
        <v>113</v>
      </c>
      <c r="Q2025" s="11" t="s">
        <v>46</v>
      </c>
      <c r="R2025" s="11" t="s">
        <v>47</v>
      </c>
      <c r="S2025" s="9" t="n">
        <v>1130101</v>
      </c>
      <c r="T2025" s="11" t="s">
        <v>48</v>
      </c>
      <c r="U2025" s="12" t="n">
        <v>180</v>
      </c>
      <c r="W2025" s="12" t="n">
        <v>180</v>
      </c>
      <c r="X2025" s="11" t="s">
        <v>366</v>
      </c>
      <c r="Z2025" s="0" t="str">
        <f aca="false">IF($T2025="","",IFERROR(INDEX('Resumo Grupos'!$AC$3:$AC$200,MATCH($T2025,'Resumo Grupos'!$AB$3:$AB$200,0)),"n/d"))</f>
        <v>Mercadoria</v>
      </c>
      <c r="AA2025" s="0" t="str">
        <f aca="false">IF($T2025="","",IF(COUNTIF('Resumo Grupos'!$AE$3:$AE$40,$T2025)&gt;0,"NAO","SIM"))</f>
        <v>SIM</v>
      </c>
      <c r="AB2025" s="0" t="str">
        <f aca="false">IFERROR(INDEX('Mov Entradas (Rel 10497)'!$L:$L,MATCH(AC2025,'Mov Entradas (Rel 10497)'!$I:$I,0)),"nao encontrado")</f>
        <v>PAO DE FORMA REAL MA</v>
      </c>
      <c r="AC2025" s="0" t="n">
        <v>654</v>
      </c>
    </row>
    <row r="2026" customFormat="false" ht="45.75" hidden="false" customHeight="true" outlineLevel="0" collapsed="false">
      <c r="A2026" s="9" t="n">
        <v>2</v>
      </c>
      <c r="B2026" s="10" t="n">
        <v>46261</v>
      </c>
      <c r="C2026" s="10" t="n">
        <v>46280</v>
      </c>
      <c r="D2026" s="9" t="n">
        <v>1637</v>
      </c>
      <c r="E2026" s="11" t="s">
        <v>871</v>
      </c>
      <c r="F2026" s="9" t="n">
        <v>24</v>
      </c>
      <c r="G2026" s="11" t="s">
        <v>51</v>
      </c>
      <c r="H2026" s="9" t="n">
        <v>2110405</v>
      </c>
      <c r="I2026" s="11" t="s">
        <v>56</v>
      </c>
      <c r="J2026" s="9" t="n">
        <v>1608926</v>
      </c>
      <c r="L2026" s="9" t="n">
        <v>220453</v>
      </c>
      <c r="M2026" s="11" t="s">
        <v>52</v>
      </c>
      <c r="N2026" s="11" t="s">
        <v>45</v>
      </c>
      <c r="P2026" s="9" t="n">
        <v>113</v>
      </c>
      <c r="Q2026" s="11" t="s">
        <v>46</v>
      </c>
      <c r="R2026" s="11" t="s">
        <v>47</v>
      </c>
      <c r="S2026" s="9" t="n">
        <v>1130101</v>
      </c>
      <c r="T2026" s="11" t="s">
        <v>48</v>
      </c>
      <c r="U2026" s="12" t="n">
        <v>974.55</v>
      </c>
      <c r="W2026" s="12" t="n">
        <v>974.55</v>
      </c>
      <c r="X2026" s="11" t="s">
        <v>1732</v>
      </c>
      <c r="Z2026" s="0" t="str">
        <f aca="false">IF($T2026="","",IFERROR(INDEX('Resumo Grupos'!$AC$3:$AC$200,MATCH($T2026,'Resumo Grupos'!$AB$3:$AB$200,0)),"n/d"))</f>
        <v>Mercadoria</v>
      </c>
      <c r="AA2026" s="0" t="str">
        <f aca="false">IF($T2026="","",IF(COUNTIF('Resumo Grupos'!$AE$3:$AE$40,$T2026)&gt;0,"NAO","SIM"))</f>
        <v>SIM</v>
      </c>
      <c r="AB2026" s="0" t="str">
        <f aca="false">IFERROR(INDEX('Mov Entradas (Rel 10497)'!$L:$L,MATCH(AC2026,'Mov Entradas (Rel 10497)'!$I:$I,0)),"nao encontrado")</f>
        <v>LEITE EM PO PIRACANJUBA 400G</v>
      </c>
      <c r="AC2026" s="0" t="n">
        <v>1925382</v>
      </c>
    </row>
    <row r="2027" customFormat="false" ht="54.75" hidden="false" customHeight="true" outlineLevel="0" collapsed="false">
      <c r="A2027" s="9" t="n">
        <v>2</v>
      </c>
      <c r="B2027" s="10" t="n">
        <v>46266</v>
      </c>
      <c r="C2027" s="10" t="n">
        <v>46280</v>
      </c>
      <c r="D2027" s="9" t="n">
        <v>1921</v>
      </c>
      <c r="E2027" s="11" t="s">
        <v>167</v>
      </c>
      <c r="F2027" s="9" t="n">
        <v>24</v>
      </c>
      <c r="G2027" s="11" t="s">
        <v>51</v>
      </c>
      <c r="H2027" s="9" t="n">
        <v>2110405</v>
      </c>
      <c r="I2027" s="11" t="s">
        <v>56</v>
      </c>
      <c r="J2027" s="9" t="n">
        <v>1633947</v>
      </c>
      <c r="L2027" s="9" t="n">
        <v>224242</v>
      </c>
      <c r="M2027" s="11" t="s">
        <v>52</v>
      </c>
      <c r="N2027" s="11" t="s">
        <v>45</v>
      </c>
      <c r="P2027" s="9" t="n">
        <v>113</v>
      </c>
      <c r="Q2027" s="11" t="s">
        <v>46</v>
      </c>
      <c r="R2027" s="11" t="s">
        <v>47</v>
      </c>
      <c r="S2027" s="9" t="n">
        <v>1130101</v>
      </c>
      <c r="T2027" s="11" t="s">
        <v>48</v>
      </c>
      <c r="U2027" s="12" t="n">
        <v>540.99</v>
      </c>
      <c r="W2027" s="12" t="n">
        <v>540.99</v>
      </c>
      <c r="X2027" s="11" t="s">
        <v>1733</v>
      </c>
      <c r="Z2027" s="0" t="str">
        <f aca="false">IF($T2027="","",IFERROR(INDEX('Resumo Grupos'!$AC$3:$AC$200,MATCH($T2027,'Resumo Grupos'!$AB$3:$AB$200,0)),"n/d"))</f>
        <v>Mercadoria</v>
      </c>
      <c r="AA2027" s="0" t="str">
        <f aca="false">IF($T2027="","",IF(COUNTIF('Resumo Grupos'!$AE$3:$AE$40,$T2027)&gt;0,"NAO","SIM"))</f>
        <v>SIM</v>
      </c>
      <c r="AB2027" s="0" t="str">
        <f aca="false">IFERROR(INDEX('Mov Entradas (Rel 10497)'!$L:$L,MATCH(AC2027,'Mov Entradas (Rel 10497)'!$I:$I,0)),"nao encontrado")</f>
        <v>TEMPERO COMPLETO CHU</v>
      </c>
      <c r="AC2027" s="0" t="n">
        <v>21345</v>
      </c>
    </row>
    <row r="2028" customFormat="false" ht="45.75" hidden="false" customHeight="true" outlineLevel="0" collapsed="false">
      <c r="A2028" s="9" t="n">
        <v>2</v>
      </c>
      <c r="B2028" s="10" t="n">
        <v>46265</v>
      </c>
      <c r="C2028" s="10" t="n">
        <v>46280</v>
      </c>
      <c r="D2028" s="9" t="n">
        <v>1705</v>
      </c>
      <c r="E2028" s="11" t="s">
        <v>130</v>
      </c>
      <c r="F2028" s="9" t="n">
        <v>24</v>
      </c>
      <c r="G2028" s="11" t="s">
        <v>51</v>
      </c>
      <c r="H2028" s="9" t="n">
        <v>2110405</v>
      </c>
      <c r="I2028" s="11" t="s">
        <v>56</v>
      </c>
      <c r="J2028" s="9" t="n">
        <v>1630554</v>
      </c>
      <c r="L2028" s="9" t="n">
        <v>223766</v>
      </c>
      <c r="M2028" s="11" t="s">
        <v>52</v>
      </c>
      <c r="N2028" s="11" t="s">
        <v>45</v>
      </c>
      <c r="P2028" s="9" t="n">
        <v>113</v>
      </c>
      <c r="Q2028" s="11" t="s">
        <v>46</v>
      </c>
      <c r="R2028" s="11" t="s">
        <v>47</v>
      </c>
      <c r="S2028" s="9" t="n">
        <v>1130101</v>
      </c>
      <c r="T2028" s="11" t="s">
        <v>48</v>
      </c>
      <c r="U2028" s="12" t="n">
        <v>1139.35</v>
      </c>
      <c r="W2028" s="12" t="n">
        <v>1139.35</v>
      </c>
      <c r="X2028" s="11" t="s">
        <v>1734</v>
      </c>
      <c r="Z2028" s="0" t="str">
        <f aca="false">IF($T2028="","",IFERROR(INDEX('Resumo Grupos'!$AC$3:$AC$200,MATCH($T2028,'Resumo Grupos'!$AB$3:$AB$200,0)),"n/d"))</f>
        <v>Mercadoria</v>
      </c>
      <c r="AA2028" s="0" t="str">
        <f aca="false">IF($T2028="","",IF(COUNTIF('Resumo Grupos'!$AE$3:$AE$40,$T2028)&gt;0,"NAO","SIM"))</f>
        <v>SIM</v>
      </c>
      <c r="AB2028" s="0" t="str">
        <f aca="false">IFERROR(INDEX('Mov Entradas (Rel 10497)'!$L:$L,MATCH(AC2028,'Mov Entradas (Rel 10497)'!$I:$I,0)),"nao encontrado")</f>
        <v>MONSTER ENERGY 473ML</v>
      </c>
      <c r="AC2028" s="0" t="n">
        <v>1272321</v>
      </c>
    </row>
    <row r="2029" customFormat="false" ht="45.75" hidden="false" customHeight="true" outlineLevel="0" collapsed="false">
      <c r="A2029" s="9" t="n">
        <v>2</v>
      </c>
      <c r="B2029" s="10" t="n">
        <v>46260</v>
      </c>
      <c r="C2029" s="10" t="n">
        <v>46280</v>
      </c>
      <c r="D2029" s="9" t="n">
        <v>1601</v>
      </c>
      <c r="E2029" s="11" t="s">
        <v>193</v>
      </c>
      <c r="F2029" s="9" t="n">
        <v>24</v>
      </c>
      <c r="G2029" s="11" t="s">
        <v>51</v>
      </c>
      <c r="H2029" s="9" t="n">
        <v>2110405</v>
      </c>
      <c r="I2029" s="11" t="s">
        <v>56</v>
      </c>
      <c r="J2029" s="9" t="n">
        <v>1603998</v>
      </c>
      <c r="L2029" s="9" t="n">
        <v>219686</v>
      </c>
      <c r="M2029" s="11" t="s">
        <v>52</v>
      </c>
      <c r="N2029" s="11" t="s">
        <v>45</v>
      </c>
      <c r="P2029" s="9" t="n">
        <v>113</v>
      </c>
      <c r="Q2029" s="11" t="s">
        <v>46</v>
      </c>
      <c r="R2029" s="11" t="s">
        <v>47</v>
      </c>
      <c r="S2029" s="9" t="n">
        <v>1130101</v>
      </c>
      <c r="T2029" s="11" t="s">
        <v>48</v>
      </c>
      <c r="U2029" s="12" t="n">
        <v>843.65</v>
      </c>
      <c r="W2029" s="12" t="n">
        <v>843.65</v>
      </c>
      <c r="X2029" s="11" t="s">
        <v>1633</v>
      </c>
      <c r="Z2029" s="0" t="str">
        <f aca="false">IF($T2029="","",IFERROR(INDEX('Resumo Grupos'!$AC$3:$AC$200,MATCH($T2029,'Resumo Grupos'!$AB$3:$AB$200,0)),"n/d"))</f>
        <v>Mercadoria</v>
      </c>
      <c r="AA2029" s="0" t="str">
        <f aca="false">IF($T2029="","",IF(COUNTIF('Resumo Grupos'!$AE$3:$AE$40,$T2029)&gt;0,"NAO","SIM"))</f>
        <v>SIM</v>
      </c>
      <c r="AB2029" s="0" t="str">
        <f aca="false">IFERROR(INDEX('Mov Entradas (Rel 10497)'!$L:$L,MATCH(AC2029,'Mov Entradas (Rel 10497)'!$I:$I,0)),"nao encontrado")</f>
        <v>HEINZ YELLOW MUSTARD</v>
      </c>
      <c r="AC2029" s="0" t="n">
        <v>866347</v>
      </c>
    </row>
    <row r="2030" customFormat="false" ht="36.75" hidden="false" customHeight="true" outlineLevel="0" collapsed="false">
      <c r="A2030" s="9" t="n">
        <v>2</v>
      </c>
      <c r="B2030" s="10" t="n">
        <v>46274</v>
      </c>
      <c r="C2030" s="10" t="n">
        <v>46280</v>
      </c>
      <c r="D2030" s="9" t="n">
        <v>1621</v>
      </c>
      <c r="E2030" s="11" t="s">
        <v>232</v>
      </c>
      <c r="F2030" s="9" t="n">
        <v>24</v>
      </c>
      <c r="G2030" s="11" t="s">
        <v>51</v>
      </c>
      <c r="H2030" s="9" t="n">
        <v>2110405</v>
      </c>
      <c r="I2030" s="11" t="s">
        <v>56</v>
      </c>
      <c r="J2030" s="9" t="n">
        <v>1676893</v>
      </c>
      <c r="L2030" s="9" t="n">
        <v>229987</v>
      </c>
      <c r="M2030" s="11" t="s">
        <v>52</v>
      </c>
      <c r="N2030" s="11" t="s">
        <v>45</v>
      </c>
      <c r="P2030" s="9" t="n">
        <v>113</v>
      </c>
      <c r="Q2030" s="11" t="s">
        <v>46</v>
      </c>
      <c r="R2030" s="11" t="s">
        <v>47</v>
      </c>
      <c r="S2030" s="9" t="n">
        <v>1130101</v>
      </c>
      <c r="T2030" s="11" t="s">
        <v>48</v>
      </c>
      <c r="U2030" s="12" t="n">
        <v>2142.27</v>
      </c>
      <c r="W2030" s="12" t="n">
        <v>2142.27</v>
      </c>
      <c r="X2030" s="11" t="s">
        <v>1735</v>
      </c>
      <c r="Z2030" s="0" t="str">
        <f aca="false">IF($T2030="","",IFERROR(INDEX('Resumo Grupos'!$AC$3:$AC$200,MATCH($T2030,'Resumo Grupos'!$AB$3:$AB$200,0)),"n/d"))</f>
        <v>Mercadoria</v>
      </c>
      <c r="AA2030" s="0" t="str">
        <f aca="false">IF($T2030="","",IF(COUNTIF('Resumo Grupos'!$AE$3:$AE$40,$T2030)&gt;0,"NAO","SIM"))</f>
        <v>SIM</v>
      </c>
      <c r="AB2030" s="0" t="str">
        <f aca="false">IFERROR(INDEX('Mov Entradas (Rel 10497)'!$L:$L,MATCH(AC2030,'Mov Entradas (Rel 10497)'!$I:$I,0)),"nao encontrado")</f>
        <v>CERV BRAHMA ZERO 350ML</v>
      </c>
      <c r="AC2030" s="0" t="n">
        <v>996851</v>
      </c>
    </row>
    <row r="2031" customFormat="false" ht="36.75" hidden="false" customHeight="true" outlineLevel="0" collapsed="false">
      <c r="A2031" s="9" t="n">
        <v>2</v>
      </c>
      <c r="B2031" s="10" t="n">
        <v>46260</v>
      </c>
      <c r="C2031" s="10" t="n">
        <v>46280</v>
      </c>
      <c r="D2031" s="9" t="n">
        <v>794</v>
      </c>
      <c r="E2031" s="11" t="s">
        <v>335</v>
      </c>
      <c r="F2031" s="9" t="n">
        <v>24</v>
      </c>
      <c r="G2031" s="11" t="s">
        <v>51</v>
      </c>
      <c r="H2031" s="9" t="n">
        <v>2110405</v>
      </c>
      <c r="I2031" s="11" t="s">
        <v>56</v>
      </c>
      <c r="J2031" s="9" t="n">
        <v>1604324</v>
      </c>
      <c r="L2031" s="9" t="n">
        <v>219750</v>
      </c>
      <c r="M2031" s="11" t="s">
        <v>52</v>
      </c>
      <c r="N2031" s="11" t="s">
        <v>45</v>
      </c>
      <c r="P2031" s="9" t="n">
        <v>113</v>
      </c>
      <c r="Q2031" s="11" t="s">
        <v>46</v>
      </c>
      <c r="R2031" s="11" t="s">
        <v>47</v>
      </c>
      <c r="S2031" s="9" t="n">
        <v>1130101</v>
      </c>
      <c r="T2031" s="11" t="s">
        <v>48</v>
      </c>
      <c r="U2031" s="12" t="n">
        <v>873.08</v>
      </c>
      <c r="W2031" s="12" t="n">
        <v>873.08</v>
      </c>
      <c r="X2031" s="11" t="s">
        <v>1635</v>
      </c>
      <c r="Z2031" s="0" t="str">
        <f aca="false">IF($T2031="","",IFERROR(INDEX('Resumo Grupos'!$AC$3:$AC$200,MATCH($T2031,'Resumo Grupos'!$AB$3:$AB$200,0)),"n/d"))</f>
        <v>Mercadoria</v>
      </c>
      <c r="AA2031" s="0" t="str">
        <f aca="false">IF($T2031="","",IF(COUNTIF('Resumo Grupos'!$AE$3:$AE$40,$T2031)&gt;0,"NAO","SIM"))</f>
        <v>SIM</v>
      </c>
      <c r="AB2031" s="0" t="str">
        <f aca="false">IFERROR(INDEX('Mov Entradas (Rel 10497)'!$L:$L,MATCH(AC2031,'Mov Entradas (Rel 10497)'!$I:$I,0)),"nao encontrado")</f>
        <v>RODO M 30CM CONDOR</v>
      </c>
      <c r="AC2031" s="0" t="n">
        <v>8744</v>
      </c>
    </row>
    <row r="2032" customFormat="false" ht="45.75" hidden="false" customHeight="true" outlineLevel="0" collapsed="false">
      <c r="A2032" s="9" t="n">
        <v>2</v>
      </c>
      <c r="B2032" s="10" t="n">
        <v>46267</v>
      </c>
      <c r="C2032" s="10" t="n">
        <v>46280</v>
      </c>
      <c r="D2032" s="9" t="n">
        <v>1683</v>
      </c>
      <c r="E2032" s="11" t="s">
        <v>406</v>
      </c>
      <c r="F2032" s="9" t="n">
        <v>34</v>
      </c>
      <c r="G2032" s="11" t="s">
        <v>55</v>
      </c>
      <c r="H2032" s="9" t="n">
        <v>2110405</v>
      </c>
      <c r="I2032" s="11" t="s">
        <v>56</v>
      </c>
      <c r="J2032" s="9" t="n">
        <v>1639288</v>
      </c>
      <c r="L2032" s="9" t="n">
        <v>225300</v>
      </c>
      <c r="M2032" s="11" t="s">
        <v>52</v>
      </c>
      <c r="N2032" s="11" t="s">
        <v>45</v>
      </c>
      <c r="P2032" s="9" t="n">
        <v>113</v>
      </c>
      <c r="Q2032" s="11" t="s">
        <v>46</v>
      </c>
      <c r="R2032" s="11" t="s">
        <v>47</v>
      </c>
      <c r="S2032" s="9" t="n">
        <v>1130101</v>
      </c>
      <c r="T2032" s="11" t="s">
        <v>48</v>
      </c>
      <c r="U2032" s="12" t="n">
        <v>96</v>
      </c>
      <c r="W2032" s="12" t="n">
        <v>96</v>
      </c>
      <c r="X2032" s="11" t="s">
        <v>408</v>
      </c>
      <c r="Z2032" s="0" t="str">
        <f aca="false">IF($T2032="","",IFERROR(INDEX('Resumo Grupos'!$AC$3:$AC$200,MATCH($T2032,'Resumo Grupos'!$AB$3:$AB$200,0)),"n/d"))</f>
        <v>Mercadoria</v>
      </c>
      <c r="AA2032" s="0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9" t="n">
        <v>2</v>
      </c>
      <c r="B2033" s="10" t="n">
        <v>46269</v>
      </c>
      <c r="C2033" s="10" t="n">
        <v>46280</v>
      </c>
      <c r="D2033" s="9" t="n">
        <v>1683</v>
      </c>
      <c r="E2033" s="11" t="s">
        <v>406</v>
      </c>
      <c r="F2033" s="9" t="n">
        <v>34</v>
      </c>
      <c r="G2033" s="11" t="s">
        <v>55</v>
      </c>
      <c r="H2033" s="9" t="n">
        <v>2110405</v>
      </c>
      <c r="I2033" s="11" t="s">
        <v>56</v>
      </c>
      <c r="J2033" s="9" t="n">
        <v>1652479</v>
      </c>
      <c r="L2033" s="9" t="n">
        <v>227018</v>
      </c>
      <c r="M2033" s="11" t="s">
        <v>52</v>
      </c>
      <c r="N2033" s="11" t="s">
        <v>45</v>
      </c>
      <c r="P2033" s="9" t="n">
        <v>113</v>
      </c>
      <c r="Q2033" s="11" t="s">
        <v>46</v>
      </c>
      <c r="R2033" s="11" t="s">
        <v>47</v>
      </c>
      <c r="S2033" s="9" t="n">
        <v>1130101</v>
      </c>
      <c r="T2033" s="11" t="s">
        <v>48</v>
      </c>
      <c r="U2033" s="12" t="n">
        <v>166.5</v>
      </c>
      <c r="W2033" s="12" t="n">
        <v>166.5</v>
      </c>
      <c r="X2033" s="11" t="s">
        <v>408</v>
      </c>
      <c r="Z2033" s="0" t="str">
        <f aca="false">IF($T2033="","",IFERROR(INDEX('Resumo Grupos'!$AC$3:$AC$200,MATCH($T2033,'Resumo Grupos'!$AB$3:$AB$200,0)),"n/d"))</f>
        <v>Mercadoria</v>
      </c>
      <c r="AA2033" s="0" t="str">
        <f aca="false">IF($T2033="","",IF(COUNTIF('Resumo Grupos'!$AE$3:$AE$40,$T2033)&gt;0,"NAO","SIM"))</f>
        <v>SIM</v>
      </c>
    </row>
    <row r="2034" customFormat="false" ht="36.75" hidden="false" customHeight="true" outlineLevel="0" collapsed="false">
      <c r="A2034" s="9" t="n">
        <v>2</v>
      </c>
      <c r="B2034" s="10" t="n">
        <v>46274</v>
      </c>
      <c r="C2034" s="10" t="n">
        <v>46280</v>
      </c>
      <c r="D2034" s="9" t="n">
        <v>1683</v>
      </c>
      <c r="E2034" s="11" t="s">
        <v>406</v>
      </c>
      <c r="F2034" s="9" t="n">
        <v>34</v>
      </c>
      <c r="G2034" s="11" t="s">
        <v>55</v>
      </c>
      <c r="H2034" s="9" t="n">
        <v>2110405</v>
      </c>
      <c r="I2034" s="11" t="s">
        <v>56</v>
      </c>
      <c r="J2034" s="9" t="n">
        <v>1676709</v>
      </c>
      <c r="L2034" s="9" t="n">
        <v>229947</v>
      </c>
      <c r="M2034" s="11" t="s">
        <v>52</v>
      </c>
      <c r="N2034" s="11" t="s">
        <v>45</v>
      </c>
      <c r="P2034" s="9" t="n">
        <v>113</v>
      </c>
      <c r="Q2034" s="11" t="s">
        <v>46</v>
      </c>
      <c r="R2034" s="11" t="s">
        <v>47</v>
      </c>
      <c r="S2034" s="9" t="n">
        <v>1130101</v>
      </c>
      <c r="T2034" s="11" t="s">
        <v>48</v>
      </c>
      <c r="U2034" s="12" t="n">
        <v>115.5</v>
      </c>
      <c r="W2034" s="12" t="n">
        <v>115.5</v>
      </c>
      <c r="X2034" s="11" t="s">
        <v>408</v>
      </c>
      <c r="Z2034" s="0" t="str">
        <f aca="false">IF($T2034="","",IFERROR(INDEX('Resumo Grupos'!$AC$3:$AC$200,MATCH($T2034,'Resumo Grupos'!$AB$3:$AB$200,0)),"n/d"))</f>
        <v>Mercadoria</v>
      </c>
      <c r="AA2034" s="0" t="str">
        <f aca="false">IF($T2034="","",IF(COUNTIF('Resumo Grupos'!$AE$3:$AE$40,$T2034)&gt;0,"NAO","SIM"))</f>
        <v>SIM</v>
      </c>
    </row>
    <row r="2035" customFormat="false" ht="54.75" hidden="false" customHeight="true" outlineLevel="0" collapsed="false">
      <c r="A2035" s="9" t="n">
        <v>2</v>
      </c>
      <c r="B2035" s="10" t="n">
        <v>46274</v>
      </c>
      <c r="C2035" s="10" t="n">
        <v>46280</v>
      </c>
      <c r="D2035" s="9" t="n">
        <v>1683</v>
      </c>
      <c r="E2035" s="11" t="s">
        <v>406</v>
      </c>
      <c r="F2035" s="9" t="n">
        <v>34</v>
      </c>
      <c r="G2035" s="11" t="s">
        <v>55</v>
      </c>
      <c r="H2035" s="9" t="n">
        <v>2110405</v>
      </c>
      <c r="I2035" s="11" t="s">
        <v>56</v>
      </c>
      <c r="J2035" s="9" t="n">
        <v>1676712</v>
      </c>
      <c r="L2035" s="9" t="n">
        <v>229948</v>
      </c>
      <c r="M2035" s="11" t="s">
        <v>52</v>
      </c>
      <c r="N2035" s="11" t="s">
        <v>45</v>
      </c>
      <c r="P2035" s="9" t="n">
        <v>113</v>
      </c>
      <c r="Q2035" s="11" t="s">
        <v>46</v>
      </c>
      <c r="R2035" s="11" t="s">
        <v>47</v>
      </c>
      <c r="S2035" s="9" t="n">
        <v>1130101</v>
      </c>
      <c r="T2035" s="11" t="s">
        <v>48</v>
      </c>
      <c r="U2035" s="12" t="n">
        <v>147</v>
      </c>
      <c r="W2035" s="12" t="n">
        <v>147</v>
      </c>
      <c r="X2035" s="11" t="s">
        <v>408</v>
      </c>
      <c r="Z2035" s="0" t="str">
        <f aca="false">IF($T2035="","",IFERROR(INDEX('Resumo Grupos'!$AC$3:$AC$200,MATCH($T2035,'Resumo Grupos'!$AB$3:$AB$200,0)),"n/d"))</f>
        <v>Mercadoria</v>
      </c>
      <c r="AA2035" s="0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9" t="n">
        <v>2</v>
      </c>
      <c r="B2036" s="10" t="n">
        <v>46274</v>
      </c>
      <c r="C2036" s="10" t="n">
        <v>46280</v>
      </c>
      <c r="D2036" s="9" t="n">
        <v>1683</v>
      </c>
      <c r="E2036" s="11" t="s">
        <v>406</v>
      </c>
      <c r="F2036" s="9" t="n">
        <v>34</v>
      </c>
      <c r="G2036" s="11" t="s">
        <v>55</v>
      </c>
      <c r="H2036" s="9" t="n">
        <v>2110405</v>
      </c>
      <c r="I2036" s="11" t="s">
        <v>56</v>
      </c>
      <c r="J2036" s="9" t="n">
        <v>1678229</v>
      </c>
      <c r="L2036" s="9" t="n">
        <v>230248</v>
      </c>
      <c r="M2036" s="11" t="s">
        <v>52</v>
      </c>
      <c r="N2036" s="11" t="s">
        <v>45</v>
      </c>
      <c r="P2036" s="9" t="n">
        <v>113</v>
      </c>
      <c r="Q2036" s="11" t="s">
        <v>46</v>
      </c>
      <c r="R2036" s="11" t="s">
        <v>47</v>
      </c>
      <c r="S2036" s="9" t="n">
        <v>1130101</v>
      </c>
      <c r="T2036" s="11" t="s">
        <v>48</v>
      </c>
      <c r="U2036" s="12" t="n">
        <v>178.5</v>
      </c>
      <c r="W2036" s="12" t="n">
        <v>178.5</v>
      </c>
      <c r="X2036" s="11" t="s">
        <v>408</v>
      </c>
      <c r="Z2036" s="0" t="str">
        <f aca="false">IF($T2036="","",IFERROR(INDEX('Resumo Grupos'!$AC$3:$AC$200,MATCH($T2036,'Resumo Grupos'!$AB$3:$AB$200,0)),"n/d"))</f>
        <v>Mercadoria</v>
      </c>
      <c r="AA2036" s="0" t="str">
        <f aca="false">IF($T2036="","",IF(COUNTIF('Resumo Grupos'!$AE$3:$AE$40,$T2036)&gt;0,"NAO","SIM"))</f>
        <v>SIM</v>
      </c>
    </row>
    <row r="2037" customFormat="false" ht="63.75" hidden="false" customHeight="true" outlineLevel="0" collapsed="false">
      <c r="A2037" s="9" t="n">
        <v>2</v>
      </c>
      <c r="B2037" s="10" t="n">
        <v>46277</v>
      </c>
      <c r="C2037" s="10" t="n">
        <v>46280</v>
      </c>
      <c r="D2037" s="9" t="n">
        <v>1683</v>
      </c>
      <c r="E2037" s="11" t="s">
        <v>406</v>
      </c>
      <c r="F2037" s="9" t="n">
        <v>34</v>
      </c>
      <c r="G2037" s="11" t="s">
        <v>55</v>
      </c>
      <c r="H2037" s="9" t="n">
        <v>2110405</v>
      </c>
      <c r="I2037" s="11" t="s">
        <v>56</v>
      </c>
      <c r="J2037" s="9" t="n">
        <v>1688712</v>
      </c>
      <c r="L2037" s="9" t="n">
        <v>232158</v>
      </c>
      <c r="M2037" s="11" t="s">
        <v>52</v>
      </c>
      <c r="N2037" s="11" t="s">
        <v>45</v>
      </c>
      <c r="P2037" s="9" t="n">
        <v>113</v>
      </c>
      <c r="Q2037" s="11" t="s">
        <v>46</v>
      </c>
      <c r="R2037" s="11" t="s">
        <v>47</v>
      </c>
      <c r="S2037" s="9" t="n">
        <v>1130101</v>
      </c>
      <c r="T2037" s="11" t="s">
        <v>48</v>
      </c>
      <c r="U2037" s="12" t="n">
        <v>81</v>
      </c>
      <c r="W2037" s="12" t="n">
        <v>81</v>
      </c>
      <c r="X2037" s="11" t="s">
        <v>1736</v>
      </c>
      <c r="Z2037" s="0" t="str">
        <f aca="false">IF($T2037="","",IFERROR(INDEX('Resumo Grupos'!$AC$3:$AC$200,MATCH($T2037,'Resumo Grupos'!$AB$3:$AB$200,0)),"n/d"))</f>
        <v>Mercadoria</v>
      </c>
      <c r="AA2037" s="0" t="str">
        <f aca="false">IF($T2037="","",IF(COUNTIF('Resumo Grupos'!$AE$3:$AE$40,$T2037)&gt;0,"NAO","SIM"))</f>
        <v>SIM</v>
      </c>
    </row>
    <row r="2038" customFormat="false" ht="36.75" hidden="false" customHeight="true" outlineLevel="0" collapsed="false">
      <c r="A2038" s="9" t="n">
        <v>2</v>
      </c>
      <c r="B2038" s="10" t="n">
        <v>46279</v>
      </c>
      <c r="C2038" s="10" t="n">
        <v>46280</v>
      </c>
      <c r="D2038" s="9" t="n">
        <v>1683</v>
      </c>
      <c r="E2038" s="11" t="s">
        <v>406</v>
      </c>
      <c r="F2038" s="9" t="n">
        <v>34</v>
      </c>
      <c r="G2038" s="11" t="s">
        <v>55</v>
      </c>
      <c r="H2038" s="9" t="n">
        <v>2110405</v>
      </c>
      <c r="I2038" s="11" t="s">
        <v>56</v>
      </c>
      <c r="J2038" s="9" t="n">
        <v>1702672</v>
      </c>
      <c r="L2038" s="9" t="n">
        <v>233673</v>
      </c>
      <c r="M2038" s="11" t="s">
        <v>52</v>
      </c>
      <c r="N2038" s="11" t="s">
        <v>45</v>
      </c>
      <c r="P2038" s="9" t="n">
        <v>113</v>
      </c>
      <c r="Q2038" s="11" t="s">
        <v>46</v>
      </c>
      <c r="R2038" s="11" t="s">
        <v>47</v>
      </c>
      <c r="S2038" s="9" t="n">
        <v>1130101</v>
      </c>
      <c r="T2038" s="11" t="s">
        <v>48</v>
      </c>
      <c r="U2038" s="12" t="n">
        <v>127.5</v>
      </c>
      <c r="W2038" s="12" t="n">
        <v>127.5</v>
      </c>
      <c r="X2038" s="11" t="s">
        <v>408</v>
      </c>
      <c r="Z2038" s="0" t="str">
        <f aca="false">IF($T2038="","",IFERROR(INDEX('Resumo Grupos'!$AC$3:$AC$200,MATCH($T2038,'Resumo Grupos'!$AB$3:$AB$200,0)),"n/d"))</f>
        <v>Mercadoria</v>
      </c>
      <c r="AA2038" s="0" t="str">
        <f aca="false">IF($T2038="","",IF(COUNTIF('Resumo Grupos'!$AE$3:$AE$40,$T2038)&gt;0,"NAO","SIM"))</f>
        <v>SIM</v>
      </c>
    </row>
    <row r="2039" customFormat="false" ht="45.75" hidden="false" customHeight="true" outlineLevel="0" collapsed="false">
      <c r="A2039" s="9" t="n">
        <v>2</v>
      </c>
      <c r="B2039" s="10" t="n">
        <v>46279</v>
      </c>
      <c r="C2039" s="10" t="n">
        <v>46280</v>
      </c>
      <c r="D2039" s="9" t="n">
        <v>1683</v>
      </c>
      <c r="E2039" s="11" t="s">
        <v>406</v>
      </c>
      <c r="F2039" s="9" t="n">
        <v>34</v>
      </c>
      <c r="G2039" s="11" t="s">
        <v>55</v>
      </c>
      <c r="H2039" s="9" t="n">
        <v>2110405</v>
      </c>
      <c r="I2039" s="11" t="s">
        <v>56</v>
      </c>
      <c r="J2039" s="9" t="n">
        <v>1702691</v>
      </c>
      <c r="L2039" s="9" t="n">
        <v>233675</v>
      </c>
      <c r="M2039" s="11" t="s">
        <v>52</v>
      </c>
      <c r="N2039" s="11" t="s">
        <v>45</v>
      </c>
      <c r="P2039" s="9" t="n">
        <v>113</v>
      </c>
      <c r="Q2039" s="11" t="s">
        <v>46</v>
      </c>
      <c r="R2039" s="11" t="s">
        <v>47</v>
      </c>
      <c r="S2039" s="9" t="n">
        <v>1130101</v>
      </c>
      <c r="T2039" s="11" t="s">
        <v>48</v>
      </c>
      <c r="U2039" s="12" t="n">
        <v>165</v>
      </c>
      <c r="W2039" s="12" t="n">
        <v>165</v>
      </c>
      <c r="X2039" s="11" t="s">
        <v>408</v>
      </c>
      <c r="Z2039" s="0" t="str">
        <f aca="false">IF($T2039="","",IFERROR(INDEX('Resumo Grupos'!$AC$3:$AC$200,MATCH($T2039,'Resumo Grupos'!$AB$3:$AB$200,0)),"n/d"))</f>
        <v>Mercadoria</v>
      </c>
      <c r="AA2039" s="0" t="str">
        <f aca="false">IF($T2039="","",IF(COUNTIF('Resumo Grupos'!$AE$3:$AE$40,$T2039)&gt;0,"NAO","SIM"))</f>
        <v>SIM</v>
      </c>
    </row>
    <row r="2040" customFormat="false" ht="36.75" hidden="false" customHeight="true" outlineLevel="0" collapsed="false">
      <c r="A2040" s="9" t="n">
        <v>2</v>
      </c>
      <c r="B2040" s="10" t="n">
        <v>46280</v>
      </c>
      <c r="C2040" s="10" t="n">
        <v>46280</v>
      </c>
      <c r="D2040" s="9" t="n">
        <v>1037</v>
      </c>
      <c r="E2040" s="11" t="s">
        <v>134</v>
      </c>
      <c r="F2040" s="9" t="n">
        <v>34</v>
      </c>
      <c r="G2040" s="11" t="s">
        <v>55</v>
      </c>
      <c r="H2040" s="9" t="n">
        <v>2110405</v>
      </c>
      <c r="I2040" s="11" t="s">
        <v>56</v>
      </c>
      <c r="J2040" s="9" t="n">
        <v>1706957</v>
      </c>
      <c r="L2040" s="9" t="n">
        <v>234409</v>
      </c>
      <c r="M2040" s="11" t="s">
        <v>52</v>
      </c>
      <c r="N2040" s="11" t="s">
        <v>45</v>
      </c>
      <c r="P2040" s="9" t="n">
        <v>113</v>
      </c>
      <c r="Q2040" s="11" t="s">
        <v>46</v>
      </c>
      <c r="R2040" s="11" t="s">
        <v>47</v>
      </c>
      <c r="S2040" s="9" t="n">
        <v>1130101</v>
      </c>
      <c r="T2040" s="11" t="s">
        <v>48</v>
      </c>
      <c r="U2040" s="12" t="n">
        <v>699</v>
      </c>
      <c r="W2040" s="12" t="n">
        <v>699</v>
      </c>
      <c r="X2040" s="11" t="s">
        <v>1737</v>
      </c>
      <c r="Z2040" s="0" t="str">
        <f aca="false">IF($T2040="","",IFERROR(INDEX('Resumo Grupos'!$AC$3:$AC$200,MATCH($T2040,'Resumo Grupos'!$AB$3:$AB$200,0)),"n/d"))</f>
        <v>Mercadoria</v>
      </c>
      <c r="AA2040" s="0" t="str">
        <f aca="false">IF($T2040="","",IF(COUNTIF('Resumo Grupos'!$AE$3:$AE$40,$T2040)&gt;0,"NAO","SIM"))</f>
        <v>SIM</v>
      </c>
    </row>
    <row r="2041" customFormat="false" ht="54.75" hidden="false" customHeight="true" outlineLevel="0" collapsed="false">
      <c r="A2041" s="9" t="n">
        <v>2</v>
      </c>
      <c r="B2041" s="10" t="n">
        <v>46280</v>
      </c>
      <c r="C2041" s="10" t="n">
        <v>46280</v>
      </c>
      <c r="D2041" s="9" t="n">
        <v>22</v>
      </c>
      <c r="E2041" s="11" t="s">
        <v>245</v>
      </c>
      <c r="F2041" s="9" t="n">
        <v>34</v>
      </c>
      <c r="G2041" s="11" t="s">
        <v>55</v>
      </c>
      <c r="H2041" s="9" t="n">
        <v>2110405</v>
      </c>
      <c r="I2041" s="11" t="s">
        <v>56</v>
      </c>
      <c r="J2041" s="9" t="n">
        <v>1707003</v>
      </c>
      <c r="L2041" s="9" t="n">
        <v>234416</v>
      </c>
      <c r="M2041" s="11" t="s">
        <v>52</v>
      </c>
      <c r="N2041" s="11" t="s">
        <v>45</v>
      </c>
      <c r="P2041" s="9" t="n">
        <v>113</v>
      </c>
      <c r="Q2041" s="11" t="s">
        <v>46</v>
      </c>
      <c r="R2041" s="11" t="s">
        <v>71</v>
      </c>
      <c r="S2041" s="9" t="n">
        <v>4210301</v>
      </c>
      <c r="T2041" s="11" t="s">
        <v>220</v>
      </c>
      <c r="U2041" s="12" t="n">
        <v>500</v>
      </c>
      <c r="W2041" s="12" t="n">
        <v>500</v>
      </c>
      <c r="X2041" s="11" t="s">
        <v>1714</v>
      </c>
      <c r="Z2041" s="0" t="str">
        <f aca="false">IF($T2041="","",IFERROR(INDEX('Resumo Grupos'!$AC$3:$AC$200,MATCH($T2041,'Resumo Grupos'!$AB$3:$AB$200,0)),"n/d"))</f>
        <v>Salários</v>
      </c>
      <c r="AA2041" s="0" t="str">
        <f aca="false">IF($T2041="","",IF(COUNTIF('Resumo Grupos'!$AE$3:$AE$40,$T2041)&gt;0,"NAO","SIM"))</f>
        <v>SIM</v>
      </c>
    </row>
    <row r="2042" customFormat="false" ht="36.75" hidden="false" customHeight="true" outlineLevel="0" collapsed="false">
      <c r="A2042" s="9" t="n">
        <v>2</v>
      </c>
      <c r="B2042" s="10" t="n">
        <v>46277</v>
      </c>
      <c r="C2042" s="10" t="n">
        <v>46280</v>
      </c>
      <c r="D2042" s="9" t="n">
        <v>10035</v>
      </c>
      <c r="E2042" s="11" t="s">
        <v>86</v>
      </c>
      <c r="F2042" s="9" t="n">
        <v>34</v>
      </c>
      <c r="G2042" s="11" t="s">
        <v>55</v>
      </c>
      <c r="H2042" s="9" t="n">
        <v>2110405</v>
      </c>
      <c r="I2042" s="11" t="s">
        <v>56</v>
      </c>
      <c r="J2042" s="9" t="n">
        <v>1688705</v>
      </c>
      <c r="L2042" s="9" t="n">
        <v>232157</v>
      </c>
      <c r="M2042" s="11" t="s">
        <v>52</v>
      </c>
      <c r="N2042" s="11" t="s">
        <v>45</v>
      </c>
      <c r="P2042" s="9" t="n">
        <v>113</v>
      </c>
      <c r="Q2042" s="11" t="s">
        <v>46</v>
      </c>
      <c r="R2042" s="11" t="s">
        <v>47</v>
      </c>
      <c r="S2042" s="9" t="n">
        <v>1130101</v>
      </c>
      <c r="T2042" s="11" t="s">
        <v>48</v>
      </c>
      <c r="U2042" s="12" t="n">
        <v>362</v>
      </c>
      <c r="W2042" s="12" t="n">
        <v>362</v>
      </c>
      <c r="X2042" s="11" t="s">
        <v>1738</v>
      </c>
      <c r="Z2042" s="0" t="str">
        <f aca="false">IF($T2042="","",IFERROR(INDEX('Resumo Grupos'!$AC$3:$AC$200,MATCH($T2042,'Resumo Grupos'!$AB$3:$AB$200,0)),"n/d"))</f>
        <v>Mercadoria</v>
      </c>
      <c r="AA2042" s="0" t="str">
        <f aca="false">IF($T2042="","",IF(COUNTIF('Resumo Grupos'!$AE$3:$AE$40,$T2042)&gt;0,"NAO","SIM"))</f>
        <v>SIM</v>
      </c>
      <c r="AB2042" s="0" t="str">
        <f aca="false">IFERROR(INDEX('Mov Entradas (Rel 10497)'!$L:$L,MATCH(AC2042,'Mov Entradas (Rel 10497)'!$I:$I,0)),"nao encontrado")</f>
        <v>CARVAO VEGETAL 3KG</v>
      </c>
      <c r="AC2042" s="0" t="n">
        <v>437</v>
      </c>
    </row>
    <row r="2043" customFormat="false" ht="36.75" hidden="false" customHeight="true" outlineLevel="0" collapsed="false">
      <c r="A2043" s="9" t="n">
        <v>2</v>
      </c>
      <c r="B2043" s="10" t="n">
        <v>46252</v>
      </c>
      <c r="C2043" s="10" t="n">
        <v>46280</v>
      </c>
      <c r="D2043" s="9" t="n">
        <v>1711</v>
      </c>
      <c r="E2043" s="11" t="s">
        <v>1537</v>
      </c>
      <c r="F2043" s="9" t="n">
        <v>24</v>
      </c>
      <c r="G2043" s="11" t="s">
        <v>51</v>
      </c>
      <c r="H2043" s="9" t="n">
        <v>2110405</v>
      </c>
      <c r="I2043" s="11" t="s">
        <v>56</v>
      </c>
      <c r="J2043" s="9" t="n">
        <v>1568100</v>
      </c>
      <c r="L2043" s="9" t="n">
        <v>214112</v>
      </c>
      <c r="M2043" s="11" t="s">
        <v>52</v>
      </c>
      <c r="N2043" s="11" t="s">
        <v>45</v>
      </c>
      <c r="P2043" s="9" t="n">
        <v>113</v>
      </c>
      <c r="Q2043" s="11" t="s">
        <v>46</v>
      </c>
      <c r="R2043" s="11" t="s">
        <v>47</v>
      </c>
      <c r="S2043" s="9" t="n">
        <v>1130101</v>
      </c>
      <c r="T2043" s="11" t="s">
        <v>48</v>
      </c>
      <c r="U2043" s="12" t="n">
        <v>645.71</v>
      </c>
      <c r="W2043" s="12" t="n">
        <v>645.71</v>
      </c>
      <c r="X2043" s="11" t="s">
        <v>1538</v>
      </c>
      <c r="Z2043" s="0" t="str">
        <f aca="false">IF($T2043="","",IFERROR(INDEX('Resumo Grupos'!$AC$3:$AC$200,MATCH($T2043,'Resumo Grupos'!$AB$3:$AB$200,0)),"n/d"))</f>
        <v>Mercadoria</v>
      </c>
      <c r="AA2043" s="0" t="str">
        <f aca="false">IF($T2043="","",IF(COUNTIF('Resumo Grupos'!$AE$3:$AE$40,$T2043)&gt;0,"NAO","SIM"))</f>
        <v>SIM</v>
      </c>
      <c r="AB2043" s="0" t="str">
        <f aca="false">IFERROR(INDEX('Mov Entradas (Rel 10497)'!$L:$L,MATCH(AC2043,'Mov Entradas (Rel 10497)'!$I:$I,0)),"nao encontrado")</f>
        <v>CAD BROCH UNIV COST</v>
      </c>
      <c r="AC2043" s="0" t="n">
        <v>160332</v>
      </c>
    </row>
    <row r="2044" customFormat="false" ht="36.75" hidden="false" customHeight="true" outlineLevel="0" collapsed="false">
      <c r="A2044" s="9" t="n">
        <v>2</v>
      </c>
      <c r="B2044" s="10" t="n">
        <v>46273</v>
      </c>
      <c r="C2044" s="10" t="n">
        <v>46280</v>
      </c>
      <c r="D2044" s="9" t="n">
        <v>581</v>
      </c>
      <c r="E2044" s="11" t="s">
        <v>147</v>
      </c>
      <c r="F2044" s="9" t="n">
        <v>24</v>
      </c>
      <c r="G2044" s="11" t="s">
        <v>51</v>
      </c>
      <c r="H2044" s="9" t="n">
        <v>2110405</v>
      </c>
      <c r="I2044" s="11" t="s">
        <v>56</v>
      </c>
      <c r="J2044" s="9" t="n">
        <v>1672864</v>
      </c>
      <c r="L2044" s="9" t="n">
        <v>229352</v>
      </c>
      <c r="M2044" s="11" t="s">
        <v>52</v>
      </c>
      <c r="N2044" s="11" t="s">
        <v>45</v>
      </c>
      <c r="P2044" s="9" t="n">
        <v>113</v>
      </c>
      <c r="Q2044" s="11" t="s">
        <v>46</v>
      </c>
      <c r="R2044" s="11" t="s">
        <v>47</v>
      </c>
      <c r="S2044" s="9" t="n">
        <v>1130101</v>
      </c>
      <c r="T2044" s="11" t="s">
        <v>48</v>
      </c>
      <c r="U2044" s="12" t="n">
        <v>199</v>
      </c>
      <c r="W2044" s="12" t="n">
        <v>199</v>
      </c>
      <c r="X2044" s="11" t="s">
        <v>1739</v>
      </c>
      <c r="Z2044" s="0" t="str">
        <f aca="false">IF($T2044="","",IFERROR(INDEX('Resumo Grupos'!$AC$3:$AC$200,MATCH($T2044,'Resumo Grupos'!$AB$3:$AB$200,0)),"n/d"))</f>
        <v>Mercadoria</v>
      </c>
      <c r="AA2044" s="0" t="str">
        <f aca="false">IF($T2044="","",IF(COUNTIF('Resumo Grupos'!$AE$3:$AE$40,$T2044)&gt;0,"NAO","SIM"))</f>
        <v>SIM</v>
      </c>
      <c r="AB2044" s="0" t="str">
        <f aca="false">IFERROR(INDEX('Mov Entradas (Rel 10497)'!$L:$L,MATCH(AC2044,'Mov Entradas (Rel 10497)'!$I:$I,0)),"nao encontrado")</f>
        <v>GOMA DE MANDIOCA AMA</v>
      </c>
      <c r="AC2044" s="0" t="n">
        <v>32268</v>
      </c>
    </row>
    <row r="2045" customFormat="false" ht="54.75" hidden="false" customHeight="true" outlineLevel="0" collapsed="false">
      <c r="A2045" s="9" t="n">
        <v>2</v>
      </c>
      <c r="B2045" s="10" t="n">
        <v>46280</v>
      </c>
      <c r="C2045" s="10" t="n">
        <v>46280</v>
      </c>
      <c r="D2045" s="9" t="n">
        <v>48</v>
      </c>
      <c r="E2045" s="11" t="s">
        <v>153</v>
      </c>
      <c r="F2045" s="9" t="n">
        <v>34</v>
      </c>
      <c r="G2045" s="11" t="s">
        <v>55</v>
      </c>
      <c r="H2045" s="9" t="n">
        <v>2110101</v>
      </c>
      <c r="I2045" s="11" t="s">
        <v>43</v>
      </c>
      <c r="J2045" s="9" t="n">
        <v>1706190</v>
      </c>
      <c r="L2045" s="9" t="n">
        <v>2674</v>
      </c>
      <c r="M2045" s="11" t="s">
        <v>52</v>
      </c>
      <c r="N2045" s="11" t="s">
        <v>37</v>
      </c>
      <c r="P2045" s="9" t="n">
        <v>113</v>
      </c>
      <c r="Q2045" s="11" t="s">
        <v>46</v>
      </c>
      <c r="R2045" s="11" t="s">
        <v>47</v>
      </c>
      <c r="S2045" s="9" t="n">
        <v>1130101</v>
      </c>
      <c r="T2045" s="11" t="s">
        <v>48</v>
      </c>
      <c r="U2045" s="12" t="n">
        <v>570</v>
      </c>
      <c r="W2045" s="12" t="n">
        <v>570</v>
      </c>
      <c r="X2045" s="11" t="s">
        <v>1698</v>
      </c>
      <c r="Z2045" s="0" t="str">
        <f aca="false">IF($T2045="","",IFERROR(INDEX('Resumo Grupos'!$AC$3:$AC$200,MATCH($T2045,'Resumo Grupos'!$AB$3:$AB$200,0)),"n/d"))</f>
        <v>Mercadoria</v>
      </c>
      <c r="AA2045" s="0" t="str">
        <f aca="false">IF($T2045="","",IF(COUNTIF('Resumo Grupos'!$AE$3:$AE$40,$T2045)&gt;0,"NAO","SIM"))</f>
        <v>SIM</v>
      </c>
    </row>
    <row r="2046" customFormat="false" ht="63.75" hidden="false" customHeight="true" outlineLevel="0" collapsed="false">
      <c r="A2046" s="9" t="n">
        <v>2</v>
      </c>
      <c r="B2046" s="10" t="n">
        <v>46280</v>
      </c>
      <c r="C2046" s="10" t="n">
        <v>46280</v>
      </c>
      <c r="D2046" s="9" t="n">
        <v>48</v>
      </c>
      <c r="E2046" s="11" t="s">
        <v>153</v>
      </c>
      <c r="F2046" s="9" t="n">
        <v>34</v>
      </c>
      <c r="G2046" s="11" t="s">
        <v>55</v>
      </c>
      <c r="H2046" s="9" t="n">
        <v>2110101</v>
      </c>
      <c r="I2046" s="11" t="s">
        <v>43</v>
      </c>
      <c r="J2046" s="9" t="n">
        <v>1706918</v>
      </c>
      <c r="L2046" s="9" t="n">
        <v>2676</v>
      </c>
      <c r="M2046" s="11" t="s">
        <v>52</v>
      </c>
      <c r="N2046" s="11" t="s">
        <v>37</v>
      </c>
      <c r="P2046" s="9" t="n">
        <v>113</v>
      </c>
      <c r="Q2046" s="11" t="s">
        <v>46</v>
      </c>
      <c r="R2046" s="11" t="s">
        <v>47</v>
      </c>
      <c r="S2046" s="9" t="n">
        <v>1130101</v>
      </c>
      <c r="T2046" s="11" t="s">
        <v>48</v>
      </c>
      <c r="U2046" s="12" t="n">
        <v>1758</v>
      </c>
      <c r="W2046" s="12" t="n">
        <v>1758</v>
      </c>
      <c r="X2046" s="11" t="s">
        <v>1740</v>
      </c>
      <c r="Z2046" s="0" t="str">
        <f aca="false">IF($T2046="","",IFERROR(INDEX('Resumo Grupos'!$AC$3:$AC$200,MATCH($T2046,'Resumo Grupos'!$AB$3:$AB$200,0)),"n/d"))</f>
        <v>Mercadoria</v>
      </c>
      <c r="AA2046" s="0" t="str">
        <f aca="false">IF($T2046="","",IF(COUNTIF('Resumo Grupos'!$AE$3:$AE$40,$T2046)&gt;0,"NAO","SIM"))</f>
        <v>SIM</v>
      </c>
    </row>
    <row r="2047" customFormat="false" ht="54.75" hidden="false" customHeight="true" outlineLevel="0" collapsed="false">
      <c r="A2047" s="9" t="n">
        <v>2</v>
      </c>
      <c r="B2047" s="10" t="n">
        <v>46097</v>
      </c>
      <c r="C2047" s="10" t="n">
        <v>46280</v>
      </c>
      <c r="D2047" s="9" t="n">
        <v>1867</v>
      </c>
      <c r="E2047" s="11" t="s">
        <v>420</v>
      </c>
      <c r="F2047" s="9" t="n">
        <v>24</v>
      </c>
      <c r="G2047" s="11" t="s">
        <v>51</v>
      </c>
      <c r="H2047" s="9" t="n">
        <v>2110405</v>
      </c>
      <c r="I2047" s="11" t="s">
        <v>56</v>
      </c>
      <c r="J2047" s="9" t="n">
        <v>808550</v>
      </c>
      <c r="L2047" s="9" t="n">
        <v>2026</v>
      </c>
      <c r="M2047" s="11" t="s">
        <v>80</v>
      </c>
      <c r="N2047" s="11" t="s">
        <v>45</v>
      </c>
      <c r="P2047" s="9" t="n">
        <v>101</v>
      </c>
      <c r="Q2047" s="11" t="s">
        <v>57</v>
      </c>
      <c r="R2047" s="11" t="s">
        <v>421</v>
      </c>
      <c r="S2047" s="9" t="n">
        <v>4210401</v>
      </c>
      <c r="T2047" s="11" t="s">
        <v>422</v>
      </c>
      <c r="U2047" s="12" t="n">
        <v>228.88</v>
      </c>
      <c r="W2047" s="12" t="n">
        <v>228.88</v>
      </c>
      <c r="X2047" s="11" t="s">
        <v>1741</v>
      </c>
      <c r="Z2047" s="0" t="str">
        <f aca="false">IF($T2047="","",IFERROR(INDEX('Resumo Grupos'!$AC$3:$AC$200,MATCH($T2047,'Resumo Grupos'!$AB$3:$AB$200,0)),"n/d"))</f>
        <v>Impostos</v>
      </c>
      <c r="AA2047" s="0" t="str">
        <f aca="false">IF($T2047="","",IF(COUNTIF('Resumo Grupos'!$AE$3:$AE$40,$T2047)&gt;0,"NAO","SIM"))</f>
        <v>SIM</v>
      </c>
    </row>
    <row r="2048" customFormat="false" ht="63.75" hidden="false" customHeight="true" outlineLevel="0" collapsed="false">
      <c r="A2048" s="9" t="n">
        <v>2</v>
      </c>
      <c r="B2048" s="10" t="n">
        <v>46252</v>
      </c>
      <c r="C2048" s="10" t="n">
        <v>46280</v>
      </c>
      <c r="D2048" s="9" t="n">
        <v>1697</v>
      </c>
      <c r="E2048" s="11" t="s">
        <v>787</v>
      </c>
      <c r="F2048" s="9" t="n">
        <v>24</v>
      </c>
      <c r="G2048" s="11" t="s">
        <v>51</v>
      </c>
      <c r="H2048" s="9" t="n">
        <v>2110405</v>
      </c>
      <c r="I2048" s="11" t="s">
        <v>56</v>
      </c>
      <c r="J2048" s="9" t="n">
        <v>1566735</v>
      </c>
      <c r="L2048" s="9" t="n">
        <v>213868</v>
      </c>
      <c r="M2048" s="11" t="s">
        <v>52</v>
      </c>
      <c r="N2048" s="11" t="s">
        <v>45</v>
      </c>
      <c r="P2048" s="9" t="n">
        <v>113</v>
      </c>
      <c r="Q2048" s="11" t="s">
        <v>46</v>
      </c>
      <c r="R2048" s="11" t="s">
        <v>47</v>
      </c>
      <c r="S2048" s="9" t="n">
        <v>1130101</v>
      </c>
      <c r="T2048" s="11" t="s">
        <v>48</v>
      </c>
      <c r="U2048" s="12" t="n">
        <v>584.64</v>
      </c>
      <c r="W2048" s="12" t="n">
        <v>584.64</v>
      </c>
      <c r="X2048" s="11" t="s">
        <v>1549</v>
      </c>
      <c r="Z2048" s="0" t="str">
        <f aca="false">IF($T2048="","",IFERROR(INDEX('Resumo Grupos'!$AC$3:$AC$200,MATCH($T2048,'Resumo Grupos'!$AB$3:$AB$200,0)),"n/d"))</f>
        <v>Mercadoria</v>
      </c>
      <c r="AA2048" s="0" t="str">
        <f aca="false">IF($T2048="","",IF(COUNTIF('Resumo Grupos'!$AE$3:$AE$40,$T2048)&gt;0,"NAO","SIM"))</f>
        <v>SIM</v>
      </c>
      <c r="AB2048" s="0" t="str">
        <f aca="false">IFERROR(INDEX('Mov Entradas (Rel 10497)'!$L:$L,MATCH(AC2048,'Mov Entradas (Rel 10497)'!$I:$I,0)),"nao encontrado")</f>
        <v>LEITE ITALAC DESN 1L</v>
      </c>
      <c r="AC2048" s="0" t="n">
        <v>211355</v>
      </c>
    </row>
    <row r="2049" customFormat="false" ht="63.75" hidden="false" customHeight="true" outlineLevel="0" collapsed="false">
      <c r="A2049" s="9" t="n">
        <v>2</v>
      </c>
      <c r="B2049" s="10" t="n">
        <v>46273</v>
      </c>
      <c r="C2049" s="10" t="n">
        <v>46280</v>
      </c>
      <c r="D2049" s="9" t="n">
        <v>1292</v>
      </c>
      <c r="E2049" s="11" t="s">
        <v>209</v>
      </c>
      <c r="F2049" s="9" t="n">
        <v>24</v>
      </c>
      <c r="G2049" s="11" t="s">
        <v>51</v>
      </c>
      <c r="H2049" s="9" t="n">
        <v>2110405</v>
      </c>
      <c r="I2049" s="11" t="s">
        <v>56</v>
      </c>
      <c r="J2049" s="9" t="n">
        <v>1673675</v>
      </c>
      <c r="L2049" s="9" t="n">
        <v>229471</v>
      </c>
      <c r="M2049" s="11" t="s">
        <v>52</v>
      </c>
      <c r="N2049" s="11" t="s">
        <v>45</v>
      </c>
      <c r="P2049" s="9" t="n">
        <v>113</v>
      </c>
      <c r="Q2049" s="11" t="s">
        <v>46</v>
      </c>
      <c r="R2049" s="11" t="s">
        <v>47</v>
      </c>
      <c r="S2049" s="9" t="n">
        <v>1130101</v>
      </c>
      <c r="T2049" s="11" t="s">
        <v>48</v>
      </c>
      <c r="U2049" s="12" t="n">
        <v>589.5</v>
      </c>
      <c r="W2049" s="12" t="n">
        <v>589.5</v>
      </c>
      <c r="X2049" s="11" t="s">
        <v>1742</v>
      </c>
      <c r="Z2049" s="0" t="str">
        <f aca="false">IF($T2049="","",IFERROR(INDEX('Resumo Grupos'!$AC$3:$AC$200,MATCH($T2049,'Resumo Grupos'!$AB$3:$AB$200,0)),"n/d"))</f>
        <v>Mercadoria</v>
      </c>
      <c r="AA2049" s="0" t="str">
        <f aca="false">IF($T2049="","",IF(COUNTIF('Resumo Grupos'!$AE$3:$AE$40,$T2049)&gt;0,"NAO","SIM"))</f>
        <v>SIM</v>
      </c>
      <c r="AB2049" s="0" t="str">
        <f aca="false">IFERROR(INDEX('Mov Entradas (Rel 10497)'!$L:$L,MATCH(AC2049,'Mov Entradas (Rel 10497)'!$I:$I,0)),"nao encontrado")</f>
        <v>QUEIJO MUSSARELA FAT</v>
      </c>
      <c r="AC2049" s="0" t="n">
        <v>4007</v>
      </c>
    </row>
    <row r="2050" customFormat="false" ht="45.75" hidden="false" customHeight="true" outlineLevel="0" collapsed="false">
      <c r="A2050" s="9" t="n">
        <v>2</v>
      </c>
      <c r="B2050" s="10" t="n">
        <v>46280</v>
      </c>
      <c r="C2050" s="10" t="n">
        <v>46280</v>
      </c>
      <c r="D2050" s="9" t="n">
        <v>0</v>
      </c>
      <c r="E2050" s="11" t="s">
        <v>109</v>
      </c>
      <c r="F2050" s="9" t="n">
        <v>17</v>
      </c>
      <c r="G2050" s="11" t="s">
        <v>110</v>
      </c>
      <c r="H2050" s="9" t="n">
        <v>1110101</v>
      </c>
      <c r="I2050" s="11" t="s">
        <v>111</v>
      </c>
      <c r="J2050" s="9" t="n">
        <v>1710255</v>
      </c>
      <c r="L2050" s="9" t="n">
        <v>1710255</v>
      </c>
      <c r="M2050" s="11" t="s">
        <v>52</v>
      </c>
      <c r="N2050" s="11" t="s">
        <v>112</v>
      </c>
      <c r="P2050" s="9" t="n">
        <v>113</v>
      </c>
      <c r="Q2050" s="11" t="s">
        <v>46</v>
      </c>
      <c r="R2050" s="11" t="s">
        <v>39</v>
      </c>
      <c r="S2050" s="9" t="n">
        <v>4210227</v>
      </c>
      <c r="T2050" s="11" t="s">
        <v>68</v>
      </c>
      <c r="U2050" s="12" t="n">
        <v>68</v>
      </c>
      <c r="W2050" s="12" t="n">
        <v>68</v>
      </c>
      <c r="X2050" s="11" t="s">
        <v>1743</v>
      </c>
      <c r="Z2050" s="0" t="str">
        <f aca="false">IF($T2050="","",IFERROR(INDEX('Resumo Grupos'!$AC$3:$AC$200,MATCH($T2050,'Resumo Grupos'!$AB$3:$AB$200,0)),"n/d"))</f>
        <v>Despesa</v>
      </c>
      <c r="AA2050" s="0" t="str">
        <f aca="false">IF($T2050="","",IF(COUNTIF('Resumo Grupos'!$AE$3:$AE$40,$T2050)&gt;0,"NAO","SIM"))</f>
        <v>SIM</v>
      </c>
    </row>
    <row r="2051" customFormat="false" ht="54.75" hidden="false" customHeight="true" outlineLevel="0" collapsed="false">
      <c r="A2051" s="9" t="n">
        <v>2</v>
      </c>
      <c r="B2051" s="10" t="n">
        <v>46280</v>
      </c>
      <c r="C2051" s="10" t="n">
        <v>46280</v>
      </c>
      <c r="D2051" s="9" t="n">
        <v>0</v>
      </c>
      <c r="E2051" s="11" t="s">
        <v>109</v>
      </c>
      <c r="F2051" s="9" t="n">
        <v>17</v>
      </c>
      <c r="G2051" s="11" t="s">
        <v>110</v>
      </c>
      <c r="H2051" s="9" t="n">
        <v>1110101</v>
      </c>
      <c r="I2051" s="11" t="s">
        <v>111</v>
      </c>
      <c r="J2051" s="9" t="n">
        <v>1710260</v>
      </c>
      <c r="L2051" s="9" t="n">
        <v>1710260</v>
      </c>
      <c r="M2051" s="11" t="s">
        <v>52</v>
      </c>
      <c r="N2051" s="11" t="s">
        <v>112</v>
      </c>
      <c r="P2051" s="9" t="n">
        <v>113</v>
      </c>
      <c r="Q2051" s="11" t="s">
        <v>46</v>
      </c>
      <c r="R2051" s="11" t="s">
        <v>71</v>
      </c>
      <c r="S2051" s="9" t="n">
        <v>4210316</v>
      </c>
      <c r="T2051" s="11" t="s">
        <v>159</v>
      </c>
      <c r="U2051" s="12" t="n">
        <v>200</v>
      </c>
      <c r="W2051" s="12" t="n">
        <v>200</v>
      </c>
      <c r="X2051" s="11" t="s">
        <v>1624</v>
      </c>
      <c r="Z2051" s="0" t="str">
        <f aca="false">IF($T2051="","",IFERROR(INDEX('Resumo Grupos'!$AC$3:$AC$200,MATCH($T2051,'Resumo Grupos'!$AB$3:$AB$200,0)),"n/d"))</f>
        <v>Salários</v>
      </c>
      <c r="AA2051" s="0" t="str">
        <f aca="false">IF($T2051="","",IF(COUNTIF('Resumo Grupos'!$AE$3:$AE$40,$T2051)&gt;0,"NAO","SIM"))</f>
        <v>SIM</v>
      </c>
    </row>
    <row r="2052" customFormat="false" ht="45.75" hidden="false" customHeight="true" outlineLevel="0" collapsed="false">
      <c r="A2052" s="9" t="n">
        <v>2</v>
      </c>
      <c r="B2052" s="10" t="n">
        <v>46280</v>
      </c>
      <c r="C2052" s="10" t="n">
        <v>46280</v>
      </c>
      <c r="D2052" s="9" t="n">
        <v>0</v>
      </c>
      <c r="E2052" s="11" t="s">
        <v>109</v>
      </c>
      <c r="F2052" s="9" t="n">
        <v>17</v>
      </c>
      <c r="G2052" s="11" t="s">
        <v>110</v>
      </c>
      <c r="H2052" s="9" t="n">
        <v>1110101</v>
      </c>
      <c r="I2052" s="11" t="s">
        <v>111</v>
      </c>
      <c r="J2052" s="9" t="n">
        <v>1710263</v>
      </c>
      <c r="L2052" s="9" t="n">
        <v>1710263</v>
      </c>
      <c r="M2052" s="11" t="s">
        <v>52</v>
      </c>
      <c r="N2052" s="11" t="s">
        <v>112</v>
      </c>
      <c r="P2052" s="9" t="n">
        <v>113</v>
      </c>
      <c r="Q2052" s="11" t="s">
        <v>46</v>
      </c>
      <c r="R2052" s="11" t="s">
        <v>39</v>
      </c>
      <c r="S2052" s="9" t="n">
        <v>4210227</v>
      </c>
      <c r="T2052" s="11" t="s">
        <v>68</v>
      </c>
      <c r="U2052" s="12" t="n">
        <v>201.5</v>
      </c>
      <c r="W2052" s="12" t="n">
        <v>201.5</v>
      </c>
      <c r="X2052" s="11" t="s">
        <v>1744</v>
      </c>
      <c r="Z2052" s="0" t="str">
        <f aca="false">IF($T2052="","",IFERROR(INDEX('Resumo Grupos'!$AC$3:$AC$200,MATCH($T2052,'Resumo Grupos'!$AB$3:$AB$200,0)),"n/d"))</f>
        <v>Despesa</v>
      </c>
      <c r="AA2052" s="0" t="str">
        <f aca="false">IF($T2052="","",IF(COUNTIF('Resumo Grupos'!$AE$3:$AE$40,$T2052)&gt;0,"NAO","SIM"))</f>
        <v>SIM</v>
      </c>
    </row>
    <row r="2053" customFormat="false" ht="45.75" hidden="false" customHeight="true" outlineLevel="0" collapsed="false">
      <c r="A2053" s="9" t="n">
        <v>2</v>
      </c>
      <c r="B2053" s="10" t="n">
        <v>46280</v>
      </c>
      <c r="C2053" s="10" t="n">
        <v>46280</v>
      </c>
      <c r="D2053" s="9" t="n">
        <v>0</v>
      </c>
      <c r="E2053" s="11" t="s">
        <v>109</v>
      </c>
      <c r="F2053" s="9" t="n">
        <v>17</v>
      </c>
      <c r="G2053" s="11" t="s">
        <v>110</v>
      </c>
      <c r="H2053" s="9" t="n">
        <v>1110101</v>
      </c>
      <c r="I2053" s="11" t="s">
        <v>111</v>
      </c>
      <c r="J2053" s="9" t="n">
        <v>1710265</v>
      </c>
      <c r="L2053" s="9" t="n">
        <v>1710265</v>
      </c>
      <c r="M2053" s="11" t="s">
        <v>52</v>
      </c>
      <c r="N2053" s="11" t="s">
        <v>112</v>
      </c>
      <c r="P2053" s="9" t="n">
        <v>113</v>
      </c>
      <c r="Q2053" s="11" t="s">
        <v>46</v>
      </c>
      <c r="R2053" s="11" t="s">
        <v>71</v>
      </c>
      <c r="S2053" s="9" t="n">
        <v>4210314</v>
      </c>
      <c r="T2053" s="11" t="s">
        <v>113</v>
      </c>
      <c r="U2053" s="12" t="n">
        <v>100</v>
      </c>
      <c r="W2053" s="12" t="n">
        <v>100</v>
      </c>
      <c r="X2053" s="11" t="s">
        <v>1745</v>
      </c>
      <c r="Z2053" s="0" t="str">
        <f aca="false">IF($T2053="","",IFERROR(INDEX('Resumo Grupos'!$AC$3:$AC$200,MATCH($T2053,'Resumo Grupos'!$AB$3:$AB$200,0)),"n/d"))</f>
        <v>Despesa</v>
      </c>
      <c r="AA2053" s="0" t="str">
        <f aca="false">IF($T2053="","",IF(COUNTIF('Resumo Grupos'!$AE$3:$AE$40,$T2053)&gt;0,"NAO","SIM"))</f>
        <v>SIM</v>
      </c>
    </row>
    <row r="2054" customFormat="false" ht="27.75" hidden="false" customHeight="true" outlineLevel="0" collapsed="false">
      <c r="A2054" s="9" t="n">
        <v>2</v>
      </c>
      <c r="B2054" s="10" t="n">
        <v>46280</v>
      </c>
      <c r="C2054" s="10" t="n">
        <v>46280</v>
      </c>
      <c r="D2054" s="9" t="n">
        <v>0</v>
      </c>
      <c r="E2054" s="11" t="s">
        <v>109</v>
      </c>
      <c r="F2054" s="9" t="n">
        <v>17</v>
      </c>
      <c r="G2054" s="11" t="s">
        <v>110</v>
      </c>
      <c r="H2054" s="9" t="n">
        <v>1110101</v>
      </c>
      <c r="I2054" s="11" t="s">
        <v>111</v>
      </c>
      <c r="J2054" s="9" t="n">
        <v>1710268</v>
      </c>
      <c r="L2054" s="9" t="n">
        <v>1710268</v>
      </c>
      <c r="M2054" s="11" t="s">
        <v>52</v>
      </c>
      <c r="N2054" s="11" t="s">
        <v>112</v>
      </c>
      <c r="P2054" s="9" t="n">
        <v>113</v>
      </c>
      <c r="Q2054" s="11" t="s">
        <v>46</v>
      </c>
      <c r="R2054" s="11" t="s">
        <v>71</v>
      </c>
      <c r="S2054" s="9" t="n">
        <v>4210314</v>
      </c>
      <c r="T2054" s="11" t="s">
        <v>113</v>
      </c>
      <c r="U2054" s="12" t="n">
        <v>70</v>
      </c>
      <c r="W2054" s="12" t="n">
        <v>70</v>
      </c>
      <c r="X2054" s="11" t="s">
        <v>114</v>
      </c>
      <c r="Z2054" s="0" t="str">
        <f aca="false">IF($T2054="","",IFERROR(INDEX('Resumo Grupos'!$AC$3:$AC$200,MATCH($T2054,'Resumo Grupos'!$AB$3:$AB$200,0)),"n/d"))</f>
        <v>Despesa</v>
      </c>
      <c r="AA2054" s="0" t="str">
        <f aca="false">IF($T2054="","",IF(COUNTIF('Resumo Grupos'!$AE$3:$AE$40,$T2054)&gt;0,"NAO","SIM"))</f>
        <v>SIM</v>
      </c>
    </row>
    <row r="2055" customFormat="false" ht="45.75" hidden="false" customHeight="true" outlineLevel="0" collapsed="false">
      <c r="A2055" s="9" t="n">
        <v>2</v>
      </c>
      <c r="B2055" s="10" t="n">
        <v>46280</v>
      </c>
      <c r="C2055" s="10" t="n">
        <v>46280</v>
      </c>
      <c r="D2055" s="9" t="n">
        <v>0</v>
      </c>
      <c r="E2055" s="11" t="s">
        <v>109</v>
      </c>
      <c r="F2055" s="9" t="n">
        <v>17</v>
      </c>
      <c r="G2055" s="11" t="s">
        <v>110</v>
      </c>
      <c r="H2055" s="9" t="n">
        <v>1110101</v>
      </c>
      <c r="I2055" s="11" t="s">
        <v>111</v>
      </c>
      <c r="J2055" s="9" t="n">
        <v>1710272</v>
      </c>
      <c r="L2055" s="9" t="n">
        <v>1710272</v>
      </c>
      <c r="M2055" s="11" t="s">
        <v>52</v>
      </c>
      <c r="N2055" s="11" t="s">
        <v>112</v>
      </c>
      <c r="P2055" s="9" t="n">
        <v>113</v>
      </c>
      <c r="Q2055" s="11" t="s">
        <v>46</v>
      </c>
      <c r="R2055" s="11" t="s">
        <v>71</v>
      </c>
      <c r="S2055" s="9" t="n">
        <v>4210314</v>
      </c>
      <c r="T2055" s="11" t="s">
        <v>113</v>
      </c>
      <c r="U2055" s="12" t="n">
        <v>70</v>
      </c>
      <c r="W2055" s="12" t="n">
        <v>70</v>
      </c>
      <c r="X2055" s="11" t="s">
        <v>1746</v>
      </c>
      <c r="Z2055" s="0" t="str">
        <f aca="false">IF($T2055="","",IFERROR(INDEX('Resumo Grupos'!$AC$3:$AC$200,MATCH($T2055,'Resumo Grupos'!$AB$3:$AB$200,0)),"n/d"))</f>
        <v>Despesa</v>
      </c>
      <c r="AA2055" s="0" t="str">
        <f aca="false">IF($T2055="","",IF(COUNTIF('Resumo Grupos'!$AE$3:$AE$40,$T2055)&gt;0,"NAO","SIM"))</f>
        <v>SIM</v>
      </c>
    </row>
    <row r="2056" customFormat="false" ht="54.75" hidden="false" customHeight="true" outlineLevel="0" collapsed="false">
      <c r="A2056" s="9" t="n">
        <v>2</v>
      </c>
      <c r="B2056" s="10" t="n">
        <v>46280</v>
      </c>
      <c r="C2056" s="10" t="n">
        <v>46280</v>
      </c>
      <c r="D2056" s="9" t="n">
        <v>0</v>
      </c>
      <c r="E2056" s="11" t="s">
        <v>109</v>
      </c>
      <c r="F2056" s="9" t="n">
        <v>17</v>
      </c>
      <c r="G2056" s="11" t="s">
        <v>110</v>
      </c>
      <c r="H2056" s="9" t="n">
        <v>1110101</v>
      </c>
      <c r="I2056" s="11" t="s">
        <v>111</v>
      </c>
      <c r="J2056" s="9" t="n">
        <v>1710274</v>
      </c>
      <c r="L2056" s="9" t="n">
        <v>1710274</v>
      </c>
      <c r="M2056" s="11" t="s">
        <v>52</v>
      </c>
      <c r="N2056" s="11" t="s">
        <v>112</v>
      </c>
      <c r="P2056" s="9" t="n">
        <v>113</v>
      </c>
      <c r="Q2056" s="11" t="s">
        <v>46</v>
      </c>
      <c r="R2056" s="11" t="s">
        <v>71</v>
      </c>
      <c r="S2056" s="9" t="n">
        <v>4210309</v>
      </c>
      <c r="T2056" s="11" t="s">
        <v>72</v>
      </c>
      <c r="U2056" s="12" t="n">
        <v>10</v>
      </c>
      <c r="W2056" s="12" t="n">
        <v>10</v>
      </c>
      <c r="X2056" s="11" t="s">
        <v>1552</v>
      </c>
      <c r="Z2056" s="0" t="str">
        <f aca="false">IF($T2056="","",IFERROR(INDEX('Resumo Grupos'!$AC$3:$AC$200,MATCH($T2056,'Resumo Grupos'!$AB$3:$AB$200,0)),"n/d"))</f>
        <v>Salários</v>
      </c>
      <c r="AA2056" s="0" t="str">
        <f aca="false">IF($T2056="","",IF(COUNTIF('Resumo Grupos'!$AE$3:$AE$40,$T2056)&gt;0,"NAO","SIM"))</f>
        <v>SIM</v>
      </c>
    </row>
    <row r="2057" customFormat="false" ht="45.75" hidden="false" customHeight="true" outlineLevel="0" collapsed="false">
      <c r="A2057" s="9" t="n">
        <v>2</v>
      </c>
      <c r="B2057" s="10" t="n">
        <v>46280</v>
      </c>
      <c r="C2057" s="10" t="n">
        <v>46280</v>
      </c>
      <c r="D2057" s="9" t="n">
        <v>0</v>
      </c>
      <c r="E2057" s="11" t="s">
        <v>109</v>
      </c>
      <c r="F2057" s="9" t="n">
        <v>17</v>
      </c>
      <c r="G2057" s="11" t="s">
        <v>110</v>
      </c>
      <c r="H2057" s="9" t="n">
        <v>1110101</v>
      </c>
      <c r="I2057" s="11" t="s">
        <v>111</v>
      </c>
      <c r="J2057" s="9" t="n">
        <v>1710276</v>
      </c>
      <c r="L2057" s="9" t="n">
        <v>1710276</v>
      </c>
      <c r="M2057" s="11" t="s">
        <v>52</v>
      </c>
      <c r="N2057" s="11" t="s">
        <v>112</v>
      </c>
      <c r="P2057" s="9" t="n">
        <v>113</v>
      </c>
      <c r="Q2057" s="11" t="s">
        <v>46</v>
      </c>
      <c r="R2057" s="11" t="s">
        <v>47</v>
      </c>
      <c r="S2057" s="9" t="n">
        <v>1130101</v>
      </c>
      <c r="T2057" s="11" t="s">
        <v>48</v>
      </c>
      <c r="U2057" s="12" t="n">
        <v>72</v>
      </c>
      <c r="W2057" s="12" t="n">
        <v>72</v>
      </c>
      <c r="X2057" s="11" t="s">
        <v>1747</v>
      </c>
      <c r="Z2057" s="0" t="str">
        <f aca="false">IF($T2057="","",IFERROR(INDEX('Resumo Grupos'!$AC$3:$AC$200,MATCH($T2057,'Resumo Grupos'!$AB$3:$AB$200,0)),"n/d"))</f>
        <v>Mercadoria</v>
      </c>
      <c r="AA2057" s="0" t="str">
        <f aca="false">IF($T2057="","",IF(COUNTIF('Resumo Grupos'!$AE$3:$AE$40,$T2057)&gt;0,"NAO","SIM"))</f>
        <v>SIM</v>
      </c>
    </row>
    <row r="2058" customFormat="false" ht="45.75" hidden="false" customHeight="true" outlineLevel="0" collapsed="false">
      <c r="A2058" s="9" t="n">
        <v>2</v>
      </c>
      <c r="B2058" s="10" t="n">
        <v>46280</v>
      </c>
      <c r="C2058" s="10" t="n">
        <v>46280</v>
      </c>
      <c r="D2058" s="9" t="n">
        <v>0</v>
      </c>
      <c r="E2058" s="11" t="s">
        <v>109</v>
      </c>
      <c r="F2058" s="9" t="n">
        <v>17</v>
      </c>
      <c r="G2058" s="11" t="s">
        <v>110</v>
      </c>
      <c r="H2058" s="9" t="n">
        <v>1110101</v>
      </c>
      <c r="I2058" s="11" t="s">
        <v>111</v>
      </c>
      <c r="J2058" s="9" t="n">
        <v>1710278</v>
      </c>
      <c r="L2058" s="9" t="n">
        <v>1710278</v>
      </c>
      <c r="M2058" s="11" t="s">
        <v>52</v>
      </c>
      <c r="N2058" s="11" t="s">
        <v>112</v>
      </c>
      <c r="P2058" s="9" t="n">
        <v>113</v>
      </c>
      <c r="Q2058" s="11" t="s">
        <v>46</v>
      </c>
      <c r="R2058" s="11" t="s">
        <v>71</v>
      </c>
      <c r="S2058" s="9" t="n">
        <v>4210314</v>
      </c>
      <c r="T2058" s="11" t="s">
        <v>113</v>
      </c>
      <c r="U2058" s="12" t="n">
        <v>70</v>
      </c>
      <c r="W2058" s="12" t="n">
        <v>70</v>
      </c>
      <c r="X2058" s="11" t="s">
        <v>187</v>
      </c>
      <c r="Z2058" s="0" t="str">
        <f aca="false">IF($T2058="","",IFERROR(INDEX('Resumo Grupos'!$AC$3:$AC$200,MATCH($T2058,'Resumo Grupos'!$AB$3:$AB$200,0)),"n/d"))</f>
        <v>Despesa</v>
      </c>
      <c r="AA2058" s="0" t="str">
        <f aca="false">IF($T2058="","",IF(COUNTIF('Resumo Grupos'!$AE$3:$AE$40,$T2058)&gt;0,"NAO","SIM"))</f>
        <v>SIM</v>
      </c>
    </row>
    <row r="2059" customFormat="false" ht="45.75" hidden="false" customHeight="true" outlineLevel="0" collapsed="false">
      <c r="A2059" s="9" t="n">
        <v>2</v>
      </c>
      <c r="B2059" s="10" t="n">
        <v>46280</v>
      </c>
      <c r="C2059" s="10" t="n">
        <v>46280</v>
      </c>
      <c r="D2059" s="9" t="n">
        <v>0</v>
      </c>
      <c r="E2059" s="11" t="s">
        <v>109</v>
      </c>
      <c r="F2059" s="9" t="n">
        <v>17</v>
      </c>
      <c r="G2059" s="11" t="s">
        <v>110</v>
      </c>
      <c r="H2059" s="9" t="n">
        <v>1110101</v>
      </c>
      <c r="I2059" s="11" t="s">
        <v>111</v>
      </c>
      <c r="J2059" s="9" t="n">
        <v>1710282</v>
      </c>
      <c r="L2059" s="9" t="n">
        <v>1710282</v>
      </c>
      <c r="M2059" s="11" t="s">
        <v>52</v>
      </c>
      <c r="N2059" s="11" t="s">
        <v>112</v>
      </c>
      <c r="P2059" s="9" t="n">
        <v>113</v>
      </c>
      <c r="Q2059" s="11" t="s">
        <v>46</v>
      </c>
      <c r="R2059" s="11" t="s">
        <v>39</v>
      </c>
      <c r="S2059" s="9" t="n">
        <v>4210227</v>
      </c>
      <c r="T2059" s="11" t="s">
        <v>68</v>
      </c>
      <c r="U2059" s="12" t="n">
        <v>500</v>
      </c>
      <c r="W2059" s="12" t="n">
        <v>500</v>
      </c>
      <c r="X2059" s="11" t="s">
        <v>1748</v>
      </c>
      <c r="Z2059" s="0" t="str">
        <f aca="false">IF($T2059="","",IFERROR(INDEX('Resumo Grupos'!$AC$3:$AC$200,MATCH($T2059,'Resumo Grupos'!$AB$3:$AB$200,0)),"n/d"))</f>
        <v>Despesa</v>
      </c>
      <c r="AA2059" s="0" t="str">
        <f aca="false">IF($T2059="","",IF(COUNTIF('Resumo Grupos'!$AE$3:$AE$40,$T2059)&gt;0,"NAO","SIM"))</f>
        <v>SIM</v>
      </c>
    </row>
    <row r="2060" customFormat="false" ht="54.75" hidden="false" customHeight="true" outlineLevel="0" collapsed="false">
      <c r="A2060" s="9" t="n">
        <v>2</v>
      </c>
      <c r="B2060" s="10" t="n">
        <v>46127</v>
      </c>
      <c r="C2060" s="10" t="n">
        <v>46280</v>
      </c>
      <c r="D2060" s="9" t="n">
        <v>512</v>
      </c>
      <c r="E2060" s="11" t="s">
        <v>429</v>
      </c>
      <c r="F2060" s="9" t="n">
        <v>34</v>
      </c>
      <c r="G2060" s="11" t="s">
        <v>55</v>
      </c>
      <c r="H2060" s="9" t="n">
        <v>2110405</v>
      </c>
      <c r="I2060" s="11" t="s">
        <v>56</v>
      </c>
      <c r="J2060" s="9" t="n">
        <v>954215</v>
      </c>
      <c r="L2060" s="9" t="n">
        <v>126220</v>
      </c>
      <c r="M2060" s="11" t="s">
        <v>102</v>
      </c>
      <c r="N2060" s="11" t="s">
        <v>45</v>
      </c>
      <c r="P2060" s="9" t="n">
        <v>101</v>
      </c>
      <c r="Q2060" s="11" t="s">
        <v>57</v>
      </c>
      <c r="R2060" s="11" t="s">
        <v>430</v>
      </c>
      <c r="S2060" s="9" t="n">
        <v>4210111</v>
      </c>
      <c r="T2060" s="11" t="s">
        <v>431</v>
      </c>
      <c r="U2060" s="12" t="n">
        <v>5700</v>
      </c>
      <c r="W2060" s="12" t="n">
        <v>5700</v>
      </c>
      <c r="X2060" s="11" t="s">
        <v>432</v>
      </c>
      <c r="Z2060" s="0" t="str">
        <f aca="false">IF($T2060="","",IFERROR(INDEX('Resumo Grupos'!$AC$3:$AC$200,MATCH($T2060,'Resumo Grupos'!$AB$3:$AB$200,0)),"n/d"))</f>
        <v>Despesa</v>
      </c>
      <c r="AA2060" s="0" t="str">
        <f aca="false">IF($T2060="","",IF(COUNTIF('Resumo Grupos'!$AE$3:$AE$40,$T2060)&gt;0,"NAO","SIM"))</f>
        <v>SIM</v>
      </c>
    </row>
    <row r="2061" customFormat="false" ht="45.75" hidden="false" customHeight="true" outlineLevel="0" collapsed="false">
      <c r="A2061" s="9" t="n">
        <v>2</v>
      </c>
      <c r="B2061" s="10" t="n">
        <v>46253</v>
      </c>
      <c r="C2061" s="10" t="n">
        <v>46280</v>
      </c>
      <c r="D2061" s="9" t="n">
        <v>1708</v>
      </c>
      <c r="E2061" s="11" t="s">
        <v>275</v>
      </c>
      <c r="F2061" s="9" t="n">
        <v>24</v>
      </c>
      <c r="G2061" s="11" t="s">
        <v>51</v>
      </c>
      <c r="H2061" s="9" t="n">
        <v>2110405</v>
      </c>
      <c r="I2061" s="11" t="s">
        <v>56</v>
      </c>
      <c r="J2061" s="9" t="n">
        <v>1572979</v>
      </c>
      <c r="L2061" s="9" t="n">
        <v>214928</v>
      </c>
      <c r="M2061" s="11" t="s">
        <v>52</v>
      </c>
      <c r="N2061" s="11" t="s">
        <v>45</v>
      </c>
      <c r="P2061" s="9" t="n">
        <v>113</v>
      </c>
      <c r="Q2061" s="11" t="s">
        <v>46</v>
      </c>
      <c r="R2061" s="11" t="s">
        <v>47</v>
      </c>
      <c r="S2061" s="9" t="n">
        <v>1130101</v>
      </c>
      <c r="T2061" s="11" t="s">
        <v>48</v>
      </c>
      <c r="U2061" s="12" t="n">
        <v>548.18</v>
      </c>
      <c r="W2061" s="12" t="n">
        <v>548.18</v>
      </c>
      <c r="X2061" s="11" t="s">
        <v>1554</v>
      </c>
      <c r="Z2061" s="0" t="str">
        <f aca="false">IF($T2061="","",IFERROR(INDEX('Resumo Grupos'!$AC$3:$AC$200,MATCH($T2061,'Resumo Grupos'!$AB$3:$AB$200,0)),"n/d"))</f>
        <v>Mercadoria</v>
      </c>
      <c r="AA2061" s="0" t="str">
        <f aca="false">IF($T2061="","",IF(COUNTIF('Resumo Grupos'!$AE$3:$AE$40,$T2061)&gt;0,"NAO","SIM"))</f>
        <v>SIM</v>
      </c>
      <c r="AB2061" s="0" t="str">
        <f aca="false">IFERROR(INDEX('Mov Entradas (Rel 10497)'!$L:$L,MATCH(AC2061,'Mov Entradas (Rel 10497)'!$I:$I,0)),"nao encontrado")</f>
        <v>DISQUETI 18G</v>
      </c>
      <c r="AC2061" s="0" t="n">
        <v>265359</v>
      </c>
    </row>
    <row r="2062" customFormat="false" ht="45.75" hidden="false" customHeight="true" outlineLevel="0" collapsed="false">
      <c r="A2062" s="9" t="n">
        <v>2</v>
      </c>
      <c r="B2062" s="10" t="n">
        <v>46265</v>
      </c>
      <c r="C2062" s="10" t="n">
        <v>46280</v>
      </c>
      <c r="D2062" s="9" t="n">
        <v>1196</v>
      </c>
      <c r="E2062" s="11" t="s">
        <v>1470</v>
      </c>
      <c r="F2062" s="9" t="n">
        <v>24</v>
      </c>
      <c r="G2062" s="11" t="s">
        <v>51</v>
      </c>
      <c r="H2062" s="9" t="n">
        <v>2110405</v>
      </c>
      <c r="I2062" s="11" t="s">
        <v>56</v>
      </c>
      <c r="J2062" s="9" t="n">
        <v>1629259</v>
      </c>
      <c r="L2062" s="9" t="n">
        <v>223468</v>
      </c>
      <c r="M2062" s="11" t="s">
        <v>52</v>
      </c>
      <c r="N2062" s="11" t="s">
        <v>45</v>
      </c>
      <c r="P2062" s="9" t="n">
        <v>113</v>
      </c>
      <c r="Q2062" s="11" t="s">
        <v>46</v>
      </c>
      <c r="R2062" s="11" t="s">
        <v>47</v>
      </c>
      <c r="S2062" s="9" t="n">
        <v>1130101</v>
      </c>
      <c r="T2062" s="11" t="s">
        <v>48</v>
      </c>
      <c r="U2062" s="12" t="n">
        <v>410</v>
      </c>
      <c r="W2062" s="12" t="n">
        <v>410</v>
      </c>
      <c r="X2062" s="11" t="s">
        <v>1651</v>
      </c>
      <c r="Z2062" s="0" t="str">
        <f aca="false">IF($T2062="","",IFERROR(INDEX('Resumo Grupos'!$AC$3:$AC$200,MATCH($T2062,'Resumo Grupos'!$AB$3:$AB$200,0)),"n/d"))</f>
        <v>Mercadoria</v>
      </c>
      <c r="AA2062" s="0" t="str">
        <f aca="false">IF($T2062="","",IF(COUNTIF('Resumo Grupos'!$AE$3:$AE$40,$T2062)&gt;0,"NAO","SIM"))</f>
        <v>SIM</v>
      </c>
      <c r="AB2062" s="0" t="str">
        <f aca="false">IFERROR(INDEX('Mov Entradas (Rel 10497)'!$L:$L,MATCH(AC2062,'Mov Entradas (Rel 10497)'!$I:$I,0)),"nao encontrado")</f>
        <v>ACUCAR CRISTAL DOCE TODO DIA 30X1KG</v>
      </c>
      <c r="AC2062" s="0" t="n">
        <v>13095</v>
      </c>
    </row>
    <row r="2063" customFormat="false" ht="45.75" hidden="false" customHeight="true" outlineLevel="0" collapsed="false">
      <c r="A2063" s="9" t="n">
        <v>2</v>
      </c>
      <c r="B2063" s="10" t="n">
        <v>46268</v>
      </c>
      <c r="C2063" s="10" t="n">
        <v>46281</v>
      </c>
      <c r="D2063" s="9" t="n">
        <v>1635</v>
      </c>
      <c r="E2063" s="11" t="s">
        <v>128</v>
      </c>
      <c r="F2063" s="9" t="n">
        <v>24</v>
      </c>
      <c r="G2063" s="11" t="s">
        <v>51</v>
      </c>
      <c r="H2063" s="9" t="n">
        <v>2110405</v>
      </c>
      <c r="I2063" s="11" t="s">
        <v>56</v>
      </c>
      <c r="J2063" s="9" t="n">
        <v>1647282</v>
      </c>
      <c r="L2063" s="9" t="n">
        <v>226188</v>
      </c>
      <c r="M2063" s="11" t="s">
        <v>52</v>
      </c>
      <c r="N2063" s="11" t="s">
        <v>45</v>
      </c>
      <c r="P2063" s="9" t="n">
        <v>113</v>
      </c>
      <c r="Q2063" s="11" t="s">
        <v>46</v>
      </c>
      <c r="R2063" s="11" t="s">
        <v>47</v>
      </c>
      <c r="S2063" s="9" t="n">
        <v>1130101</v>
      </c>
      <c r="T2063" s="11" t="s">
        <v>48</v>
      </c>
      <c r="U2063" s="12" t="n">
        <v>278.1</v>
      </c>
      <c r="W2063" s="12" t="n">
        <v>278.1</v>
      </c>
      <c r="X2063" s="11" t="s">
        <v>1749</v>
      </c>
      <c r="Z2063" s="0" t="str">
        <f aca="false">IF($T2063="","",IFERROR(INDEX('Resumo Grupos'!$AC$3:$AC$200,MATCH($T2063,'Resumo Grupos'!$AB$3:$AB$200,0)),"n/d"))</f>
        <v>Mercadoria</v>
      </c>
      <c r="AA2063" s="0" t="str">
        <f aca="false">IF($T2063="","",IF(COUNTIF('Resumo Grupos'!$AE$3:$AE$40,$T2063)&gt;0,"NAO","SIM"))</f>
        <v>SIM</v>
      </c>
      <c r="AB2063" s="0" t="str">
        <f aca="false">IFERROR(INDEX('Mov Entradas (Rel 10497)'!$L:$L,MATCH(AC2063,'Mov Entradas (Rel 10497)'!$I:$I,0)),"nao encontrado")</f>
        <v>BATATA LUTOSA 1KG </v>
      </c>
      <c r="AC2063" s="0" t="n">
        <v>4884</v>
      </c>
    </row>
    <row r="2064" customFormat="false" ht="54.75" hidden="false" customHeight="true" outlineLevel="0" collapsed="false">
      <c r="A2064" s="9" t="n">
        <v>2</v>
      </c>
      <c r="B2064" s="10" t="n">
        <v>46269</v>
      </c>
      <c r="C2064" s="10" t="n">
        <v>46281</v>
      </c>
      <c r="D2064" s="9" t="n">
        <v>1613</v>
      </c>
      <c r="E2064" s="11" t="s">
        <v>50</v>
      </c>
      <c r="F2064" s="9" t="n">
        <v>24</v>
      </c>
      <c r="G2064" s="11" t="s">
        <v>51</v>
      </c>
      <c r="H2064" s="9" t="n">
        <v>2110405</v>
      </c>
      <c r="I2064" s="11" t="s">
        <v>56</v>
      </c>
      <c r="J2064" s="9" t="n">
        <v>1653084</v>
      </c>
      <c r="L2064" s="9" t="n">
        <v>227107</v>
      </c>
      <c r="M2064" s="11" t="s">
        <v>52</v>
      </c>
      <c r="N2064" s="11" t="s">
        <v>45</v>
      </c>
      <c r="P2064" s="9" t="n">
        <v>113</v>
      </c>
      <c r="Q2064" s="11" t="s">
        <v>46</v>
      </c>
      <c r="R2064" s="11" t="s">
        <v>47</v>
      </c>
      <c r="S2064" s="9" t="n">
        <v>1130101</v>
      </c>
      <c r="T2064" s="11" t="s">
        <v>48</v>
      </c>
      <c r="U2064" s="12" t="n">
        <v>2296</v>
      </c>
      <c r="W2064" s="12" t="n">
        <v>2296</v>
      </c>
      <c r="X2064" s="11" t="s">
        <v>1750</v>
      </c>
      <c r="Z2064" s="0" t="str">
        <f aca="false">IF($T2064="","",IFERROR(INDEX('Resumo Grupos'!$AC$3:$AC$200,MATCH($T2064,'Resumo Grupos'!$AB$3:$AB$200,0)),"n/d"))</f>
        <v>Mercadoria</v>
      </c>
      <c r="AA2064" s="0" t="str">
        <f aca="false">IF($T2064="","",IF(COUNTIF('Resumo Grupos'!$AE$3:$AE$40,$T2064)&gt;0,"NAO","SIM"))</f>
        <v>SIM</v>
      </c>
      <c r="AB2064" s="0" t="str">
        <f aca="false">IFERROR(INDEX('Mov Entradas (Rel 10497)'!$L:$L,MATCH(AC2064,'Mov Entradas (Rel 10497)'!$I:$I,0)),"nao encontrado")</f>
        <v>COSTELA SUINA KG</v>
      </c>
      <c r="AC2064" s="0" t="n">
        <v>1627324</v>
      </c>
    </row>
    <row r="2065" customFormat="false" ht="36.75" hidden="false" customHeight="true" outlineLevel="0" collapsed="false">
      <c r="A2065" s="9" t="n">
        <v>2</v>
      </c>
      <c r="B2065" s="10" t="n">
        <v>46275</v>
      </c>
      <c r="C2065" s="10" t="n">
        <v>46281</v>
      </c>
      <c r="D2065" s="9" t="n">
        <v>1608</v>
      </c>
      <c r="E2065" s="11" t="s">
        <v>240</v>
      </c>
      <c r="F2065" s="9" t="n">
        <v>24</v>
      </c>
      <c r="G2065" s="11" t="s">
        <v>51</v>
      </c>
      <c r="H2065" s="9" t="n">
        <v>2110405</v>
      </c>
      <c r="I2065" s="11" t="s">
        <v>56</v>
      </c>
      <c r="J2065" s="9" t="n">
        <v>1681683</v>
      </c>
      <c r="L2065" s="9" t="n">
        <v>230750</v>
      </c>
      <c r="M2065" s="11" t="s">
        <v>52</v>
      </c>
      <c r="N2065" s="11" t="s">
        <v>45</v>
      </c>
      <c r="P2065" s="9" t="n">
        <v>113</v>
      </c>
      <c r="Q2065" s="11" t="s">
        <v>46</v>
      </c>
      <c r="R2065" s="11" t="s">
        <v>47</v>
      </c>
      <c r="S2065" s="9" t="n">
        <v>1130101</v>
      </c>
      <c r="T2065" s="11" t="s">
        <v>48</v>
      </c>
      <c r="U2065" s="12" t="n">
        <v>684.65</v>
      </c>
      <c r="W2065" s="12" t="n">
        <v>684.65</v>
      </c>
      <c r="X2065" s="11" t="s">
        <v>1751</v>
      </c>
      <c r="Z2065" s="0" t="str">
        <f aca="false">IF($T2065="","",IFERROR(INDEX('Resumo Grupos'!$AC$3:$AC$200,MATCH($T2065,'Resumo Grupos'!$AB$3:$AB$200,0)),"n/d"))</f>
        <v>Mercadoria</v>
      </c>
      <c r="AA2065" s="0" t="str">
        <f aca="false">IF($T2065="","",IF(COUNTIF('Resumo Grupos'!$AE$3:$AE$40,$T2065)&gt;0,"NAO","SIM"))</f>
        <v>SIM</v>
      </c>
      <c r="AB2065" s="0" t="str">
        <f aca="false">IFERROR(INDEX('Mov Entradas (Rel 10497)'!$L:$L,MATCH(AC2065,'Mov Entradas (Rel 10497)'!$I:$I,0)),"nao encontrado")</f>
        <v>PATE ATUM COQ 170G</v>
      </c>
      <c r="AC2065" s="0" t="n">
        <v>1726308</v>
      </c>
    </row>
    <row r="2066" customFormat="false" ht="54.75" hidden="false" customHeight="true" outlineLevel="0" collapsed="false">
      <c r="A2066" s="9" t="n">
        <v>2</v>
      </c>
      <c r="B2066" s="10" t="n">
        <v>46261</v>
      </c>
      <c r="C2066" s="10" t="n">
        <v>46281</v>
      </c>
      <c r="D2066" s="9" t="n">
        <v>1636</v>
      </c>
      <c r="E2066" s="11" t="s">
        <v>61</v>
      </c>
      <c r="F2066" s="9" t="n">
        <v>24</v>
      </c>
      <c r="G2066" s="11" t="s">
        <v>51</v>
      </c>
      <c r="H2066" s="9" t="n">
        <v>2110405</v>
      </c>
      <c r="I2066" s="11" t="s">
        <v>56</v>
      </c>
      <c r="J2066" s="9" t="n">
        <v>1609066</v>
      </c>
      <c r="L2066" s="9" t="n">
        <v>220491</v>
      </c>
      <c r="M2066" s="11" t="s">
        <v>52</v>
      </c>
      <c r="N2066" s="11" t="s">
        <v>45</v>
      </c>
      <c r="P2066" s="9" t="n">
        <v>113</v>
      </c>
      <c r="Q2066" s="11" t="s">
        <v>46</v>
      </c>
      <c r="R2066" s="11" t="s">
        <v>47</v>
      </c>
      <c r="S2066" s="9" t="n">
        <v>1130101</v>
      </c>
      <c r="T2066" s="11" t="s">
        <v>48</v>
      </c>
      <c r="U2066" s="12" t="n">
        <v>733.77</v>
      </c>
      <c r="W2066" s="12" t="n">
        <v>733.77</v>
      </c>
      <c r="X2066" s="11" t="s">
        <v>1555</v>
      </c>
      <c r="Z2066" s="0" t="str">
        <f aca="false">IF($T2066="","",IFERROR(INDEX('Resumo Grupos'!$AC$3:$AC$200,MATCH($T2066,'Resumo Grupos'!$AB$3:$AB$200,0)),"n/d"))</f>
        <v>Mercadoria</v>
      </c>
      <c r="AA2066" s="0" t="str">
        <f aca="false">IF($T2066="","",IF(COUNTIF('Resumo Grupos'!$AE$3:$AE$40,$T2066)&gt;0,"NAO","SIM"))</f>
        <v>SIM</v>
      </c>
      <c r="AB2066" s="0" t="str">
        <f aca="false">IFERROR(INDEX('Mov Entradas (Rel 10497)'!$L:$L,MATCH(AC2066,'Mov Entradas (Rel 10497)'!$I:$I,0)),"nao encontrado")</f>
        <v>BISC. RICHESTER RECH QUAD CHOCO ANI 130G</v>
      </c>
      <c r="AC2066" s="0" t="n">
        <v>3242273</v>
      </c>
    </row>
    <row r="2067" customFormat="false" ht="54.75" hidden="false" customHeight="true" outlineLevel="0" collapsed="false">
      <c r="A2067" s="9" t="n">
        <v>2</v>
      </c>
      <c r="B2067" s="10" t="n">
        <v>46252</v>
      </c>
      <c r="C2067" s="10" t="n">
        <v>46281</v>
      </c>
      <c r="D2067" s="9" t="n">
        <v>1612</v>
      </c>
      <c r="E2067" s="11" t="s">
        <v>74</v>
      </c>
      <c r="F2067" s="9" t="n">
        <v>24</v>
      </c>
      <c r="G2067" s="11" t="s">
        <v>51</v>
      </c>
      <c r="H2067" s="9" t="n">
        <v>2110405</v>
      </c>
      <c r="I2067" s="11" t="s">
        <v>56</v>
      </c>
      <c r="J2067" s="9" t="n">
        <v>1567422</v>
      </c>
      <c r="L2067" s="9" t="n">
        <v>214026</v>
      </c>
      <c r="M2067" s="11" t="s">
        <v>52</v>
      </c>
      <c r="N2067" s="11" t="s">
        <v>45</v>
      </c>
      <c r="P2067" s="9" t="n">
        <v>113</v>
      </c>
      <c r="Q2067" s="11" t="s">
        <v>46</v>
      </c>
      <c r="R2067" s="11" t="s">
        <v>47</v>
      </c>
      <c r="S2067" s="9" t="n">
        <v>1130101</v>
      </c>
      <c r="T2067" s="11" t="s">
        <v>48</v>
      </c>
      <c r="U2067" s="12" t="n">
        <v>1154.65</v>
      </c>
      <c r="W2067" s="12" t="n">
        <v>1154.65</v>
      </c>
      <c r="X2067" s="11" t="s">
        <v>1556</v>
      </c>
      <c r="Z2067" s="0" t="str">
        <f aca="false">IF($T2067="","",IFERROR(INDEX('Resumo Grupos'!$AC$3:$AC$200,MATCH($T2067,'Resumo Grupos'!$AB$3:$AB$200,0)),"n/d"))</f>
        <v>Mercadoria</v>
      </c>
      <c r="AA2067" s="0" t="str">
        <f aca="false">IF($T2067="","",IF(COUNTIF('Resumo Grupos'!$AE$3:$AE$40,$T2067)&gt;0,"NAO","SIM"))</f>
        <v>SIM</v>
      </c>
      <c r="AB2067" s="0" t="str">
        <f aca="false">IFERROR(INDEX('Mov Entradas (Rel 10497)'!$L:$L,MATCH(AC2067,'Mov Entradas (Rel 10497)'!$I:$I,0)),"nao encontrado")</f>
        <v>AGUA SANI BRILUX1L</v>
      </c>
      <c r="AC2067" s="0" t="n">
        <v>2310769</v>
      </c>
    </row>
    <row r="2068" customFormat="false" ht="54.75" hidden="false" customHeight="true" outlineLevel="0" collapsed="false">
      <c r="A2068" s="9" t="n">
        <v>2</v>
      </c>
      <c r="B2068" s="10" t="n">
        <v>46275</v>
      </c>
      <c r="C2068" s="10" t="n">
        <v>46281</v>
      </c>
      <c r="D2068" s="9" t="n">
        <v>10019</v>
      </c>
      <c r="E2068" s="11" t="s">
        <v>268</v>
      </c>
      <c r="F2068" s="9" t="n">
        <v>24</v>
      </c>
      <c r="G2068" s="11" t="s">
        <v>51</v>
      </c>
      <c r="H2068" s="9" t="n">
        <v>2110405</v>
      </c>
      <c r="I2068" s="11" t="s">
        <v>56</v>
      </c>
      <c r="J2068" s="9" t="n">
        <v>1681630</v>
      </c>
      <c r="L2068" s="9" t="n">
        <v>230736</v>
      </c>
      <c r="M2068" s="11" t="s">
        <v>52</v>
      </c>
      <c r="N2068" s="11" t="s">
        <v>45</v>
      </c>
      <c r="P2068" s="9" t="n">
        <v>113</v>
      </c>
      <c r="Q2068" s="11" t="s">
        <v>46</v>
      </c>
      <c r="R2068" s="11" t="s">
        <v>47</v>
      </c>
      <c r="S2068" s="9" t="n">
        <v>1130101</v>
      </c>
      <c r="T2068" s="11" t="s">
        <v>48</v>
      </c>
      <c r="U2068" s="12" t="n">
        <v>2170.64</v>
      </c>
      <c r="W2068" s="12" t="n">
        <v>2170.64</v>
      </c>
      <c r="X2068" s="11" t="s">
        <v>1752</v>
      </c>
      <c r="Z2068" s="0" t="str">
        <f aca="false">IF($T2068="","",IFERROR(INDEX('Resumo Grupos'!$AC$3:$AC$200,MATCH($T2068,'Resumo Grupos'!$AB$3:$AB$200,0)),"n/d"))</f>
        <v>Mercadoria</v>
      </c>
      <c r="AA2068" s="0" t="str">
        <f aca="false">IF($T2068="","",IF(COUNTIF('Resumo Grupos'!$AE$3:$AE$40,$T2068)&gt;0,"NAO","SIM"))</f>
        <v>SIM</v>
      </c>
      <c r="AB2068" s="0" t="str">
        <f aca="false">IFERROR(INDEX('Mov Entradas (Rel 10497)'!$L:$L,MATCH(AC2068,'Mov Entradas (Rel 10497)'!$I:$I,0)),"nao encontrado")</f>
        <v>PATINHO BOVINO KG</v>
      </c>
      <c r="AC2068" s="0" t="n">
        <v>33492</v>
      </c>
    </row>
    <row r="2069" customFormat="false" ht="45.75" hidden="false" customHeight="true" outlineLevel="0" collapsed="false">
      <c r="A2069" s="9" t="n">
        <v>2</v>
      </c>
      <c r="B2069" s="10" t="n">
        <v>46275</v>
      </c>
      <c r="C2069" s="10" t="n">
        <v>46281</v>
      </c>
      <c r="D2069" s="9" t="n">
        <v>10019</v>
      </c>
      <c r="E2069" s="11" t="s">
        <v>268</v>
      </c>
      <c r="F2069" s="9" t="n">
        <v>24</v>
      </c>
      <c r="G2069" s="11" t="s">
        <v>51</v>
      </c>
      <c r="H2069" s="9" t="n">
        <v>2110405</v>
      </c>
      <c r="I2069" s="11" t="s">
        <v>56</v>
      </c>
      <c r="J2069" s="9" t="n">
        <v>1681652</v>
      </c>
      <c r="L2069" s="9" t="n">
        <v>230745</v>
      </c>
      <c r="M2069" s="11" t="s">
        <v>52</v>
      </c>
      <c r="N2069" s="11" t="s">
        <v>45</v>
      </c>
      <c r="P2069" s="9" t="n">
        <v>113</v>
      </c>
      <c r="Q2069" s="11" t="s">
        <v>46</v>
      </c>
      <c r="R2069" s="11" t="s">
        <v>47</v>
      </c>
      <c r="S2069" s="9" t="n">
        <v>1130101</v>
      </c>
      <c r="T2069" s="11" t="s">
        <v>48</v>
      </c>
      <c r="U2069" s="12" t="n">
        <v>432.76</v>
      </c>
      <c r="W2069" s="12" t="n">
        <v>432.76</v>
      </c>
      <c r="X2069" s="11" t="s">
        <v>1753</v>
      </c>
      <c r="Z2069" s="0" t="str">
        <f aca="false">IF($T2069="","",IFERROR(INDEX('Resumo Grupos'!$AC$3:$AC$200,MATCH($T2069,'Resumo Grupos'!$AB$3:$AB$200,0)),"n/d"))</f>
        <v>Mercadoria</v>
      </c>
      <c r="AA2069" s="0" t="str">
        <f aca="false">IF($T2069="","",IF(COUNTIF('Resumo Grupos'!$AE$3:$AE$40,$T2069)&gt;0,"NAO","SIM"))</f>
        <v>SIM</v>
      </c>
      <c r="AB2069" s="0" t="str">
        <f aca="false">IFERROR(INDEX('Mov Entradas (Rel 10497)'!$L:$L,MATCH(AC2069,'Mov Entradas (Rel 10497)'!$I:$I,0)),"nao encontrado")</f>
        <v>ALCATRA BOVINA KG</v>
      </c>
      <c r="AC2069" s="0" t="n">
        <v>38204</v>
      </c>
    </row>
    <row r="2070" customFormat="false" ht="27.75" hidden="false" customHeight="true" outlineLevel="0" collapsed="false">
      <c r="A2070" s="9" t="n">
        <v>2</v>
      </c>
      <c r="B2070" s="10" t="n">
        <v>46260</v>
      </c>
      <c r="C2070" s="10" t="n">
        <v>46281</v>
      </c>
      <c r="D2070" s="9" t="n">
        <v>1626</v>
      </c>
      <c r="E2070" s="11" t="s">
        <v>77</v>
      </c>
      <c r="F2070" s="9" t="n">
        <v>24</v>
      </c>
      <c r="G2070" s="11" t="s">
        <v>51</v>
      </c>
      <c r="H2070" s="9" t="n">
        <v>2110405</v>
      </c>
      <c r="I2070" s="11" t="s">
        <v>56</v>
      </c>
      <c r="J2070" s="9" t="n">
        <v>1605224</v>
      </c>
      <c r="L2070" s="9" t="n">
        <v>219915</v>
      </c>
      <c r="M2070" s="11" t="s">
        <v>52</v>
      </c>
      <c r="N2070" s="11" t="s">
        <v>45</v>
      </c>
      <c r="P2070" s="9" t="n">
        <v>113</v>
      </c>
      <c r="Q2070" s="11" t="s">
        <v>46</v>
      </c>
      <c r="R2070" s="11" t="s">
        <v>47</v>
      </c>
      <c r="S2070" s="9" t="n">
        <v>1130101</v>
      </c>
      <c r="T2070" s="11" t="s">
        <v>48</v>
      </c>
      <c r="U2070" s="12" t="n">
        <v>679.16</v>
      </c>
      <c r="W2070" s="12" t="n">
        <v>679.16</v>
      </c>
      <c r="X2070" s="11" t="s">
        <v>1558</v>
      </c>
      <c r="Z2070" s="0" t="str">
        <f aca="false">IF($T2070="","",IFERROR(INDEX('Resumo Grupos'!$AC$3:$AC$200,MATCH($T2070,'Resumo Grupos'!$AB$3:$AB$200,0)),"n/d"))</f>
        <v>Mercadoria</v>
      </c>
      <c r="AA2070" s="0" t="str">
        <f aca="false">IF($T2070="","",IF(COUNTIF('Resumo Grupos'!$AE$3:$AE$40,$T2070)&gt;0,"NAO","SIM"))</f>
        <v>SIM</v>
      </c>
      <c r="AB2070" s="0" t="str">
        <f aca="false">IFERROR(INDEX('Mov Entradas (Rel 10497)'!$L:$L,MATCH(AC2070,'Mov Entradas (Rel 10497)'!$I:$I,0)),"nao encontrado")</f>
        <v>CALABRESA SEARA KG</v>
      </c>
      <c r="AC2070" s="0" t="n">
        <v>319020</v>
      </c>
    </row>
    <row r="2071" customFormat="false" ht="45.75" hidden="false" customHeight="true" outlineLevel="0" collapsed="false">
      <c r="A2071" s="9" t="n">
        <v>2</v>
      </c>
      <c r="B2071" s="10" t="n">
        <v>46226</v>
      </c>
      <c r="C2071" s="10" t="n">
        <v>46281</v>
      </c>
      <c r="D2071" s="9" t="n">
        <v>957</v>
      </c>
      <c r="E2071" s="11" t="s">
        <v>628</v>
      </c>
      <c r="F2071" s="9" t="n">
        <v>24</v>
      </c>
      <c r="G2071" s="11" t="s">
        <v>51</v>
      </c>
      <c r="H2071" s="9" t="n">
        <v>2110405</v>
      </c>
      <c r="I2071" s="11" t="s">
        <v>56</v>
      </c>
      <c r="J2071" s="9" t="n">
        <v>1438939</v>
      </c>
      <c r="L2071" s="9" t="n">
        <v>194433</v>
      </c>
      <c r="M2071" s="11" t="s">
        <v>52</v>
      </c>
      <c r="N2071" s="11" t="s">
        <v>45</v>
      </c>
      <c r="P2071" s="9" t="n">
        <v>113</v>
      </c>
      <c r="Q2071" s="11" t="s">
        <v>46</v>
      </c>
      <c r="R2071" s="11" t="s">
        <v>47</v>
      </c>
      <c r="S2071" s="9" t="n">
        <v>1130101</v>
      </c>
      <c r="T2071" s="11" t="s">
        <v>48</v>
      </c>
      <c r="U2071" s="12" t="n">
        <v>1501.38</v>
      </c>
      <c r="W2071" s="12" t="n">
        <v>1501.38</v>
      </c>
      <c r="X2071" s="11" t="s">
        <v>1286</v>
      </c>
      <c r="Z2071" s="0" t="str">
        <f aca="false">IF($T2071="","",IFERROR(INDEX('Resumo Grupos'!$AC$3:$AC$200,MATCH($T2071,'Resumo Grupos'!$AB$3:$AB$200,0)),"n/d"))</f>
        <v>Mercadoria</v>
      </c>
      <c r="AA2071" s="0" t="str">
        <f aca="false">IF($T2071="","",IF(COUNTIF('Resumo Grupos'!$AE$3:$AE$40,$T2071)&gt;0,"NAO","SIM"))</f>
        <v>SIM</v>
      </c>
      <c r="AB2071" s="0" t="str">
        <f aca="false">IFERROR(INDEX('Mov Entradas (Rel 10497)'!$L:$L,MATCH(AC2071,'Mov Entradas (Rel 10497)'!$I:$I,0)),"nao encontrado")</f>
        <v>WHISKA FRANGO KG AGR</v>
      </c>
      <c r="AC2071" s="0" t="n">
        <v>21189</v>
      </c>
    </row>
    <row r="2072" customFormat="false" ht="54.75" hidden="false" customHeight="true" outlineLevel="0" collapsed="false">
      <c r="A2072" s="9" t="n">
        <v>2</v>
      </c>
      <c r="B2072" s="10" t="n">
        <v>46274</v>
      </c>
      <c r="C2072" s="10" t="n">
        <v>46281</v>
      </c>
      <c r="D2072" s="9" t="n">
        <v>1363</v>
      </c>
      <c r="E2072" s="11" t="s">
        <v>174</v>
      </c>
      <c r="F2072" s="9" t="n">
        <v>24</v>
      </c>
      <c r="G2072" s="11" t="s">
        <v>51</v>
      </c>
      <c r="H2072" s="9" t="n">
        <v>2110405</v>
      </c>
      <c r="I2072" s="11" t="s">
        <v>56</v>
      </c>
      <c r="J2072" s="9" t="n">
        <v>1678438</v>
      </c>
      <c r="L2072" s="9" t="n">
        <v>230267</v>
      </c>
      <c r="M2072" s="11" t="s">
        <v>52</v>
      </c>
      <c r="N2072" s="11" t="s">
        <v>45</v>
      </c>
      <c r="P2072" s="9" t="n">
        <v>113</v>
      </c>
      <c r="Q2072" s="11" t="s">
        <v>46</v>
      </c>
      <c r="R2072" s="11" t="s">
        <v>47</v>
      </c>
      <c r="S2072" s="9" t="n">
        <v>1130101</v>
      </c>
      <c r="T2072" s="11" t="s">
        <v>48</v>
      </c>
      <c r="U2072" s="12" t="n">
        <v>149</v>
      </c>
      <c r="W2072" s="12" t="n">
        <v>149</v>
      </c>
      <c r="X2072" s="11" t="s">
        <v>1754</v>
      </c>
      <c r="Z2072" s="0" t="str">
        <f aca="false">IF($T2072="","",IFERROR(INDEX('Resumo Grupos'!$AC$3:$AC$200,MATCH($T2072,'Resumo Grupos'!$AB$3:$AB$200,0)),"n/d"))</f>
        <v>Mercadoria</v>
      </c>
      <c r="AA2072" s="0" t="str">
        <f aca="false">IF($T2072="","",IF(COUNTIF('Resumo Grupos'!$AE$3:$AE$40,$T2072)&gt;0,"NAO","SIM"))</f>
        <v>SIM</v>
      </c>
      <c r="AB2072" s="0" t="str">
        <f aca="false">IFERROR(INDEX('Mov Entradas (Rel 10497)'!$L:$L,MATCH(AC2072,'Mov Entradas (Rel 10497)'!$I:$I,0)),"nao encontrado")</f>
        <v>PAO HAMBURGUER SANTO PAO</v>
      </c>
      <c r="AC2072" s="0" t="n">
        <v>3898</v>
      </c>
    </row>
    <row r="2073" customFormat="false" ht="45.75" hidden="false" customHeight="true" outlineLevel="0" collapsed="false">
      <c r="A2073" s="9" t="n">
        <v>2</v>
      </c>
      <c r="B2073" s="10" t="n">
        <v>46275</v>
      </c>
      <c r="C2073" s="10" t="n">
        <v>46281</v>
      </c>
      <c r="D2073" s="9" t="n">
        <v>1625</v>
      </c>
      <c r="E2073" s="11" t="s">
        <v>270</v>
      </c>
      <c r="F2073" s="9" t="n">
        <v>24</v>
      </c>
      <c r="G2073" s="11" t="s">
        <v>51</v>
      </c>
      <c r="H2073" s="9" t="n">
        <v>2110405</v>
      </c>
      <c r="I2073" s="11" t="s">
        <v>56</v>
      </c>
      <c r="J2073" s="9" t="n">
        <v>1681794</v>
      </c>
      <c r="L2073" s="9" t="n">
        <v>230775</v>
      </c>
      <c r="M2073" s="11" t="s">
        <v>52</v>
      </c>
      <c r="N2073" s="11" t="s">
        <v>45</v>
      </c>
      <c r="P2073" s="9" t="n">
        <v>113</v>
      </c>
      <c r="Q2073" s="11" t="s">
        <v>46</v>
      </c>
      <c r="R2073" s="11" t="s">
        <v>47</v>
      </c>
      <c r="S2073" s="9" t="n">
        <v>1130101</v>
      </c>
      <c r="T2073" s="11" t="s">
        <v>48</v>
      </c>
      <c r="U2073" s="12" t="n">
        <v>4070</v>
      </c>
      <c r="W2073" s="12" t="n">
        <v>4070</v>
      </c>
      <c r="X2073" s="11" t="s">
        <v>1755</v>
      </c>
      <c r="Z2073" s="0" t="str">
        <f aca="false">IF($T2073="","",IFERROR(INDEX('Resumo Grupos'!$AC$3:$AC$200,MATCH($T2073,'Resumo Grupos'!$AB$3:$AB$200,0)),"n/d"))</f>
        <v>Mercadoria</v>
      </c>
      <c r="AA2073" s="0" t="str">
        <f aca="false">IF($T2073="","",IF(COUNTIF('Resumo Grupos'!$AE$3:$AE$40,$T2073)&gt;0,"NAO","SIM"))</f>
        <v>SIM</v>
      </c>
      <c r="AB2073" s="0" t="str">
        <f aca="false">IFERROR(INDEX('Mov Entradas (Rel 10497)'!$L:$L,MATCH(AC2073,'Mov Entradas (Rel 10497)'!$I:$I,0)),"nao encontrado")</f>
        <v>TRASEIRO DE BOI L1</v>
      </c>
      <c r="AC2073" s="0" t="n">
        <v>15323</v>
      </c>
    </row>
    <row r="2074" customFormat="false" ht="45.75" hidden="false" customHeight="true" outlineLevel="0" collapsed="false">
      <c r="A2074" s="9" t="n">
        <v>2</v>
      </c>
      <c r="B2074" s="10" t="n">
        <v>46281</v>
      </c>
      <c r="C2074" s="10" t="n">
        <v>46281</v>
      </c>
      <c r="D2074" s="9" t="n">
        <v>48</v>
      </c>
      <c r="E2074" s="11" t="s">
        <v>153</v>
      </c>
      <c r="F2074" s="9" t="n">
        <v>13</v>
      </c>
      <c r="G2074" s="11" t="s">
        <v>135</v>
      </c>
      <c r="H2074" s="9" t="n">
        <v>2110101</v>
      </c>
      <c r="I2074" s="11" t="s">
        <v>43</v>
      </c>
      <c r="J2074" s="9" t="n">
        <v>1711583</v>
      </c>
      <c r="L2074" s="9" t="n">
        <v>2678</v>
      </c>
      <c r="M2074" s="11" t="s">
        <v>52</v>
      </c>
      <c r="N2074" s="11" t="s">
        <v>37</v>
      </c>
      <c r="P2074" s="9" t="n">
        <v>113</v>
      </c>
      <c r="Q2074" s="11" t="s">
        <v>46</v>
      </c>
      <c r="R2074" s="11" t="s">
        <v>47</v>
      </c>
      <c r="S2074" s="9" t="n">
        <v>1130101</v>
      </c>
      <c r="T2074" s="11" t="s">
        <v>48</v>
      </c>
      <c r="U2074" s="12" t="n">
        <v>300</v>
      </c>
      <c r="W2074" s="12" t="n">
        <v>300</v>
      </c>
      <c r="X2074" s="11" t="s">
        <v>1756</v>
      </c>
      <c r="Z2074" s="0" t="str">
        <f aca="false">IF($T2074="","",IFERROR(INDEX('Resumo Grupos'!$AC$3:$AC$200,MATCH($T2074,'Resumo Grupos'!$AB$3:$AB$200,0)),"n/d"))</f>
        <v>Mercadoria</v>
      </c>
      <c r="AA2074" s="0" t="str">
        <f aca="false">IF($T2074="","",IF(COUNTIF('Resumo Grupos'!$AE$3:$AE$40,$T2074)&gt;0,"NAO","SIM"))</f>
        <v>SIM</v>
      </c>
    </row>
    <row r="2075" customFormat="false" ht="45.75" hidden="false" customHeight="true" outlineLevel="0" collapsed="false">
      <c r="A2075" s="9" t="n">
        <v>2</v>
      </c>
      <c r="B2075" s="10" t="n">
        <v>46253</v>
      </c>
      <c r="C2075" s="10" t="n">
        <v>46281</v>
      </c>
      <c r="D2075" s="9" t="n">
        <v>1830</v>
      </c>
      <c r="E2075" s="11" t="s">
        <v>520</v>
      </c>
      <c r="F2075" s="9" t="n">
        <v>24</v>
      </c>
      <c r="G2075" s="11" t="s">
        <v>51</v>
      </c>
      <c r="H2075" s="9" t="n">
        <v>2110405</v>
      </c>
      <c r="I2075" s="11" t="s">
        <v>56</v>
      </c>
      <c r="J2075" s="9" t="n">
        <v>1573122</v>
      </c>
      <c r="L2075" s="9" t="n">
        <v>1308</v>
      </c>
      <c r="M2075" s="11" t="s">
        <v>52</v>
      </c>
      <c r="N2075" s="11" t="s">
        <v>45</v>
      </c>
      <c r="P2075" s="9" t="n">
        <v>101</v>
      </c>
      <c r="Q2075" s="11" t="s">
        <v>57</v>
      </c>
      <c r="R2075" s="11" t="s">
        <v>71</v>
      </c>
      <c r="S2075" s="9" t="n">
        <v>4210319</v>
      </c>
      <c r="T2075" s="11" t="s">
        <v>521</v>
      </c>
      <c r="U2075" s="12" t="n">
        <v>58</v>
      </c>
      <c r="W2075" s="12" t="n">
        <v>58</v>
      </c>
      <c r="X2075" s="11" t="s">
        <v>1757</v>
      </c>
      <c r="Z2075" s="0" t="str">
        <f aca="false">IF($T2075="","",IFERROR(INDEX('Resumo Grupos'!$AC$3:$AC$200,MATCH($T2075,'Resumo Grupos'!$AB$3:$AB$200,0)),"n/d"))</f>
        <v>Salários</v>
      </c>
      <c r="AA2075" s="0" t="str">
        <f aca="false">IF($T2075="","",IF(COUNTIF('Resumo Grupos'!$AE$3:$AE$40,$T2075)&gt;0,"NAO","SIM"))</f>
        <v>SIM</v>
      </c>
    </row>
    <row r="2076" customFormat="false" ht="54.75" hidden="false" customHeight="true" outlineLevel="0" collapsed="false">
      <c r="A2076" s="9" t="n">
        <v>2</v>
      </c>
      <c r="B2076" s="10" t="n">
        <v>46260</v>
      </c>
      <c r="C2076" s="10" t="n">
        <v>46281</v>
      </c>
      <c r="D2076" s="9" t="n">
        <v>1107</v>
      </c>
      <c r="E2076" s="11" t="s">
        <v>254</v>
      </c>
      <c r="F2076" s="9" t="n">
        <v>24</v>
      </c>
      <c r="G2076" s="11" t="s">
        <v>51</v>
      </c>
      <c r="H2076" s="9" t="n">
        <v>2110405</v>
      </c>
      <c r="I2076" s="11" t="s">
        <v>56</v>
      </c>
      <c r="J2076" s="9" t="n">
        <v>1605198</v>
      </c>
      <c r="L2076" s="9" t="n">
        <v>219909</v>
      </c>
      <c r="M2076" s="11" t="s">
        <v>52</v>
      </c>
      <c r="N2076" s="11" t="s">
        <v>45</v>
      </c>
      <c r="P2076" s="9" t="n">
        <v>113</v>
      </c>
      <c r="Q2076" s="11" t="s">
        <v>46</v>
      </c>
      <c r="R2076" s="11" t="s">
        <v>47</v>
      </c>
      <c r="S2076" s="9" t="n">
        <v>1130101</v>
      </c>
      <c r="T2076" s="11" t="s">
        <v>48</v>
      </c>
      <c r="U2076" s="12" t="n">
        <v>1510.34</v>
      </c>
      <c r="W2076" s="12" t="n">
        <v>1510.34</v>
      </c>
      <c r="X2076" s="11" t="s">
        <v>1660</v>
      </c>
      <c r="Z2076" s="0" t="str">
        <f aca="false">IF($T2076="","",IFERROR(INDEX('Resumo Grupos'!$AC$3:$AC$200,MATCH($T2076,'Resumo Grupos'!$AB$3:$AB$200,0)),"n/d"))</f>
        <v>Mercadoria</v>
      </c>
      <c r="AA2076" s="0" t="str">
        <f aca="false">IF($T2076="","",IF(COUNTIF('Resumo Grupos'!$AE$3:$AE$40,$T2076)&gt;0,"NAO","SIM"))</f>
        <v>SIM</v>
      </c>
      <c r="AB2076" s="0" t="str">
        <f aca="false">IFERROR(INDEX('Mov Entradas (Rel 10497)'!$L:$L,MATCH(AC2076,'Mov Entradas (Rel 10497)'!$I:$I,0)),"nao encontrado")</f>
        <v>BOLINHO MORANGO 7308</v>
      </c>
      <c r="AC2076" s="0" t="n">
        <v>447609</v>
      </c>
    </row>
    <row r="2077" customFormat="false" ht="36.75" hidden="false" customHeight="true" outlineLevel="0" collapsed="false">
      <c r="A2077" s="9" t="n">
        <v>2</v>
      </c>
      <c r="B2077" s="10" t="n">
        <v>46275</v>
      </c>
      <c r="C2077" s="10" t="n">
        <v>46281</v>
      </c>
      <c r="D2077" s="9" t="n">
        <v>33</v>
      </c>
      <c r="E2077" s="11" t="s">
        <v>313</v>
      </c>
      <c r="F2077" s="9" t="n">
        <v>34</v>
      </c>
      <c r="G2077" s="11" t="s">
        <v>55</v>
      </c>
      <c r="H2077" s="9" t="n">
        <v>2110405</v>
      </c>
      <c r="I2077" s="11" t="s">
        <v>56</v>
      </c>
      <c r="J2077" s="9" t="n">
        <v>1682656</v>
      </c>
      <c r="L2077" s="9" t="n">
        <v>230990</v>
      </c>
      <c r="M2077" s="11" t="s">
        <v>52</v>
      </c>
      <c r="N2077" s="11" t="s">
        <v>45</v>
      </c>
      <c r="P2077" s="9" t="n">
        <v>113</v>
      </c>
      <c r="Q2077" s="11" t="s">
        <v>46</v>
      </c>
      <c r="R2077" s="11" t="s">
        <v>47</v>
      </c>
      <c r="S2077" s="9" t="n">
        <v>1130101</v>
      </c>
      <c r="T2077" s="11" t="s">
        <v>48</v>
      </c>
      <c r="U2077" s="12" t="n">
        <v>781.39</v>
      </c>
      <c r="W2077" s="12" t="n">
        <v>781.39</v>
      </c>
      <c r="X2077" s="11" t="s">
        <v>413</v>
      </c>
      <c r="Z2077" s="0" t="str">
        <f aca="false">IF($T2077="","",IFERROR(INDEX('Resumo Grupos'!$AC$3:$AC$200,MATCH($T2077,'Resumo Grupos'!$AB$3:$AB$200,0)),"n/d"))</f>
        <v>Mercadoria</v>
      </c>
      <c r="AA2077" s="0" t="str">
        <f aca="false">IF($T2077="","",IF(COUNTIF('Resumo Grupos'!$AE$3:$AE$40,$T2077)&gt;0,"NAO","SIM"))</f>
        <v>SIM</v>
      </c>
      <c r="AB2077" s="0" t="str">
        <f aca="false">IFERROR(INDEX('Mov Entradas (Rel 10497)'!$L:$L,MATCH(AC2077,'Mov Entradas (Rel 10497)'!$I:$I,0)),"nao encontrado")</f>
        <v>SUCO FAZENDINHA CITR</v>
      </c>
      <c r="AC2077" s="0" t="n">
        <v>5642</v>
      </c>
    </row>
    <row r="2078" customFormat="false" ht="54.75" hidden="false" customHeight="true" outlineLevel="0" collapsed="false">
      <c r="A2078" s="9" t="n">
        <v>2</v>
      </c>
      <c r="B2078" s="10" t="n">
        <v>46247</v>
      </c>
      <c r="C2078" s="10" t="n">
        <v>46281</v>
      </c>
      <c r="D2078" s="9" t="n">
        <v>1624</v>
      </c>
      <c r="E2078" s="11" t="s">
        <v>351</v>
      </c>
      <c r="F2078" s="9" t="n">
        <v>24</v>
      </c>
      <c r="G2078" s="11" t="s">
        <v>51</v>
      </c>
      <c r="H2078" s="9" t="n">
        <v>2110405</v>
      </c>
      <c r="I2078" s="11" t="s">
        <v>56</v>
      </c>
      <c r="J2078" s="9" t="n">
        <v>1543920</v>
      </c>
      <c r="L2078" s="9" t="n">
        <v>210536</v>
      </c>
      <c r="M2078" s="11" t="s">
        <v>52</v>
      </c>
      <c r="N2078" s="11" t="s">
        <v>45</v>
      </c>
      <c r="P2078" s="9" t="n">
        <v>113</v>
      </c>
      <c r="Q2078" s="11" t="s">
        <v>46</v>
      </c>
      <c r="R2078" s="11" t="s">
        <v>47</v>
      </c>
      <c r="S2078" s="9" t="n">
        <v>1130101</v>
      </c>
      <c r="T2078" s="11" t="s">
        <v>48</v>
      </c>
      <c r="U2078" s="12" t="n">
        <v>830.13</v>
      </c>
      <c r="W2078" s="12" t="n">
        <v>830.13</v>
      </c>
      <c r="X2078" s="11" t="s">
        <v>1567</v>
      </c>
      <c r="Z2078" s="0" t="str">
        <f aca="false">IF($T2078="","",IFERROR(INDEX('Resumo Grupos'!$AC$3:$AC$200,MATCH($T2078,'Resumo Grupos'!$AB$3:$AB$200,0)),"n/d"))</f>
        <v>Mercadoria</v>
      </c>
      <c r="AA2078" s="0" t="str">
        <f aca="false">IF($T2078="","",IF(COUNTIF('Resumo Grupos'!$AE$3:$AE$40,$T2078)&gt;0,"NAO","SIM"))</f>
        <v>SIM</v>
      </c>
      <c r="AB2078" s="0" t="str">
        <f aca="false">IFERROR(INDEX('Mov Entradas (Rel 10497)'!$L:$L,MATCH(AC2078,'Mov Entradas (Rel 10497)'!$I:$I,0)),"nao encontrado")</f>
        <v>SAB SARNICIDA MATACURA 80G</v>
      </c>
      <c r="AC2078" s="0" t="n">
        <v>668739</v>
      </c>
    </row>
    <row r="2079" customFormat="false" ht="54.75" hidden="false" customHeight="true" outlineLevel="0" collapsed="false">
      <c r="A2079" s="9" t="n">
        <v>2</v>
      </c>
      <c r="B2079" s="10" t="n">
        <v>46281</v>
      </c>
      <c r="C2079" s="10" t="n">
        <v>46281</v>
      </c>
      <c r="D2079" s="9" t="n">
        <v>0</v>
      </c>
      <c r="E2079" s="11" t="s">
        <v>109</v>
      </c>
      <c r="F2079" s="9" t="n">
        <v>17</v>
      </c>
      <c r="G2079" s="11" t="s">
        <v>110</v>
      </c>
      <c r="H2079" s="9" t="n">
        <v>1110101</v>
      </c>
      <c r="I2079" s="11" t="s">
        <v>111</v>
      </c>
      <c r="J2079" s="9" t="n">
        <v>1714805</v>
      </c>
      <c r="L2079" s="9" t="n">
        <v>1714805</v>
      </c>
      <c r="M2079" s="11" t="s">
        <v>52</v>
      </c>
      <c r="N2079" s="11" t="s">
        <v>112</v>
      </c>
      <c r="P2079" s="9" t="n">
        <v>113</v>
      </c>
      <c r="Q2079" s="11" t="s">
        <v>46</v>
      </c>
      <c r="R2079" s="11" t="s">
        <v>259</v>
      </c>
      <c r="S2079" s="9" t="n">
        <v>2110101</v>
      </c>
      <c r="T2079" s="11" t="s">
        <v>43</v>
      </c>
      <c r="U2079" s="12" t="n">
        <v>300</v>
      </c>
      <c r="W2079" s="12" t="n">
        <v>300</v>
      </c>
      <c r="X2079" s="11" t="s">
        <v>1758</v>
      </c>
      <c r="Z2079" s="0" t="str">
        <f aca="false">IF($T2079="","",IFERROR(INDEX('Resumo Grupos'!$AC$3:$AC$200,MATCH($T2079,'Resumo Grupos'!$AB$3:$AB$200,0)),"n/d"))</f>
        <v>Despesa</v>
      </c>
      <c r="AA2079" s="0" t="str">
        <f aca="false">IF($T2079="","",IF(COUNTIF('Resumo Grupos'!$AE$3:$AE$40,$T2079)&gt;0,"NAO","SIM"))</f>
        <v>SIM</v>
      </c>
    </row>
    <row r="2080" customFormat="false" ht="45.75" hidden="false" customHeight="true" outlineLevel="0" collapsed="false">
      <c r="A2080" s="9" t="n">
        <v>2</v>
      </c>
      <c r="B2080" s="10" t="n">
        <v>46281</v>
      </c>
      <c r="C2080" s="10" t="n">
        <v>46281</v>
      </c>
      <c r="D2080" s="9" t="n">
        <v>0</v>
      </c>
      <c r="E2080" s="11" t="s">
        <v>109</v>
      </c>
      <c r="F2080" s="9" t="n">
        <v>17</v>
      </c>
      <c r="G2080" s="11" t="s">
        <v>110</v>
      </c>
      <c r="H2080" s="9" t="n">
        <v>1110101</v>
      </c>
      <c r="I2080" s="11" t="s">
        <v>111</v>
      </c>
      <c r="J2080" s="9" t="n">
        <v>1714808</v>
      </c>
      <c r="L2080" s="9" t="n">
        <v>1714808</v>
      </c>
      <c r="M2080" s="11" t="s">
        <v>52</v>
      </c>
      <c r="N2080" s="11" t="s">
        <v>112</v>
      </c>
      <c r="P2080" s="9" t="n">
        <v>113</v>
      </c>
      <c r="Q2080" s="11" t="s">
        <v>46</v>
      </c>
      <c r="R2080" s="11" t="s">
        <v>71</v>
      </c>
      <c r="S2080" s="9" t="n">
        <v>4210314</v>
      </c>
      <c r="T2080" s="11" t="s">
        <v>113</v>
      </c>
      <c r="U2080" s="12" t="n">
        <v>100</v>
      </c>
      <c r="W2080" s="12" t="n">
        <v>100</v>
      </c>
      <c r="X2080" s="11" t="s">
        <v>1706</v>
      </c>
      <c r="Z2080" s="0" t="str">
        <f aca="false">IF($T2080="","",IFERROR(INDEX('Resumo Grupos'!$AC$3:$AC$200,MATCH($T2080,'Resumo Grupos'!$AB$3:$AB$200,0)),"n/d"))</f>
        <v>Despesa</v>
      </c>
      <c r="AA2080" s="0" t="str">
        <f aca="false">IF($T2080="","",IF(COUNTIF('Resumo Grupos'!$AE$3:$AE$40,$T2080)&gt;0,"NAO","SIM"))</f>
        <v>SIM</v>
      </c>
    </row>
    <row r="2081" customFormat="false" ht="27.75" hidden="false" customHeight="true" outlineLevel="0" collapsed="false">
      <c r="A2081" s="9" t="n">
        <v>2</v>
      </c>
      <c r="B2081" s="10" t="n">
        <v>46281</v>
      </c>
      <c r="C2081" s="10" t="n">
        <v>46281</v>
      </c>
      <c r="D2081" s="9" t="n">
        <v>0</v>
      </c>
      <c r="E2081" s="11" t="s">
        <v>109</v>
      </c>
      <c r="F2081" s="9" t="n">
        <v>17</v>
      </c>
      <c r="G2081" s="11" t="s">
        <v>110</v>
      </c>
      <c r="H2081" s="9" t="n">
        <v>1110101</v>
      </c>
      <c r="I2081" s="11" t="s">
        <v>111</v>
      </c>
      <c r="J2081" s="9" t="n">
        <v>1714811</v>
      </c>
      <c r="L2081" s="9" t="n">
        <v>1714811</v>
      </c>
      <c r="M2081" s="11" t="s">
        <v>52</v>
      </c>
      <c r="N2081" s="11" t="s">
        <v>112</v>
      </c>
      <c r="P2081" s="9" t="n">
        <v>113</v>
      </c>
      <c r="Q2081" s="11" t="s">
        <v>46</v>
      </c>
      <c r="R2081" s="11" t="s">
        <v>71</v>
      </c>
      <c r="S2081" s="9" t="n">
        <v>4210309</v>
      </c>
      <c r="T2081" s="11" t="s">
        <v>72</v>
      </c>
      <c r="U2081" s="12" t="n">
        <v>10</v>
      </c>
      <c r="W2081" s="12" t="n">
        <v>10</v>
      </c>
      <c r="X2081" s="11" t="s">
        <v>1552</v>
      </c>
      <c r="Z2081" s="0" t="str">
        <f aca="false">IF($T2081="","",IFERROR(INDEX('Resumo Grupos'!$AC$3:$AC$200,MATCH($T2081,'Resumo Grupos'!$AB$3:$AB$200,0)),"n/d"))</f>
        <v>Salários</v>
      </c>
      <c r="AA2081" s="0" t="str">
        <f aca="false">IF($T2081="","",IF(COUNTIF('Resumo Grupos'!$AE$3:$AE$40,$T2081)&gt;0,"NAO","SIM"))</f>
        <v>SIM</v>
      </c>
    </row>
    <row r="2082" customFormat="false" ht="45.75" hidden="false" customHeight="true" outlineLevel="0" collapsed="false">
      <c r="A2082" s="9" t="n">
        <v>2</v>
      </c>
      <c r="B2082" s="10" t="n">
        <v>46281</v>
      </c>
      <c r="C2082" s="10" t="n">
        <v>46281</v>
      </c>
      <c r="D2082" s="9" t="n">
        <v>0</v>
      </c>
      <c r="E2082" s="11" t="s">
        <v>109</v>
      </c>
      <c r="F2082" s="9" t="n">
        <v>17</v>
      </c>
      <c r="G2082" s="11" t="s">
        <v>110</v>
      </c>
      <c r="H2082" s="9" t="n">
        <v>1110101</v>
      </c>
      <c r="I2082" s="11" t="s">
        <v>111</v>
      </c>
      <c r="J2082" s="9" t="n">
        <v>1714812</v>
      </c>
      <c r="L2082" s="9" t="n">
        <v>1714812</v>
      </c>
      <c r="M2082" s="11" t="s">
        <v>52</v>
      </c>
      <c r="N2082" s="11" t="s">
        <v>112</v>
      </c>
      <c r="P2082" s="9" t="n">
        <v>113</v>
      </c>
      <c r="Q2082" s="11" t="s">
        <v>46</v>
      </c>
      <c r="R2082" s="11" t="s">
        <v>71</v>
      </c>
      <c r="S2082" s="9" t="n">
        <v>4210314</v>
      </c>
      <c r="T2082" s="11" t="s">
        <v>113</v>
      </c>
      <c r="U2082" s="12" t="n">
        <v>50</v>
      </c>
      <c r="W2082" s="12" t="n">
        <v>50</v>
      </c>
      <c r="X2082" s="11" t="s">
        <v>187</v>
      </c>
      <c r="Z2082" s="0" t="str">
        <f aca="false">IF($T2082="","",IFERROR(INDEX('Resumo Grupos'!$AC$3:$AC$200,MATCH($T2082,'Resumo Grupos'!$AB$3:$AB$200,0)),"n/d"))</f>
        <v>Despesa</v>
      </c>
      <c r="AA2082" s="0" t="str">
        <f aca="false">IF($T2082="","",IF(COUNTIF('Resumo Grupos'!$AE$3:$AE$40,$T2082)&gt;0,"NAO","SIM"))</f>
        <v>SIM</v>
      </c>
    </row>
    <row r="2083" customFormat="false" ht="54.75" hidden="false" customHeight="true" outlineLevel="0" collapsed="false">
      <c r="A2083" s="9" t="n">
        <v>2</v>
      </c>
      <c r="B2083" s="10" t="n">
        <v>46274</v>
      </c>
      <c r="C2083" s="10" t="n">
        <v>46281</v>
      </c>
      <c r="D2083" s="9" t="n">
        <v>1631</v>
      </c>
      <c r="E2083" s="11" t="s">
        <v>299</v>
      </c>
      <c r="F2083" s="9" t="n">
        <v>24</v>
      </c>
      <c r="G2083" s="11" t="s">
        <v>51</v>
      </c>
      <c r="H2083" s="9" t="n">
        <v>2110405</v>
      </c>
      <c r="I2083" s="11" t="s">
        <v>56</v>
      </c>
      <c r="J2083" s="9" t="n">
        <v>1676640</v>
      </c>
      <c r="L2083" s="9" t="n">
        <v>229934</v>
      </c>
      <c r="M2083" s="11" t="s">
        <v>52</v>
      </c>
      <c r="N2083" s="11" t="s">
        <v>45</v>
      </c>
      <c r="P2083" s="9" t="n">
        <v>113</v>
      </c>
      <c r="Q2083" s="11" t="s">
        <v>46</v>
      </c>
      <c r="R2083" s="11" t="s">
        <v>47</v>
      </c>
      <c r="S2083" s="9" t="n">
        <v>1130101</v>
      </c>
      <c r="T2083" s="11" t="s">
        <v>48</v>
      </c>
      <c r="U2083" s="12" t="n">
        <v>388.68</v>
      </c>
      <c r="W2083" s="12" t="n">
        <v>388.68</v>
      </c>
      <c r="X2083" s="11" t="s">
        <v>1759</v>
      </c>
      <c r="Z2083" s="0" t="str">
        <f aca="false">IF($T2083="","",IFERROR(INDEX('Resumo Grupos'!$AC$3:$AC$200,MATCH($T2083,'Resumo Grupos'!$AB$3:$AB$200,0)),"n/d"))</f>
        <v>Mercadoria</v>
      </c>
      <c r="AA2083" s="0" t="str">
        <f aca="false">IF($T2083="","",IF(COUNTIF('Resumo Grupos'!$AE$3:$AE$40,$T2083)&gt;0,"NAO","SIM"))</f>
        <v>SIM</v>
      </c>
      <c r="AB2083" s="0" t="str">
        <f aca="false">IFERROR(INDEX('Mov Entradas (Rel 10497)'!$L:$L,MATCH(AC2083,'Mov Entradas (Rel 10497)'!$I:$I,0)),"nao encontrado")</f>
        <v>IOGURTE AMAZONGURT D</v>
      </c>
      <c r="AC2083" s="0" t="n">
        <v>15352</v>
      </c>
    </row>
    <row r="2084" customFormat="false" ht="54.75" hidden="false" customHeight="true" outlineLevel="0" collapsed="false">
      <c r="A2084" s="9" t="n">
        <v>2</v>
      </c>
      <c r="B2084" s="10" t="n">
        <v>46261</v>
      </c>
      <c r="C2084" s="10" t="n">
        <v>46282</v>
      </c>
      <c r="D2084" s="9" t="n">
        <v>1706</v>
      </c>
      <c r="E2084" s="11" t="s">
        <v>1671</v>
      </c>
      <c r="F2084" s="9" t="n">
        <v>24</v>
      </c>
      <c r="G2084" s="11" t="s">
        <v>51</v>
      </c>
      <c r="H2084" s="9" t="n">
        <v>2110405</v>
      </c>
      <c r="I2084" s="11" t="s">
        <v>56</v>
      </c>
      <c r="J2084" s="9" t="n">
        <v>1608553</v>
      </c>
      <c r="L2084" s="9" t="n">
        <v>220370</v>
      </c>
      <c r="M2084" s="11" t="s">
        <v>52</v>
      </c>
      <c r="N2084" s="11" t="s">
        <v>45</v>
      </c>
      <c r="P2084" s="9" t="n">
        <v>113</v>
      </c>
      <c r="Q2084" s="11" t="s">
        <v>46</v>
      </c>
      <c r="R2084" s="11" t="s">
        <v>47</v>
      </c>
      <c r="S2084" s="9" t="n">
        <v>1130101</v>
      </c>
      <c r="T2084" s="11" t="s">
        <v>48</v>
      </c>
      <c r="U2084" s="12" t="n">
        <v>805.4</v>
      </c>
      <c r="W2084" s="12" t="n">
        <v>805.4</v>
      </c>
      <c r="X2084" s="11" t="s">
        <v>1672</v>
      </c>
      <c r="Z2084" s="0" t="str">
        <f aca="false">IF($T2084="","",IFERROR(INDEX('Resumo Grupos'!$AC$3:$AC$200,MATCH($T2084,'Resumo Grupos'!$AB$3:$AB$200,0)),"n/d"))</f>
        <v>Mercadoria</v>
      </c>
      <c r="AA2084" s="0" t="str">
        <f aca="false">IF($T2084="","",IF(COUNTIF('Resumo Grupos'!$AE$3:$AE$40,$T2084)&gt;0,"NAO","SIM"))</f>
        <v>SIM</v>
      </c>
      <c r="AB2084" s="0" t="str">
        <f aca="false">IFERROR(INDEX('Mov Entradas (Rel 10497)'!$L:$L,MATCH(AC2084,'Mov Entradas (Rel 10497)'!$I:$I,0)),"nao encontrado")</f>
        <v>BATATA PRINGLES ORIGINAL 104G</v>
      </c>
      <c r="AC2084" s="0" t="n">
        <v>206697</v>
      </c>
    </row>
    <row r="2085" customFormat="false" ht="45.75" hidden="false" customHeight="true" outlineLevel="0" collapsed="false">
      <c r="A2085" s="9" t="n">
        <v>2</v>
      </c>
      <c r="B2085" s="10" t="n">
        <v>46262</v>
      </c>
      <c r="C2085" s="10" t="n">
        <v>46282</v>
      </c>
      <c r="D2085" s="9" t="n">
        <v>1695</v>
      </c>
      <c r="E2085" s="11" t="s">
        <v>390</v>
      </c>
      <c r="F2085" s="9" t="n">
        <v>24</v>
      </c>
      <c r="G2085" s="11" t="s">
        <v>51</v>
      </c>
      <c r="H2085" s="9" t="n">
        <v>2110405</v>
      </c>
      <c r="I2085" s="11" t="s">
        <v>56</v>
      </c>
      <c r="J2085" s="9" t="n">
        <v>1613813</v>
      </c>
      <c r="L2085" s="9" t="n">
        <v>221290</v>
      </c>
      <c r="M2085" s="11" t="s">
        <v>52</v>
      </c>
      <c r="N2085" s="11" t="s">
        <v>45</v>
      </c>
      <c r="P2085" s="9" t="n">
        <v>113</v>
      </c>
      <c r="Q2085" s="11" t="s">
        <v>46</v>
      </c>
      <c r="R2085" s="11" t="s">
        <v>47</v>
      </c>
      <c r="S2085" s="9" t="n">
        <v>1130101</v>
      </c>
      <c r="T2085" s="11" t="s">
        <v>48</v>
      </c>
      <c r="U2085" s="12" t="n">
        <v>1063.84</v>
      </c>
      <c r="W2085" s="12" t="n">
        <v>1063.84</v>
      </c>
      <c r="X2085" s="11" t="s">
        <v>1579</v>
      </c>
      <c r="Z2085" s="0" t="str">
        <f aca="false">IF($T2085="","",IFERROR(INDEX('Resumo Grupos'!$AC$3:$AC$200,MATCH($T2085,'Resumo Grupos'!$AB$3:$AB$200,0)),"n/d"))</f>
        <v>Mercadoria</v>
      </c>
      <c r="AA2085" s="0" t="str">
        <f aca="false">IF($T2085="","",IF(COUNTIF('Resumo Grupos'!$AE$3:$AE$40,$T2085)&gt;0,"NAO","SIM"))</f>
        <v>SIM</v>
      </c>
      <c r="AB2085" s="0" t="str">
        <f aca="false">IFERROR(INDEX('Mov Entradas (Rel 10497)'!$L:$L,MATCH(AC2085,'Mov Entradas (Rel 10497)'!$I:$I,0)),"nao encontrado")</f>
        <v>CAFE KIMINO 250G</v>
      </c>
      <c r="AC2085" s="0" t="n">
        <v>20104</v>
      </c>
    </row>
    <row r="2086" customFormat="false" ht="12.75" hidden="false" customHeight="true" outlineLevel="0" collapsed="false">
      <c r="A2086" s="13" t="n">
        <v>2</v>
      </c>
      <c r="B2086" s="14" t="n">
        <v>46275</v>
      </c>
      <c r="C2086" s="14" t="n">
        <v>46282</v>
      </c>
      <c r="D2086" s="13" t="n">
        <v>1608</v>
      </c>
      <c r="E2086" s="0" t="s">
        <v>240</v>
      </c>
      <c r="F2086" s="13" t="n">
        <v>24</v>
      </c>
      <c r="G2086" s="0" t="s">
        <v>51</v>
      </c>
      <c r="H2086" s="13" t="n">
        <v>2110405</v>
      </c>
      <c r="I2086" s="0" t="s">
        <v>56</v>
      </c>
      <c r="J2086" s="13" t="n">
        <v>1681561</v>
      </c>
      <c r="L2086" s="13" t="n">
        <v>230713</v>
      </c>
      <c r="M2086" s="0" t="s">
        <v>52</v>
      </c>
      <c r="N2086" s="0" t="s">
        <v>45</v>
      </c>
      <c r="P2086" s="13" t="n">
        <v>113</v>
      </c>
      <c r="Q2086" s="0" t="s">
        <v>46</v>
      </c>
      <c r="R2086" s="0" t="s">
        <v>47</v>
      </c>
      <c r="S2086" s="13" t="n">
        <v>1130101</v>
      </c>
      <c r="T2086" s="0" t="s">
        <v>48</v>
      </c>
      <c r="U2086" s="15" t="n">
        <v>318.78</v>
      </c>
      <c r="W2086" s="15" t="n">
        <v>318.78</v>
      </c>
      <c r="X2086" s="0" t="s">
        <v>1760</v>
      </c>
      <c r="Z2086" s="0" t="str">
        <f aca="false">IF($T2086="","",IFERROR(INDEX('Resumo Grupos'!$AC$3:$AC$200,MATCH($T2086,'Resumo Grupos'!$AB$3:$AB$200,0)),"n/d"))</f>
        <v>Mercadoria</v>
      </c>
      <c r="AA2086" s="0" t="str">
        <f aca="false">IF($T2086="","",IF(COUNTIF('Resumo Grupos'!$AE$3:$AE$40,$T2086)&gt;0,"NAO","SIM"))</f>
        <v>SIM</v>
      </c>
      <c r="AB2086" s="0" t="str">
        <f aca="false">IFERROR(INDEX('Mov Entradas (Rel 10497)'!$L:$L,MATCH(AC2086,'Mov Entradas (Rel 10497)'!$I:$I,0)),"nao encontrado")</f>
        <v>DANONE GREGO UNID FR</v>
      </c>
      <c r="AC2086" s="0" t="n">
        <v>1726860</v>
      </c>
    </row>
    <row r="2087" customFormat="false" ht="12.75" hidden="false" customHeight="true" outlineLevel="0" collapsed="false">
      <c r="A2087" s="13" t="n">
        <v>2</v>
      </c>
      <c r="B2087" s="14" t="n">
        <v>46279</v>
      </c>
      <c r="C2087" s="14" t="n">
        <v>46282</v>
      </c>
      <c r="D2087" s="13" t="n">
        <v>1218</v>
      </c>
      <c r="E2087" s="0" t="s">
        <v>659</v>
      </c>
      <c r="F2087" s="13" t="n">
        <v>24</v>
      </c>
      <c r="G2087" s="0" t="s">
        <v>51</v>
      </c>
      <c r="H2087" s="13" t="n">
        <v>2110405</v>
      </c>
      <c r="I2087" s="0" t="s">
        <v>56</v>
      </c>
      <c r="J2087" s="13" t="n">
        <v>1702934</v>
      </c>
      <c r="L2087" s="13" t="n">
        <v>233729</v>
      </c>
      <c r="M2087" s="0" t="s">
        <v>52</v>
      </c>
      <c r="N2087" s="0" t="s">
        <v>45</v>
      </c>
      <c r="P2087" s="13" t="n">
        <v>113</v>
      </c>
      <c r="Q2087" s="0" t="s">
        <v>46</v>
      </c>
      <c r="R2087" s="0" t="s">
        <v>47</v>
      </c>
      <c r="S2087" s="13" t="n">
        <v>1130101</v>
      </c>
      <c r="T2087" s="0" t="s">
        <v>48</v>
      </c>
      <c r="U2087" s="15" t="n">
        <v>803.5</v>
      </c>
      <c r="W2087" s="15" t="n">
        <v>803.5</v>
      </c>
      <c r="X2087" s="0" t="s">
        <v>1761</v>
      </c>
      <c r="Z2087" s="0" t="str">
        <f aca="false">IF($T2087="","",IFERROR(INDEX('Resumo Grupos'!$AC$3:$AC$200,MATCH($T2087,'Resumo Grupos'!$AB$3:$AB$200,0)),"n/d"))</f>
        <v>Mercadoria</v>
      </c>
      <c r="AA2087" s="0" t="str">
        <f aca="false">IF($T2087="","",IF(COUNTIF('Resumo Grupos'!$AE$3:$AE$40,$T2087)&gt;0,"NAO","SIM"))</f>
        <v>SIM</v>
      </c>
      <c r="AB2087" s="0" t="str">
        <f aca="false">IFERROR(INDEX('Mov Entradas (Rel 10497)'!$L:$L,MATCH(AC2087,'Mov Entradas (Rel 10497)'!$I:$I,0)),"nao encontrado")</f>
        <v>COLA POLYTUBES ADESI</v>
      </c>
      <c r="AC2087" s="0" t="n">
        <v>11105</v>
      </c>
    </row>
    <row r="2088" customFormat="false" ht="12.75" hidden="false" customHeight="true" outlineLevel="0" collapsed="false">
      <c r="A2088" s="13" t="n">
        <v>2</v>
      </c>
      <c r="B2088" s="14" t="n">
        <v>46282</v>
      </c>
      <c r="C2088" s="14" t="n">
        <v>46282</v>
      </c>
      <c r="D2088" s="13" t="n">
        <v>10096</v>
      </c>
      <c r="E2088" s="0" t="s">
        <v>622</v>
      </c>
      <c r="F2088" s="13" t="n">
        <v>13</v>
      </c>
      <c r="G2088" s="0" t="s">
        <v>135</v>
      </c>
      <c r="H2088" s="13" t="n">
        <v>2110405</v>
      </c>
      <c r="I2088" s="0" t="s">
        <v>56</v>
      </c>
      <c r="J2088" s="13" t="n">
        <v>1719852</v>
      </c>
      <c r="L2088" s="13" t="n">
        <v>236439</v>
      </c>
      <c r="M2088" s="0" t="s">
        <v>52</v>
      </c>
      <c r="N2088" s="0" t="s">
        <v>45</v>
      </c>
      <c r="P2088" s="13" t="n">
        <v>113</v>
      </c>
      <c r="Q2088" s="0" t="s">
        <v>46</v>
      </c>
      <c r="R2088" s="0" t="s">
        <v>47</v>
      </c>
      <c r="S2088" s="13" t="n">
        <v>1130101</v>
      </c>
      <c r="T2088" s="0" t="s">
        <v>48</v>
      </c>
      <c r="U2088" s="15" t="n">
        <v>200</v>
      </c>
      <c r="W2088" s="15" t="n">
        <v>200</v>
      </c>
      <c r="X2088" s="0" t="s">
        <v>1762</v>
      </c>
      <c r="Z2088" s="0" t="str">
        <f aca="false">IF($T2088="","",IFERROR(INDEX('Resumo Grupos'!$AC$3:$AC$200,MATCH($T2088,'Resumo Grupos'!$AB$3:$AB$200,0)),"n/d"))</f>
        <v>Mercadoria</v>
      </c>
      <c r="AA2088" s="0" t="str">
        <f aca="false">IF($T2088="","",IF(COUNTIF('Resumo Grupos'!$AE$3:$AE$40,$T2088)&gt;0,"NAO","SIM"))</f>
        <v>SIM</v>
      </c>
      <c r="AB2088" s="0" t="str">
        <f aca="false">IFERROR(INDEX('Mov Entradas (Rel 10497)'!$L:$L,MATCH(AC2088,'Mov Entradas (Rel 10497)'!$I:$I,0)),"nao encontrado")</f>
        <v>OVOS BRANCO UNID</v>
      </c>
      <c r="AC2088" s="0" t="n">
        <v>304</v>
      </c>
    </row>
    <row r="2089" customFormat="false" ht="12.75" hidden="false" customHeight="true" outlineLevel="0" collapsed="false">
      <c r="A2089" s="13" t="n">
        <v>2</v>
      </c>
      <c r="B2089" s="14" t="n">
        <v>46275</v>
      </c>
      <c r="C2089" s="14" t="n">
        <v>46282</v>
      </c>
      <c r="D2089" s="13" t="n">
        <v>1665</v>
      </c>
      <c r="E2089" s="0" t="s">
        <v>554</v>
      </c>
      <c r="F2089" s="13" t="n">
        <v>24</v>
      </c>
      <c r="G2089" s="0" t="s">
        <v>51</v>
      </c>
      <c r="H2089" s="13" t="n">
        <v>2110405</v>
      </c>
      <c r="I2089" s="0" t="s">
        <v>56</v>
      </c>
      <c r="J2089" s="13" t="n">
        <v>1683173</v>
      </c>
      <c r="L2089" s="13" t="n">
        <v>231058</v>
      </c>
      <c r="M2089" s="0" t="s">
        <v>52</v>
      </c>
      <c r="N2089" s="0" t="s">
        <v>45</v>
      </c>
      <c r="P2089" s="13" t="n">
        <v>113</v>
      </c>
      <c r="Q2089" s="0" t="s">
        <v>46</v>
      </c>
      <c r="R2089" s="0" t="s">
        <v>47</v>
      </c>
      <c r="S2089" s="13" t="n">
        <v>1130101</v>
      </c>
      <c r="T2089" s="0" t="s">
        <v>48</v>
      </c>
      <c r="U2089" s="15" t="n">
        <v>243</v>
      </c>
      <c r="W2089" s="15" t="n">
        <v>243</v>
      </c>
      <c r="X2089" s="0" t="s">
        <v>1763</v>
      </c>
      <c r="Z2089" s="0" t="str">
        <f aca="false">IF($T2089="","",IFERROR(INDEX('Resumo Grupos'!$AC$3:$AC$200,MATCH($T2089,'Resumo Grupos'!$AB$3:$AB$200,0)),"n/d"))</f>
        <v>Mercadoria</v>
      </c>
      <c r="AA2089" s="0" t="str">
        <f aca="false">IF($T2089="","",IF(COUNTIF('Resumo Grupos'!$AE$3:$AE$40,$T2089)&gt;0,"NAO","SIM"))</f>
        <v>SIM</v>
      </c>
      <c r="AB2089" s="0" t="str">
        <f aca="false">IFERROR(INDEX('Mov Entradas (Rel 10497)'!$L:$L,MATCH(AC2089,'Mov Entradas (Rel 10497)'!$I:$I,0)),"nao encontrado")</f>
        <v>REQUEIJÃO CATUPIRY C</v>
      </c>
      <c r="AC2089" s="0" t="n">
        <v>138039</v>
      </c>
    </row>
    <row r="2090" customFormat="false" ht="12.75" hidden="false" customHeight="true" outlineLevel="0" collapsed="false">
      <c r="A2090" s="13" t="n">
        <v>2</v>
      </c>
      <c r="B2090" s="14" t="n">
        <v>46279</v>
      </c>
      <c r="C2090" s="14" t="n">
        <v>46282</v>
      </c>
      <c r="D2090" s="13" t="n">
        <v>1263</v>
      </c>
      <c r="E2090" s="0" t="s">
        <v>666</v>
      </c>
      <c r="F2090" s="13" t="n">
        <v>24</v>
      </c>
      <c r="G2090" s="0" t="s">
        <v>51</v>
      </c>
      <c r="H2090" s="13" t="n">
        <v>2110405</v>
      </c>
      <c r="I2090" s="0" t="s">
        <v>56</v>
      </c>
      <c r="J2090" s="13" t="n">
        <v>1702910</v>
      </c>
      <c r="L2090" s="13" t="n">
        <v>233724</v>
      </c>
      <c r="M2090" s="0" t="s">
        <v>52</v>
      </c>
      <c r="N2090" s="0" t="s">
        <v>45</v>
      </c>
      <c r="P2090" s="13" t="n">
        <v>113</v>
      </c>
      <c r="Q2090" s="0" t="s">
        <v>46</v>
      </c>
      <c r="R2090" s="0" t="s">
        <v>47</v>
      </c>
      <c r="S2090" s="13" t="n">
        <v>1130101</v>
      </c>
      <c r="T2090" s="0" t="s">
        <v>48</v>
      </c>
      <c r="U2090" s="15" t="n">
        <v>571.91</v>
      </c>
      <c r="W2090" s="15" t="n">
        <v>571.91</v>
      </c>
      <c r="X2090" s="0" t="s">
        <v>1764</v>
      </c>
      <c r="Z2090" s="0" t="str">
        <f aca="false">IF($T2090="","",IFERROR(INDEX('Resumo Grupos'!$AC$3:$AC$200,MATCH($T2090,'Resumo Grupos'!$AB$3:$AB$200,0)),"n/d"))</f>
        <v>Mercadoria</v>
      </c>
      <c r="AA2090" s="0" t="str">
        <f aca="false">IF($T2090="","",IF(COUNTIF('Resumo Grupos'!$AE$3:$AE$40,$T2090)&gt;0,"NAO","SIM"))</f>
        <v>SIM</v>
      </c>
      <c r="AB2090" s="0" t="str">
        <f aca="false">IFERROR(INDEX('Mov Entradas (Rel 10497)'!$L:$L,MATCH(AC2090,'Mov Entradas (Rel 10497)'!$I:$I,0)),"nao encontrado")</f>
        <v>MANGUEIRA JARDIM TRANC VERDE C/ 10M PLAS</v>
      </c>
      <c r="AC2090" s="0" t="n">
        <v>994</v>
      </c>
    </row>
    <row r="2091" customFormat="false" ht="12.75" hidden="false" customHeight="true" outlineLevel="0" collapsed="false">
      <c r="A2091" s="13" t="n">
        <v>2</v>
      </c>
      <c r="B2091" s="14" t="n">
        <v>46276</v>
      </c>
      <c r="C2091" s="14" t="n">
        <v>46282</v>
      </c>
      <c r="D2091" s="13" t="n">
        <v>1328</v>
      </c>
      <c r="E2091" s="0" t="s">
        <v>95</v>
      </c>
      <c r="F2091" s="13" t="n">
        <v>24</v>
      </c>
      <c r="G2091" s="0" t="s">
        <v>51</v>
      </c>
      <c r="H2091" s="13" t="n">
        <v>2110405</v>
      </c>
      <c r="I2091" s="0" t="s">
        <v>56</v>
      </c>
      <c r="J2091" s="13" t="n">
        <v>1687537</v>
      </c>
      <c r="L2091" s="13" t="n">
        <v>231743</v>
      </c>
      <c r="M2091" s="0" t="s">
        <v>52</v>
      </c>
      <c r="N2091" s="0" t="s">
        <v>45</v>
      </c>
      <c r="P2091" s="13" t="n">
        <v>113</v>
      </c>
      <c r="Q2091" s="0" t="s">
        <v>46</v>
      </c>
      <c r="R2091" s="0" t="s">
        <v>47</v>
      </c>
      <c r="S2091" s="13" t="n">
        <v>1130101</v>
      </c>
      <c r="T2091" s="0" t="s">
        <v>48</v>
      </c>
      <c r="U2091" s="15" t="n">
        <v>212.1</v>
      </c>
      <c r="W2091" s="15" t="n">
        <v>212.1</v>
      </c>
      <c r="X2091" s="0" t="s">
        <v>1765</v>
      </c>
      <c r="Z2091" s="0" t="str">
        <f aca="false">IF($T2091="","",IFERROR(INDEX('Resumo Grupos'!$AC$3:$AC$200,MATCH($T2091,'Resumo Grupos'!$AB$3:$AB$200,0)),"n/d"))</f>
        <v>Mercadoria</v>
      </c>
      <c r="AA2091" s="0" t="str">
        <f aca="false">IF($T2091="","",IF(COUNTIF('Resumo Grupos'!$AE$3:$AE$40,$T2091)&gt;0,"NAO","SIM"))</f>
        <v>SIM</v>
      </c>
      <c r="AB2091" s="0" t="str">
        <f aca="false">IFERROR(INDEX('Mov Entradas (Rel 10497)'!$L:$L,MATCH(AC2091,'Mov Entradas (Rel 10497)'!$I:$I,0)),"nao encontrado")</f>
        <v>PAO DE KIKAO 10</v>
      </c>
      <c r="AC2091" s="0" t="n">
        <v>4614</v>
      </c>
    </row>
    <row r="2092" customFormat="false" ht="12.75" hidden="false" customHeight="true" outlineLevel="0" collapsed="false">
      <c r="A2092" s="13" t="n">
        <v>2</v>
      </c>
      <c r="B2092" s="14" t="n">
        <v>46248</v>
      </c>
      <c r="C2092" s="14" t="n">
        <v>46282</v>
      </c>
      <c r="D2092" s="13" t="n">
        <v>10011</v>
      </c>
      <c r="E2092" s="0" t="s">
        <v>349</v>
      </c>
      <c r="F2092" s="13" t="n">
        <v>24</v>
      </c>
      <c r="G2092" s="0" t="s">
        <v>51</v>
      </c>
      <c r="H2092" s="13" t="n">
        <v>2110405</v>
      </c>
      <c r="I2092" s="0" t="s">
        <v>56</v>
      </c>
      <c r="J2092" s="13" t="n">
        <v>1545976</v>
      </c>
      <c r="L2092" s="13" t="n">
        <v>211185</v>
      </c>
      <c r="M2092" s="0" t="s">
        <v>52</v>
      </c>
      <c r="N2092" s="0" t="s">
        <v>45</v>
      </c>
      <c r="P2092" s="13" t="n">
        <v>113</v>
      </c>
      <c r="Q2092" s="0" t="s">
        <v>46</v>
      </c>
      <c r="R2092" s="0" t="s">
        <v>47</v>
      </c>
      <c r="S2092" s="13" t="n">
        <v>1130101</v>
      </c>
      <c r="T2092" s="0" t="s">
        <v>48</v>
      </c>
      <c r="U2092" s="15" t="n">
        <v>685.15</v>
      </c>
      <c r="W2092" s="15" t="n">
        <v>685.15</v>
      </c>
      <c r="X2092" s="0" t="s">
        <v>1766</v>
      </c>
      <c r="Z2092" s="0" t="str">
        <f aca="false">IF($T2092="","",IFERROR(INDEX('Resumo Grupos'!$AC$3:$AC$200,MATCH($T2092,'Resumo Grupos'!$AB$3:$AB$200,0)),"n/d"))</f>
        <v>Mercadoria</v>
      </c>
      <c r="AA2092" s="0" t="str">
        <f aca="false">IF($T2092="","",IF(COUNTIF('Resumo Grupos'!$AE$3:$AE$40,$T2092)&gt;0,"NAO","SIM"))</f>
        <v>SIM</v>
      </c>
      <c r="AB2092" s="0" t="str">
        <f aca="false">IFERROR(INDEX('Mov Entradas (Rel 10497)'!$L:$L,MATCH(AC2092,'Mov Entradas (Rel 10497)'!$I:$I,0)),"nao encontrado")</f>
        <v>RACAO GP ADU CARNE E ARROZ KG</v>
      </c>
      <c r="AC2092" s="0" t="n">
        <v>35161</v>
      </c>
    </row>
    <row r="2093" customFormat="false" ht="12.75" hidden="false" customHeight="true" outlineLevel="0" collapsed="false">
      <c r="A2093" s="13" t="n">
        <v>2</v>
      </c>
      <c r="B2093" s="14" t="n">
        <v>46275</v>
      </c>
      <c r="C2093" s="14" t="n">
        <v>46282</v>
      </c>
      <c r="D2093" s="13" t="n">
        <v>1024</v>
      </c>
      <c r="E2093" s="0" t="s">
        <v>471</v>
      </c>
      <c r="F2093" s="13" t="n">
        <v>24</v>
      </c>
      <c r="G2093" s="0" t="s">
        <v>51</v>
      </c>
      <c r="H2093" s="13" t="n">
        <v>2110405</v>
      </c>
      <c r="I2093" s="0" t="s">
        <v>56</v>
      </c>
      <c r="J2093" s="13" t="n">
        <v>1682595</v>
      </c>
      <c r="L2093" s="13" t="n">
        <v>230982</v>
      </c>
      <c r="M2093" s="0" t="s">
        <v>52</v>
      </c>
      <c r="N2093" s="0" t="s">
        <v>45</v>
      </c>
      <c r="P2093" s="13" t="n">
        <v>113</v>
      </c>
      <c r="Q2093" s="0" t="s">
        <v>46</v>
      </c>
      <c r="R2093" s="0" t="s">
        <v>47</v>
      </c>
      <c r="S2093" s="13" t="n">
        <v>1130101</v>
      </c>
      <c r="T2093" s="0" t="s">
        <v>48</v>
      </c>
      <c r="U2093" s="15" t="n">
        <v>362</v>
      </c>
      <c r="W2093" s="15" t="n">
        <v>362</v>
      </c>
      <c r="X2093" s="0" t="s">
        <v>1767</v>
      </c>
      <c r="Z2093" s="0" t="str">
        <f aca="false">IF($T2093="","",IFERROR(INDEX('Resumo Grupos'!$AC$3:$AC$200,MATCH($T2093,'Resumo Grupos'!$AB$3:$AB$200,0)),"n/d"))</f>
        <v>Mercadoria</v>
      </c>
      <c r="AA2093" s="0" t="str">
        <f aca="false">IF($T2093="","",IF(COUNTIF('Resumo Grupos'!$AE$3:$AE$40,$T2093)&gt;0,"NAO","SIM"))</f>
        <v>SIM</v>
      </c>
      <c r="AB2093" s="0" t="str">
        <f aca="false">IFERROR(INDEX('Mov Entradas (Rel 10497)'!$L:$L,MATCH(AC2093,'Mov Entradas (Rel 10497)'!$I:$I,0)),"nao encontrado")</f>
        <v>REAL CLASSICO 2L PET</v>
      </c>
      <c r="AC2093" s="0" t="n">
        <v>639283</v>
      </c>
    </row>
    <row r="2094" customFormat="false" ht="12.75" hidden="false" customHeight="true" outlineLevel="0" collapsed="false">
      <c r="A2094" s="13" t="n">
        <v>2</v>
      </c>
      <c r="B2094" s="14" t="n">
        <v>46282</v>
      </c>
      <c r="C2094" s="14" t="n">
        <v>46282</v>
      </c>
      <c r="D2094" s="13" t="n">
        <v>0</v>
      </c>
      <c r="E2094" s="0" t="s">
        <v>109</v>
      </c>
      <c r="F2094" s="13" t="n">
        <v>17</v>
      </c>
      <c r="G2094" s="0" t="s">
        <v>110</v>
      </c>
      <c r="H2094" s="13" t="n">
        <v>1110101</v>
      </c>
      <c r="I2094" s="0" t="s">
        <v>111</v>
      </c>
      <c r="J2094" s="13" t="n">
        <v>1719856</v>
      </c>
      <c r="L2094" s="13" t="n">
        <v>1719856</v>
      </c>
      <c r="M2094" s="0" t="s">
        <v>52</v>
      </c>
      <c r="N2094" s="0" t="s">
        <v>112</v>
      </c>
      <c r="P2094" s="13" t="n">
        <v>113</v>
      </c>
      <c r="Q2094" s="0" t="s">
        <v>46</v>
      </c>
      <c r="R2094" s="0" t="s">
        <v>56</v>
      </c>
      <c r="S2094" s="13" t="n">
        <v>2110405</v>
      </c>
      <c r="T2094" s="0" t="s">
        <v>56</v>
      </c>
      <c r="U2094" s="15" t="n">
        <v>200</v>
      </c>
      <c r="W2094" s="15" t="n">
        <v>200</v>
      </c>
      <c r="X2094" s="0" t="s">
        <v>1768</v>
      </c>
      <c r="Z2094" s="0" t="str">
        <f aca="false">IF($T2094="","",IFERROR(INDEX('Resumo Grupos'!$AC$3:$AC$200,MATCH($T2094,'Resumo Grupos'!$AB$3:$AB$200,0)),"n/d"))</f>
        <v>Cobertura de conta</v>
      </c>
      <c r="AA2094" s="0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3" t="n">
        <v>2</v>
      </c>
      <c r="B2095" s="14" t="n">
        <v>46282</v>
      </c>
      <c r="C2095" s="14" t="n">
        <v>46282</v>
      </c>
      <c r="D2095" s="13" t="n">
        <v>0</v>
      </c>
      <c r="E2095" s="0" t="s">
        <v>109</v>
      </c>
      <c r="F2095" s="13" t="n">
        <v>17</v>
      </c>
      <c r="G2095" s="0" t="s">
        <v>110</v>
      </c>
      <c r="H2095" s="13" t="n">
        <v>1110101</v>
      </c>
      <c r="I2095" s="0" t="s">
        <v>111</v>
      </c>
      <c r="J2095" s="13" t="n">
        <v>1719859</v>
      </c>
      <c r="L2095" s="13" t="n">
        <v>1719859</v>
      </c>
      <c r="M2095" s="0" t="s">
        <v>52</v>
      </c>
      <c r="N2095" s="0" t="s">
        <v>112</v>
      </c>
      <c r="P2095" s="13" t="n">
        <v>113</v>
      </c>
      <c r="Q2095" s="0" t="s">
        <v>46</v>
      </c>
      <c r="R2095" s="0" t="s">
        <v>71</v>
      </c>
      <c r="S2095" s="13" t="n">
        <v>4210314</v>
      </c>
      <c r="T2095" s="0" t="s">
        <v>113</v>
      </c>
      <c r="U2095" s="15" t="n">
        <v>50</v>
      </c>
      <c r="W2095" s="15" t="n">
        <v>50</v>
      </c>
      <c r="X2095" s="0" t="s">
        <v>368</v>
      </c>
      <c r="Z2095" s="0" t="str">
        <f aca="false">IF($T2095="","",IFERROR(INDEX('Resumo Grupos'!$AC$3:$AC$200,MATCH($T2095,'Resumo Grupos'!$AB$3:$AB$200,0)),"n/d"))</f>
        <v>Despesa</v>
      </c>
      <c r="AA2095" s="0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3" t="n">
        <v>2</v>
      </c>
      <c r="B2096" s="14" t="n">
        <v>46282</v>
      </c>
      <c r="C2096" s="14" t="n">
        <v>46282</v>
      </c>
      <c r="D2096" s="13" t="n">
        <v>0</v>
      </c>
      <c r="E2096" s="0" t="s">
        <v>109</v>
      </c>
      <c r="F2096" s="13" t="n">
        <v>17</v>
      </c>
      <c r="G2096" s="0" t="s">
        <v>110</v>
      </c>
      <c r="H2096" s="13" t="n">
        <v>1110101</v>
      </c>
      <c r="I2096" s="0" t="s">
        <v>111</v>
      </c>
      <c r="J2096" s="13" t="n">
        <v>1719861</v>
      </c>
      <c r="L2096" s="13" t="n">
        <v>1719861</v>
      </c>
      <c r="M2096" s="0" t="s">
        <v>52</v>
      </c>
      <c r="N2096" s="0" t="s">
        <v>112</v>
      </c>
      <c r="P2096" s="13" t="n">
        <v>113</v>
      </c>
      <c r="Q2096" s="0" t="s">
        <v>46</v>
      </c>
      <c r="R2096" s="0" t="s">
        <v>71</v>
      </c>
      <c r="S2096" s="13" t="n">
        <v>4210314</v>
      </c>
      <c r="T2096" s="0" t="s">
        <v>113</v>
      </c>
      <c r="U2096" s="15" t="n">
        <v>100</v>
      </c>
      <c r="W2096" s="15" t="n">
        <v>100</v>
      </c>
      <c r="X2096" s="0" t="s">
        <v>1706</v>
      </c>
      <c r="Z2096" s="0" t="str">
        <f aca="false">IF($T2096="","",IFERROR(INDEX('Resumo Grupos'!$AC$3:$AC$200,MATCH($T2096,'Resumo Grupos'!$AB$3:$AB$200,0)),"n/d"))</f>
        <v>Despesa</v>
      </c>
      <c r="AA2096" s="0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3" t="n">
        <v>2</v>
      </c>
      <c r="B2097" s="14" t="n">
        <v>46282</v>
      </c>
      <c r="C2097" s="14" t="n">
        <v>46282</v>
      </c>
      <c r="D2097" s="13" t="n">
        <v>0</v>
      </c>
      <c r="E2097" s="0" t="s">
        <v>109</v>
      </c>
      <c r="F2097" s="13" t="n">
        <v>17</v>
      </c>
      <c r="G2097" s="0" t="s">
        <v>110</v>
      </c>
      <c r="H2097" s="13" t="n">
        <v>1110101</v>
      </c>
      <c r="I2097" s="0" t="s">
        <v>111</v>
      </c>
      <c r="J2097" s="13" t="n">
        <v>1719863</v>
      </c>
      <c r="L2097" s="13" t="n">
        <v>1719863</v>
      </c>
      <c r="M2097" s="0" t="s">
        <v>52</v>
      </c>
      <c r="N2097" s="0" t="s">
        <v>112</v>
      </c>
      <c r="P2097" s="13" t="n">
        <v>113</v>
      </c>
      <c r="Q2097" s="0" t="s">
        <v>46</v>
      </c>
      <c r="R2097" s="0" t="s">
        <v>71</v>
      </c>
      <c r="S2097" s="13" t="n">
        <v>4210309</v>
      </c>
      <c r="T2097" s="0" t="s">
        <v>72</v>
      </c>
      <c r="U2097" s="15" t="n">
        <v>10</v>
      </c>
      <c r="W2097" s="15" t="n">
        <v>10</v>
      </c>
      <c r="X2097" s="0" t="s">
        <v>1552</v>
      </c>
      <c r="Z2097" s="0" t="str">
        <f aca="false">IF($T2097="","",IFERROR(INDEX('Resumo Grupos'!$AC$3:$AC$200,MATCH($T2097,'Resumo Grupos'!$AB$3:$AB$200,0)),"n/d"))</f>
        <v>Salários</v>
      </c>
      <c r="AA2097" s="0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3" t="n">
        <v>2</v>
      </c>
      <c r="B2098" s="14" t="n">
        <v>46282</v>
      </c>
      <c r="C2098" s="14" t="n">
        <v>46282</v>
      </c>
      <c r="D2098" s="13" t="n">
        <v>0</v>
      </c>
      <c r="E2098" s="0" t="s">
        <v>109</v>
      </c>
      <c r="F2098" s="13" t="n">
        <v>17</v>
      </c>
      <c r="G2098" s="0" t="s">
        <v>110</v>
      </c>
      <c r="H2098" s="13" t="n">
        <v>1110101</v>
      </c>
      <c r="I2098" s="0" t="s">
        <v>111</v>
      </c>
      <c r="J2098" s="13" t="n">
        <v>1719865</v>
      </c>
      <c r="L2098" s="13" t="n">
        <v>1719865</v>
      </c>
      <c r="M2098" s="0" t="s">
        <v>52</v>
      </c>
      <c r="N2098" s="0" t="s">
        <v>112</v>
      </c>
      <c r="P2098" s="13" t="n">
        <v>113</v>
      </c>
      <c r="Q2098" s="0" t="s">
        <v>46</v>
      </c>
      <c r="R2098" s="0" t="s">
        <v>39</v>
      </c>
      <c r="S2098" s="13" t="n">
        <v>4210227</v>
      </c>
      <c r="T2098" s="0" t="s">
        <v>68</v>
      </c>
      <c r="U2098" s="15" t="n">
        <v>21</v>
      </c>
      <c r="W2098" s="15" t="n">
        <v>21</v>
      </c>
      <c r="X2098" s="0" t="s">
        <v>1769</v>
      </c>
      <c r="Z2098" s="0" t="str">
        <f aca="false">IF($T2098="","",IFERROR(INDEX('Resumo Grupos'!$AC$3:$AC$200,MATCH($T2098,'Resumo Grupos'!$AB$3:$AB$200,0)),"n/d"))</f>
        <v>Despesa</v>
      </c>
      <c r="AA2098" s="0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3" t="n">
        <v>2</v>
      </c>
      <c r="B2099" s="14" t="n">
        <v>46282</v>
      </c>
      <c r="C2099" s="14" t="n">
        <v>46282</v>
      </c>
      <c r="D2099" s="13" t="n">
        <v>0</v>
      </c>
      <c r="E2099" s="0" t="s">
        <v>109</v>
      </c>
      <c r="F2099" s="13" t="n">
        <v>17</v>
      </c>
      <c r="G2099" s="0" t="s">
        <v>110</v>
      </c>
      <c r="H2099" s="13" t="n">
        <v>1110101</v>
      </c>
      <c r="I2099" s="0" t="s">
        <v>111</v>
      </c>
      <c r="J2099" s="13" t="n">
        <v>1719866</v>
      </c>
      <c r="L2099" s="13" t="n">
        <v>1719866</v>
      </c>
      <c r="M2099" s="0" t="s">
        <v>52</v>
      </c>
      <c r="N2099" s="0" t="s">
        <v>112</v>
      </c>
      <c r="P2099" s="13" t="n">
        <v>113</v>
      </c>
      <c r="Q2099" s="0" t="s">
        <v>46</v>
      </c>
      <c r="R2099" s="0" t="s">
        <v>47</v>
      </c>
      <c r="S2099" s="13" t="n">
        <v>1130101</v>
      </c>
      <c r="T2099" s="0" t="s">
        <v>48</v>
      </c>
      <c r="U2099" s="15" t="n">
        <v>200</v>
      </c>
      <c r="W2099" s="15" t="n">
        <v>200</v>
      </c>
      <c r="X2099" s="0" t="s">
        <v>1770</v>
      </c>
      <c r="Z2099" s="0" t="str">
        <f aca="false">IF($T2099="","",IFERROR(INDEX('Resumo Grupos'!$AC$3:$AC$200,MATCH($T2099,'Resumo Grupos'!$AB$3:$AB$200,0)),"n/d"))</f>
        <v>Mercadoria</v>
      </c>
      <c r="AA2099" s="0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3" t="n">
        <v>2</v>
      </c>
      <c r="B2100" s="14" t="n">
        <v>46268</v>
      </c>
      <c r="C2100" s="14" t="n">
        <v>46282</v>
      </c>
      <c r="D2100" s="13" t="n">
        <v>1666</v>
      </c>
      <c r="E2100" s="0" t="s">
        <v>266</v>
      </c>
      <c r="F2100" s="13" t="n">
        <v>24</v>
      </c>
      <c r="G2100" s="0" t="s">
        <v>51</v>
      </c>
      <c r="H2100" s="13" t="n">
        <v>2110405</v>
      </c>
      <c r="I2100" s="0" t="s">
        <v>56</v>
      </c>
      <c r="J2100" s="13" t="n">
        <v>1647469</v>
      </c>
      <c r="L2100" s="13" t="n">
        <v>226240</v>
      </c>
      <c r="M2100" s="0" t="s">
        <v>52</v>
      </c>
      <c r="N2100" s="0" t="s">
        <v>45</v>
      </c>
      <c r="P2100" s="13" t="n">
        <v>113</v>
      </c>
      <c r="Q2100" s="0" t="s">
        <v>46</v>
      </c>
      <c r="R2100" s="0" t="s">
        <v>47</v>
      </c>
      <c r="S2100" s="13" t="n">
        <v>1130101</v>
      </c>
      <c r="T2100" s="0" t="s">
        <v>48</v>
      </c>
      <c r="U2100" s="15" t="n">
        <v>4761.77</v>
      </c>
      <c r="W2100" s="15" t="n">
        <v>4761.77</v>
      </c>
      <c r="X2100" s="0" t="s">
        <v>1771</v>
      </c>
      <c r="Z2100" s="0" t="str">
        <f aca="false">IF($T2100="","",IFERROR(INDEX('Resumo Grupos'!$AC$3:$AC$200,MATCH($T2100,'Resumo Grupos'!$AB$3:$AB$200,0)),"n/d"))</f>
        <v>Mercadoria</v>
      </c>
      <c r="AA2100" s="0" t="str">
        <f aca="false">IF($T2100="","",IF(COUNTIF('Resumo Grupos'!$AE$3:$AE$40,$T2100)&gt;0,"NAO","SIM"))</f>
        <v>SIM</v>
      </c>
      <c r="AB2100" s="0" t="str">
        <f aca="false">IFERROR(INDEX('Mov Entradas (Rel 10497)'!$L:$L,MATCH(AC2100,'Mov Entradas (Rel 10497)'!$I:$I,0)),"nao encontrado")</f>
        <v>ISQUEIRO BIC G</v>
      </c>
      <c r="AC2100" s="0" t="n">
        <v>572518</v>
      </c>
    </row>
    <row r="2101" customFormat="false" ht="12.75" hidden="false" customHeight="true" outlineLevel="0" collapsed="false">
      <c r="A2101" s="13" t="n">
        <v>2</v>
      </c>
      <c r="B2101" s="14" t="n">
        <v>46252</v>
      </c>
      <c r="C2101" s="14" t="n">
        <v>46282</v>
      </c>
      <c r="D2101" s="13" t="n">
        <v>1671</v>
      </c>
      <c r="E2101" s="0" t="s">
        <v>119</v>
      </c>
      <c r="F2101" s="13" t="n">
        <v>24</v>
      </c>
      <c r="G2101" s="0" t="s">
        <v>51</v>
      </c>
      <c r="H2101" s="13" t="n">
        <v>2110405</v>
      </c>
      <c r="I2101" s="0" t="s">
        <v>56</v>
      </c>
      <c r="J2101" s="13" t="n">
        <v>1567135</v>
      </c>
      <c r="L2101" s="13" t="n">
        <v>213986</v>
      </c>
      <c r="M2101" s="0" t="s">
        <v>52</v>
      </c>
      <c r="N2101" s="0" t="s">
        <v>45</v>
      </c>
      <c r="P2101" s="13" t="n">
        <v>113</v>
      </c>
      <c r="Q2101" s="0" t="s">
        <v>46</v>
      </c>
      <c r="R2101" s="0" t="s">
        <v>47</v>
      </c>
      <c r="S2101" s="13" t="n">
        <v>1130101</v>
      </c>
      <c r="T2101" s="0" t="s">
        <v>48</v>
      </c>
      <c r="U2101" s="15" t="n">
        <v>793.81</v>
      </c>
      <c r="W2101" s="15" t="n">
        <v>793.81</v>
      </c>
      <c r="X2101" s="0" t="s">
        <v>1469</v>
      </c>
      <c r="Z2101" s="0" t="str">
        <f aca="false">IF($T2101="","",IFERROR(INDEX('Resumo Grupos'!$AC$3:$AC$200,MATCH($T2101,'Resumo Grupos'!$AB$3:$AB$200,0)),"n/d"))</f>
        <v>Mercadoria</v>
      </c>
      <c r="AA2101" s="0" t="str">
        <f aca="false">IF($T2101="","",IF(COUNTIF('Resumo Grupos'!$AE$3:$AE$40,$T2101)&gt;0,"NAO","SIM"))</f>
        <v>SIM</v>
      </c>
      <c r="AB2101" s="0" t="str">
        <f aca="false">IFERROR(INDEX('Mov Entradas (Rel 10497)'!$L:$L,MATCH(AC2101,'Mov Entradas (Rel 10497)'!$I:$I,0)),"nao encontrado")</f>
        <v>SAB LIQ PROTEX CREAM</v>
      </c>
      <c r="AC2101" s="0" t="n">
        <v>586415</v>
      </c>
    </row>
    <row r="2102" customFormat="false" ht="12.75" hidden="false" customHeight="true" outlineLevel="0" collapsed="false">
      <c r="A2102" s="13" t="n">
        <v>2</v>
      </c>
      <c r="B2102" s="14" t="n">
        <v>46256</v>
      </c>
      <c r="C2102" s="14" t="n">
        <v>46282</v>
      </c>
      <c r="D2102" s="13" t="n">
        <v>1745</v>
      </c>
      <c r="E2102" s="0" t="s">
        <v>189</v>
      </c>
      <c r="F2102" s="13" t="n">
        <v>24</v>
      </c>
      <c r="G2102" s="0" t="s">
        <v>51</v>
      </c>
      <c r="H2102" s="13" t="n">
        <v>2110405</v>
      </c>
      <c r="I2102" s="0" t="s">
        <v>56</v>
      </c>
      <c r="J2102" s="13" t="n">
        <v>1585080</v>
      </c>
      <c r="L2102" s="13" t="n">
        <v>216841</v>
      </c>
      <c r="M2102" s="0" t="s">
        <v>52</v>
      </c>
      <c r="N2102" s="0" t="s">
        <v>45</v>
      </c>
      <c r="P2102" s="13" t="n">
        <v>113</v>
      </c>
      <c r="Q2102" s="0" t="s">
        <v>46</v>
      </c>
      <c r="R2102" s="0" t="s">
        <v>47</v>
      </c>
      <c r="S2102" s="13" t="n">
        <v>1130101</v>
      </c>
      <c r="T2102" s="0" t="s">
        <v>48</v>
      </c>
      <c r="U2102" s="15" t="n">
        <v>182.82</v>
      </c>
      <c r="W2102" s="15" t="n">
        <v>182.82</v>
      </c>
      <c r="X2102" s="0" t="s">
        <v>1590</v>
      </c>
      <c r="Z2102" s="0" t="str">
        <f aca="false">IF($T2102="","",IFERROR(INDEX('Resumo Grupos'!$AC$3:$AC$200,MATCH($T2102,'Resumo Grupos'!$AB$3:$AB$200,0)),"n/d"))</f>
        <v>Mercadoria</v>
      </c>
      <c r="AA2102" s="0" t="str">
        <f aca="false">IF($T2102="","",IF(COUNTIF('Resumo Grupos'!$AE$3:$AE$40,$T2102)&gt;0,"NAO","SIM"))</f>
        <v>SIM</v>
      </c>
      <c r="AB2102" s="0" t="str">
        <f aca="false">IFERROR(INDEX('Mov Entradas (Rel 10497)'!$L:$L,MATCH(AC2102,'Mov Entradas (Rel 10497)'!$I:$I,0)),"nao encontrado")</f>
        <v>MILHO PIPOCA DONA CLARA 400G</v>
      </c>
      <c r="AC2102" s="0" t="n">
        <v>357892</v>
      </c>
    </row>
    <row r="2103" customFormat="false" ht="12.75" hidden="false" customHeight="true" outlineLevel="0" collapsed="false">
      <c r="A2103" s="13" t="n">
        <v>2</v>
      </c>
      <c r="B2103" s="14" t="n">
        <v>46280</v>
      </c>
      <c r="C2103" s="14" t="n">
        <v>46283</v>
      </c>
      <c r="D2103" s="13" t="n">
        <v>10018</v>
      </c>
      <c r="E2103" s="0" t="s">
        <v>216</v>
      </c>
      <c r="F2103" s="13" t="n">
        <v>34</v>
      </c>
      <c r="G2103" s="0" t="s">
        <v>55</v>
      </c>
      <c r="H2103" s="13" t="n">
        <v>2110405</v>
      </c>
      <c r="I2103" s="0" t="s">
        <v>56</v>
      </c>
      <c r="J2103" s="13" t="n">
        <v>1706655</v>
      </c>
      <c r="L2103" s="13" t="n">
        <v>234344</v>
      </c>
      <c r="M2103" s="0" t="s">
        <v>52</v>
      </c>
      <c r="N2103" s="0" t="s">
        <v>45</v>
      </c>
      <c r="P2103" s="13" t="n">
        <v>113</v>
      </c>
      <c r="Q2103" s="0" t="s">
        <v>46</v>
      </c>
      <c r="R2103" s="0" t="s">
        <v>47</v>
      </c>
      <c r="S2103" s="13" t="n">
        <v>1130101</v>
      </c>
      <c r="T2103" s="0" t="s">
        <v>48</v>
      </c>
      <c r="U2103" s="15" t="n">
        <v>769.5</v>
      </c>
      <c r="W2103" s="15" t="n">
        <v>769.5</v>
      </c>
      <c r="X2103" s="0" t="s">
        <v>1772</v>
      </c>
      <c r="Z2103" s="0" t="str">
        <f aca="false">IF($T2103="","",IFERROR(INDEX('Resumo Grupos'!$AC$3:$AC$200,MATCH($T2103,'Resumo Grupos'!$AB$3:$AB$200,0)),"n/d"))</f>
        <v>Mercadoria</v>
      </c>
      <c r="AA2103" s="0" t="str">
        <f aca="false">IF($T2103="","",IF(COUNTIF('Resumo Grupos'!$AE$3:$AE$40,$T2103)&gt;0,"NAO","SIM"))</f>
        <v>SIM</v>
      </c>
      <c r="AB2103" s="0" t="str">
        <f aca="false">IFERROR(INDEX('Mov Entradas (Rel 10497)'!$L:$L,MATCH(AC2103,'Mov Entradas (Rel 10497)'!$I:$I,0)),"nao encontrado")</f>
        <v>OVOS BRANCO UNID</v>
      </c>
      <c r="AC2103" s="0" t="n">
        <v>383</v>
      </c>
    </row>
    <row r="2104" customFormat="false" ht="12.75" hidden="false" customHeight="true" outlineLevel="0" collapsed="false">
      <c r="A2104" s="13" t="n">
        <v>2</v>
      </c>
      <c r="B2104" s="14" t="n">
        <v>46273</v>
      </c>
      <c r="C2104" s="14" t="n">
        <v>46283</v>
      </c>
      <c r="D2104" s="13" t="n">
        <v>1695</v>
      </c>
      <c r="E2104" s="0" t="s">
        <v>390</v>
      </c>
      <c r="F2104" s="13" t="n">
        <v>24</v>
      </c>
      <c r="G2104" s="0" t="s">
        <v>51</v>
      </c>
      <c r="H2104" s="13" t="n">
        <v>2110405</v>
      </c>
      <c r="I2104" s="0" t="s">
        <v>56</v>
      </c>
      <c r="J2104" s="13" t="n">
        <v>1673933</v>
      </c>
      <c r="L2104" s="13" t="n">
        <v>229538</v>
      </c>
      <c r="M2104" s="0" t="s">
        <v>52</v>
      </c>
      <c r="N2104" s="0" t="s">
        <v>45</v>
      </c>
      <c r="P2104" s="13" t="n">
        <v>113</v>
      </c>
      <c r="Q2104" s="0" t="s">
        <v>46</v>
      </c>
      <c r="R2104" s="0" t="s">
        <v>47</v>
      </c>
      <c r="S2104" s="13" t="n">
        <v>1130101</v>
      </c>
      <c r="T2104" s="0" t="s">
        <v>48</v>
      </c>
      <c r="U2104" s="15" t="n">
        <v>860.51</v>
      </c>
      <c r="W2104" s="15" t="n">
        <v>860.51</v>
      </c>
      <c r="X2104" s="0" t="s">
        <v>1690</v>
      </c>
      <c r="Z2104" s="0" t="str">
        <f aca="false">IF($T2104="","",IFERROR(INDEX('Resumo Grupos'!$AC$3:$AC$200,MATCH($T2104,'Resumo Grupos'!$AB$3:$AB$200,0)),"n/d"))</f>
        <v>Mercadoria</v>
      </c>
      <c r="AA2104" s="0" t="str">
        <f aca="false">IF($T2104="","",IF(COUNTIF('Resumo Grupos'!$AE$3:$AE$40,$T2104)&gt;0,"NAO","SIM"))</f>
        <v>SIM</v>
      </c>
      <c r="AB2104" s="0" t="str">
        <f aca="false">IFERROR(INDEX('Mov Entradas (Rel 10497)'!$L:$L,MATCH(AC2104,'Mov Entradas (Rel 10497)'!$I:$I,0)),"nao encontrado")</f>
        <v>TRIGOLAR C/FERMENTO 1KG</v>
      </c>
      <c r="AC2104" s="0" t="n">
        <v>20278</v>
      </c>
    </row>
    <row r="2105" customFormat="false" ht="12.75" hidden="false" customHeight="true" outlineLevel="0" collapsed="false">
      <c r="A2105" s="13" t="n">
        <v>2</v>
      </c>
      <c r="B2105" s="14" t="n">
        <v>46276</v>
      </c>
      <c r="C2105" s="14" t="n">
        <v>46283</v>
      </c>
      <c r="D2105" s="13" t="n">
        <v>1642</v>
      </c>
      <c r="E2105" s="0" t="s">
        <v>228</v>
      </c>
      <c r="F2105" s="13" t="n">
        <v>24</v>
      </c>
      <c r="G2105" s="0" t="s">
        <v>51</v>
      </c>
      <c r="H2105" s="13" t="n">
        <v>2110405</v>
      </c>
      <c r="I2105" s="0" t="s">
        <v>56</v>
      </c>
      <c r="J2105" s="13" t="n">
        <v>1686368</v>
      </c>
      <c r="L2105" s="13" t="n">
        <v>231476</v>
      </c>
      <c r="M2105" s="0" t="s">
        <v>52</v>
      </c>
      <c r="N2105" s="0" t="s">
        <v>45</v>
      </c>
      <c r="P2105" s="13" t="n">
        <v>113</v>
      </c>
      <c r="Q2105" s="0" t="s">
        <v>46</v>
      </c>
      <c r="R2105" s="0" t="s">
        <v>47</v>
      </c>
      <c r="S2105" s="13" t="n">
        <v>1130101</v>
      </c>
      <c r="T2105" s="0" t="s">
        <v>48</v>
      </c>
      <c r="U2105" s="15" t="n">
        <v>311.8</v>
      </c>
      <c r="W2105" s="15" t="n">
        <v>311.8</v>
      </c>
      <c r="X2105" s="0" t="s">
        <v>1773</v>
      </c>
      <c r="Z2105" s="0" t="str">
        <f aca="false">IF($T2105="","",IFERROR(INDEX('Resumo Grupos'!$AC$3:$AC$200,MATCH($T2105,'Resumo Grupos'!$AB$3:$AB$200,0)),"n/d"))</f>
        <v>Mercadoria</v>
      </c>
      <c r="AA2105" s="0" t="str">
        <f aca="false">IF($T2105="","",IF(COUNTIF('Resumo Grupos'!$AE$3:$AE$40,$T2105)&gt;0,"NAO","SIM"))</f>
        <v>SIM</v>
      </c>
      <c r="AB2105" s="0" t="str">
        <f aca="false">IFERROR(INDEX('Mov Entradas (Rel 10497)'!$L:$L,MATCH(AC2105,'Mov Entradas (Rel 10497)'!$I:$I,0)),"nao encontrado")</f>
        <v>PAO DE FORMA BROTHER</v>
      </c>
      <c r="AC2105" s="0" t="n">
        <v>1041221</v>
      </c>
    </row>
    <row r="2106" customFormat="false" ht="12.75" hidden="false" customHeight="true" outlineLevel="0" collapsed="false">
      <c r="A2106" s="13" t="n">
        <v>2</v>
      </c>
      <c r="B2106" s="14" t="n">
        <v>46269</v>
      </c>
      <c r="C2106" s="14" t="n">
        <v>46283</v>
      </c>
      <c r="D2106" s="13" t="n">
        <v>1608</v>
      </c>
      <c r="E2106" s="0" t="s">
        <v>240</v>
      </c>
      <c r="F2106" s="13" t="n">
        <v>24</v>
      </c>
      <c r="G2106" s="0" t="s">
        <v>51</v>
      </c>
      <c r="H2106" s="13" t="n">
        <v>2110405</v>
      </c>
      <c r="I2106" s="0" t="s">
        <v>56</v>
      </c>
      <c r="J2106" s="13" t="n">
        <v>1653001</v>
      </c>
      <c r="L2106" s="13" t="n">
        <v>227088</v>
      </c>
      <c r="M2106" s="0" t="s">
        <v>52</v>
      </c>
      <c r="N2106" s="0" t="s">
        <v>45</v>
      </c>
      <c r="P2106" s="13" t="n">
        <v>113</v>
      </c>
      <c r="Q2106" s="0" t="s">
        <v>46</v>
      </c>
      <c r="R2106" s="0" t="s">
        <v>47</v>
      </c>
      <c r="S2106" s="13" t="n">
        <v>1130101</v>
      </c>
      <c r="T2106" s="0" t="s">
        <v>48</v>
      </c>
      <c r="U2106" s="15" t="n">
        <v>1333.11</v>
      </c>
      <c r="W2106" s="15" t="n">
        <v>1333.11</v>
      </c>
      <c r="X2106" s="0" t="s">
        <v>1774</v>
      </c>
      <c r="Z2106" s="0" t="str">
        <f aca="false">IF($T2106="","",IFERROR(INDEX('Resumo Grupos'!$AC$3:$AC$200,MATCH($T2106,'Resumo Grupos'!$AB$3:$AB$200,0)),"n/d"))</f>
        <v>Mercadoria</v>
      </c>
      <c r="AA2106" s="0" t="str">
        <f aca="false">IF($T2106="","",IF(COUNTIF('Resumo Grupos'!$AE$3:$AE$40,$T2106)&gt;0,"NAO","SIM"))</f>
        <v>SIM</v>
      </c>
      <c r="AB2106" s="0" t="str">
        <f aca="false">IFERROR(INDEX('Mov Entradas (Rel 10497)'!$L:$L,MATCH(AC2106,'Mov Entradas (Rel 10497)'!$I:$I,0)),"nao encontrado")</f>
        <v>ACHOC TODDY 200G</v>
      </c>
      <c r="AC2106" s="0" t="n">
        <v>1724435</v>
      </c>
    </row>
    <row r="2107" customFormat="false" ht="12.75" hidden="false" customHeight="true" outlineLevel="0" collapsed="false">
      <c r="A2107" s="13" t="n">
        <v>2</v>
      </c>
      <c r="B2107" s="14" t="n">
        <v>46265</v>
      </c>
      <c r="C2107" s="14" t="n">
        <v>46283</v>
      </c>
      <c r="D2107" s="13" t="n">
        <v>1616</v>
      </c>
      <c r="E2107" s="0" t="s">
        <v>64</v>
      </c>
      <c r="F2107" s="13" t="n">
        <v>24</v>
      </c>
      <c r="G2107" s="0" t="s">
        <v>51</v>
      </c>
      <c r="H2107" s="13" t="n">
        <v>2110405</v>
      </c>
      <c r="I2107" s="0" t="s">
        <v>56</v>
      </c>
      <c r="J2107" s="13" t="n">
        <v>1629536</v>
      </c>
      <c r="L2107" s="13" t="n">
        <v>223544</v>
      </c>
      <c r="M2107" s="0" t="s">
        <v>52</v>
      </c>
      <c r="N2107" s="0" t="s">
        <v>45</v>
      </c>
      <c r="P2107" s="13" t="n">
        <v>113</v>
      </c>
      <c r="Q2107" s="0" t="s">
        <v>46</v>
      </c>
      <c r="R2107" s="0" t="s">
        <v>47</v>
      </c>
      <c r="S2107" s="13" t="n">
        <v>1130101</v>
      </c>
      <c r="T2107" s="0" t="s">
        <v>48</v>
      </c>
      <c r="U2107" s="15" t="n">
        <v>610.19</v>
      </c>
      <c r="W2107" s="15" t="n">
        <v>610.19</v>
      </c>
      <c r="X2107" s="0" t="s">
        <v>1693</v>
      </c>
      <c r="Z2107" s="0" t="str">
        <f aca="false">IF($T2107="","",IFERROR(INDEX('Resumo Grupos'!$AC$3:$AC$200,MATCH($T2107,'Resumo Grupos'!$AB$3:$AB$200,0)),"n/d"))</f>
        <v>Mercadoria</v>
      </c>
      <c r="AA2107" s="0" t="str">
        <f aca="false">IF($T2107="","",IF(COUNTIF('Resumo Grupos'!$AE$3:$AE$40,$T2107)&gt;0,"NAO","SIM"))</f>
        <v>SIM</v>
      </c>
      <c r="AB2107" s="0" t="str">
        <f aca="false">IFERROR(INDEX('Mov Entradas (Rel 10497)'!$L:$L,MATCH(AC2107,'Mov Entradas (Rel 10497)'!$I:$I,0)),"nao encontrado")</f>
        <v>ESPONJA BRILHUS 1UNI</v>
      </c>
      <c r="AC2107" s="0" t="n">
        <v>656817</v>
      </c>
    </row>
    <row r="2108" customFormat="false" ht="12.75" hidden="false" customHeight="true" outlineLevel="0" collapsed="false">
      <c r="A2108" s="13" t="n">
        <v>2</v>
      </c>
      <c r="B2108" s="14" t="n">
        <v>46280</v>
      </c>
      <c r="C2108" s="14" t="n">
        <v>46283</v>
      </c>
      <c r="D2108" s="13" t="n">
        <v>1947</v>
      </c>
      <c r="E2108" s="0" t="s">
        <v>482</v>
      </c>
      <c r="F2108" s="13" t="n">
        <v>34</v>
      </c>
      <c r="G2108" s="0" t="s">
        <v>55</v>
      </c>
      <c r="H2108" s="13" t="n">
        <v>2110405</v>
      </c>
      <c r="I2108" s="0" t="s">
        <v>56</v>
      </c>
      <c r="J2108" s="13" t="n">
        <v>1572579</v>
      </c>
      <c r="L2108" s="13" t="n">
        <v>214849</v>
      </c>
      <c r="M2108" s="0" t="s">
        <v>44</v>
      </c>
      <c r="N2108" s="0" t="s">
        <v>45</v>
      </c>
      <c r="P2108" s="13" t="n">
        <v>101</v>
      </c>
      <c r="Q2108" s="0" t="s">
        <v>57</v>
      </c>
      <c r="R2108" s="0" t="s">
        <v>71</v>
      </c>
      <c r="S2108" s="13" t="n">
        <v>4210303</v>
      </c>
      <c r="T2108" s="0" t="s">
        <v>483</v>
      </c>
      <c r="U2108" s="15" t="n">
        <v>1175.04</v>
      </c>
      <c r="W2108" s="15" t="n">
        <v>1175.04</v>
      </c>
      <c r="X2108" s="0" t="s">
        <v>1775</v>
      </c>
      <c r="Z2108" s="0" t="str">
        <f aca="false">IF($T2108="","",IFERROR(INDEX('Resumo Grupos'!$AC$3:$AC$200,MATCH($T2108,'Resumo Grupos'!$AB$3:$AB$200,0)),"n/d"))</f>
        <v>Impostos</v>
      </c>
      <c r="AA2108" s="0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3" t="n">
        <v>2</v>
      </c>
      <c r="B2109" s="14" t="n">
        <v>46280</v>
      </c>
      <c r="C2109" s="14" t="n">
        <v>46283</v>
      </c>
      <c r="D2109" s="13" t="n">
        <v>1947</v>
      </c>
      <c r="E2109" s="0" t="s">
        <v>482</v>
      </c>
      <c r="F2109" s="13" t="n">
        <v>34</v>
      </c>
      <c r="G2109" s="0" t="s">
        <v>55</v>
      </c>
      <c r="H2109" s="13" t="n">
        <v>2110405</v>
      </c>
      <c r="I2109" s="0" t="s">
        <v>56</v>
      </c>
      <c r="J2109" s="13" t="n">
        <v>1572645</v>
      </c>
      <c r="L2109" s="13" t="n">
        <v>214863</v>
      </c>
      <c r="M2109" s="0" t="s">
        <v>44</v>
      </c>
      <c r="N2109" s="0" t="s">
        <v>45</v>
      </c>
      <c r="P2109" s="13" t="n">
        <v>101</v>
      </c>
      <c r="Q2109" s="0" t="s">
        <v>57</v>
      </c>
      <c r="R2109" s="0" t="s">
        <v>71</v>
      </c>
      <c r="S2109" s="13" t="n">
        <v>4210302</v>
      </c>
      <c r="T2109" s="0" t="s">
        <v>485</v>
      </c>
      <c r="U2109" s="15" t="n">
        <v>2886.06</v>
      </c>
      <c r="W2109" s="15" t="n">
        <v>2886.06</v>
      </c>
      <c r="X2109" s="0" t="s">
        <v>1776</v>
      </c>
      <c r="Z2109" s="0" t="str">
        <f aca="false">IF($T2109="","",IFERROR(INDEX('Resumo Grupos'!$AC$3:$AC$200,MATCH($T2109,'Resumo Grupos'!$AB$3:$AB$200,0)),"n/d"))</f>
        <v>Impostos</v>
      </c>
      <c r="AA2109" s="0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3" t="n">
        <v>2</v>
      </c>
      <c r="B2110" s="14" t="n">
        <v>46276</v>
      </c>
      <c r="C2110" s="14" t="n">
        <v>46283</v>
      </c>
      <c r="D2110" s="13" t="n">
        <v>1692</v>
      </c>
      <c r="E2110" s="0" t="s">
        <v>1777</v>
      </c>
      <c r="F2110" s="13" t="n">
        <v>24</v>
      </c>
      <c r="G2110" s="0" t="s">
        <v>51</v>
      </c>
      <c r="H2110" s="13" t="n">
        <v>2110405</v>
      </c>
      <c r="I2110" s="0" t="s">
        <v>56</v>
      </c>
      <c r="J2110" s="13" t="n">
        <v>1687559</v>
      </c>
      <c r="L2110" s="13" t="n">
        <v>231745</v>
      </c>
      <c r="M2110" s="0" t="s">
        <v>52</v>
      </c>
      <c r="N2110" s="0" t="s">
        <v>45</v>
      </c>
      <c r="P2110" s="13" t="n">
        <v>113</v>
      </c>
      <c r="Q2110" s="0" t="s">
        <v>46</v>
      </c>
      <c r="R2110" s="0" t="s">
        <v>47</v>
      </c>
      <c r="S2110" s="13" t="n">
        <v>1130101</v>
      </c>
      <c r="T2110" s="0" t="s">
        <v>48</v>
      </c>
      <c r="U2110" s="15" t="n">
        <v>428</v>
      </c>
      <c r="W2110" s="15" t="n">
        <v>428</v>
      </c>
      <c r="X2110" s="0" t="s">
        <v>1778</v>
      </c>
      <c r="Z2110" s="0" t="str">
        <f aca="false">IF($T2110="","",IFERROR(INDEX('Resumo Grupos'!$AC$3:$AC$200,MATCH($T2110,'Resumo Grupos'!$AB$3:$AB$200,0)),"n/d"))</f>
        <v>Mercadoria</v>
      </c>
      <c r="AA2110" s="0" t="str">
        <f aca="false">IF($T2110="","",IF(COUNTIF('Resumo Grupos'!$AE$3:$AE$40,$T2110)&gt;0,"NAO","SIM"))</f>
        <v>SIM</v>
      </c>
      <c r="AB2110" s="0" t="str">
        <f aca="false">IFERROR(INDEX('Mov Entradas (Rel 10497)'!$L:$L,MATCH(AC2110,'Mov Entradas (Rel 10497)'!$I:$I,0)),"nao encontrado")</f>
        <v>BISC.MODELO MOTO400G</v>
      </c>
      <c r="AC2110" s="0" t="n">
        <v>45405</v>
      </c>
    </row>
    <row r="2111" customFormat="false" ht="12.75" hidden="false" customHeight="true" outlineLevel="0" collapsed="false">
      <c r="A2111" s="13" t="n">
        <v>2</v>
      </c>
      <c r="B2111" s="14" t="n">
        <v>46269</v>
      </c>
      <c r="C2111" s="14" t="n">
        <v>46283</v>
      </c>
      <c r="D2111" s="13" t="n">
        <v>911</v>
      </c>
      <c r="E2111" s="0" t="s">
        <v>487</v>
      </c>
      <c r="F2111" s="13" t="n">
        <v>24</v>
      </c>
      <c r="G2111" s="0" t="s">
        <v>51</v>
      </c>
      <c r="H2111" s="13" t="n">
        <v>2110405</v>
      </c>
      <c r="I2111" s="0" t="s">
        <v>56</v>
      </c>
      <c r="J2111" s="13" t="n">
        <v>1652172</v>
      </c>
      <c r="L2111" s="13" t="n">
        <v>226965</v>
      </c>
      <c r="M2111" s="0" t="s">
        <v>52</v>
      </c>
      <c r="N2111" s="0" t="s">
        <v>45</v>
      </c>
      <c r="P2111" s="13" t="n">
        <v>113</v>
      </c>
      <c r="Q2111" s="0" t="s">
        <v>46</v>
      </c>
      <c r="R2111" s="0" t="s">
        <v>47</v>
      </c>
      <c r="S2111" s="13" t="n">
        <v>1130101</v>
      </c>
      <c r="T2111" s="0" t="s">
        <v>48</v>
      </c>
      <c r="U2111" s="15" t="n">
        <v>247.56</v>
      </c>
      <c r="W2111" s="15" t="n">
        <v>247.56</v>
      </c>
      <c r="X2111" s="0" t="s">
        <v>1695</v>
      </c>
      <c r="Z2111" s="0" t="str">
        <f aca="false">IF($T2111="","",IFERROR(INDEX('Resumo Grupos'!$AC$3:$AC$200,MATCH($T2111,'Resumo Grupos'!$AB$3:$AB$200,0)),"n/d"))</f>
        <v>Mercadoria</v>
      </c>
      <c r="AA2111" s="0" t="str">
        <f aca="false">IF($T2111="","",IF(COUNTIF('Resumo Grupos'!$AE$3:$AE$40,$T2111)&gt;0,"NAO","SIM"))</f>
        <v>SIM</v>
      </c>
      <c r="AB2111" s="0" t="str">
        <f aca="false">IFERROR(INDEX('Mov Entradas (Rel 10497)'!$L:$L,MATCH(AC2111,'Mov Entradas (Rel 10497)'!$I:$I,0)),"nao encontrado")</f>
        <v>PURAGUA SODA COM GAS</v>
      </c>
      <c r="AC2111" s="0" t="n">
        <v>58376</v>
      </c>
    </row>
    <row r="2112" customFormat="false" ht="12.75" hidden="false" customHeight="true" outlineLevel="0" collapsed="false">
      <c r="A2112" s="13" t="n">
        <v>2</v>
      </c>
      <c r="B2112" s="14" t="n">
        <v>46277</v>
      </c>
      <c r="C2112" s="14" t="n">
        <v>46283</v>
      </c>
      <c r="D2112" s="13" t="n">
        <v>1609</v>
      </c>
      <c r="E2112" s="0" t="s">
        <v>84</v>
      </c>
      <c r="F2112" s="13" t="n">
        <v>24</v>
      </c>
      <c r="G2112" s="0" t="s">
        <v>51</v>
      </c>
      <c r="H2112" s="13" t="n">
        <v>2110405</v>
      </c>
      <c r="I2112" s="0" t="s">
        <v>56</v>
      </c>
      <c r="J2112" s="13" t="n">
        <v>1688785</v>
      </c>
      <c r="L2112" s="13" t="n">
        <v>232186</v>
      </c>
      <c r="M2112" s="0" t="s">
        <v>52</v>
      </c>
      <c r="N2112" s="0" t="s">
        <v>45</v>
      </c>
      <c r="P2112" s="13" t="n">
        <v>113</v>
      </c>
      <c r="Q2112" s="0" t="s">
        <v>46</v>
      </c>
      <c r="R2112" s="0" t="s">
        <v>47</v>
      </c>
      <c r="S2112" s="13" t="n">
        <v>1130101</v>
      </c>
      <c r="T2112" s="0" t="s">
        <v>48</v>
      </c>
      <c r="U2112" s="15" t="n">
        <v>793.3</v>
      </c>
      <c r="W2112" s="15" t="n">
        <v>793.3</v>
      </c>
      <c r="X2112" s="0" t="s">
        <v>1779</v>
      </c>
      <c r="Z2112" s="0" t="str">
        <f aca="false">IF($T2112="","",IFERROR(INDEX('Resumo Grupos'!$AC$3:$AC$200,MATCH($T2112,'Resumo Grupos'!$AB$3:$AB$200,0)),"n/d"))</f>
        <v>Mercadoria</v>
      </c>
      <c r="AA2112" s="0" t="str">
        <f aca="false">IF($T2112="","",IF(COUNTIF('Resumo Grupos'!$AE$3:$AE$40,$T2112)&gt;0,"NAO","SIM"))</f>
        <v>SIM</v>
      </c>
      <c r="AB2112" s="0" t="str">
        <f aca="false">IFERROR(INDEX('Mov Entradas (Rel 10497)'!$L:$L,MATCH(AC2112,'Mov Entradas (Rel 10497)'!$I:$I,0)),"nao encontrado")</f>
        <v>SUCO YOFRUT COPO 300</v>
      </c>
      <c r="AC2112" s="0" t="n">
        <v>6092</v>
      </c>
    </row>
    <row r="2113" customFormat="false" ht="12.75" hidden="false" customHeight="true" outlineLevel="0" collapsed="false">
      <c r="A2113" s="13" t="n">
        <v>2</v>
      </c>
      <c r="B2113" s="14" t="n">
        <v>46273</v>
      </c>
      <c r="C2113" s="14" t="n">
        <v>46283</v>
      </c>
      <c r="D2113" s="13" t="n">
        <v>1625</v>
      </c>
      <c r="E2113" s="0" t="s">
        <v>270</v>
      </c>
      <c r="F2113" s="13" t="n">
        <v>34</v>
      </c>
      <c r="G2113" s="0" t="s">
        <v>55</v>
      </c>
      <c r="H2113" s="13" t="n">
        <v>2110101</v>
      </c>
      <c r="I2113" s="0" t="s">
        <v>43</v>
      </c>
      <c r="J2113" s="13" t="n">
        <v>1673727</v>
      </c>
      <c r="L2113" s="13" t="n">
        <v>229482</v>
      </c>
      <c r="M2113" s="0" t="s">
        <v>52</v>
      </c>
      <c r="N2113" s="0" t="s">
        <v>45</v>
      </c>
      <c r="P2113" s="13" t="n">
        <v>113</v>
      </c>
      <c r="Q2113" s="0" t="s">
        <v>46</v>
      </c>
      <c r="R2113" s="0" t="s">
        <v>47</v>
      </c>
      <c r="S2113" s="13" t="n">
        <v>1130101</v>
      </c>
      <c r="T2113" s="0" t="s">
        <v>48</v>
      </c>
      <c r="U2113" s="15" t="n">
        <v>1460.8</v>
      </c>
      <c r="W2113" s="15" t="n">
        <v>1460.8</v>
      </c>
      <c r="X2113" s="0" t="s">
        <v>1780</v>
      </c>
      <c r="Z2113" s="0" t="str">
        <f aca="false">IF($T2113="","",IFERROR(INDEX('Resumo Grupos'!$AC$3:$AC$200,MATCH($T2113,'Resumo Grupos'!$AB$3:$AB$200,0)),"n/d"))</f>
        <v>Mercadoria</v>
      </c>
      <c r="AA2113" s="0" t="str">
        <f aca="false">IF($T2113="","",IF(COUNTIF('Resumo Grupos'!$AE$3:$AE$40,$T2113)&gt;0,"NAO","SIM"))</f>
        <v>SIM</v>
      </c>
      <c r="AB2113" s="0" t="str">
        <f aca="false">IFERROR(INDEX('Mov Entradas (Rel 10497)'!$L:$L,MATCH(AC2113,'Mov Entradas (Rel 10497)'!$I:$I,0)),"nao encontrado")</f>
        <v>DIANTEIRO DE BOI L</v>
      </c>
      <c r="AC2113" s="0" t="n">
        <v>15274</v>
      </c>
    </row>
    <row r="2114" customFormat="false" ht="12.75" hidden="false" customHeight="true" outlineLevel="0" collapsed="false">
      <c r="A2114" s="13" t="n">
        <v>2</v>
      </c>
      <c r="B2114" s="14" t="n">
        <v>46283</v>
      </c>
      <c r="C2114" s="14" t="n">
        <v>46283</v>
      </c>
      <c r="D2114" s="13" t="n">
        <v>48</v>
      </c>
      <c r="E2114" s="0" t="s">
        <v>153</v>
      </c>
      <c r="F2114" s="13" t="n">
        <v>34</v>
      </c>
      <c r="G2114" s="0" t="s">
        <v>55</v>
      </c>
      <c r="H2114" s="13" t="n">
        <v>2110101</v>
      </c>
      <c r="I2114" s="0" t="s">
        <v>43</v>
      </c>
      <c r="J2114" s="13" t="n">
        <v>1720478</v>
      </c>
      <c r="L2114" s="13" t="n">
        <v>2679</v>
      </c>
      <c r="M2114" s="0" t="s">
        <v>52</v>
      </c>
      <c r="N2114" s="0" t="s">
        <v>37</v>
      </c>
      <c r="P2114" s="13" t="n">
        <v>113</v>
      </c>
      <c r="Q2114" s="0" t="s">
        <v>46</v>
      </c>
      <c r="R2114" s="0" t="s">
        <v>47</v>
      </c>
      <c r="S2114" s="13" t="n">
        <v>1130101</v>
      </c>
      <c r="T2114" s="0" t="s">
        <v>48</v>
      </c>
      <c r="U2114" s="15" t="n">
        <v>120</v>
      </c>
      <c r="W2114" s="15" t="n">
        <v>120</v>
      </c>
      <c r="X2114" s="0" t="s">
        <v>1781</v>
      </c>
      <c r="Z2114" s="0" t="str">
        <f aca="false">IF($T2114="","",IFERROR(INDEX('Resumo Grupos'!$AC$3:$AC$200,MATCH($T2114,'Resumo Grupos'!$AB$3:$AB$200,0)),"n/d"))</f>
        <v>Mercadoria</v>
      </c>
      <c r="AA2114" s="0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3" t="n">
        <v>2</v>
      </c>
      <c r="B2115" s="14" t="n">
        <v>46283</v>
      </c>
      <c r="C2115" s="14" t="n">
        <v>46283</v>
      </c>
      <c r="D2115" s="13" t="n">
        <v>48</v>
      </c>
      <c r="E2115" s="0" t="s">
        <v>153</v>
      </c>
      <c r="F2115" s="13" t="n">
        <v>34</v>
      </c>
      <c r="G2115" s="0" t="s">
        <v>55</v>
      </c>
      <c r="H2115" s="13" t="n">
        <v>2110101</v>
      </c>
      <c r="I2115" s="0" t="s">
        <v>43</v>
      </c>
      <c r="J2115" s="13" t="n">
        <v>1720951</v>
      </c>
      <c r="L2115" s="13" t="n">
        <v>2683</v>
      </c>
      <c r="M2115" s="0" t="s">
        <v>52</v>
      </c>
      <c r="N2115" s="0" t="s">
        <v>37</v>
      </c>
      <c r="P2115" s="13" t="n">
        <v>113</v>
      </c>
      <c r="Q2115" s="0" t="s">
        <v>46</v>
      </c>
      <c r="R2115" s="0" t="s">
        <v>47</v>
      </c>
      <c r="S2115" s="13" t="n">
        <v>1130101</v>
      </c>
      <c r="T2115" s="0" t="s">
        <v>48</v>
      </c>
      <c r="U2115" s="15" t="n">
        <v>1561.5</v>
      </c>
      <c r="W2115" s="15" t="n">
        <v>1561.5</v>
      </c>
      <c r="X2115" s="0" t="s">
        <v>1782</v>
      </c>
      <c r="Z2115" s="0" t="str">
        <f aca="false">IF($T2115="","",IFERROR(INDEX('Resumo Grupos'!$AC$3:$AC$200,MATCH($T2115,'Resumo Grupos'!$AB$3:$AB$200,0)),"n/d"))</f>
        <v>Mercadoria</v>
      </c>
      <c r="AA2115" s="0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3" t="n">
        <v>2</v>
      </c>
      <c r="B2116" s="14" t="n">
        <v>46280</v>
      </c>
      <c r="C2116" s="14" t="n">
        <v>46283</v>
      </c>
      <c r="D2116" s="13" t="n">
        <v>17</v>
      </c>
      <c r="E2116" s="0" t="s">
        <v>489</v>
      </c>
      <c r="F2116" s="13" t="n">
        <v>24</v>
      </c>
      <c r="G2116" s="0" t="s">
        <v>51</v>
      </c>
      <c r="H2116" s="13" t="n">
        <v>2110405</v>
      </c>
      <c r="I2116" s="0" t="s">
        <v>56</v>
      </c>
      <c r="J2116" s="13" t="n">
        <v>1572226</v>
      </c>
      <c r="L2116" s="13" t="n">
        <v>214781</v>
      </c>
      <c r="M2116" s="0" t="s">
        <v>44</v>
      </c>
      <c r="N2116" s="0" t="s">
        <v>45</v>
      </c>
      <c r="P2116" s="13" t="n">
        <v>101</v>
      </c>
      <c r="Q2116" s="0" t="s">
        <v>57</v>
      </c>
      <c r="R2116" s="0" t="s">
        <v>81</v>
      </c>
      <c r="S2116" s="13" t="n">
        <v>4220199</v>
      </c>
      <c r="T2116" s="0" t="s">
        <v>82</v>
      </c>
      <c r="U2116" s="15" t="n">
        <v>620</v>
      </c>
      <c r="W2116" s="15" t="n">
        <v>620</v>
      </c>
      <c r="X2116" s="0" t="s">
        <v>1783</v>
      </c>
      <c r="Z2116" s="0" t="str">
        <f aca="false">IF($T2116="","",IFERROR(INDEX('Resumo Grupos'!$AC$3:$AC$200,MATCH($T2116,'Resumo Grupos'!$AB$3:$AB$200,0)),"n/d"))</f>
        <v>Pagamentos outros não operacionais</v>
      </c>
      <c r="AA2116" s="0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3" t="n">
        <v>2</v>
      </c>
      <c r="B2117" s="14" t="n">
        <v>46277</v>
      </c>
      <c r="C2117" s="14" t="n">
        <v>46283</v>
      </c>
      <c r="D2117" s="13" t="n">
        <v>1740</v>
      </c>
      <c r="E2117" s="0" t="s">
        <v>468</v>
      </c>
      <c r="F2117" s="13" t="n">
        <v>24</v>
      </c>
      <c r="G2117" s="0" t="s">
        <v>51</v>
      </c>
      <c r="H2117" s="13" t="n">
        <v>2110405</v>
      </c>
      <c r="I2117" s="0" t="s">
        <v>56</v>
      </c>
      <c r="J2117" s="13" t="n">
        <v>1688725</v>
      </c>
      <c r="L2117" s="13" t="n">
        <v>232165</v>
      </c>
      <c r="M2117" s="0" t="s">
        <v>52</v>
      </c>
      <c r="N2117" s="0" t="s">
        <v>45</v>
      </c>
      <c r="P2117" s="13" t="n">
        <v>113</v>
      </c>
      <c r="Q2117" s="0" t="s">
        <v>46</v>
      </c>
      <c r="R2117" s="0" t="s">
        <v>47</v>
      </c>
      <c r="S2117" s="13" t="n">
        <v>1130101</v>
      </c>
      <c r="T2117" s="0" t="s">
        <v>48</v>
      </c>
      <c r="U2117" s="15" t="n">
        <v>2311.25</v>
      </c>
      <c r="W2117" s="15" t="n">
        <v>2311.25</v>
      </c>
      <c r="X2117" s="0" t="s">
        <v>1784</v>
      </c>
      <c r="Z2117" s="0" t="str">
        <f aca="false">IF($T2117="","",IFERROR(INDEX('Resumo Grupos'!$AC$3:$AC$200,MATCH($T2117,'Resumo Grupos'!$AB$3:$AB$200,0)),"n/d"))</f>
        <v>Mercadoria</v>
      </c>
      <c r="AA2117" s="0" t="str">
        <f aca="false">IF($T2117="","",IF(COUNTIF('Resumo Grupos'!$AE$3:$AE$40,$T2117)&gt;0,"NAO","SIM"))</f>
        <v>SIM</v>
      </c>
      <c r="AB2117" s="0" t="str">
        <f aca="false">IFERROR(INDEX('Mov Entradas (Rel 10497)'!$L:$L,MATCH(AC2117,'Mov Entradas (Rel 10497)'!$I:$I,0)),"nao encontrado")</f>
        <v>LINGUI DE FRANGO KG</v>
      </c>
      <c r="AC2117" s="0" t="n">
        <v>1269729</v>
      </c>
    </row>
    <row r="2118" customFormat="false" ht="12.75" hidden="false" customHeight="true" outlineLevel="0" collapsed="false">
      <c r="A2118" s="13" t="n">
        <v>2</v>
      </c>
      <c r="B2118" s="14" t="n">
        <v>46206</v>
      </c>
      <c r="C2118" s="14" t="n">
        <v>46283</v>
      </c>
      <c r="D2118" s="13" t="n">
        <v>33</v>
      </c>
      <c r="E2118" s="0" t="s">
        <v>313</v>
      </c>
      <c r="F2118" s="13" t="n">
        <v>34</v>
      </c>
      <c r="G2118" s="0" t="s">
        <v>55</v>
      </c>
      <c r="H2118" s="13" t="n">
        <v>2110405</v>
      </c>
      <c r="I2118" s="0" t="s">
        <v>56</v>
      </c>
      <c r="J2118" s="13" t="n">
        <v>1345312</v>
      </c>
      <c r="L2118" s="13" t="n">
        <v>180690</v>
      </c>
      <c r="M2118" s="0" t="s">
        <v>67</v>
      </c>
      <c r="N2118" s="0" t="s">
        <v>45</v>
      </c>
      <c r="P2118" s="13" t="n">
        <v>101</v>
      </c>
      <c r="Q2118" s="0" t="s">
        <v>57</v>
      </c>
      <c r="R2118" s="0" t="s">
        <v>39</v>
      </c>
      <c r="S2118" s="13" t="n">
        <v>4210203</v>
      </c>
      <c r="T2118" s="0" t="s">
        <v>757</v>
      </c>
      <c r="U2118" s="15" t="n">
        <v>282.35</v>
      </c>
      <c r="W2118" s="15" t="n">
        <v>282.35</v>
      </c>
      <c r="X2118" s="0" t="s">
        <v>937</v>
      </c>
      <c r="Z2118" s="0" t="str">
        <f aca="false">IF($T2118="","",IFERROR(INDEX('Resumo Grupos'!$AC$3:$AC$200,MATCH($T2118,'Resumo Grupos'!$AB$3:$AB$200,0)),"n/d"))</f>
        <v>Despesa</v>
      </c>
      <c r="AA2118" s="0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3" t="n">
        <v>2</v>
      </c>
      <c r="B2119" s="14" t="n">
        <v>46283</v>
      </c>
      <c r="C2119" s="14" t="n">
        <v>46283</v>
      </c>
      <c r="D2119" s="13" t="n">
        <v>0</v>
      </c>
      <c r="E2119" s="0" t="s">
        <v>109</v>
      </c>
      <c r="F2119" s="13" t="n">
        <v>17</v>
      </c>
      <c r="G2119" s="0" t="s">
        <v>110</v>
      </c>
      <c r="H2119" s="13" t="n">
        <v>1110101</v>
      </c>
      <c r="I2119" s="0" t="s">
        <v>111</v>
      </c>
      <c r="J2119" s="13" t="n">
        <v>1724422</v>
      </c>
      <c r="L2119" s="13" t="n">
        <v>1724422</v>
      </c>
      <c r="M2119" s="0" t="s">
        <v>52</v>
      </c>
      <c r="N2119" s="0" t="s">
        <v>112</v>
      </c>
      <c r="P2119" s="13" t="n">
        <v>113</v>
      </c>
      <c r="Q2119" s="0" t="s">
        <v>46</v>
      </c>
      <c r="R2119" s="0" t="s">
        <v>71</v>
      </c>
      <c r="S2119" s="13" t="n">
        <v>4210314</v>
      </c>
      <c r="T2119" s="0" t="s">
        <v>113</v>
      </c>
      <c r="U2119" s="15" t="n">
        <v>50</v>
      </c>
      <c r="W2119" s="15" t="n">
        <v>50</v>
      </c>
      <c r="X2119" s="0" t="s">
        <v>368</v>
      </c>
      <c r="Z2119" s="0" t="str">
        <f aca="false">IF($T2119="","",IFERROR(INDEX('Resumo Grupos'!$AC$3:$AC$200,MATCH($T2119,'Resumo Grupos'!$AB$3:$AB$200,0)),"n/d"))</f>
        <v>Despesa</v>
      </c>
      <c r="AA2119" s="0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3" t="n">
        <v>2</v>
      </c>
      <c r="B2120" s="14" t="n">
        <v>46283</v>
      </c>
      <c r="C2120" s="14" t="n">
        <v>46283</v>
      </c>
      <c r="D2120" s="13" t="n">
        <v>0</v>
      </c>
      <c r="E2120" s="0" t="s">
        <v>109</v>
      </c>
      <c r="F2120" s="13" t="n">
        <v>17</v>
      </c>
      <c r="G2120" s="0" t="s">
        <v>110</v>
      </c>
      <c r="H2120" s="13" t="n">
        <v>1110101</v>
      </c>
      <c r="I2120" s="0" t="s">
        <v>111</v>
      </c>
      <c r="J2120" s="13" t="n">
        <v>1724424</v>
      </c>
      <c r="L2120" s="13" t="n">
        <v>1724424</v>
      </c>
      <c r="M2120" s="0" t="s">
        <v>52</v>
      </c>
      <c r="N2120" s="0" t="s">
        <v>112</v>
      </c>
      <c r="P2120" s="13" t="n">
        <v>113</v>
      </c>
      <c r="Q2120" s="0" t="s">
        <v>46</v>
      </c>
      <c r="R2120" s="0" t="s">
        <v>71</v>
      </c>
      <c r="S2120" s="13" t="n">
        <v>4210314</v>
      </c>
      <c r="T2120" s="0" t="s">
        <v>113</v>
      </c>
      <c r="U2120" s="15" t="n">
        <v>100</v>
      </c>
      <c r="W2120" s="15" t="n">
        <v>100</v>
      </c>
      <c r="X2120" s="0" t="s">
        <v>1706</v>
      </c>
      <c r="Z2120" s="0" t="str">
        <f aca="false">IF($T2120="","",IFERROR(INDEX('Resumo Grupos'!$AC$3:$AC$200,MATCH($T2120,'Resumo Grupos'!$AB$3:$AB$200,0)),"n/d"))</f>
        <v>Despesa</v>
      </c>
      <c r="AA2120" s="0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3" t="n">
        <v>2</v>
      </c>
      <c r="B2121" s="14" t="n">
        <v>46273</v>
      </c>
      <c r="C2121" s="14" t="n">
        <v>46284</v>
      </c>
      <c r="D2121" s="13" t="n">
        <v>10019</v>
      </c>
      <c r="E2121" s="0" t="s">
        <v>268</v>
      </c>
      <c r="F2121" s="13" t="n">
        <v>24</v>
      </c>
      <c r="G2121" s="0" t="s">
        <v>51</v>
      </c>
      <c r="H2121" s="13" t="n">
        <v>2110405</v>
      </c>
      <c r="I2121" s="0" t="s">
        <v>56</v>
      </c>
      <c r="J2121" s="13" t="n">
        <v>1673169</v>
      </c>
      <c r="L2121" s="13" t="n">
        <v>229412</v>
      </c>
      <c r="M2121" s="0" t="s">
        <v>52</v>
      </c>
      <c r="N2121" s="0" t="s">
        <v>45</v>
      </c>
      <c r="P2121" s="13" t="n">
        <v>113</v>
      </c>
      <c r="Q2121" s="0" t="s">
        <v>46</v>
      </c>
      <c r="R2121" s="0" t="s">
        <v>47</v>
      </c>
      <c r="S2121" s="13" t="n">
        <v>1130101</v>
      </c>
      <c r="T2121" s="0" t="s">
        <v>48</v>
      </c>
      <c r="U2121" s="15" t="n">
        <v>309.71</v>
      </c>
      <c r="W2121" s="15" t="n">
        <v>309.71</v>
      </c>
      <c r="X2121" s="0" t="s">
        <v>1705</v>
      </c>
      <c r="Z2121" s="0" t="str">
        <f aca="false">IF($T2121="","",IFERROR(INDEX('Resumo Grupos'!$AC$3:$AC$200,MATCH($T2121,'Resumo Grupos'!$AB$3:$AB$200,0)),"n/d"))</f>
        <v>Mercadoria</v>
      </c>
      <c r="AA2121" s="0" t="str">
        <f aca="false">IF($T2121="","",IF(COUNTIF('Resumo Grupos'!$AE$3:$AE$40,$T2121)&gt;0,"NAO","SIM"))</f>
        <v>SIM</v>
      </c>
      <c r="AB2121" s="0" t="str">
        <f aca="false">IFERROR(INDEX('Mov Entradas (Rel 10497)'!$L:$L,MATCH(AC2121,'Mov Entradas (Rel 10497)'!$I:$I,0)),"nao encontrado")</f>
        <v>PERNIL SUINO KG</v>
      </c>
      <c r="AC2121" s="0" t="n">
        <v>33408</v>
      </c>
    </row>
    <row r="2122" customFormat="false" ht="12.75" hidden="false" customHeight="true" outlineLevel="0" collapsed="false">
      <c r="A2122" s="13" t="n">
        <v>2</v>
      </c>
      <c r="B2122" s="14" t="n">
        <v>46276</v>
      </c>
      <c r="C2122" s="14" t="n">
        <v>46284</v>
      </c>
      <c r="D2122" s="13" t="n">
        <v>1217</v>
      </c>
      <c r="E2122" s="0" t="s">
        <v>776</v>
      </c>
      <c r="F2122" s="13" t="n">
        <v>24</v>
      </c>
      <c r="G2122" s="0" t="s">
        <v>51</v>
      </c>
      <c r="H2122" s="13" t="n">
        <v>2110405</v>
      </c>
      <c r="I2122" s="0" t="s">
        <v>56</v>
      </c>
      <c r="J2122" s="13" t="n">
        <v>1687681</v>
      </c>
      <c r="L2122" s="13" t="n">
        <v>231760</v>
      </c>
      <c r="M2122" s="0" t="s">
        <v>52</v>
      </c>
      <c r="N2122" s="0" t="s">
        <v>45</v>
      </c>
      <c r="P2122" s="13" t="n">
        <v>113</v>
      </c>
      <c r="Q2122" s="0" t="s">
        <v>46</v>
      </c>
      <c r="R2122" s="0" t="s">
        <v>47</v>
      </c>
      <c r="S2122" s="13" t="n">
        <v>1130101</v>
      </c>
      <c r="T2122" s="0" t="s">
        <v>48</v>
      </c>
      <c r="U2122" s="15" t="n">
        <v>793.46</v>
      </c>
      <c r="W2122" s="15" t="n">
        <v>793.46</v>
      </c>
      <c r="X2122" s="0" t="s">
        <v>1785</v>
      </c>
      <c r="Z2122" s="0" t="str">
        <f aca="false">IF($T2122="","",IFERROR(INDEX('Resumo Grupos'!$AC$3:$AC$200,MATCH($T2122,'Resumo Grupos'!$AB$3:$AB$200,0)),"n/d"))</f>
        <v>Mercadoria</v>
      </c>
      <c r="AA2122" s="0" t="str">
        <f aca="false">IF($T2122="","",IF(COUNTIF('Resumo Grupos'!$AE$3:$AE$40,$T2122)&gt;0,"NAO","SIM"))</f>
        <v>SIM</v>
      </c>
      <c r="AB2122" s="0" t="str">
        <f aca="false">IFERROR(INDEX('Mov Entradas (Rel 10497)'!$L:$L,MATCH(AC2122,'Mov Entradas (Rel 10497)'!$I:$I,0)),"nao encontrado")</f>
        <v>CORANTE XZ.PRETO</v>
      </c>
      <c r="AC2122" s="0" t="n">
        <v>5521</v>
      </c>
    </row>
    <row r="2123" customFormat="false" ht="12.75" hidden="false" customHeight="true" outlineLevel="0" collapsed="false">
      <c r="A2123" s="13" t="n">
        <v>2</v>
      </c>
      <c r="B2123" s="14" t="n">
        <v>46284</v>
      </c>
      <c r="C2123" s="14" t="n">
        <v>46284</v>
      </c>
      <c r="D2123" s="13" t="n">
        <v>10096</v>
      </c>
      <c r="E2123" s="0" t="s">
        <v>622</v>
      </c>
      <c r="F2123" s="13" t="n">
        <v>13</v>
      </c>
      <c r="G2123" s="0" t="s">
        <v>135</v>
      </c>
      <c r="H2123" s="13" t="n">
        <v>2110405</v>
      </c>
      <c r="I2123" s="0" t="s">
        <v>56</v>
      </c>
      <c r="J2123" s="13" t="n">
        <v>1734596</v>
      </c>
      <c r="L2123" s="13" t="n">
        <v>238498</v>
      </c>
      <c r="M2123" s="0" t="s">
        <v>52</v>
      </c>
      <c r="N2123" s="0" t="s">
        <v>45</v>
      </c>
      <c r="P2123" s="13" t="n">
        <v>113</v>
      </c>
      <c r="Q2123" s="0" t="s">
        <v>46</v>
      </c>
      <c r="R2123" s="0" t="s">
        <v>47</v>
      </c>
      <c r="S2123" s="13" t="n">
        <v>1130101</v>
      </c>
      <c r="T2123" s="0" t="s">
        <v>48</v>
      </c>
      <c r="U2123" s="15" t="n">
        <v>260</v>
      </c>
      <c r="W2123" s="15" t="n">
        <v>260</v>
      </c>
      <c r="X2123" s="0" t="s">
        <v>1786</v>
      </c>
      <c r="Z2123" s="0" t="str">
        <f aca="false">IF($T2123="","",IFERROR(INDEX('Resumo Grupos'!$AC$3:$AC$200,MATCH($T2123,'Resumo Grupos'!$AB$3:$AB$200,0)),"n/d"))</f>
        <v>Mercadoria</v>
      </c>
      <c r="AA2123" s="0" t="str">
        <f aca="false">IF($T2123="","",IF(COUNTIF('Resumo Grupos'!$AE$3:$AE$40,$T2123)&gt;0,"NAO","SIM"))</f>
        <v>SIM</v>
      </c>
      <c r="AB2123" s="0" t="str">
        <f aca="false">IFERROR(INDEX('Mov Entradas (Rel 10497)'!$L:$L,MATCH(AC2123,'Mov Entradas (Rel 10497)'!$I:$I,0)),"nao encontrado")</f>
        <v>BOLO MIYAZAKI GRANDE</v>
      </c>
      <c r="AC2123" s="0" t="n">
        <v>311</v>
      </c>
    </row>
    <row r="2124" customFormat="false" ht="12.75" hidden="false" customHeight="true" outlineLevel="0" collapsed="false">
      <c r="A2124" s="13" t="n">
        <v>2</v>
      </c>
      <c r="B2124" s="14" t="n">
        <v>46279</v>
      </c>
      <c r="C2124" s="14" t="n">
        <v>46284</v>
      </c>
      <c r="D2124" s="13" t="n">
        <v>1625</v>
      </c>
      <c r="E2124" s="0" t="s">
        <v>270</v>
      </c>
      <c r="F2124" s="13" t="n">
        <v>24</v>
      </c>
      <c r="G2124" s="0" t="s">
        <v>51</v>
      </c>
      <c r="H2124" s="13" t="n">
        <v>2110405</v>
      </c>
      <c r="I2124" s="0" t="s">
        <v>56</v>
      </c>
      <c r="J2124" s="13" t="n">
        <v>1701613</v>
      </c>
      <c r="L2124" s="13" t="n">
        <v>233464</v>
      </c>
      <c r="M2124" s="0" t="s">
        <v>52</v>
      </c>
      <c r="N2124" s="0" t="s">
        <v>45</v>
      </c>
      <c r="P2124" s="13" t="n">
        <v>113</v>
      </c>
      <c r="Q2124" s="0" t="s">
        <v>46</v>
      </c>
      <c r="R2124" s="0" t="s">
        <v>47</v>
      </c>
      <c r="S2124" s="13" t="n">
        <v>1130101</v>
      </c>
      <c r="T2124" s="0" t="s">
        <v>48</v>
      </c>
      <c r="U2124" s="15" t="n">
        <v>4531.6</v>
      </c>
      <c r="W2124" s="15" t="n">
        <v>4531.6</v>
      </c>
      <c r="X2124" s="0" t="s">
        <v>1759</v>
      </c>
      <c r="Z2124" s="0" t="str">
        <f aca="false">IF($T2124="","",IFERROR(INDEX('Resumo Grupos'!$AC$3:$AC$200,MATCH($T2124,'Resumo Grupos'!$AB$3:$AB$200,0)),"n/d"))</f>
        <v>Mercadoria</v>
      </c>
      <c r="AA2124" s="0" t="str">
        <f aca="false">IF($T2124="","",IF(COUNTIF('Resumo Grupos'!$AE$3:$AE$40,$T2124)&gt;0,"NAO","SIM"))</f>
        <v>SIM</v>
      </c>
      <c r="AB2124" s="0" t="str">
        <f aca="false">IFERROR(INDEX('Mov Entradas (Rel 10497)'!$L:$L,MATCH(AC2124,'Mov Entradas (Rel 10497)'!$I:$I,0)),"nao encontrado")</f>
        <v>IOGURTE AMAZONGURT D</v>
      </c>
      <c r="AC2124" s="0" t="n">
        <v>15352</v>
      </c>
    </row>
    <row r="2125" customFormat="false" ht="12.75" hidden="false" customHeight="true" outlineLevel="0" collapsed="false">
      <c r="A2125" s="13" t="n">
        <v>2</v>
      </c>
      <c r="B2125" s="14" t="n">
        <v>46284</v>
      </c>
      <c r="C2125" s="14" t="n">
        <v>46284</v>
      </c>
      <c r="D2125" s="13" t="n">
        <v>0</v>
      </c>
      <c r="E2125" s="0" t="s">
        <v>109</v>
      </c>
      <c r="F2125" s="13" t="n">
        <v>17</v>
      </c>
      <c r="G2125" s="0" t="s">
        <v>110</v>
      </c>
      <c r="H2125" s="13" t="n">
        <v>1110101</v>
      </c>
      <c r="I2125" s="0" t="s">
        <v>111</v>
      </c>
      <c r="J2125" s="13" t="n">
        <v>1734691</v>
      </c>
      <c r="L2125" s="13" t="n">
        <v>1734691</v>
      </c>
      <c r="M2125" s="0" t="s">
        <v>52</v>
      </c>
      <c r="N2125" s="0" t="s">
        <v>112</v>
      </c>
      <c r="P2125" s="13" t="n">
        <v>113</v>
      </c>
      <c r="Q2125" s="0" t="s">
        <v>46</v>
      </c>
      <c r="R2125" s="0" t="s">
        <v>56</v>
      </c>
      <c r="S2125" s="13" t="n">
        <v>2110405</v>
      </c>
      <c r="T2125" s="0" t="s">
        <v>56</v>
      </c>
      <c r="U2125" s="15" t="n">
        <v>260</v>
      </c>
      <c r="W2125" s="15" t="n">
        <v>260</v>
      </c>
      <c r="X2125" s="0" t="s">
        <v>1787</v>
      </c>
      <c r="Z2125" s="0" t="str">
        <f aca="false">IF($T2125="","",IFERROR(INDEX('Resumo Grupos'!$AC$3:$AC$200,MATCH($T2125,'Resumo Grupos'!$AB$3:$AB$200,0)),"n/d"))</f>
        <v>Cobertura de conta</v>
      </c>
      <c r="AA2125" s="0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3" t="n">
        <v>2</v>
      </c>
      <c r="B2126" s="14" t="n">
        <v>46284</v>
      </c>
      <c r="C2126" s="14" t="n">
        <v>46284</v>
      </c>
      <c r="D2126" s="13" t="n">
        <v>0</v>
      </c>
      <c r="E2126" s="0" t="s">
        <v>109</v>
      </c>
      <c r="F2126" s="13" t="n">
        <v>17</v>
      </c>
      <c r="G2126" s="0" t="s">
        <v>110</v>
      </c>
      <c r="H2126" s="13" t="n">
        <v>1110101</v>
      </c>
      <c r="I2126" s="0" t="s">
        <v>111</v>
      </c>
      <c r="J2126" s="13" t="n">
        <v>1734694</v>
      </c>
      <c r="L2126" s="13" t="n">
        <v>1734694</v>
      </c>
      <c r="M2126" s="0" t="s">
        <v>52</v>
      </c>
      <c r="N2126" s="0" t="s">
        <v>112</v>
      </c>
      <c r="P2126" s="13" t="n">
        <v>113</v>
      </c>
      <c r="Q2126" s="0" t="s">
        <v>46</v>
      </c>
      <c r="R2126" s="0" t="s">
        <v>71</v>
      </c>
      <c r="S2126" s="13" t="n">
        <v>4210314</v>
      </c>
      <c r="T2126" s="0" t="s">
        <v>113</v>
      </c>
      <c r="U2126" s="15" t="n">
        <v>70</v>
      </c>
      <c r="W2126" s="15" t="n">
        <v>70</v>
      </c>
      <c r="X2126" s="0" t="s">
        <v>368</v>
      </c>
      <c r="Z2126" s="0" t="str">
        <f aca="false">IF($T2126="","",IFERROR(INDEX('Resumo Grupos'!$AC$3:$AC$200,MATCH($T2126,'Resumo Grupos'!$AB$3:$AB$200,0)),"n/d"))</f>
        <v>Despesa</v>
      </c>
      <c r="AA2126" s="0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3" t="n">
        <v>2</v>
      </c>
      <c r="B2127" s="14" t="n">
        <v>46284</v>
      </c>
      <c r="C2127" s="14" t="n">
        <v>46284</v>
      </c>
      <c r="D2127" s="13" t="n">
        <v>0</v>
      </c>
      <c r="E2127" s="0" t="s">
        <v>109</v>
      </c>
      <c r="F2127" s="13" t="n">
        <v>17</v>
      </c>
      <c r="G2127" s="0" t="s">
        <v>110</v>
      </c>
      <c r="H2127" s="13" t="n">
        <v>1110101</v>
      </c>
      <c r="I2127" s="0" t="s">
        <v>111</v>
      </c>
      <c r="J2127" s="13" t="n">
        <v>1734697</v>
      </c>
      <c r="L2127" s="13" t="n">
        <v>1734697</v>
      </c>
      <c r="M2127" s="0" t="s">
        <v>52</v>
      </c>
      <c r="N2127" s="0" t="s">
        <v>112</v>
      </c>
      <c r="P2127" s="13" t="n">
        <v>113</v>
      </c>
      <c r="Q2127" s="0" t="s">
        <v>46</v>
      </c>
      <c r="R2127" s="0" t="s">
        <v>71</v>
      </c>
      <c r="S2127" s="13" t="n">
        <v>4210314</v>
      </c>
      <c r="T2127" s="0" t="s">
        <v>113</v>
      </c>
      <c r="U2127" s="15" t="n">
        <v>100</v>
      </c>
      <c r="W2127" s="15" t="n">
        <v>100</v>
      </c>
      <c r="X2127" s="0" t="s">
        <v>1706</v>
      </c>
      <c r="Z2127" s="0" t="str">
        <f aca="false">IF($T2127="","",IFERROR(INDEX('Resumo Grupos'!$AC$3:$AC$200,MATCH($T2127,'Resumo Grupos'!$AB$3:$AB$200,0)),"n/d"))</f>
        <v>Despesa</v>
      </c>
      <c r="AA2127" s="0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3" t="n">
        <v>2</v>
      </c>
      <c r="B2128" s="14" t="n">
        <v>46284</v>
      </c>
      <c r="C2128" s="14" t="n">
        <v>46284</v>
      </c>
      <c r="D2128" s="13" t="n">
        <v>0</v>
      </c>
      <c r="E2128" s="0" t="s">
        <v>109</v>
      </c>
      <c r="F2128" s="13" t="n">
        <v>17</v>
      </c>
      <c r="G2128" s="0" t="s">
        <v>110</v>
      </c>
      <c r="H2128" s="13" t="n">
        <v>1110101</v>
      </c>
      <c r="I2128" s="0" t="s">
        <v>111</v>
      </c>
      <c r="J2128" s="13" t="n">
        <v>1734701</v>
      </c>
      <c r="L2128" s="13" t="n">
        <v>1734701</v>
      </c>
      <c r="M2128" s="0" t="s">
        <v>52</v>
      </c>
      <c r="N2128" s="0" t="s">
        <v>112</v>
      </c>
      <c r="P2128" s="13" t="n">
        <v>113</v>
      </c>
      <c r="Q2128" s="0" t="s">
        <v>46</v>
      </c>
      <c r="R2128" s="0" t="s">
        <v>71</v>
      </c>
      <c r="S2128" s="13" t="n">
        <v>4210316</v>
      </c>
      <c r="T2128" s="0" t="s">
        <v>159</v>
      </c>
      <c r="U2128" s="15" t="n">
        <v>300</v>
      </c>
      <c r="W2128" s="15" t="n">
        <v>300</v>
      </c>
      <c r="X2128" s="0" t="s">
        <v>1788</v>
      </c>
      <c r="Z2128" s="0" t="str">
        <f aca="false">IF($T2128="","",IFERROR(INDEX('Resumo Grupos'!$AC$3:$AC$200,MATCH($T2128,'Resumo Grupos'!$AB$3:$AB$200,0)),"n/d"))</f>
        <v>Salários</v>
      </c>
      <c r="AA2128" s="0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3" t="n">
        <v>2</v>
      </c>
      <c r="B2129" s="14" t="n">
        <v>46284</v>
      </c>
      <c r="C2129" s="14" t="n">
        <v>46284</v>
      </c>
      <c r="D2129" s="13" t="n">
        <v>0</v>
      </c>
      <c r="E2129" s="0" t="s">
        <v>109</v>
      </c>
      <c r="F2129" s="13" t="n">
        <v>17</v>
      </c>
      <c r="G2129" s="0" t="s">
        <v>110</v>
      </c>
      <c r="H2129" s="13" t="n">
        <v>1110101</v>
      </c>
      <c r="I2129" s="0" t="s">
        <v>111</v>
      </c>
      <c r="J2129" s="13" t="n">
        <v>1734703</v>
      </c>
      <c r="L2129" s="13" t="n">
        <v>1734703</v>
      </c>
      <c r="M2129" s="0" t="s">
        <v>52</v>
      </c>
      <c r="N2129" s="0" t="s">
        <v>112</v>
      </c>
      <c r="P2129" s="13" t="n">
        <v>113</v>
      </c>
      <c r="Q2129" s="0" t="s">
        <v>46</v>
      </c>
      <c r="R2129" s="0" t="s">
        <v>71</v>
      </c>
      <c r="S2129" s="13" t="n">
        <v>4210309</v>
      </c>
      <c r="T2129" s="0" t="s">
        <v>72</v>
      </c>
      <c r="U2129" s="15" t="n">
        <v>10</v>
      </c>
      <c r="W2129" s="15" t="n">
        <v>10</v>
      </c>
      <c r="X2129" s="0" t="s">
        <v>1552</v>
      </c>
      <c r="Z2129" s="0" t="str">
        <f aca="false">IF($T2129="","",IFERROR(INDEX('Resumo Grupos'!$AC$3:$AC$200,MATCH($T2129,'Resumo Grupos'!$AB$3:$AB$200,0)),"n/d"))</f>
        <v>Salários</v>
      </c>
      <c r="AA2129" s="0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3" t="n">
        <v>2</v>
      </c>
      <c r="B2130" s="14" t="n">
        <v>46241</v>
      </c>
      <c r="C2130" s="14" t="n">
        <v>46285</v>
      </c>
      <c r="D2130" s="13" t="n">
        <v>10028</v>
      </c>
      <c r="E2130" s="0" t="s">
        <v>494</v>
      </c>
      <c r="F2130" s="13" t="n">
        <v>24</v>
      </c>
      <c r="G2130" s="0" t="s">
        <v>51</v>
      </c>
      <c r="H2130" s="13" t="n">
        <v>2110405</v>
      </c>
      <c r="I2130" s="0" t="s">
        <v>56</v>
      </c>
      <c r="J2130" s="13" t="n">
        <v>1370757</v>
      </c>
      <c r="L2130" s="13" t="n">
        <v>184341</v>
      </c>
      <c r="M2130" s="0" t="s">
        <v>67</v>
      </c>
      <c r="N2130" s="0" t="s">
        <v>45</v>
      </c>
      <c r="P2130" s="13" t="n">
        <v>101</v>
      </c>
      <c r="Q2130" s="0" t="s">
        <v>57</v>
      </c>
      <c r="R2130" s="0" t="s">
        <v>71</v>
      </c>
      <c r="S2130" s="13" t="n">
        <v>4210315</v>
      </c>
      <c r="T2130" s="0" t="s">
        <v>279</v>
      </c>
      <c r="U2130" s="15" t="n">
        <v>595.9</v>
      </c>
      <c r="W2130" s="15" t="n">
        <v>595.9</v>
      </c>
      <c r="X2130" s="0" t="s">
        <v>495</v>
      </c>
      <c r="Z2130" s="0" t="str">
        <f aca="false">IF($T2130="","",IFERROR(INDEX('Resumo Grupos'!$AC$3:$AC$200,MATCH($T2130,'Resumo Grupos'!$AB$3:$AB$200,0)),"n/d"))</f>
        <v>Despesa</v>
      </c>
      <c r="AA2130" s="0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3" t="n">
        <v>2</v>
      </c>
      <c r="B2131" s="14" t="n">
        <v>46223</v>
      </c>
      <c r="C2131" s="14" t="n">
        <v>46285</v>
      </c>
      <c r="D2131" s="13" t="n">
        <v>33</v>
      </c>
      <c r="E2131" s="0" t="s">
        <v>313</v>
      </c>
      <c r="F2131" s="13" t="n">
        <v>34</v>
      </c>
      <c r="G2131" s="0" t="s">
        <v>55</v>
      </c>
      <c r="H2131" s="13" t="n">
        <v>2110405</v>
      </c>
      <c r="I2131" s="0" t="s">
        <v>56</v>
      </c>
      <c r="J2131" s="13" t="n">
        <v>1424244</v>
      </c>
      <c r="L2131" s="13" t="n">
        <v>190900</v>
      </c>
      <c r="M2131" s="0" t="s">
        <v>67</v>
      </c>
      <c r="N2131" s="0" t="s">
        <v>45</v>
      </c>
      <c r="P2131" s="13" t="n">
        <v>101</v>
      </c>
      <c r="Q2131" s="0" t="s">
        <v>57</v>
      </c>
      <c r="R2131" s="0" t="s">
        <v>430</v>
      </c>
      <c r="S2131" s="13" t="n">
        <v>4210107</v>
      </c>
      <c r="T2131" s="0" t="s">
        <v>496</v>
      </c>
      <c r="U2131" s="15" t="n">
        <v>156.76</v>
      </c>
      <c r="W2131" s="15" t="n">
        <v>156.76</v>
      </c>
      <c r="X2131" s="0" t="s">
        <v>957</v>
      </c>
      <c r="Z2131" s="0" t="str">
        <f aca="false">IF($T2131="","",IFERROR(INDEX('Resumo Grupos'!$AC$3:$AC$200,MATCH($T2131,'Resumo Grupos'!$AB$3:$AB$200,0)),"n/d"))</f>
        <v>Despesa</v>
      </c>
      <c r="AA2131" s="0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3" t="n">
        <v>2</v>
      </c>
      <c r="B2132" s="14" t="n">
        <v>46285</v>
      </c>
      <c r="C2132" s="14" t="n">
        <v>46285</v>
      </c>
      <c r="D2132" s="13" t="n">
        <v>0</v>
      </c>
      <c r="E2132" s="0" t="s">
        <v>109</v>
      </c>
      <c r="F2132" s="13" t="n">
        <v>17</v>
      </c>
      <c r="G2132" s="0" t="s">
        <v>110</v>
      </c>
      <c r="H2132" s="13" t="n">
        <v>1110101</v>
      </c>
      <c r="I2132" s="0" t="s">
        <v>111</v>
      </c>
      <c r="J2132" s="13" t="n">
        <v>1739412</v>
      </c>
      <c r="L2132" s="13" t="n">
        <v>1739412</v>
      </c>
      <c r="M2132" s="0" t="s">
        <v>52</v>
      </c>
      <c r="N2132" s="0" t="s">
        <v>112</v>
      </c>
      <c r="P2132" s="13" t="n">
        <v>113</v>
      </c>
      <c r="Q2132" s="0" t="s">
        <v>46</v>
      </c>
      <c r="R2132" s="0" t="s">
        <v>71</v>
      </c>
      <c r="S2132" s="13" t="n">
        <v>4210310</v>
      </c>
      <c r="T2132" s="0" t="s">
        <v>126</v>
      </c>
      <c r="U2132" s="15" t="n">
        <v>72</v>
      </c>
      <c r="W2132" s="15" t="n">
        <v>72</v>
      </c>
      <c r="X2132" s="0" t="s">
        <v>1789</v>
      </c>
      <c r="Z2132" s="0" t="str">
        <f aca="false">IF($T2132="","",IFERROR(INDEX('Resumo Grupos'!$AC$3:$AC$200,MATCH($T2132,'Resumo Grupos'!$AB$3:$AB$200,0)),"n/d"))</f>
        <v>Despesa</v>
      </c>
      <c r="AA2132" s="0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3" t="n">
        <v>2</v>
      </c>
      <c r="B2133" s="14" t="n">
        <v>46285</v>
      </c>
      <c r="C2133" s="14" t="n">
        <v>46285</v>
      </c>
      <c r="D2133" s="13" t="n">
        <v>0</v>
      </c>
      <c r="E2133" s="0" t="s">
        <v>109</v>
      </c>
      <c r="F2133" s="13" t="n">
        <v>17</v>
      </c>
      <c r="G2133" s="0" t="s">
        <v>110</v>
      </c>
      <c r="H2133" s="13" t="n">
        <v>1110101</v>
      </c>
      <c r="I2133" s="0" t="s">
        <v>111</v>
      </c>
      <c r="J2133" s="13" t="n">
        <v>1739414</v>
      </c>
      <c r="L2133" s="13" t="n">
        <v>1739414</v>
      </c>
      <c r="M2133" s="0" t="s">
        <v>52</v>
      </c>
      <c r="N2133" s="0" t="s">
        <v>112</v>
      </c>
      <c r="P2133" s="13" t="n">
        <v>113</v>
      </c>
      <c r="Q2133" s="0" t="s">
        <v>46</v>
      </c>
      <c r="R2133" s="0" t="s">
        <v>71</v>
      </c>
      <c r="S2133" s="13" t="n">
        <v>4210316</v>
      </c>
      <c r="T2133" s="0" t="s">
        <v>159</v>
      </c>
      <c r="U2133" s="15" t="n">
        <v>100</v>
      </c>
      <c r="W2133" s="15" t="n">
        <v>100</v>
      </c>
      <c r="X2133" s="0" t="s">
        <v>1790</v>
      </c>
      <c r="Z2133" s="0" t="str">
        <f aca="false">IF($T2133="","",IFERROR(INDEX('Resumo Grupos'!$AC$3:$AC$200,MATCH($T2133,'Resumo Grupos'!$AB$3:$AB$200,0)),"n/d"))</f>
        <v>Salários</v>
      </c>
      <c r="AA2133" s="0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3" t="n">
        <v>2</v>
      </c>
      <c r="B2134" s="14" t="n">
        <v>46279</v>
      </c>
      <c r="C2134" s="14" t="n">
        <v>46286</v>
      </c>
      <c r="D2134" s="13" t="n">
        <v>1947</v>
      </c>
      <c r="E2134" s="0" t="s">
        <v>482</v>
      </c>
      <c r="F2134" s="13" t="n">
        <v>34</v>
      </c>
      <c r="G2134" s="0" t="s">
        <v>55</v>
      </c>
      <c r="H2134" s="13" t="n">
        <v>2110405</v>
      </c>
      <c r="I2134" s="0" t="s">
        <v>56</v>
      </c>
      <c r="J2134" s="13" t="n">
        <v>1700974</v>
      </c>
      <c r="L2134" s="13" t="n">
        <v>233361</v>
      </c>
      <c r="M2134" s="0" t="s">
        <v>52</v>
      </c>
      <c r="N2134" s="0" t="s">
        <v>45</v>
      </c>
      <c r="P2134" s="13" t="n">
        <v>101</v>
      </c>
      <c r="Q2134" s="0" t="s">
        <v>57</v>
      </c>
      <c r="R2134" s="0" t="s">
        <v>509</v>
      </c>
      <c r="S2134" s="13" t="n">
        <v>2110707</v>
      </c>
      <c r="T2134" s="0" t="s">
        <v>510</v>
      </c>
      <c r="U2134" s="15" t="n">
        <v>1638.57</v>
      </c>
      <c r="W2134" s="15" t="n">
        <v>1638.57</v>
      </c>
      <c r="X2134" s="0" t="s">
        <v>1791</v>
      </c>
      <c r="Z2134" s="0" t="str">
        <f aca="false">IF($T2134="","",IFERROR(INDEX('Resumo Grupos'!$AC$3:$AC$200,MATCH($T2134,'Resumo Grupos'!$AB$3:$AB$200,0)),"n/d"))</f>
        <v>Impostos</v>
      </c>
      <c r="AA2134" s="0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3" t="n">
        <v>2</v>
      </c>
      <c r="B2135" s="14" t="n">
        <v>46266</v>
      </c>
      <c r="C2135" s="14" t="n">
        <v>46286</v>
      </c>
      <c r="D2135" s="13" t="n">
        <v>794</v>
      </c>
      <c r="E2135" s="0" t="s">
        <v>335</v>
      </c>
      <c r="F2135" s="13" t="n">
        <v>24</v>
      </c>
      <c r="G2135" s="0" t="s">
        <v>51</v>
      </c>
      <c r="H2135" s="13" t="n">
        <v>2110405</v>
      </c>
      <c r="I2135" s="0" t="s">
        <v>56</v>
      </c>
      <c r="J2135" s="13" t="n">
        <v>1633936</v>
      </c>
      <c r="L2135" s="13" t="n">
        <v>224235</v>
      </c>
      <c r="M2135" s="0" t="s">
        <v>52</v>
      </c>
      <c r="N2135" s="0" t="s">
        <v>45</v>
      </c>
      <c r="P2135" s="13" t="n">
        <v>113</v>
      </c>
      <c r="Q2135" s="0" t="s">
        <v>46</v>
      </c>
      <c r="R2135" s="0" t="s">
        <v>39</v>
      </c>
      <c r="S2135" s="13" t="n">
        <v>4210299</v>
      </c>
      <c r="T2135" s="0" t="s">
        <v>165</v>
      </c>
      <c r="U2135" s="15" t="n">
        <v>1332.55</v>
      </c>
      <c r="W2135" s="15" t="n">
        <v>1332.55</v>
      </c>
      <c r="X2135" s="0" t="s">
        <v>1716</v>
      </c>
      <c r="Z2135" s="0" t="str">
        <f aca="false">IF($T2135="","",IFERROR(INDEX('Resumo Grupos'!$AC$3:$AC$200,MATCH($T2135,'Resumo Grupos'!$AB$3:$AB$200,0)),"n/d"))</f>
        <v>Despesa</v>
      </c>
      <c r="AA2135" s="0" t="str">
        <f aca="false">IF($T2135="","",IF(COUNTIF('Resumo Grupos'!$AE$3:$AE$40,$T2135)&gt;0,"NAO","SIM"))</f>
        <v>SIM</v>
      </c>
      <c r="AB2135" s="0" t="str">
        <f aca="false">IFERROR(INDEX('Mov Entradas (Rel 10497)'!$L:$L,MATCH(AC2135,'Mov Entradas (Rel 10497)'!$I:$I,0)),"nao encontrado")</f>
        <v>SACOLA BRC. L. ALIP.</v>
      </c>
      <c r="AC2135" s="0" t="n">
        <v>8802</v>
      </c>
    </row>
    <row r="2136" customFormat="false" ht="12.75" hidden="false" customHeight="true" outlineLevel="0" collapsed="false">
      <c r="A2136" s="13" t="n">
        <v>2</v>
      </c>
      <c r="B2136" s="14" t="n">
        <v>46283</v>
      </c>
      <c r="C2136" s="14" t="n">
        <v>46286</v>
      </c>
      <c r="D2136" s="13" t="n">
        <v>10035</v>
      </c>
      <c r="E2136" s="0" t="s">
        <v>86</v>
      </c>
      <c r="F2136" s="13" t="n">
        <v>34</v>
      </c>
      <c r="G2136" s="0" t="s">
        <v>55</v>
      </c>
      <c r="H2136" s="13" t="n">
        <v>2110405</v>
      </c>
      <c r="I2136" s="0" t="s">
        <v>56</v>
      </c>
      <c r="J2136" s="13" t="n">
        <v>1719597</v>
      </c>
      <c r="L2136" s="13" t="n">
        <v>236379</v>
      </c>
      <c r="M2136" s="0" t="s">
        <v>52</v>
      </c>
      <c r="N2136" s="0" t="s">
        <v>45</v>
      </c>
      <c r="P2136" s="13" t="n">
        <v>113</v>
      </c>
      <c r="Q2136" s="0" t="s">
        <v>46</v>
      </c>
      <c r="R2136" s="0" t="s">
        <v>47</v>
      </c>
      <c r="S2136" s="13" t="n">
        <v>1130101</v>
      </c>
      <c r="T2136" s="0" t="s">
        <v>48</v>
      </c>
      <c r="U2136" s="15" t="n">
        <v>309.5</v>
      </c>
      <c r="W2136" s="15" t="n">
        <v>309.5</v>
      </c>
      <c r="X2136" s="0" t="s">
        <v>1792</v>
      </c>
      <c r="Z2136" s="0" t="str">
        <f aca="false">IF($T2136="","",IFERROR(INDEX('Resumo Grupos'!$AC$3:$AC$200,MATCH($T2136,'Resumo Grupos'!$AB$3:$AB$200,0)),"n/d"))</f>
        <v>Mercadoria</v>
      </c>
      <c r="AA2136" s="0" t="str">
        <f aca="false">IF($T2136="","",IF(COUNTIF('Resumo Grupos'!$AE$3:$AE$40,$T2136)&gt;0,"NAO","SIM"))</f>
        <v>SIM</v>
      </c>
      <c r="AB2136" s="0" t="str">
        <f aca="false">IFERROR(INDEX('Mov Entradas (Rel 10497)'!$L:$L,MATCH(AC2136,'Mov Entradas (Rel 10497)'!$I:$I,0)),"nao encontrado")</f>
        <v>CARVAO VEGETAL 3KG</v>
      </c>
      <c r="AC2136" s="0" t="n">
        <v>444</v>
      </c>
    </row>
    <row r="2137" customFormat="false" ht="12.75" hidden="false" customHeight="true" outlineLevel="0" collapsed="false">
      <c r="A2137" s="13" t="n">
        <v>2</v>
      </c>
      <c r="B2137" s="14" t="n">
        <v>46268</v>
      </c>
      <c r="C2137" s="14" t="n">
        <v>46286</v>
      </c>
      <c r="D2137" s="13" t="n">
        <v>1611</v>
      </c>
      <c r="E2137" s="0" t="s">
        <v>178</v>
      </c>
      <c r="F2137" s="13" t="n">
        <v>24</v>
      </c>
      <c r="G2137" s="0" t="s">
        <v>51</v>
      </c>
      <c r="H2137" s="13" t="n">
        <v>2110405</v>
      </c>
      <c r="I2137" s="0" t="s">
        <v>56</v>
      </c>
      <c r="J2137" s="13" t="n">
        <v>1646253</v>
      </c>
      <c r="L2137" s="13" t="n">
        <v>225904</v>
      </c>
      <c r="M2137" s="0" t="s">
        <v>52</v>
      </c>
      <c r="N2137" s="0" t="s">
        <v>45</v>
      </c>
      <c r="P2137" s="13" t="n">
        <v>113</v>
      </c>
      <c r="Q2137" s="0" t="s">
        <v>46</v>
      </c>
      <c r="R2137" s="0" t="s">
        <v>47</v>
      </c>
      <c r="S2137" s="13" t="n">
        <v>1130101</v>
      </c>
      <c r="T2137" s="0" t="s">
        <v>48</v>
      </c>
      <c r="U2137" s="15" t="n">
        <v>176.57</v>
      </c>
      <c r="W2137" s="15" t="n">
        <v>176.57</v>
      </c>
      <c r="X2137" s="0" t="s">
        <v>1719</v>
      </c>
      <c r="Z2137" s="0" t="str">
        <f aca="false">IF($T2137="","",IFERROR(INDEX('Resumo Grupos'!$AC$3:$AC$200,MATCH($T2137,'Resumo Grupos'!$AB$3:$AB$200,0)),"n/d"))</f>
        <v>Mercadoria</v>
      </c>
      <c r="AA2137" s="0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3" t="n">
        <v>2</v>
      </c>
      <c r="B2138" s="14" t="n">
        <v>46253</v>
      </c>
      <c r="C2138" s="14" t="n">
        <v>46286</v>
      </c>
      <c r="D2138" s="13" t="n">
        <v>616</v>
      </c>
      <c r="E2138" s="0" t="s">
        <v>941</v>
      </c>
      <c r="F2138" s="13" t="n">
        <v>24</v>
      </c>
      <c r="G2138" s="0" t="s">
        <v>51</v>
      </c>
      <c r="H2138" s="13" t="n">
        <v>2110405</v>
      </c>
      <c r="I2138" s="0" t="s">
        <v>56</v>
      </c>
      <c r="J2138" s="13" t="n">
        <v>1572206</v>
      </c>
      <c r="L2138" s="13" t="n">
        <v>214775</v>
      </c>
      <c r="M2138" s="0" t="s">
        <v>52</v>
      </c>
      <c r="N2138" s="0" t="s">
        <v>45</v>
      </c>
      <c r="P2138" s="13" t="n">
        <v>113</v>
      </c>
      <c r="Q2138" s="0" t="s">
        <v>46</v>
      </c>
      <c r="R2138" s="0" t="s">
        <v>47</v>
      </c>
      <c r="S2138" s="13" t="n">
        <v>1130101</v>
      </c>
      <c r="T2138" s="0" t="s">
        <v>48</v>
      </c>
      <c r="U2138" s="15" t="n">
        <v>983.77</v>
      </c>
      <c r="W2138" s="15" t="n">
        <v>983.77</v>
      </c>
      <c r="X2138" s="0" t="s">
        <v>1620</v>
      </c>
      <c r="Z2138" s="0" t="str">
        <f aca="false">IF($T2138="","",IFERROR(INDEX('Resumo Grupos'!$AC$3:$AC$200,MATCH($T2138,'Resumo Grupos'!$AB$3:$AB$200,0)),"n/d"))</f>
        <v>Mercadoria</v>
      </c>
      <c r="AA2138" s="0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3" t="n">
        <v>2</v>
      </c>
      <c r="B2139" s="14" t="n">
        <v>46259</v>
      </c>
      <c r="C2139" s="14" t="n">
        <v>46286</v>
      </c>
      <c r="D2139" s="13" t="n">
        <v>10009</v>
      </c>
      <c r="E2139" s="0" t="s">
        <v>464</v>
      </c>
      <c r="F2139" s="13" t="n">
        <v>24</v>
      </c>
      <c r="G2139" s="0" t="s">
        <v>51</v>
      </c>
      <c r="H2139" s="13" t="n">
        <v>2110405</v>
      </c>
      <c r="I2139" s="0" t="s">
        <v>56</v>
      </c>
      <c r="J2139" s="13" t="n">
        <v>1600247</v>
      </c>
      <c r="L2139" s="13" t="n">
        <v>219128</v>
      </c>
      <c r="M2139" s="0" t="s">
        <v>52</v>
      </c>
      <c r="N2139" s="0" t="s">
        <v>45</v>
      </c>
      <c r="P2139" s="13" t="n">
        <v>113</v>
      </c>
      <c r="Q2139" s="0" t="s">
        <v>46</v>
      </c>
      <c r="R2139" s="0" t="s">
        <v>47</v>
      </c>
      <c r="S2139" s="13" t="n">
        <v>1130101</v>
      </c>
      <c r="T2139" s="0" t="s">
        <v>48</v>
      </c>
      <c r="U2139" s="15" t="n">
        <v>1255.7</v>
      </c>
      <c r="W2139" s="15" t="n">
        <v>1255.7</v>
      </c>
      <c r="X2139" s="0" t="s">
        <v>1793</v>
      </c>
      <c r="Z2139" s="0" t="str">
        <f aca="false">IF($T2139="","",IFERROR(INDEX('Resumo Grupos'!$AC$3:$AC$200,MATCH($T2139,'Resumo Grupos'!$AB$3:$AB$200,0)),"n/d"))</f>
        <v>Mercadoria</v>
      </c>
      <c r="AA2139" s="0" t="str">
        <f aca="false">IF($T2139="","",IF(COUNTIF('Resumo Grupos'!$AE$3:$AE$40,$T2139)&gt;0,"NAO","SIM"))</f>
        <v>SIM</v>
      </c>
      <c r="AB2139" s="0" t="str">
        <f aca="false">IFERROR(INDEX('Mov Entradas (Rel 10497)'!$L:$L,MATCH(AC2139,'Mov Entradas (Rel 10497)'!$I:$I,0)),"nao encontrado")</f>
        <v>TALENTO CSTN 85G</v>
      </c>
      <c r="AC2139" s="0" t="n">
        <v>1441731</v>
      </c>
    </row>
    <row r="2140" customFormat="false" ht="12.75" hidden="false" customHeight="true" outlineLevel="0" collapsed="false">
      <c r="A2140" s="13" t="n">
        <v>2</v>
      </c>
      <c r="B2140" s="14" t="n">
        <v>46286</v>
      </c>
      <c r="C2140" s="14" t="n">
        <v>46286</v>
      </c>
      <c r="D2140" s="13" t="n">
        <v>48</v>
      </c>
      <c r="E2140" s="0" t="s">
        <v>153</v>
      </c>
      <c r="F2140" s="13" t="n">
        <v>13</v>
      </c>
      <c r="G2140" s="0" t="s">
        <v>135</v>
      </c>
      <c r="H2140" s="13" t="n">
        <v>2110101</v>
      </c>
      <c r="I2140" s="0" t="s">
        <v>43</v>
      </c>
      <c r="J2140" s="13" t="n">
        <v>1734519</v>
      </c>
      <c r="L2140" s="13" t="n">
        <v>2686</v>
      </c>
      <c r="M2140" s="0" t="s">
        <v>52</v>
      </c>
      <c r="N2140" s="0" t="s">
        <v>37</v>
      </c>
      <c r="P2140" s="13" t="n">
        <v>113</v>
      </c>
      <c r="Q2140" s="0" t="s">
        <v>46</v>
      </c>
      <c r="R2140" s="0" t="s">
        <v>47</v>
      </c>
      <c r="S2140" s="13" t="n">
        <v>1130101</v>
      </c>
      <c r="T2140" s="0" t="s">
        <v>48</v>
      </c>
      <c r="U2140" s="15" t="n">
        <v>225</v>
      </c>
      <c r="W2140" s="15" t="n">
        <v>0</v>
      </c>
      <c r="X2140" s="0" t="s">
        <v>1794</v>
      </c>
      <c r="Z2140" s="0" t="str">
        <f aca="false">IF($T2140="","",IFERROR(INDEX('Resumo Grupos'!$AC$3:$AC$200,MATCH($T2140,'Resumo Grupos'!$AB$3:$AB$200,0)),"n/d"))</f>
        <v>Mercadoria</v>
      </c>
      <c r="AA2140" s="0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3" t="n">
        <v>2</v>
      </c>
      <c r="B2141" s="14" t="n">
        <v>46282</v>
      </c>
      <c r="C2141" s="14" t="n">
        <v>46286</v>
      </c>
      <c r="D2141" s="13" t="n">
        <v>1899</v>
      </c>
      <c r="E2141" s="0" t="s">
        <v>204</v>
      </c>
      <c r="F2141" s="13" t="n">
        <v>24</v>
      </c>
      <c r="G2141" s="0" t="s">
        <v>51</v>
      </c>
      <c r="H2141" s="13" t="n">
        <v>2110405</v>
      </c>
      <c r="I2141" s="0" t="s">
        <v>56</v>
      </c>
      <c r="J2141" s="13" t="n">
        <v>1715441</v>
      </c>
      <c r="L2141" s="13" t="n">
        <v>235747</v>
      </c>
      <c r="M2141" s="0" t="s">
        <v>52</v>
      </c>
      <c r="N2141" s="0" t="s">
        <v>45</v>
      </c>
      <c r="P2141" s="13" t="n">
        <v>113</v>
      </c>
      <c r="Q2141" s="0" t="s">
        <v>46</v>
      </c>
      <c r="R2141" s="0" t="s">
        <v>47</v>
      </c>
      <c r="S2141" s="13" t="n">
        <v>1130101</v>
      </c>
      <c r="T2141" s="0" t="s">
        <v>48</v>
      </c>
      <c r="U2141" s="15" t="n">
        <v>159.95</v>
      </c>
      <c r="W2141" s="15" t="n">
        <v>159.95</v>
      </c>
      <c r="X2141" s="0" t="s">
        <v>1795</v>
      </c>
      <c r="Z2141" s="0" t="str">
        <f aca="false">IF($T2141="","",IFERROR(INDEX('Resumo Grupos'!$AC$3:$AC$200,MATCH($T2141,'Resumo Grupos'!$AB$3:$AB$200,0)),"n/d"))</f>
        <v>Mercadoria</v>
      </c>
      <c r="AA2141" s="0" t="str">
        <f aca="false">IF($T2141="","",IF(COUNTIF('Resumo Grupos'!$AE$3:$AE$40,$T2141)&gt;0,"NAO","SIM"))</f>
        <v>SIM</v>
      </c>
      <c r="AB2141" s="0" t="str">
        <f aca="false">IFERROR(INDEX('Mov Entradas (Rel 10497)'!$L:$L,MATCH(AC2141,'Mov Entradas (Rel 10497)'!$I:$I,0)),"nao encontrado")</f>
        <v>PAO DE FORMA REAL MA</v>
      </c>
      <c r="AC2141" s="0" t="n">
        <v>807</v>
      </c>
    </row>
    <row r="2142" customFormat="false" ht="12.75" hidden="false" customHeight="true" outlineLevel="0" collapsed="false">
      <c r="A2142" s="13" t="n">
        <v>2</v>
      </c>
      <c r="B2142" s="14" t="n">
        <v>46286</v>
      </c>
      <c r="C2142" s="14" t="n">
        <v>46286</v>
      </c>
      <c r="D2142" s="13" t="n">
        <v>514</v>
      </c>
      <c r="E2142" s="0" t="s">
        <v>759</v>
      </c>
      <c r="F2142" s="13" t="n">
        <v>34</v>
      </c>
      <c r="G2142" s="0" t="s">
        <v>55</v>
      </c>
      <c r="H2142" s="13" t="n">
        <v>2110405</v>
      </c>
      <c r="I2142" s="0" t="s">
        <v>56</v>
      </c>
      <c r="J2142" s="13" t="n">
        <v>1736075</v>
      </c>
      <c r="L2142" s="13" t="n">
        <v>238789</v>
      </c>
      <c r="M2142" s="0" t="s">
        <v>52</v>
      </c>
      <c r="N2142" s="0" t="s">
        <v>45</v>
      </c>
      <c r="P2142" s="13" t="n">
        <v>101</v>
      </c>
      <c r="Q2142" s="0" t="s">
        <v>57</v>
      </c>
      <c r="R2142" s="0" t="s">
        <v>138</v>
      </c>
      <c r="S2142" s="13" t="n">
        <v>4210504</v>
      </c>
      <c r="T2142" s="0" t="s">
        <v>143</v>
      </c>
      <c r="U2142" s="15" t="n">
        <v>4.1</v>
      </c>
      <c r="W2142" s="15" t="n">
        <v>0</v>
      </c>
      <c r="X2142" s="0" t="s">
        <v>1796</v>
      </c>
      <c r="Z2142" s="0" t="str">
        <f aca="false">IF($T2142="","",IFERROR(INDEX('Resumo Grupos'!$AC$3:$AC$200,MATCH($T2142,'Resumo Grupos'!$AB$3:$AB$200,0)),"n/d"))</f>
        <v>Despesa</v>
      </c>
      <c r="AA2142" s="0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3" t="n">
        <v>2</v>
      </c>
      <c r="B2143" s="14" t="n">
        <v>46254</v>
      </c>
      <c r="C2143" s="14" t="n">
        <v>46286</v>
      </c>
      <c r="D2143" s="13" t="n">
        <v>10012</v>
      </c>
      <c r="E2143" s="0" t="s">
        <v>185</v>
      </c>
      <c r="F2143" s="13" t="n">
        <v>24</v>
      </c>
      <c r="G2143" s="0" t="s">
        <v>51</v>
      </c>
      <c r="H2143" s="13" t="n">
        <v>2110405</v>
      </c>
      <c r="I2143" s="0" t="s">
        <v>56</v>
      </c>
      <c r="J2143" s="13" t="n">
        <v>1577225</v>
      </c>
      <c r="L2143" s="13" t="n">
        <v>215620</v>
      </c>
      <c r="M2143" s="0" t="s">
        <v>52</v>
      </c>
      <c r="N2143" s="0" t="s">
        <v>45</v>
      </c>
      <c r="P2143" s="13" t="n">
        <v>113</v>
      </c>
      <c r="Q2143" s="0" t="s">
        <v>46</v>
      </c>
      <c r="R2143" s="0" t="s">
        <v>47</v>
      </c>
      <c r="S2143" s="13" t="n">
        <v>1130101</v>
      </c>
      <c r="T2143" s="0" t="s">
        <v>48</v>
      </c>
      <c r="U2143" s="15" t="n">
        <v>521.74</v>
      </c>
      <c r="W2143" s="15" t="n">
        <v>521.74</v>
      </c>
      <c r="X2143" s="0" t="s">
        <v>1623</v>
      </c>
      <c r="Z2143" s="0" t="str">
        <f aca="false">IF($T2143="","",IFERROR(INDEX('Resumo Grupos'!$AC$3:$AC$200,MATCH($T2143,'Resumo Grupos'!$AB$3:$AB$200,0)),"n/d"))</f>
        <v>Mercadoria</v>
      </c>
      <c r="AA2143" s="0" t="str">
        <f aca="false">IF($T2143="","",IF(COUNTIF('Resumo Grupos'!$AE$3:$AE$40,$T2143)&gt;0,"NAO","SIM"))</f>
        <v>SIM</v>
      </c>
      <c r="AB2143" s="0" t="str">
        <f aca="false">IFERROR(INDEX('Mov Entradas (Rel 10497)'!$L:$L,MATCH(AC2143,'Mov Entradas (Rel 10497)'!$I:$I,0)),"nao encontrado")</f>
        <v>SAB PHEBO ODOR90G</v>
      </c>
      <c r="AC2143" s="0" t="n">
        <v>1966312</v>
      </c>
    </row>
    <row r="2144" customFormat="false" ht="12.75" hidden="false" customHeight="true" outlineLevel="0" collapsed="false">
      <c r="A2144" s="13" t="n">
        <v>2</v>
      </c>
      <c r="B2144" s="14" t="n">
        <v>46286</v>
      </c>
      <c r="C2144" s="14" t="n">
        <v>46286</v>
      </c>
      <c r="D2144" s="13" t="n">
        <v>0</v>
      </c>
      <c r="E2144" s="0" t="s">
        <v>109</v>
      </c>
      <c r="F2144" s="13" t="n">
        <v>17</v>
      </c>
      <c r="G2144" s="0" t="s">
        <v>110</v>
      </c>
      <c r="H2144" s="13" t="n">
        <v>1110101</v>
      </c>
      <c r="I2144" s="0" t="s">
        <v>111</v>
      </c>
      <c r="J2144" s="13" t="n">
        <v>1739438</v>
      </c>
      <c r="L2144" s="13" t="n">
        <v>1739438</v>
      </c>
      <c r="M2144" s="0" t="s">
        <v>52</v>
      </c>
      <c r="N2144" s="0" t="s">
        <v>112</v>
      </c>
      <c r="P2144" s="13" t="n">
        <v>113</v>
      </c>
      <c r="Q2144" s="0" t="s">
        <v>46</v>
      </c>
      <c r="R2144" s="0" t="s">
        <v>71</v>
      </c>
      <c r="S2144" s="13" t="n">
        <v>4210314</v>
      </c>
      <c r="T2144" s="0" t="s">
        <v>113</v>
      </c>
      <c r="U2144" s="15" t="n">
        <v>70</v>
      </c>
      <c r="W2144" s="15" t="n">
        <v>70</v>
      </c>
      <c r="X2144" s="0" t="s">
        <v>1797</v>
      </c>
      <c r="Z2144" s="0" t="str">
        <f aca="false">IF($T2144="","",IFERROR(INDEX('Resumo Grupos'!$AC$3:$AC$200,MATCH($T2144,'Resumo Grupos'!$AB$3:$AB$200,0)),"n/d"))</f>
        <v>Despesa</v>
      </c>
      <c r="AA2144" s="0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3" t="n">
        <v>2</v>
      </c>
      <c r="B2145" s="14" t="n">
        <v>46286</v>
      </c>
      <c r="C2145" s="14" t="n">
        <v>46286</v>
      </c>
      <c r="D2145" s="13" t="n">
        <v>0</v>
      </c>
      <c r="E2145" s="0" t="s">
        <v>109</v>
      </c>
      <c r="F2145" s="13" t="n">
        <v>17</v>
      </c>
      <c r="G2145" s="0" t="s">
        <v>110</v>
      </c>
      <c r="H2145" s="13" t="n">
        <v>1110101</v>
      </c>
      <c r="I2145" s="0" t="s">
        <v>111</v>
      </c>
      <c r="J2145" s="13" t="n">
        <v>1739440</v>
      </c>
      <c r="L2145" s="13" t="n">
        <v>1739440</v>
      </c>
      <c r="M2145" s="0" t="s">
        <v>52</v>
      </c>
      <c r="N2145" s="0" t="s">
        <v>112</v>
      </c>
      <c r="P2145" s="13" t="n">
        <v>113</v>
      </c>
      <c r="Q2145" s="0" t="s">
        <v>46</v>
      </c>
      <c r="R2145" s="0" t="s">
        <v>71</v>
      </c>
      <c r="S2145" s="13" t="n">
        <v>4210314</v>
      </c>
      <c r="T2145" s="0" t="s">
        <v>113</v>
      </c>
      <c r="U2145" s="15" t="n">
        <v>100</v>
      </c>
      <c r="W2145" s="15" t="n">
        <v>100</v>
      </c>
      <c r="X2145" s="0" t="s">
        <v>1706</v>
      </c>
      <c r="Z2145" s="0" t="str">
        <f aca="false">IF($T2145="","",IFERROR(INDEX('Resumo Grupos'!$AC$3:$AC$200,MATCH($T2145,'Resumo Grupos'!$AB$3:$AB$200,0)),"n/d"))</f>
        <v>Despesa</v>
      </c>
      <c r="AA2145" s="0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3" t="n">
        <v>2</v>
      </c>
      <c r="B2146" s="14" t="n">
        <v>46286</v>
      </c>
      <c r="C2146" s="14" t="n">
        <v>46286</v>
      </c>
      <c r="D2146" s="13" t="n">
        <v>0</v>
      </c>
      <c r="E2146" s="0" t="s">
        <v>109</v>
      </c>
      <c r="F2146" s="13" t="n">
        <v>17</v>
      </c>
      <c r="G2146" s="0" t="s">
        <v>110</v>
      </c>
      <c r="H2146" s="13" t="n">
        <v>1110101</v>
      </c>
      <c r="I2146" s="0" t="s">
        <v>111</v>
      </c>
      <c r="J2146" s="13" t="n">
        <v>1739443</v>
      </c>
      <c r="L2146" s="13" t="n">
        <v>1739443</v>
      </c>
      <c r="M2146" s="0" t="s">
        <v>52</v>
      </c>
      <c r="N2146" s="0" t="s">
        <v>112</v>
      </c>
      <c r="P2146" s="13" t="n">
        <v>113</v>
      </c>
      <c r="Q2146" s="0" t="s">
        <v>46</v>
      </c>
      <c r="R2146" s="0" t="s">
        <v>71</v>
      </c>
      <c r="S2146" s="13" t="n">
        <v>4210314</v>
      </c>
      <c r="T2146" s="0" t="s">
        <v>113</v>
      </c>
      <c r="U2146" s="15" t="n">
        <v>70</v>
      </c>
      <c r="W2146" s="15" t="n">
        <v>70</v>
      </c>
      <c r="X2146" s="0" t="s">
        <v>115</v>
      </c>
      <c r="Z2146" s="0" t="str">
        <f aca="false">IF($T2146="","",IFERROR(INDEX('Resumo Grupos'!$AC$3:$AC$200,MATCH($T2146,'Resumo Grupos'!$AB$3:$AB$200,0)),"n/d"))</f>
        <v>Despesa</v>
      </c>
      <c r="AA2146" s="0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3" t="n">
        <v>2</v>
      </c>
      <c r="B2147" s="14" t="n">
        <v>46262</v>
      </c>
      <c r="C2147" s="14" t="n">
        <v>46286</v>
      </c>
      <c r="D2147" s="13" t="n">
        <v>1196</v>
      </c>
      <c r="E2147" s="0" t="s">
        <v>1470</v>
      </c>
      <c r="F2147" s="13" t="n">
        <v>24</v>
      </c>
      <c r="G2147" s="0" t="s">
        <v>51</v>
      </c>
      <c r="H2147" s="13" t="n">
        <v>2110405</v>
      </c>
      <c r="I2147" s="0" t="s">
        <v>56</v>
      </c>
      <c r="J2147" s="13" t="n">
        <v>1614556</v>
      </c>
      <c r="L2147" s="13" t="n">
        <v>221461</v>
      </c>
      <c r="M2147" s="0" t="s">
        <v>52</v>
      </c>
      <c r="N2147" s="0" t="s">
        <v>45</v>
      </c>
      <c r="P2147" s="13" t="n">
        <v>113</v>
      </c>
      <c r="Q2147" s="0" t="s">
        <v>46</v>
      </c>
      <c r="R2147" s="0" t="s">
        <v>47</v>
      </c>
      <c r="S2147" s="13" t="n">
        <v>1130101</v>
      </c>
      <c r="T2147" s="0" t="s">
        <v>48</v>
      </c>
      <c r="U2147" s="15" t="n">
        <v>1213.95</v>
      </c>
      <c r="W2147" s="15" t="n">
        <v>1213.95</v>
      </c>
      <c r="X2147" s="0" t="s">
        <v>1730</v>
      </c>
      <c r="Z2147" s="0" t="str">
        <f aca="false">IF($T2147="","",IFERROR(INDEX('Resumo Grupos'!$AC$3:$AC$200,MATCH($T2147,'Resumo Grupos'!$AB$3:$AB$200,0)),"n/d"))</f>
        <v>Mercadoria</v>
      </c>
      <c r="AA2147" s="0" t="str">
        <f aca="false">IF($T2147="","",IF(COUNTIF('Resumo Grupos'!$AE$3:$AE$40,$T2147)&gt;0,"NAO","SIM"))</f>
        <v>SIM</v>
      </c>
      <c r="AB2147" s="0" t="str">
        <f aca="false">IFERROR(INDEX('Mov Entradas (Rel 10497)'!$L:$L,MATCH(AC2147,'Mov Entradas (Rel 10497)'!$I:$I,0)),"nao encontrado")</f>
        <v>CAFÉ RANCHEIRO 250G</v>
      </c>
      <c r="AC2147" s="0" t="n">
        <v>13070</v>
      </c>
    </row>
    <row r="2148" customFormat="false" ht="12.75" hidden="false" customHeight="true" outlineLevel="0" collapsed="false">
      <c r="A2148" s="13" t="n">
        <v>2</v>
      </c>
      <c r="B2148" s="14" t="n">
        <v>46284</v>
      </c>
      <c r="C2148" s="14" t="n">
        <v>46287</v>
      </c>
      <c r="D2148" s="13" t="n">
        <v>642</v>
      </c>
      <c r="E2148" s="0" t="s">
        <v>123</v>
      </c>
      <c r="F2148" s="13" t="n">
        <v>24</v>
      </c>
      <c r="G2148" s="0" t="s">
        <v>51</v>
      </c>
      <c r="H2148" s="13" t="n">
        <v>2110405</v>
      </c>
      <c r="I2148" s="0" t="s">
        <v>56</v>
      </c>
      <c r="J2148" s="13" t="n">
        <v>1724329</v>
      </c>
      <c r="L2148" s="13" t="n">
        <v>237156</v>
      </c>
      <c r="M2148" s="0" t="s">
        <v>52</v>
      </c>
      <c r="N2148" s="0" t="s">
        <v>45</v>
      </c>
      <c r="P2148" s="13" t="n">
        <v>113</v>
      </c>
      <c r="Q2148" s="0" t="s">
        <v>46</v>
      </c>
      <c r="R2148" s="0" t="s">
        <v>47</v>
      </c>
      <c r="S2148" s="13" t="n">
        <v>1130101</v>
      </c>
      <c r="T2148" s="0" t="s">
        <v>48</v>
      </c>
      <c r="U2148" s="15" t="n">
        <v>180</v>
      </c>
      <c r="W2148" s="15" t="n">
        <v>180</v>
      </c>
      <c r="X2148" s="0" t="s">
        <v>1798</v>
      </c>
      <c r="Z2148" s="0" t="str">
        <f aca="false">IF($T2148="","",IFERROR(INDEX('Resumo Grupos'!$AC$3:$AC$200,MATCH($T2148,'Resumo Grupos'!$AB$3:$AB$200,0)),"n/d"))</f>
        <v>Mercadoria</v>
      </c>
      <c r="AA2148" s="0" t="str">
        <f aca="false">IF($T2148="","",IF(COUNTIF('Resumo Grupos'!$AE$3:$AE$40,$T2148)&gt;0,"NAO","SIM"))</f>
        <v>SIM</v>
      </c>
      <c r="AB2148" s="0" t="str">
        <f aca="false">IFERROR(INDEX('Mov Entradas (Rel 10497)'!$L:$L,MATCH(AC2148,'Mov Entradas (Rel 10497)'!$I:$I,0)),"nao encontrado")</f>
        <v>BOLO BLOOM 600G</v>
      </c>
      <c r="AC2148" s="0" t="n">
        <v>668</v>
      </c>
    </row>
    <row r="2149" customFormat="false" ht="12.75" hidden="false" customHeight="true" outlineLevel="0" collapsed="false">
      <c r="A2149" s="13" t="n">
        <v>2</v>
      </c>
      <c r="B2149" s="14" t="n">
        <v>46261</v>
      </c>
      <c r="C2149" s="14" t="n">
        <v>46287</v>
      </c>
      <c r="D2149" s="13" t="n">
        <v>1637</v>
      </c>
      <c r="E2149" s="0" t="s">
        <v>871</v>
      </c>
      <c r="F2149" s="13" t="n">
        <v>24</v>
      </c>
      <c r="G2149" s="0" t="s">
        <v>51</v>
      </c>
      <c r="H2149" s="13" t="n">
        <v>2110405</v>
      </c>
      <c r="I2149" s="0" t="s">
        <v>56</v>
      </c>
      <c r="J2149" s="13" t="n">
        <v>1609012</v>
      </c>
      <c r="L2149" s="13" t="n">
        <v>220473</v>
      </c>
      <c r="M2149" s="0" t="s">
        <v>52</v>
      </c>
      <c r="N2149" s="0" t="s">
        <v>45</v>
      </c>
      <c r="P2149" s="13" t="n">
        <v>113</v>
      </c>
      <c r="Q2149" s="0" t="s">
        <v>46</v>
      </c>
      <c r="R2149" s="0" t="s">
        <v>47</v>
      </c>
      <c r="S2149" s="13" t="n">
        <v>1130101</v>
      </c>
      <c r="T2149" s="0" t="s">
        <v>48</v>
      </c>
      <c r="U2149" s="15" t="n">
        <v>942.69</v>
      </c>
      <c r="W2149" s="15" t="n">
        <v>942.69</v>
      </c>
      <c r="X2149" s="0" t="s">
        <v>1799</v>
      </c>
      <c r="Z2149" s="0" t="str">
        <f aca="false">IF($T2149="","",IFERROR(INDEX('Resumo Grupos'!$AC$3:$AC$200,MATCH($T2149,'Resumo Grupos'!$AB$3:$AB$200,0)),"n/d"))</f>
        <v>Mercadoria</v>
      </c>
      <c r="AA2149" s="0" t="str">
        <f aca="false">IF($T2149="","",IF(COUNTIF('Resumo Grupos'!$AE$3:$AE$40,$T2149)&gt;0,"NAO","SIM"))</f>
        <v>SIM</v>
      </c>
      <c r="AB2149" s="0" t="str">
        <f aca="false">IFERROR(INDEX('Mov Entradas (Rel 10497)'!$L:$L,MATCH(AC2149,'Mov Entradas (Rel 10497)'!$I:$I,0)),"nao encontrado")</f>
        <v>LEITE NINHO INTEGRAL380G LT</v>
      </c>
      <c r="AC2149" s="0" t="n">
        <v>1925381</v>
      </c>
    </row>
    <row r="2150" customFormat="false" ht="12.75" hidden="false" customHeight="true" outlineLevel="0" collapsed="false">
      <c r="A2150" s="13" t="n">
        <v>2</v>
      </c>
      <c r="B2150" s="14" t="n">
        <v>46260</v>
      </c>
      <c r="C2150" s="14" t="n">
        <v>46287</v>
      </c>
      <c r="D2150" s="13" t="n">
        <v>1601</v>
      </c>
      <c r="E2150" s="0" t="s">
        <v>193</v>
      </c>
      <c r="F2150" s="13" t="n">
        <v>24</v>
      </c>
      <c r="G2150" s="0" t="s">
        <v>51</v>
      </c>
      <c r="H2150" s="13" t="n">
        <v>2110405</v>
      </c>
      <c r="I2150" s="0" t="s">
        <v>56</v>
      </c>
      <c r="J2150" s="13" t="n">
        <v>1604000</v>
      </c>
      <c r="L2150" s="13" t="n">
        <v>219688</v>
      </c>
      <c r="M2150" s="0" t="s">
        <v>52</v>
      </c>
      <c r="N2150" s="0" t="s">
        <v>45</v>
      </c>
      <c r="P2150" s="13" t="n">
        <v>113</v>
      </c>
      <c r="Q2150" s="0" t="s">
        <v>46</v>
      </c>
      <c r="R2150" s="0" t="s">
        <v>47</v>
      </c>
      <c r="S2150" s="13" t="n">
        <v>1130101</v>
      </c>
      <c r="T2150" s="0" t="s">
        <v>48</v>
      </c>
      <c r="U2150" s="15" t="n">
        <v>843.65</v>
      </c>
      <c r="W2150" s="15" t="n">
        <v>843.65</v>
      </c>
      <c r="X2150" s="0" t="s">
        <v>1633</v>
      </c>
      <c r="Z2150" s="0" t="str">
        <f aca="false">IF($T2150="","",IFERROR(INDEX('Resumo Grupos'!$AC$3:$AC$200,MATCH($T2150,'Resumo Grupos'!$AB$3:$AB$200,0)),"n/d"))</f>
        <v>Mercadoria</v>
      </c>
      <c r="AA2150" s="0" t="str">
        <f aca="false">IF($T2150="","",IF(COUNTIF('Resumo Grupos'!$AE$3:$AE$40,$T2150)&gt;0,"NAO","SIM"))</f>
        <v>SIM</v>
      </c>
      <c r="AB2150" s="0" t="str">
        <f aca="false">IFERROR(INDEX('Mov Entradas (Rel 10497)'!$L:$L,MATCH(AC2150,'Mov Entradas (Rel 10497)'!$I:$I,0)),"nao encontrado")</f>
        <v>HEINZ YELLOW MUSTARD</v>
      </c>
      <c r="AC2150" s="0" t="n">
        <v>866347</v>
      </c>
    </row>
    <row r="2151" customFormat="false" ht="12.75" hidden="false" customHeight="true" outlineLevel="0" collapsed="false">
      <c r="A2151" s="13" t="n">
        <v>2</v>
      </c>
      <c r="B2151" s="14" t="n">
        <v>46260</v>
      </c>
      <c r="C2151" s="14" t="n">
        <v>46287</v>
      </c>
      <c r="D2151" s="13" t="n">
        <v>794</v>
      </c>
      <c r="E2151" s="0" t="s">
        <v>335</v>
      </c>
      <c r="F2151" s="13" t="n">
        <v>24</v>
      </c>
      <c r="G2151" s="0" t="s">
        <v>51</v>
      </c>
      <c r="H2151" s="13" t="n">
        <v>2110405</v>
      </c>
      <c r="I2151" s="0" t="s">
        <v>56</v>
      </c>
      <c r="J2151" s="13" t="n">
        <v>1604329</v>
      </c>
      <c r="L2151" s="13" t="n">
        <v>219752</v>
      </c>
      <c r="M2151" s="0" t="s">
        <v>52</v>
      </c>
      <c r="N2151" s="0" t="s">
        <v>45</v>
      </c>
      <c r="P2151" s="13" t="n">
        <v>113</v>
      </c>
      <c r="Q2151" s="0" t="s">
        <v>46</v>
      </c>
      <c r="R2151" s="0" t="s">
        <v>47</v>
      </c>
      <c r="S2151" s="13" t="n">
        <v>1130101</v>
      </c>
      <c r="T2151" s="0" t="s">
        <v>48</v>
      </c>
      <c r="U2151" s="15" t="n">
        <v>873.08</v>
      </c>
      <c r="W2151" s="15" t="n">
        <v>873.08</v>
      </c>
      <c r="X2151" s="0" t="s">
        <v>1635</v>
      </c>
      <c r="Z2151" s="0" t="str">
        <f aca="false">IF($T2151="","",IFERROR(INDEX('Resumo Grupos'!$AC$3:$AC$200,MATCH($T2151,'Resumo Grupos'!$AB$3:$AB$200,0)),"n/d"))</f>
        <v>Mercadoria</v>
      </c>
      <c r="AA2151" s="0" t="str">
        <f aca="false">IF($T2151="","",IF(COUNTIF('Resumo Grupos'!$AE$3:$AE$40,$T2151)&gt;0,"NAO","SIM"))</f>
        <v>SIM</v>
      </c>
      <c r="AB2151" s="0" t="str">
        <f aca="false">IFERROR(INDEX('Mov Entradas (Rel 10497)'!$L:$L,MATCH(AC2151,'Mov Entradas (Rel 10497)'!$I:$I,0)),"nao encontrado")</f>
        <v>RODO M 30CM CONDOR</v>
      </c>
      <c r="AC2151" s="0" t="n">
        <v>8744</v>
      </c>
    </row>
    <row r="2152" customFormat="false" ht="12.75" hidden="false" customHeight="true" outlineLevel="0" collapsed="false">
      <c r="A2152" s="13" t="n">
        <v>2</v>
      </c>
      <c r="B2152" s="14" t="n">
        <v>46287</v>
      </c>
      <c r="C2152" s="14" t="n">
        <v>46287</v>
      </c>
      <c r="D2152" s="13" t="n">
        <v>1037</v>
      </c>
      <c r="E2152" s="0" t="s">
        <v>134</v>
      </c>
      <c r="F2152" s="13" t="n">
        <v>34</v>
      </c>
      <c r="G2152" s="0" t="s">
        <v>55</v>
      </c>
      <c r="H2152" s="13" t="n">
        <v>2110405</v>
      </c>
      <c r="I2152" s="0" t="s">
        <v>56</v>
      </c>
      <c r="J2152" s="13" t="n">
        <v>1740569</v>
      </c>
      <c r="L2152" s="13" t="n">
        <v>239575</v>
      </c>
      <c r="M2152" s="0" t="s">
        <v>52</v>
      </c>
      <c r="N2152" s="0" t="s">
        <v>45</v>
      </c>
      <c r="P2152" s="13" t="n">
        <v>113</v>
      </c>
      <c r="Q2152" s="0" t="s">
        <v>46</v>
      </c>
      <c r="R2152" s="0" t="s">
        <v>47</v>
      </c>
      <c r="S2152" s="13" t="n">
        <v>1130101</v>
      </c>
      <c r="T2152" s="0" t="s">
        <v>48</v>
      </c>
      <c r="U2152" s="15" t="n">
        <v>720</v>
      </c>
      <c r="W2152" s="15" t="n">
        <v>720</v>
      </c>
      <c r="X2152" s="0" t="s">
        <v>1800</v>
      </c>
      <c r="Z2152" s="0" t="str">
        <f aca="false">IF($T2152="","",IFERROR(INDEX('Resumo Grupos'!$AC$3:$AC$200,MATCH($T2152,'Resumo Grupos'!$AB$3:$AB$200,0)),"n/d"))</f>
        <v>Mercadoria</v>
      </c>
      <c r="AA2152" s="0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3" t="n">
        <v>2</v>
      </c>
      <c r="B2153" s="14" t="n">
        <v>46274</v>
      </c>
      <c r="C2153" s="14" t="n">
        <v>46287</v>
      </c>
      <c r="D2153" s="13" t="n">
        <v>1667</v>
      </c>
      <c r="E2153" s="0" t="s">
        <v>77</v>
      </c>
      <c r="F2153" s="13" t="n">
        <v>24</v>
      </c>
      <c r="G2153" s="0" t="s">
        <v>51</v>
      </c>
      <c r="H2153" s="13" t="n">
        <v>2110405</v>
      </c>
      <c r="I2153" s="0" t="s">
        <v>56</v>
      </c>
      <c r="J2153" s="13" t="n">
        <v>1676746</v>
      </c>
      <c r="L2153" s="13" t="n">
        <v>229954</v>
      </c>
      <c r="M2153" s="0" t="s">
        <v>52</v>
      </c>
      <c r="N2153" s="0" t="s">
        <v>45</v>
      </c>
      <c r="P2153" s="13" t="n">
        <v>113</v>
      </c>
      <c r="Q2153" s="0" t="s">
        <v>46</v>
      </c>
      <c r="R2153" s="0" t="s">
        <v>47</v>
      </c>
      <c r="S2153" s="13" t="n">
        <v>1130101</v>
      </c>
      <c r="T2153" s="0" t="s">
        <v>48</v>
      </c>
      <c r="U2153" s="15" t="n">
        <v>587.44</v>
      </c>
      <c r="W2153" s="15" t="n">
        <v>587.44</v>
      </c>
      <c r="X2153" s="0" t="s">
        <v>1801</v>
      </c>
      <c r="Z2153" s="0" t="str">
        <f aca="false">IF($T2153="","",IFERROR(INDEX('Resumo Grupos'!$AC$3:$AC$200,MATCH($T2153,'Resumo Grupos'!$AB$3:$AB$200,0)),"n/d"))</f>
        <v>Mercadoria</v>
      </c>
      <c r="AA2153" s="0" t="str">
        <f aca="false">IF($T2153="","",IF(COUNTIF('Resumo Grupos'!$AE$3:$AE$40,$T2153)&gt;0,"NAO","SIM"))</f>
        <v>SIM</v>
      </c>
      <c r="AB2153" s="0" t="str">
        <f aca="false">IFERROR(INDEX('Mov Entradas (Rel 10497)'!$L:$L,MATCH(AC2153,'Mov Entradas (Rel 10497)'!$I:$I,0)),"nao encontrado")</f>
        <v>AG SANIT QUALYBRIL1L</v>
      </c>
      <c r="AC2153" s="0" t="n">
        <v>399726</v>
      </c>
    </row>
    <row r="2154" customFormat="false" ht="12.75" hidden="false" customHeight="true" outlineLevel="0" collapsed="false">
      <c r="A2154" s="13" t="n">
        <v>2</v>
      </c>
      <c r="B2154" s="14" t="n">
        <v>46280</v>
      </c>
      <c r="C2154" s="14" t="n">
        <v>46287</v>
      </c>
      <c r="D2154" s="13" t="n">
        <v>1667</v>
      </c>
      <c r="E2154" s="0" t="s">
        <v>77</v>
      </c>
      <c r="F2154" s="13" t="n">
        <v>24</v>
      </c>
      <c r="G2154" s="0" t="s">
        <v>51</v>
      </c>
      <c r="H2154" s="13" t="n">
        <v>2110405</v>
      </c>
      <c r="I2154" s="0" t="s">
        <v>56</v>
      </c>
      <c r="J2154" s="13" t="n">
        <v>1707238</v>
      </c>
      <c r="L2154" s="13" t="n">
        <v>234435</v>
      </c>
      <c r="M2154" s="0" t="s">
        <v>52</v>
      </c>
      <c r="N2154" s="0" t="s">
        <v>45</v>
      </c>
      <c r="P2154" s="13" t="n">
        <v>113</v>
      </c>
      <c r="Q2154" s="0" t="s">
        <v>46</v>
      </c>
      <c r="R2154" s="0" t="s">
        <v>47</v>
      </c>
      <c r="S2154" s="13" t="n">
        <v>1130101</v>
      </c>
      <c r="T2154" s="0" t="s">
        <v>48</v>
      </c>
      <c r="U2154" s="15" t="n">
        <v>729.31</v>
      </c>
      <c r="W2154" s="15" t="n">
        <v>729.31</v>
      </c>
      <c r="X2154" s="0" t="s">
        <v>1802</v>
      </c>
      <c r="Z2154" s="0" t="str">
        <f aca="false">IF($T2154="","",IFERROR(INDEX('Resumo Grupos'!$AC$3:$AC$200,MATCH($T2154,'Resumo Grupos'!$AB$3:$AB$200,0)),"n/d"))</f>
        <v>Mercadoria</v>
      </c>
      <c r="AA2154" s="0" t="str">
        <f aca="false">IF($T2154="","",IF(COUNTIF('Resumo Grupos'!$AE$3:$AE$40,$T2154)&gt;0,"NAO","SIM"))</f>
        <v>SIM</v>
      </c>
      <c r="AB2154" s="0" t="str">
        <f aca="false">IFERROR(INDEX('Mov Entradas (Rel 10497)'!$L:$L,MATCH(AC2154,'Mov Entradas (Rel 10497)'!$I:$I,0)),"nao encontrado")</f>
        <v>SOPAO MAGGI CARN 200</v>
      </c>
      <c r="AC2154" s="0" t="n">
        <v>400026</v>
      </c>
    </row>
    <row r="2155" customFormat="false" ht="12.75" hidden="false" customHeight="true" outlineLevel="0" collapsed="false">
      <c r="A2155" s="13" t="n">
        <v>2</v>
      </c>
      <c r="B2155" s="14" t="n">
        <v>46287</v>
      </c>
      <c r="C2155" s="14" t="n">
        <v>46287</v>
      </c>
      <c r="D2155" s="13" t="n">
        <v>515</v>
      </c>
      <c r="E2155" s="0" t="s">
        <v>137</v>
      </c>
      <c r="F2155" s="13" t="n">
        <v>34</v>
      </c>
      <c r="G2155" s="0" t="s">
        <v>55</v>
      </c>
      <c r="H2155" s="13" t="n">
        <v>2110405</v>
      </c>
      <c r="I2155" s="0" t="s">
        <v>56</v>
      </c>
      <c r="J2155" s="13" t="n">
        <v>1745092</v>
      </c>
      <c r="L2155" s="13" t="n">
        <v>240318</v>
      </c>
      <c r="M2155" s="0" t="s">
        <v>52</v>
      </c>
      <c r="N2155" s="0" t="s">
        <v>45</v>
      </c>
      <c r="P2155" s="13" t="n">
        <v>102</v>
      </c>
      <c r="Q2155" s="0" t="s">
        <v>308</v>
      </c>
      <c r="R2155" s="0" t="s">
        <v>138</v>
      </c>
      <c r="S2155" s="13" t="n">
        <v>4210502</v>
      </c>
      <c r="T2155" s="0" t="s">
        <v>246</v>
      </c>
      <c r="U2155" s="15" t="n">
        <v>5435.36</v>
      </c>
      <c r="W2155" s="15" t="n">
        <v>5435.36</v>
      </c>
      <c r="X2155" s="0" t="s">
        <v>1803</v>
      </c>
      <c r="Z2155" s="0" t="str">
        <f aca="false">IF($T2155="","",IFERROR(INDEX('Resumo Grupos'!$AC$3:$AC$200,MATCH($T2155,'Resumo Grupos'!$AB$3:$AB$200,0)),"n/d"))</f>
        <v>Empréstimo</v>
      </c>
      <c r="AA2155" s="0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3" t="n">
        <v>2</v>
      </c>
      <c r="B2156" s="14" t="n">
        <v>46269</v>
      </c>
      <c r="C2156" s="14" t="n">
        <v>46287</v>
      </c>
      <c r="D2156" s="13" t="n">
        <v>1672</v>
      </c>
      <c r="E2156" s="0" t="s">
        <v>343</v>
      </c>
      <c r="F2156" s="13" t="n">
        <v>24</v>
      </c>
      <c r="G2156" s="0" t="s">
        <v>51</v>
      </c>
      <c r="H2156" s="13" t="n">
        <v>2110405</v>
      </c>
      <c r="I2156" s="0" t="s">
        <v>56</v>
      </c>
      <c r="J2156" s="13" t="n">
        <v>1651551</v>
      </c>
      <c r="L2156" s="13" t="n">
        <v>226827</v>
      </c>
      <c r="M2156" s="0" t="s">
        <v>52</v>
      </c>
      <c r="N2156" s="0" t="s">
        <v>45</v>
      </c>
      <c r="P2156" s="13" t="n">
        <v>113</v>
      </c>
      <c r="Q2156" s="0" t="s">
        <v>46</v>
      </c>
      <c r="R2156" s="0" t="s">
        <v>47</v>
      </c>
      <c r="S2156" s="13" t="n">
        <v>1130101</v>
      </c>
      <c r="T2156" s="0" t="s">
        <v>48</v>
      </c>
      <c r="U2156" s="15" t="n">
        <v>1917.5</v>
      </c>
      <c r="W2156" s="15" t="n">
        <v>1917.5</v>
      </c>
      <c r="X2156" s="0" t="s">
        <v>1804</v>
      </c>
      <c r="Z2156" s="0" t="str">
        <f aca="false">IF($T2156="","",IFERROR(INDEX('Resumo Grupos'!$AC$3:$AC$200,MATCH($T2156,'Resumo Grupos'!$AB$3:$AB$200,0)),"n/d"))</f>
        <v>Mercadoria</v>
      </c>
      <c r="AA2156" s="0" t="str">
        <f aca="false">IF($T2156="","",IF(COUNTIF('Resumo Grupos'!$AE$3:$AE$40,$T2156)&gt;0,"NAO","SIM"))</f>
        <v>SIM</v>
      </c>
      <c r="AB2156" s="0" t="str">
        <f aca="false">IFERROR(INDEX('Mov Entradas (Rel 10497)'!$L:$L,MATCH(AC2156,'Mov Entradas (Rel 10497)'!$I:$I,0)),"nao encontrado")</f>
        <v>REFRIG MAGISTRAL 2L</v>
      </c>
      <c r="AC2156" s="0" t="n">
        <v>1440541</v>
      </c>
    </row>
    <row r="2157" customFormat="false" ht="12.75" hidden="false" customHeight="true" outlineLevel="0" collapsed="false">
      <c r="A2157" s="13" t="n">
        <v>2</v>
      </c>
      <c r="B2157" s="14" t="n">
        <v>46280</v>
      </c>
      <c r="C2157" s="14" t="n">
        <v>46287</v>
      </c>
      <c r="D2157" s="13" t="n">
        <v>48</v>
      </c>
      <c r="E2157" s="0" t="s">
        <v>153</v>
      </c>
      <c r="F2157" s="13" t="n">
        <v>24</v>
      </c>
      <c r="G2157" s="0" t="s">
        <v>51</v>
      </c>
      <c r="H2157" s="13" t="n">
        <v>2110101</v>
      </c>
      <c r="I2157" s="0" t="s">
        <v>43</v>
      </c>
      <c r="J2157" s="13" t="n">
        <v>1707364</v>
      </c>
      <c r="L2157" s="13" t="n">
        <v>2677</v>
      </c>
      <c r="M2157" s="0" t="s">
        <v>52</v>
      </c>
      <c r="N2157" s="0" t="s">
        <v>37</v>
      </c>
      <c r="P2157" s="13" t="n">
        <v>113</v>
      </c>
      <c r="Q2157" s="0" t="s">
        <v>46</v>
      </c>
      <c r="R2157" s="0" t="s">
        <v>47</v>
      </c>
      <c r="S2157" s="13" t="n">
        <v>1130101</v>
      </c>
      <c r="T2157" s="0" t="s">
        <v>48</v>
      </c>
      <c r="U2157" s="15" t="n">
        <v>300</v>
      </c>
      <c r="W2157" s="15" t="n">
        <v>300</v>
      </c>
      <c r="X2157" s="0" t="s">
        <v>892</v>
      </c>
      <c r="Z2157" s="0" t="str">
        <f aca="false">IF($T2157="","",IFERROR(INDEX('Resumo Grupos'!$AC$3:$AC$200,MATCH($T2157,'Resumo Grupos'!$AB$3:$AB$200,0)),"n/d"))</f>
        <v>Mercadoria</v>
      </c>
      <c r="AA2157" s="0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3" t="n">
        <v>2</v>
      </c>
      <c r="B2158" s="14" t="n">
        <v>46287</v>
      </c>
      <c r="C2158" s="14" t="n">
        <v>46287</v>
      </c>
      <c r="D2158" s="13" t="n">
        <v>48</v>
      </c>
      <c r="E2158" s="0" t="s">
        <v>153</v>
      </c>
      <c r="F2158" s="13" t="n">
        <v>5</v>
      </c>
      <c r="G2158" s="0" t="s">
        <v>1395</v>
      </c>
      <c r="H2158" s="13" t="n">
        <v>2110304</v>
      </c>
      <c r="I2158" s="0" t="s">
        <v>1396</v>
      </c>
      <c r="J2158" s="13" t="n">
        <v>1739343</v>
      </c>
      <c r="L2158" s="13" t="n">
        <v>2689</v>
      </c>
      <c r="M2158" s="0" t="s">
        <v>52</v>
      </c>
      <c r="N2158" s="0" t="s">
        <v>37</v>
      </c>
      <c r="P2158" s="13" t="n">
        <v>113</v>
      </c>
      <c r="Q2158" s="0" t="s">
        <v>46</v>
      </c>
      <c r="R2158" s="0" t="s">
        <v>1397</v>
      </c>
      <c r="S2158" s="13" t="n">
        <v>3110301</v>
      </c>
      <c r="T2158" s="0" t="s">
        <v>1398</v>
      </c>
      <c r="U2158" s="15" t="n">
        <v>48.15</v>
      </c>
      <c r="W2158" s="15" t="n">
        <v>48.15</v>
      </c>
      <c r="X2158" s="0" t="s">
        <v>1805</v>
      </c>
      <c r="Z2158" s="0" t="str">
        <f aca="false">IF($T2158="","",IFERROR(INDEX('Resumo Grupos'!$AC$3:$AC$200,MATCH($T2158,'Resumo Grupos'!$AB$3:$AB$200,0)),"n/d"))</f>
        <v>Despesa</v>
      </c>
      <c r="AA2158" s="0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3" t="n">
        <v>2</v>
      </c>
      <c r="B2159" s="14" t="n">
        <v>46287</v>
      </c>
      <c r="C2159" s="14" t="n">
        <v>46287</v>
      </c>
      <c r="D2159" s="13" t="n">
        <v>48</v>
      </c>
      <c r="E2159" s="0" t="s">
        <v>153</v>
      </c>
      <c r="F2159" s="13" t="n">
        <v>5</v>
      </c>
      <c r="G2159" s="0" t="s">
        <v>1395</v>
      </c>
      <c r="H2159" s="13" t="n">
        <v>2110304</v>
      </c>
      <c r="I2159" s="0" t="s">
        <v>1396</v>
      </c>
      <c r="J2159" s="13" t="n">
        <v>1739351</v>
      </c>
      <c r="L2159" s="13" t="n">
        <v>2690</v>
      </c>
      <c r="M2159" s="0" t="s">
        <v>52</v>
      </c>
      <c r="N2159" s="0" t="s">
        <v>37</v>
      </c>
      <c r="P2159" s="13" t="n">
        <v>113</v>
      </c>
      <c r="Q2159" s="0" t="s">
        <v>46</v>
      </c>
      <c r="R2159" s="0" t="s">
        <v>1397</v>
      </c>
      <c r="S2159" s="13" t="n">
        <v>3110301</v>
      </c>
      <c r="T2159" s="0" t="s">
        <v>1398</v>
      </c>
      <c r="U2159" s="15" t="n">
        <v>22.45</v>
      </c>
      <c r="W2159" s="15" t="n">
        <v>22.45</v>
      </c>
      <c r="X2159" s="0" t="s">
        <v>1806</v>
      </c>
      <c r="Z2159" s="0" t="str">
        <f aca="false">IF($T2159="","",IFERROR(INDEX('Resumo Grupos'!$AC$3:$AC$200,MATCH($T2159,'Resumo Grupos'!$AB$3:$AB$200,0)),"n/d"))</f>
        <v>Despesa</v>
      </c>
      <c r="AA2159" s="0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3" t="n">
        <v>2</v>
      </c>
      <c r="B2160" s="14" t="n">
        <v>46287</v>
      </c>
      <c r="C2160" s="14" t="n">
        <v>46287</v>
      </c>
      <c r="D2160" s="13" t="n">
        <v>48</v>
      </c>
      <c r="E2160" s="0" t="s">
        <v>153</v>
      </c>
      <c r="F2160" s="13" t="n">
        <v>34</v>
      </c>
      <c r="G2160" s="0" t="s">
        <v>55</v>
      </c>
      <c r="H2160" s="13" t="n">
        <v>2110101</v>
      </c>
      <c r="I2160" s="0" t="s">
        <v>43</v>
      </c>
      <c r="J2160" s="13" t="n">
        <v>1740335</v>
      </c>
      <c r="L2160" s="13" t="n">
        <v>2691</v>
      </c>
      <c r="M2160" s="0" t="s">
        <v>52</v>
      </c>
      <c r="N2160" s="0" t="s">
        <v>37</v>
      </c>
      <c r="P2160" s="13" t="n">
        <v>113</v>
      </c>
      <c r="Q2160" s="0" t="s">
        <v>46</v>
      </c>
      <c r="R2160" s="0" t="s">
        <v>47</v>
      </c>
      <c r="S2160" s="13" t="n">
        <v>1130101</v>
      </c>
      <c r="T2160" s="0" t="s">
        <v>48</v>
      </c>
      <c r="U2160" s="15" t="n">
        <v>280</v>
      </c>
      <c r="W2160" s="15" t="n">
        <v>280</v>
      </c>
      <c r="X2160" s="0" t="s">
        <v>1698</v>
      </c>
      <c r="Z2160" s="0" t="str">
        <f aca="false">IF($T2160="","",IFERROR(INDEX('Resumo Grupos'!$AC$3:$AC$200,MATCH($T2160,'Resumo Grupos'!$AB$3:$AB$200,0)),"n/d"))</f>
        <v>Mercadoria</v>
      </c>
      <c r="AA2160" s="0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3" t="n">
        <v>2</v>
      </c>
      <c r="B2161" s="14" t="n">
        <v>46287</v>
      </c>
      <c r="C2161" s="14" t="n">
        <v>46287</v>
      </c>
      <c r="D2161" s="13" t="n">
        <v>48</v>
      </c>
      <c r="E2161" s="0" t="s">
        <v>153</v>
      </c>
      <c r="F2161" s="13" t="n">
        <v>34</v>
      </c>
      <c r="G2161" s="0" t="s">
        <v>55</v>
      </c>
      <c r="H2161" s="13" t="n">
        <v>2110101</v>
      </c>
      <c r="I2161" s="0" t="s">
        <v>43</v>
      </c>
      <c r="J2161" s="13" t="n">
        <v>1740545</v>
      </c>
      <c r="L2161" s="13" t="n">
        <v>2692</v>
      </c>
      <c r="M2161" s="0" t="s">
        <v>52</v>
      </c>
      <c r="N2161" s="0" t="s">
        <v>37</v>
      </c>
      <c r="P2161" s="13" t="n">
        <v>113</v>
      </c>
      <c r="Q2161" s="0" t="s">
        <v>46</v>
      </c>
      <c r="R2161" s="0" t="s">
        <v>47</v>
      </c>
      <c r="S2161" s="13" t="n">
        <v>1130101</v>
      </c>
      <c r="T2161" s="0" t="s">
        <v>48</v>
      </c>
      <c r="U2161" s="15" t="n">
        <v>2456</v>
      </c>
      <c r="W2161" s="15" t="n">
        <v>2456</v>
      </c>
      <c r="X2161" s="0" t="s">
        <v>1782</v>
      </c>
      <c r="Z2161" s="0" t="str">
        <f aca="false">IF($T2161="","",IFERROR(INDEX('Resumo Grupos'!$AC$3:$AC$200,MATCH($T2161,'Resumo Grupos'!$AB$3:$AB$200,0)),"n/d"))</f>
        <v>Mercadoria</v>
      </c>
      <c r="AA2161" s="0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3" t="n">
        <v>2</v>
      </c>
      <c r="B2162" s="14" t="n">
        <v>46287</v>
      </c>
      <c r="C2162" s="14" t="n">
        <v>46287</v>
      </c>
      <c r="D2162" s="13" t="n">
        <v>0</v>
      </c>
      <c r="E2162" s="0" t="s">
        <v>109</v>
      </c>
      <c r="F2162" s="13" t="n">
        <v>17</v>
      </c>
      <c r="G2162" s="0" t="s">
        <v>110</v>
      </c>
      <c r="H2162" s="13" t="n">
        <v>1110101</v>
      </c>
      <c r="I2162" s="0" t="s">
        <v>111</v>
      </c>
      <c r="J2162" s="13" t="n">
        <v>1744020</v>
      </c>
      <c r="L2162" s="13" t="n">
        <v>1744020</v>
      </c>
      <c r="M2162" s="0" t="s">
        <v>52</v>
      </c>
      <c r="N2162" s="0" t="s">
        <v>112</v>
      </c>
      <c r="P2162" s="13" t="n">
        <v>113</v>
      </c>
      <c r="Q2162" s="0" t="s">
        <v>46</v>
      </c>
      <c r="R2162" s="0" t="s">
        <v>71</v>
      </c>
      <c r="S2162" s="13" t="n">
        <v>4210314</v>
      </c>
      <c r="T2162" s="0" t="s">
        <v>113</v>
      </c>
      <c r="U2162" s="15" t="n">
        <v>50</v>
      </c>
      <c r="W2162" s="15" t="n">
        <v>50</v>
      </c>
      <c r="X2162" s="0" t="s">
        <v>368</v>
      </c>
      <c r="Z2162" s="0" t="str">
        <f aca="false">IF($T2162="","",IFERROR(INDEX('Resumo Grupos'!$AC$3:$AC$200,MATCH($T2162,'Resumo Grupos'!$AB$3:$AB$200,0)),"n/d"))</f>
        <v>Despesa</v>
      </c>
      <c r="AA2162" s="0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3" t="n">
        <v>2</v>
      </c>
      <c r="B2163" s="14" t="n">
        <v>46287</v>
      </c>
      <c r="C2163" s="14" t="n">
        <v>46287</v>
      </c>
      <c r="D2163" s="13" t="n">
        <v>0</v>
      </c>
      <c r="E2163" s="0" t="s">
        <v>109</v>
      </c>
      <c r="F2163" s="13" t="n">
        <v>17</v>
      </c>
      <c r="G2163" s="0" t="s">
        <v>110</v>
      </c>
      <c r="H2163" s="13" t="n">
        <v>1110101</v>
      </c>
      <c r="I2163" s="0" t="s">
        <v>111</v>
      </c>
      <c r="J2163" s="13" t="n">
        <v>1744027</v>
      </c>
      <c r="L2163" s="13" t="n">
        <v>1744027</v>
      </c>
      <c r="M2163" s="0" t="s">
        <v>52</v>
      </c>
      <c r="N2163" s="0" t="s">
        <v>112</v>
      </c>
      <c r="P2163" s="13" t="n">
        <v>113</v>
      </c>
      <c r="Q2163" s="0" t="s">
        <v>46</v>
      </c>
      <c r="R2163" s="0" t="s">
        <v>71</v>
      </c>
      <c r="S2163" s="13" t="n">
        <v>4210316</v>
      </c>
      <c r="T2163" s="0" t="s">
        <v>159</v>
      </c>
      <c r="U2163" s="15" t="n">
        <v>100</v>
      </c>
      <c r="W2163" s="15" t="n">
        <v>100</v>
      </c>
      <c r="X2163" s="0" t="s">
        <v>1807</v>
      </c>
      <c r="Z2163" s="0" t="str">
        <f aca="false">IF($T2163="","",IFERROR(INDEX('Resumo Grupos'!$AC$3:$AC$200,MATCH($T2163,'Resumo Grupos'!$AB$3:$AB$200,0)),"n/d"))</f>
        <v>Salários</v>
      </c>
      <c r="AA2163" s="0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3" t="n">
        <v>2</v>
      </c>
      <c r="B2164" s="14" t="n">
        <v>46287</v>
      </c>
      <c r="C2164" s="14" t="n">
        <v>46287</v>
      </c>
      <c r="D2164" s="13" t="n">
        <v>0</v>
      </c>
      <c r="E2164" s="0" t="s">
        <v>109</v>
      </c>
      <c r="F2164" s="13" t="n">
        <v>17</v>
      </c>
      <c r="G2164" s="0" t="s">
        <v>110</v>
      </c>
      <c r="H2164" s="13" t="n">
        <v>1110101</v>
      </c>
      <c r="I2164" s="0" t="s">
        <v>111</v>
      </c>
      <c r="J2164" s="13" t="n">
        <v>1744028</v>
      </c>
      <c r="L2164" s="13" t="n">
        <v>1744028</v>
      </c>
      <c r="M2164" s="0" t="s">
        <v>52</v>
      </c>
      <c r="N2164" s="0" t="s">
        <v>112</v>
      </c>
      <c r="P2164" s="13" t="n">
        <v>113</v>
      </c>
      <c r="Q2164" s="0" t="s">
        <v>46</v>
      </c>
      <c r="R2164" s="0" t="s">
        <v>39</v>
      </c>
      <c r="S2164" s="13" t="n">
        <v>4210227</v>
      </c>
      <c r="T2164" s="0" t="s">
        <v>68</v>
      </c>
      <c r="U2164" s="15" t="n">
        <v>200</v>
      </c>
      <c r="W2164" s="15" t="n">
        <v>200</v>
      </c>
      <c r="X2164" s="0" t="s">
        <v>1808</v>
      </c>
      <c r="Z2164" s="0" t="str">
        <f aca="false">IF($T2164="","",IFERROR(INDEX('Resumo Grupos'!$AC$3:$AC$200,MATCH($T2164,'Resumo Grupos'!$AB$3:$AB$200,0)),"n/d"))</f>
        <v>Despesa</v>
      </c>
      <c r="AA2164" s="0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3" t="n">
        <v>2</v>
      </c>
      <c r="B2165" s="14" t="n">
        <v>46287</v>
      </c>
      <c r="C2165" s="14" t="n">
        <v>46287</v>
      </c>
      <c r="D2165" s="13" t="n">
        <v>0</v>
      </c>
      <c r="E2165" s="0" t="s">
        <v>109</v>
      </c>
      <c r="F2165" s="13" t="n">
        <v>17</v>
      </c>
      <c r="G2165" s="0" t="s">
        <v>110</v>
      </c>
      <c r="H2165" s="13" t="n">
        <v>1110101</v>
      </c>
      <c r="I2165" s="0" t="s">
        <v>111</v>
      </c>
      <c r="J2165" s="13" t="n">
        <v>1744029</v>
      </c>
      <c r="L2165" s="13" t="n">
        <v>1744029</v>
      </c>
      <c r="M2165" s="0" t="s">
        <v>52</v>
      </c>
      <c r="N2165" s="0" t="s">
        <v>112</v>
      </c>
      <c r="P2165" s="13" t="n">
        <v>113</v>
      </c>
      <c r="Q2165" s="0" t="s">
        <v>46</v>
      </c>
      <c r="R2165" s="0" t="s">
        <v>71</v>
      </c>
      <c r="S2165" s="13" t="n">
        <v>4210309</v>
      </c>
      <c r="T2165" s="0" t="s">
        <v>72</v>
      </c>
      <c r="U2165" s="15" t="n">
        <v>10</v>
      </c>
      <c r="W2165" s="15" t="n">
        <v>10</v>
      </c>
      <c r="X2165" s="0" t="s">
        <v>1552</v>
      </c>
      <c r="Z2165" s="0" t="str">
        <f aca="false">IF($T2165="","",IFERROR(INDEX('Resumo Grupos'!$AC$3:$AC$200,MATCH($T2165,'Resumo Grupos'!$AB$3:$AB$200,0)),"n/d"))</f>
        <v>Salários</v>
      </c>
      <c r="AA2165" s="0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3" t="n">
        <v>2</v>
      </c>
      <c r="B2166" s="14" t="n">
        <v>46287</v>
      </c>
      <c r="C2166" s="14" t="n">
        <v>46287</v>
      </c>
      <c r="D2166" s="13" t="n">
        <v>0</v>
      </c>
      <c r="E2166" s="0" t="s">
        <v>109</v>
      </c>
      <c r="F2166" s="13" t="n">
        <v>17</v>
      </c>
      <c r="G2166" s="0" t="s">
        <v>110</v>
      </c>
      <c r="H2166" s="13" t="n">
        <v>1110101</v>
      </c>
      <c r="I2166" s="0" t="s">
        <v>111</v>
      </c>
      <c r="J2166" s="13" t="n">
        <v>1744033</v>
      </c>
      <c r="L2166" s="13" t="n">
        <v>1744033</v>
      </c>
      <c r="M2166" s="0" t="s">
        <v>52</v>
      </c>
      <c r="N2166" s="0" t="s">
        <v>112</v>
      </c>
      <c r="P2166" s="13" t="n">
        <v>113</v>
      </c>
      <c r="Q2166" s="0" t="s">
        <v>46</v>
      </c>
      <c r="R2166" s="0" t="s">
        <v>71</v>
      </c>
      <c r="S2166" s="13" t="n">
        <v>4210314</v>
      </c>
      <c r="T2166" s="0" t="s">
        <v>113</v>
      </c>
      <c r="U2166" s="15" t="n">
        <v>100</v>
      </c>
      <c r="W2166" s="15" t="n">
        <v>100</v>
      </c>
      <c r="X2166" s="0" t="s">
        <v>1745</v>
      </c>
      <c r="Z2166" s="0" t="str">
        <f aca="false">IF($T2166="","",IFERROR(INDEX('Resumo Grupos'!$AC$3:$AC$200,MATCH($T2166,'Resumo Grupos'!$AB$3:$AB$200,0)),"n/d"))</f>
        <v>Despesa</v>
      </c>
      <c r="AA2166" s="0" t="str">
        <f aca="false">IF($T2166="","",IF(COUNTIF('Resumo Grupos'!$AE$3:$AE$40,$T2166)&gt;0,"NAO","SIM"))</f>
        <v>SIM</v>
      </c>
    </row>
    <row r="2167" customFormat="false" ht="45.75" hidden="false" customHeight="true" outlineLevel="0" collapsed="false">
      <c r="A2167" s="9" t="n">
        <v>2</v>
      </c>
      <c r="B2167" s="10" t="n">
        <v>46280</v>
      </c>
      <c r="C2167" s="10" t="n">
        <v>46287</v>
      </c>
      <c r="D2167" s="9" t="n">
        <v>1666</v>
      </c>
      <c r="E2167" s="11" t="s">
        <v>266</v>
      </c>
      <c r="F2167" s="9" t="n">
        <v>24</v>
      </c>
      <c r="G2167" s="11" t="s">
        <v>51</v>
      </c>
      <c r="H2167" s="9" t="n">
        <v>2110405</v>
      </c>
      <c r="I2167" s="11" t="s">
        <v>56</v>
      </c>
      <c r="J2167" s="9" t="n">
        <v>1706873</v>
      </c>
      <c r="L2167" s="9" t="n">
        <v>234392</v>
      </c>
      <c r="M2167" s="11" t="s">
        <v>52</v>
      </c>
      <c r="N2167" s="11" t="s">
        <v>45</v>
      </c>
      <c r="P2167" s="9" t="n">
        <v>113</v>
      </c>
      <c r="Q2167" s="11" t="s">
        <v>46</v>
      </c>
      <c r="R2167" s="11" t="s">
        <v>47</v>
      </c>
      <c r="S2167" s="9" t="n">
        <v>1130101</v>
      </c>
      <c r="T2167" s="11" t="s">
        <v>48</v>
      </c>
      <c r="U2167" s="12" t="n">
        <v>4060.96</v>
      </c>
      <c r="W2167" s="12" t="n">
        <v>4060.96</v>
      </c>
      <c r="X2167" s="11" t="s">
        <v>1809</v>
      </c>
      <c r="Z2167" s="0" t="str">
        <f aca="false">IF($T2167="","",IFERROR(INDEX('Resumo Grupos'!$AC$3:$AC$200,MATCH($T2167,'Resumo Grupos'!$AB$3:$AB$200,0)),"n/d"))</f>
        <v>Mercadoria</v>
      </c>
      <c r="AA2167" s="0" t="str">
        <f aca="false">IF($T2167="","",IF(COUNTIF('Resumo Grupos'!$AE$3:$AE$40,$T2167)&gt;0,"NAO","SIM"))</f>
        <v>SIM</v>
      </c>
      <c r="AB2167" s="0" t="str">
        <f aca="false">IFERROR(INDEX('Mov Entradas (Rel 10497)'!$L:$L,MATCH(AC2167,'Mov Entradas (Rel 10497)'!$I:$I,0)),"nao encontrado")</f>
        <v>DUNHILL CARLTON BLEN</v>
      </c>
      <c r="AC2167" s="0" t="n">
        <v>573768</v>
      </c>
    </row>
    <row r="2168" customFormat="false" ht="45.75" hidden="false" customHeight="true" outlineLevel="0" collapsed="false">
      <c r="A2168" s="9" t="n">
        <v>2</v>
      </c>
      <c r="B2168" s="10" t="n">
        <v>46274</v>
      </c>
      <c r="C2168" s="10" t="n">
        <v>46287</v>
      </c>
      <c r="D2168" s="9" t="n">
        <v>1671</v>
      </c>
      <c r="E2168" s="11" t="s">
        <v>119</v>
      </c>
      <c r="F2168" s="9" t="n">
        <v>24</v>
      </c>
      <c r="G2168" s="11" t="s">
        <v>51</v>
      </c>
      <c r="H2168" s="9" t="n">
        <v>2110405</v>
      </c>
      <c r="I2168" s="11" t="s">
        <v>56</v>
      </c>
      <c r="J2168" s="9" t="n">
        <v>1678494</v>
      </c>
      <c r="L2168" s="9" t="n">
        <v>230275</v>
      </c>
      <c r="M2168" s="11" t="s">
        <v>52</v>
      </c>
      <c r="N2168" s="11" t="s">
        <v>45</v>
      </c>
      <c r="P2168" s="9" t="n">
        <v>113</v>
      </c>
      <c r="Q2168" s="11" t="s">
        <v>46</v>
      </c>
      <c r="R2168" s="11" t="s">
        <v>47</v>
      </c>
      <c r="S2168" s="9" t="n">
        <v>1130101</v>
      </c>
      <c r="T2168" s="11" t="s">
        <v>48</v>
      </c>
      <c r="U2168" s="12" t="n">
        <v>573.28</v>
      </c>
      <c r="W2168" s="12" t="n">
        <v>573.28</v>
      </c>
      <c r="X2168" s="11" t="s">
        <v>1810</v>
      </c>
      <c r="Z2168" s="0" t="str">
        <f aca="false">IF($T2168="","",IFERROR(INDEX('Resumo Grupos'!$AC$3:$AC$200,MATCH($T2168,'Resumo Grupos'!$AB$3:$AB$200,0)),"n/d"))</f>
        <v>Mercadoria</v>
      </c>
      <c r="AA2168" s="0" t="str">
        <f aca="false">IF($T2168="","",IF(COUNTIF('Resumo Grupos'!$AE$3:$AE$40,$T2168)&gt;0,"NAO","SIM"))</f>
        <v>SIM</v>
      </c>
      <c r="AB2168" s="0" t="str">
        <f aca="false">IFERROR(INDEX('Mov Entradas (Rel 10497)'!$L:$L,MATCH(AC2168,'Mov Entradas (Rel 10497)'!$I:$I,0)),"nao encontrado")</f>
        <v>ABS NATURALMEN C/A 8</v>
      </c>
      <c r="AC2168" s="0" t="n">
        <v>591052</v>
      </c>
    </row>
    <row r="2169" customFormat="false" ht="54.75" hidden="false" customHeight="true" outlineLevel="0" collapsed="false">
      <c r="A2169" s="9" t="n">
        <v>2</v>
      </c>
      <c r="B2169" s="10" t="n">
        <v>46273</v>
      </c>
      <c r="C2169" s="10" t="n">
        <v>46287</v>
      </c>
      <c r="D2169" s="9" t="n">
        <v>1734</v>
      </c>
      <c r="E2169" s="11" t="s">
        <v>566</v>
      </c>
      <c r="F2169" s="9" t="n">
        <v>24</v>
      </c>
      <c r="G2169" s="11" t="s">
        <v>51</v>
      </c>
      <c r="H2169" s="9" t="n">
        <v>2110405</v>
      </c>
      <c r="I2169" s="11" t="s">
        <v>56</v>
      </c>
      <c r="J2169" s="9" t="n">
        <v>1673855</v>
      </c>
      <c r="L2169" s="9" t="n">
        <v>229517</v>
      </c>
      <c r="M2169" s="11" t="s">
        <v>52</v>
      </c>
      <c r="N2169" s="11" t="s">
        <v>45</v>
      </c>
      <c r="P2169" s="9" t="n">
        <v>113</v>
      </c>
      <c r="Q2169" s="11" t="s">
        <v>46</v>
      </c>
      <c r="R2169" s="11" t="s">
        <v>47</v>
      </c>
      <c r="S2169" s="9" t="n">
        <v>1130101</v>
      </c>
      <c r="T2169" s="11" t="s">
        <v>48</v>
      </c>
      <c r="U2169" s="12" t="n">
        <v>972.4</v>
      </c>
      <c r="W2169" s="12" t="n">
        <v>972.4</v>
      </c>
      <c r="X2169" s="11" t="s">
        <v>1811</v>
      </c>
      <c r="Z2169" s="0" t="str">
        <f aca="false">IF($T2169="","",IFERROR(INDEX('Resumo Grupos'!$AC$3:$AC$200,MATCH($T2169,'Resumo Grupos'!$AB$3:$AB$200,0)),"n/d"))</f>
        <v>Mercadoria</v>
      </c>
      <c r="AA2169" s="0" t="str">
        <f aca="false">IF($T2169="","",IF(COUNTIF('Resumo Grupos'!$AE$3:$AE$40,$T2169)&gt;0,"NAO","SIM"))</f>
        <v>SIM</v>
      </c>
      <c r="AB2169" s="0" t="str">
        <f aca="false">IFERROR(INDEX('Mov Entradas (Rel 10497)'!$L:$L,MATCH(AC2169,'Mov Entradas (Rel 10497)'!$I:$I,0)),"nao encontrado")</f>
        <v>SORVETE 2 LTS CHOCOL</v>
      </c>
      <c r="AC2169" s="0" t="n">
        <v>259439</v>
      </c>
    </row>
    <row r="2170" customFormat="false" ht="45.75" hidden="false" customHeight="true" outlineLevel="0" collapsed="false">
      <c r="A2170" s="9" t="n">
        <v>2</v>
      </c>
      <c r="B2170" s="10" t="n">
        <v>46244</v>
      </c>
      <c r="C2170" s="10" t="n">
        <v>46288</v>
      </c>
      <c r="D2170" s="9" t="n">
        <v>1789</v>
      </c>
      <c r="E2170" s="11" t="s">
        <v>544</v>
      </c>
      <c r="F2170" s="9" t="n">
        <v>24</v>
      </c>
      <c r="G2170" s="11" t="s">
        <v>51</v>
      </c>
      <c r="H2170" s="9" t="n">
        <v>2110405</v>
      </c>
      <c r="I2170" s="11" t="s">
        <v>56</v>
      </c>
      <c r="J2170" s="9" t="n">
        <v>1529685</v>
      </c>
      <c r="L2170" s="9" t="n">
        <v>208126</v>
      </c>
      <c r="M2170" s="11" t="s">
        <v>52</v>
      </c>
      <c r="N2170" s="11" t="s">
        <v>45</v>
      </c>
      <c r="P2170" s="9" t="n">
        <v>113</v>
      </c>
      <c r="Q2170" s="11" t="s">
        <v>46</v>
      </c>
      <c r="R2170" s="11" t="s">
        <v>430</v>
      </c>
      <c r="S2170" s="9" t="n">
        <v>4210112</v>
      </c>
      <c r="T2170" s="11" t="s">
        <v>545</v>
      </c>
      <c r="U2170" s="12" t="n">
        <v>10413.34</v>
      </c>
      <c r="W2170" s="12" t="n">
        <v>10413.34</v>
      </c>
      <c r="X2170" s="11" t="s">
        <v>1812</v>
      </c>
      <c r="Z2170" s="0" t="str">
        <f aca="false">IF($T2170="","",IFERROR(INDEX('Resumo Grupos'!$AC$3:$AC$200,MATCH($T2170,'Resumo Grupos'!$AB$3:$AB$200,0)),"n/d"))</f>
        <v>Despesa</v>
      </c>
      <c r="AA2170" s="0" t="str">
        <f aca="false">IF($T2170="","",IF(COUNTIF('Resumo Grupos'!$AE$3:$AE$40,$T2170)&gt;0,"NAO","SIM"))</f>
        <v>SIM</v>
      </c>
    </row>
    <row r="2171" customFormat="false" ht="54.75" hidden="false" customHeight="true" outlineLevel="0" collapsed="false">
      <c r="A2171" s="9" t="n">
        <v>2</v>
      </c>
      <c r="B2171" s="10" t="n">
        <v>46274</v>
      </c>
      <c r="C2171" s="10" t="n">
        <v>46288</v>
      </c>
      <c r="D2171" s="9" t="n">
        <v>1705</v>
      </c>
      <c r="E2171" s="11" t="s">
        <v>130</v>
      </c>
      <c r="F2171" s="9" t="n">
        <v>24</v>
      </c>
      <c r="G2171" s="11" t="s">
        <v>51</v>
      </c>
      <c r="H2171" s="9" t="n">
        <v>2110405</v>
      </c>
      <c r="I2171" s="11" t="s">
        <v>56</v>
      </c>
      <c r="J2171" s="9" t="n">
        <v>1677099</v>
      </c>
      <c r="L2171" s="9" t="n">
        <v>230038</v>
      </c>
      <c r="M2171" s="11" t="s">
        <v>52</v>
      </c>
      <c r="N2171" s="11" t="s">
        <v>45</v>
      </c>
      <c r="P2171" s="9" t="n">
        <v>113</v>
      </c>
      <c r="Q2171" s="11" t="s">
        <v>46</v>
      </c>
      <c r="R2171" s="11" t="s">
        <v>47</v>
      </c>
      <c r="S2171" s="9" t="n">
        <v>1130101</v>
      </c>
      <c r="T2171" s="11" t="s">
        <v>48</v>
      </c>
      <c r="U2171" s="12" t="n">
        <v>50.85</v>
      </c>
      <c r="W2171" s="12" t="n">
        <v>50.85</v>
      </c>
      <c r="X2171" s="11" t="s">
        <v>1813</v>
      </c>
      <c r="Z2171" s="0" t="str">
        <f aca="false">IF($T2171="","",IFERROR(INDEX('Resumo Grupos'!$AC$3:$AC$200,MATCH($T2171,'Resumo Grupos'!$AB$3:$AB$200,0)),"n/d"))</f>
        <v>Mercadoria</v>
      </c>
      <c r="AA2171" s="0" t="str">
        <f aca="false">IF($T2171="","",IF(COUNTIF('Resumo Grupos'!$AE$3:$AE$40,$T2171)&gt;0,"NAO","SIM"))</f>
        <v>SIM</v>
      </c>
      <c r="AB2171" s="0" t="str">
        <f aca="false">IFERROR(INDEX('Mov Entradas (Rel 10497)'!$L:$L,MATCH(AC2171,'Mov Entradas (Rel 10497)'!$I:$I,0)),"nao encontrado")</f>
        <v>MONSTER ENERGY ENERG</v>
      </c>
      <c r="AC2171" s="0" t="n">
        <v>1281795</v>
      </c>
    </row>
    <row r="2172" customFormat="false" ht="63.75" hidden="false" customHeight="true" outlineLevel="0" collapsed="false">
      <c r="A2172" s="9" t="n">
        <v>2</v>
      </c>
      <c r="B2172" s="10" t="n">
        <v>46274</v>
      </c>
      <c r="C2172" s="10" t="n">
        <v>46288</v>
      </c>
      <c r="D2172" s="9" t="n">
        <v>1705</v>
      </c>
      <c r="E2172" s="11" t="s">
        <v>130</v>
      </c>
      <c r="F2172" s="9" t="n">
        <v>24</v>
      </c>
      <c r="G2172" s="11" t="s">
        <v>51</v>
      </c>
      <c r="H2172" s="9" t="n">
        <v>2110405</v>
      </c>
      <c r="I2172" s="11" t="s">
        <v>56</v>
      </c>
      <c r="J2172" s="9" t="n">
        <v>1677122</v>
      </c>
      <c r="L2172" s="9" t="n">
        <v>230042</v>
      </c>
      <c r="M2172" s="11" t="s">
        <v>52</v>
      </c>
      <c r="N2172" s="11" t="s">
        <v>45</v>
      </c>
      <c r="P2172" s="9" t="n">
        <v>113</v>
      </c>
      <c r="Q2172" s="11" t="s">
        <v>46</v>
      </c>
      <c r="R2172" s="11" t="s">
        <v>47</v>
      </c>
      <c r="S2172" s="9" t="n">
        <v>1130101</v>
      </c>
      <c r="T2172" s="11" t="s">
        <v>48</v>
      </c>
      <c r="U2172" s="12" t="n">
        <v>221.99</v>
      </c>
      <c r="W2172" s="12" t="n">
        <v>221.99</v>
      </c>
      <c r="X2172" s="11" t="s">
        <v>1814</v>
      </c>
      <c r="Z2172" s="0" t="str">
        <f aca="false">IF($T2172="","",IFERROR(INDEX('Resumo Grupos'!$AC$3:$AC$200,MATCH($T2172,'Resumo Grupos'!$AB$3:$AB$200,0)),"n/d"))</f>
        <v>Mercadoria</v>
      </c>
      <c r="AA2172" s="0" t="str">
        <f aca="false">IF($T2172="","",IF(COUNTIF('Resumo Grupos'!$AE$3:$AE$40,$T2172)&gt;0,"NAO","SIM"))</f>
        <v>SIM</v>
      </c>
      <c r="AB2172" s="0" t="str">
        <f aca="false">IFERROR(INDEX('Mov Entradas (Rel 10497)'!$L:$L,MATCH(AC2172,'Mov Entradas (Rel 10497)'!$I:$I,0)),"nao encontrado")</f>
        <v>REFRI. COCA COLA RETORNAVEL 2L</v>
      </c>
      <c r="AC2172" s="0" t="n">
        <v>2029788</v>
      </c>
    </row>
    <row r="2173" customFormat="false" ht="36.75" hidden="false" customHeight="true" outlineLevel="0" collapsed="false">
      <c r="A2173" s="9" t="n">
        <v>2</v>
      </c>
      <c r="B2173" s="10" t="n">
        <v>46274</v>
      </c>
      <c r="C2173" s="10" t="n">
        <v>46288</v>
      </c>
      <c r="D2173" s="9" t="n">
        <v>1705</v>
      </c>
      <c r="E2173" s="11" t="s">
        <v>130</v>
      </c>
      <c r="F2173" s="9" t="n">
        <v>24</v>
      </c>
      <c r="G2173" s="11" t="s">
        <v>51</v>
      </c>
      <c r="H2173" s="9" t="n">
        <v>2110405</v>
      </c>
      <c r="I2173" s="11" t="s">
        <v>56</v>
      </c>
      <c r="J2173" s="9" t="n">
        <v>1677166</v>
      </c>
      <c r="L2173" s="9" t="n">
        <v>230048</v>
      </c>
      <c r="M2173" s="11" t="s">
        <v>52</v>
      </c>
      <c r="N2173" s="11" t="s">
        <v>45</v>
      </c>
      <c r="P2173" s="9" t="n">
        <v>113</v>
      </c>
      <c r="Q2173" s="11" t="s">
        <v>46</v>
      </c>
      <c r="R2173" s="11" t="s">
        <v>47</v>
      </c>
      <c r="S2173" s="9" t="n">
        <v>1130101</v>
      </c>
      <c r="T2173" s="11" t="s">
        <v>48</v>
      </c>
      <c r="U2173" s="12" t="n">
        <v>949.62</v>
      </c>
      <c r="W2173" s="12" t="n">
        <v>949.62</v>
      </c>
      <c r="X2173" s="11" t="s">
        <v>1815</v>
      </c>
      <c r="Z2173" s="0" t="str">
        <f aca="false">IF($T2173="","",IFERROR(INDEX('Resumo Grupos'!$AC$3:$AC$200,MATCH($T2173,'Resumo Grupos'!$AB$3:$AB$200,0)),"n/d"))</f>
        <v>Mercadoria</v>
      </c>
      <c r="AA2173" s="0" t="str">
        <f aca="false">IF($T2173="","",IF(COUNTIF('Resumo Grupos'!$AE$3:$AE$40,$T2173)&gt;0,"NAO","SIM"))</f>
        <v>SIM</v>
      </c>
      <c r="AB2173" s="0" t="str">
        <f aca="false">IFERROR(INDEX('Mov Entradas (Rel 10497)'!$L:$L,MATCH(AC2173,'Mov Entradas (Rel 10497)'!$I:$I,0)),"nao encontrado")</f>
        <v>KAPO UVA 200ML</v>
      </c>
      <c r="AC2173" s="0" t="n">
        <v>1281807</v>
      </c>
    </row>
    <row r="2174" customFormat="false" ht="45.75" hidden="false" customHeight="true" outlineLevel="0" collapsed="false">
      <c r="A2174" s="9" t="n">
        <v>2</v>
      </c>
      <c r="B2174" s="10" t="n">
        <v>46274</v>
      </c>
      <c r="C2174" s="10" t="n">
        <v>46288</v>
      </c>
      <c r="D2174" s="9" t="n">
        <v>1705</v>
      </c>
      <c r="E2174" s="11" t="s">
        <v>130</v>
      </c>
      <c r="F2174" s="9" t="n">
        <v>24</v>
      </c>
      <c r="G2174" s="11" t="s">
        <v>51</v>
      </c>
      <c r="H2174" s="9" t="n">
        <v>2110405</v>
      </c>
      <c r="I2174" s="11" t="s">
        <v>56</v>
      </c>
      <c r="J2174" s="9" t="n">
        <v>1677308</v>
      </c>
      <c r="L2174" s="9" t="n">
        <v>230067</v>
      </c>
      <c r="M2174" s="11" t="s">
        <v>52</v>
      </c>
      <c r="N2174" s="11" t="s">
        <v>45</v>
      </c>
      <c r="P2174" s="9" t="n">
        <v>113</v>
      </c>
      <c r="Q2174" s="11" t="s">
        <v>46</v>
      </c>
      <c r="R2174" s="11" t="s">
        <v>47</v>
      </c>
      <c r="S2174" s="9" t="n">
        <v>1130101</v>
      </c>
      <c r="T2174" s="11" t="s">
        <v>48</v>
      </c>
      <c r="U2174" s="12" t="n">
        <v>630.74</v>
      </c>
      <c r="W2174" s="12" t="n">
        <v>630.74</v>
      </c>
      <c r="X2174" s="11" t="s">
        <v>1816</v>
      </c>
      <c r="Z2174" s="0" t="str">
        <f aca="false">IF($T2174="","",IFERROR(INDEX('Resumo Grupos'!$AC$3:$AC$200,MATCH($T2174,'Resumo Grupos'!$AB$3:$AB$200,0)),"n/d"))</f>
        <v>Mercadoria</v>
      </c>
      <c r="AA2174" s="0" t="str">
        <f aca="false">IF($T2174="","",IF(COUNTIF('Resumo Grupos'!$AE$3:$AE$40,$T2174)&gt;0,"NAO","SIM"))</f>
        <v>SIM</v>
      </c>
      <c r="AB2174" s="0" t="str">
        <f aca="false">IFERROR(INDEX('Mov Entradas (Rel 10497)'!$L:$L,MATCH(AC2174,'Mov Entradas (Rel 10497)'!$I:$I,0)),"nao encontrado")</f>
        <v>POWERADE FRUTA 500ML</v>
      </c>
      <c r="AC2174" s="0" t="n">
        <v>1281791</v>
      </c>
    </row>
    <row r="2175" customFormat="false" ht="45.75" hidden="false" customHeight="true" outlineLevel="0" collapsed="false">
      <c r="A2175" s="9" t="n">
        <v>2</v>
      </c>
      <c r="B2175" s="10" t="n">
        <v>46274</v>
      </c>
      <c r="C2175" s="10" t="n">
        <v>46288</v>
      </c>
      <c r="D2175" s="9" t="n">
        <v>1705</v>
      </c>
      <c r="E2175" s="11" t="s">
        <v>130</v>
      </c>
      <c r="F2175" s="9" t="n">
        <v>24</v>
      </c>
      <c r="G2175" s="11" t="s">
        <v>51</v>
      </c>
      <c r="H2175" s="9" t="n">
        <v>2110405</v>
      </c>
      <c r="I2175" s="11" t="s">
        <v>56</v>
      </c>
      <c r="J2175" s="9" t="n">
        <v>1677411</v>
      </c>
      <c r="L2175" s="9" t="n">
        <v>230075</v>
      </c>
      <c r="M2175" s="11" t="s">
        <v>52</v>
      </c>
      <c r="N2175" s="11" t="s">
        <v>45</v>
      </c>
      <c r="P2175" s="9" t="n">
        <v>113</v>
      </c>
      <c r="Q2175" s="11" t="s">
        <v>46</v>
      </c>
      <c r="R2175" s="11" t="s">
        <v>47</v>
      </c>
      <c r="S2175" s="9" t="n">
        <v>1130101</v>
      </c>
      <c r="T2175" s="11" t="s">
        <v>48</v>
      </c>
      <c r="U2175" s="12" t="n">
        <v>2815.26</v>
      </c>
      <c r="W2175" s="12" t="n">
        <v>2815.26</v>
      </c>
      <c r="X2175" s="11" t="s">
        <v>1817</v>
      </c>
      <c r="Z2175" s="0" t="str">
        <f aca="false">IF($T2175="","",IFERROR(INDEX('Resumo Grupos'!$AC$3:$AC$200,MATCH($T2175,'Resumo Grupos'!$AB$3:$AB$200,0)),"n/d"))</f>
        <v>Mercadoria</v>
      </c>
      <c r="AA2175" s="0" t="str">
        <f aca="false">IF($T2175="","",IF(COUNTIF('Resumo Grupos'!$AE$3:$AE$40,$T2175)&gt;0,"NAO","SIM"))</f>
        <v>SIM</v>
      </c>
      <c r="AB2175" s="0" t="str">
        <f aca="false">IFERROR(INDEX('Mov Entradas (Rel 10497)'!$L:$L,MATCH(AC2175,'Mov Entradas (Rel 10497)'!$I:$I,0)),"nao encontrado")</f>
        <v>REFR FANTA UVA 200ML</v>
      </c>
      <c r="AC2175" s="0" t="n">
        <v>2030858</v>
      </c>
    </row>
    <row r="2176" customFormat="false" ht="54.75" hidden="false" customHeight="true" outlineLevel="0" collapsed="false">
      <c r="A2176" s="9" t="n">
        <v>2</v>
      </c>
      <c r="B2176" s="10" t="n">
        <v>46269</v>
      </c>
      <c r="C2176" s="10" t="n">
        <v>46288</v>
      </c>
      <c r="D2176" s="9" t="n">
        <v>1613</v>
      </c>
      <c r="E2176" s="11" t="s">
        <v>50</v>
      </c>
      <c r="F2176" s="9" t="n">
        <v>24</v>
      </c>
      <c r="G2176" s="11" t="s">
        <v>51</v>
      </c>
      <c r="H2176" s="9" t="n">
        <v>2110405</v>
      </c>
      <c r="I2176" s="11" t="s">
        <v>56</v>
      </c>
      <c r="J2176" s="9" t="n">
        <v>1653086</v>
      </c>
      <c r="L2176" s="9" t="n">
        <v>227108</v>
      </c>
      <c r="M2176" s="11" t="s">
        <v>52</v>
      </c>
      <c r="N2176" s="11" t="s">
        <v>45</v>
      </c>
      <c r="P2176" s="9" t="n">
        <v>113</v>
      </c>
      <c r="Q2176" s="11" t="s">
        <v>46</v>
      </c>
      <c r="R2176" s="11" t="s">
        <v>47</v>
      </c>
      <c r="S2176" s="9" t="n">
        <v>1130101</v>
      </c>
      <c r="T2176" s="11" t="s">
        <v>48</v>
      </c>
      <c r="U2176" s="12" t="n">
        <v>2295.99</v>
      </c>
      <c r="W2176" s="12" t="n">
        <v>2295.99</v>
      </c>
      <c r="X2176" s="11" t="s">
        <v>1750</v>
      </c>
      <c r="Z2176" s="0" t="str">
        <f aca="false">IF($T2176="","",IFERROR(INDEX('Resumo Grupos'!$AC$3:$AC$200,MATCH($T2176,'Resumo Grupos'!$AB$3:$AB$200,0)),"n/d"))</f>
        <v>Mercadoria</v>
      </c>
      <c r="AA2176" s="0" t="str">
        <f aca="false">IF($T2176="","",IF(COUNTIF('Resumo Grupos'!$AE$3:$AE$40,$T2176)&gt;0,"NAO","SIM"))</f>
        <v>SIM</v>
      </c>
      <c r="AB2176" s="0" t="str">
        <f aca="false">IFERROR(INDEX('Mov Entradas (Rel 10497)'!$L:$L,MATCH(AC2176,'Mov Entradas (Rel 10497)'!$I:$I,0)),"nao encontrado")</f>
        <v>COSTELA SUINA KG</v>
      </c>
      <c r="AC2176" s="0" t="n">
        <v>1627324</v>
      </c>
    </row>
    <row r="2177" customFormat="false" ht="36.75" hidden="false" customHeight="true" outlineLevel="0" collapsed="false">
      <c r="A2177" s="9" t="n">
        <v>2</v>
      </c>
      <c r="B2177" s="10" t="n">
        <v>46276</v>
      </c>
      <c r="C2177" s="10" t="n">
        <v>46288</v>
      </c>
      <c r="D2177" s="9" t="n">
        <v>1613</v>
      </c>
      <c r="E2177" s="11" t="s">
        <v>50</v>
      </c>
      <c r="F2177" s="9" t="n">
        <v>24</v>
      </c>
      <c r="G2177" s="11" t="s">
        <v>51</v>
      </c>
      <c r="H2177" s="9" t="n">
        <v>2110405</v>
      </c>
      <c r="I2177" s="11" t="s">
        <v>56</v>
      </c>
      <c r="J2177" s="9" t="n">
        <v>1686409</v>
      </c>
      <c r="L2177" s="9" t="n">
        <v>231486</v>
      </c>
      <c r="M2177" s="11" t="s">
        <v>52</v>
      </c>
      <c r="N2177" s="11" t="s">
        <v>45</v>
      </c>
      <c r="P2177" s="9" t="n">
        <v>113</v>
      </c>
      <c r="Q2177" s="11" t="s">
        <v>46</v>
      </c>
      <c r="R2177" s="11" t="s">
        <v>47</v>
      </c>
      <c r="S2177" s="9" t="n">
        <v>1130101</v>
      </c>
      <c r="T2177" s="11" t="s">
        <v>48</v>
      </c>
      <c r="U2177" s="12" t="n">
        <v>478.72</v>
      </c>
      <c r="W2177" s="12" t="n">
        <v>478.72</v>
      </c>
      <c r="X2177" s="11" t="s">
        <v>1818</v>
      </c>
      <c r="Z2177" s="0" t="str">
        <f aca="false">IF($T2177="","",IFERROR(INDEX('Resumo Grupos'!$AC$3:$AC$200,MATCH($T2177,'Resumo Grupos'!$AB$3:$AB$200,0)),"n/d"))</f>
        <v>Mercadoria</v>
      </c>
      <c r="AA2177" s="0" t="str">
        <f aca="false">IF($T2177="","",IF(COUNTIF('Resumo Grupos'!$AE$3:$AE$40,$T2177)&gt;0,"NAO","SIM"))</f>
        <v>SIM</v>
      </c>
      <c r="AB2177" s="0" t="str">
        <f aca="false">IFERROR(INDEX('Mov Entradas (Rel 10497)'!$L:$L,MATCH(AC2177,'Mov Entradas (Rel 10497)'!$I:$I,0)),"nao encontrado")</f>
        <v>CORACAO DE FRANGO KG</v>
      </c>
      <c r="AC2177" s="0" t="n">
        <v>1629386</v>
      </c>
    </row>
    <row r="2178" customFormat="false" ht="36.75" hidden="false" customHeight="true" outlineLevel="0" collapsed="false">
      <c r="A2178" s="9" t="n">
        <v>2</v>
      </c>
      <c r="B2178" s="10" t="n">
        <v>46275</v>
      </c>
      <c r="C2178" s="10" t="n">
        <v>46288</v>
      </c>
      <c r="D2178" s="9" t="n">
        <v>1608</v>
      </c>
      <c r="E2178" s="11" t="s">
        <v>240</v>
      </c>
      <c r="F2178" s="9" t="n">
        <v>24</v>
      </c>
      <c r="G2178" s="11" t="s">
        <v>51</v>
      </c>
      <c r="H2178" s="9" t="n">
        <v>2110405</v>
      </c>
      <c r="I2178" s="11" t="s">
        <v>56</v>
      </c>
      <c r="J2178" s="9" t="n">
        <v>1681684</v>
      </c>
      <c r="L2178" s="9" t="n">
        <v>230751</v>
      </c>
      <c r="M2178" s="11" t="s">
        <v>52</v>
      </c>
      <c r="N2178" s="11" t="s">
        <v>45</v>
      </c>
      <c r="P2178" s="9" t="n">
        <v>113</v>
      </c>
      <c r="Q2178" s="11" t="s">
        <v>46</v>
      </c>
      <c r="R2178" s="11" t="s">
        <v>47</v>
      </c>
      <c r="S2178" s="9" t="n">
        <v>1130101</v>
      </c>
      <c r="T2178" s="11" t="s">
        <v>48</v>
      </c>
      <c r="U2178" s="12" t="n">
        <v>684.67</v>
      </c>
      <c r="W2178" s="12" t="n">
        <v>684.67</v>
      </c>
      <c r="X2178" s="11" t="s">
        <v>1751</v>
      </c>
      <c r="Z2178" s="0" t="str">
        <f aca="false">IF($T2178="","",IFERROR(INDEX('Resumo Grupos'!$AC$3:$AC$200,MATCH($T2178,'Resumo Grupos'!$AB$3:$AB$200,0)),"n/d"))</f>
        <v>Mercadoria</v>
      </c>
      <c r="AA2178" s="0" t="str">
        <f aca="false">IF($T2178="","",IF(COUNTIF('Resumo Grupos'!$AE$3:$AE$40,$T2178)&gt;0,"NAO","SIM"))</f>
        <v>SIM</v>
      </c>
      <c r="AB2178" s="0" t="str">
        <f aca="false">IFERROR(INDEX('Mov Entradas (Rel 10497)'!$L:$L,MATCH(AC2178,'Mov Entradas (Rel 10497)'!$I:$I,0)),"nao encontrado")</f>
        <v>PATE ATUM COQ 170G</v>
      </c>
      <c r="AC2178" s="0" t="n">
        <v>1726308</v>
      </c>
    </row>
    <row r="2179" customFormat="false" ht="63.75" hidden="false" customHeight="true" outlineLevel="0" collapsed="false">
      <c r="A2179" s="9" t="n">
        <v>2</v>
      </c>
      <c r="B2179" s="10" t="n">
        <v>46275</v>
      </c>
      <c r="C2179" s="10" t="n">
        <v>46288</v>
      </c>
      <c r="D2179" s="9" t="n">
        <v>10019</v>
      </c>
      <c r="E2179" s="11" t="s">
        <v>268</v>
      </c>
      <c r="F2179" s="9" t="n">
        <v>24</v>
      </c>
      <c r="G2179" s="11" t="s">
        <v>51</v>
      </c>
      <c r="H2179" s="9" t="n">
        <v>2110405</v>
      </c>
      <c r="I2179" s="11" t="s">
        <v>56</v>
      </c>
      <c r="J2179" s="9" t="n">
        <v>1681636</v>
      </c>
      <c r="L2179" s="9" t="n">
        <v>230738</v>
      </c>
      <c r="M2179" s="11" t="s">
        <v>52</v>
      </c>
      <c r="N2179" s="11" t="s">
        <v>45</v>
      </c>
      <c r="P2179" s="9" t="n">
        <v>113</v>
      </c>
      <c r="Q2179" s="11" t="s">
        <v>46</v>
      </c>
      <c r="R2179" s="11" t="s">
        <v>47</v>
      </c>
      <c r="S2179" s="9" t="n">
        <v>1130101</v>
      </c>
      <c r="T2179" s="11" t="s">
        <v>48</v>
      </c>
      <c r="U2179" s="12" t="n">
        <v>2170.63</v>
      </c>
      <c r="W2179" s="12" t="n">
        <v>2170.63</v>
      </c>
      <c r="X2179" s="11" t="s">
        <v>1752</v>
      </c>
      <c r="Z2179" s="0" t="str">
        <f aca="false">IF($T2179="","",IFERROR(INDEX('Resumo Grupos'!$AC$3:$AC$200,MATCH($T2179,'Resumo Grupos'!$AB$3:$AB$200,0)),"n/d"))</f>
        <v>Mercadoria</v>
      </c>
      <c r="AA2179" s="0" t="str">
        <f aca="false">IF($T2179="","",IF(COUNTIF('Resumo Grupos'!$AE$3:$AE$40,$T2179)&gt;0,"NAO","SIM"))</f>
        <v>SIM</v>
      </c>
      <c r="AB2179" s="0" t="str">
        <f aca="false">IFERROR(INDEX('Mov Entradas (Rel 10497)'!$L:$L,MATCH(AC2179,'Mov Entradas (Rel 10497)'!$I:$I,0)),"nao encontrado")</f>
        <v>PATINHO BOVINO KG</v>
      </c>
      <c r="AC2179" s="0" t="n">
        <v>33492</v>
      </c>
    </row>
    <row r="2180" customFormat="false" ht="54.75" hidden="false" customHeight="true" outlineLevel="0" collapsed="false">
      <c r="A2180" s="9" t="n">
        <v>2</v>
      </c>
      <c r="B2180" s="10" t="n">
        <v>46275</v>
      </c>
      <c r="C2180" s="10" t="n">
        <v>46288</v>
      </c>
      <c r="D2180" s="9" t="n">
        <v>10019</v>
      </c>
      <c r="E2180" s="11" t="s">
        <v>268</v>
      </c>
      <c r="F2180" s="9" t="n">
        <v>24</v>
      </c>
      <c r="G2180" s="11" t="s">
        <v>51</v>
      </c>
      <c r="H2180" s="9" t="n">
        <v>2110405</v>
      </c>
      <c r="I2180" s="11" t="s">
        <v>56</v>
      </c>
      <c r="J2180" s="9" t="n">
        <v>1681653</v>
      </c>
      <c r="L2180" s="9" t="n">
        <v>230747</v>
      </c>
      <c r="M2180" s="11" t="s">
        <v>52</v>
      </c>
      <c r="N2180" s="11" t="s">
        <v>45</v>
      </c>
      <c r="P2180" s="9" t="n">
        <v>113</v>
      </c>
      <c r="Q2180" s="11" t="s">
        <v>46</v>
      </c>
      <c r="R2180" s="11" t="s">
        <v>47</v>
      </c>
      <c r="S2180" s="9" t="n">
        <v>1130101</v>
      </c>
      <c r="T2180" s="11" t="s">
        <v>48</v>
      </c>
      <c r="U2180" s="12" t="n">
        <v>432.76</v>
      </c>
      <c r="W2180" s="12" t="n">
        <v>432.76</v>
      </c>
      <c r="X2180" s="11" t="s">
        <v>1753</v>
      </c>
      <c r="Z2180" s="0" t="str">
        <f aca="false">IF($T2180="","",IFERROR(INDEX('Resumo Grupos'!$AC$3:$AC$200,MATCH($T2180,'Resumo Grupos'!$AB$3:$AB$200,0)),"n/d"))</f>
        <v>Mercadoria</v>
      </c>
      <c r="AA2180" s="0" t="str">
        <f aca="false">IF($T2180="","",IF(COUNTIF('Resumo Grupos'!$AE$3:$AE$40,$T2180)&gt;0,"NAO","SIM"))</f>
        <v>SIM</v>
      </c>
      <c r="AB2180" s="0" t="str">
        <f aca="false">IFERROR(INDEX('Mov Entradas (Rel 10497)'!$L:$L,MATCH(AC2180,'Mov Entradas (Rel 10497)'!$I:$I,0)),"nao encontrado")</f>
        <v>ALCATRA BOVINA KG</v>
      </c>
      <c r="AC2180" s="0" t="n">
        <v>38204</v>
      </c>
    </row>
    <row r="2181" customFormat="false" ht="54.75" hidden="false" customHeight="true" outlineLevel="0" collapsed="false">
      <c r="A2181" s="9" t="n">
        <v>2</v>
      </c>
      <c r="B2181" s="10" t="n">
        <v>46288</v>
      </c>
      <c r="C2181" s="10" t="n">
        <v>46288</v>
      </c>
      <c r="D2181" s="9" t="n">
        <v>10096</v>
      </c>
      <c r="E2181" s="11" t="s">
        <v>622</v>
      </c>
      <c r="F2181" s="9" t="n">
        <v>13</v>
      </c>
      <c r="G2181" s="11" t="s">
        <v>135</v>
      </c>
      <c r="H2181" s="9" t="n">
        <v>2110405</v>
      </c>
      <c r="I2181" s="11" t="s">
        <v>56</v>
      </c>
      <c r="J2181" s="9" t="n">
        <v>1748731</v>
      </c>
      <c r="L2181" s="9" t="n">
        <v>240873</v>
      </c>
      <c r="M2181" s="11" t="s">
        <v>52</v>
      </c>
      <c r="N2181" s="11" t="s">
        <v>45</v>
      </c>
      <c r="P2181" s="9" t="n">
        <v>113</v>
      </c>
      <c r="Q2181" s="11" t="s">
        <v>46</v>
      </c>
      <c r="R2181" s="11" t="s">
        <v>47</v>
      </c>
      <c r="S2181" s="9" t="n">
        <v>1130101</v>
      </c>
      <c r="T2181" s="11" t="s">
        <v>48</v>
      </c>
      <c r="U2181" s="12" t="n">
        <v>140</v>
      </c>
      <c r="W2181" s="12" t="n">
        <v>140</v>
      </c>
      <c r="X2181" s="11" t="s">
        <v>1819</v>
      </c>
      <c r="Z2181" s="0" t="str">
        <f aca="false">IF($T2181="","",IFERROR(INDEX('Resumo Grupos'!$AC$3:$AC$200,MATCH($T2181,'Resumo Grupos'!$AB$3:$AB$200,0)),"n/d"))</f>
        <v>Mercadoria</v>
      </c>
      <c r="AA2181" s="0" t="str">
        <f aca="false">IF($T2181="","",IF(COUNTIF('Resumo Grupos'!$AE$3:$AE$40,$T2181)&gt;0,"NAO","SIM"))</f>
        <v>SIM</v>
      </c>
      <c r="AB2181" s="0" t="str">
        <f aca="false">IFERROR(INDEX('Mov Entradas (Rel 10497)'!$L:$L,MATCH(AC2181,'Mov Entradas (Rel 10497)'!$I:$I,0)),"nao encontrado")</f>
        <v>OVOS BRANCO UNID</v>
      </c>
      <c r="AC2181" s="0" t="n">
        <v>294</v>
      </c>
    </row>
    <row r="2182" customFormat="false" ht="54.75" hidden="false" customHeight="true" outlineLevel="0" collapsed="false">
      <c r="A2182" s="9" t="n">
        <v>2</v>
      </c>
      <c r="B2182" s="10" t="n">
        <v>46288</v>
      </c>
      <c r="C2182" s="10" t="n">
        <v>46288</v>
      </c>
      <c r="D2182" s="9" t="n">
        <v>515</v>
      </c>
      <c r="E2182" s="11" t="s">
        <v>137</v>
      </c>
      <c r="F2182" s="9" t="n">
        <v>34</v>
      </c>
      <c r="G2182" s="11" t="s">
        <v>55</v>
      </c>
      <c r="H2182" s="9" t="n">
        <v>2110405</v>
      </c>
      <c r="I2182" s="11" t="s">
        <v>56</v>
      </c>
      <c r="J2182" s="9" t="n">
        <v>1770185</v>
      </c>
      <c r="L2182" s="9" t="n">
        <v>243736</v>
      </c>
      <c r="M2182" s="11" t="s">
        <v>52</v>
      </c>
      <c r="N2182" s="11" t="s">
        <v>45</v>
      </c>
      <c r="P2182" s="9" t="n">
        <v>102</v>
      </c>
      <c r="Q2182" s="11" t="s">
        <v>308</v>
      </c>
      <c r="R2182" s="11" t="s">
        <v>516</v>
      </c>
      <c r="S2182" s="9" t="n">
        <v>22103</v>
      </c>
      <c r="T2182" s="11" t="s">
        <v>516</v>
      </c>
      <c r="U2182" s="12" t="n">
        <v>165</v>
      </c>
      <c r="W2182" s="12" t="n">
        <v>165</v>
      </c>
      <c r="X2182" s="11" t="s">
        <v>1820</v>
      </c>
      <c r="Z2182" s="0" t="str">
        <f aca="false">IF($T2182="","",IFERROR(INDEX('Resumo Grupos'!$AC$3:$AC$200,MATCH($T2182,'Resumo Grupos'!$AB$3:$AB$200,0)),"n/d"))</f>
        <v>Despesa</v>
      </c>
      <c r="AA2182" s="0" t="str">
        <f aca="false">IF($T2182="","",IF(COUNTIF('Resumo Grupos'!$AE$3:$AE$40,$T2182)&gt;0,"NAO","SIM"))</f>
        <v>SIM</v>
      </c>
    </row>
    <row r="2183" customFormat="false" ht="36.75" hidden="false" customHeight="true" outlineLevel="0" collapsed="false">
      <c r="A2183" s="9" t="n">
        <v>2</v>
      </c>
      <c r="B2183" s="10" t="n">
        <v>46281</v>
      </c>
      <c r="C2183" s="10" t="n">
        <v>46288</v>
      </c>
      <c r="D2183" s="9" t="n">
        <v>1363</v>
      </c>
      <c r="E2183" s="11" t="s">
        <v>174</v>
      </c>
      <c r="F2183" s="9" t="n">
        <v>24</v>
      </c>
      <c r="G2183" s="11" t="s">
        <v>51</v>
      </c>
      <c r="H2183" s="9" t="n">
        <v>2110405</v>
      </c>
      <c r="I2183" s="11" t="s">
        <v>56</v>
      </c>
      <c r="J2183" s="9" t="n">
        <v>1711574</v>
      </c>
      <c r="L2183" s="9" t="n">
        <v>235158</v>
      </c>
      <c r="M2183" s="11" t="s">
        <v>52</v>
      </c>
      <c r="N2183" s="11" t="s">
        <v>45</v>
      </c>
      <c r="P2183" s="9" t="n">
        <v>113</v>
      </c>
      <c r="Q2183" s="11" t="s">
        <v>46</v>
      </c>
      <c r="R2183" s="11" t="s">
        <v>47</v>
      </c>
      <c r="S2183" s="9" t="n">
        <v>1130101</v>
      </c>
      <c r="T2183" s="11" t="s">
        <v>48</v>
      </c>
      <c r="U2183" s="12" t="n">
        <v>128</v>
      </c>
      <c r="W2183" s="12" t="n">
        <v>128</v>
      </c>
      <c r="X2183" s="11" t="s">
        <v>1821</v>
      </c>
      <c r="Z2183" s="0" t="str">
        <f aca="false">IF($T2183="","",IFERROR(INDEX('Resumo Grupos'!$AC$3:$AC$200,MATCH($T2183,'Resumo Grupos'!$AB$3:$AB$200,0)),"n/d"))</f>
        <v>Mercadoria</v>
      </c>
      <c r="AA2183" s="0" t="str">
        <f aca="false">IF($T2183="","",IF(COUNTIF('Resumo Grupos'!$AE$3:$AE$40,$T2183)&gt;0,"NAO","SIM"))</f>
        <v>SIM</v>
      </c>
      <c r="AB2183" s="0" t="str">
        <f aca="false">IFERROR(INDEX('Mov Entradas (Rel 10497)'!$L:$L,MATCH(AC2183,'Mov Entradas (Rel 10497)'!$I:$I,0)),"nao encontrado")</f>
        <v>PAO HAMBURGUER SANTO PAO</v>
      </c>
      <c r="AC2183" s="0" t="n">
        <v>3941</v>
      </c>
    </row>
    <row r="2184" customFormat="false" ht="45.75" hidden="false" customHeight="true" outlineLevel="0" collapsed="false">
      <c r="A2184" s="9" t="n">
        <v>2</v>
      </c>
      <c r="B2184" s="10" t="n">
        <v>46288</v>
      </c>
      <c r="C2184" s="10" t="n">
        <v>46288</v>
      </c>
      <c r="D2184" s="9" t="n">
        <v>48</v>
      </c>
      <c r="E2184" s="11" t="s">
        <v>153</v>
      </c>
      <c r="F2184" s="9" t="n">
        <v>13</v>
      </c>
      <c r="G2184" s="11" t="s">
        <v>135</v>
      </c>
      <c r="H2184" s="9" t="n">
        <v>2110101</v>
      </c>
      <c r="I2184" s="11" t="s">
        <v>43</v>
      </c>
      <c r="J2184" s="9" t="n">
        <v>1744126</v>
      </c>
      <c r="L2184" s="9" t="n">
        <v>2695</v>
      </c>
      <c r="M2184" s="11" t="s">
        <v>52</v>
      </c>
      <c r="N2184" s="11" t="s">
        <v>37</v>
      </c>
      <c r="P2184" s="9" t="n">
        <v>113</v>
      </c>
      <c r="Q2184" s="11" t="s">
        <v>46</v>
      </c>
      <c r="R2184" s="11" t="s">
        <v>47</v>
      </c>
      <c r="S2184" s="9" t="n">
        <v>1130101</v>
      </c>
      <c r="T2184" s="11" t="s">
        <v>48</v>
      </c>
      <c r="U2184" s="12" t="n">
        <v>195</v>
      </c>
      <c r="W2184" s="12" t="n">
        <v>0</v>
      </c>
      <c r="X2184" s="11" t="s">
        <v>1822</v>
      </c>
      <c r="Z2184" s="0" t="str">
        <f aca="false">IF($T2184="","",IFERROR(INDEX('Resumo Grupos'!$AC$3:$AC$200,MATCH($T2184,'Resumo Grupos'!$AB$3:$AB$200,0)),"n/d"))</f>
        <v>Mercadoria</v>
      </c>
      <c r="AA2184" s="0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9" t="n">
        <v>2</v>
      </c>
      <c r="B2185" s="10" t="n">
        <v>46260</v>
      </c>
      <c r="C2185" s="10" t="n">
        <v>46288</v>
      </c>
      <c r="D2185" s="9" t="n">
        <v>1107</v>
      </c>
      <c r="E2185" s="11" t="s">
        <v>254</v>
      </c>
      <c r="F2185" s="9" t="n">
        <v>24</v>
      </c>
      <c r="G2185" s="11" t="s">
        <v>51</v>
      </c>
      <c r="H2185" s="9" t="n">
        <v>2110405</v>
      </c>
      <c r="I2185" s="11" t="s">
        <v>56</v>
      </c>
      <c r="J2185" s="9" t="n">
        <v>1605200</v>
      </c>
      <c r="L2185" s="9" t="n">
        <v>219910</v>
      </c>
      <c r="M2185" s="11" t="s">
        <v>52</v>
      </c>
      <c r="N2185" s="11" t="s">
        <v>45</v>
      </c>
      <c r="P2185" s="9" t="n">
        <v>113</v>
      </c>
      <c r="Q2185" s="11" t="s">
        <v>46</v>
      </c>
      <c r="R2185" s="11" t="s">
        <v>47</v>
      </c>
      <c r="S2185" s="9" t="n">
        <v>1130101</v>
      </c>
      <c r="T2185" s="11" t="s">
        <v>48</v>
      </c>
      <c r="U2185" s="12" t="n">
        <v>1510.34</v>
      </c>
      <c r="W2185" s="12" t="n">
        <v>1510.34</v>
      </c>
      <c r="X2185" s="11" t="s">
        <v>1660</v>
      </c>
      <c r="Z2185" s="0" t="str">
        <f aca="false">IF($T2185="","",IFERROR(INDEX('Resumo Grupos'!$AC$3:$AC$200,MATCH($T2185,'Resumo Grupos'!$AB$3:$AB$200,0)),"n/d"))</f>
        <v>Mercadoria</v>
      </c>
      <c r="AA2185" s="0" t="str">
        <f aca="false">IF($T2185="","",IF(COUNTIF('Resumo Grupos'!$AE$3:$AE$40,$T2185)&gt;0,"NAO","SIM"))</f>
        <v>SIM</v>
      </c>
      <c r="AB2185" s="0" t="str">
        <f aca="false">IFERROR(INDEX('Mov Entradas (Rel 10497)'!$L:$L,MATCH(AC2185,'Mov Entradas (Rel 10497)'!$I:$I,0)),"nao encontrado")</f>
        <v>BOLINHO MORANGO 7308</v>
      </c>
      <c r="AC2185" s="0" t="n">
        <v>447609</v>
      </c>
    </row>
    <row r="2186" customFormat="false" ht="45.75" hidden="false" customHeight="true" outlineLevel="0" collapsed="false">
      <c r="A2186" s="9" t="n">
        <v>2</v>
      </c>
      <c r="B2186" s="10" t="n">
        <v>46281</v>
      </c>
      <c r="C2186" s="10" t="n">
        <v>46288</v>
      </c>
      <c r="D2186" s="9" t="n">
        <v>1024</v>
      </c>
      <c r="E2186" s="11" t="s">
        <v>471</v>
      </c>
      <c r="F2186" s="9" t="n">
        <v>24</v>
      </c>
      <c r="G2186" s="11" t="s">
        <v>51</v>
      </c>
      <c r="H2186" s="9" t="n">
        <v>2110405</v>
      </c>
      <c r="I2186" s="11" t="s">
        <v>56</v>
      </c>
      <c r="J2186" s="9" t="n">
        <v>1711602</v>
      </c>
      <c r="L2186" s="9" t="n">
        <v>235162</v>
      </c>
      <c r="M2186" s="11" t="s">
        <v>52</v>
      </c>
      <c r="N2186" s="11" t="s">
        <v>45</v>
      </c>
      <c r="P2186" s="9" t="n">
        <v>113</v>
      </c>
      <c r="Q2186" s="11" t="s">
        <v>46</v>
      </c>
      <c r="R2186" s="11" t="s">
        <v>47</v>
      </c>
      <c r="S2186" s="9" t="n">
        <v>1130101</v>
      </c>
      <c r="T2186" s="11" t="s">
        <v>48</v>
      </c>
      <c r="U2186" s="12" t="n">
        <v>240</v>
      </c>
      <c r="W2186" s="12" t="n">
        <v>240</v>
      </c>
      <c r="X2186" s="11" t="s">
        <v>1823</v>
      </c>
      <c r="Z2186" s="0" t="str">
        <f aca="false">IF($T2186="","",IFERROR(INDEX('Resumo Grupos'!$AC$3:$AC$200,MATCH($T2186,'Resumo Grupos'!$AB$3:$AB$200,0)),"n/d"))</f>
        <v>Mercadoria</v>
      </c>
      <c r="AA2186" s="0" t="str">
        <f aca="false">IF($T2186="","",IF(COUNTIF('Resumo Grupos'!$AE$3:$AE$40,$T2186)&gt;0,"NAO","SIM"))</f>
        <v>SIM</v>
      </c>
      <c r="AB2186" s="0" t="str">
        <f aca="false">IFERROR(INDEX('Mov Entradas (Rel 10497)'!$L:$L,MATCH(AC2186,'Mov Entradas (Rel 10497)'!$I:$I,0)),"nao encontrado")</f>
        <v>AGUA MIN SNT CLAU 2L</v>
      </c>
      <c r="AC2186" s="0" t="n">
        <v>644000</v>
      </c>
    </row>
    <row r="2187" customFormat="false" ht="36.75" hidden="false" customHeight="true" outlineLevel="0" collapsed="false">
      <c r="A2187" s="9" t="n">
        <v>2</v>
      </c>
      <c r="B2187" s="10" t="n">
        <v>46275</v>
      </c>
      <c r="C2187" s="10" t="n">
        <v>46288</v>
      </c>
      <c r="D2187" s="9" t="n">
        <v>33</v>
      </c>
      <c r="E2187" s="11" t="s">
        <v>313</v>
      </c>
      <c r="F2187" s="9" t="n">
        <v>34</v>
      </c>
      <c r="G2187" s="11" t="s">
        <v>55</v>
      </c>
      <c r="H2187" s="9" t="n">
        <v>2110405</v>
      </c>
      <c r="I2187" s="11" t="s">
        <v>56</v>
      </c>
      <c r="J2187" s="9" t="n">
        <v>1682658</v>
      </c>
      <c r="L2187" s="9" t="n">
        <v>230993</v>
      </c>
      <c r="M2187" s="11" t="s">
        <v>52</v>
      </c>
      <c r="N2187" s="11" t="s">
        <v>45</v>
      </c>
      <c r="P2187" s="9" t="n">
        <v>113</v>
      </c>
      <c r="Q2187" s="11" t="s">
        <v>46</v>
      </c>
      <c r="R2187" s="11" t="s">
        <v>47</v>
      </c>
      <c r="S2187" s="9" t="n">
        <v>1130101</v>
      </c>
      <c r="T2187" s="11" t="s">
        <v>48</v>
      </c>
      <c r="U2187" s="12" t="n">
        <v>781.39</v>
      </c>
      <c r="W2187" s="12" t="n">
        <v>781.39</v>
      </c>
      <c r="X2187" s="11" t="s">
        <v>413</v>
      </c>
      <c r="Z2187" s="0" t="str">
        <f aca="false">IF($T2187="","",IFERROR(INDEX('Resumo Grupos'!$AC$3:$AC$200,MATCH($T2187,'Resumo Grupos'!$AB$3:$AB$200,0)),"n/d"))</f>
        <v>Mercadoria</v>
      </c>
      <c r="AA2187" s="0" t="str">
        <f aca="false">IF($T2187="","",IF(COUNTIF('Resumo Grupos'!$AE$3:$AE$40,$T2187)&gt;0,"NAO","SIM"))</f>
        <v>SIM</v>
      </c>
      <c r="AB2187" s="0" t="str">
        <f aca="false">IFERROR(INDEX('Mov Entradas (Rel 10497)'!$L:$L,MATCH(AC2187,'Mov Entradas (Rel 10497)'!$I:$I,0)),"nao encontrado")</f>
        <v>SUCO FAZENDINHA CITR</v>
      </c>
      <c r="AC2187" s="0" t="n">
        <v>5642</v>
      </c>
    </row>
    <row r="2188" customFormat="false" ht="54.75" hidden="false" customHeight="true" outlineLevel="0" collapsed="false">
      <c r="A2188" s="9" t="n">
        <v>2</v>
      </c>
      <c r="B2188" s="10" t="n">
        <v>46288</v>
      </c>
      <c r="C2188" s="10" t="n">
        <v>46288</v>
      </c>
      <c r="D2188" s="9" t="n">
        <v>33</v>
      </c>
      <c r="E2188" s="11" t="s">
        <v>313</v>
      </c>
      <c r="F2188" s="9" t="n">
        <v>34</v>
      </c>
      <c r="G2188" s="11" t="s">
        <v>55</v>
      </c>
      <c r="H2188" s="9" t="n">
        <v>2110405</v>
      </c>
      <c r="I2188" s="11" t="s">
        <v>56</v>
      </c>
      <c r="J2188" s="9" t="n">
        <v>1770170</v>
      </c>
      <c r="L2188" s="9" t="n">
        <v>243732</v>
      </c>
      <c r="M2188" s="11" t="s">
        <v>52</v>
      </c>
      <c r="N2188" s="11" t="s">
        <v>45</v>
      </c>
      <c r="P2188" s="9" t="n">
        <v>102</v>
      </c>
      <c r="Q2188" s="11" t="s">
        <v>308</v>
      </c>
      <c r="R2188" s="11" t="s">
        <v>607</v>
      </c>
      <c r="S2188" s="9" t="n">
        <v>1140101</v>
      </c>
      <c r="T2188" s="11" t="s">
        <v>608</v>
      </c>
      <c r="U2188" s="12" t="n">
        <v>56.53</v>
      </c>
      <c r="W2188" s="12" t="n">
        <v>56.53</v>
      </c>
      <c r="X2188" s="11" t="s">
        <v>1824</v>
      </c>
      <c r="Z2188" s="0" t="str">
        <f aca="false">IF($T2188="","",IFERROR(INDEX('Resumo Grupos'!$AC$3:$AC$200,MATCH($T2188,'Resumo Grupos'!$AB$3:$AB$200,0)),"n/d"))</f>
        <v>Despesa</v>
      </c>
      <c r="AA2188" s="0" t="str">
        <f aca="false">IF($T2188="","",IF(COUNTIF('Resumo Grupos'!$AE$3:$AE$40,$T2188)&gt;0,"NAO","SIM"))</f>
        <v>SIM</v>
      </c>
    </row>
    <row r="2189" customFormat="false" ht="45.75" hidden="false" customHeight="true" outlineLevel="0" collapsed="false">
      <c r="A2189" s="9" t="n">
        <v>2</v>
      </c>
      <c r="B2189" s="10" t="n">
        <v>46288</v>
      </c>
      <c r="C2189" s="10" t="n">
        <v>46288</v>
      </c>
      <c r="D2189" s="9" t="n">
        <v>0</v>
      </c>
      <c r="E2189" s="11" t="s">
        <v>109</v>
      </c>
      <c r="F2189" s="9" t="n">
        <v>17</v>
      </c>
      <c r="G2189" s="11" t="s">
        <v>110</v>
      </c>
      <c r="H2189" s="9" t="n">
        <v>1110101</v>
      </c>
      <c r="I2189" s="11" t="s">
        <v>111</v>
      </c>
      <c r="J2189" s="9" t="n">
        <v>1748550</v>
      </c>
      <c r="L2189" s="9" t="n">
        <v>1748550</v>
      </c>
      <c r="M2189" s="11" t="s">
        <v>52</v>
      </c>
      <c r="N2189" s="11" t="s">
        <v>112</v>
      </c>
      <c r="P2189" s="9" t="n">
        <v>113</v>
      </c>
      <c r="Q2189" s="11" t="s">
        <v>46</v>
      </c>
      <c r="R2189" s="11" t="s">
        <v>71</v>
      </c>
      <c r="S2189" s="9" t="n">
        <v>4210314</v>
      </c>
      <c r="T2189" s="11" t="s">
        <v>113</v>
      </c>
      <c r="U2189" s="12" t="n">
        <v>50</v>
      </c>
      <c r="W2189" s="12" t="n">
        <v>50</v>
      </c>
      <c r="X2189" s="11" t="s">
        <v>368</v>
      </c>
      <c r="Z2189" s="0" t="str">
        <f aca="false">IF($T2189="","",IFERROR(INDEX('Resumo Grupos'!$AC$3:$AC$200,MATCH($T2189,'Resumo Grupos'!$AB$3:$AB$200,0)),"n/d"))</f>
        <v>Despesa</v>
      </c>
      <c r="AA2189" s="0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9" t="n">
        <v>2</v>
      </c>
      <c r="B2190" s="10" t="n">
        <v>46288</v>
      </c>
      <c r="C2190" s="10" t="n">
        <v>46288</v>
      </c>
      <c r="D2190" s="9" t="n">
        <v>0</v>
      </c>
      <c r="E2190" s="11" t="s">
        <v>109</v>
      </c>
      <c r="F2190" s="9" t="n">
        <v>17</v>
      </c>
      <c r="G2190" s="11" t="s">
        <v>110</v>
      </c>
      <c r="H2190" s="9" t="n">
        <v>1110101</v>
      </c>
      <c r="I2190" s="11" t="s">
        <v>111</v>
      </c>
      <c r="J2190" s="9" t="n">
        <v>1748554</v>
      </c>
      <c r="L2190" s="9" t="n">
        <v>1748554</v>
      </c>
      <c r="M2190" s="11" t="s">
        <v>52</v>
      </c>
      <c r="N2190" s="11" t="s">
        <v>112</v>
      </c>
      <c r="P2190" s="9" t="n">
        <v>113</v>
      </c>
      <c r="Q2190" s="11" t="s">
        <v>46</v>
      </c>
      <c r="R2190" s="11" t="s">
        <v>71</v>
      </c>
      <c r="S2190" s="9" t="n">
        <v>4210314</v>
      </c>
      <c r="T2190" s="11" t="s">
        <v>113</v>
      </c>
      <c r="U2190" s="12" t="n">
        <v>100</v>
      </c>
      <c r="W2190" s="12" t="n">
        <v>100</v>
      </c>
      <c r="X2190" s="11" t="s">
        <v>1706</v>
      </c>
      <c r="Z2190" s="0" t="str">
        <f aca="false">IF($T2190="","",IFERROR(INDEX('Resumo Grupos'!$AC$3:$AC$200,MATCH($T2190,'Resumo Grupos'!$AB$3:$AB$200,0)),"n/d"))</f>
        <v>Despesa</v>
      </c>
      <c r="AA2190" s="0" t="str">
        <f aca="false">IF($T2190="","",IF(COUNTIF('Resumo Grupos'!$AE$3:$AE$40,$T2190)&gt;0,"NAO","SIM"))</f>
        <v>SIM</v>
      </c>
    </row>
    <row r="2191" customFormat="false" ht="45.75" hidden="false" customHeight="true" outlineLevel="0" collapsed="false">
      <c r="A2191" s="9" t="n">
        <v>2</v>
      </c>
      <c r="B2191" s="10" t="n">
        <v>46288</v>
      </c>
      <c r="C2191" s="10" t="n">
        <v>46288</v>
      </c>
      <c r="D2191" s="9" t="n">
        <v>0</v>
      </c>
      <c r="E2191" s="11" t="s">
        <v>109</v>
      </c>
      <c r="F2191" s="9" t="n">
        <v>17</v>
      </c>
      <c r="G2191" s="11" t="s">
        <v>110</v>
      </c>
      <c r="H2191" s="9" t="n">
        <v>1110101</v>
      </c>
      <c r="I2191" s="11" t="s">
        <v>111</v>
      </c>
      <c r="J2191" s="9" t="n">
        <v>1748558</v>
      </c>
      <c r="L2191" s="9" t="n">
        <v>1748558</v>
      </c>
      <c r="M2191" s="11" t="s">
        <v>52</v>
      </c>
      <c r="N2191" s="11" t="s">
        <v>112</v>
      </c>
      <c r="P2191" s="9" t="n">
        <v>113</v>
      </c>
      <c r="Q2191" s="11" t="s">
        <v>46</v>
      </c>
      <c r="R2191" s="11" t="s">
        <v>71</v>
      </c>
      <c r="S2191" s="9" t="n">
        <v>4210309</v>
      </c>
      <c r="T2191" s="11" t="s">
        <v>72</v>
      </c>
      <c r="U2191" s="12" t="n">
        <v>10</v>
      </c>
      <c r="W2191" s="12" t="n">
        <v>10</v>
      </c>
      <c r="X2191" s="11" t="s">
        <v>1552</v>
      </c>
      <c r="Z2191" s="0" t="str">
        <f aca="false">IF($T2191="","",IFERROR(INDEX('Resumo Grupos'!$AC$3:$AC$200,MATCH($T2191,'Resumo Grupos'!$AB$3:$AB$200,0)),"n/d"))</f>
        <v>Salários</v>
      </c>
      <c r="AA2191" s="0" t="str">
        <f aca="false">IF($T2191="","",IF(COUNTIF('Resumo Grupos'!$AE$3:$AE$40,$T2191)&gt;0,"NAO","SIM"))</f>
        <v>SIM</v>
      </c>
    </row>
    <row r="2192" customFormat="false" ht="45.75" hidden="false" customHeight="true" outlineLevel="0" collapsed="false">
      <c r="A2192" s="9" t="n">
        <v>2</v>
      </c>
      <c r="B2192" s="10" t="n">
        <v>46288</v>
      </c>
      <c r="C2192" s="10" t="n">
        <v>46288</v>
      </c>
      <c r="D2192" s="9" t="n">
        <v>0</v>
      </c>
      <c r="E2192" s="11" t="s">
        <v>109</v>
      </c>
      <c r="F2192" s="9" t="n">
        <v>17</v>
      </c>
      <c r="G2192" s="11" t="s">
        <v>110</v>
      </c>
      <c r="H2192" s="9" t="n">
        <v>1110101</v>
      </c>
      <c r="I2192" s="11" t="s">
        <v>111</v>
      </c>
      <c r="J2192" s="9" t="n">
        <v>1748734</v>
      </c>
      <c r="L2192" s="9" t="n">
        <v>1748734</v>
      </c>
      <c r="M2192" s="11" t="s">
        <v>52</v>
      </c>
      <c r="N2192" s="11" t="s">
        <v>112</v>
      </c>
      <c r="P2192" s="9" t="n">
        <v>113</v>
      </c>
      <c r="Q2192" s="11" t="s">
        <v>46</v>
      </c>
      <c r="R2192" s="11" t="s">
        <v>56</v>
      </c>
      <c r="S2192" s="9" t="n">
        <v>2110405</v>
      </c>
      <c r="T2192" s="11" t="s">
        <v>56</v>
      </c>
      <c r="U2192" s="12" t="n">
        <v>140</v>
      </c>
      <c r="W2192" s="12" t="n">
        <v>140</v>
      </c>
      <c r="X2192" s="11" t="s">
        <v>1825</v>
      </c>
      <c r="Z2192" s="0" t="str">
        <f aca="false">IF($T2192="","",IFERROR(INDEX('Resumo Grupos'!$AC$3:$AC$200,MATCH($T2192,'Resumo Grupos'!$AB$3:$AB$200,0)),"n/d"))</f>
        <v>Cobertura de conta</v>
      </c>
      <c r="AA2192" s="0" t="str">
        <f aca="false">IF($T2192="","",IF(COUNTIF('Resumo Grupos'!$AE$3:$AE$40,$T2192)&gt;0,"NAO","SIM"))</f>
        <v>SIM</v>
      </c>
    </row>
    <row r="2193" customFormat="false" ht="54.75" hidden="false" customHeight="true" outlineLevel="0" collapsed="false">
      <c r="A2193" s="9" t="n">
        <v>2</v>
      </c>
      <c r="B2193" s="10" t="n">
        <v>46261</v>
      </c>
      <c r="C2193" s="10" t="n">
        <v>46289</v>
      </c>
      <c r="D2193" s="9" t="n">
        <v>1706</v>
      </c>
      <c r="E2193" s="11" t="s">
        <v>1671</v>
      </c>
      <c r="F2193" s="9" t="n">
        <v>24</v>
      </c>
      <c r="G2193" s="11" t="s">
        <v>51</v>
      </c>
      <c r="H2193" s="9" t="n">
        <v>2110405</v>
      </c>
      <c r="I2193" s="11" t="s">
        <v>56</v>
      </c>
      <c r="J2193" s="9" t="n">
        <v>1608557</v>
      </c>
      <c r="L2193" s="9" t="n">
        <v>220371</v>
      </c>
      <c r="M2193" s="11" t="s">
        <v>52</v>
      </c>
      <c r="N2193" s="11" t="s">
        <v>45</v>
      </c>
      <c r="P2193" s="9" t="n">
        <v>113</v>
      </c>
      <c r="Q2193" s="11" t="s">
        <v>46</v>
      </c>
      <c r="R2193" s="11" t="s">
        <v>47</v>
      </c>
      <c r="S2193" s="9" t="n">
        <v>1130101</v>
      </c>
      <c r="T2193" s="11" t="s">
        <v>48</v>
      </c>
      <c r="U2193" s="12" t="n">
        <v>805.4</v>
      </c>
      <c r="W2193" s="12" t="n">
        <v>805.4</v>
      </c>
      <c r="X2193" s="11" t="s">
        <v>1672</v>
      </c>
      <c r="Z2193" s="0" t="str">
        <f aca="false">IF($T2193="","",IFERROR(INDEX('Resumo Grupos'!$AC$3:$AC$200,MATCH($T2193,'Resumo Grupos'!$AB$3:$AB$200,0)),"n/d"))</f>
        <v>Mercadoria</v>
      </c>
      <c r="AA2193" s="0" t="str">
        <f aca="false">IF($T2193="","",IF(COUNTIF('Resumo Grupos'!$AE$3:$AE$40,$T2193)&gt;0,"NAO","SIM"))</f>
        <v>SIM</v>
      </c>
      <c r="AB2193" s="0" t="str">
        <f aca="false">IFERROR(INDEX('Mov Entradas (Rel 10497)'!$L:$L,MATCH(AC2193,'Mov Entradas (Rel 10497)'!$I:$I,0)),"nao encontrado")</f>
        <v>BATATA PRINGLES ORIGINAL 104G</v>
      </c>
      <c r="AC2193" s="0" t="n">
        <v>206697</v>
      </c>
    </row>
    <row r="2194" customFormat="false" ht="36.75" hidden="false" customHeight="true" outlineLevel="0" collapsed="false">
      <c r="A2194" s="9" t="n">
        <v>2</v>
      </c>
      <c r="B2194" s="10" t="n">
        <v>46279</v>
      </c>
      <c r="C2194" s="10" t="n">
        <v>46289</v>
      </c>
      <c r="D2194" s="9" t="n">
        <v>1218</v>
      </c>
      <c r="E2194" s="11" t="s">
        <v>659</v>
      </c>
      <c r="F2194" s="9" t="n">
        <v>24</v>
      </c>
      <c r="G2194" s="11" t="s">
        <v>51</v>
      </c>
      <c r="H2194" s="9" t="n">
        <v>2110405</v>
      </c>
      <c r="I2194" s="11" t="s">
        <v>56</v>
      </c>
      <c r="J2194" s="9" t="n">
        <v>1702936</v>
      </c>
      <c r="L2194" s="9" t="n">
        <v>233731</v>
      </c>
      <c r="M2194" s="11" t="s">
        <v>52</v>
      </c>
      <c r="N2194" s="11" t="s">
        <v>45</v>
      </c>
      <c r="P2194" s="9" t="n">
        <v>113</v>
      </c>
      <c r="Q2194" s="11" t="s">
        <v>46</v>
      </c>
      <c r="R2194" s="11" t="s">
        <v>47</v>
      </c>
      <c r="S2194" s="9" t="n">
        <v>1130101</v>
      </c>
      <c r="T2194" s="11" t="s">
        <v>48</v>
      </c>
      <c r="U2194" s="12" t="n">
        <v>803.5</v>
      </c>
      <c r="W2194" s="12" t="n">
        <v>803.5</v>
      </c>
      <c r="X2194" s="11" t="s">
        <v>1761</v>
      </c>
      <c r="Z2194" s="0" t="str">
        <f aca="false">IF($T2194="","",IFERROR(INDEX('Resumo Grupos'!$AC$3:$AC$200,MATCH($T2194,'Resumo Grupos'!$AB$3:$AB$200,0)),"n/d"))</f>
        <v>Mercadoria</v>
      </c>
      <c r="AA2194" s="0" t="str">
        <f aca="false">IF($T2194="","",IF(COUNTIF('Resumo Grupos'!$AE$3:$AE$40,$T2194)&gt;0,"NAO","SIM"))</f>
        <v>SIM</v>
      </c>
      <c r="AB2194" s="0" t="str">
        <f aca="false">IFERROR(INDEX('Mov Entradas (Rel 10497)'!$L:$L,MATCH(AC2194,'Mov Entradas (Rel 10497)'!$I:$I,0)),"nao encontrado")</f>
        <v>COLA POLYTUBES ADESI</v>
      </c>
      <c r="AC2194" s="0" t="n">
        <v>11105</v>
      </c>
    </row>
    <row r="2195" customFormat="false" ht="36.75" hidden="false" customHeight="true" outlineLevel="0" collapsed="false">
      <c r="A2195" s="9" t="n">
        <v>2</v>
      </c>
      <c r="B2195" s="10" t="n">
        <v>46282</v>
      </c>
      <c r="C2195" s="10" t="n">
        <v>46289</v>
      </c>
      <c r="D2195" s="9" t="n">
        <v>10019</v>
      </c>
      <c r="E2195" s="11" t="s">
        <v>268</v>
      </c>
      <c r="F2195" s="9" t="n">
        <v>24</v>
      </c>
      <c r="G2195" s="11" t="s">
        <v>51</v>
      </c>
      <c r="H2195" s="9" t="n">
        <v>2110405</v>
      </c>
      <c r="I2195" s="11" t="s">
        <v>56</v>
      </c>
      <c r="J2195" s="9" t="n">
        <v>1715690</v>
      </c>
      <c r="L2195" s="9" t="n">
        <v>235816</v>
      </c>
      <c r="M2195" s="11" t="s">
        <v>52</v>
      </c>
      <c r="N2195" s="11" t="s">
        <v>45</v>
      </c>
      <c r="P2195" s="9" t="n">
        <v>113</v>
      </c>
      <c r="Q2195" s="11" t="s">
        <v>46</v>
      </c>
      <c r="R2195" s="11" t="s">
        <v>47</v>
      </c>
      <c r="S2195" s="9" t="n">
        <v>1130101</v>
      </c>
      <c r="T2195" s="11" t="s">
        <v>48</v>
      </c>
      <c r="U2195" s="12" t="n">
        <v>638.51</v>
      </c>
      <c r="W2195" s="12" t="n">
        <v>638.51</v>
      </c>
      <c r="X2195" s="11" t="s">
        <v>1826</v>
      </c>
      <c r="Z2195" s="0" t="str">
        <f aca="false">IF($T2195="","",IFERROR(INDEX('Resumo Grupos'!$AC$3:$AC$200,MATCH($T2195,'Resumo Grupos'!$AB$3:$AB$200,0)),"n/d"))</f>
        <v>Mercadoria</v>
      </c>
      <c r="AA2195" s="0" t="str">
        <f aca="false">IF($T2195="","",IF(COUNTIF('Resumo Grupos'!$AE$3:$AE$40,$T2195)&gt;0,"NAO","SIM"))</f>
        <v>SIM</v>
      </c>
      <c r="AB2195" s="0" t="str">
        <f aca="false">IFERROR(INDEX('Mov Entradas (Rel 10497)'!$L:$L,MATCH(AC2195,'Mov Entradas (Rel 10497)'!$I:$I,0)),"nao encontrado")</f>
        <v>PERNIL SUINO KG</v>
      </c>
      <c r="AC2195" s="0" t="n">
        <v>33639</v>
      </c>
    </row>
    <row r="2196" customFormat="false" ht="54.75" hidden="false" customHeight="true" outlineLevel="0" collapsed="false">
      <c r="A2196" s="9" t="n">
        <v>2</v>
      </c>
      <c r="B2196" s="10" t="n">
        <v>46289</v>
      </c>
      <c r="C2196" s="10" t="n">
        <v>46289</v>
      </c>
      <c r="D2196" s="9" t="n">
        <v>10096</v>
      </c>
      <c r="E2196" s="11" t="s">
        <v>622</v>
      </c>
      <c r="F2196" s="9" t="n">
        <v>13</v>
      </c>
      <c r="G2196" s="11" t="s">
        <v>135</v>
      </c>
      <c r="H2196" s="9" t="n">
        <v>2110405</v>
      </c>
      <c r="I2196" s="11" t="s">
        <v>56</v>
      </c>
      <c r="J2196" s="9" t="n">
        <v>1752102</v>
      </c>
      <c r="L2196" s="9" t="n">
        <v>241203</v>
      </c>
      <c r="M2196" s="11" t="s">
        <v>52</v>
      </c>
      <c r="N2196" s="11" t="s">
        <v>45</v>
      </c>
      <c r="P2196" s="9" t="n">
        <v>113</v>
      </c>
      <c r="Q2196" s="11" t="s">
        <v>46</v>
      </c>
      <c r="R2196" s="11" t="s">
        <v>47</v>
      </c>
      <c r="S2196" s="9" t="n">
        <v>1130101</v>
      </c>
      <c r="T2196" s="11" t="s">
        <v>48</v>
      </c>
      <c r="U2196" s="12" t="n">
        <v>200</v>
      </c>
      <c r="W2196" s="12" t="n">
        <v>200</v>
      </c>
      <c r="X2196" s="11" t="s">
        <v>1827</v>
      </c>
      <c r="Z2196" s="0" t="str">
        <f aca="false">IF($T2196="","",IFERROR(INDEX('Resumo Grupos'!$AC$3:$AC$200,MATCH($T2196,'Resumo Grupos'!$AB$3:$AB$200,0)),"n/d"))</f>
        <v>Mercadoria</v>
      </c>
      <c r="AA2196" s="0" t="str">
        <f aca="false">IF($T2196="","",IF(COUNTIF('Resumo Grupos'!$AE$3:$AE$40,$T2196)&gt;0,"NAO","SIM"))</f>
        <v>SIM</v>
      </c>
      <c r="AB2196" s="0" t="str">
        <f aca="false">IFERROR(INDEX('Mov Entradas (Rel 10497)'!$L:$L,MATCH(AC2196,'Mov Entradas (Rel 10497)'!$I:$I,0)),"nao encontrado")</f>
        <v>BOLO MIYAZAKI GRANDE</v>
      </c>
      <c r="AC2196" s="0" t="n">
        <v>330</v>
      </c>
    </row>
    <row r="2197" customFormat="false" ht="54.75" hidden="false" customHeight="true" outlineLevel="0" collapsed="false">
      <c r="A2197" s="9" t="n">
        <v>2</v>
      </c>
      <c r="B2197" s="10" t="n">
        <v>46289</v>
      </c>
      <c r="C2197" s="10" t="n">
        <v>46289</v>
      </c>
      <c r="D2197" s="9" t="n">
        <v>515</v>
      </c>
      <c r="E2197" s="11" t="s">
        <v>137</v>
      </c>
      <c r="F2197" s="9" t="n">
        <v>34</v>
      </c>
      <c r="G2197" s="11" t="s">
        <v>55</v>
      </c>
      <c r="H2197" s="9" t="n">
        <v>2110405</v>
      </c>
      <c r="I2197" s="11" t="s">
        <v>56</v>
      </c>
      <c r="J2197" s="9" t="n">
        <v>1770521</v>
      </c>
      <c r="L2197" s="9" t="n">
        <v>243791</v>
      </c>
      <c r="M2197" s="11" t="s">
        <v>52</v>
      </c>
      <c r="N2197" s="11" t="s">
        <v>45</v>
      </c>
      <c r="P2197" s="9" t="n">
        <v>102</v>
      </c>
      <c r="Q2197" s="11" t="s">
        <v>308</v>
      </c>
      <c r="R2197" s="11" t="s">
        <v>138</v>
      </c>
      <c r="S2197" s="9" t="n">
        <v>4210502</v>
      </c>
      <c r="T2197" s="11" t="s">
        <v>246</v>
      </c>
      <c r="U2197" s="12" t="n">
        <v>1603.6</v>
      </c>
      <c r="W2197" s="12" t="n">
        <v>1603.6</v>
      </c>
      <c r="X2197" s="11" t="s">
        <v>1828</v>
      </c>
      <c r="Z2197" s="0" t="str">
        <f aca="false">IF($T2197="","",IFERROR(INDEX('Resumo Grupos'!$AC$3:$AC$200,MATCH($T2197,'Resumo Grupos'!$AB$3:$AB$200,0)),"n/d"))</f>
        <v>Empréstimo</v>
      </c>
      <c r="AA2197" s="0" t="str">
        <f aca="false">IF($T2197="","",IF(COUNTIF('Resumo Grupos'!$AE$3:$AE$40,$T2197)&gt;0,"NAO","SIM"))</f>
        <v>SIM</v>
      </c>
    </row>
    <row r="2198" customFormat="false" ht="36.75" hidden="false" customHeight="true" outlineLevel="0" collapsed="false">
      <c r="A2198" s="9" t="n">
        <v>2</v>
      </c>
      <c r="B2198" s="10" t="n">
        <v>46282</v>
      </c>
      <c r="C2198" s="10" t="n">
        <v>46289</v>
      </c>
      <c r="D2198" s="9" t="n">
        <v>581</v>
      </c>
      <c r="E2198" s="11" t="s">
        <v>147</v>
      </c>
      <c r="F2198" s="9" t="n">
        <v>24</v>
      </c>
      <c r="G2198" s="11" t="s">
        <v>51</v>
      </c>
      <c r="H2198" s="9" t="n">
        <v>2110405</v>
      </c>
      <c r="I2198" s="11" t="s">
        <v>56</v>
      </c>
      <c r="J2198" s="9" t="n">
        <v>1715468</v>
      </c>
      <c r="L2198" s="9" t="n">
        <v>235751</v>
      </c>
      <c r="M2198" s="11" t="s">
        <v>52</v>
      </c>
      <c r="N2198" s="11" t="s">
        <v>45</v>
      </c>
      <c r="P2198" s="9" t="n">
        <v>113</v>
      </c>
      <c r="Q2198" s="11" t="s">
        <v>46</v>
      </c>
      <c r="R2198" s="11" t="s">
        <v>47</v>
      </c>
      <c r="S2198" s="9" t="n">
        <v>1130101</v>
      </c>
      <c r="T2198" s="11" t="s">
        <v>48</v>
      </c>
      <c r="U2198" s="12" t="n">
        <v>199</v>
      </c>
      <c r="W2198" s="12" t="n">
        <v>199</v>
      </c>
      <c r="X2198" s="11" t="s">
        <v>1829</v>
      </c>
      <c r="Z2198" s="0" t="str">
        <f aca="false">IF($T2198="","",IFERROR(INDEX('Resumo Grupos'!$AC$3:$AC$200,MATCH($T2198,'Resumo Grupos'!$AB$3:$AB$200,0)),"n/d"))</f>
        <v>Mercadoria</v>
      </c>
      <c r="AA2198" s="0" t="str">
        <f aca="false">IF($T2198="","",IF(COUNTIF('Resumo Grupos'!$AE$3:$AE$40,$T2198)&gt;0,"NAO","SIM"))</f>
        <v>SIM</v>
      </c>
      <c r="AB2198" s="0" t="str">
        <f aca="false">IFERROR(INDEX('Mov Entradas (Rel 10497)'!$L:$L,MATCH(AC2198,'Mov Entradas (Rel 10497)'!$I:$I,0)),"nao encontrado")</f>
        <v>GOMA DE MANDIOCA AMA</v>
      </c>
      <c r="AC2198" s="0" t="n">
        <v>32429</v>
      </c>
    </row>
    <row r="2199" customFormat="false" ht="45.75" hidden="false" customHeight="true" outlineLevel="0" collapsed="false">
      <c r="A2199" s="9" t="n">
        <v>2</v>
      </c>
      <c r="B2199" s="10" t="n">
        <v>46283</v>
      </c>
      <c r="C2199" s="10" t="n">
        <v>46289</v>
      </c>
      <c r="D2199" s="9" t="n">
        <v>1625</v>
      </c>
      <c r="E2199" s="11" t="s">
        <v>270</v>
      </c>
      <c r="F2199" s="9" t="n">
        <v>24</v>
      </c>
      <c r="G2199" s="11" t="s">
        <v>51</v>
      </c>
      <c r="H2199" s="9" t="n">
        <v>2110405</v>
      </c>
      <c r="I2199" s="11" t="s">
        <v>56</v>
      </c>
      <c r="J2199" s="9" t="n">
        <v>1720612</v>
      </c>
      <c r="L2199" s="9" t="n">
        <v>236646</v>
      </c>
      <c r="M2199" s="11" t="s">
        <v>52</v>
      </c>
      <c r="N2199" s="11" t="s">
        <v>45</v>
      </c>
      <c r="P2199" s="9" t="n">
        <v>113</v>
      </c>
      <c r="Q2199" s="11" t="s">
        <v>46</v>
      </c>
      <c r="R2199" s="11" t="s">
        <v>47</v>
      </c>
      <c r="S2199" s="9" t="n">
        <v>1130101</v>
      </c>
      <c r="T2199" s="11" t="s">
        <v>48</v>
      </c>
      <c r="U2199" s="12" t="n">
        <v>3442.4</v>
      </c>
      <c r="W2199" s="12" t="n">
        <v>3442.4</v>
      </c>
      <c r="X2199" s="11" t="s">
        <v>1830</v>
      </c>
      <c r="Z2199" s="0" t="str">
        <f aca="false">IF($T2199="","",IFERROR(INDEX('Resumo Grupos'!$AC$3:$AC$200,MATCH($T2199,'Resumo Grupos'!$AB$3:$AB$200,0)),"n/d"))</f>
        <v>Mercadoria</v>
      </c>
      <c r="AA2199" s="0" t="str">
        <f aca="false">IF($T2199="","",IF(COUNTIF('Resumo Grupos'!$AE$3:$AE$40,$T2199)&gt;0,"NAO","SIM"))</f>
        <v>SIM</v>
      </c>
      <c r="AB2199" s="0" t="str">
        <f aca="false">IFERROR(INDEX('Mov Entradas (Rel 10497)'!$L:$L,MATCH(AC2199,'Mov Entradas (Rel 10497)'!$I:$I,0)),"nao encontrado")</f>
        <v>TRASEIRO DE BOI L1</v>
      </c>
      <c r="AC2199" s="0" t="n">
        <v>15388</v>
      </c>
    </row>
    <row r="2200" customFormat="false" ht="27.75" hidden="false" customHeight="true" outlineLevel="0" collapsed="false">
      <c r="A2200" s="9" t="n">
        <v>2</v>
      </c>
      <c r="B2200" s="10" t="n">
        <v>46282</v>
      </c>
      <c r="C2200" s="10" t="n">
        <v>46289</v>
      </c>
      <c r="D2200" s="9" t="n">
        <v>10009</v>
      </c>
      <c r="E2200" s="11" t="s">
        <v>464</v>
      </c>
      <c r="F2200" s="9" t="n">
        <v>24</v>
      </c>
      <c r="G2200" s="11" t="s">
        <v>51</v>
      </c>
      <c r="H2200" s="9" t="n">
        <v>2110405</v>
      </c>
      <c r="I2200" s="11" t="s">
        <v>56</v>
      </c>
      <c r="J2200" s="9" t="n">
        <v>1715709</v>
      </c>
      <c r="L2200" s="9" t="n">
        <v>235820</v>
      </c>
      <c r="M2200" s="11" t="s">
        <v>52</v>
      </c>
      <c r="N2200" s="11" t="s">
        <v>45</v>
      </c>
      <c r="P2200" s="9" t="n">
        <v>113</v>
      </c>
      <c r="Q2200" s="11" t="s">
        <v>46</v>
      </c>
      <c r="R2200" s="11" t="s">
        <v>47</v>
      </c>
      <c r="S2200" s="9" t="n">
        <v>1130101</v>
      </c>
      <c r="T2200" s="11" t="s">
        <v>48</v>
      </c>
      <c r="U2200" s="12" t="n">
        <v>935.81</v>
      </c>
      <c r="W2200" s="12" t="n">
        <v>935.81</v>
      </c>
      <c r="X2200" s="11" t="s">
        <v>1831</v>
      </c>
      <c r="Z2200" s="0" t="str">
        <f aca="false">IF($T2200="","",IFERROR(INDEX('Resumo Grupos'!$AC$3:$AC$200,MATCH($T2200,'Resumo Grupos'!$AB$3:$AB$200,0)),"n/d"))</f>
        <v>Mercadoria</v>
      </c>
      <c r="AA2200" s="0" t="str">
        <f aca="false">IF($T2200="","",IF(COUNTIF('Resumo Grupos'!$AE$3:$AE$40,$T2200)&gt;0,"NAO","SIM"))</f>
        <v>SIM</v>
      </c>
      <c r="AB2200" s="0" t="str">
        <f aca="false">IFERROR(INDEX('Mov Entradas (Rel 10497)'!$L:$L,MATCH(AC2200,'Mov Entradas (Rel 10497)'!$I:$I,0)),"nao encontrado")</f>
        <v>CEREAL NESCAU 270G</v>
      </c>
      <c r="AC2200" s="0" t="n">
        <v>1448339</v>
      </c>
    </row>
    <row r="2201" customFormat="false" ht="45.75" hidden="false" customHeight="true" outlineLevel="0" collapsed="false">
      <c r="A2201" s="9" t="n">
        <v>2</v>
      </c>
      <c r="B2201" s="10" t="n">
        <v>46289</v>
      </c>
      <c r="C2201" s="10" t="n">
        <v>46289</v>
      </c>
      <c r="D2201" s="9" t="n">
        <v>48</v>
      </c>
      <c r="E2201" s="11" t="s">
        <v>153</v>
      </c>
      <c r="F2201" s="9" t="n">
        <v>13</v>
      </c>
      <c r="G2201" s="11" t="s">
        <v>135</v>
      </c>
      <c r="H2201" s="9" t="n">
        <v>2110101</v>
      </c>
      <c r="I2201" s="11" t="s">
        <v>43</v>
      </c>
      <c r="J2201" s="9" t="n">
        <v>1752172</v>
      </c>
      <c r="L2201" s="9" t="n">
        <v>2699</v>
      </c>
      <c r="M2201" s="11" t="s">
        <v>52</v>
      </c>
      <c r="N2201" s="11" t="s">
        <v>37</v>
      </c>
      <c r="P2201" s="9" t="n">
        <v>113</v>
      </c>
      <c r="Q2201" s="11" t="s">
        <v>46</v>
      </c>
      <c r="R2201" s="11" t="s">
        <v>47</v>
      </c>
      <c r="S2201" s="9" t="n">
        <v>1130101</v>
      </c>
      <c r="T2201" s="11" t="s">
        <v>48</v>
      </c>
      <c r="U2201" s="12" t="n">
        <v>225</v>
      </c>
      <c r="W2201" s="12" t="n">
        <v>225</v>
      </c>
      <c r="X2201" s="11" t="s">
        <v>1832</v>
      </c>
      <c r="Z2201" s="0" t="str">
        <f aca="false">IF($T2201="","",IFERROR(INDEX('Resumo Grupos'!$AC$3:$AC$200,MATCH($T2201,'Resumo Grupos'!$AB$3:$AB$200,0)),"n/d"))</f>
        <v>Mercadoria</v>
      </c>
      <c r="AA2201" s="0" t="str">
        <f aca="false">IF($T2201="","",IF(COUNTIF('Resumo Grupos'!$AE$3:$AE$40,$T2201)&gt;0,"NAO","SIM"))</f>
        <v>SIM</v>
      </c>
    </row>
    <row r="2202" customFormat="false" ht="54.75" hidden="false" customHeight="true" outlineLevel="0" collapsed="false">
      <c r="A2202" s="9" t="n">
        <v>2</v>
      </c>
      <c r="B2202" s="10" t="n">
        <v>46284</v>
      </c>
      <c r="C2202" s="10" t="n">
        <v>46289</v>
      </c>
      <c r="D2202" s="9" t="n">
        <v>1328</v>
      </c>
      <c r="E2202" s="11" t="s">
        <v>95</v>
      </c>
      <c r="F2202" s="9" t="n">
        <v>24</v>
      </c>
      <c r="G2202" s="11" t="s">
        <v>51</v>
      </c>
      <c r="H2202" s="9" t="n">
        <v>2110405</v>
      </c>
      <c r="I2202" s="11" t="s">
        <v>56</v>
      </c>
      <c r="J2202" s="9" t="n">
        <v>1724016</v>
      </c>
      <c r="L2202" s="9" t="n">
        <v>237112</v>
      </c>
      <c r="M2202" s="11" t="s">
        <v>52</v>
      </c>
      <c r="N2202" s="11" t="s">
        <v>45</v>
      </c>
      <c r="P2202" s="9" t="n">
        <v>113</v>
      </c>
      <c r="Q2202" s="11" t="s">
        <v>46</v>
      </c>
      <c r="R2202" s="11" t="s">
        <v>47</v>
      </c>
      <c r="S2202" s="9" t="n">
        <v>1130101</v>
      </c>
      <c r="T2202" s="11" t="s">
        <v>48</v>
      </c>
      <c r="U2202" s="12" t="n">
        <v>222</v>
      </c>
      <c r="W2202" s="12" t="n">
        <v>222</v>
      </c>
      <c r="X2202" s="11" t="s">
        <v>1833</v>
      </c>
      <c r="Z2202" s="0" t="str">
        <f aca="false">IF($T2202="","",IFERROR(INDEX('Resumo Grupos'!$AC$3:$AC$200,MATCH($T2202,'Resumo Grupos'!$AB$3:$AB$200,0)),"n/d"))</f>
        <v>Mercadoria</v>
      </c>
      <c r="AA2202" s="0" t="str">
        <f aca="false">IF($T2202="","",IF(COUNTIF('Resumo Grupos'!$AE$3:$AE$40,$T2202)&gt;0,"NAO","SIM"))</f>
        <v>SIM</v>
      </c>
      <c r="AB2202" s="0" t="str">
        <f aca="false">IFERROR(INDEX('Mov Entradas (Rel 10497)'!$L:$L,MATCH(AC2202,'Mov Entradas (Rel 10497)'!$I:$I,0)),"nao encontrado")</f>
        <v>PAO DE KIKAO 10</v>
      </c>
      <c r="AC2202" s="0" t="n">
        <v>4694</v>
      </c>
    </row>
    <row r="2203" customFormat="false" ht="54.75" hidden="false" customHeight="true" outlineLevel="0" collapsed="false">
      <c r="A2203" s="9" t="n">
        <v>2</v>
      </c>
      <c r="B2203" s="10" t="n">
        <v>46275</v>
      </c>
      <c r="C2203" s="10" t="n">
        <v>46289</v>
      </c>
      <c r="D2203" s="9" t="n">
        <v>1740</v>
      </c>
      <c r="E2203" s="11" t="s">
        <v>468</v>
      </c>
      <c r="F2203" s="9" t="n">
        <v>24</v>
      </c>
      <c r="G2203" s="11" t="s">
        <v>51</v>
      </c>
      <c r="H2203" s="9" t="n">
        <v>2110405</v>
      </c>
      <c r="I2203" s="11" t="s">
        <v>56</v>
      </c>
      <c r="J2203" s="9" t="n">
        <v>1682167</v>
      </c>
      <c r="L2203" s="9" t="n">
        <v>230864</v>
      </c>
      <c r="M2203" s="11" t="s">
        <v>52</v>
      </c>
      <c r="N2203" s="11" t="s">
        <v>45</v>
      </c>
      <c r="P2203" s="9" t="n">
        <v>113</v>
      </c>
      <c r="Q2203" s="11" t="s">
        <v>46</v>
      </c>
      <c r="R2203" s="11" t="s">
        <v>47</v>
      </c>
      <c r="S2203" s="9" t="n">
        <v>1130101</v>
      </c>
      <c r="T2203" s="11" t="s">
        <v>48</v>
      </c>
      <c r="U2203" s="12" t="n">
        <v>458.93</v>
      </c>
      <c r="W2203" s="12" t="n">
        <v>458.93</v>
      </c>
      <c r="X2203" s="11" t="s">
        <v>1834</v>
      </c>
      <c r="Z2203" s="0" t="str">
        <f aca="false">IF($T2203="","",IFERROR(INDEX('Resumo Grupos'!$AC$3:$AC$200,MATCH($T2203,'Resumo Grupos'!$AB$3:$AB$200,0)),"n/d"))</f>
        <v>Mercadoria</v>
      </c>
      <c r="AA2203" s="0" t="str">
        <f aca="false">IF($T2203="","",IF(COUNTIF('Resumo Grupos'!$AE$3:$AE$40,$T2203)&gt;0,"NAO","SIM"))</f>
        <v>SIM</v>
      </c>
      <c r="AB2203" s="0" t="str">
        <f aca="false">IFERROR(INDEX('Mov Entradas (Rel 10497)'!$L:$L,MATCH(AC2203,'Mov Entradas (Rel 10497)'!$I:$I,0)),"nao encontrado")</f>
        <v>IOG BI-CAMADA MGO CO</v>
      </c>
      <c r="AC2203" s="0" t="n">
        <v>1268629</v>
      </c>
    </row>
    <row r="2204" customFormat="false" ht="45.75" hidden="false" customHeight="true" outlineLevel="0" collapsed="false">
      <c r="A2204" s="9" t="n">
        <v>2</v>
      </c>
      <c r="B2204" s="10" t="n">
        <v>46273</v>
      </c>
      <c r="C2204" s="10" t="n">
        <v>46289</v>
      </c>
      <c r="D2204" s="9" t="n">
        <v>10012</v>
      </c>
      <c r="E2204" s="11" t="s">
        <v>185</v>
      </c>
      <c r="F2204" s="9" t="n">
        <v>24</v>
      </c>
      <c r="G2204" s="11" t="s">
        <v>51</v>
      </c>
      <c r="H2204" s="9" t="n">
        <v>2110405</v>
      </c>
      <c r="I2204" s="11" t="s">
        <v>56</v>
      </c>
      <c r="J2204" s="9" t="n">
        <v>1672887</v>
      </c>
      <c r="L2204" s="9" t="n">
        <v>229362</v>
      </c>
      <c r="M2204" s="11" t="s">
        <v>52</v>
      </c>
      <c r="N2204" s="11" t="s">
        <v>45</v>
      </c>
      <c r="P2204" s="9" t="n">
        <v>113</v>
      </c>
      <c r="Q2204" s="11" t="s">
        <v>46</v>
      </c>
      <c r="R2204" s="11" t="s">
        <v>47</v>
      </c>
      <c r="S2204" s="9" t="n">
        <v>1130101</v>
      </c>
      <c r="T2204" s="11" t="s">
        <v>48</v>
      </c>
      <c r="U2204" s="12" t="n">
        <v>419.38</v>
      </c>
      <c r="W2204" s="12" t="n">
        <v>419.38</v>
      </c>
      <c r="X2204" s="11" t="s">
        <v>1835</v>
      </c>
      <c r="Z2204" s="0" t="str">
        <f aca="false">IF($T2204="","",IFERROR(INDEX('Resumo Grupos'!$AC$3:$AC$200,MATCH($T2204,'Resumo Grupos'!$AB$3:$AB$200,0)),"n/d"))</f>
        <v>Mercadoria</v>
      </c>
      <c r="AA2204" s="0" t="str">
        <f aca="false">IF($T2204="","",IF(COUNTIF('Resumo Grupos'!$AE$3:$AE$40,$T2204)&gt;0,"NAO","SIM"))</f>
        <v>SIM</v>
      </c>
      <c r="AB2204" s="0" t="str">
        <f aca="false">IFERROR(INDEX('Mov Entradas (Rel 10497)'!$L:$L,MATCH(AC2204,'Mov Entradas (Rel 10497)'!$I:$I,0)),"nao encontrado")</f>
        <v>ABS SEMPERLIVRE SUAVE C/ABA -16UN</v>
      </c>
      <c r="AC2204" s="0" t="n">
        <v>1968927</v>
      </c>
    </row>
    <row r="2205" customFormat="false" ht="12.75" hidden="false" customHeight="true" outlineLevel="0" collapsed="false">
      <c r="A2205" s="13" t="n">
        <v>2</v>
      </c>
      <c r="B2205" s="14" t="n">
        <v>46289</v>
      </c>
      <c r="C2205" s="14" t="n">
        <v>46289</v>
      </c>
      <c r="D2205" s="13" t="n">
        <v>0</v>
      </c>
      <c r="E2205" s="0" t="s">
        <v>109</v>
      </c>
      <c r="F2205" s="13" t="n">
        <v>17</v>
      </c>
      <c r="G2205" s="0" t="s">
        <v>110</v>
      </c>
      <c r="H2205" s="13" t="n">
        <v>1110101</v>
      </c>
      <c r="I2205" s="0" t="s">
        <v>111</v>
      </c>
      <c r="J2205" s="13" t="n">
        <v>1754953</v>
      </c>
      <c r="L2205" s="13" t="n">
        <v>1754953</v>
      </c>
      <c r="M2205" s="0" t="s">
        <v>52</v>
      </c>
      <c r="N2205" s="0" t="s">
        <v>112</v>
      </c>
      <c r="P2205" s="13" t="n">
        <v>113</v>
      </c>
      <c r="Q2205" s="0" t="s">
        <v>46</v>
      </c>
      <c r="R2205" s="0" t="s">
        <v>259</v>
      </c>
      <c r="S2205" s="13" t="n">
        <v>2110101</v>
      </c>
      <c r="T2205" s="0" t="s">
        <v>43</v>
      </c>
      <c r="U2205" s="15" t="n">
        <v>225</v>
      </c>
      <c r="W2205" s="15" t="n">
        <v>225</v>
      </c>
      <c r="X2205" s="0" t="s">
        <v>1836</v>
      </c>
      <c r="Z2205" s="0" t="str">
        <f aca="false">IF($T2205="","",IFERROR(INDEX('Resumo Grupos'!$AC$3:$AC$200,MATCH($T2205,'Resumo Grupos'!$AB$3:$AB$200,0)),"n/d"))</f>
        <v>Despesa</v>
      </c>
      <c r="AA2205" s="0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3" t="n">
        <v>2</v>
      </c>
      <c r="B2206" s="14" t="n">
        <v>46289</v>
      </c>
      <c r="C2206" s="14" t="n">
        <v>46289</v>
      </c>
      <c r="D2206" s="13" t="n">
        <v>0</v>
      </c>
      <c r="E2206" s="0" t="s">
        <v>109</v>
      </c>
      <c r="F2206" s="13" t="n">
        <v>17</v>
      </c>
      <c r="G2206" s="0" t="s">
        <v>110</v>
      </c>
      <c r="H2206" s="13" t="n">
        <v>1110101</v>
      </c>
      <c r="I2206" s="0" t="s">
        <v>111</v>
      </c>
      <c r="J2206" s="13" t="n">
        <v>1754955</v>
      </c>
      <c r="L2206" s="13" t="n">
        <v>1754955</v>
      </c>
      <c r="M2206" s="0" t="s">
        <v>52</v>
      </c>
      <c r="N2206" s="0" t="s">
        <v>112</v>
      </c>
      <c r="P2206" s="13" t="n">
        <v>113</v>
      </c>
      <c r="Q2206" s="0" t="s">
        <v>46</v>
      </c>
      <c r="R2206" s="0" t="s">
        <v>56</v>
      </c>
      <c r="S2206" s="13" t="n">
        <v>2110405</v>
      </c>
      <c r="T2206" s="0" t="s">
        <v>56</v>
      </c>
      <c r="U2206" s="15" t="n">
        <v>200</v>
      </c>
      <c r="W2206" s="15" t="n">
        <v>200</v>
      </c>
      <c r="X2206" s="0" t="s">
        <v>1837</v>
      </c>
      <c r="Z2206" s="0" t="str">
        <f aca="false">IF($T2206="","",IFERROR(INDEX('Resumo Grupos'!$AC$3:$AC$200,MATCH($T2206,'Resumo Grupos'!$AB$3:$AB$200,0)),"n/d"))</f>
        <v>Cobertura de conta</v>
      </c>
      <c r="AA2206" s="0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3" t="n">
        <v>2</v>
      </c>
      <c r="B2207" s="14" t="n">
        <v>46289</v>
      </c>
      <c r="C2207" s="14" t="n">
        <v>46289</v>
      </c>
      <c r="D2207" s="13" t="n">
        <v>0</v>
      </c>
      <c r="E2207" s="0" t="s">
        <v>109</v>
      </c>
      <c r="F2207" s="13" t="n">
        <v>17</v>
      </c>
      <c r="G2207" s="0" t="s">
        <v>110</v>
      </c>
      <c r="H2207" s="13" t="n">
        <v>1110101</v>
      </c>
      <c r="I2207" s="0" t="s">
        <v>111</v>
      </c>
      <c r="J2207" s="13" t="n">
        <v>1754958</v>
      </c>
      <c r="L2207" s="13" t="n">
        <v>1754958</v>
      </c>
      <c r="M2207" s="0" t="s">
        <v>52</v>
      </c>
      <c r="N2207" s="0" t="s">
        <v>112</v>
      </c>
      <c r="P2207" s="13" t="n">
        <v>113</v>
      </c>
      <c r="Q2207" s="0" t="s">
        <v>46</v>
      </c>
      <c r="R2207" s="0" t="s">
        <v>71</v>
      </c>
      <c r="S2207" s="13" t="n">
        <v>4210314</v>
      </c>
      <c r="T2207" s="0" t="s">
        <v>113</v>
      </c>
      <c r="U2207" s="15" t="n">
        <v>50</v>
      </c>
      <c r="W2207" s="15" t="n">
        <v>50</v>
      </c>
      <c r="X2207" s="0" t="s">
        <v>368</v>
      </c>
      <c r="Z2207" s="0" t="str">
        <f aca="false">IF($T2207="","",IFERROR(INDEX('Resumo Grupos'!$AC$3:$AC$200,MATCH($T2207,'Resumo Grupos'!$AB$3:$AB$200,0)),"n/d"))</f>
        <v>Despesa</v>
      </c>
      <c r="AA2207" s="0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3" t="n">
        <v>2</v>
      </c>
      <c r="B2208" s="14" t="n">
        <v>46289</v>
      </c>
      <c r="C2208" s="14" t="n">
        <v>46289</v>
      </c>
      <c r="D2208" s="13" t="n">
        <v>0</v>
      </c>
      <c r="E2208" s="0" t="s">
        <v>109</v>
      </c>
      <c r="F2208" s="13" t="n">
        <v>17</v>
      </c>
      <c r="G2208" s="0" t="s">
        <v>110</v>
      </c>
      <c r="H2208" s="13" t="n">
        <v>1110101</v>
      </c>
      <c r="I2208" s="0" t="s">
        <v>111</v>
      </c>
      <c r="J2208" s="13" t="n">
        <v>1754965</v>
      </c>
      <c r="L2208" s="13" t="n">
        <v>1754965</v>
      </c>
      <c r="M2208" s="0" t="s">
        <v>52</v>
      </c>
      <c r="N2208" s="0" t="s">
        <v>112</v>
      </c>
      <c r="P2208" s="13" t="n">
        <v>113</v>
      </c>
      <c r="Q2208" s="0" t="s">
        <v>46</v>
      </c>
      <c r="R2208" s="0" t="s">
        <v>71</v>
      </c>
      <c r="S2208" s="13" t="n">
        <v>4210316</v>
      </c>
      <c r="T2208" s="0" t="s">
        <v>159</v>
      </c>
      <c r="U2208" s="15" t="n">
        <v>100</v>
      </c>
      <c r="W2208" s="15" t="n">
        <v>100</v>
      </c>
      <c r="X2208" s="0" t="s">
        <v>1807</v>
      </c>
      <c r="Z2208" s="0" t="str">
        <f aca="false">IF($T2208="","",IFERROR(INDEX('Resumo Grupos'!$AC$3:$AC$200,MATCH($T2208,'Resumo Grupos'!$AB$3:$AB$200,0)),"n/d"))</f>
        <v>Salários</v>
      </c>
      <c r="AA2208" s="0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3" t="n">
        <v>2</v>
      </c>
      <c r="B2209" s="14" t="n">
        <v>46289</v>
      </c>
      <c r="C2209" s="14" t="n">
        <v>46289</v>
      </c>
      <c r="D2209" s="13" t="n">
        <v>0</v>
      </c>
      <c r="E2209" s="0" t="s">
        <v>109</v>
      </c>
      <c r="F2209" s="13" t="n">
        <v>17</v>
      </c>
      <c r="G2209" s="0" t="s">
        <v>110</v>
      </c>
      <c r="H2209" s="13" t="n">
        <v>1110101</v>
      </c>
      <c r="I2209" s="0" t="s">
        <v>111</v>
      </c>
      <c r="J2209" s="13" t="n">
        <v>1754968</v>
      </c>
      <c r="L2209" s="13" t="n">
        <v>1754968</v>
      </c>
      <c r="M2209" s="0" t="s">
        <v>52</v>
      </c>
      <c r="N2209" s="0" t="s">
        <v>112</v>
      </c>
      <c r="P2209" s="13" t="n">
        <v>113</v>
      </c>
      <c r="Q2209" s="0" t="s">
        <v>46</v>
      </c>
      <c r="R2209" s="0" t="s">
        <v>71</v>
      </c>
      <c r="S2209" s="13" t="n">
        <v>4210309</v>
      </c>
      <c r="T2209" s="0" t="s">
        <v>72</v>
      </c>
      <c r="U2209" s="15" t="n">
        <v>10</v>
      </c>
      <c r="W2209" s="15" t="n">
        <v>10</v>
      </c>
      <c r="X2209" s="0" t="s">
        <v>1552</v>
      </c>
      <c r="Z2209" s="0" t="str">
        <f aca="false">IF($T2209="","",IFERROR(INDEX('Resumo Grupos'!$AC$3:$AC$200,MATCH($T2209,'Resumo Grupos'!$AB$3:$AB$200,0)),"n/d"))</f>
        <v>Salários</v>
      </c>
      <c r="AA2209" s="0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3" t="n">
        <v>2</v>
      </c>
      <c r="B2210" s="14" t="n">
        <v>46268</v>
      </c>
      <c r="C2210" s="14" t="n">
        <v>46289</v>
      </c>
      <c r="D2210" s="13" t="n">
        <v>1666</v>
      </c>
      <c r="E2210" s="0" t="s">
        <v>266</v>
      </c>
      <c r="F2210" s="13" t="n">
        <v>24</v>
      </c>
      <c r="G2210" s="0" t="s">
        <v>51</v>
      </c>
      <c r="H2210" s="13" t="n">
        <v>2110405</v>
      </c>
      <c r="I2210" s="0" t="s">
        <v>56</v>
      </c>
      <c r="J2210" s="13" t="n">
        <v>1647476</v>
      </c>
      <c r="L2210" s="13" t="n">
        <v>226243</v>
      </c>
      <c r="M2210" s="0" t="s">
        <v>52</v>
      </c>
      <c r="N2210" s="0" t="s">
        <v>45</v>
      </c>
      <c r="P2210" s="13" t="n">
        <v>113</v>
      </c>
      <c r="Q2210" s="0" t="s">
        <v>46</v>
      </c>
      <c r="R2210" s="0" t="s">
        <v>47</v>
      </c>
      <c r="S2210" s="13" t="n">
        <v>1130101</v>
      </c>
      <c r="T2210" s="0" t="s">
        <v>48</v>
      </c>
      <c r="U2210" s="15" t="n">
        <v>4761.78</v>
      </c>
      <c r="W2210" s="15" t="n">
        <v>4761.78</v>
      </c>
      <c r="X2210" s="0" t="s">
        <v>1771</v>
      </c>
      <c r="Z2210" s="0" t="str">
        <f aca="false">IF($T2210="","",IFERROR(INDEX('Resumo Grupos'!$AC$3:$AC$200,MATCH($T2210,'Resumo Grupos'!$AB$3:$AB$200,0)),"n/d"))</f>
        <v>Mercadoria</v>
      </c>
      <c r="AA2210" s="0" t="str">
        <f aca="false">IF($T2210="","",IF(COUNTIF('Resumo Grupos'!$AE$3:$AE$40,$T2210)&gt;0,"NAO","SIM"))</f>
        <v>SIM</v>
      </c>
      <c r="AB2210" s="0" t="str">
        <f aca="false">IFERROR(INDEX('Mov Entradas (Rel 10497)'!$L:$L,MATCH(AC2210,'Mov Entradas (Rel 10497)'!$I:$I,0)),"nao encontrado")</f>
        <v>ISQUEIRO BIC G</v>
      </c>
      <c r="AC2210" s="0" t="n">
        <v>572518</v>
      </c>
    </row>
    <row r="2211" customFormat="false" ht="12.75" hidden="false" customHeight="true" outlineLevel="0" collapsed="false">
      <c r="A2211" s="13" t="n">
        <v>2</v>
      </c>
      <c r="B2211" s="14" t="n">
        <v>46284</v>
      </c>
      <c r="C2211" s="14" t="n">
        <v>46290</v>
      </c>
      <c r="D2211" s="13" t="n">
        <v>10018</v>
      </c>
      <c r="E2211" s="0" t="s">
        <v>216</v>
      </c>
      <c r="F2211" s="13" t="n">
        <v>34</v>
      </c>
      <c r="G2211" s="0" t="s">
        <v>55</v>
      </c>
      <c r="H2211" s="13" t="n">
        <v>2110405</v>
      </c>
      <c r="I2211" s="0" t="s">
        <v>56</v>
      </c>
      <c r="J2211" s="13" t="n">
        <v>1724058</v>
      </c>
      <c r="L2211" s="13" t="n">
        <v>237117</v>
      </c>
      <c r="M2211" s="0" t="s">
        <v>52</v>
      </c>
      <c r="N2211" s="0" t="s">
        <v>45</v>
      </c>
      <c r="P2211" s="13" t="n">
        <v>113</v>
      </c>
      <c r="Q2211" s="0" t="s">
        <v>46</v>
      </c>
      <c r="R2211" s="0" t="s">
        <v>47</v>
      </c>
      <c r="S2211" s="13" t="n">
        <v>1130101</v>
      </c>
      <c r="T2211" s="0" t="s">
        <v>48</v>
      </c>
      <c r="U2211" s="15" t="n">
        <v>350</v>
      </c>
      <c r="W2211" s="15" t="n">
        <v>350</v>
      </c>
      <c r="X2211" s="0" t="s">
        <v>1838</v>
      </c>
      <c r="Z2211" s="0" t="str">
        <f aca="false">IF($T2211="","",IFERROR(INDEX('Resumo Grupos'!$AC$3:$AC$200,MATCH($T2211,'Resumo Grupos'!$AB$3:$AB$200,0)),"n/d"))</f>
        <v>Mercadoria</v>
      </c>
      <c r="AA2211" s="0" t="str">
        <f aca="false">IF($T2211="","",IF(COUNTIF('Resumo Grupos'!$AE$3:$AE$40,$T2211)&gt;0,"NAO","SIM"))</f>
        <v>SIM</v>
      </c>
      <c r="AB2211" s="0" t="str">
        <f aca="false">IFERROR(INDEX('Mov Entradas (Rel 10497)'!$L:$L,MATCH(AC2211,'Mov Entradas (Rel 10497)'!$I:$I,0)),"nao encontrado")</f>
        <v>OVOS BRANCO UNID</v>
      </c>
      <c r="AC2211" s="0" t="n">
        <v>391</v>
      </c>
    </row>
    <row r="2212" customFormat="false" ht="12.75" hidden="false" customHeight="true" outlineLevel="0" collapsed="false">
      <c r="A2212" s="13" t="n">
        <v>2</v>
      </c>
      <c r="B2212" s="14" t="n">
        <v>46256</v>
      </c>
      <c r="C2212" s="14" t="n">
        <v>46290</v>
      </c>
      <c r="D2212" s="13" t="n">
        <v>1782</v>
      </c>
      <c r="E2212" s="0" t="s">
        <v>1839</v>
      </c>
      <c r="F2212" s="13" t="n">
        <v>48</v>
      </c>
      <c r="G2212" s="0" t="s">
        <v>581</v>
      </c>
      <c r="H2212" s="13" t="n">
        <v>2110405</v>
      </c>
      <c r="I2212" s="0" t="s">
        <v>56</v>
      </c>
      <c r="J2212" s="13" t="n">
        <v>1595448</v>
      </c>
      <c r="L2212" s="13" t="n">
        <v>2208</v>
      </c>
      <c r="M2212" s="0" t="s">
        <v>52</v>
      </c>
      <c r="N2212" s="0" t="s">
        <v>45</v>
      </c>
      <c r="P2212" s="13" t="n">
        <v>101</v>
      </c>
      <c r="Q2212" s="0" t="s">
        <v>57</v>
      </c>
      <c r="R2212" s="0" t="s">
        <v>39</v>
      </c>
      <c r="S2212" s="13" t="n">
        <v>4210232</v>
      </c>
      <c r="T2212" s="0" t="s">
        <v>320</v>
      </c>
      <c r="U2212" s="15" t="n">
        <v>79.9</v>
      </c>
      <c r="W2212" s="15" t="n">
        <v>0</v>
      </c>
      <c r="X2212" s="0" t="s">
        <v>1840</v>
      </c>
      <c r="Z2212" s="0" t="str">
        <f aca="false">IF($T2212="","",IFERROR(INDEX('Resumo Grupos'!$AC$3:$AC$200,MATCH($T2212,'Resumo Grupos'!$AB$3:$AB$200,0)),"n/d"))</f>
        <v>Despesa</v>
      </c>
      <c r="AA2212" s="0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3" t="n">
        <v>2</v>
      </c>
      <c r="B2213" s="14" t="n">
        <v>46256</v>
      </c>
      <c r="C2213" s="14" t="n">
        <v>46290</v>
      </c>
      <c r="D2213" s="13" t="n">
        <v>1782</v>
      </c>
      <c r="E2213" s="0" t="s">
        <v>1839</v>
      </c>
      <c r="F2213" s="13" t="n">
        <v>48</v>
      </c>
      <c r="G2213" s="0" t="s">
        <v>581</v>
      </c>
      <c r="H2213" s="13" t="n">
        <v>2110405</v>
      </c>
      <c r="I2213" s="0" t="s">
        <v>56</v>
      </c>
      <c r="J2213" s="13" t="n">
        <v>1745338</v>
      </c>
      <c r="L2213" s="13" t="n">
        <v>240350</v>
      </c>
      <c r="M2213" s="0" t="s">
        <v>52</v>
      </c>
      <c r="N2213" s="0" t="s">
        <v>45</v>
      </c>
      <c r="P2213" s="13" t="n">
        <v>101</v>
      </c>
      <c r="Q2213" s="0" t="s">
        <v>57</v>
      </c>
      <c r="R2213" s="0" t="s">
        <v>81</v>
      </c>
      <c r="S2213" s="13" t="n">
        <v>4220199</v>
      </c>
      <c r="T2213" s="0" t="s">
        <v>82</v>
      </c>
      <c r="U2213" s="15" t="n">
        <v>159.8</v>
      </c>
      <c r="W2213" s="15" t="n">
        <v>0</v>
      </c>
      <c r="X2213" s="0" t="s">
        <v>1841</v>
      </c>
      <c r="Z2213" s="0" t="str">
        <f aca="false">IF($T2213="","",IFERROR(INDEX('Resumo Grupos'!$AC$3:$AC$200,MATCH($T2213,'Resumo Grupos'!$AB$3:$AB$200,0)),"n/d"))</f>
        <v>Pagamentos outros não operacionais</v>
      </c>
      <c r="AA2213" s="0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3" t="n">
        <v>2</v>
      </c>
      <c r="B2214" s="14" t="n">
        <v>46273</v>
      </c>
      <c r="C2214" s="14" t="n">
        <v>46290</v>
      </c>
      <c r="D2214" s="13" t="n">
        <v>1695</v>
      </c>
      <c r="E2214" s="0" t="s">
        <v>390</v>
      </c>
      <c r="F2214" s="13" t="n">
        <v>24</v>
      </c>
      <c r="G2214" s="0" t="s">
        <v>51</v>
      </c>
      <c r="H2214" s="13" t="n">
        <v>2110405</v>
      </c>
      <c r="I2214" s="0" t="s">
        <v>56</v>
      </c>
      <c r="J2214" s="13" t="n">
        <v>1673938</v>
      </c>
      <c r="L2214" s="13" t="n">
        <v>229540</v>
      </c>
      <c r="M2214" s="0" t="s">
        <v>52</v>
      </c>
      <c r="N2214" s="0" t="s">
        <v>45</v>
      </c>
      <c r="P2214" s="13" t="n">
        <v>113</v>
      </c>
      <c r="Q2214" s="0" t="s">
        <v>46</v>
      </c>
      <c r="R2214" s="0" t="s">
        <v>47</v>
      </c>
      <c r="S2214" s="13" t="n">
        <v>1130101</v>
      </c>
      <c r="T2214" s="0" t="s">
        <v>48</v>
      </c>
      <c r="U2214" s="15" t="n">
        <v>860.5</v>
      </c>
      <c r="W2214" s="15" t="n">
        <v>860.5</v>
      </c>
      <c r="X2214" s="0" t="s">
        <v>1690</v>
      </c>
      <c r="Z2214" s="0" t="str">
        <f aca="false">IF($T2214="","",IFERROR(INDEX('Resumo Grupos'!$AC$3:$AC$200,MATCH($T2214,'Resumo Grupos'!$AB$3:$AB$200,0)),"n/d"))</f>
        <v>Mercadoria</v>
      </c>
      <c r="AA2214" s="0" t="str">
        <f aca="false">IF($T2214="","",IF(COUNTIF('Resumo Grupos'!$AE$3:$AE$40,$T2214)&gt;0,"NAO","SIM"))</f>
        <v>SIM</v>
      </c>
      <c r="AB2214" s="0" t="str">
        <f aca="false">IFERROR(INDEX('Mov Entradas (Rel 10497)'!$L:$L,MATCH(AC2214,'Mov Entradas (Rel 10497)'!$I:$I,0)),"nao encontrado")</f>
        <v>TRIGOLAR C/FERMENTO 1KG</v>
      </c>
      <c r="AC2214" s="0" t="n">
        <v>20278</v>
      </c>
    </row>
    <row r="2215" customFormat="false" ht="12.75" hidden="false" customHeight="true" outlineLevel="0" collapsed="false">
      <c r="A2215" s="13" t="n">
        <v>2</v>
      </c>
      <c r="B2215" s="14" t="n">
        <v>46283</v>
      </c>
      <c r="C2215" s="14" t="n">
        <v>46290</v>
      </c>
      <c r="D2215" s="13" t="n">
        <v>1642</v>
      </c>
      <c r="E2215" s="0" t="s">
        <v>228</v>
      </c>
      <c r="F2215" s="13" t="n">
        <v>24</v>
      </c>
      <c r="G2215" s="0" t="s">
        <v>51</v>
      </c>
      <c r="H2215" s="13" t="n">
        <v>2110405</v>
      </c>
      <c r="I2215" s="0" t="s">
        <v>56</v>
      </c>
      <c r="J2215" s="13" t="n">
        <v>1719408</v>
      </c>
      <c r="L2215" s="13" t="n">
        <v>236353</v>
      </c>
      <c r="M2215" s="0" t="s">
        <v>52</v>
      </c>
      <c r="N2215" s="0" t="s">
        <v>45</v>
      </c>
      <c r="P2215" s="13" t="n">
        <v>113</v>
      </c>
      <c r="Q2215" s="0" t="s">
        <v>46</v>
      </c>
      <c r="R2215" s="0" t="s">
        <v>47</v>
      </c>
      <c r="S2215" s="13" t="n">
        <v>1130101</v>
      </c>
      <c r="T2215" s="0" t="s">
        <v>48</v>
      </c>
      <c r="U2215" s="15" t="n">
        <v>331.39</v>
      </c>
      <c r="W2215" s="15" t="n">
        <v>331.39</v>
      </c>
      <c r="X2215" s="0" t="s">
        <v>1842</v>
      </c>
      <c r="Z2215" s="0" t="str">
        <f aca="false">IF($T2215="","",IFERROR(INDEX('Resumo Grupos'!$AC$3:$AC$200,MATCH($T2215,'Resumo Grupos'!$AB$3:$AB$200,0)),"n/d"))</f>
        <v>Mercadoria</v>
      </c>
      <c r="AA2215" s="0" t="str">
        <f aca="false">IF($T2215="","",IF(COUNTIF('Resumo Grupos'!$AE$3:$AE$40,$T2215)&gt;0,"NAO","SIM"))</f>
        <v>SIM</v>
      </c>
      <c r="AB2215" s="0" t="str">
        <f aca="false">IFERROR(INDEX('Mov Entradas (Rel 10497)'!$L:$L,MATCH(AC2215,'Mov Entradas (Rel 10497)'!$I:$I,0)),"nao encontrado")</f>
        <v>TORADA DOCE BROTHER`</v>
      </c>
      <c r="AC2215" s="0" t="n">
        <v>1042436</v>
      </c>
    </row>
    <row r="2216" customFormat="false" ht="12.75" hidden="false" customHeight="true" outlineLevel="0" collapsed="false">
      <c r="A2216" s="13" t="n">
        <v>2</v>
      </c>
      <c r="B2216" s="14" t="n">
        <v>46276</v>
      </c>
      <c r="C2216" s="14" t="n">
        <v>46290</v>
      </c>
      <c r="D2216" s="13" t="n">
        <v>1601</v>
      </c>
      <c r="E2216" s="0" t="s">
        <v>193</v>
      </c>
      <c r="F2216" s="13" t="n">
        <v>24</v>
      </c>
      <c r="G2216" s="0" t="s">
        <v>51</v>
      </c>
      <c r="H2216" s="13" t="n">
        <v>2110405</v>
      </c>
      <c r="I2216" s="0" t="s">
        <v>56</v>
      </c>
      <c r="J2216" s="13" t="n">
        <v>1687576</v>
      </c>
      <c r="L2216" s="13" t="n">
        <v>231750</v>
      </c>
      <c r="M2216" s="0" t="s">
        <v>52</v>
      </c>
      <c r="N2216" s="0" t="s">
        <v>45</v>
      </c>
      <c r="P2216" s="13" t="n">
        <v>113</v>
      </c>
      <c r="Q2216" s="0" t="s">
        <v>46</v>
      </c>
      <c r="R2216" s="0" t="s">
        <v>47</v>
      </c>
      <c r="S2216" s="13" t="n">
        <v>1130101</v>
      </c>
      <c r="T2216" s="0" t="s">
        <v>48</v>
      </c>
      <c r="U2216" s="15" t="n">
        <v>357.22</v>
      </c>
      <c r="W2216" s="15" t="n">
        <v>357.22</v>
      </c>
      <c r="X2216" s="0" t="s">
        <v>1843</v>
      </c>
      <c r="Z2216" s="0" t="str">
        <f aca="false">IF($T2216="","",IFERROR(INDEX('Resumo Grupos'!$AC$3:$AC$200,MATCH($T2216,'Resumo Grupos'!$AB$3:$AB$200,0)),"n/d"))</f>
        <v>Mercadoria</v>
      </c>
      <c r="AA2216" s="0" t="str">
        <f aca="false">IF($T2216="","",IF(COUNTIF('Resumo Grupos'!$AE$3:$AE$40,$T2216)&gt;0,"NAO","SIM"))</f>
        <v>SIM</v>
      </c>
      <c r="AB2216" s="0" t="str">
        <f aca="false">IFERROR(INDEX('Mov Entradas (Rel 10497)'!$L:$L,MATCH(AC2216,'Mov Entradas (Rel 10497)'!$I:$I,0)),"nao encontrado")</f>
        <v>MASSA RICOSA CONCHA</v>
      </c>
      <c r="AC2216" s="0" t="n">
        <v>871154</v>
      </c>
    </row>
    <row r="2217" customFormat="false" ht="12.75" hidden="false" customHeight="true" outlineLevel="0" collapsed="false">
      <c r="A2217" s="13" t="n">
        <v>2</v>
      </c>
      <c r="B2217" s="14" t="n">
        <v>46269</v>
      </c>
      <c r="C2217" s="14" t="n">
        <v>46290</v>
      </c>
      <c r="D2217" s="13" t="n">
        <v>1608</v>
      </c>
      <c r="E2217" s="0" t="s">
        <v>240</v>
      </c>
      <c r="F2217" s="13" t="n">
        <v>24</v>
      </c>
      <c r="G2217" s="0" t="s">
        <v>51</v>
      </c>
      <c r="H2217" s="13" t="n">
        <v>2110405</v>
      </c>
      <c r="I2217" s="0" t="s">
        <v>56</v>
      </c>
      <c r="J2217" s="13" t="n">
        <v>1653005</v>
      </c>
      <c r="L2217" s="13" t="n">
        <v>227090</v>
      </c>
      <c r="M2217" s="0" t="s">
        <v>52</v>
      </c>
      <c r="N2217" s="0" t="s">
        <v>45</v>
      </c>
      <c r="P2217" s="13" t="n">
        <v>113</v>
      </c>
      <c r="Q2217" s="0" t="s">
        <v>46</v>
      </c>
      <c r="R2217" s="0" t="s">
        <v>47</v>
      </c>
      <c r="S2217" s="13" t="n">
        <v>1130101</v>
      </c>
      <c r="T2217" s="0" t="s">
        <v>48</v>
      </c>
      <c r="U2217" s="15" t="n">
        <v>1333.12</v>
      </c>
      <c r="W2217" s="15" t="n">
        <v>1333.12</v>
      </c>
      <c r="X2217" s="0" t="s">
        <v>1774</v>
      </c>
      <c r="Z2217" s="0" t="str">
        <f aca="false">IF($T2217="","",IFERROR(INDEX('Resumo Grupos'!$AC$3:$AC$200,MATCH($T2217,'Resumo Grupos'!$AB$3:$AB$200,0)),"n/d"))</f>
        <v>Mercadoria</v>
      </c>
      <c r="AA2217" s="0" t="str">
        <f aca="false">IF($T2217="","",IF(COUNTIF('Resumo Grupos'!$AE$3:$AE$40,$T2217)&gt;0,"NAO","SIM"))</f>
        <v>SIM</v>
      </c>
      <c r="AB2217" s="0" t="str">
        <f aca="false">IFERROR(INDEX('Mov Entradas (Rel 10497)'!$L:$L,MATCH(AC2217,'Mov Entradas (Rel 10497)'!$I:$I,0)),"nao encontrado")</f>
        <v>ACHOC TODDY 200G</v>
      </c>
      <c r="AC2217" s="0" t="n">
        <v>1724435</v>
      </c>
    </row>
    <row r="2218" customFormat="false" ht="12.75" hidden="false" customHeight="true" outlineLevel="0" collapsed="false">
      <c r="A2218" s="13" t="n">
        <v>2</v>
      </c>
      <c r="B2218" s="14" t="n">
        <v>46286</v>
      </c>
      <c r="C2218" s="14" t="n">
        <v>46290</v>
      </c>
      <c r="D2218" s="13" t="n">
        <v>1608</v>
      </c>
      <c r="E2218" s="0" t="s">
        <v>240</v>
      </c>
      <c r="F2218" s="13" t="n">
        <v>24</v>
      </c>
      <c r="G2218" s="0" t="s">
        <v>51</v>
      </c>
      <c r="H2218" s="13" t="n">
        <v>2110405</v>
      </c>
      <c r="I2218" s="0" t="s">
        <v>56</v>
      </c>
      <c r="J2218" s="13" t="n">
        <v>1734425</v>
      </c>
      <c r="L2218" s="13" t="n">
        <v>238472</v>
      </c>
      <c r="M2218" s="0" t="s">
        <v>52</v>
      </c>
      <c r="N2218" s="0" t="s">
        <v>45</v>
      </c>
      <c r="P2218" s="13" t="n">
        <v>113</v>
      </c>
      <c r="Q2218" s="0" t="s">
        <v>46</v>
      </c>
      <c r="R2218" s="0" t="s">
        <v>47</v>
      </c>
      <c r="S2218" s="13" t="n">
        <v>1130101</v>
      </c>
      <c r="T2218" s="0" t="s">
        <v>48</v>
      </c>
      <c r="U2218" s="15" t="n">
        <v>395.28</v>
      </c>
      <c r="W2218" s="15" t="n">
        <v>395.28</v>
      </c>
      <c r="X2218" s="0" t="s">
        <v>1844</v>
      </c>
      <c r="Z2218" s="0" t="str">
        <f aca="false">IF($T2218="","",IFERROR(INDEX('Resumo Grupos'!$AC$3:$AC$200,MATCH($T2218,'Resumo Grupos'!$AB$3:$AB$200,0)),"n/d"))</f>
        <v>Mercadoria</v>
      </c>
      <c r="AA2218" s="0" t="str">
        <f aca="false">IF($T2218="","",IF(COUNTIF('Resumo Grupos'!$AE$3:$AE$40,$T2218)&gt;0,"NAO","SIM"))</f>
        <v>SIM</v>
      </c>
      <c r="AB2218" s="0" t="str">
        <f aca="false">IFERROR(INDEX('Mov Entradas (Rel 10497)'!$L:$L,MATCH(AC2218,'Mov Entradas (Rel 10497)'!$I:$I,0)),"nao encontrado")</f>
        <v>DANONE GREGO UNID FR</v>
      </c>
      <c r="AC2218" s="0" t="n">
        <v>1732186</v>
      </c>
    </row>
    <row r="2219" customFormat="false" ht="12.75" hidden="false" customHeight="true" outlineLevel="0" collapsed="false">
      <c r="A2219" s="13" t="n">
        <v>2</v>
      </c>
      <c r="B2219" s="14" t="n">
        <v>46265</v>
      </c>
      <c r="C2219" s="14" t="n">
        <v>46290</v>
      </c>
      <c r="D2219" s="13" t="n">
        <v>1616</v>
      </c>
      <c r="E2219" s="0" t="s">
        <v>64</v>
      </c>
      <c r="F2219" s="13" t="n">
        <v>24</v>
      </c>
      <c r="G2219" s="0" t="s">
        <v>51</v>
      </c>
      <c r="H2219" s="13" t="n">
        <v>2110405</v>
      </c>
      <c r="I2219" s="0" t="s">
        <v>56</v>
      </c>
      <c r="J2219" s="13" t="n">
        <v>1629541</v>
      </c>
      <c r="L2219" s="13" t="n">
        <v>223546</v>
      </c>
      <c r="M2219" s="0" t="s">
        <v>52</v>
      </c>
      <c r="N2219" s="0" t="s">
        <v>45</v>
      </c>
      <c r="P2219" s="13" t="n">
        <v>113</v>
      </c>
      <c r="Q2219" s="0" t="s">
        <v>46</v>
      </c>
      <c r="R2219" s="0" t="s">
        <v>47</v>
      </c>
      <c r="S2219" s="13" t="n">
        <v>1130101</v>
      </c>
      <c r="T2219" s="0" t="s">
        <v>48</v>
      </c>
      <c r="U2219" s="15" t="n">
        <v>610.19</v>
      </c>
      <c r="W2219" s="15" t="n">
        <v>610.19</v>
      </c>
      <c r="X2219" s="0" t="s">
        <v>1693</v>
      </c>
      <c r="Z2219" s="0" t="str">
        <f aca="false">IF($T2219="","",IFERROR(INDEX('Resumo Grupos'!$AC$3:$AC$200,MATCH($T2219,'Resumo Grupos'!$AB$3:$AB$200,0)),"n/d"))</f>
        <v>Mercadoria</v>
      </c>
      <c r="AA2219" s="0" t="str">
        <f aca="false">IF($T2219="","",IF(COUNTIF('Resumo Grupos'!$AE$3:$AE$40,$T2219)&gt;0,"NAO","SIM"))</f>
        <v>SIM</v>
      </c>
      <c r="AB2219" s="0" t="str">
        <f aca="false">IFERROR(INDEX('Mov Entradas (Rel 10497)'!$L:$L,MATCH(AC2219,'Mov Entradas (Rel 10497)'!$I:$I,0)),"nao encontrado")</f>
        <v>ESPONJA BRILHUS 1UNI</v>
      </c>
      <c r="AC2219" s="0" t="n">
        <v>656817</v>
      </c>
    </row>
    <row r="2220" customFormat="false" ht="12.75" hidden="false" customHeight="true" outlineLevel="0" collapsed="false">
      <c r="A2220" s="13" t="n">
        <v>2</v>
      </c>
      <c r="B2220" s="14" t="n">
        <v>46283</v>
      </c>
      <c r="C2220" s="14" t="n">
        <v>46290</v>
      </c>
      <c r="D2220" s="13" t="n">
        <v>911</v>
      </c>
      <c r="E2220" s="0" t="s">
        <v>487</v>
      </c>
      <c r="F2220" s="13" t="n">
        <v>24</v>
      </c>
      <c r="G2220" s="0" t="s">
        <v>51</v>
      </c>
      <c r="H2220" s="13" t="n">
        <v>2110405</v>
      </c>
      <c r="I2220" s="0" t="s">
        <v>56</v>
      </c>
      <c r="J2220" s="13" t="n">
        <v>1720860</v>
      </c>
      <c r="L2220" s="13" t="n">
        <v>236705</v>
      </c>
      <c r="M2220" s="0" t="s">
        <v>52</v>
      </c>
      <c r="N2220" s="0" t="s">
        <v>45</v>
      </c>
      <c r="P2220" s="13" t="n">
        <v>113</v>
      </c>
      <c r="Q2220" s="0" t="s">
        <v>46</v>
      </c>
      <c r="R2220" s="0" t="s">
        <v>47</v>
      </c>
      <c r="S2220" s="13" t="n">
        <v>1130101</v>
      </c>
      <c r="T2220" s="0" t="s">
        <v>48</v>
      </c>
      <c r="U2220" s="15" t="n">
        <v>365.48</v>
      </c>
      <c r="W2220" s="15" t="n">
        <v>365.48</v>
      </c>
      <c r="X2220" s="0" t="s">
        <v>1845</v>
      </c>
      <c r="Z2220" s="0" t="str">
        <f aca="false">IF($T2220="","",IFERROR(INDEX('Resumo Grupos'!$AC$3:$AC$200,MATCH($T2220,'Resumo Grupos'!$AB$3:$AB$200,0)),"n/d"))</f>
        <v>Mercadoria</v>
      </c>
      <c r="AA2220" s="0" t="str">
        <f aca="false">IF($T2220="","",IF(COUNTIF('Resumo Grupos'!$AE$3:$AE$40,$T2220)&gt;0,"NAO","SIM"))</f>
        <v>SIM</v>
      </c>
      <c r="AB2220" s="0" t="str">
        <f aca="false">IFERROR(INDEX('Mov Entradas (Rel 10497)'!$L:$L,MATCH(AC2220,'Mov Entradas (Rel 10497)'!$I:$I,0)),"nao encontrado")</f>
        <v>PURAGUA SODA COM GAS</v>
      </c>
      <c r="AC2220" s="0" t="n">
        <v>59578</v>
      </c>
    </row>
    <row r="2221" customFormat="false" ht="12.75" hidden="false" customHeight="true" outlineLevel="0" collapsed="false">
      <c r="A2221" s="13" t="n">
        <v>2</v>
      </c>
      <c r="B2221" s="14" t="n">
        <v>46293</v>
      </c>
      <c r="C2221" s="14" t="n">
        <v>46290</v>
      </c>
      <c r="D2221" s="13" t="n">
        <v>515</v>
      </c>
      <c r="E2221" s="0" t="s">
        <v>137</v>
      </c>
      <c r="F2221" s="13" t="n">
        <v>34</v>
      </c>
      <c r="G2221" s="0" t="s">
        <v>55</v>
      </c>
      <c r="H2221" s="13" t="n">
        <v>2110405</v>
      </c>
      <c r="I2221" s="0" t="s">
        <v>56</v>
      </c>
      <c r="J2221" s="13" t="n">
        <v>1610214</v>
      </c>
      <c r="L2221" s="13" t="n">
        <v>220718</v>
      </c>
      <c r="M2221" s="0" t="s">
        <v>44</v>
      </c>
      <c r="N2221" s="0" t="s">
        <v>45</v>
      </c>
      <c r="P2221" s="13" t="n">
        <v>101</v>
      </c>
      <c r="Q2221" s="0" t="s">
        <v>57</v>
      </c>
      <c r="R2221" s="0" t="s">
        <v>138</v>
      </c>
      <c r="S2221" s="13" t="n">
        <v>4210504</v>
      </c>
      <c r="T2221" s="0" t="s">
        <v>143</v>
      </c>
      <c r="U2221" s="15" t="n">
        <v>165</v>
      </c>
      <c r="W2221" s="15" t="n">
        <v>0</v>
      </c>
      <c r="X2221" s="0" t="s">
        <v>1449</v>
      </c>
      <c r="Z2221" s="0" t="str">
        <f aca="false">IF($T2221="","",IFERROR(INDEX('Resumo Grupos'!$AC$3:$AC$200,MATCH($T2221,'Resumo Grupos'!$AB$3:$AB$200,0)),"n/d"))</f>
        <v>Despesa</v>
      </c>
      <c r="AA2221" s="0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3" t="n">
        <v>2</v>
      </c>
      <c r="B2222" s="14" t="n">
        <v>46248</v>
      </c>
      <c r="C2222" s="14" t="n">
        <v>46290</v>
      </c>
      <c r="D2222" s="13" t="n">
        <v>515</v>
      </c>
      <c r="E2222" s="0" t="s">
        <v>137</v>
      </c>
      <c r="F2222" s="13" t="n">
        <v>48</v>
      </c>
      <c r="G2222" s="0" t="s">
        <v>581</v>
      </c>
      <c r="H2222" s="13" t="n">
        <v>2110405</v>
      </c>
      <c r="I2222" s="0" t="s">
        <v>56</v>
      </c>
      <c r="J2222" s="13" t="n">
        <v>1745385</v>
      </c>
      <c r="L2222" s="13" t="n">
        <v>240364</v>
      </c>
      <c r="M2222" s="0" t="s">
        <v>52</v>
      </c>
      <c r="N2222" s="0" t="s">
        <v>45</v>
      </c>
      <c r="P2222" s="13" t="n">
        <v>101</v>
      </c>
      <c r="Q2222" s="0" t="s">
        <v>57</v>
      </c>
      <c r="R2222" s="0" t="s">
        <v>607</v>
      </c>
      <c r="S2222" s="13" t="n">
        <v>1140104</v>
      </c>
      <c r="T2222" s="0" t="s">
        <v>1846</v>
      </c>
      <c r="U2222" s="15" t="n">
        <v>18.75</v>
      </c>
      <c r="W2222" s="15" t="n">
        <v>0</v>
      </c>
      <c r="X2222" s="0" t="s">
        <v>1847</v>
      </c>
      <c r="Z2222" s="0" t="str">
        <f aca="false">IF($T2222="","",IFERROR(INDEX('Resumo Grupos'!$AC$3:$AC$200,MATCH($T2222,'Resumo Grupos'!$AB$3:$AB$200,0)),"n/d"))</f>
        <v>Despesa</v>
      </c>
      <c r="AA2222" s="0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3" t="n">
        <v>2</v>
      </c>
      <c r="B2223" s="14" t="n">
        <v>46290</v>
      </c>
      <c r="C2223" s="14" t="n">
        <v>46290</v>
      </c>
      <c r="D2223" s="13" t="n">
        <v>48</v>
      </c>
      <c r="E2223" s="0" t="s">
        <v>153</v>
      </c>
      <c r="F2223" s="13" t="n">
        <v>34</v>
      </c>
      <c r="G2223" s="0" t="s">
        <v>55</v>
      </c>
      <c r="H2223" s="13" t="n">
        <v>2110101</v>
      </c>
      <c r="I2223" s="0" t="s">
        <v>43</v>
      </c>
      <c r="J2223" s="13" t="n">
        <v>1756574</v>
      </c>
      <c r="L2223" s="13" t="n">
        <v>2700</v>
      </c>
      <c r="M2223" s="0" t="s">
        <v>52</v>
      </c>
      <c r="N2223" s="0" t="s">
        <v>37</v>
      </c>
      <c r="P2223" s="13" t="n">
        <v>113</v>
      </c>
      <c r="Q2223" s="0" t="s">
        <v>46</v>
      </c>
      <c r="R2223" s="0" t="s">
        <v>47</v>
      </c>
      <c r="S2223" s="13" t="n">
        <v>1130101</v>
      </c>
      <c r="T2223" s="0" t="s">
        <v>48</v>
      </c>
      <c r="U2223" s="15" t="n">
        <v>1382</v>
      </c>
      <c r="W2223" s="15" t="n">
        <v>1382</v>
      </c>
      <c r="X2223" s="0" t="s">
        <v>1848</v>
      </c>
      <c r="Z2223" s="0" t="str">
        <f aca="false">IF($T2223="","",IFERROR(INDEX('Resumo Grupos'!$AC$3:$AC$200,MATCH($T2223,'Resumo Grupos'!$AB$3:$AB$200,0)),"n/d"))</f>
        <v>Mercadoria</v>
      </c>
      <c r="AA2223" s="0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3" t="n">
        <v>2</v>
      </c>
      <c r="B2224" s="14" t="n">
        <v>46243</v>
      </c>
      <c r="C2224" s="14" t="n">
        <v>46290</v>
      </c>
      <c r="D2224" s="13" t="n">
        <v>17</v>
      </c>
      <c r="E2224" s="0" t="s">
        <v>489</v>
      </c>
      <c r="F2224" s="13" t="n">
        <v>48</v>
      </c>
      <c r="G2224" s="0" t="s">
        <v>581</v>
      </c>
      <c r="H2224" s="13" t="n">
        <v>2110405</v>
      </c>
      <c r="I2224" s="0" t="s">
        <v>56</v>
      </c>
      <c r="J2224" s="13" t="n">
        <v>1551938</v>
      </c>
      <c r="L2224" s="13" t="n">
        <v>211786</v>
      </c>
      <c r="M2224" s="0" t="s">
        <v>44</v>
      </c>
      <c r="N2224" s="0" t="s">
        <v>45</v>
      </c>
      <c r="P2224" s="13" t="n">
        <v>101</v>
      </c>
      <c r="Q2224" s="0" t="s">
        <v>57</v>
      </c>
      <c r="R2224" s="0" t="s">
        <v>81</v>
      </c>
      <c r="S2224" s="13" t="n">
        <v>4220199</v>
      </c>
      <c r="T2224" s="0" t="s">
        <v>82</v>
      </c>
      <c r="U2224" s="15" t="n">
        <v>52.52</v>
      </c>
      <c r="W2224" s="15" t="n">
        <v>0</v>
      </c>
      <c r="X2224" s="0" t="s">
        <v>1849</v>
      </c>
      <c r="Z2224" s="0" t="str">
        <f aca="false">IF($T2224="","",IFERROR(INDEX('Resumo Grupos'!$AC$3:$AC$200,MATCH($T2224,'Resumo Grupos'!$AB$3:$AB$200,0)),"n/d"))</f>
        <v>Pagamentos outros não operacionais</v>
      </c>
      <c r="AA2224" s="0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3" t="n">
        <v>2</v>
      </c>
      <c r="B2225" s="14" t="n">
        <v>46094</v>
      </c>
      <c r="C2225" s="14" t="n">
        <v>46290</v>
      </c>
      <c r="D2225" s="13" t="n">
        <v>17</v>
      </c>
      <c r="E2225" s="0" t="s">
        <v>489</v>
      </c>
      <c r="F2225" s="13" t="n">
        <v>48</v>
      </c>
      <c r="G2225" s="0" t="s">
        <v>581</v>
      </c>
      <c r="H2225" s="13" t="n">
        <v>2110405</v>
      </c>
      <c r="I2225" s="0" t="s">
        <v>56</v>
      </c>
      <c r="J2225" s="13" t="n">
        <v>1745354</v>
      </c>
      <c r="L2225" s="13" t="n">
        <v>240353</v>
      </c>
      <c r="M2225" s="0" t="s">
        <v>52</v>
      </c>
      <c r="N2225" s="0" t="s">
        <v>45</v>
      </c>
      <c r="P2225" s="13" t="n">
        <v>101</v>
      </c>
      <c r="Q2225" s="0" t="s">
        <v>57</v>
      </c>
      <c r="R2225" s="0" t="s">
        <v>81</v>
      </c>
      <c r="S2225" s="13" t="n">
        <v>4220199</v>
      </c>
      <c r="T2225" s="0" t="s">
        <v>82</v>
      </c>
      <c r="U2225" s="15" t="n">
        <v>46.94</v>
      </c>
      <c r="W2225" s="15" t="n">
        <v>0</v>
      </c>
      <c r="X2225" s="0" t="s">
        <v>1850</v>
      </c>
      <c r="Z2225" s="0" t="str">
        <f aca="false">IF($T2225="","",IFERROR(INDEX('Resumo Grupos'!$AC$3:$AC$200,MATCH($T2225,'Resumo Grupos'!$AB$3:$AB$200,0)),"n/d"))</f>
        <v>Pagamentos outros não operacionais</v>
      </c>
      <c r="AA2225" s="0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3" t="n">
        <v>2</v>
      </c>
      <c r="B2226" s="14" t="n">
        <v>46154</v>
      </c>
      <c r="C2226" s="14" t="n">
        <v>46290</v>
      </c>
      <c r="D2226" s="13" t="n">
        <v>17</v>
      </c>
      <c r="E2226" s="0" t="s">
        <v>489</v>
      </c>
      <c r="F2226" s="13" t="n">
        <v>48</v>
      </c>
      <c r="G2226" s="0" t="s">
        <v>581</v>
      </c>
      <c r="H2226" s="13" t="n">
        <v>2110405</v>
      </c>
      <c r="I2226" s="0" t="s">
        <v>56</v>
      </c>
      <c r="J2226" s="13" t="n">
        <v>1745357</v>
      </c>
      <c r="L2226" s="13" t="n">
        <v>240355</v>
      </c>
      <c r="M2226" s="0" t="s">
        <v>52</v>
      </c>
      <c r="N2226" s="0" t="s">
        <v>45</v>
      </c>
      <c r="P2226" s="13" t="n">
        <v>101</v>
      </c>
      <c r="Q2226" s="0" t="s">
        <v>57</v>
      </c>
      <c r="R2226" s="0" t="s">
        <v>81</v>
      </c>
      <c r="S2226" s="13" t="n">
        <v>4220199</v>
      </c>
      <c r="T2226" s="0" t="s">
        <v>82</v>
      </c>
      <c r="U2226" s="15" t="n">
        <v>48.02</v>
      </c>
      <c r="W2226" s="15" t="n">
        <v>0</v>
      </c>
      <c r="X2226" s="0" t="s">
        <v>1850</v>
      </c>
      <c r="Z2226" s="0" t="str">
        <f aca="false">IF($T2226="","",IFERROR(INDEX('Resumo Grupos'!$AC$3:$AC$200,MATCH($T2226,'Resumo Grupos'!$AB$3:$AB$200,0)),"n/d"))</f>
        <v>Pagamentos outros não operacionais</v>
      </c>
      <c r="AA2226" s="0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3" t="n">
        <v>2</v>
      </c>
      <c r="B2227" s="14" t="n">
        <v>46170</v>
      </c>
      <c r="C2227" s="14" t="n">
        <v>46290</v>
      </c>
      <c r="D2227" s="13" t="n">
        <v>17</v>
      </c>
      <c r="E2227" s="0" t="s">
        <v>489</v>
      </c>
      <c r="F2227" s="13" t="n">
        <v>48</v>
      </c>
      <c r="G2227" s="0" t="s">
        <v>581</v>
      </c>
      <c r="H2227" s="13" t="n">
        <v>2110405</v>
      </c>
      <c r="I2227" s="0" t="s">
        <v>56</v>
      </c>
      <c r="J2227" s="13" t="n">
        <v>1745364</v>
      </c>
      <c r="L2227" s="13" t="n">
        <v>240357</v>
      </c>
      <c r="M2227" s="0" t="s">
        <v>52</v>
      </c>
      <c r="N2227" s="0" t="s">
        <v>45</v>
      </c>
      <c r="P2227" s="13" t="n">
        <v>101</v>
      </c>
      <c r="Q2227" s="0" t="s">
        <v>57</v>
      </c>
      <c r="R2227" s="0" t="s">
        <v>81</v>
      </c>
      <c r="S2227" s="13" t="n">
        <v>4220199</v>
      </c>
      <c r="T2227" s="0" t="s">
        <v>82</v>
      </c>
      <c r="U2227" s="15" t="n">
        <v>10.9</v>
      </c>
      <c r="W2227" s="15" t="n">
        <v>0</v>
      </c>
      <c r="X2227" s="0" t="s">
        <v>1850</v>
      </c>
      <c r="Z2227" s="0" t="str">
        <f aca="false">IF($T2227="","",IFERROR(INDEX('Resumo Grupos'!$AC$3:$AC$200,MATCH($T2227,'Resumo Grupos'!$AB$3:$AB$200,0)),"n/d"))</f>
        <v>Pagamentos outros não operacionais</v>
      </c>
      <c r="AA2227" s="0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3" t="n">
        <v>2</v>
      </c>
      <c r="B2228" s="14" t="n">
        <v>46250</v>
      </c>
      <c r="C2228" s="14" t="n">
        <v>46290</v>
      </c>
      <c r="D2228" s="13" t="n">
        <v>17</v>
      </c>
      <c r="E2228" s="0" t="s">
        <v>489</v>
      </c>
      <c r="F2228" s="13" t="n">
        <v>48</v>
      </c>
      <c r="G2228" s="0" t="s">
        <v>581</v>
      </c>
      <c r="H2228" s="13" t="n">
        <v>2110405</v>
      </c>
      <c r="I2228" s="0" t="s">
        <v>56</v>
      </c>
      <c r="J2228" s="13" t="n">
        <v>1745367</v>
      </c>
      <c r="L2228" s="13" t="n">
        <v>240358</v>
      </c>
      <c r="M2228" s="0" t="s">
        <v>52</v>
      </c>
      <c r="N2228" s="0" t="s">
        <v>45</v>
      </c>
      <c r="P2228" s="13" t="n">
        <v>101</v>
      </c>
      <c r="Q2228" s="0" t="s">
        <v>57</v>
      </c>
      <c r="R2228" s="0" t="s">
        <v>81</v>
      </c>
      <c r="S2228" s="13" t="n">
        <v>4220199</v>
      </c>
      <c r="T2228" s="0" t="s">
        <v>82</v>
      </c>
      <c r="U2228" s="15" t="n">
        <v>149.89</v>
      </c>
      <c r="W2228" s="15" t="n">
        <v>0</v>
      </c>
      <c r="X2228" s="0" t="s">
        <v>1850</v>
      </c>
      <c r="Z2228" s="0" t="str">
        <f aca="false">IF($T2228="","",IFERROR(INDEX('Resumo Grupos'!$AC$3:$AC$200,MATCH($T2228,'Resumo Grupos'!$AB$3:$AB$200,0)),"n/d"))</f>
        <v>Pagamentos outros não operacionais</v>
      </c>
      <c r="AA2228" s="0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3" t="n">
        <v>2</v>
      </c>
      <c r="B2229" s="14" t="n">
        <v>46260</v>
      </c>
      <c r="C2229" s="14" t="n">
        <v>46290</v>
      </c>
      <c r="D2229" s="13" t="n">
        <v>17</v>
      </c>
      <c r="E2229" s="0" t="s">
        <v>489</v>
      </c>
      <c r="F2229" s="13" t="n">
        <v>48</v>
      </c>
      <c r="G2229" s="0" t="s">
        <v>581</v>
      </c>
      <c r="H2229" s="13" t="n">
        <v>2110405</v>
      </c>
      <c r="I2229" s="0" t="s">
        <v>56</v>
      </c>
      <c r="J2229" s="13" t="n">
        <v>1745380</v>
      </c>
      <c r="L2229" s="13" t="n">
        <v>240362</v>
      </c>
      <c r="M2229" s="0" t="s">
        <v>52</v>
      </c>
      <c r="N2229" s="0" t="s">
        <v>45</v>
      </c>
      <c r="P2229" s="13" t="n">
        <v>101</v>
      </c>
      <c r="Q2229" s="0" t="s">
        <v>57</v>
      </c>
      <c r="R2229" s="0" t="s">
        <v>81</v>
      </c>
      <c r="S2229" s="13" t="n">
        <v>4220199</v>
      </c>
      <c r="T2229" s="0" t="s">
        <v>82</v>
      </c>
      <c r="U2229" s="15" t="n">
        <v>116.36</v>
      </c>
      <c r="W2229" s="15" t="n">
        <v>0</v>
      </c>
      <c r="X2229" s="0" t="s">
        <v>1851</v>
      </c>
      <c r="Z2229" s="0" t="str">
        <f aca="false">IF($T2229="","",IFERROR(INDEX('Resumo Grupos'!$AC$3:$AC$200,MATCH($T2229,'Resumo Grupos'!$AB$3:$AB$200,0)),"n/d"))</f>
        <v>Pagamentos outros não operacionais</v>
      </c>
      <c r="AA2229" s="0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3" t="n">
        <v>2</v>
      </c>
      <c r="B2230" s="14" t="n">
        <v>46260</v>
      </c>
      <c r="C2230" s="14" t="n">
        <v>46290</v>
      </c>
      <c r="D2230" s="13" t="n">
        <v>17</v>
      </c>
      <c r="E2230" s="0" t="s">
        <v>489</v>
      </c>
      <c r="F2230" s="13" t="n">
        <v>48</v>
      </c>
      <c r="G2230" s="0" t="s">
        <v>581</v>
      </c>
      <c r="H2230" s="13" t="n">
        <v>2110405</v>
      </c>
      <c r="I2230" s="0" t="s">
        <v>56</v>
      </c>
      <c r="J2230" s="13" t="n">
        <v>1745383</v>
      </c>
      <c r="L2230" s="13" t="n">
        <v>240363</v>
      </c>
      <c r="M2230" s="0" t="s">
        <v>52</v>
      </c>
      <c r="N2230" s="0" t="s">
        <v>45</v>
      </c>
      <c r="P2230" s="13" t="n">
        <v>101</v>
      </c>
      <c r="Q2230" s="0" t="s">
        <v>57</v>
      </c>
      <c r="R2230" s="0" t="s">
        <v>81</v>
      </c>
      <c r="S2230" s="13" t="n">
        <v>4220199</v>
      </c>
      <c r="T2230" s="0" t="s">
        <v>82</v>
      </c>
      <c r="U2230" s="15" t="n">
        <v>4.09</v>
      </c>
      <c r="W2230" s="15" t="n">
        <v>0</v>
      </c>
      <c r="X2230" s="0" t="s">
        <v>1852</v>
      </c>
      <c r="Z2230" s="0" t="str">
        <f aca="false">IF($T2230="","",IFERROR(INDEX('Resumo Grupos'!$AC$3:$AC$200,MATCH($T2230,'Resumo Grupos'!$AB$3:$AB$200,0)),"n/d"))</f>
        <v>Pagamentos outros não operacionais</v>
      </c>
      <c r="AA2230" s="0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3" t="n">
        <v>2</v>
      </c>
      <c r="B2231" s="14" t="n">
        <v>46029</v>
      </c>
      <c r="C2231" s="14" t="n">
        <v>46290</v>
      </c>
      <c r="D2231" s="13" t="n">
        <v>17</v>
      </c>
      <c r="E2231" s="0" t="s">
        <v>489</v>
      </c>
      <c r="F2231" s="13" t="n">
        <v>48</v>
      </c>
      <c r="G2231" s="0" t="s">
        <v>581</v>
      </c>
      <c r="H2231" s="13" t="n">
        <v>2110405</v>
      </c>
      <c r="I2231" s="0" t="s">
        <v>56</v>
      </c>
      <c r="J2231" s="13" t="n">
        <v>660305</v>
      </c>
      <c r="L2231" s="13" t="n">
        <v>86116</v>
      </c>
      <c r="M2231" s="0" t="s">
        <v>1134</v>
      </c>
      <c r="N2231" s="0" t="s">
        <v>45</v>
      </c>
      <c r="P2231" s="13" t="n">
        <v>101</v>
      </c>
      <c r="Q2231" s="0" t="s">
        <v>57</v>
      </c>
      <c r="R2231" s="0" t="s">
        <v>81</v>
      </c>
      <c r="S2231" s="13" t="n">
        <v>4220199</v>
      </c>
      <c r="T2231" s="0" t="s">
        <v>82</v>
      </c>
      <c r="U2231" s="15" t="n">
        <v>84.03</v>
      </c>
      <c r="W2231" s="15" t="n">
        <v>0</v>
      </c>
      <c r="X2231" s="0" t="s">
        <v>583</v>
      </c>
      <c r="Z2231" s="0" t="str">
        <f aca="false">IF($T2231="","",IFERROR(INDEX('Resumo Grupos'!$AC$3:$AC$200,MATCH($T2231,'Resumo Grupos'!$AB$3:$AB$200,0)),"n/d"))</f>
        <v>Pagamentos outros não operacionais</v>
      </c>
      <c r="AA2231" s="0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3" t="n">
        <v>2</v>
      </c>
      <c r="B2232" s="14" t="n">
        <v>46013</v>
      </c>
      <c r="C2232" s="14" t="n">
        <v>46290</v>
      </c>
      <c r="D2232" s="13" t="n">
        <v>17</v>
      </c>
      <c r="E2232" s="0" t="s">
        <v>489</v>
      </c>
      <c r="F2232" s="13" t="n">
        <v>48</v>
      </c>
      <c r="G2232" s="0" t="s">
        <v>581</v>
      </c>
      <c r="H2232" s="13" t="n">
        <v>2110405</v>
      </c>
      <c r="I2232" s="0" t="s">
        <v>56</v>
      </c>
      <c r="J2232" s="13" t="n">
        <v>660421</v>
      </c>
      <c r="L2232" s="13" t="n">
        <v>86128</v>
      </c>
      <c r="M2232" s="0" t="s">
        <v>1134</v>
      </c>
      <c r="N2232" s="0" t="s">
        <v>45</v>
      </c>
      <c r="P2232" s="13" t="n">
        <v>101</v>
      </c>
      <c r="Q2232" s="0" t="s">
        <v>57</v>
      </c>
      <c r="R2232" s="0" t="s">
        <v>81</v>
      </c>
      <c r="S2232" s="13" t="n">
        <v>4220199</v>
      </c>
      <c r="T2232" s="0" t="s">
        <v>82</v>
      </c>
      <c r="U2232" s="15" t="n">
        <v>362.14</v>
      </c>
      <c r="W2232" s="15" t="n">
        <v>0</v>
      </c>
      <c r="X2232" s="0" t="s">
        <v>584</v>
      </c>
      <c r="Z2232" s="0" t="str">
        <f aca="false">IF($T2232="","",IFERROR(INDEX('Resumo Grupos'!$AC$3:$AC$200,MATCH($T2232,'Resumo Grupos'!$AB$3:$AB$200,0)),"n/d"))</f>
        <v>Pagamentos outros não operacionais</v>
      </c>
      <c r="AA2232" s="0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3" t="n">
        <v>2</v>
      </c>
      <c r="B2233" s="14" t="n">
        <v>46289</v>
      </c>
      <c r="C2233" s="14" t="n">
        <v>46290</v>
      </c>
      <c r="D2233" s="13" t="n">
        <v>218</v>
      </c>
      <c r="E2233" s="0" t="s">
        <v>819</v>
      </c>
      <c r="F2233" s="13" t="n">
        <v>34</v>
      </c>
      <c r="G2233" s="0" t="s">
        <v>55</v>
      </c>
      <c r="H2233" s="13" t="n">
        <v>2110405</v>
      </c>
      <c r="I2233" s="0" t="s">
        <v>56</v>
      </c>
      <c r="J2233" s="13" t="n">
        <v>1748901</v>
      </c>
      <c r="L2233" s="13" t="n">
        <v>240931</v>
      </c>
      <c r="M2233" s="0" t="s">
        <v>52</v>
      </c>
      <c r="N2233" s="0" t="s">
        <v>45</v>
      </c>
      <c r="P2233" s="13" t="n">
        <v>101</v>
      </c>
      <c r="Q2233" s="0" t="s">
        <v>57</v>
      </c>
      <c r="R2233" s="0" t="s">
        <v>71</v>
      </c>
      <c r="S2233" s="13" t="n">
        <v>4210301</v>
      </c>
      <c r="T2233" s="0" t="s">
        <v>220</v>
      </c>
      <c r="U2233" s="15" t="n">
        <v>121.51</v>
      </c>
      <c r="W2233" s="15" t="n">
        <v>121.51</v>
      </c>
      <c r="X2233" s="0" t="s">
        <v>1853</v>
      </c>
      <c r="Z2233" s="0" t="str">
        <f aca="false">IF($T2233="","",IFERROR(INDEX('Resumo Grupos'!$AC$3:$AC$200,MATCH($T2233,'Resumo Grupos'!$AB$3:$AB$200,0)),"n/d"))</f>
        <v>Salários</v>
      </c>
      <c r="AA2233" s="0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3" t="n">
        <v>2</v>
      </c>
      <c r="B2234" s="14" t="n">
        <v>46265</v>
      </c>
      <c r="C2234" s="14" t="n">
        <v>46290</v>
      </c>
      <c r="D2234" s="13" t="n">
        <v>218</v>
      </c>
      <c r="E2234" s="0" t="s">
        <v>819</v>
      </c>
      <c r="F2234" s="13" t="n">
        <v>48</v>
      </c>
      <c r="G2234" s="0" t="s">
        <v>581</v>
      </c>
      <c r="H2234" s="13" t="n">
        <v>2110405</v>
      </c>
      <c r="I2234" s="0" t="s">
        <v>56</v>
      </c>
      <c r="J2234" s="13" t="n">
        <v>1759731</v>
      </c>
      <c r="L2234" s="13" t="n">
        <v>242377</v>
      </c>
      <c r="M2234" s="0" t="s">
        <v>52</v>
      </c>
      <c r="N2234" s="0" t="s">
        <v>45</v>
      </c>
      <c r="P2234" s="13" t="n">
        <v>101</v>
      </c>
      <c r="Q2234" s="0" t="s">
        <v>57</v>
      </c>
      <c r="R2234" s="0" t="s">
        <v>81</v>
      </c>
      <c r="S2234" s="13" t="n">
        <v>4220199</v>
      </c>
      <c r="T2234" s="0" t="s">
        <v>82</v>
      </c>
      <c r="U2234" s="15" t="n">
        <v>309.96</v>
      </c>
      <c r="W2234" s="15" t="n">
        <v>0</v>
      </c>
      <c r="X2234" s="0" t="s">
        <v>1854</v>
      </c>
      <c r="Z2234" s="0" t="str">
        <f aca="false">IF($T2234="","",IFERROR(INDEX('Resumo Grupos'!$AC$3:$AC$200,MATCH($T2234,'Resumo Grupos'!$AB$3:$AB$200,0)),"n/d"))</f>
        <v>Pagamentos outros não operacionais</v>
      </c>
      <c r="AA2234" s="0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3" t="n">
        <v>2</v>
      </c>
      <c r="B2235" s="14" t="n">
        <v>46154</v>
      </c>
      <c r="C2235" s="14" t="n">
        <v>46290</v>
      </c>
      <c r="D2235" s="13" t="n">
        <v>33</v>
      </c>
      <c r="E2235" s="0" t="s">
        <v>313</v>
      </c>
      <c r="F2235" s="13" t="n">
        <v>48</v>
      </c>
      <c r="G2235" s="0" t="s">
        <v>581</v>
      </c>
      <c r="H2235" s="13" t="n">
        <v>2110405</v>
      </c>
      <c r="I2235" s="0" t="s">
        <v>56</v>
      </c>
      <c r="J2235" s="13" t="n">
        <v>1745362</v>
      </c>
      <c r="L2235" s="13" t="n">
        <v>240356</v>
      </c>
      <c r="M2235" s="0" t="s">
        <v>52</v>
      </c>
      <c r="N2235" s="0" t="s">
        <v>45</v>
      </c>
      <c r="P2235" s="13" t="n">
        <v>101</v>
      </c>
      <c r="Q2235" s="0" t="s">
        <v>57</v>
      </c>
      <c r="R2235" s="0" t="s">
        <v>81</v>
      </c>
      <c r="S2235" s="13" t="n">
        <v>4220199</v>
      </c>
      <c r="T2235" s="0" t="s">
        <v>82</v>
      </c>
      <c r="U2235" s="15" t="n">
        <v>59.9</v>
      </c>
      <c r="W2235" s="15" t="n">
        <v>0</v>
      </c>
      <c r="X2235" s="0" t="s">
        <v>1850</v>
      </c>
      <c r="Z2235" s="0" t="str">
        <f aca="false">IF($T2235="","",IFERROR(INDEX('Resumo Grupos'!$AC$3:$AC$200,MATCH($T2235,'Resumo Grupos'!$AB$3:$AB$200,0)),"n/d"))</f>
        <v>Pagamentos outros não operacionais</v>
      </c>
      <c r="AA2235" s="0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3" t="n">
        <v>2</v>
      </c>
      <c r="B2236" s="14" t="n">
        <v>46284</v>
      </c>
      <c r="C2236" s="14" t="n">
        <v>46290</v>
      </c>
      <c r="D2236" s="13" t="n">
        <v>1292</v>
      </c>
      <c r="E2236" s="0" t="s">
        <v>209</v>
      </c>
      <c r="F2236" s="13" t="n">
        <v>24</v>
      </c>
      <c r="G2236" s="0" t="s">
        <v>51</v>
      </c>
      <c r="H2236" s="13" t="n">
        <v>2110405</v>
      </c>
      <c r="I2236" s="0" t="s">
        <v>56</v>
      </c>
      <c r="J2236" s="13" t="n">
        <v>1723994</v>
      </c>
      <c r="L2236" s="13" t="n">
        <v>237109</v>
      </c>
      <c r="M2236" s="0" t="s">
        <v>52</v>
      </c>
      <c r="N2236" s="0" t="s">
        <v>45</v>
      </c>
      <c r="P2236" s="13" t="n">
        <v>113</v>
      </c>
      <c r="Q2236" s="0" t="s">
        <v>46</v>
      </c>
      <c r="R2236" s="0" t="s">
        <v>47</v>
      </c>
      <c r="S2236" s="13" t="n">
        <v>1130101</v>
      </c>
      <c r="T2236" s="0" t="s">
        <v>48</v>
      </c>
      <c r="U2236" s="15" t="n">
        <v>589.5</v>
      </c>
      <c r="W2236" s="15" t="n">
        <v>589.5</v>
      </c>
      <c r="X2236" s="0" t="s">
        <v>1855</v>
      </c>
      <c r="Z2236" s="0" t="str">
        <f aca="false">IF($T2236="","",IFERROR(INDEX('Resumo Grupos'!$AC$3:$AC$200,MATCH($T2236,'Resumo Grupos'!$AB$3:$AB$200,0)),"n/d"))</f>
        <v>Mercadoria</v>
      </c>
      <c r="AA2236" s="0" t="str">
        <f aca="false">IF($T2236="","",IF(COUNTIF('Resumo Grupos'!$AE$3:$AE$40,$T2236)&gt;0,"NAO","SIM"))</f>
        <v>SIM</v>
      </c>
      <c r="AB2236" s="0" t="str">
        <f aca="false">IFERROR(INDEX('Mov Entradas (Rel 10497)'!$L:$L,MATCH(AC2236,'Mov Entradas (Rel 10497)'!$I:$I,0)),"nao encontrado")</f>
        <v>QUEIJO MUSSARELA FAT</v>
      </c>
      <c r="AC2236" s="0" t="n">
        <v>4086</v>
      </c>
    </row>
    <row r="2237" customFormat="false" ht="12.75" hidden="false" customHeight="true" outlineLevel="0" collapsed="false">
      <c r="A2237" s="13" t="n">
        <v>2</v>
      </c>
      <c r="B2237" s="14" t="n">
        <v>46290</v>
      </c>
      <c r="C2237" s="14" t="n">
        <v>46290</v>
      </c>
      <c r="D2237" s="13" t="n">
        <v>0</v>
      </c>
      <c r="E2237" s="0" t="s">
        <v>109</v>
      </c>
      <c r="F2237" s="13" t="n">
        <v>17</v>
      </c>
      <c r="G2237" s="0" t="s">
        <v>110</v>
      </c>
      <c r="H2237" s="13" t="n">
        <v>1110101</v>
      </c>
      <c r="I2237" s="0" t="s">
        <v>111</v>
      </c>
      <c r="J2237" s="13" t="n">
        <v>1769247</v>
      </c>
      <c r="L2237" s="13" t="n">
        <v>1769247</v>
      </c>
      <c r="M2237" s="0" t="s">
        <v>52</v>
      </c>
      <c r="N2237" s="0" t="s">
        <v>112</v>
      </c>
      <c r="P2237" s="13" t="n">
        <v>113</v>
      </c>
      <c r="Q2237" s="0" t="s">
        <v>46</v>
      </c>
      <c r="R2237" s="0" t="s">
        <v>71</v>
      </c>
      <c r="S2237" s="13" t="n">
        <v>4210314</v>
      </c>
      <c r="T2237" s="0" t="s">
        <v>113</v>
      </c>
      <c r="U2237" s="15" t="n">
        <v>50</v>
      </c>
      <c r="W2237" s="15" t="n">
        <v>50</v>
      </c>
      <c r="X2237" s="0" t="s">
        <v>368</v>
      </c>
      <c r="Z2237" s="0" t="str">
        <f aca="false">IF($T2237="","",IFERROR(INDEX('Resumo Grupos'!$AC$3:$AC$200,MATCH($T2237,'Resumo Grupos'!$AB$3:$AB$200,0)),"n/d"))</f>
        <v>Despesa</v>
      </c>
      <c r="AA2237" s="0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3" t="n">
        <v>2</v>
      </c>
      <c r="B2238" s="14" t="n">
        <v>46290</v>
      </c>
      <c r="C2238" s="14" t="n">
        <v>46290</v>
      </c>
      <c r="D2238" s="13" t="n">
        <v>0</v>
      </c>
      <c r="E2238" s="0" t="s">
        <v>109</v>
      </c>
      <c r="F2238" s="13" t="n">
        <v>17</v>
      </c>
      <c r="G2238" s="0" t="s">
        <v>110</v>
      </c>
      <c r="H2238" s="13" t="n">
        <v>1110101</v>
      </c>
      <c r="I2238" s="0" t="s">
        <v>111</v>
      </c>
      <c r="J2238" s="13" t="n">
        <v>1769249</v>
      </c>
      <c r="L2238" s="13" t="n">
        <v>1769249</v>
      </c>
      <c r="M2238" s="0" t="s">
        <v>52</v>
      </c>
      <c r="N2238" s="0" t="s">
        <v>112</v>
      </c>
      <c r="P2238" s="13" t="n">
        <v>113</v>
      </c>
      <c r="Q2238" s="0" t="s">
        <v>46</v>
      </c>
      <c r="R2238" s="0" t="s">
        <v>47</v>
      </c>
      <c r="S2238" s="13" t="n">
        <v>1130101</v>
      </c>
      <c r="T2238" s="0" t="s">
        <v>48</v>
      </c>
      <c r="U2238" s="15" t="n">
        <v>75</v>
      </c>
      <c r="W2238" s="15" t="n">
        <v>75</v>
      </c>
      <c r="X2238" s="0" t="s">
        <v>1856</v>
      </c>
      <c r="Z2238" s="0" t="str">
        <f aca="false">IF($T2238="","",IFERROR(INDEX('Resumo Grupos'!$AC$3:$AC$200,MATCH($T2238,'Resumo Grupos'!$AB$3:$AB$200,0)),"n/d"))</f>
        <v>Mercadoria</v>
      </c>
      <c r="AA2238" s="0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3" t="n">
        <v>2</v>
      </c>
      <c r="B2239" s="14" t="n">
        <v>46290</v>
      </c>
      <c r="C2239" s="14" t="n">
        <v>46290</v>
      </c>
      <c r="D2239" s="13" t="n">
        <v>0</v>
      </c>
      <c r="E2239" s="0" t="s">
        <v>109</v>
      </c>
      <c r="F2239" s="13" t="n">
        <v>17</v>
      </c>
      <c r="G2239" s="0" t="s">
        <v>110</v>
      </c>
      <c r="H2239" s="13" t="n">
        <v>1110101</v>
      </c>
      <c r="I2239" s="0" t="s">
        <v>111</v>
      </c>
      <c r="J2239" s="13" t="n">
        <v>1769252</v>
      </c>
      <c r="L2239" s="13" t="n">
        <v>1769252</v>
      </c>
      <c r="M2239" s="0" t="s">
        <v>52</v>
      </c>
      <c r="N2239" s="0" t="s">
        <v>112</v>
      </c>
      <c r="P2239" s="13" t="n">
        <v>113</v>
      </c>
      <c r="Q2239" s="0" t="s">
        <v>46</v>
      </c>
      <c r="R2239" s="0" t="s">
        <v>71</v>
      </c>
      <c r="S2239" s="13" t="n">
        <v>4210314</v>
      </c>
      <c r="T2239" s="0" t="s">
        <v>113</v>
      </c>
      <c r="U2239" s="15" t="n">
        <v>100</v>
      </c>
      <c r="W2239" s="15" t="n">
        <v>100</v>
      </c>
      <c r="X2239" s="0" t="s">
        <v>1706</v>
      </c>
      <c r="Z2239" s="0" t="str">
        <f aca="false">IF($T2239="","",IFERROR(INDEX('Resumo Grupos'!$AC$3:$AC$200,MATCH($T2239,'Resumo Grupos'!$AB$3:$AB$200,0)),"n/d"))</f>
        <v>Despesa</v>
      </c>
      <c r="AA2239" s="0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3" t="n">
        <v>2</v>
      </c>
      <c r="B2240" s="14" t="n">
        <v>46290</v>
      </c>
      <c r="C2240" s="14" t="n">
        <v>46290</v>
      </c>
      <c r="D2240" s="13" t="n">
        <v>0</v>
      </c>
      <c r="E2240" s="0" t="s">
        <v>109</v>
      </c>
      <c r="F2240" s="13" t="n">
        <v>17</v>
      </c>
      <c r="G2240" s="0" t="s">
        <v>110</v>
      </c>
      <c r="H2240" s="13" t="n">
        <v>1110101</v>
      </c>
      <c r="I2240" s="0" t="s">
        <v>111</v>
      </c>
      <c r="J2240" s="13" t="n">
        <v>1769253</v>
      </c>
      <c r="L2240" s="13" t="n">
        <v>1769253</v>
      </c>
      <c r="M2240" s="0" t="s">
        <v>52</v>
      </c>
      <c r="N2240" s="0" t="s">
        <v>112</v>
      </c>
      <c r="P2240" s="13" t="n">
        <v>113</v>
      </c>
      <c r="Q2240" s="0" t="s">
        <v>46</v>
      </c>
      <c r="R2240" s="0" t="s">
        <v>71</v>
      </c>
      <c r="S2240" s="13" t="n">
        <v>4210316</v>
      </c>
      <c r="T2240" s="0" t="s">
        <v>159</v>
      </c>
      <c r="U2240" s="15" t="n">
        <v>500</v>
      </c>
      <c r="W2240" s="15" t="n">
        <v>500</v>
      </c>
      <c r="X2240" s="0" t="s">
        <v>1857</v>
      </c>
      <c r="Z2240" s="0" t="str">
        <f aca="false">IF($T2240="","",IFERROR(INDEX('Resumo Grupos'!$AC$3:$AC$200,MATCH($T2240,'Resumo Grupos'!$AB$3:$AB$200,0)),"n/d"))</f>
        <v>Salários</v>
      </c>
      <c r="AA2240" s="0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3" t="n">
        <v>2</v>
      </c>
      <c r="B2241" s="14" t="n">
        <v>46290</v>
      </c>
      <c r="C2241" s="14" t="n">
        <v>46290</v>
      </c>
      <c r="D2241" s="13" t="n">
        <v>0</v>
      </c>
      <c r="E2241" s="0" t="s">
        <v>109</v>
      </c>
      <c r="F2241" s="13" t="n">
        <v>17</v>
      </c>
      <c r="G2241" s="0" t="s">
        <v>110</v>
      </c>
      <c r="H2241" s="13" t="n">
        <v>1110101</v>
      </c>
      <c r="I2241" s="0" t="s">
        <v>111</v>
      </c>
      <c r="J2241" s="13" t="n">
        <v>1769256</v>
      </c>
      <c r="L2241" s="13" t="n">
        <v>1769256</v>
      </c>
      <c r="M2241" s="0" t="s">
        <v>52</v>
      </c>
      <c r="N2241" s="0" t="s">
        <v>112</v>
      </c>
      <c r="P2241" s="13" t="n">
        <v>113</v>
      </c>
      <c r="Q2241" s="0" t="s">
        <v>46</v>
      </c>
      <c r="R2241" s="0" t="s">
        <v>71</v>
      </c>
      <c r="S2241" s="13" t="n">
        <v>4210309</v>
      </c>
      <c r="T2241" s="0" t="s">
        <v>72</v>
      </c>
      <c r="U2241" s="15" t="n">
        <v>10</v>
      </c>
      <c r="W2241" s="15" t="n">
        <v>10</v>
      </c>
      <c r="X2241" s="0" t="s">
        <v>1552</v>
      </c>
      <c r="Z2241" s="0" t="str">
        <f aca="false">IF($T2241="","",IFERROR(INDEX('Resumo Grupos'!$AC$3:$AC$200,MATCH($T2241,'Resumo Grupos'!$AB$3:$AB$200,0)),"n/d"))</f>
        <v>Salários</v>
      </c>
      <c r="AA2241" s="0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3" t="n">
        <v>2</v>
      </c>
      <c r="B2242" s="14" t="n">
        <v>46290</v>
      </c>
      <c r="C2242" s="14" t="n">
        <v>46290</v>
      </c>
      <c r="D2242" s="13" t="n">
        <v>0</v>
      </c>
      <c r="E2242" s="0" t="s">
        <v>109</v>
      </c>
      <c r="F2242" s="13" t="n">
        <v>17</v>
      </c>
      <c r="G2242" s="0" t="s">
        <v>110</v>
      </c>
      <c r="H2242" s="13" t="n">
        <v>1110101</v>
      </c>
      <c r="I2242" s="0" t="s">
        <v>111</v>
      </c>
      <c r="J2242" s="13" t="n">
        <v>1769258</v>
      </c>
      <c r="L2242" s="13" t="n">
        <v>1769258</v>
      </c>
      <c r="M2242" s="0" t="s">
        <v>52</v>
      </c>
      <c r="N2242" s="0" t="s">
        <v>112</v>
      </c>
      <c r="P2242" s="13" t="n">
        <v>113</v>
      </c>
      <c r="Q2242" s="0" t="s">
        <v>46</v>
      </c>
      <c r="R2242" s="0" t="s">
        <v>71</v>
      </c>
      <c r="S2242" s="13" t="n">
        <v>4210316</v>
      </c>
      <c r="T2242" s="0" t="s">
        <v>159</v>
      </c>
      <c r="U2242" s="15" t="n">
        <v>200</v>
      </c>
      <c r="W2242" s="15" t="n">
        <v>200</v>
      </c>
      <c r="X2242" s="0" t="s">
        <v>1858</v>
      </c>
      <c r="Z2242" s="0" t="str">
        <f aca="false">IF($T2242="","",IFERROR(INDEX('Resumo Grupos'!$AC$3:$AC$200,MATCH($T2242,'Resumo Grupos'!$AB$3:$AB$200,0)),"n/d"))</f>
        <v>Salários</v>
      </c>
      <c r="AA2242" s="0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3" t="n">
        <v>2</v>
      </c>
      <c r="B2243" s="14" t="n">
        <v>46279</v>
      </c>
      <c r="C2243" s="14" t="n">
        <v>46291</v>
      </c>
      <c r="D2243" s="13" t="n">
        <v>1635</v>
      </c>
      <c r="E2243" s="0" t="s">
        <v>128</v>
      </c>
      <c r="F2243" s="13" t="n">
        <v>24</v>
      </c>
      <c r="G2243" s="0" t="s">
        <v>51</v>
      </c>
      <c r="H2243" s="13" t="n">
        <v>2110405</v>
      </c>
      <c r="I2243" s="0" t="s">
        <v>56</v>
      </c>
      <c r="J2243" s="13" t="n">
        <v>1700945</v>
      </c>
      <c r="L2243" s="13" t="n">
        <v>233355</v>
      </c>
      <c r="M2243" s="0" t="s">
        <v>52</v>
      </c>
      <c r="N2243" s="0" t="s">
        <v>45</v>
      </c>
      <c r="P2243" s="13" t="n">
        <v>113</v>
      </c>
      <c r="Q2243" s="0" t="s">
        <v>46</v>
      </c>
      <c r="R2243" s="0" t="s">
        <v>47</v>
      </c>
      <c r="S2243" s="13" t="n">
        <v>1130101</v>
      </c>
      <c r="T2243" s="0" t="s">
        <v>48</v>
      </c>
      <c r="U2243" s="15" t="n">
        <v>902.13</v>
      </c>
      <c r="W2243" s="15" t="n">
        <v>902.13</v>
      </c>
      <c r="X2243" s="0" t="s">
        <v>1859</v>
      </c>
      <c r="Z2243" s="0" t="str">
        <f aca="false">IF($T2243="","",IFERROR(INDEX('Resumo Grupos'!$AC$3:$AC$200,MATCH($T2243,'Resumo Grupos'!$AB$3:$AB$200,0)),"n/d"))</f>
        <v>Mercadoria</v>
      </c>
      <c r="AA2243" s="0" t="str">
        <f aca="false">IF($T2243="","",IF(COUNTIF('Resumo Grupos'!$AE$3:$AE$40,$T2243)&gt;0,"NAO","SIM"))</f>
        <v>SIM</v>
      </c>
      <c r="AB2243" s="0" t="str">
        <f aca="false">IFERROR(INDEX('Mov Entradas (Rel 10497)'!$L:$L,MATCH(AC2243,'Mov Entradas (Rel 10497)'!$I:$I,0)),"nao encontrado")</f>
        <v>FIGADO BOVINO KG</v>
      </c>
      <c r="AC2243" s="0" t="n">
        <v>5600</v>
      </c>
    </row>
    <row r="2244" customFormat="false" ht="12.75" hidden="false" customHeight="true" outlineLevel="0" collapsed="false">
      <c r="A2244" s="13" t="n">
        <v>2</v>
      </c>
      <c r="B2244" s="14" t="n">
        <v>46291</v>
      </c>
      <c r="C2244" s="14" t="n">
        <v>46291</v>
      </c>
      <c r="D2244" s="13" t="n">
        <v>10096</v>
      </c>
      <c r="E2244" s="0" t="s">
        <v>622</v>
      </c>
      <c r="F2244" s="13" t="n">
        <v>13</v>
      </c>
      <c r="G2244" s="0" t="s">
        <v>135</v>
      </c>
      <c r="H2244" s="13" t="n">
        <v>2110405</v>
      </c>
      <c r="I2244" s="0" t="s">
        <v>56</v>
      </c>
      <c r="J2244" s="13" t="n">
        <v>1768659</v>
      </c>
      <c r="L2244" s="13" t="n">
        <v>243487</v>
      </c>
      <c r="M2244" s="0" t="s">
        <v>52</v>
      </c>
      <c r="N2244" s="0" t="s">
        <v>45</v>
      </c>
      <c r="P2244" s="13" t="n">
        <v>113</v>
      </c>
      <c r="Q2244" s="0" t="s">
        <v>46</v>
      </c>
      <c r="R2244" s="0" t="s">
        <v>47</v>
      </c>
      <c r="S2244" s="13" t="n">
        <v>1130101</v>
      </c>
      <c r="T2244" s="0" t="s">
        <v>48</v>
      </c>
      <c r="U2244" s="15" t="n">
        <v>120</v>
      </c>
      <c r="W2244" s="15" t="n">
        <v>120</v>
      </c>
      <c r="X2244" s="0" t="s">
        <v>1860</v>
      </c>
      <c r="Z2244" s="0" t="str">
        <f aca="false">IF($T2244="","",IFERROR(INDEX('Resumo Grupos'!$AC$3:$AC$200,MATCH($T2244,'Resumo Grupos'!$AB$3:$AB$200,0)),"n/d"))</f>
        <v>Mercadoria</v>
      </c>
      <c r="AA2244" s="0" t="str">
        <f aca="false">IF($T2244="","",IF(COUNTIF('Resumo Grupos'!$AE$3:$AE$40,$T2244)&gt;0,"NAO","SIM"))</f>
        <v>SIM</v>
      </c>
      <c r="AB2244" s="0" t="str">
        <f aca="false">IFERROR(INDEX('Mov Entradas (Rel 10497)'!$L:$L,MATCH(AC2244,'Mov Entradas (Rel 10497)'!$I:$I,0)),"nao encontrado")</f>
        <v>BOLO MIYAZAKI GRANDE</v>
      </c>
      <c r="AC2244" s="0" t="n">
        <v>339</v>
      </c>
    </row>
    <row r="2245" customFormat="false" ht="12.75" hidden="false" customHeight="true" outlineLevel="0" collapsed="false">
      <c r="A2245" s="13" t="n">
        <v>2</v>
      </c>
      <c r="B2245" s="14" t="n">
        <v>46284</v>
      </c>
      <c r="C2245" s="14" t="n">
        <v>46291</v>
      </c>
      <c r="D2245" s="13" t="n">
        <v>1625</v>
      </c>
      <c r="E2245" s="0" t="s">
        <v>270</v>
      </c>
      <c r="F2245" s="13" t="n">
        <v>24</v>
      </c>
      <c r="G2245" s="0" t="s">
        <v>51</v>
      </c>
      <c r="H2245" s="13" t="n">
        <v>2110405</v>
      </c>
      <c r="I2245" s="0" t="s">
        <v>56</v>
      </c>
      <c r="J2245" s="13" t="n">
        <v>1724311</v>
      </c>
      <c r="L2245" s="13" t="n">
        <v>237154</v>
      </c>
      <c r="M2245" s="0" t="s">
        <v>52</v>
      </c>
      <c r="N2245" s="0" t="s">
        <v>45</v>
      </c>
      <c r="P2245" s="13" t="n">
        <v>113</v>
      </c>
      <c r="Q2245" s="0" t="s">
        <v>46</v>
      </c>
      <c r="R2245" s="0" t="s">
        <v>47</v>
      </c>
      <c r="S2245" s="13" t="n">
        <v>1130101</v>
      </c>
      <c r="T2245" s="0" t="s">
        <v>48</v>
      </c>
      <c r="U2245" s="15" t="n">
        <v>672</v>
      </c>
      <c r="W2245" s="15" t="n">
        <v>672</v>
      </c>
      <c r="X2245" s="0" t="s">
        <v>1861</v>
      </c>
      <c r="Z2245" s="0" t="str">
        <f aca="false">IF($T2245="","",IFERROR(INDEX('Resumo Grupos'!$AC$3:$AC$200,MATCH($T2245,'Resumo Grupos'!$AB$3:$AB$200,0)),"n/d"))</f>
        <v>Mercadoria</v>
      </c>
      <c r="AA2245" s="0" t="str">
        <f aca="false">IF($T2245="","",IF(COUNTIF('Resumo Grupos'!$AE$3:$AE$40,$T2245)&gt;0,"NAO","SIM"))</f>
        <v>SIM</v>
      </c>
      <c r="AB2245" s="0" t="str">
        <f aca="false">IFERROR(INDEX('Mov Entradas (Rel 10497)'!$L:$L,MATCH(AC2245,'Mov Entradas (Rel 10497)'!$I:$I,0)),"nao encontrado")</f>
        <v>TRASEIRO DE BOI - BISTECA</v>
      </c>
      <c r="AC2245" s="0" t="n">
        <v>15408</v>
      </c>
    </row>
    <row r="2246" customFormat="false" ht="12.75" hidden="false" customHeight="true" outlineLevel="0" collapsed="false">
      <c r="A2246" s="13" t="n">
        <v>2</v>
      </c>
      <c r="B2246" s="14" t="n">
        <v>46286</v>
      </c>
      <c r="C2246" s="14" t="n">
        <v>46291</v>
      </c>
      <c r="D2246" s="13" t="n">
        <v>1625</v>
      </c>
      <c r="E2246" s="0" t="s">
        <v>270</v>
      </c>
      <c r="F2246" s="13" t="n">
        <v>24</v>
      </c>
      <c r="G2246" s="0" t="s">
        <v>51</v>
      </c>
      <c r="H2246" s="13" t="n">
        <v>2110405</v>
      </c>
      <c r="I2246" s="0" t="s">
        <v>56</v>
      </c>
      <c r="J2246" s="13" t="n">
        <v>1734947</v>
      </c>
      <c r="L2246" s="13" t="n">
        <v>238577</v>
      </c>
      <c r="M2246" s="0" t="s">
        <v>52</v>
      </c>
      <c r="N2246" s="0" t="s">
        <v>45</v>
      </c>
      <c r="P2246" s="13" t="n">
        <v>113</v>
      </c>
      <c r="Q2246" s="0" t="s">
        <v>46</v>
      </c>
      <c r="R2246" s="0" t="s">
        <v>47</v>
      </c>
      <c r="S2246" s="13" t="n">
        <v>1130101</v>
      </c>
      <c r="T2246" s="0" t="s">
        <v>48</v>
      </c>
      <c r="U2246" s="15" t="n">
        <v>4506.6</v>
      </c>
      <c r="W2246" s="15" t="n">
        <v>4506.6</v>
      </c>
      <c r="X2246" s="0" t="s">
        <v>1862</v>
      </c>
      <c r="Z2246" s="0" t="str">
        <f aca="false">IF($T2246="","",IFERROR(INDEX('Resumo Grupos'!$AC$3:$AC$200,MATCH($T2246,'Resumo Grupos'!$AB$3:$AB$200,0)),"n/d"))</f>
        <v>Mercadoria</v>
      </c>
      <c r="AA2246" s="0" t="str">
        <f aca="false">IF($T2246="","",IF(COUNTIF('Resumo Grupos'!$AE$3:$AE$40,$T2246)&gt;0,"NAO","SIM"))</f>
        <v>SIM</v>
      </c>
      <c r="AB2246" s="0" t="str">
        <f aca="false">IFERROR(INDEX('Mov Entradas (Rel 10497)'!$L:$L,MATCH(AC2246,'Mov Entradas (Rel 10497)'!$I:$I,0)),"nao encontrado")</f>
        <v>TRASEIRO DE BOI L1</v>
      </c>
      <c r="AC2246" s="0" t="n">
        <v>15417</v>
      </c>
    </row>
    <row r="2247" customFormat="false" ht="12.75" hidden="false" customHeight="true" outlineLevel="0" collapsed="false">
      <c r="A2247" s="13" t="n">
        <v>2</v>
      </c>
      <c r="B2247" s="14" t="n">
        <v>46291</v>
      </c>
      <c r="C2247" s="14" t="n">
        <v>46291</v>
      </c>
      <c r="D2247" s="13" t="n">
        <v>0</v>
      </c>
      <c r="E2247" s="0" t="s">
        <v>109</v>
      </c>
      <c r="F2247" s="13" t="n">
        <v>17</v>
      </c>
      <c r="G2247" s="0" t="s">
        <v>110</v>
      </c>
      <c r="H2247" s="13" t="n">
        <v>1110101</v>
      </c>
      <c r="I2247" s="0" t="s">
        <v>111</v>
      </c>
      <c r="J2247" s="13" t="n">
        <v>1769479</v>
      </c>
      <c r="L2247" s="13" t="n">
        <v>1769479</v>
      </c>
      <c r="M2247" s="0" t="s">
        <v>52</v>
      </c>
      <c r="N2247" s="0" t="s">
        <v>112</v>
      </c>
      <c r="P2247" s="13" t="n">
        <v>113</v>
      </c>
      <c r="Q2247" s="0" t="s">
        <v>46</v>
      </c>
      <c r="R2247" s="0" t="s">
        <v>71</v>
      </c>
      <c r="S2247" s="13" t="n">
        <v>4210314</v>
      </c>
      <c r="T2247" s="0" t="s">
        <v>113</v>
      </c>
      <c r="U2247" s="15" t="n">
        <v>50</v>
      </c>
      <c r="W2247" s="15" t="n">
        <v>50</v>
      </c>
      <c r="X2247" s="0" t="s">
        <v>368</v>
      </c>
      <c r="Z2247" s="0" t="str">
        <f aca="false">IF($T2247="","",IFERROR(INDEX('Resumo Grupos'!$AC$3:$AC$200,MATCH($T2247,'Resumo Grupos'!$AB$3:$AB$200,0)),"n/d"))</f>
        <v>Despesa</v>
      </c>
      <c r="AA2247" s="0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3" t="n">
        <v>2</v>
      </c>
      <c r="B2248" s="14" t="n">
        <v>46291</v>
      </c>
      <c r="C2248" s="14" t="n">
        <v>46291</v>
      </c>
      <c r="D2248" s="13" t="n">
        <v>0</v>
      </c>
      <c r="E2248" s="0" t="s">
        <v>109</v>
      </c>
      <c r="F2248" s="13" t="n">
        <v>17</v>
      </c>
      <c r="G2248" s="0" t="s">
        <v>110</v>
      </c>
      <c r="H2248" s="13" t="n">
        <v>1110101</v>
      </c>
      <c r="I2248" s="0" t="s">
        <v>111</v>
      </c>
      <c r="J2248" s="13" t="n">
        <v>1769480</v>
      </c>
      <c r="L2248" s="13" t="n">
        <v>1769480</v>
      </c>
      <c r="M2248" s="0" t="s">
        <v>52</v>
      </c>
      <c r="N2248" s="0" t="s">
        <v>112</v>
      </c>
      <c r="P2248" s="13" t="n">
        <v>113</v>
      </c>
      <c r="Q2248" s="0" t="s">
        <v>46</v>
      </c>
      <c r="R2248" s="0" t="s">
        <v>71</v>
      </c>
      <c r="S2248" s="13" t="n">
        <v>4210316</v>
      </c>
      <c r="T2248" s="0" t="s">
        <v>159</v>
      </c>
      <c r="U2248" s="15" t="n">
        <v>100</v>
      </c>
      <c r="W2248" s="15" t="n">
        <v>100</v>
      </c>
      <c r="X2248" s="0" t="s">
        <v>1807</v>
      </c>
      <c r="Z2248" s="0" t="str">
        <f aca="false">IF($T2248="","",IFERROR(INDEX('Resumo Grupos'!$AC$3:$AC$200,MATCH($T2248,'Resumo Grupos'!$AB$3:$AB$200,0)),"n/d"))</f>
        <v>Salários</v>
      </c>
      <c r="AA2248" s="0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3" t="n">
        <v>2</v>
      </c>
      <c r="B2249" s="14" t="n">
        <v>46291</v>
      </c>
      <c r="C2249" s="14" t="n">
        <v>46291</v>
      </c>
      <c r="D2249" s="13" t="n">
        <v>0</v>
      </c>
      <c r="E2249" s="0" t="s">
        <v>109</v>
      </c>
      <c r="F2249" s="13" t="n">
        <v>17</v>
      </c>
      <c r="G2249" s="0" t="s">
        <v>110</v>
      </c>
      <c r="H2249" s="13" t="n">
        <v>1110101</v>
      </c>
      <c r="I2249" s="0" t="s">
        <v>111</v>
      </c>
      <c r="J2249" s="13" t="n">
        <v>1769482</v>
      </c>
      <c r="L2249" s="13" t="n">
        <v>1769482</v>
      </c>
      <c r="M2249" s="0" t="s">
        <v>52</v>
      </c>
      <c r="N2249" s="0" t="s">
        <v>112</v>
      </c>
      <c r="P2249" s="13" t="n">
        <v>113</v>
      </c>
      <c r="Q2249" s="0" t="s">
        <v>46</v>
      </c>
      <c r="R2249" s="0" t="s">
        <v>71</v>
      </c>
      <c r="S2249" s="13" t="n">
        <v>4210309</v>
      </c>
      <c r="T2249" s="0" t="s">
        <v>72</v>
      </c>
      <c r="U2249" s="15" t="n">
        <v>10</v>
      </c>
      <c r="W2249" s="15" t="n">
        <v>10</v>
      </c>
      <c r="X2249" s="0" t="s">
        <v>1552</v>
      </c>
      <c r="Z2249" s="0" t="str">
        <f aca="false">IF($T2249="","",IFERROR(INDEX('Resumo Grupos'!$AC$3:$AC$200,MATCH($T2249,'Resumo Grupos'!$AB$3:$AB$200,0)),"n/d"))</f>
        <v>Salários</v>
      </c>
      <c r="AA2249" s="0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3" t="n">
        <v>2</v>
      </c>
      <c r="B2250" s="14" t="n">
        <v>46291</v>
      </c>
      <c r="C2250" s="14" t="n">
        <v>46291</v>
      </c>
      <c r="D2250" s="13" t="n">
        <v>0</v>
      </c>
      <c r="E2250" s="0" t="s">
        <v>109</v>
      </c>
      <c r="F2250" s="13" t="n">
        <v>17</v>
      </c>
      <c r="G2250" s="0" t="s">
        <v>110</v>
      </c>
      <c r="H2250" s="13" t="n">
        <v>1110101</v>
      </c>
      <c r="I2250" s="0" t="s">
        <v>111</v>
      </c>
      <c r="J2250" s="13" t="n">
        <v>1769484</v>
      </c>
      <c r="L2250" s="13" t="n">
        <v>1769484</v>
      </c>
      <c r="M2250" s="0" t="s">
        <v>52</v>
      </c>
      <c r="N2250" s="0" t="s">
        <v>112</v>
      </c>
      <c r="P2250" s="13" t="n">
        <v>113</v>
      </c>
      <c r="Q2250" s="0" t="s">
        <v>46</v>
      </c>
      <c r="R2250" s="0" t="s">
        <v>71</v>
      </c>
      <c r="S2250" s="13" t="n">
        <v>4210314</v>
      </c>
      <c r="T2250" s="0" t="s">
        <v>113</v>
      </c>
      <c r="U2250" s="15" t="n">
        <v>50</v>
      </c>
      <c r="W2250" s="15" t="n">
        <v>50</v>
      </c>
      <c r="X2250" s="0" t="s">
        <v>187</v>
      </c>
      <c r="Z2250" s="0" t="str">
        <f aca="false">IF($T2250="","",IFERROR(INDEX('Resumo Grupos'!$AC$3:$AC$200,MATCH($T2250,'Resumo Grupos'!$AB$3:$AB$200,0)),"n/d"))</f>
        <v>Despesa</v>
      </c>
      <c r="AA2250" s="0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3" t="n">
        <v>2</v>
      </c>
      <c r="B2251" s="14" t="n">
        <v>46291</v>
      </c>
      <c r="C2251" s="14" t="n">
        <v>46291</v>
      </c>
      <c r="D2251" s="13" t="n">
        <v>0</v>
      </c>
      <c r="E2251" s="0" t="s">
        <v>109</v>
      </c>
      <c r="F2251" s="13" t="n">
        <v>17</v>
      </c>
      <c r="G2251" s="0" t="s">
        <v>110</v>
      </c>
      <c r="H2251" s="13" t="n">
        <v>1110101</v>
      </c>
      <c r="I2251" s="0" t="s">
        <v>111</v>
      </c>
      <c r="J2251" s="13" t="n">
        <v>1769488</v>
      </c>
      <c r="L2251" s="13" t="n">
        <v>1769488</v>
      </c>
      <c r="M2251" s="0" t="s">
        <v>52</v>
      </c>
      <c r="N2251" s="0" t="s">
        <v>112</v>
      </c>
      <c r="P2251" s="13" t="n">
        <v>113</v>
      </c>
      <c r="Q2251" s="0" t="s">
        <v>46</v>
      </c>
      <c r="R2251" s="0" t="s">
        <v>56</v>
      </c>
      <c r="S2251" s="13" t="n">
        <v>2110405</v>
      </c>
      <c r="T2251" s="0" t="s">
        <v>56</v>
      </c>
      <c r="U2251" s="15" t="n">
        <v>120</v>
      </c>
      <c r="W2251" s="15" t="n">
        <v>120</v>
      </c>
      <c r="X2251" s="0" t="s">
        <v>1863</v>
      </c>
      <c r="Z2251" s="0" t="str">
        <f aca="false">IF($T2251="","",IFERROR(INDEX('Resumo Grupos'!$AC$3:$AC$200,MATCH($T2251,'Resumo Grupos'!$AB$3:$AB$200,0)),"n/d"))</f>
        <v>Cobertura de conta</v>
      </c>
      <c r="AA2251" s="0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3" t="n">
        <v>2</v>
      </c>
      <c r="B2252" s="14" t="n">
        <v>46291</v>
      </c>
      <c r="C2252" s="14" t="n">
        <v>46291</v>
      </c>
      <c r="D2252" s="13" t="n">
        <v>0</v>
      </c>
      <c r="E2252" s="0" t="s">
        <v>109</v>
      </c>
      <c r="F2252" s="13" t="n">
        <v>17</v>
      </c>
      <c r="G2252" s="0" t="s">
        <v>110</v>
      </c>
      <c r="H2252" s="13" t="n">
        <v>1110101</v>
      </c>
      <c r="I2252" s="0" t="s">
        <v>111</v>
      </c>
      <c r="J2252" s="13" t="n">
        <v>1769500</v>
      </c>
      <c r="L2252" s="13" t="n">
        <v>1769500</v>
      </c>
      <c r="M2252" s="0" t="s">
        <v>52</v>
      </c>
      <c r="N2252" s="0" t="s">
        <v>112</v>
      </c>
      <c r="P2252" s="13" t="n">
        <v>113</v>
      </c>
      <c r="Q2252" s="0" t="s">
        <v>46</v>
      </c>
      <c r="R2252" s="0" t="s">
        <v>562</v>
      </c>
      <c r="S2252" s="13" t="n">
        <v>1120602</v>
      </c>
      <c r="T2252" s="0" t="s">
        <v>563</v>
      </c>
      <c r="U2252" s="15" t="n">
        <v>100</v>
      </c>
      <c r="W2252" s="15" t="n">
        <v>100</v>
      </c>
      <c r="X2252" s="0" t="s">
        <v>564</v>
      </c>
      <c r="Z2252" s="0" t="str">
        <f aca="false">IF($T2252="","",IFERROR(INDEX('Resumo Grupos'!$AC$3:$AC$200,MATCH($T2252,'Resumo Grupos'!$AB$3:$AB$200,0)),"n/d"))</f>
        <v>Salários</v>
      </c>
      <c r="AA2252" s="0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3" t="n">
        <v>2</v>
      </c>
      <c r="B2253" s="14" t="n">
        <v>46292</v>
      </c>
      <c r="C2253" s="14" t="n">
        <v>46292</v>
      </c>
      <c r="D2253" s="13" t="n">
        <v>0</v>
      </c>
      <c r="E2253" s="0" t="s">
        <v>109</v>
      </c>
      <c r="F2253" s="13" t="n">
        <v>17</v>
      </c>
      <c r="G2253" s="0" t="s">
        <v>110</v>
      </c>
      <c r="H2253" s="13" t="n">
        <v>1110101</v>
      </c>
      <c r="I2253" s="0" t="s">
        <v>111</v>
      </c>
      <c r="J2253" s="13" t="n">
        <v>1769520</v>
      </c>
      <c r="L2253" s="13" t="n">
        <v>1769520</v>
      </c>
      <c r="M2253" s="0" t="s">
        <v>52</v>
      </c>
      <c r="N2253" s="0" t="s">
        <v>112</v>
      </c>
      <c r="P2253" s="13" t="n">
        <v>113</v>
      </c>
      <c r="Q2253" s="0" t="s">
        <v>46</v>
      </c>
      <c r="R2253" s="0" t="s">
        <v>71</v>
      </c>
      <c r="S2253" s="13" t="n">
        <v>4210310</v>
      </c>
      <c r="T2253" s="0" t="s">
        <v>126</v>
      </c>
      <c r="U2253" s="15" t="n">
        <v>98</v>
      </c>
      <c r="W2253" s="15" t="n">
        <v>98</v>
      </c>
      <c r="X2253" s="0" t="s">
        <v>1864</v>
      </c>
      <c r="Z2253" s="0" t="str">
        <f aca="false">IF($T2253="","",IFERROR(INDEX('Resumo Grupos'!$AC$3:$AC$200,MATCH($T2253,'Resumo Grupos'!$AB$3:$AB$200,0)),"n/d"))</f>
        <v>Despesa</v>
      </c>
      <c r="AA2253" s="0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3" t="n">
        <v>2</v>
      </c>
      <c r="B2254" s="14" t="n">
        <v>46292</v>
      </c>
      <c r="C2254" s="14" t="n">
        <v>46292</v>
      </c>
      <c r="D2254" s="13" t="n">
        <v>0</v>
      </c>
      <c r="E2254" s="0" t="s">
        <v>109</v>
      </c>
      <c r="F2254" s="13" t="n">
        <v>17</v>
      </c>
      <c r="G2254" s="0" t="s">
        <v>110</v>
      </c>
      <c r="H2254" s="13" t="n">
        <v>1110101</v>
      </c>
      <c r="I2254" s="0" t="s">
        <v>111</v>
      </c>
      <c r="J2254" s="13" t="n">
        <v>1769521</v>
      </c>
      <c r="L2254" s="13" t="n">
        <v>1769521</v>
      </c>
      <c r="M2254" s="0" t="s">
        <v>52</v>
      </c>
      <c r="N2254" s="0" t="s">
        <v>112</v>
      </c>
      <c r="P2254" s="13" t="n">
        <v>113</v>
      </c>
      <c r="Q2254" s="0" t="s">
        <v>46</v>
      </c>
      <c r="R2254" s="0" t="s">
        <v>71</v>
      </c>
      <c r="S2254" s="13" t="n">
        <v>4210314</v>
      </c>
      <c r="T2254" s="0" t="s">
        <v>113</v>
      </c>
      <c r="U2254" s="15" t="n">
        <v>70</v>
      </c>
      <c r="W2254" s="15" t="n">
        <v>70</v>
      </c>
      <c r="X2254" s="0" t="s">
        <v>368</v>
      </c>
      <c r="Z2254" s="0" t="str">
        <f aca="false">IF($T2254="","",IFERROR(INDEX('Resumo Grupos'!$AC$3:$AC$200,MATCH($T2254,'Resumo Grupos'!$AB$3:$AB$200,0)),"n/d"))</f>
        <v>Despesa</v>
      </c>
      <c r="AA2254" s="0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3" t="n">
        <v>2</v>
      </c>
      <c r="B2255" s="14" t="n">
        <v>46281</v>
      </c>
      <c r="C2255" s="14" t="n">
        <v>46293</v>
      </c>
      <c r="D2255" s="13" t="n">
        <v>1664</v>
      </c>
      <c r="E2255" s="0" t="s">
        <v>825</v>
      </c>
      <c r="F2255" s="13" t="n">
        <v>24</v>
      </c>
      <c r="G2255" s="0" t="s">
        <v>51</v>
      </c>
      <c r="H2255" s="13" t="n">
        <v>2110405</v>
      </c>
      <c r="I2255" s="0" t="s">
        <v>56</v>
      </c>
      <c r="J2255" s="13" t="n">
        <v>1710582</v>
      </c>
      <c r="L2255" s="13" t="n">
        <v>234930</v>
      </c>
      <c r="M2255" s="0" t="s">
        <v>52</v>
      </c>
      <c r="N2255" s="0" t="s">
        <v>45</v>
      </c>
      <c r="P2255" s="13" t="n">
        <v>113</v>
      </c>
      <c r="Q2255" s="0" t="s">
        <v>46</v>
      </c>
      <c r="R2255" s="0" t="s">
        <v>47</v>
      </c>
      <c r="S2255" s="13" t="n">
        <v>1130101</v>
      </c>
      <c r="T2255" s="0" t="s">
        <v>48</v>
      </c>
      <c r="U2255" s="15" t="n">
        <v>488.94</v>
      </c>
      <c r="W2255" s="15" t="n">
        <v>488.94</v>
      </c>
      <c r="X2255" s="0" t="s">
        <v>1865</v>
      </c>
      <c r="Z2255" s="0" t="str">
        <f aca="false">IF($T2255="","",IFERROR(INDEX('Resumo Grupos'!$AC$3:$AC$200,MATCH($T2255,'Resumo Grupos'!$AB$3:$AB$200,0)),"n/d"))</f>
        <v>Mercadoria</v>
      </c>
      <c r="AA2255" s="0" t="str">
        <f aca="false">IF($T2255="","",IF(COUNTIF('Resumo Grupos'!$AE$3:$AE$40,$T2255)&gt;0,"NAO","SIM"))</f>
        <v>SIM</v>
      </c>
      <c r="AB2255" s="0" t="str">
        <f aca="false">IFERROR(INDEX('Mov Entradas (Rel 10497)'!$L:$L,MATCH(AC2255,'Mov Entradas (Rel 10497)'!$I:$I,0)),"nao encontrado")</f>
        <v>ENERGETICO BALLY TRAD 2L</v>
      </c>
      <c r="AC2255" s="0" t="n">
        <v>81837</v>
      </c>
    </row>
    <row r="2256" customFormat="false" ht="12.75" hidden="false" customHeight="true" outlineLevel="0" collapsed="false">
      <c r="A2256" s="13" t="n">
        <v>2</v>
      </c>
      <c r="B2256" s="14" t="n">
        <v>46265</v>
      </c>
      <c r="C2256" s="14" t="n">
        <v>46293</v>
      </c>
      <c r="D2256" s="13" t="n">
        <v>1637</v>
      </c>
      <c r="E2256" s="0" t="s">
        <v>871</v>
      </c>
      <c r="F2256" s="13" t="n">
        <v>24</v>
      </c>
      <c r="G2256" s="0" t="s">
        <v>51</v>
      </c>
      <c r="H2256" s="13" t="n">
        <v>2110405</v>
      </c>
      <c r="I2256" s="0" t="s">
        <v>56</v>
      </c>
      <c r="J2256" s="13" t="n">
        <v>1629204</v>
      </c>
      <c r="L2256" s="13" t="n">
        <v>223450</v>
      </c>
      <c r="M2256" s="0" t="s">
        <v>52</v>
      </c>
      <c r="N2256" s="0" t="s">
        <v>45</v>
      </c>
      <c r="P2256" s="13" t="n">
        <v>113</v>
      </c>
      <c r="Q2256" s="0" t="s">
        <v>46</v>
      </c>
      <c r="R2256" s="0" t="s">
        <v>47</v>
      </c>
      <c r="S2256" s="13" t="n">
        <v>1130101</v>
      </c>
      <c r="T2256" s="0" t="s">
        <v>48</v>
      </c>
      <c r="U2256" s="15" t="n">
        <v>1348.29</v>
      </c>
      <c r="W2256" s="15" t="n">
        <v>1348.29</v>
      </c>
      <c r="X2256" s="0" t="s">
        <v>1866</v>
      </c>
      <c r="Z2256" s="0" t="str">
        <f aca="false">IF($T2256="","",IFERROR(INDEX('Resumo Grupos'!$AC$3:$AC$200,MATCH($T2256,'Resumo Grupos'!$AB$3:$AB$200,0)),"n/d"))</f>
        <v>Mercadoria</v>
      </c>
      <c r="AA2256" s="0" t="str">
        <f aca="false">IF($T2256="","",IF(COUNTIF('Resumo Grupos'!$AE$3:$AE$40,$T2256)&gt;0,"NAO","SIM"))</f>
        <v>SIM</v>
      </c>
      <c r="AB2256" s="0" t="str">
        <f aca="false">IFERROR(INDEX('Mov Entradas (Rel 10497)'!$L:$L,MATCH(AC2256,'Mov Entradas (Rel 10497)'!$I:$I,0)),"nao encontrado")</f>
        <v>LEITE NINHO INTEGRAL380G LT</v>
      </c>
      <c r="AC2256" s="0" t="n">
        <v>1927745</v>
      </c>
    </row>
    <row r="2257" customFormat="false" ht="12.75" hidden="false" customHeight="true" outlineLevel="0" collapsed="false">
      <c r="A2257" s="13" t="n">
        <v>2</v>
      </c>
      <c r="B2257" s="14" t="n">
        <v>46283</v>
      </c>
      <c r="C2257" s="14" t="n">
        <v>46293</v>
      </c>
      <c r="D2257" s="13" t="n">
        <v>1621</v>
      </c>
      <c r="E2257" s="0" t="s">
        <v>232</v>
      </c>
      <c r="F2257" s="13" t="n">
        <v>24</v>
      </c>
      <c r="G2257" s="0" t="s">
        <v>51</v>
      </c>
      <c r="H2257" s="13" t="n">
        <v>2110405</v>
      </c>
      <c r="I2257" s="0" t="s">
        <v>56</v>
      </c>
      <c r="J2257" s="13" t="n">
        <v>1721111</v>
      </c>
      <c r="L2257" s="13" t="n">
        <v>236747</v>
      </c>
      <c r="M2257" s="0" t="s">
        <v>52</v>
      </c>
      <c r="N2257" s="0" t="s">
        <v>45</v>
      </c>
      <c r="P2257" s="13" t="n">
        <v>113</v>
      </c>
      <c r="Q2257" s="0" t="s">
        <v>46</v>
      </c>
      <c r="R2257" s="0" t="s">
        <v>47</v>
      </c>
      <c r="S2257" s="13" t="n">
        <v>1130101</v>
      </c>
      <c r="T2257" s="0" t="s">
        <v>48</v>
      </c>
      <c r="U2257" s="15" t="n">
        <v>911.04</v>
      </c>
      <c r="W2257" s="15" t="n">
        <v>911.04</v>
      </c>
      <c r="X2257" s="0" t="s">
        <v>1867</v>
      </c>
      <c r="Z2257" s="0" t="str">
        <f aca="false">IF($T2257="","",IFERROR(INDEX('Resumo Grupos'!$AC$3:$AC$200,MATCH($T2257,'Resumo Grupos'!$AB$3:$AB$200,0)),"n/d"))</f>
        <v>Mercadoria</v>
      </c>
      <c r="AA2257" s="0" t="str">
        <f aca="false">IF($T2257="","",IF(COUNTIF('Resumo Grupos'!$AE$3:$AE$40,$T2257)&gt;0,"NAO","SIM"))</f>
        <v>SIM</v>
      </c>
      <c r="AB2257" s="0" t="str">
        <f aca="false">IFERROR(INDEX('Mov Entradas (Rel 10497)'!$L:$L,MATCH(AC2257,'Mov Entradas (Rel 10497)'!$I:$I,0)),"nao encontrado")</f>
        <v>CERV BRAHMA ZERO 350ML</v>
      </c>
      <c r="AC2257" s="0" t="n">
        <v>16306</v>
      </c>
    </row>
    <row r="2258" customFormat="false" ht="12.75" hidden="false" customHeight="true" outlineLevel="0" collapsed="false">
      <c r="A2258" s="13" t="n">
        <v>2</v>
      </c>
      <c r="B2258" s="14" t="n">
        <v>46266</v>
      </c>
      <c r="C2258" s="14" t="n">
        <v>46293</v>
      </c>
      <c r="D2258" s="13" t="n">
        <v>794</v>
      </c>
      <c r="E2258" s="0" t="s">
        <v>335</v>
      </c>
      <c r="F2258" s="13" t="n">
        <v>24</v>
      </c>
      <c r="G2258" s="0" t="s">
        <v>51</v>
      </c>
      <c r="H2258" s="13" t="n">
        <v>2110405</v>
      </c>
      <c r="I2258" s="0" t="s">
        <v>56</v>
      </c>
      <c r="J2258" s="13" t="n">
        <v>1633937</v>
      </c>
      <c r="L2258" s="13" t="n">
        <v>224236</v>
      </c>
      <c r="M2258" s="0" t="s">
        <v>52</v>
      </c>
      <c r="N2258" s="0" t="s">
        <v>45</v>
      </c>
      <c r="P2258" s="13" t="n">
        <v>113</v>
      </c>
      <c r="Q2258" s="0" t="s">
        <v>46</v>
      </c>
      <c r="R2258" s="0" t="s">
        <v>39</v>
      </c>
      <c r="S2258" s="13" t="n">
        <v>4210299</v>
      </c>
      <c r="T2258" s="0" t="s">
        <v>165</v>
      </c>
      <c r="U2258" s="15" t="n">
        <v>1332.55</v>
      </c>
      <c r="W2258" s="15" t="n">
        <v>1332.55</v>
      </c>
      <c r="X2258" s="0" t="s">
        <v>1716</v>
      </c>
      <c r="Z2258" s="0" t="str">
        <f aca="false">IF($T2258="","",IFERROR(INDEX('Resumo Grupos'!$AC$3:$AC$200,MATCH($T2258,'Resumo Grupos'!$AB$3:$AB$200,0)),"n/d"))</f>
        <v>Despesa</v>
      </c>
      <c r="AA2258" s="0" t="str">
        <f aca="false">IF($T2258="","",IF(COUNTIF('Resumo Grupos'!$AE$3:$AE$40,$T2258)&gt;0,"NAO","SIM"))</f>
        <v>SIM</v>
      </c>
      <c r="AB2258" s="0" t="str">
        <f aca="false">IFERROR(INDEX('Mov Entradas (Rel 10497)'!$L:$L,MATCH(AC2258,'Mov Entradas (Rel 10497)'!$I:$I,0)),"nao encontrado")</f>
        <v>SACOLA BRC. L. ALIP.</v>
      </c>
      <c r="AC2258" s="0" t="n">
        <v>8802</v>
      </c>
    </row>
    <row r="2259" customFormat="false" ht="12.75" hidden="false" customHeight="true" outlineLevel="0" collapsed="false">
      <c r="A2259" s="13" t="n">
        <v>2</v>
      </c>
      <c r="B2259" s="14" t="n">
        <v>46280</v>
      </c>
      <c r="C2259" s="14" t="n">
        <v>46293</v>
      </c>
      <c r="D2259" s="13" t="n">
        <v>10033</v>
      </c>
      <c r="E2259" s="0" t="s">
        <v>668</v>
      </c>
      <c r="F2259" s="13" t="n">
        <v>24</v>
      </c>
      <c r="G2259" s="0" t="s">
        <v>51</v>
      </c>
      <c r="H2259" s="13" t="n">
        <v>2110405</v>
      </c>
      <c r="I2259" s="0" t="s">
        <v>56</v>
      </c>
      <c r="J2259" s="13" t="n">
        <v>1706812</v>
      </c>
      <c r="L2259" s="13" t="n">
        <v>234372</v>
      </c>
      <c r="M2259" s="0" t="s">
        <v>52</v>
      </c>
      <c r="N2259" s="0" t="s">
        <v>45</v>
      </c>
      <c r="P2259" s="13" t="n">
        <v>113</v>
      </c>
      <c r="Q2259" s="0" t="s">
        <v>46</v>
      </c>
      <c r="R2259" s="0" t="s">
        <v>47</v>
      </c>
      <c r="S2259" s="13" t="n">
        <v>1130101</v>
      </c>
      <c r="T2259" s="0" t="s">
        <v>48</v>
      </c>
      <c r="U2259" s="15" t="n">
        <v>322.8</v>
      </c>
      <c r="W2259" s="15" t="n">
        <v>322.8</v>
      </c>
      <c r="X2259" s="0" t="s">
        <v>1868</v>
      </c>
      <c r="Z2259" s="0" t="str">
        <f aca="false">IF($T2259="","",IFERROR(INDEX('Resumo Grupos'!$AC$3:$AC$200,MATCH($T2259,'Resumo Grupos'!$AB$3:$AB$200,0)),"n/d"))</f>
        <v>Mercadoria</v>
      </c>
      <c r="AA2259" s="0" t="str">
        <f aca="false">IF($T2259="","",IF(COUNTIF('Resumo Grupos'!$AE$3:$AE$40,$T2259)&gt;0,"NAO","SIM"))</f>
        <v>SIM</v>
      </c>
      <c r="AB2259" s="0" t="str">
        <f aca="false">IFERROR(INDEX('Mov Entradas (Rel 10497)'!$L:$L,MATCH(AC2259,'Mov Entradas (Rel 10497)'!$I:$I,0)),"nao encontrado")</f>
        <v>DS LEITE D ROSAS 60M</v>
      </c>
      <c r="AC2259" s="0" t="n">
        <v>107635</v>
      </c>
    </row>
    <row r="2260" customFormat="false" ht="12.75" hidden="false" customHeight="true" outlineLevel="0" collapsed="false">
      <c r="A2260" s="13" t="n">
        <v>2</v>
      </c>
      <c r="B2260" s="14" t="n">
        <v>46023</v>
      </c>
      <c r="C2260" s="14" t="n">
        <v>46293</v>
      </c>
      <c r="D2260" s="13" t="n">
        <v>515</v>
      </c>
      <c r="E2260" s="0" t="s">
        <v>137</v>
      </c>
      <c r="F2260" s="13" t="n">
        <v>34</v>
      </c>
      <c r="G2260" s="0" t="s">
        <v>55</v>
      </c>
      <c r="H2260" s="13" t="n">
        <v>2110405</v>
      </c>
      <c r="I2260" s="0" t="s">
        <v>56</v>
      </c>
      <c r="J2260" s="13" t="n">
        <v>1012266</v>
      </c>
      <c r="L2260" s="13" t="n">
        <v>133812</v>
      </c>
      <c r="M2260" s="0" t="s">
        <v>1134</v>
      </c>
      <c r="N2260" s="0" t="s">
        <v>45</v>
      </c>
      <c r="P2260" s="13" t="n">
        <v>101</v>
      </c>
      <c r="Q2260" s="0" t="s">
        <v>57</v>
      </c>
      <c r="R2260" s="0" t="s">
        <v>323</v>
      </c>
      <c r="S2260" s="13" t="n">
        <v>2110901</v>
      </c>
      <c r="T2260" s="0" t="s">
        <v>324</v>
      </c>
      <c r="U2260" s="15" t="n">
        <v>4168.41</v>
      </c>
      <c r="W2260" s="15" t="n">
        <v>4168.41</v>
      </c>
      <c r="X2260" s="0" t="s">
        <v>1869</v>
      </c>
      <c r="Z2260" s="0" t="str">
        <f aca="false">IF($T2260="","",IFERROR(INDEX('Resumo Grupos'!$AC$3:$AC$200,MATCH($T2260,'Resumo Grupos'!$AB$3:$AB$200,0)),"n/d"))</f>
        <v>Empréstimo</v>
      </c>
      <c r="AA2260" s="0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3" t="n">
        <v>2</v>
      </c>
      <c r="B2261" s="14" t="n">
        <v>46290</v>
      </c>
      <c r="C2261" s="14" t="n">
        <v>46293</v>
      </c>
      <c r="D2261" s="13" t="n">
        <v>10035</v>
      </c>
      <c r="E2261" s="0" t="s">
        <v>86</v>
      </c>
      <c r="F2261" s="13" t="n">
        <v>34</v>
      </c>
      <c r="G2261" s="0" t="s">
        <v>55</v>
      </c>
      <c r="H2261" s="13" t="n">
        <v>2110405</v>
      </c>
      <c r="I2261" s="0" t="s">
        <v>56</v>
      </c>
      <c r="J2261" s="13" t="n">
        <v>1756283</v>
      </c>
      <c r="L2261" s="13" t="n">
        <v>241898</v>
      </c>
      <c r="M2261" s="0" t="s">
        <v>52</v>
      </c>
      <c r="N2261" s="0" t="s">
        <v>45</v>
      </c>
      <c r="P2261" s="13" t="n">
        <v>113</v>
      </c>
      <c r="Q2261" s="0" t="s">
        <v>46</v>
      </c>
      <c r="R2261" s="0" t="s">
        <v>47</v>
      </c>
      <c r="S2261" s="13" t="n">
        <v>1130101</v>
      </c>
      <c r="T2261" s="0" t="s">
        <v>48</v>
      </c>
      <c r="U2261" s="15" t="n">
        <v>297</v>
      </c>
      <c r="W2261" s="15" t="n">
        <v>297</v>
      </c>
      <c r="X2261" s="0" t="s">
        <v>1870</v>
      </c>
      <c r="Z2261" s="0" t="str">
        <f aca="false">IF($T2261="","",IFERROR(INDEX('Resumo Grupos'!$AC$3:$AC$200,MATCH($T2261,'Resumo Grupos'!$AB$3:$AB$200,0)),"n/d"))</f>
        <v>Mercadoria</v>
      </c>
      <c r="AA2261" s="0" t="str">
        <f aca="false">IF($T2261="","",IF(COUNTIF('Resumo Grupos'!$AE$3:$AE$40,$T2261)&gt;0,"NAO","SIM"))</f>
        <v>SIM</v>
      </c>
      <c r="AB2261" s="0" t="str">
        <f aca="false">IFERROR(INDEX('Mov Entradas (Rel 10497)'!$L:$L,MATCH(AC2261,'Mov Entradas (Rel 10497)'!$I:$I,0)),"nao encontrado")</f>
        <v>CARVAO VEGETAL 3KG</v>
      </c>
      <c r="AC2261" s="0" t="n">
        <v>452</v>
      </c>
    </row>
    <row r="2262" customFormat="false" ht="12.75" hidden="false" customHeight="true" outlineLevel="0" collapsed="false">
      <c r="A2262" s="13" t="n">
        <v>2</v>
      </c>
      <c r="B2262" s="14" t="n">
        <v>46268</v>
      </c>
      <c r="C2262" s="14" t="n">
        <v>46293</v>
      </c>
      <c r="D2262" s="13" t="n">
        <v>1611</v>
      </c>
      <c r="E2262" s="0" t="s">
        <v>178</v>
      </c>
      <c r="F2262" s="13" t="n">
        <v>24</v>
      </c>
      <c r="G2262" s="0" t="s">
        <v>51</v>
      </c>
      <c r="H2262" s="13" t="n">
        <v>2110101</v>
      </c>
      <c r="I2262" s="0" t="s">
        <v>43</v>
      </c>
      <c r="J2262" s="13" t="n">
        <v>1646259</v>
      </c>
      <c r="L2262" s="13" t="n">
        <v>225906</v>
      </c>
      <c r="M2262" s="0" t="s">
        <v>52</v>
      </c>
      <c r="N2262" s="0" t="s">
        <v>45</v>
      </c>
      <c r="P2262" s="13" t="n">
        <v>113</v>
      </c>
      <c r="Q2262" s="0" t="s">
        <v>46</v>
      </c>
      <c r="R2262" s="0" t="s">
        <v>47</v>
      </c>
      <c r="S2262" s="13" t="n">
        <v>1130101</v>
      </c>
      <c r="T2262" s="0" t="s">
        <v>48</v>
      </c>
      <c r="U2262" s="15" t="n">
        <v>176.57</v>
      </c>
      <c r="W2262" s="15" t="n">
        <v>176.57</v>
      </c>
      <c r="X2262" s="0" t="s">
        <v>1719</v>
      </c>
      <c r="Z2262" s="0" t="str">
        <f aca="false">IF($T2262="","",IFERROR(INDEX('Resumo Grupos'!$AC$3:$AC$200,MATCH($T2262,'Resumo Grupos'!$AB$3:$AB$200,0)),"n/d"))</f>
        <v>Mercadoria</v>
      </c>
      <c r="AA2262" s="0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3" t="n">
        <v>2</v>
      </c>
      <c r="B2263" s="14" t="n">
        <v>46287</v>
      </c>
      <c r="C2263" s="14" t="n">
        <v>46293</v>
      </c>
      <c r="D2263" s="13" t="n">
        <v>1625</v>
      </c>
      <c r="E2263" s="0" t="s">
        <v>270</v>
      </c>
      <c r="F2263" s="13" t="n">
        <v>24</v>
      </c>
      <c r="G2263" s="0" t="s">
        <v>51</v>
      </c>
      <c r="H2263" s="13" t="n">
        <v>2110405</v>
      </c>
      <c r="I2263" s="0" t="s">
        <v>56</v>
      </c>
      <c r="J2263" s="13" t="n">
        <v>1740657</v>
      </c>
      <c r="L2263" s="13" t="n">
        <v>239610</v>
      </c>
      <c r="M2263" s="0" t="s">
        <v>52</v>
      </c>
      <c r="N2263" s="0" t="s">
        <v>45</v>
      </c>
      <c r="P2263" s="13" t="n">
        <v>113</v>
      </c>
      <c r="Q2263" s="0" t="s">
        <v>46</v>
      </c>
      <c r="R2263" s="0" t="s">
        <v>47</v>
      </c>
      <c r="S2263" s="13" t="n">
        <v>1130101</v>
      </c>
      <c r="T2263" s="0" t="s">
        <v>48</v>
      </c>
      <c r="U2263" s="15" t="n">
        <v>2444.8</v>
      </c>
      <c r="W2263" s="15" t="n">
        <v>2444.8</v>
      </c>
      <c r="X2263" s="0" t="s">
        <v>1871</v>
      </c>
      <c r="Z2263" s="0" t="str">
        <f aca="false">IF($T2263="","",IFERROR(INDEX('Resumo Grupos'!$AC$3:$AC$200,MATCH($T2263,'Resumo Grupos'!$AB$3:$AB$200,0)),"n/d"))</f>
        <v>Mercadoria</v>
      </c>
      <c r="AA2263" s="0" t="str">
        <f aca="false">IF($T2263="","",IF(COUNTIF('Resumo Grupos'!$AE$3:$AE$40,$T2263)&gt;0,"NAO","SIM"))</f>
        <v>SIM</v>
      </c>
      <c r="AB2263" s="0" t="str">
        <f aca="false">IFERROR(INDEX('Mov Entradas (Rel 10497)'!$L:$L,MATCH(AC2263,'Mov Entradas (Rel 10497)'!$I:$I,0)),"nao encontrado")</f>
        <v>TRASEIRO DE BOI L1</v>
      </c>
      <c r="AC2263" s="0" t="n">
        <v>15422</v>
      </c>
    </row>
    <row r="2264" customFormat="false" ht="12.75" hidden="false" customHeight="true" outlineLevel="0" collapsed="false">
      <c r="A2264" s="13" t="n">
        <v>2</v>
      </c>
      <c r="B2264" s="14" t="n">
        <v>46279</v>
      </c>
      <c r="C2264" s="14" t="n">
        <v>46293</v>
      </c>
      <c r="D2264" s="13" t="n">
        <v>10009</v>
      </c>
      <c r="E2264" s="0" t="s">
        <v>464</v>
      </c>
      <c r="F2264" s="13" t="n">
        <v>24</v>
      </c>
      <c r="G2264" s="0" t="s">
        <v>51</v>
      </c>
      <c r="H2264" s="13" t="n">
        <v>2110405</v>
      </c>
      <c r="I2264" s="0" t="s">
        <v>56</v>
      </c>
      <c r="J2264" s="13" t="n">
        <v>1702490</v>
      </c>
      <c r="L2264" s="13" t="n">
        <v>233653</v>
      </c>
      <c r="M2264" s="0" t="s">
        <v>52</v>
      </c>
      <c r="N2264" s="0" t="s">
        <v>45</v>
      </c>
      <c r="P2264" s="13" t="n">
        <v>113</v>
      </c>
      <c r="Q2264" s="0" t="s">
        <v>46</v>
      </c>
      <c r="R2264" s="0" t="s">
        <v>47</v>
      </c>
      <c r="S2264" s="13" t="n">
        <v>1130101</v>
      </c>
      <c r="T2264" s="0" t="s">
        <v>48</v>
      </c>
      <c r="U2264" s="15" t="n">
        <v>782.78</v>
      </c>
      <c r="W2264" s="15" t="n">
        <v>782.78</v>
      </c>
      <c r="X2264" s="0" t="s">
        <v>1872</v>
      </c>
      <c r="Z2264" s="0" t="str">
        <f aca="false">IF($T2264="","",IFERROR(INDEX('Resumo Grupos'!$AC$3:$AC$200,MATCH($T2264,'Resumo Grupos'!$AB$3:$AB$200,0)),"n/d"))</f>
        <v>Mercadoria</v>
      </c>
      <c r="AA2264" s="0" t="str">
        <f aca="false">IF($T2264="","",IF(COUNTIF('Resumo Grupos'!$AE$3:$AE$40,$T2264)&gt;0,"NAO","SIM"))</f>
        <v>SIM</v>
      </c>
      <c r="AB2264" s="0" t="str">
        <f aca="false">IFERROR(INDEX('Mov Entradas (Rel 10497)'!$L:$L,MATCH(AC2264,'Mov Entradas (Rel 10497)'!$I:$I,0)),"nao encontrado")</f>
        <v>LEIT MOCA LATA 395G</v>
      </c>
      <c r="AC2264" s="0" t="n">
        <v>1449042</v>
      </c>
    </row>
    <row r="2265" customFormat="false" ht="12.75" hidden="false" customHeight="true" outlineLevel="0" collapsed="false">
      <c r="A2265" s="13" t="n">
        <v>2</v>
      </c>
      <c r="B2265" s="14" t="n">
        <v>46293</v>
      </c>
      <c r="C2265" s="14" t="n">
        <v>46293</v>
      </c>
      <c r="D2265" s="13" t="n">
        <v>48</v>
      </c>
      <c r="E2265" s="0" t="s">
        <v>153</v>
      </c>
      <c r="F2265" s="13" t="n">
        <v>13</v>
      </c>
      <c r="G2265" s="0" t="s">
        <v>135</v>
      </c>
      <c r="H2265" s="13" t="n">
        <v>2110101</v>
      </c>
      <c r="I2265" s="0" t="s">
        <v>43</v>
      </c>
      <c r="J2265" s="13" t="n">
        <v>1768684</v>
      </c>
      <c r="L2265" s="13" t="n">
        <v>2701</v>
      </c>
      <c r="M2265" s="0" t="s">
        <v>52</v>
      </c>
      <c r="N2265" s="0" t="s">
        <v>37</v>
      </c>
      <c r="P2265" s="13" t="n">
        <v>113</v>
      </c>
      <c r="Q2265" s="0" t="s">
        <v>46</v>
      </c>
      <c r="R2265" s="0" t="s">
        <v>47</v>
      </c>
      <c r="S2265" s="13" t="n">
        <v>1130101</v>
      </c>
      <c r="T2265" s="0" t="s">
        <v>48</v>
      </c>
      <c r="U2265" s="15" t="n">
        <v>210</v>
      </c>
      <c r="W2265" s="15" t="n">
        <v>0</v>
      </c>
      <c r="X2265" s="0" t="s">
        <v>1873</v>
      </c>
      <c r="Z2265" s="0" t="str">
        <f aca="false">IF($T2265="","",IFERROR(INDEX('Resumo Grupos'!$AC$3:$AC$200,MATCH($T2265,'Resumo Grupos'!$AB$3:$AB$200,0)),"n/d"))</f>
        <v>Mercadoria</v>
      </c>
      <c r="AA2265" s="0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3" t="n">
        <v>2</v>
      </c>
      <c r="B2266" s="14" t="n">
        <v>46286</v>
      </c>
      <c r="C2266" s="14" t="n">
        <v>46293</v>
      </c>
      <c r="D2266" s="13" t="n">
        <v>1740</v>
      </c>
      <c r="E2266" s="0" t="s">
        <v>468</v>
      </c>
      <c r="F2266" s="13" t="n">
        <v>24</v>
      </c>
      <c r="G2266" s="0" t="s">
        <v>51</v>
      </c>
      <c r="H2266" s="13" t="n">
        <v>2110405</v>
      </c>
      <c r="I2266" s="0" t="s">
        <v>56</v>
      </c>
      <c r="J2266" s="13" t="n">
        <v>1734549</v>
      </c>
      <c r="L2266" s="13" t="n">
        <v>238490</v>
      </c>
      <c r="M2266" s="0" t="s">
        <v>52</v>
      </c>
      <c r="N2266" s="0" t="s">
        <v>45</v>
      </c>
      <c r="P2266" s="13" t="n">
        <v>113</v>
      </c>
      <c r="Q2266" s="0" t="s">
        <v>46</v>
      </c>
      <c r="R2266" s="0" t="s">
        <v>47</v>
      </c>
      <c r="S2266" s="13" t="n">
        <v>1130101</v>
      </c>
      <c r="T2266" s="0" t="s">
        <v>48</v>
      </c>
      <c r="U2266" s="15" t="n">
        <v>447.47</v>
      </c>
      <c r="W2266" s="15" t="n">
        <v>447.47</v>
      </c>
      <c r="X2266" s="0" t="s">
        <v>1874</v>
      </c>
      <c r="Z2266" s="0" t="str">
        <f aca="false">IF($T2266="","",IFERROR(INDEX('Resumo Grupos'!$AC$3:$AC$200,MATCH($T2266,'Resumo Grupos'!$AB$3:$AB$200,0)),"n/d"))</f>
        <v>Mercadoria</v>
      </c>
      <c r="AA2266" s="0" t="str">
        <f aca="false">IF($T2266="","",IF(COUNTIF('Resumo Grupos'!$AE$3:$AE$40,$T2266)&gt;0,"NAO","SIM"))</f>
        <v>SIM</v>
      </c>
      <c r="AB2266" s="0" t="str">
        <f aca="false">IFERROR(INDEX('Mov Entradas (Rel 10497)'!$L:$L,MATCH(AC2266,'Mov Entradas (Rel 10497)'!$I:$I,0)),"nao encontrado")</f>
        <v>EMPANADO AUROGGETS 275G</v>
      </c>
      <c r="AC2266" s="0" t="n">
        <v>1272675</v>
      </c>
    </row>
    <row r="2267" customFormat="false" ht="12.75" hidden="false" customHeight="true" outlineLevel="0" collapsed="false">
      <c r="A2267" s="13" t="n">
        <v>2</v>
      </c>
      <c r="B2267" s="14" t="n">
        <v>46288</v>
      </c>
      <c r="C2267" s="14" t="n">
        <v>46293</v>
      </c>
      <c r="D2267" s="13" t="n">
        <v>1899</v>
      </c>
      <c r="E2267" s="0" t="s">
        <v>204</v>
      </c>
      <c r="F2267" s="13" t="n">
        <v>24</v>
      </c>
      <c r="G2267" s="0" t="s">
        <v>51</v>
      </c>
      <c r="H2267" s="13" t="n">
        <v>2110405</v>
      </c>
      <c r="I2267" s="0" t="s">
        <v>56</v>
      </c>
      <c r="J2267" s="13" t="n">
        <v>1745299</v>
      </c>
      <c r="L2267" s="13" t="n">
        <v>240348</v>
      </c>
      <c r="M2267" s="0" t="s">
        <v>52</v>
      </c>
      <c r="N2267" s="0" t="s">
        <v>45</v>
      </c>
      <c r="P2267" s="13" t="n">
        <v>113</v>
      </c>
      <c r="Q2267" s="0" t="s">
        <v>46</v>
      </c>
      <c r="R2267" s="0" t="s">
        <v>47</v>
      </c>
      <c r="S2267" s="13" t="n">
        <v>1130101</v>
      </c>
      <c r="T2267" s="0" t="s">
        <v>48</v>
      </c>
      <c r="U2267" s="15" t="n">
        <v>254.76</v>
      </c>
      <c r="W2267" s="15" t="n">
        <v>254.76</v>
      </c>
      <c r="X2267" s="0" t="s">
        <v>1875</v>
      </c>
      <c r="Z2267" s="0" t="str">
        <f aca="false">IF($T2267="","",IFERROR(INDEX('Resumo Grupos'!$AC$3:$AC$200,MATCH($T2267,'Resumo Grupos'!$AB$3:$AB$200,0)),"n/d"))</f>
        <v>Mercadoria</v>
      </c>
      <c r="AA2267" s="0" t="str">
        <f aca="false">IF($T2267="","",IF(COUNTIF('Resumo Grupos'!$AE$3:$AE$40,$T2267)&gt;0,"NAO","SIM"))</f>
        <v>SIM</v>
      </c>
      <c r="AB2267" s="0" t="str">
        <f aca="false">IFERROR(INDEX('Mov Entradas (Rel 10497)'!$L:$L,MATCH(AC2267,'Mov Entradas (Rel 10497)'!$I:$I,0)),"nao encontrado")</f>
        <v>PAO DE FORMA REAL MA</v>
      </c>
      <c r="AC2267" s="0" t="n">
        <v>816</v>
      </c>
    </row>
    <row r="2268" customFormat="false" ht="12.75" hidden="false" customHeight="true" outlineLevel="0" collapsed="false">
      <c r="A2268" s="13" t="n">
        <v>2</v>
      </c>
      <c r="B2268" s="14" t="n">
        <v>46293</v>
      </c>
      <c r="C2268" s="14" t="n">
        <v>46293</v>
      </c>
      <c r="D2268" s="13" t="n">
        <v>0</v>
      </c>
      <c r="E2268" s="0" t="s">
        <v>109</v>
      </c>
      <c r="F2268" s="13" t="n">
        <v>17</v>
      </c>
      <c r="G2268" s="0" t="s">
        <v>110</v>
      </c>
      <c r="H2268" s="13" t="n">
        <v>1110101</v>
      </c>
      <c r="I2268" s="0" t="s">
        <v>111</v>
      </c>
      <c r="J2268" s="13" t="n">
        <v>1773641</v>
      </c>
      <c r="L2268" s="13" t="n">
        <v>1773641</v>
      </c>
      <c r="M2268" s="0" t="s">
        <v>52</v>
      </c>
      <c r="N2268" s="0" t="s">
        <v>112</v>
      </c>
      <c r="P2268" s="13" t="n">
        <v>113</v>
      </c>
      <c r="Q2268" s="0" t="s">
        <v>46</v>
      </c>
      <c r="R2268" s="0" t="s">
        <v>39</v>
      </c>
      <c r="S2268" s="13" t="n">
        <v>4210227</v>
      </c>
      <c r="T2268" s="0" t="s">
        <v>68</v>
      </c>
      <c r="U2268" s="15" t="n">
        <v>10</v>
      </c>
      <c r="W2268" s="15" t="n">
        <v>10</v>
      </c>
      <c r="X2268" s="0" t="s">
        <v>1876</v>
      </c>
      <c r="Z2268" s="0" t="str">
        <f aca="false">IF($T2268="","",IFERROR(INDEX('Resumo Grupos'!$AC$3:$AC$200,MATCH($T2268,'Resumo Grupos'!$AB$3:$AB$200,0)),"n/d"))</f>
        <v>Despesa</v>
      </c>
      <c r="AA2268" s="0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3" t="n">
        <v>2</v>
      </c>
      <c r="B2269" s="14" t="n">
        <v>46293</v>
      </c>
      <c r="C2269" s="14" t="n">
        <v>46293</v>
      </c>
      <c r="D2269" s="13" t="n">
        <v>0</v>
      </c>
      <c r="E2269" s="0" t="s">
        <v>109</v>
      </c>
      <c r="F2269" s="13" t="n">
        <v>17</v>
      </c>
      <c r="G2269" s="0" t="s">
        <v>110</v>
      </c>
      <c r="H2269" s="13" t="n">
        <v>1110101</v>
      </c>
      <c r="I2269" s="0" t="s">
        <v>111</v>
      </c>
      <c r="J2269" s="13" t="n">
        <v>1773644</v>
      </c>
      <c r="L2269" s="13" t="n">
        <v>1773644</v>
      </c>
      <c r="M2269" s="0" t="s">
        <v>52</v>
      </c>
      <c r="N2269" s="0" t="s">
        <v>112</v>
      </c>
      <c r="P2269" s="13" t="n">
        <v>113</v>
      </c>
      <c r="Q2269" s="0" t="s">
        <v>46</v>
      </c>
      <c r="R2269" s="0" t="s">
        <v>39</v>
      </c>
      <c r="S2269" s="13" t="n">
        <v>4210227</v>
      </c>
      <c r="T2269" s="0" t="s">
        <v>68</v>
      </c>
      <c r="U2269" s="15" t="n">
        <v>20</v>
      </c>
      <c r="W2269" s="15" t="n">
        <v>20</v>
      </c>
      <c r="X2269" s="0" t="s">
        <v>1877</v>
      </c>
      <c r="Z2269" s="0" t="str">
        <f aca="false">IF($T2269="","",IFERROR(INDEX('Resumo Grupos'!$AC$3:$AC$200,MATCH($T2269,'Resumo Grupos'!$AB$3:$AB$200,0)),"n/d"))</f>
        <v>Despesa</v>
      </c>
      <c r="AA2269" s="0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3" t="n">
        <v>2</v>
      </c>
      <c r="B2270" s="14" t="n">
        <v>46293</v>
      </c>
      <c r="C2270" s="14" t="n">
        <v>46293</v>
      </c>
      <c r="D2270" s="13" t="n">
        <v>0</v>
      </c>
      <c r="E2270" s="0" t="s">
        <v>109</v>
      </c>
      <c r="F2270" s="13" t="n">
        <v>17</v>
      </c>
      <c r="G2270" s="0" t="s">
        <v>110</v>
      </c>
      <c r="H2270" s="13" t="n">
        <v>1110101</v>
      </c>
      <c r="I2270" s="0" t="s">
        <v>111</v>
      </c>
      <c r="J2270" s="13" t="n">
        <v>1773649</v>
      </c>
      <c r="L2270" s="13" t="n">
        <v>1773649</v>
      </c>
      <c r="M2270" s="0" t="s">
        <v>52</v>
      </c>
      <c r="N2270" s="0" t="s">
        <v>112</v>
      </c>
      <c r="P2270" s="13" t="n">
        <v>113</v>
      </c>
      <c r="Q2270" s="0" t="s">
        <v>46</v>
      </c>
      <c r="R2270" s="0" t="s">
        <v>39</v>
      </c>
      <c r="S2270" s="13" t="n">
        <v>4210227</v>
      </c>
      <c r="T2270" s="0" t="s">
        <v>68</v>
      </c>
      <c r="U2270" s="15" t="n">
        <v>85.48</v>
      </c>
      <c r="W2270" s="15" t="n">
        <v>85.48</v>
      </c>
      <c r="X2270" s="0" t="s">
        <v>1878</v>
      </c>
      <c r="Z2270" s="0" t="str">
        <f aca="false">IF($T2270="","",IFERROR(INDEX('Resumo Grupos'!$AC$3:$AC$200,MATCH($T2270,'Resumo Grupos'!$AB$3:$AB$200,0)),"n/d"))</f>
        <v>Despesa</v>
      </c>
      <c r="AA2270" s="0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3" t="n">
        <v>2</v>
      </c>
      <c r="B2271" s="14" t="n">
        <v>46293</v>
      </c>
      <c r="C2271" s="14" t="n">
        <v>46293</v>
      </c>
      <c r="D2271" s="13" t="n">
        <v>0</v>
      </c>
      <c r="E2271" s="0" t="s">
        <v>109</v>
      </c>
      <c r="F2271" s="13" t="n">
        <v>17</v>
      </c>
      <c r="G2271" s="0" t="s">
        <v>110</v>
      </c>
      <c r="H2271" s="13" t="n">
        <v>1110101</v>
      </c>
      <c r="I2271" s="0" t="s">
        <v>111</v>
      </c>
      <c r="J2271" s="13" t="n">
        <v>1773651</v>
      </c>
      <c r="L2271" s="13" t="n">
        <v>1773651</v>
      </c>
      <c r="M2271" s="0" t="s">
        <v>52</v>
      </c>
      <c r="N2271" s="0" t="s">
        <v>112</v>
      </c>
      <c r="P2271" s="13" t="n">
        <v>113</v>
      </c>
      <c r="Q2271" s="0" t="s">
        <v>46</v>
      </c>
      <c r="R2271" s="0" t="s">
        <v>71</v>
      </c>
      <c r="S2271" s="13" t="n">
        <v>4210314</v>
      </c>
      <c r="T2271" s="0" t="s">
        <v>113</v>
      </c>
      <c r="U2271" s="15" t="n">
        <v>100</v>
      </c>
      <c r="W2271" s="15" t="n">
        <v>100</v>
      </c>
      <c r="X2271" s="0" t="s">
        <v>1706</v>
      </c>
      <c r="Z2271" s="0" t="str">
        <f aca="false">IF($T2271="","",IFERROR(INDEX('Resumo Grupos'!$AC$3:$AC$200,MATCH($T2271,'Resumo Grupos'!$AB$3:$AB$200,0)),"n/d"))</f>
        <v>Despesa</v>
      </c>
      <c r="AA2271" s="0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3" t="n">
        <v>2</v>
      </c>
      <c r="B2272" s="14" t="n">
        <v>46279</v>
      </c>
      <c r="C2272" s="14" t="n">
        <v>46293</v>
      </c>
      <c r="D2272" s="13" t="n">
        <v>1643</v>
      </c>
      <c r="E2272" s="0" t="s">
        <v>212</v>
      </c>
      <c r="F2272" s="13" t="n">
        <v>24</v>
      </c>
      <c r="G2272" s="0" t="s">
        <v>51</v>
      </c>
      <c r="H2272" s="13" t="n">
        <v>2110405</v>
      </c>
      <c r="I2272" s="0" t="s">
        <v>56</v>
      </c>
      <c r="J2272" s="13" t="n">
        <v>1702644</v>
      </c>
      <c r="L2272" s="13" t="n">
        <v>233670</v>
      </c>
      <c r="M2272" s="0" t="s">
        <v>52</v>
      </c>
      <c r="N2272" s="0" t="s">
        <v>45</v>
      </c>
      <c r="P2272" s="13" t="n">
        <v>113</v>
      </c>
      <c r="Q2272" s="0" t="s">
        <v>46</v>
      </c>
      <c r="R2272" s="0" t="s">
        <v>47</v>
      </c>
      <c r="S2272" s="13" t="n">
        <v>1130101</v>
      </c>
      <c r="T2272" s="0" t="s">
        <v>48</v>
      </c>
      <c r="U2272" s="15" t="n">
        <v>228</v>
      </c>
      <c r="W2272" s="15" t="n">
        <v>228</v>
      </c>
      <c r="X2272" s="0" t="s">
        <v>1879</v>
      </c>
      <c r="Z2272" s="0" t="str">
        <f aca="false">IF($T2272="","",IFERROR(INDEX('Resumo Grupos'!$AC$3:$AC$200,MATCH($T2272,'Resumo Grupos'!$AB$3:$AB$200,0)),"n/d"))</f>
        <v>Mercadoria</v>
      </c>
      <c r="AA2272" s="0" t="str">
        <f aca="false">IF($T2272="","",IF(COUNTIF('Resumo Grupos'!$AE$3:$AE$40,$T2272)&gt;0,"NAO","SIM"))</f>
        <v>SIM</v>
      </c>
      <c r="AB2272" s="0" t="str">
        <f aca="false">IFERROR(INDEX('Mov Entradas (Rel 10497)'!$L:$L,MATCH(AC2272,'Mov Entradas (Rel 10497)'!$I:$I,0)),"nao encontrado")</f>
        <v>COCADA CASMORENINH</v>
      </c>
      <c r="AC2272" s="0" t="n">
        <v>11011</v>
      </c>
    </row>
    <row r="2273" customFormat="false" ht="12.75" hidden="false" customHeight="true" outlineLevel="0" collapsed="false">
      <c r="A2273" s="13" t="n">
        <v>2</v>
      </c>
      <c r="B2273" s="14" t="n">
        <v>46293</v>
      </c>
      <c r="C2273" s="14" t="n">
        <v>46293</v>
      </c>
      <c r="D2273" s="13" t="n">
        <v>18</v>
      </c>
      <c r="E2273" s="0" t="s">
        <v>121</v>
      </c>
      <c r="F2273" s="13" t="n">
        <v>34</v>
      </c>
      <c r="G2273" s="0" t="s">
        <v>55</v>
      </c>
      <c r="H2273" s="13" t="n">
        <v>2110405</v>
      </c>
      <c r="I2273" s="0" t="s">
        <v>56</v>
      </c>
      <c r="J2273" s="13" t="n">
        <v>1785261</v>
      </c>
      <c r="L2273" s="13" t="n">
        <v>246076</v>
      </c>
      <c r="M2273" s="0" t="s">
        <v>52</v>
      </c>
      <c r="N2273" s="0" t="s">
        <v>45</v>
      </c>
      <c r="P2273" s="13" t="n">
        <v>101</v>
      </c>
      <c r="Q2273" s="0" t="s">
        <v>57</v>
      </c>
      <c r="R2273" s="0" t="s">
        <v>71</v>
      </c>
      <c r="S2273" s="13" t="n">
        <v>4210302</v>
      </c>
      <c r="T2273" s="0" t="s">
        <v>485</v>
      </c>
      <c r="U2273" s="15" t="n">
        <v>3303.08</v>
      </c>
      <c r="W2273" s="15" t="n">
        <v>3303.08</v>
      </c>
      <c r="X2273" s="0" t="s">
        <v>1880</v>
      </c>
      <c r="Z2273" s="0" t="str">
        <f aca="false">IF($T2273="","",IFERROR(INDEX('Resumo Grupos'!$AC$3:$AC$200,MATCH($T2273,'Resumo Grupos'!$AB$3:$AB$200,0)),"n/d"))</f>
        <v>Impostos</v>
      </c>
      <c r="AA2273" s="0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3" t="n">
        <v>2</v>
      </c>
      <c r="B2274" s="14" t="n">
        <v>46262</v>
      </c>
      <c r="C2274" s="14" t="n">
        <v>46293</v>
      </c>
      <c r="D2274" s="13" t="n">
        <v>1196</v>
      </c>
      <c r="E2274" s="0" t="s">
        <v>1470</v>
      </c>
      <c r="F2274" s="13" t="n">
        <v>24</v>
      </c>
      <c r="G2274" s="0" t="s">
        <v>51</v>
      </c>
      <c r="H2274" s="13" t="n">
        <v>2110405</v>
      </c>
      <c r="I2274" s="0" t="s">
        <v>56</v>
      </c>
      <c r="J2274" s="13" t="n">
        <v>1614562</v>
      </c>
      <c r="L2274" s="13" t="n">
        <v>221462</v>
      </c>
      <c r="M2274" s="0" t="s">
        <v>52</v>
      </c>
      <c r="N2274" s="0" t="s">
        <v>45</v>
      </c>
      <c r="P2274" s="13" t="n">
        <v>113</v>
      </c>
      <c r="Q2274" s="0" t="s">
        <v>46</v>
      </c>
      <c r="R2274" s="0" t="s">
        <v>47</v>
      </c>
      <c r="S2274" s="13" t="n">
        <v>1130101</v>
      </c>
      <c r="T2274" s="0" t="s">
        <v>48</v>
      </c>
      <c r="U2274" s="15" t="n">
        <v>1213.96</v>
      </c>
      <c r="W2274" s="15" t="n">
        <v>1213.96</v>
      </c>
      <c r="X2274" s="0" t="s">
        <v>1730</v>
      </c>
      <c r="Z2274" s="0" t="str">
        <f aca="false">IF($T2274="","",IFERROR(INDEX('Resumo Grupos'!$AC$3:$AC$200,MATCH($T2274,'Resumo Grupos'!$AB$3:$AB$200,0)),"n/d"))</f>
        <v>Mercadoria</v>
      </c>
      <c r="AA2274" s="0" t="str">
        <f aca="false">IF($T2274="","",IF(COUNTIF('Resumo Grupos'!$AE$3:$AE$40,$T2274)&gt;0,"NAO","SIM"))</f>
        <v>SIM</v>
      </c>
      <c r="AB2274" s="0" t="str">
        <f aca="false">IFERROR(INDEX('Mov Entradas (Rel 10497)'!$L:$L,MATCH(AC2274,'Mov Entradas (Rel 10497)'!$I:$I,0)),"nao encontrado")</f>
        <v>CAFÉ RANCHEIRO 250G</v>
      </c>
      <c r="AC2274" s="0" t="n">
        <v>13070</v>
      </c>
    </row>
    <row r="2275" customFormat="false" ht="12.75" hidden="false" customHeight="true" outlineLevel="0" collapsed="false">
      <c r="A2275" s="13" t="n">
        <v>2</v>
      </c>
      <c r="B2275" s="14" t="n">
        <v>46291</v>
      </c>
      <c r="C2275" s="14" t="n">
        <v>46294</v>
      </c>
      <c r="D2275" s="13" t="n">
        <v>642</v>
      </c>
      <c r="E2275" s="0" t="s">
        <v>123</v>
      </c>
      <c r="F2275" s="13" t="n">
        <v>24</v>
      </c>
      <c r="G2275" s="0" t="s">
        <v>51</v>
      </c>
      <c r="H2275" s="13" t="n">
        <v>2110405</v>
      </c>
      <c r="I2275" s="0" t="s">
        <v>56</v>
      </c>
      <c r="J2275" s="13" t="n">
        <v>1759598</v>
      </c>
      <c r="L2275" s="13" t="n">
        <v>242359</v>
      </c>
      <c r="M2275" s="0" t="s">
        <v>52</v>
      </c>
      <c r="N2275" s="0" t="s">
        <v>45</v>
      </c>
      <c r="P2275" s="13" t="n">
        <v>113</v>
      </c>
      <c r="Q2275" s="0" t="s">
        <v>46</v>
      </c>
      <c r="R2275" s="0" t="s">
        <v>47</v>
      </c>
      <c r="S2275" s="13" t="n">
        <v>1130101</v>
      </c>
      <c r="T2275" s="0" t="s">
        <v>48</v>
      </c>
      <c r="U2275" s="15" t="n">
        <v>180</v>
      </c>
      <c r="W2275" s="15" t="n">
        <v>180</v>
      </c>
      <c r="X2275" s="0" t="s">
        <v>1881</v>
      </c>
      <c r="Z2275" s="0" t="str">
        <f aca="false">IF($T2275="","",IFERROR(INDEX('Resumo Grupos'!$AC$3:$AC$200,MATCH($T2275,'Resumo Grupos'!$AB$3:$AB$200,0)),"n/d"))</f>
        <v>Mercadoria</v>
      </c>
      <c r="AA2275" s="0" t="str">
        <f aca="false">IF($T2275="","",IF(COUNTIF('Resumo Grupos'!$AE$3:$AE$40,$T2275)&gt;0,"NAO","SIM"))</f>
        <v>SIM</v>
      </c>
      <c r="AB2275" s="0" t="str">
        <f aca="false">IFERROR(INDEX('Mov Entradas (Rel 10497)'!$L:$L,MATCH(AC2275,'Mov Entradas (Rel 10497)'!$I:$I,0)),"nao encontrado")</f>
        <v>BOLO BLOOM 600G</v>
      </c>
      <c r="AC2275" s="0" t="n">
        <v>681</v>
      </c>
    </row>
    <row r="2276" customFormat="false" ht="12.75" hidden="false" customHeight="true" outlineLevel="0" collapsed="false">
      <c r="A2276" s="13" t="n">
        <v>2</v>
      </c>
      <c r="B2276" s="14" t="n">
        <v>46279</v>
      </c>
      <c r="C2276" s="14" t="n">
        <v>46294</v>
      </c>
      <c r="D2276" s="13" t="n">
        <v>1705</v>
      </c>
      <c r="E2276" s="0" t="s">
        <v>130</v>
      </c>
      <c r="F2276" s="13" t="n">
        <v>24</v>
      </c>
      <c r="G2276" s="0" t="s">
        <v>51</v>
      </c>
      <c r="H2276" s="13" t="n">
        <v>2110405</v>
      </c>
      <c r="I2276" s="0" t="s">
        <v>56</v>
      </c>
      <c r="J2276" s="13" t="n">
        <v>1702765</v>
      </c>
      <c r="L2276" s="13" t="n">
        <v>233698</v>
      </c>
      <c r="M2276" s="0" t="s">
        <v>52</v>
      </c>
      <c r="N2276" s="0" t="s">
        <v>45</v>
      </c>
      <c r="P2276" s="13" t="n">
        <v>113</v>
      </c>
      <c r="Q2276" s="0" t="s">
        <v>46</v>
      </c>
      <c r="R2276" s="0" t="s">
        <v>47</v>
      </c>
      <c r="S2276" s="13" t="n">
        <v>1130101</v>
      </c>
      <c r="T2276" s="0" t="s">
        <v>48</v>
      </c>
      <c r="U2276" s="15" t="n">
        <v>47.37</v>
      </c>
      <c r="W2276" s="15" t="n">
        <v>47.37</v>
      </c>
      <c r="X2276" s="0" t="s">
        <v>1882</v>
      </c>
      <c r="Z2276" s="0" t="str">
        <f aca="false">IF($T2276="","",IFERROR(INDEX('Resumo Grupos'!$AC$3:$AC$200,MATCH($T2276,'Resumo Grupos'!$AB$3:$AB$200,0)),"n/d"))</f>
        <v>Mercadoria</v>
      </c>
      <c r="AA2276" s="0" t="str">
        <f aca="false">IF($T2276="","",IF(COUNTIF('Resumo Grupos'!$AE$3:$AE$40,$T2276)&gt;0,"NAO","SIM"))</f>
        <v>SIM</v>
      </c>
      <c r="AB2276" s="0" t="str">
        <f aca="false">IFERROR(INDEX('Mov Entradas (Rel 10497)'!$L:$L,MATCH(AC2276,'Mov Entradas (Rel 10497)'!$I:$I,0)),"nao encontrado")</f>
        <v>SUC DEL VALLE LAR 1L</v>
      </c>
      <c r="AC2276" s="0" t="n">
        <v>1288685</v>
      </c>
    </row>
    <row r="2277" customFormat="false" ht="12.75" hidden="false" customHeight="true" outlineLevel="0" collapsed="false">
      <c r="A2277" s="13" t="n">
        <v>2</v>
      </c>
      <c r="B2277" s="14" t="n">
        <v>46279</v>
      </c>
      <c r="C2277" s="14" t="n">
        <v>46294</v>
      </c>
      <c r="D2277" s="13" t="n">
        <v>1705</v>
      </c>
      <c r="E2277" s="0" t="s">
        <v>130</v>
      </c>
      <c r="F2277" s="13" t="n">
        <v>24</v>
      </c>
      <c r="G2277" s="0" t="s">
        <v>51</v>
      </c>
      <c r="H2277" s="13" t="n">
        <v>2110405</v>
      </c>
      <c r="I2277" s="0" t="s">
        <v>56</v>
      </c>
      <c r="J2277" s="13" t="n">
        <v>1702787</v>
      </c>
      <c r="L2277" s="13" t="n">
        <v>233703</v>
      </c>
      <c r="M2277" s="0" t="s">
        <v>52</v>
      </c>
      <c r="N2277" s="0" t="s">
        <v>45</v>
      </c>
      <c r="P2277" s="13" t="n">
        <v>113</v>
      </c>
      <c r="Q2277" s="0" t="s">
        <v>46</v>
      </c>
      <c r="R2277" s="0" t="s">
        <v>47</v>
      </c>
      <c r="S2277" s="13" t="n">
        <v>1130101</v>
      </c>
      <c r="T2277" s="0" t="s">
        <v>48</v>
      </c>
      <c r="U2277" s="15" t="n">
        <v>29.85</v>
      </c>
      <c r="W2277" s="15" t="n">
        <v>29.85</v>
      </c>
      <c r="X2277" s="0" t="s">
        <v>1883</v>
      </c>
      <c r="Z2277" s="0" t="str">
        <f aca="false">IF($T2277="","",IFERROR(INDEX('Resumo Grupos'!$AC$3:$AC$200,MATCH($T2277,'Resumo Grupos'!$AB$3:$AB$200,0)),"n/d"))</f>
        <v>Mercadoria</v>
      </c>
      <c r="AA2277" s="0" t="str">
        <f aca="false">IF($T2277="","",IF(COUNTIF('Resumo Grupos'!$AE$3:$AE$40,$T2277)&gt;0,"NAO","SIM"))</f>
        <v>SIM</v>
      </c>
      <c r="AB2277" s="0" t="str">
        <f aca="false">IFERROR(INDEX('Mov Entradas (Rel 10497)'!$L:$L,MATCH(AC2277,'Mov Entradas (Rel 10497)'!$I:$I,0)),"nao encontrado")</f>
        <v>DEL VALE FRUT LARANJ</v>
      </c>
      <c r="AC2277" s="0" t="n">
        <v>2039865</v>
      </c>
    </row>
    <row r="2278" customFormat="false" ht="12.75" hidden="false" customHeight="true" outlineLevel="0" collapsed="false">
      <c r="A2278" s="13" t="n">
        <v>2</v>
      </c>
      <c r="B2278" s="14" t="n">
        <v>46279</v>
      </c>
      <c r="C2278" s="14" t="n">
        <v>46294</v>
      </c>
      <c r="D2278" s="13" t="n">
        <v>1705</v>
      </c>
      <c r="E2278" s="0" t="s">
        <v>130</v>
      </c>
      <c r="F2278" s="13" t="n">
        <v>24</v>
      </c>
      <c r="G2278" s="0" t="s">
        <v>51</v>
      </c>
      <c r="H2278" s="13" t="n">
        <v>2110405</v>
      </c>
      <c r="I2278" s="0" t="s">
        <v>56</v>
      </c>
      <c r="J2278" s="13" t="n">
        <v>1702803</v>
      </c>
      <c r="L2278" s="13" t="n">
        <v>233706</v>
      </c>
      <c r="M2278" s="0" t="s">
        <v>52</v>
      </c>
      <c r="N2278" s="0" t="s">
        <v>45</v>
      </c>
      <c r="P2278" s="13" t="n">
        <v>113</v>
      </c>
      <c r="Q2278" s="0" t="s">
        <v>46</v>
      </c>
      <c r="R2278" s="0" t="s">
        <v>47</v>
      </c>
      <c r="S2278" s="13" t="n">
        <v>1130101</v>
      </c>
      <c r="T2278" s="0" t="s">
        <v>48</v>
      </c>
      <c r="U2278" s="15" t="n">
        <v>317.58</v>
      </c>
      <c r="W2278" s="15" t="n">
        <v>317.58</v>
      </c>
      <c r="X2278" s="0" t="s">
        <v>1884</v>
      </c>
      <c r="Z2278" s="0" t="str">
        <f aca="false">IF($T2278="","",IFERROR(INDEX('Resumo Grupos'!$AC$3:$AC$200,MATCH($T2278,'Resumo Grupos'!$AB$3:$AB$200,0)),"n/d"))</f>
        <v>Mercadoria</v>
      </c>
      <c r="AA2278" s="0" t="str">
        <f aca="false">IF($T2278="","",IF(COUNTIF('Resumo Grupos'!$AE$3:$AE$40,$T2278)&gt;0,"NAO","SIM"))</f>
        <v>SIM</v>
      </c>
      <c r="AB2278" s="0" t="str">
        <f aca="false">IFERROR(INDEX('Mov Entradas (Rel 10497)'!$L:$L,MATCH(AC2278,'Mov Entradas (Rel 10497)'!$I:$I,0)),"nao encontrado")</f>
        <v>REFRI. COCA COLA ORIGINAL 2LT</v>
      </c>
      <c r="AC2278" s="0" t="n">
        <v>2039974</v>
      </c>
    </row>
    <row r="2279" customFormat="false" ht="12.75" hidden="false" customHeight="true" outlineLevel="0" collapsed="false">
      <c r="A2279" s="13" t="n">
        <v>2</v>
      </c>
      <c r="B2279" s="14" t="n">
        <v>46279</v>
      </c>
      <c r="C2279" s="14" t="n">
        <v>46294</v>
      </c>
      <c r="D2279" s="13" t="n">
        <v>1705</v>
      </c>
      <c r="E2279" s="0" t="s">
        <v>130</v>
      </c>
      <c r="F2279" s="13" t="n">
        <v>24</v>
      </c>
      <c r="G2279" s="0" t="s">
        <v>51</v>
      </c>
      <c r="H2279" s="13" t="n">
        <v>2110405</v>
      </c>
      <c r="I2279" s="0" t="s">
        <v>56</v>
      </c>
      <c r="J2279" s="13" t="n">
        <v>1702843</v>
      </c>
      <c r="L2279" s="13" t="n">
        <v>233714</v>
      </c>
      <c r="M2279" s="0" t="s">
        <v>52</v>
      </c>
      <c r="N2279" s="0" t="s">
        <v>45</v>
      </c>
      <c r="P2279" s="13" t="n">
        <v>113</v>
      </c>
      <c r="Q2279" s="0" t="s">
        <v>46</v>
      </c>
      <c r="R2279" s="0" t="s">
        <v>47</v>
      </c>
      <c r="S2279" s="13" t="n">
        <v>1130101</v>
      </c>
      <c r="T2279" s="0" t="s">
        <v>48</v>
      </c>
      <c r="U2279" s="15" t="n">
        <v>355.97</v>
      </c>
      <c r="W2279" s="15" t="n">
        <v>355.97</v>
      </c>
      <c r="X2279" s="0" t="s">
        <v>1885</v>
      </c>
      <c r="Z2279" s="0" t="str">
        <f aca="false">IF($T2279="","",IFERROR(INDEX('Resumo Grupos'!$AC$3:$AC$200,MATCH($T2279,'Resumo Grupos'!$AB$3:$AB$200,0)),"n/d"))</f>
        <v>Mercadoria</v>
      </c>
      <c r="AA2279" s="0" t="str">
        <f aca="false">IF($T2279="","",IF(COUNTIF('Resumo Grupos'!$AE$3:$AE$40,$T2279)&gt;0,"NAO","SIM"))</f>
        <v>SIM</v>
      </c>
      <c r="AB2279" s="0" t="str">
        <f aca="false">IFERROR(INDEX('Mov Entradas (Rel 10497)'!$L:$L,MATCH(AC2279,'Mov Entradas (Rel 10497)'!$I:$I,0)),"nao encontrado")</f>
        <v>MONSTER ENERGY 473ML</v>
      </c>
      <c r="AC2279" s="0" t="n">
        <v>1288725</v>
      </c>
    </row>
    <row r="2280" customFormat="false" ht="12.75" hidden="false" customHeight="true" outlineLevel="0" collapsed="false">
      <c r="A2280" s="13" t="n">
        <v>2</v>
      </c>
      <c r="B2280" s="14" t="n">
        <v>46279</v>
      </c>
      <c r="C2280" s="14" t="n">
        <v>46294</v>
      </c>
      <c r="D2280" s="13" t="n">
        <v>1705</v>
      </c>
      <c r="E2280" s="0" t="s">
        <v>130</v>
      </c>
      <c r="F2280" s="13" t="n">
        <v>24</v>
      </c>
      <c r="G2280" s="0" t="s">
        <v>51</v>
      </c>
      <c r="H2280" s="13" t="n">
        <v>2110405</v>
      </c>
      <c r="I2280" s="0" t="s">
        <v>56</v>
      </c>
      <c r="J2280" s="13" t="n">
        <v>1702859</v>
      </c>
      <c r="L2280" s="13" t="n">
        <v>233719</v>
      </c>
      <c r="M2280" s="0" t="s">
        <v>52</v>
      </c>
      <c r="N2280" s="0" t="s">
        <v>45</v>
      </c>
      <c r="P2280" s="13" t="n">
        <v>113</v>
      </c>
      <c r="Q2280" s="0" t="s">
        <v>46</v>
      </c>
      <c r="R2280" s="0" t="s">
        <v>47</v>
      </c>
      <c r="S2280" s="13" t="n">
        <v>1130101</v>
      </c>
      <c r="T2280" s="0" t="s">
        <v>48</v>
      </c>
      <c r="U2280" s="15" t="n">
        <v>534.33</v>
      </c>
      <c r="W2280" s="15" t="n">
        <v>534.33</v>
      </c>
      <c r="X2280" s="0" t="s">
        <v>1886</v>
      </c>
      <c r="Z2280" s="0" t="str">
        <f aca="false">IF($T2280="","",IFERROR(INDEX('Resumo Grupos'!$AC$3:$AC$200,MATCH($T2280,'Resumo Grupos'!$AB$3:$AB$200,0)),"n/d"))</f>
        <v>Mercadoria</v>
      </c>
      <c r="AA2280" s="0" t="str">
        <f aca="false">IF($T2280="","",IF(COUNTIF('Resumo Grupos'!$AE$3:$AE$40,$T2280)&gt;0,"NAO","SIM"))</f>
        <v>SIM</v>
      </c>
      <c r="AB2280" s="0" t="str">
        <f aca="false">IFERROR(INDEX('Mov Entradas (Rel 10497)'!$L:$L,MATCH(AC2280,'Mov Entradas (Rel 10497)'!$I:$I,0)),"nao encontrado")</f>
        <v>CERVEJA SOL 330ML</v>
      </c>
      <c r="AC2280" s="0" t="n">
        <v>1288687</v>
      </c>
    </row>
    <row r="2281" customFormat="false" ht="12.75" hidden="false" customHeight="true" outlineLevel="0" collapsed="false">
      <c r="A2281" s="13" t="n">
        <v>2</v>
      </c>
      <c r="B2281" s="14" t="n">
        <v>46279</v>
      </c>
      <c r="C2281" s="14" t="n">
        <v>46294</v>
      </c>
      <c r="D2281" s="13" t="n">
        <v>1705</v>
      </c>
      <c r="E2281" s="0" t="s">
        <v>130</v>
      </c>
      <c r="F2281" s="13" t="n">
        <v>24</v>
      </c>
      <c r="G2281" s="0" t="s">
        <v>51</v>
      </c>
      <c r="H2281" s="13" t="n">
        <v>2110405</v>
      </c>
      <c r="I2281" s="0" t="s">
        <v>56</v>
      </c>
      <c r="J2281" s="13" t="n">
        <v>1702890</v>
      </c>
      <c r="L2281" s="13" t="n">
        <v>233722</v>
      </c>
      <c r="M2281" s="0" t="s">
        <v>52</v>
      </c>
      <c r="N2281" s="0" t="s">
        <v>45</v>
      </c>
      <c r="P2281" s="13" t="n">
        <v>113</v>
      </c>
      <c r="Q2281" s="0" t="s">
        <v>46</v>
      </c>
      <c r="R2281" s="0" t="s">
        <v>47</v>
      </c>
      <c r="S2281" s="13" t="n">
        <v>1130101</v>
      </c>
      <c r="T2281" s="0" t="s">
        <v>48</v>
      </c>
      <c r="U2281" s="15" t="n">
        <v>2617.42</v>
      </c>
      <c r="W2281" s="15" t="n">
        <v>2617.42</v>
      </c>
      <c r="X2281" s="0" t="s">
        <v>1887</v>
      </c>
      <c r="Z2281" s="0" t="str">
        <f aca="false">IF($T2281="","",IFERROR(INDEX('Resumo Grupos'!$AC$3:$AC$200,MATCH($T2281,'Resumo Grupos'!$AB$3:$AB$200,0)),"n/d"))</f>
        <v>Mercadoria</v>
      </c>
      <c r="AA2281" s="0" t="str">
        <f aca="false">IF($T2281="","",IF(COUNTIF('Resumo Grupos'!$AE$3:$AE$40,$T2281)&gt;0,"NAO","SIM"))</f>
        <v>SIM</v>
      </c>
      <c r="AB2281" s="0" t="str">
        <f aca="false">IFERROR(INDEX('Mov Entradas (Rel 10497)'!$L:$L,MATCH(AC2281,'Mov Entradas (Rel 10497)'!$I:$I,0)),"nao encontrado")</f>
        <v>FANTA LAR 1,5L</v>
      </c>
      <c r="AC2281" s="0" t="n">
        <v>2040862</v>
      </c>
    </row>
    <row r="2282" customFormat="false" ht="12.75" hidden="false" customHeight="true" outlineLevel="0" collapsed="false">
      <c r="A2282" s="13" t="n">
        <v>2</v>
      </c>
      <c r="B2282" s="14" t="n">
        <v>46287</v>
      </c>
      <c r="C2282" s="14" t="n">
        <v>46294</v>
      </c>
      <c r="D2282" s="13" t="n">
        <v>1642</v>
      </c>
      <c r="E2282" s="0" t="s">
        <v>228</v>
      </c>
      <c r="F2282" s="13" t="n">
        <v>24</v>
      </c>
      <c r="G2282" s="0" t="s">
        <v>51</v>
      </c>
      <c r="H2282" s="13" t="n">
        <v>2110405</v>
      </c>
      <c r="I2282" s="0" t="s">
        <v>56</v>
      </c>
      <c r="J2282" s="13" t="n">
        <v>1739525</v>
      </c>
      <c r="L2282" s="13" t="n">
        <v>239295</v>
      </c>
      <c r="M2282" s="0" t="s">
        <v>52</v>
      </c>
      <c r="N2282" s="0" t="s">
        <v>45</v>
      </c>
      <c r="P2282" s="13" t="n">
        <v>113</v>
      </c>
      <c r="Q2282" s="0" t="s">
        <v>46</v>
      </c>
      <c r="R2282" s="0" t="s">
        <v>47</v>
      </c>
      <c r="S2282" s="13" t="n">
        <v>1130101</v>
      </c>
      <c r="T2282" s="0" t="s">
        <v>48</v>
      </c>
      <c r="U2282" s="15" t="n">
        <v>259.62</v>
      </c>
      <c r="W2282" s="15" t="n">
        <v>259.62</v>
      </c>
      <c r="X2282" s="0" t="s">
        <v>1888</v>
      </c>
      <c r="Z2282" s="0" t="str">
        <f aca="false">IF($T2282="","",IFERROR(INDEX('Resumo Grupos'!$AC$3:$AC$200,MATCH($T2282,'Resumo Grupos'!$AB$3:$AB$200,0)),"n/d"))</f>
        <v>Mercadoria</v>
      </c>
      <c r="AA2282" s="0" t="str">
        <f aca="false">IF($T2282="","",IF(COUNTIF('Resumo Grupos'!$AE$3:$AE$40,$T2282)&gt;0,"NAO","SIM"))</f>
        <v>SIM</v>
      </c>
      <c r="AB2282" s="0" t="str">
        <f aca="false">IFERROR(INDEX('Mov Entradas (Rel 10497)'!$L:$L,MATCH(AC2282,'Mov Entradas (Rel 10497)'!$I:$I,0)),"nao encontrado")</f>
        <v>PAO DE FORMA BROTHER</v>
      </c>
      <c r="AC2282" s="0" t="n">
        <v>1042983</v>
      </c>
    </row>
    <row r="2283" customFormat="false" ht="12.75" hidden="false" customHeight="true" outlineLevel="0" collapsed="false">
      <c r="A2283" s="13" t="n">
        <v>2</v>
      </c>
      <c r="B2283" s="14" t="n">
        <v>46288</v>
      </c>
      <c r="C2283" s="14" t="n">
        <v>46294</v>
      </c>
      <c r="D2283" s="13" t="n">
        <v>1269</v>
      </c>
      <c r="E2283" s="0" t="s">
        <v>1143</v>
      </c>
      <c r="F2283" s="13" t="n">
        <v>24</v>
      </c>
      <c r="G2283" s="0" t="s">
        <v>51</v>
      </c>
      <c r="H2283" s="13" t="n">
        <v>2110405</v>
      </c>
      <c r="I2283" s="0" t="s">
        <v>56</v>
      </c>
      <c r="J2283" s="13" t="n">
        <v>1744557</v>
      </c>
      <c r="L2283" s="13" t="n">
        <v>240173</v>
      </c>
      <c r="M2283" s="0" t="s">
        <v>52</v>
      </c>
      <c r="N2283" s="0" t="s">
        <v>45</v>
      </c>
      <c r="P2283" s="13" t="n">
        <v>113</v>
      </c>
      <c r="Q2283" s="0" t="s">
        <v>46</v>
      </c>
      <c r="R2283" s="0" t="s">
        <v>47</v>
      </c>
      <c r="S2283" s="13" t="n">
        <v>1130101</v>
      </c>
      <c r="T2283" s="0" t="s">
        <v>48</v>
      </c>
      <c r="U2283" s="15" t="n">
        <v>673</v>
      </c>
      <c r="W2283" s="15" t="n">
        <v>673</v>
      </c>
      <c r="X2283" s="0" t="s">
        <v>1889</v>
      </c>
      <c r="Z2283" s="0" t="str">
        <f aca="false">IF($T2283="","",IFERROR(INDEX('Resumo Grupos'!$AC$3:$AC$200,MATCH($T2283,'Resumo Grupos'!$AB$3:$AB$200,0)),"n/d"))</f>
        <v>Mercadoria</v>
      </c>
      <c r="AA2283" s="0" t="str">
        <f aca="false">IF($T2283="","",IF(COUNTIF('Resumo Grupos'!$AE$3:$AE$40,$T2283)&gt;0,"NAO","SIM"))</f>
        <v>SIM</v>
      </c>
      <c r="AB2283" s="0" t="str">
        <f aca="false">IFERROR(INDEX('Mov Entradas (Rel 10497)'!$L:$L,MATCH(AC2283,'Mov Entradas (Rel 10497)'!$I:$I,0)),"nao encontrado")</f>
        <v>SAC LIX MERC OLI100L</v>
      </c>
      <c r="AC2283" s="0" t="n">
        <v>776</v>
      </c>
    </row>
    <row r="2284" customFormat="false" ht="12.75" hidden="false" customHeight="true" outlineLevel="0" collapsed="false">
      <c r="A2284" s="13" t="n">
        <v>2</v>
      </c>
      <c r="B2284" s="14" t="n">
        <v>46287</v>
      </c>
      <c r="C2284" s="14" t="n">
        <v>46294</v>
      </c>
      <c r="D2284" s="13" t="n">
        <v>1608</v>
      </c>
      <c r="E2284" s="0" t="s">
        <v>240</v>
      </c>
      <c r="F2284" s="13" t="n">
        <v>24</v>
      </c>
      <c r="G2284" s="0" t="s">
        <v>51</v>
      </c>
      <c r="H2284" s="13" t="n">
        <v>2110101</v>
      </c>
      <c r="I2284" s="0" t="s">
        <v>43</v>
      </c>
      <c r="J2284" s="13" t="n">
        <v>1739518</v>
      </c>
      <c r="L2284" s="13" t="n">
        <v>239293</v>
      </c>
      <c r="M2284" s="0" t="s">
        <v>52</v>
      </c>
      <c r="N2284" s="0" t="s">
        <v>45</v>
      </c>
      <c r="P2284" s="13" t="n">
        <v>113</v>
      </c>
      <c r="Q2284" s="0" t="s">
        <v>46</v>
      </c>
      <c r="R2284" s="0" t="s">
        <v>47</v>
      </c>
      <c r="S2284" s="13" t="n">
        <v>1130101</v>
      </c>
      <c r="T2284" s="0" t="s">
        <v>48</v>
      </c>
      <c r="U2284" s="15" t="n">
        <v>366.24</v>
      </c>
      <c r="W2284" s="15" t="n">
        <v>366.24</v>
      </c>
      <c r="X2284" s="0" t="s">
        <v>1890</v>
      </c>
      <c r="Z2284" s="0" t="str">
        <f aca="false">IF($T2284="","",IFERROR(INDEX('Resumo Grupos'!$AC$3:$AC$200,MATCH($T2284,'Resumo Grupos'!$AB$3:$AB$200,0)),"n/d"))</f>
        <v>Mercadoria</v>
      </c>
      <c r="AA2284" s="0" t="str">
        <f aca="false">IF($T2284="","",IF(COUNTIF('Resumo Grupos'!$AE$3:$AE$40,$T2284)&gt;0,"NAO","SIM"))</f>
        <v>SIM</v>
      </c>
      <c r="AB2284" s="0" t="str">
        <f aca="false">IFERROR(INDEX('Mov Entradas (Rel 10497)'!$L:$L,MATCH(AC2284,'Mov Entradas (Rel 10497)'!$I:$I,0)),"nao encontrado")</f>
        <v>SALG CHEETOS ONDA REQUEIJAO 40G</v>
      </c>
      <c r="AC2284" s="0" t="n">
        <v>1733742</v>
      </c>
    </row>
    <row r="2285" customFormat="false" ht="12.75" hidden="false" customHeight="true" outlineLevel="0" collapsed="false">
      <c r="A2285" s="13" t="n">
        <v>2</v>
      </c>
      <c r="B2285" s="14" t="n">
        <v>46260</v>
      </c>
      <c r="C2285" s="14" t="n">
        <v>46294</v>
      </c>
      <c r="D2285" s="13" t="n">
        <v>794</v>
      </c>
      <c r="E2285" s="0" t="s">
        <v>335</v>
      </c>
      <c r="F2285" s="13" t="n">
        <v>24</v>
      </c>
      <c r="G2285" s="0" t="s">
        <v>51</v>
      </c>
      <c r="H2285" s="13" t="n">
        <v>2110405</v>
      </c>
      <c r="I2285" s="0" t="s">
        <v>56</v>
      </c>
      <c r="J2285" s="13" t="n">
        <v>1604332</v>
      </c>
      <c r="L2285" s="13" t="n">
        <v>219753</v>
      </c>
      <c r="M2285" s="0" t="s">
        <v>52</v>
      </c>
      <c r="N2285" s="0" t="s">
        <v>45</v>
      </c>
      <c r="P2285" s="13" t="n">
        <v>113</v>
      </c>
      <c r="Q2285" s="0" t="s">
        <v>46</v>
      </c>
      <c r="R2285" s="0" t="s">
        <v>47</v>
      </c>
      <c r="S2285" s="13" t="n">
        <v>1130101</v>
      </c>
      <c r="T2285" s="0" t="s">
        <v>48</v>
      </c>
      <c r="U2285" s="15" t="n">
        <v>873.06</v>
      </c>
      <c r="W2285" s="15" t="n">
        <v>873.06</v>
      </c>
      <c r="X2285" s="0" t="s">
        <v>1635</v>
      </c>
      <c r="Z2285" s="0" t="str">
        <f aca="false">IF($T2285="","",IFERROR(INDEX('Resumo Grupos'!$AC$3:$AC$200,MATCH($T2285,'Resumo Grupos'!$AB$3:$AB$200,0)),"n/d"))</f>
        <v>Mercadoria</v>
      </c>
      <c r="AA2285" s="0" t="str">
        <f aca="false">IF($T2285="","",IF(COUNTIF('Resumo Grupos'!$AE$3:$AE$40,$T2285)&gt;0,"NAO","SIM"))</f>
        <v>SIM</v>
      </c>
      <c r="AB2285" s="0" t="str">
        <f aca="false">IFERROR(INDEX('Mov Entradas (Rel 10497)'!$L:$L,MATCH(AC2285,'Mov Entradas (Rel 10497)'!$I:$I,0)),"nao encontrado")</f>
        <v>RODO M 30CM CONDOR</v>
      </c>
      <c r="AC2285" s="0" t="n">
        <v>8744</v>
      </c>
    </row>
    <row r="2286" customFormat="false" ht="12.75" hidden="false" customHeight="true" outlineLevel="0" collapsed="false">
      <c r="A2286" s="13" t="n">
        <v>2</v>
      </c>
      <c r="B2286" s="14" t="n">
        <v>46276</v>
      </c>
      <c r="C2286" s="14" t="n">
        <v>46294</v>
      </c>
      <c r="D2286" s="13" t="n">
        <v>1217</v>
      </c>
      <c r="E2286" s="0" t="s">
        <v>776</v>
      </c>
      <c r="F2286" s="13" t="n">
        <v>24</v>
      </c>
      <c r="G2286" s="0" t="s">
        <v>51</v>
      </c>
      <c r="H2286" s="13" t="n">
        <v>2110405</v>
      </c>
      <c r="I2286" s="0" t="s">
        <v>56</v>
      </c>
      <c r="J2286" s="13" t="n">
        <v>1687686</v>
      </c>
      <c r="L2286" s="13" t="n">
        <v>231762</v>
      </c>
      <c r="M2286" s="0" t="s">
        <v>52</v>
      </c>
      <c r="N2286" s="0" t="s">
        <v>45</v>
      </c>
      <c r="P2286" s="13" t="n">
        <v>113</v>
      </c>
      <c r="Q2286" s="0" t="s">
        <v>46</v>
      </c>
      <c r="R2286" s="0" t="s">
        <v>47</v>
      </c>
      <c r="S2286" s="13" t="n">
        <v>1130101</v>
      </c>
      <c r="T2286" s="0" t="s">
        <v>48</v>
      </c>
      <c r="U2286" s="15" t="n">
        <v>793.47</v>
      </c>
      <c r="W2286" s="15" t="n">
        <v>793.47</v>
      </c>
      <c r="X2286" s="0" t="s">
        <v>1785</v>
      </c>
      <c r="Z2286" s="0" t="str">
        <f aca="false">IF($T2286="","",IFERROR(INDEX('Resumo Grupos'!$AC$3:$AC$200,MATCH($T2286,'Resumo Grupos'!$AB$3:$AB$200,0)),"n/d"))</f>
        <v>Mercadoria</v>
      </c>
      <c r="AA2286" s="0" t="str">
        <f aca="false">IF($T2286="","",IF(COUNTIF('Resumo Grupos'!$AE$3:$AE$40,$T2286)&gt;0,"NAO","SIM"))</f>
        <v>SIM</v>
      </c>
      <c r="AB2286" s="0" t="str">
        <f aca="false">IFERROR(INDEX('Mov Entradas (Rel 10497)'!$L:$L,MATCH(AC2286,'Mov Entradas (Rel 10497)'!$I:$I,0)),"nao encontrado")</f>
        <v>CORANTE XZ.PRETO</v>
      </c>
      <c r="AC2286" s="0" t="n">
        <v>5521</v>
      </c>
    </row>
    <row r="2287" customFormat="false" ht="12.75" hidden="false" customHeight="true" outlineLevel="0" collapsed="false">
      <c r="A2287" s="13" t="n">
        <v>2</v>
      </c>
      <c r="B2287" s="14" t="n">
        <v>46294</v>
      </c>
      <c r="C2287" s="14" t="n">
        <v>46294</v>
      </c>
      <c r="D2287" s="13" t="n">
        <v>1037</v>
      </c>
      <c r="E2287" s="0" t="s">
        <v>134</v>
      </c>
      <c r="F2287" s="13" t="n">
        <v>34</v>
      </c>
      <c r="G2287" s="0" t="s">
        <v>55</v>
      </c>
      <c r="H2287" s="13" t="n">
        <v>2110405</v>
      </c>
      <c r="I2287" s="0" t="s">
        <v>56</v>
      </c>
      <c r="J2287" s="13" t="n">
        <v>1775049</v>
      </c>
      <c r="L2287" s="13" t="n">
        <v>244509</v>
      </c>
      <c r="M2287" s="0" t="s">
        <v>52</v>
      </c>
      <c r="N2287" s="0" t="s">
        <v>45</v>
      </c>
      <c r="P2287" s="13" t="n">
        <v>113</v>
      </c>
      <c r="Q2287" s="0" t="s">
        <v>46</v>
      </c>
      <c r="R2287" s="0" t="s">
        <v>47</v>
      </c>
      <c r="S2287" s="13" t="n">
        <v>1130101</v>
      </c>
      <c r="T2287" s="0" t="s">
        <v>48</v>
      </c>
      <c r="U2287" s="15" t="n">
        <v>490</v>
      </c>
      <c r="W2287" s="15" t="n">
        <v>490</v>
      </c>
      <c r="X2287" s="0" t="s">
        <v>1891</v>
      </c>
      <c r="Z2287" s="0" t="str">
        <f aca="false">IF($T2287="","",IFERROR(INDEX('Resumo Grupos'!$AC$3:$AC$200,MATCH($T2287,'Resumo Grupos'!$AB$3:$AB$200,0)),"n/d"))</f>
        <v>Mercadoria</v>
      </c>
      <c r="AA2287" s="0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3" t="n">
        <v>2</v>
      </c>
      <c r="B2288" s="14" t="n">
        <v>46274</v>
      </c>
      <c r="C2288" s="14" t="n">
        <v>46294</v>
      </c>
      <c r="D2288" s="13" t="n">
        <v>1667</v>
      </c>
      <c r="E2288" s="0" t="s">
        <v>77</v>
      </c>
      <c r="F2288" s="13" t="n">
        <v>24</v>
      </c>
      <c r="G2288" s="0" t="s">
        <v>51</v>
      </c>
      <c r="H2288" s="13" t="n">
        <v>2110405</v>
      </c>
      <c r="I2288" s="0" t="s">
        <v>56</v>
      </c>
      <c r="J2288" s="13" t="n">
        <v>1676753</v>
      </c>
      <c r="L2288" s="13" t="n">
        <v>229956</v>
      </c>
      <c r="M2288" s="0" t="s">
        <v>52</v>
      </c>
      <c r="N2288" s="0" t="s">
        <v>45</v>
      </c>
      <c r="P2288" s="13" t="n">
        <v>113</v>
      </c>
      <c r="Q2288" s="0" t="s">
        <v>46</v>
      </c>
      <c r="R2288" s="0" t="s">
        <v>47</v>
      </c>
      <c r="S2288" s="13" t="n">
        <v>1130101</v>
      </c>
      <c r="T2288" s="0" t="s">
        <v>48</v>
      </c>
      <c r="U2288" s="15" t="n">
        <v>587.44</v>
      </c>
      <c r="W2288" s="15" t="n">
        <v>587.44</v>
      </c>
      <c r="X2288" s="0" t="s">
        <v>1801</v>
      </c>
      <c r="Z2288" s="0" t="str">
        <f aca="false">IF($T2288="","",IFERROR(INDEX('Resumo Grupos'!$AC$3:$AC$200,MATCH($T2288,'Resumo Grupos'!$AB$3:$AB$200,0)),"n/d"))</f>
        <v>Mercadoria</v>
      </c>
      <c r="AA2288" s="0" t="str">
        <f aca="false">IF($T2288="","",IF(COUNTIF('Resumo Grupos'!$AE$3:$AE$40,$T2288)&gt;0,"NAO","SIM"))</f>
        <v>SIM</v>
      </c>
      <c r="AB2288" s="0" t="str">
        <f aca="false">IFERROR(INDEX('Mov Entradas (Rel 10497)'!$L:$L,MATCH(AC2288,'Mov Entradas (Rel 10497)'!$I:$I,0)),"nao encontrado")</f>
        <v>AG SANIT QUALYBRIL1L</v>
      </c>
      <c r="AC2288" s="0" t="n">
        <v>399726</v>
      </c>
    </row>
    <row r="2289" customFormat="false" ht="12.75" hidden="false" customHeight="true" outlineLevel="0" collapsed="false">
      <c r="A2289" s="13" t="n">
        <v>2</v>
      </c>
      <c r="B2289" s="14" t="n">
        <v>46280</v>
      </c>
      <c r="C2289" s="14" t="n">
        <v>46294</v>
      </c>
      <c r="D2289" s="13" t="n">
        <v>1667</v>
      </c>
      <c r="E2289" s="0" t="s">
        <v>77</v>
      </c>
      <c r="F2289" s="13" t="n">
        <v>24</v>
      </c>
      <c r="G2289" s="0" t="s">
        <v>51</v>
      </c>
      <c r="H2289" s="13" t="n">
        <v>2110405</v>
      </c>
      <c r="I2289" s="0" t="s">
        <v>56</v>
      </c>
      <c r="J2289" s="13" t="n">
        <v>1707243</v>
      </c>
      <c r="L2289" s="13" t="n">
        <v>234437</v>
      </c>
      <c r="M2289" s="0" t="s">
        <v>52</v>
      </c>
      <c r="N2289" s="0" t="s">
        <v>45</v>
      </c>
      <c r="P2289" s="13" t="n">
        <v>113</v>
      </c>
      <c r="Q2289" s="0" t="s">
        <v>46</v>
      </c>
      <c r="R2289" s="0" t="s">
        <v>47</v>
      </c>
      <c r="S2289" s="13" t="n">
        <v>1130101</v>
      </c>
      <c r="T2289" s="0" t="s">
        <v>48</v>
      </c>
      <c r="U2289" s="15" t="n">
        <v>729.31</v>
      </c>
      <c r="W2289" s="15" t="n">
        <v>729.31</v>
      </c>
      <c r="X2289" s="0" t="s">
        <v>1802</v>
      </c>
      <c r="Z2289" s="0" t="str">
        <f aca="false">IF($T2289="","",IFERROR(INDEX('Resumo Grupos'!$AC$3:$AC$200,MATCH($T2289,'Resumo Grupos'!$AB$3:$AB$200,0)),"n/d"))</f>
        <v>Mercadoria</v>
      </c>
      <c r="AA2289" s="0" t="str">
        <f aca="false">IF($T2289="","",IF(COUNTIF('Resumo Grupos'!$AE$3:$AE$40,$T2289)&gt;0,"NAO","SIM"))</f>
        <v>SIM</v>
      </c>
      <c r="AB2289" s="0" t="str">
        <f aca="false">IFERROR(INDEX('Mov Entradas (Rel 10497)'!$L:$L,MATCH(AC2289,'Mov Entradas (Rel 10497)'!$I:$I,0)),"nao encontrado")</f>
        <v>SOPAO MAGGI CARN 200</v>
      </c>
      <c r="AC2289" s="0" t="n">
        <v>400026</v>
      </c>
    </row>
    <row r="2290" customFormat="false" ht="12.75" hidden="false" customHeight="true" outlineLevel="0" collapsed="false">
      <c r="A2290" s="13" t="n">
        <v>2</v>
      </c>
      <c r="B2290" s="14" t="n">
        <v>46288</v>
      </c>
      <c r="C2290" s="14" t="n">
        <v>46294</v>
      </c>
      <c r="D2290" s="13" t="n">
        <v>1650</v>
      </c>
      <c r="E2290" s="0" t="s">
        <v>438</v>
      </c>
      <c r="F2290" s="13" t="n">
        <v>24</v>
      </c>
      <c r="G2290" s="0" t="s">
        <v>51</v>
      </c>
      <c r="H2290" s="13" t="n">
        <v>2110405</v>
      </c>
      <c r="I2290" s="0" t="s">
        <v>56</v>
      </c>
      <c r="J2290" s="13" t="n">
        <v>1744183</v>
      </c>
      <c r="L2290" s="13" t="n">
        <v>240089</v>
      </c>
      <c r="M2290" s="0" t="s">
        <v>52</v>
      </c>
      <c r="N2290" s="0" t="s">
        <v>45</v>
      </c>
      <c r="P2290" s="13" t="n">
        <v>113</v>
      </c>
      <c r="Q2290" s="0" t="s">
        <v>46</v>
      </c>
      <c r="R2290" s="0" t="s">
        <v>47</v>
      </c>
      <c r="S2290" s="13" t="n">
        <v>1130101</v>
      </c>
      <c r="T2290" s="0" t="s">
        <v>48</v>
      </c>
      <c r="U2290" s="15" t="n">
        <v>473.34</v>
      </c>
      <c r="W2290" s="15" t="n">
        <v>473.34</v>
      </c>
      <c r="X2290" s="0" t="s">
        <v>1892</v>
      </c>
      <c r="Z2290" s="0" t="str">
        <f aca="false">IF($T2290="","",IFERROR(INDEX('Resumo Grupos'!$AC$3:$AC$200,MATCH($T2290,'Resumo Grupos'!$AB$3:$AB$200,0)),"n/d"))</f>
        <v>Mercadoria</v>
      </c>
      <c r="AA2290" s="0" t="str">
        <f aca="false">IF($T2290="","",IF(COUNTIF('Resumo Grupos'!$AE$3:$AE$40,$T2290)&gt;0,"NAO","SIM"))</f>
        <v>SIM</v>
      </c>
      <c r="AB2290" s="0" t="str">
        <f aca="false">IFERROR(INDEX('Mov Entradas (Rel 10497)'!$L:$L,MATCH(AC2290,'Mov Entradas (Rel 10497)'!$I:$I,0)),"nao encontrado")</f>
        <v>IOG.B.COMODORO SAC</v>
      </c>
      <c r="AC2290" s="0" t="n">
        <v>232190</v>
      </c>
    </row>
    <row r="2291" customFormat="false" ht="12.75" hidden="false" customHeight="true" outlineLevel="0" collapsed="false">
      <c r="A2291" s="13" t="n">
        <v>2</v>
      </c>
      <c r="B2291" s="14" t="n">
        <v>46294</v>
      </c>
      <c r="C2291" s="14" t="n">
        <v>46294</v>
      </c>
      <c r="D2291" s="13" t="n">
        <v>10096</v>
      </c>
      <c r="E2291" s="0" t="s">
        <v>622</v>
      </c>
      <c r="F2291" s="13" t="n">
        <v>13</v>
      </c>
      <c r="G2291" s="0" t="s">
        <v>135</v>
      </c>
      <c r="H2291" s="13" t="n">
        <v>2110405</v>
      </c>
      <c r="I2291" s="0" t="s">
        <v>56</v>
      </c>
      <c r="J2291" s="13" t="n">
        <v>1779149</v>
      </c>
      <c r="L2291" s="13" t="n">
        <v>245025</v>
      </c>
      <c r="M2291" s="0" t="s">
        <v>52</v>
      </c>
      <c r="N2291" s="0" t="s">
        <v>45</v>
      </c>
      <c r="P2291" s="13" t="n">
        <v>113</v>
      </c>
      <c r="Q2291" s="0" t="s">
        <v>46</v>
      </c>
      <c r="R2291" s="0" t="s">
        <v>47</v>
      </c>
      <c r="S2291" s="13" t="n">
        <v>1130101</v>
      </c>
      <c r="T2291" s="0" t="s">
        <v>48</v>
      </c>
      <c r="U2291" s="15" t="n">
        <v>120</v>
      </c>
      <c r="W2291" s="15" t="n">
        <v>120</v>
      </c>
      <c r="X2291" s="0" t="s">
        <v>1893</v>
      </c>
      <c r="Z2291" s="0" t="str">
        <f aca="false">IF($T2291="","",IFERROR(INDEX('Resumo Grupos'!$AC$3:$AC$200,MATCH($T2291,'Resumo Grupos'!$AB$3:$AB$200,0)),"n/d"))</f>
        <v>Mercadoria</v>
      </c>
      <c r="AA2291" s="0" t="str">
        <f aca="false">IF($T2291="","",IF(COUNTIF('Resumo Grupos'!$AE$3:$AE$40,$T2291)&gt;0,"NAO","SIM"))</f>
        <v>SIM</v>
      </c>
      <c r="AB2291" s="0" t="str">
        <f aca="false">IFERROR(INDEX('Mov Entradas (Rel 10497)'!$L:$L,MATCH(AC2291,'Mov Entradas (Rel 10497)'!$I:$I,0)),"nao encontrado")</f>
        <v>BOLO MIYAZAKI GRANDE</v>
      </c>
      <c r="AC2291" s="0" t="n">
        <v>349</v>
      </c>
    </row>
    <row r="2292" customFormat="false" ht="12.75" hidden="false" customHeight="true" outlineLevel="0" collapsed="false">
      <c r="A2292" s="13" t="n">
        <v>2</v>
      </c>
      <c r="B2292" s="14" t="n">
        <v>46288</v>
      </c>
      <c r="C2292" s="14" t="n">
        <v>46294</v>
      </c>
      <c r="D2292" s="13" t="n">
        <v>1363</v>
      </c>
      <c r="E2292" s="0" t="s">
        <v>174</v>
      </c>
      <c r="F2292" s="13" t="n">
        <v>24</v>
      </c>
      <c r="G2292" s="0" t="s">
        <v>51</v>
      </c>
      <c r="H2292" s="13" t="n">
        <v>2110405</v>
      </c>
      <c r="I2292" s="0" t="s">
        <v>56</v>
      </c>
      <c r="J2292" s="13" t="n">
        <v>1744110</v>
      </c>
      <c r="L2292" s="13" t="n">
        <v>240068</v>
      </c>
      <c r="M2292" s="0" t="s">
        <v>52</v>
      </c>
      <c r="N2292" s="0" t="s">
        <v>45</v>
      </c>
      <c r="P2292" s="13" t="n">
        <v>113</v>
      </c>
      <c r="Q2292" s="0" t="s">
        <v>46</v>
      </c>
      <c r="R2292" s="0" t="s">
        <v>47</v>
      </c>
      <c r="S2292" s="13" t="n">
        <v>1130101</v>
      </c>
      <c r="T2292" s="0" t="s">
        <v>48</v>
      </c>
      <c r="U2292" s="15" t="n">
        <v>108</v>
      </c>
      <c r="W2292" s="15" t="n">
        <v>108</v>
      </c>
      <c r="X2292" s="0" t="s">
        <v>1894</v>
      </c>
      <c r="Z2292" s="0" t="str">
        <f aca="false">IF($T2292="","",IFERROR(INDEX('Resumo Grupos'!$AC$3:$AC$200,MATCH($T2292,'Resumo Grupos'!$AB$3:$AB$200,0)),"n/d"))</f>
        <v>Mercadoria</v>
      </c>
      <c r="AA2292" s="0" t="str">
        <f aca="false">IF($T2292="","",IF(COUNTIF('Resumo Grupos'!$AE$3:$AE$40,$T2292)&gt;0,"NAO","SIM"))</f>
        <v>SIM</v>
      </c>
      <c r="AB2292" s="0" t="str">
        <f aca="false">IFERROR(INDEX('Mov Entradas (Rel 10497)'!$L:$L,MATCH(AC2292,'Mov Entradas (Rel 10497)'!$I:$I,0)),"nao encontrado")</f>
        <v>PAO BOLINHA SANTO PAO</v>
      </c>
      <c r="AC2292" s="0" t="n">
        <v>3973</v>
      </c>
    </row>
    <row r="2293" customFormat="false" ht="12.75" hidden="false" customHeight="true" outlineLevel="0" collapsed="false">
      <c r="A2293" s="13" t="n">
        <v>2</v>
      </c>
      <c r="B2293" s="14" t="n">
        <v>46288</v>
      </c>
      <c r="C2293" s="14" t="n">
        <v>46294</v>
      </c>
      <c r="D2293" s="13" t="n">
        <v>48</v>
      </c>
      <c r="E2293" s="0" t="s">
        <v>153</v>
      </c>
      <c r="F2293" s="13" t="n">
        <v>34</v>
      </c>
      <c r="G2293" s="0" t="s">
        <v>55</v>
      </c>
      <c r="H2293" s="13" t="n">
        <v>2110101</v>
      </c>
      <c r="I2293" s="0" t="s">
        <v>43</v>
      </c>
      <c r="J2293" s="13" t="n">
        <v>1744490</v>
      </c>
      <c r="L2293" s="13" t="n">
        <v>2696</v>
      </c>
      <c r="M2293" s="0" t="s">
        <v>52</v>
      </c>
      <c r="N2293" s="0" t="s">
        <v>37</v>
      </c>
      <c r="P2293" s="13" t="n">
        <v>113</v>
      </c>
      <c r="Q2293" s="0" t="s">
        <v>46</v>
      </c>
      <c r="R2293" s="0" t="s">
        <v>47</v>
      </c>
      <c r="S2293" s="13" t="n">
        <v>1130101</v>
      </c>
      <c r="T2293" s="0" t="s">
        <v>48</v>
      </c>
      <c r="U2293" s="15" t="n">
        <v>1200</v>
      </c>
      <c r="W2293" s="15" t="n">
        <v>1200</v>
      </c>
      <c r="X2293" s="0" t="s">
        <v>441</v>
      </c>
      <c r="Z2293" s="0" t="str">
        <f aca="false">IF($T2293="","",IFERROR(INDEX('Resumo Grupos'!$AC$3:$AC$200,MATCH($T2293,'Resumo Grupos'!$AB$3:$AB$200,0)),"n/d"))</f>
        <v>Mercadoria</v>
      </c>
      <c r="AA2293" s="0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3" t="n">
        <v>2</v>
      </c>
      <c r="B2294" s="14" t="n">
        <v>46294</v>
      </c>
      <c r="C2294" s="14" t="n">
        <v>46294</v>
      </c>
      <c r="D2294" s="13" t="n">
        <v>48</v>
      </c>
      <c r="E2294" s="0" t="s">
        <v>153</v>
      </c>
      <c r="F2294" s="13" t="n">
        <v>13</v>
      </c>
      <c r="G2294" s="0" t="s">
        <v>135</v>
      </c>
      <c r="H2294" s="13" t="n">
        <v>2110101</v>
      </c>
      <c r="I2294" s="0" t="s">
        <v>43</v>
      </c>
      <c r="J2294" s="13" t="n">
        <v>1773763</v>
      </c>
      <c r="L2294" s="13" t="n">
        <v>2705</v>
      </c>
      <c r="M2294" s="0" t="s">
        <v>52</v>
      </c>
      <c r="N2294" s="0" t="s">
        <v>37</v>
      </c>
      <c r="P2294" s="13" t="n">
        <v>113</v>
      </c>
      <c r="Q2294" s="0" t="s">
        <v>46</v>
      </c>
      <c r="R2294" s="0" t="s">
        <v>47</v>
      </c>
      <c r="S2294" s="13" t="n">
        <v>1130101</v>
      </c>
      <c r="T2294" s="0" t="s">
        <v>48</v>
      </c>
      <c r="U2294" s="15" t="n">
        <v>225</v>
      </c>
      <c r="W2294" s="15" t="n">
        <v>225</v>
      </c>
      <c r="X2294" s="0" t="s">
        <v>1895</v>
      </c>
      <c r="Z2294" s="0" t="str">
        <f aca="false">IF($T2294="","",IFERROR(INDEX('Resumo Grupos'!$AC$3:$AC$200,MATCH($T2294,'Resumo Grupos'!$AB$3:$AB$200,0)),"n/d"))</f>
        <v>Mercadoria</v>
      </c>
      <c r="AA2294" s="0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3" t="n">
        <v>2</v>
      </c>
      <c r="B2295" s="14" t="n">
        <v>46294</v>
      </c>
      <c r="C2295" s="14" t="n">
        <v>46294</v>
      </c>
      <c r="D2295" s="13" t="n">
        <v>48</v>
      </c>
      <c r="E2295" s="0" t="s">
        <v>153</v>
      </c>
      <c r="F2295" s="13" t="n">
        <v>34</v>
      </c>
      <c r="G2295" s="0" t="s">
        <v>55</v>
      </c>
      <c r="H2295" s="13" t="n">
        <v>2110101</v>
      </c>
      <c r="I2295" s="0" t="s">
        <v>43</v>
      </c>
      <c r="J2295" s="13" t="n">
        <v>1775023</v>
      </c>
      <c r="L2295" s="13" t="n">
        <v>2708</v>
      </c>
      <c r="M2295" s="0" t="s">
        <v>52</v>
      </c>
      <c r="N2295" s="0" t="s">
        <v>37</v>
      </c>
      <c r="P2295" s="13" t="n">
        <v>113</v>
      </c>
      <c r="Q2295" s="0" t="s">
        <v>46</v>
      </c>
      <c r="R2295" s="0" t="s">
        <v>47</v>
      </c>
      <c r="S2295" s="13" t="n">
        <v>1130101</v>
      </c>
      <c r="T2295" s="0" t="s">
        <v>48</v>
      </c>
      <c r="U2295" s="15" t="n">
        <v>1904</v>
      </c>
      <c r="W2295" s="15" t="n">
        <v>1904</v>
      </c>
      <c r="X2295" s="0" t="s">
        <v>1896</v>
      </c>
      <c r="Z2295" s="0" t="str">
        <f aca="false">IF($T2295="","",IFERROR(INDEX('Resumo Grupos'!$AC$3:$AC$200,MATCH($T2295,'Resumo Grupos'!$AB$3:$AB$200,0)),"n/d"))</f>
        <v>Mercadoria</v>
      </c>
      <c r="AA2295" s="0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3" t="n">
        <v>2</v>
      </c>
      <c r="B2296" s="14" t="n">
        <v>46288</v>
      </c>
      <c r="C2296" s="14" t="n">
        <v>46294</v>
      </c>
      <c r="D2296" s="13" t="n">
        <v>1123</v>
      </c>
      <c r="E2296" s="0" t="s">
        <v>443</v>
      </c>
      <c r="F2296" s="13" t="n">
        <v>24</v>
      </c>
      <c r="G2296" s="0" t="s">
        <v>51</v>
      </c>
      <c r="H2296" s="13" t="n">
        <v>2110405</v>
      </c>
      <c r="I2296" s="0" t="s">
        <v>56</v>
      </c>
      <c r="J2296" s="13" t="n">
        <v>1744072</v>
      </c>
      <c r="L2296" s="13" t="n">
        <v>240058</v>
      </c>
      <c r="M2296" s="0" t="s">
        <v>52</v>
      </c>
      <c r="N2296" s="0" t="s">
        <v>45</v>
      </c>
      <c r="P2296" s="13" t="n">
        <v>113</v>
      </c>
      <c r="Q2296" s="0" t="s">
        <v>46</v>
      </c>
      <c r="R2296" s="0" t="s">
        <v>47</v>
      </c>
      <c r="S2296" s="13" t="n">
        <v>1130101</v>
      </c>
      <c r="T2296" s="0" t="s">
        <v>48</v>
      </c>
      <c r="U2296" s="15" t="n">
        <v>460</v>
      </c>
      <c r="W2296" s="15" t="n">
        <v>460</v>
      </c>
      <c r="X2296" s="0" t="s">
        <v>1897</v>
      </c>
      <c r="Z2296" s="0" t="str">
        <f aca="false">IF($T2296="","",IFERROR(INDEX('Resumo Grupos'!$AC$3:$AC$200,MATCH($T2296,'Resumo Grupos'!$AB$3:$AB$200,0)),"n/d"))</f>
        <v>Mercadoria</v>
      </c>
      <c r="AA2296" s="0" t="str">
        <f aca="false">IF($T2296="","",IF(COUNTIF('Resumo Grupos'!$AE$3:$AE$40,$T2296)&gt;0,"NAO","SIM"))</f>
        <v>SIM</v>
      </c>
      <c r="AB2296" s="0" t="str">
        <f aca="false">IFERROR(INDEX('Mov Entradas (Rel 10497)'!$L:$L,MATCH(AC2296,'Mov Entradas (Rel 10497)'!$I:$I,0)),"nao encontrado")</f>
        <v>QUEIJO MUSSARELA INT</v>
      </c>
      <c r="AC2296" s="0" t="n">
        <v>48651</v>
      </c>
    </row>
    <row r="2297" customFormat="false" ht="12.75" hidden="false" customHeight="true" outlineLevel="0" collapsed="false">
      <c r="A2297" s="13" t="n">
        <v>2</v>
      </c>
      <c r="B2297" s="14" t="n">
        <v>46293</v>
      </c>
      <c r="C2297" s="14" t="n">
        <v>46294</v>
      </c>
      <c r="D2297" s="13" t="n">
        <v>1807</v>
      </c>
      <c r="E2297" s="0" t="s">
        <v>1098</v>
      </c>
      <c r="F2297" s="13" t="n">
        <v>24</v>
      </c>
      <c r="G2297" s="0" t="s">
        <v>51</v>
      </c>
      <c r="H2297" s="13" t="n">
        <v>2110405</v>
      </c>
      <c r="I2297" s="0" t="s">
        <v>56</v>
      </c>
      <c r="J2297" s="13" t="n">
        <v>1600838</v>
      </c>
      <c r="L2297" s="13" t="n">
        <v>219216</v>
      </c>
      <c r="M2297" s="0" t="s">
        <v>44</v>
      </c>
      <c r="N2297" s="0" t="s">
        <v>45</v>
      </c>
      <c r="P2297" s="13" t="n">
        <v>101</v>
      </c>
      <c r="Q2297" s="0" t="s">
        <v>57</v>
      </c>
      <c r="R2297" s="0" t="s">
        <v>509</v>
      </c>
      <c r="S2297" s="13" t="n">
        <v>2110704</v>
      </c>
      <c r="T2297" s="0" t="s">
        <v>1099</v>
      </c>
      <c r="U2297" s="15" t="n">
        <v>591.53</v>
      </c>
      <c r="W2297" s="15" t="n">
        <v>591.53</v>
      </c>
      <c r="X2297" s="0" t="s">
        <v>1898</v>
      </c>
      <c r="Z2297" s="0" t="str">
        <f aca="false">IF($T2297="","",IFERROR(INDEX('Resumo Grupos'!$AC$3:$AC$200,MATCH($T2297,'Resumo Grupos'!$AB$3:$AB$200,0)),"n/d"))</f>
        <v>Despesa</v>
      </c>
      <c r="AA2297" s="0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3" t="n">
        <v>2</v>
      </c>
      <c r="B2298" s="14" t="n">
        <v>46293</v>
      </c>
      <c r="C2298" s="14" t="n">
        <v>46294</v>
      </c>
      <c r="D2298" s="13" t="n">
        <v>1807</v>
      </c>
      <c r="E2298" s="0" t="s">
        <v>1098</v>
      </c>
      <c r="F2298" s="13" t="n">
        <v>24</v>
      </c>
      <c r="G2298" s="0" t="s">
        <v>51</v>
      </c>
      <c r="H2298" s="13" t="n">
        <v>2110405</v>
      </c>
      <c r="I2298" s="0" t="s">
        <v>56</v>
      </c>
      <c r="J2298" s="13" t="n">
        <v>1600852</v>
      </c>
      <c r="L2298" s="13" t="n">
        <v>219219</v>
      </c>
      <c r="M2298" s="0" t="s">
        <v>44</v>
      </c>
      <c r="N2298" s="0" t="s">
        <v>45</v>
      </c>
      <c r="P2298" s="13" t="n">
        <v>101</v>
      </c>
      <c r="Q2298" s="0" t="s">
        <v>57</v>
      </c>
      <c r="R2298" s="0" t="s">
        <v>509</v>
      </c>
      <c r="S2298" s="13" t="n">
        <v>2110712</v>
      </c>
      <c r="T2298" s="0" t="s">
        <v>1101</v>
      </c>
      <c r="U2298" s="15" t="n">
        <v>354.92</v>
      </c>
      <c r="W2298" s="15" t="n">
        <v>354.92</v>
      </c>
      <c r="X2298" s="0" t="s">
        <v>1899</v>
      </c>
      <c r="Z2298" s="0" t="str">
        <f aca="false">IF($T2298="","",IFERROR(INDEX('Resumo Grupos'!$AC$3:$AC$200,MATCH($T2298,'Resumo Grupos'!$AB$3:$AB$200,0)),"n/d"))</f>
        <v>Despesa</v>
      </c>
      <c r="AA2298" s="0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3" t="n">
        <v>2</v>
      </c>
      <c r="B2299" s="14" t="n">
        <v>46294</v>
      </c>
      <c r="C2299" s="14" t="n">
        <v>46294</v>
      </c>
      <c r="D2299" s="13" t="n">
        <v>0</v>
      </c>
      <c r="E2299" s="0" t="s">
        <v>109</v>
      </c>
      <c r="F2299" s="13" t="n">
        <v>17</v>
      </c>
      <c r="G2299" s="0" t="s">
        <v>110</v>
      </c>
      <c r="H2299" s="13" t="n">
        <v>1110101</v>
      </c>
      <c r="I2299" s="0" t="s">
        <v>111</v>
      </c>
      <c r="J2299" s="13" t="n">
        <v>1779134</v>
      </c>
      <c r="L2299" s="13" t="n">
        <v>1779134</v>
      </c>
      <c r="M2299" s="0" t="s">
        <v>52</v>
      </c>
      <c r="N2299" s="0" t="s">
        <v>112</v>
      </c>
      <c r="P2299" s="13" t="n">
        <v>113</v>
      </c>
      <c r="Q2299" s="0" t="s">
        <v>46</v>
      </c>
      <c r="R2299" s="0" t="s">
        <v>259</v>
      </c>
      <c r="S2299" s="13" t="n">
        <v>2110101</v>
      </c>
      <c r="T2299" s="0" t="s">
        <v>43</v>
      </c>
      <c r="U2299" s="15" t="n">
        <v>225</v>
      </c>
      <c r="W2299" s="15" t="n">
        <v>225</v>
      </c>
      <c r="X2299" s="0" t="s">
        <v>1900</v>
      </c>
      <c r="Z2299" s="0" t="str">
        <f aca="false">IF($T2299="","",IFERROR(INDEX('Resumo Grupos'!$AC$3:$AC$200,MATCH($T2299,'Resumo Grupos'!$AB$3:$AB$200,0)),"n/d"))</f>
        <v>Despesa</v>
      </c>
      <c r="AA2299" s="0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3" t="n">
        <v>2</v>
      </c>
      <c r="B2300" s="14" t="n">
        <v>46294</v>
      </c>
      <c r="C2300" s="14" t="n">
        <v>46294</v>
      </c>
      <c r="D2300" s="13" t="n">
        <v>0</v>
      </c>
      <c r="E2300" s="0" t="s">
        <v>109</v>
      </c>
      <c r="F2300" s="13" t="n">
        <v>17</v>
      </c>
      <c r="G2300" s="0" t="s">
        <v>110</v>
      </c>
      <c r="H2300" s="13" t="n">
        <v>1110101</v>
      </c>
      <c r="I2300" s="0" t="s">
        <v>111</v>
      </c>
      <c r="J2300" s="13" t="n">
        <v>1779151</v>
      </c>
      <c r="L2300" s="13" t="n">
        <v>1779151</v>
      </c>
      <c r="M2300" s="0" t="s">
        <v>52</v>
      </c>
      <c r="N2300" s="0" t="s">
        <v>112</v>
      </c>
      <c r="P2300" s="13" t="n">
        <v>113</v>
      </c>
      <c r="Q2300" s="0" t="s">
        <v>46</v>
      </c>
      <c r="R2300" s="0" t="s">
        <v>56</v>
      </c>
      <c r="S2300" s="13" t="n">
        <v>2110405</v>
      </c>
      <c r="T2300" s="0" t="s">
        <v>56</v>
      </c>
      <c r="U2300" s="15" t="n">
        <v>120</v>
      </c>
      <c r="W2300" s="15" t="n">
        <v>120</v>
      </c>
      <c r="X2300" s="0" t="s">
        <v>1901</v>
      </c>
      <c r="Z2300" s="0" t="str">
        <f aca="false">IF($T2300="","",IFERROR(INDEX('Resumo Grupos'!$AC$3:$AC$200,MATCH($T2300,'Resumo Grupos'!$AB$3:$AB$200,0)),"n/d"))</f>
        <v>Cobertura de conta</v>
      </c>
      <c r="AA2300" s="0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3" t="n">
        <v>2</v>
      </c>
      <c r="B2301" s="14" t="n">
        <v>46294</v>
      </c>
      <c r="C2301" s="14" t="n">
        <v>46294</v>
      </c>
      <c r="D2301" s="13" t="n">
        <v>0</v>
      </c>
      <c r="E2301" s="0" t="s">
        <v>109</v>
      </c>
      <c r="F2301" s="13" t="n">
        <v>17</v>
      </c>
      <c r="G2301" s="0" t="s">
        <v>110</v>
      </c>
      <c r="H2301" s="13" t="n">
        <v>1110101</v>
      </c>
      <c r="I2301" s="0" t="s">
        <v>111</v>
      </c>
      <c r="J2301" s="13" t="n">
        <v>1779155</v>
      </c>
      <c r="L2301" s="13" t="n">
        <v>1779155</v>
      </c>
      <c r="M2301" s="0" t="s">
        <v>52</v>
      </c>
      <c r="N2301" s="0" t="s">
        <v>112</v>
      </c>
      <c r="P2301" s="13" t="n">
        <v>113</v>
      </c>
      <c r="Q2301" s="0" t="s">
        <v>46</v>
      </c>
      <c r="R2301" s="0" t="s">
        <v>71</v>
      </c>
      <c r="S2301" s="13" t="n">
        <v>4210309</v>
      </c>
      <c r="T2301" s="0" t="s">
        <v>72</v>
      </c>
      <c r="U2301" s="15" t="n">
        <v>10</v>
      </c>
      <c r="W2301" s="15" t="n">
        <v>10</v>
      </c>
      <c r="X2301" s="0" t="s">
        <v>1902</v>
      </c>
      <c r="Z2301" s="0" t="str">
        <f aca="false">IF($T2301="","",IFERROR(INDEX('Resumo Grupos'!$AC$3:$AC$200,MATCH($T2301,'Resumo Grupos'!$AB$3:$AB$200,0)),"n/d"))</f>
        <v>Salários</v>
      </c>
      <c r="AA2301" s="0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3" t="n">
        <v>2</v>
      </c>
      <c r="B2302" s="14" t="n">
        <v>46294</v>
      </c>
      <c r="C2302" s="14" t="n">
        <v>46294</v>
      </c>
      <c r="D2302" s="13" t="n">
        <v>0</v>
      </c>
      <c r="E2302" s="0" t="s">
        <v>109</v>
      </c>
      <c r="F2302" s="13" t="n">
        <v>17</v>
      </c>
      <c r="G2302" s="0" t="s">
        <v>110</v>
      </c>
      <c r="H2302" s="13" t="n">
        <v>1110101</v>
      </c>
      <c r="I2302" s="0" t="s">
        <v>111</v>
      </c>
      <c r="J2302" s="13" t="n">
        <v>1779157</v>
      </c>
      <c r="L2302" s="13" t="n">
        <v>1779157</v>
      </c>
      <c r="M2302" s="0" t="s">
        <v>52</v>
      </c>
      <c r="N2302" s="0" t="s">
        <v>112</v>
      </c>
      <c r="P2302" s="13" t="n">
        <v>113</v>
      </c>
      <c r="Q2302" s="0" t="s">
        <v>46</v>
      </c>
      <c r="R2302" s="0" t="s">
        <v>71</v>
      </c>
      <c r="S2302" s="13" t="n">
        <v>4210314</v>
      </c>
      <c r="T2302" s="0" t="s">
        <v>113</v>
      </c>
      <c r="U2302" s="15" t="n">
        <v>200</v>
      </c>
      <c r="W2302" s="15" t="n">
        <v>200</v>
      </c>
      <c r="X2302" s="0" t="s">
        <v>1903</v>
      </c>
      <c r="Z2302" s="0" t="str">
        <f aca="false">IF($T2302="","",IFERROR(INDEX('Resumo Grupos'!$AC$3:$AC$200,MATCH($T2302,'Resumo Grupos'!$AB$3:$AB$200,0)),"n/d"))</f>
        <v>Despesa</v>
      </c>
      <c r="AA2302" s="0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3" t="n">
        <v>2</v>
      </c>
      <c r="B2303" s="14" t="n">
        <v>46294</v>
      </c>
      <c r="C2303" s="14" t="n">
        <v>46294</v>
      </c>
      <c r="D2303" s="13" t="n">
        <v>0</v>
      </c>
      <c r="E2303" s="0" t="s">
        <v>109</v>
      </c>
      <c r="F2303" s="13" t="n">
        <v>17</v>
      </c>
      <c r="G2303" s="0" t="s">
        <v>110</v>
      </c>
      <c r="H2303" s="13" t="n">
        <v>1110101</v>
      </c>
      <c r="I2303" s="0" t="s">
        <v>111</v>
      </c>
      <c r="J2303" s="13" t="n">
        <v>1779160</v>
      </c>
      <c r="L2303" s="13" t="n">
        <v>1779160</v>
      </c>
      <c r="M2303" s="0" t="s">
        <v>52</v>
      </c>
      <c r="N2303" s="0" t="s">
        <v>112</v>
      </c>
      <c r="P2303" s="13" t="n">
        <v>113</v>
      </c>
      <c r="Q2303" s="0" t="s">
        <v>46</v>
      </c>
      <c r="R2303" s="0" t="s">
        <v>71</v>
      </c>
      <c r="S2303" s="13" t="n">
        <v>4210314</v>
      </c>
      <c r="T2303" s="0" t="s">
        <v>113</v>
      </c>
      <c r="U2303" s="15" t="n">
        <v>50</v>
      </c>
      <c r="W2303" s="15" t="n">
        <v>50</v>
      </c>
      <c r="X2303" s="0" t="s">
        <v>1904</v>
      </c>
      <c r="Z2303" s="0" t="str">
        <f aca="false">IF($T2303="","",IFERROR(INDEX('Resumo Grupos'!$AC$3:$AC$200,MATCH($T2303,'Resumo Grupos'!$AB$3:$AB$200,0)),"n/d"))</f>
        <v>Despesa</v>
      </c>
      <c r="AA2303" s="0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3" t="n">
        <v>2</v>
      </c>
      <c r="B2304" s="14" t="n">
        <v>46294</v>
      </c>
      <c r="C2304" s="14" t="n">
        <v>46294</v>
      </c>
      <c r="D2304" s="13" t="n">
        <v>0</v>
      </c>
      <c r="E2304" s="0" t="s">
        <v>109</v>
      </c>
      <c r="F2304" s="13" t="n">
        <v>17</v>
      </c>
      <c r="G2304" s="0" t="s">
        <v>110</v>
      </c>
      <c r="H2304" s="13" t="n">
        <v>1110101</v>
      </c>
      <c r="I2304" s="0" t="s">
        <v>111</v>
      </c>
      <c r="J2304" s="13" t="n">
        <v>1779162</v>
      </c>
      <c r="L2304" s="13" t="n">
        <v>1779162</v>
      </c>
      <c r="M2304" s="0" t="s">
        <v>52</v>
      </c>
      <c r="N2304" s="0" t="s">
        <v>112</v>
      </c>
      <c r="P2304" s="13" t="n">
        <v>113</v>
      </c>
      <c r="Q2304" s="0" t="s">
        <v>46</v>
      </c>
      <c r="R2304" s="0" t="s">
        <v>71</v>
      </c>
      <c r="S2304" s="13" t="n">
        <v>4210314</v>
      </c>
      <c r="T2304" s="0" t="s">
        <v>113</v>
      </c>
      <c r="U2304" s="15" t="n">
        <v>70</v>
      </c>
      <c r="W2304" s="15" t="n">
        <v>70</v>
      </c>
      <c r="X2304" s="0" t="s">
        <v>1905</v>
      </c>
      <c r="Z2304" s="0" t="str">
        <f aca="false">IF($T2304="","",IFERROR(INDEX('Resumo Grupos'!$AC$3:$AC$200,MATCH($T2304,'Resumo Grupos'!$AB$3:$AB$200,0)),"n/d"))</f>
        <v>Despesa</v>
      </c>
      <c r="AA2304" s="0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3" t="n">
        <v>2</v>
      </c>
      <c r="B2305" s="14" t="n">
        <v>46260</v>
      </c>
      <c r="C2305" s="14" t="n">
        <v>46294</v>
      </c>
      <c r="D2305" s="13" t="n">
        <v>1390</v>
      </c>
      <c r="E2305" s="0" t="s">
        <v>1906</v>
      </c>
      <c r="F2305" s="13" t="n">
        <v>24</v>
      </c>
      <c r="G2305" s="0" t="s">
        <v>51</v>
      </c>
      <c r="H2305" s="13" t="n">
        <v>2110405</v>
      </c>
      <c r="I2305" s="0" t="s">
        <v>56</v>
      </c>
      <c r="J2305" s="13" t="n">
        <v>1603783</v>
      </c>
      <c r="L2305" s="13" t="n">
        <v>219644</v>
      </c>
      <c r="M2305" s="0" t="s">
        <v>52</v>
      </c>
      <c r="N2305" s="0" t="s">
        <v>45</v>
      </c>
      <c r="P2305" s="13" t="n">
        <v>113</v>
      </c>
      <c r="Q2305" s="0" t="s">
        <v>46</v>
      </c>
      <c r="R2305" s="0" t="s">
        <v>47</v>
      </c>
      <c r="S2305" s="13" t="n">
        <v>1130101</v>
      </c>
      <c r="T2305" s="0" t="s">
        <v>48</v>
      </c>
      <c r="U2305" s="15" t="n">
        <v>348.18</v>
      </c>
      <c r="W2305" s="15" t="n">
        <v>348.18</v>
      </c>
      <c r="X2305" s="0" t="s">
        <v>1907</v>
      </c>
      <c r="Z2305" s="0" t="str">
        <f aca="false">IF($T2305="","",IFERROR(INDEX('Resumo Grupos'!$AC$3:$AC$200,MATCH($T2305,'Resumo Grupos'!$AB$3:$AB$200,0)),"n/d"))</f>
        <v>Mercadoria</v>
      </c>
      <c r="AA2305" s="0" t="str">
        <f aca="false">IF($T2305="","",IF(COUNTIF('Resumo Grupos'!$AE$3:$AE$40,$T2305)&gt;0,"NAO","SIM"))</f>
        <v>SIM</v>
      </c>
      <c r="AB2305" s="0" t="str">
        <f aca="false">IFERROR(INDEX('Mov Entradas (Rel 10497)'!$L:$L,MATCH(AC2305,'Mov Entradas (Rel 10497)'!$I:$I,0)),"nao encontrado")</f>
        <v>LOLLIPOP DONUTS SORTIDOS 15G</v>
      </c>
      <c r="AC2305" s="0" t="n">
        <v>7287</v>
      </c>
    </row>
    <row r="2306" customFormat="false" ht="12.75" hidden="false" customHeight="true" outlineLevel="0" collapsed="false">
      <c r="A2306" s="13" t="n">
        <v>2</v>
      </c>
      <c r="B2306" s="14" t="n">
        <v>46280</v>
      </c>
      <c r="C2306" s="14" t="n">
        <v>46294</v>
      </c>
      <c r="D2306" s="13" t="n">
        <v>1666</v>
      </c>
      <c r="E2306" s="0" t="s">
        <v>266</v>
      </c>
      <c r="F2306" s="13" t="n">
        <v>24</v>
      </c>
      <c r="G2306" s="0" t="s">
        <v>51</v>
      </c>
      <c r="H2306" s="13" t="n">
        <v>2110405</v>
      </c>
      <c r="I2306" s="0" t="s">
        <v>56</v>
      </c>
      <c r="J2306" s="13" t="n">
        <v>1706876</v>
      </c>
      <c r="L2306" s="13" t="n">
        <v>234396</v>
      </c>
      <c r="M2306" s="0" t="s">
        <v>52</v>
      </c>
      <c r="N2306" s="0" t="s">
        <v>45</v>
      </c>
      <c r="P2306" s="13" t="n">
        <v>113</v>
      </c>
      <c r="Q2306" s="0" t="s">
        <v>46</v>
      </c>
      <c r="R2306" s="0" t="s">
        <v>47</v>
      </c>
      <c r="S2306" s="13" t="n">
        <v>1130101</v>
      </c>
      <c r="T2306" s="0" t="s">
        <v>48</v>
      </c>
      <c r="U2306" s="15" t="n">
        <v>4060.96</v>
      </c>
      <c r="W2306" s="15" t="n">
        <v>4060.96</v>
      </c>
      <c r="X2306" s="0" t="s">
        <v>1809</v>
      </c>
      <c r="Z2306" s="0" t="str">
        <f aca="false">IF($T2306="","",IFERROR(INDEX('Resumo Grupos'!$AC$3:$AC$200,MATCH($T2306,'Resumo Grupos'!$AB$3:$AB$200,0)),"n/d"))</f>
        <v>Mercadoria</v>
      </c>
      <c r="AA2306" s="0" t="str">
        <f aca="false">IF($T2306="","",IF(COUNTIF('Resumo Grupos'!$AE$3:$AE$40,$T2306)&gt;0,"NAO","SIM"))</f>
        <v>SIM</v>
      </c>
      <c r="AB2306" s="0" t="str">
        <f aca="false">IFERROR(INDEX('Mov Entradas (Rel 10497)'!$L:$L,MATCH(AC2306,'Mov Entradas (Rel 10497)'!$I:$I,0)),"nao encontrado")</f>
        <v>DUNHILL CARLTON BLEN</v>
      </c>
      <c r="AC2306" s="0" t="n">
        <v>573768</v>
      </c>
    </row>
    <row r="2307" customFormat="false" ht="12.75" hidden="false" customHeight="true" outlineLevel="0" collapsed="false">
      <c r="A2307" s="13" t="n">
        <v>2</v>
      </c>
      <c r="B2307" s="14" t="n">
        <v>46274</v>
      </c>
      <c r="C2307" s="14" t="n">
        <v>46294</v>
      </c>
      <c r="D2307" s="13" t="n">
        <v>1671</v>
      </c>
      <c r="E2307" s="0" t="s">
        <v>119</v>
      </c>
      <c r="F2307" s="13" t="n">
        <v>24</v>
      </c>
      <c r="G2307" s="0" t="s">
        <v>51</v>
      </c>
      <c r="H2307" s="13" t="n">
        <v>2110405</v>
      </c>
      <c r="I2307" s="0" t="s">
        <v>56</v>
      </c>
      <c r="J2307" s="13" t="n">
        <v>1678510</v>
      </c>
      <c r="L2307" s="13" t="n">
        <v>230277</v>
      </c>
      <c r="M2307" s="0" t="s">
        <v>52</v>
      </c>
      <c r="N2307" s="0" t="s">
        <v>45</v>
      </c>
      <c r="P2307" s="13" t="n">
        <v>113</v>
      </c>
      <c r="Q2307" s="0" t="s">
        <v>46</v>
      </c>
      <c r="R2307" s="0" t="s">
        <v>47</v>
      </c>
      <c r="S2307" s="13" t="n">
        <v>1130101</v>
      </c>
      <c r="T2307" s="0" t="s">
        <v>48</v>
      </c>
      <c r="U2307" s="15" t="n">
        <v>575.27</v>
      </c>
      <c r="W2307" s="15" t="n">
        <v>575.27</v>
      </c>
      <c r="X2307" s="0" t="s">
        <v>1810</v>
      </c>
      <c r="Z2307" s="0" t="str">
        <f aca="false">IF($T2307="","",IFERROR(INDEX('Resumo Grupos'!$AC$3:$AC$200,MATCH($T2307,'Resumo Grupos'!$AB$3:$AB$200,0)),"n/d"))</f>
        <v>Mercadoria</v>
      </c>
      <c r="AA2307" s="0" t="str">
        <f aca="false">IF($T2307="","",IF(COUNTIF('Resumo Grupos'!$AE$3:$AE$40,$T2307)&gt;0,"NAO","SIM"))</f>
        <v>SIM</v>
      </c>
      <c r="AB2307" s="0" t="str">
        <f aca="false">IFERROR(INDEX('Mov Entradas (Rel 10497)'!$L:$L,MATCH(AC2307,'Mov Entradas (Rel 10497)'!$I:$I,0)),"nao encontrado")</f>
        <v>ABS NATURALMEN C/A 8</v>
      </c>
      <c r="AC2307" s="0" t="n">
        <v>591052</v>
      </c>
    </row>
    <row r="2308" customFormat="false" ht="12.75" hidden="false" customHeight="true" outlineLevel="0" collapsed="false">
      <c r="A2308" s="13" t="n">
        <v>2</v>
      </c>
      <c r="B2308" s="14" t="n">
        <v>46276</v>
      </c>
      <c r="C2308" s="14" t="n">
        <v>46295</v>
      </c>
      <c r="D2308" s="13" t="n">
        <v>1613</v>
      </c>
      <c r="E2308" s="0" t="s">
        <v>50</v>
      </c>
      <c r="F2308" s="13" t="n">
        <v>24</v>
      </c>
      <c r="G2308" s="0" t="s">
        <v>51</v>
      </c>
      <c r="H2308" s="13" t="n">
        <v>2110405</v>
      </c>
      <c r="I2308" s="0" t="s">
        <v>56</v>
      </c>
      <c r="J2308" s="13" t="n">
        <v>1686410</v>
      </c>
      <c r="L2308" s="13" t="n">
        <v>231487</v>
      </c>
      <c r="M2308" s="0" t="s">
        <v>52</v>
      </c>
      <c r="N2308" s="0" t="s">
        <v>45</v>
      </c>
      <c r="P2308" s="13" t="n">
        <v>113</v>
      </c>
      <c r="Q2308" s="0" t="s">
        <v>46</v>
      </c>
      <c r="R2308" s="0" t="s">
        <v>47</v>
      </c>
      <c r="S2308" s="13" t="n">
        <v>1130101</v>
      </c>
      <c r="T2308" s="0" t="s">
        <v>48</v>
      </c>
      <c r="U2308" s="15" t="n">
        <v>478.72</v>
      </c>
      <c r="W2308" s="15" t="n">
        <v>478.72</v>
      </c>
      <c r="X2308" s="0" t="s">
        <v>1818</v>
      </c>
      <c r="Z2308" s="0" t="str">
        <f aca="false">IF($T2308="","",IFERROR(INDEX('Resumo Grupos'!$AC$3:$AC$200,MATCH($T2308,'Resumo Grupos'!$AB$3:$AB$200,0)),"n/d"))</f>
        <v>Mercadoria</v>
      </c>
      <c r="AA2308" s="0" t="str">
        <f aca="false">IF($T2308="","",IF(COUNTIF('Resumo Grupos'!$AE$3:$AE$40,$T2308)&gt;0,"NAO","SIM"))</f>
        <v>SIM</v>
      </c>
      <c r="AB2308" s="0" t="str">
        <f aca="false">IFERROR(INDEX('Mov Entradas (Rel 10497)'!$L:$L,MATCH(AC2308,'Mov Entradas (Rel 10497)'!$I:$I,0)),"nao encontrado")</f>
        <v>CORACAO DE FRANGO KG</v>
      </c>
      <c r="AC2308" s="0" t="n">
        <v>1629386</v>
      </c>
    </row>
    <row r="2309" customFormat="false" ht="12.75" hidden="false" customHeight="true" outlineLevel="0" collapsed="false">
      <c r="A2309" s="13" t="n">
        <v>2</v>
      </c>
      <c r="B2309" s="14" t="n">
        <v>46283</v>
      </c>
      <c r="C2309" s="14" t="n">
        <v>46295</v>
      </c>
      <c r="D2309" s="13" t="n">
        <v>1613</v>
      </c>
      <c r="E2309" s="0" t="s">
        <v>50</v>
      </c>
      <c r="F2309" s="13" t="n">
        <v>24</v>
      </c>
      <c r="G2309" s="0" t="s">
        <v>51</v>
      </c>
      <c r="H2309" s="13" t="n">
        <v>2110405</v>
      </c>
      <c r="I2309" s="0" t="s">
        <v>56</v>
      </c>
      <c r="J2309" s="13" t="n">
        <v>1720791</v>
      </c>
      <c r="L2309" s="13" t="n">
        <v>236694</v>
      </c>
      <c r="M2309" s="0" t="s">
        <v>52</v>
      </c>
      <c r="N2309" s="0" t="s">
        <v>45</v>
      </c>
      <c r="P2309" s="13" t="n">
        <v>113</v>
      </c>
      <c r="Q2309" s="0" t="s">
        <v>46</v>
      </c>
      <c r="R2309" s="0" t="s">
        <v>47</v>
      </c>
      <c r="S2309" s="13" t="n">
        <v>1130101</v>
      </c>
      <c r="T2309" s="0" t="s">
        <v>48</v>
      </c>
      <c r="U2309" s="15" t="n">
        <v>453.37</v>
      </c>
      <c r="W2309" s="15" t="n">
        <v>453.37</v>
      </c>
      <c r="X2309" s="0" t="s">
        <v>1908</v>
      </c>
      <c r="Z2309" s="0" t="str">
        <f aca="false">IF($T2309="","",IFERROR(INDEX('Resumo Grupos'!$AC$3:$AC$200,MATCH($T2309,'Resumo Grupos'!$AB$3:$AB$200,0)),"n/d"))</f>
        <v>Mercadoria</v>
      </c>
      <c r="AA2309" s="0" t="str">
        <f aca="false">IF($T2309="","",IF(COUNTIF('Resumo Grupos'!$AE$3:$AE$40,$T2309)&gt;0,"NAO","SIM"))</f>
        <v>SIM</v>
      </c>
      <c r="AB2309" s="0" t="str">
        <f aca="false">IFERROR(INDEX('Mov Entradas (Rel 10497)'!$L:$L,MATCH(AC2309,'Mov Entradas (Rel 10497)'!$I:$I,0)),"nao encontrado")</f>
        <v>COXAS SADIA 1KG</v>
      </c>
      <c r="AC2309" s="0" t="n">
        <v>1632482</v>
      </c>
    </row>
    <row r="2310" customFormat="false" ht="12.75" hidden="false" customHeight="true" outlineLevel="0" collapsed="false">
      <c r="A2310" s="13" t="n">
        <v>2</v>
      </c>
      <c r="B2310" s="14" t="n">
        <v>46275</v>
      </c>
      <c r="C2310" s="14" t="n">
        <v>46295</v>
      </c>
      <c r="D2310" s="13" t="n">
        <v>1608</v>
      </c>
      <c r="E2310" s="0" t="s">
        <v>240</v>
      </c>
      <c r="F2310" s="13" t="n">
        <v>24</v>
      </c>
      <c r="G2310" s="0" t="s">
        <v>51</v>
      </c>
      <c r="H2310" s="13" t="n">
        <v>2110405</v>
      </c>
      <c r="I2310" s="0" t="s">
        <v>56</v>
      </c>
      <c r="J2310" s="13" t="n">
        <v>1681691</v>
      </c>
      <c r="L2310" s="13" t="n">
        <v>230752</v>
      </c>
      <c r="M2310" s="0" t="s">
        <v>52</v>
      </c>
      <c r="N2310" s="0" t="s">
        <v>45</v>
      </c>
      <c r="P2310" s="13" t="n">
        <v>113</v>
      </c>
      <c r="Q2310" s="0" t="s">
        <v>46</v>
      </c>
      <c r="R2310" s="0" t="s">
        <v>47</v>
      </c>
      <c r="S2310" s="13" t="n">
        <v>1130101</v>
      </c>
      <c r="T2310" s="0" t="s">
        <v>48</v>
      </c>
      <c r="U2310" s="15" t="n">
        <v>684.67</v>
      </c>
      <c r="W2310" s="15" t="n">
        <v>684.67</v>
      </c>
      <c r="X2310" s="0" t="s">
        <v>1751</v>
      </c>
      <c r="Z2310" s="0" t="str">
        <f aca="false">IF($T2310="","",IFERROR(INDEX('Resumo Grupos'!$AC$3:$AC$200,MATCH($T2310,'Resumo Grupos'!$AB$3:$AB$200,0)),"n/d"))</f>
        <v>Mercadoria</v>
      </c>
      <c r="AA2310" s="0" t="str">
        <f aca="false">IF($T2310="","",IF(COUNTIF('Resumo Grupos'!$AE$3:$AE$40,$T2310)&gt;0,"NAO","SIM"))</f>
        <v>SIM</v>
      </c>
      <c r="AB2310" s="0" t="str">
        <f aca="false">IFERROR(INDEX('Mov Entradas (Rel 10497)'!$L:$L,MATCH(AC2310,'Mov Entradas (Rel 10497)'!$I:$I,0)),"nao encontrado")</f>
        <v>PATE ATUM COQ 170G</v>
      </c>
      <c r="AC2310" s="0" t="n">
        <v>1726308</v>
      </c>
    </row>
    <row r="2311" customFormat="false" ht="12.75" hidden="false" customHeight="true" outlineLevel="0" collapsed="false">
      <c r="A2311" s="13" t="n">
        <v>2</v>
      </c>
      <c r="B2311" s="14" t="n">
        <v>46281</v>
      </c>
      <c r="C2311" s="14" t="n">
        <v>46295</v>
      </c>
      <c r="D2311" s="13" t="n">
        <v>1683</v>
      </c>
      <c r="E2311" s="0" t="s">
        <v>406</v>
      </c>
      <c r="F2311" s="13" t="n">
        <v>34</v>
      </c>
      <c r="G2311" s="0" t="s">
        <v>55</v>
      </c>
      <c r="H2311" s="13" t="n">
        <v>2110405</v>
      </c>
      <c r="I2311" s="0" t="s">
        <v>56</v>
      </c>
      <c r="J2311" s="13" t="n">
        <v>1712037</v>
      </c>
      <c r="L2311" s="13" t="n">
        <v>235237</v>
      </c>
      <c r="M2311" s="0" t="s">
        <v>52</v>
      </c>
      <c r="N2311" s="0" t="s">
        <v>45</v>
      </c>
      <c r="P2311" s="13" t="n">
        <v>113</v>
      </c>
      <c r="Q2311" s="0" t="s">
        <v>46</v>
      </c>
      <c r="R2311" s="0" t="s">
        <v>47</v>
      </c>
      <c r="S2311" s="13" t="n">
        <v>1130101</v>
      </c>
      <c r="T2311" s="0" t="s">
        <v>48</v>
      </c>
      <c r="U2311" s="15" t="n">
        <v>122</v>
      </c>
      <c r="W2311" s="15" t="n">
        <v>122</v>
      </c>
      <c r="X2311" s="0" t="s">
        <v>408</v>
      </c>
      <c r="Z2311" s="0" t="str">
        <f aca="false">IF($T2311="","",IFERROR(INDEX('Resumo Grupos'!$AC$3:$AC$200,MATCH($T2311,'Resumo Grupos'!$AB$3:$AB$200,0)),"n/d"))</f>
        <v>Mercadoria</v>
      </c>
      <c r="AA2311" s="0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3" t="n">
        <v>2</v>
      </c>
      <c r="B2312" s="14" t="n">
        <v>46284</v>
      </c>
      <c r="C2312" s="14" t="n">
        <v>46295</v>
      </c>
      <c r="D2312" s="13" t="n">
        <v>1683</v>
      </c>
      <c r="E2312" s="0" t="s">
        <v>406</v>
      </c>
      <c r="F2312" s="13" t="n">
        <v>34</v>
      </c>
      <c r="G2312" s="0" t="s">
        <v>55</v>
      </c>
      <c r="H2312" s="13" t="n">
        <v>2110405</v>
      </c>
      <c r="I2312" s="0" t="s">
        <v>56</v>
      </c>
      <c r="J2312" s="13" t="n">
        <v>1724031</v>
      </c>
      <c r="L2312" s="13" t="n">
        <v>237113</v>
      </c>
      <c r="M2312" s="0" t="s">
        <v>52</v>
      </c>
      <c r="N2312" s="0" t="s">
        <v>45</v>
      </c>
      <c r="P2312" s="13" t="n">
        <v>113</v>
      </c>
      <c r="Q2312" s="0" t="s">
        <v>46</v>
      </c>
      <c r="R2312" s="0" t="s">
        <v>47</v>
      </c>
      <c r="S2312" s="13" t="n">
        <v>1130101</v>
      </c>
      <c r="T2312" s="0" t="s">
        <v>48</v>
      </c>
      <c r="U2312" s="15" t="n">
        <v>151.5</v>
      </c>
      <c r="W2312" s="15" t="n">
        <v>151.5</v>
      </c>
      <c r="X2312" s="0" t="s">
        <v>408</v>
      </c>
      <c r="Z2312" s="0" t="str">
        <f aca="false">IF($T2312="","",IFERROR(INDEX('Resumo Grupos'!$AC$3:$AC$200,MATCH($T2312,'Resumo Grupos'!$AB$3:$AB$200,0)),"n/d"))</f>
        <v>Mercadoria</v>
      </c>
      <c r="AA2312" s="0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3" t="n">
        <v>2</v>
      </c>
      <c r="B2313" s="14" t="n">
        <v>46286</v>
      </c>
      <c r="C2313" s="14" t="n">
        <v>46295</v>
      </c>
      <c r="D2313" s="13" t="n">
        <v>1683</v>
      </c>
      <c r="E2313" s="0" t="s">
        <v>406</v>
      </c>
      <c r="F2313" s="13" t="n">
        <v>34</v>
      </c>
      <c r="G2313" s="0" t="s">
        <v>55</v>
      </c>
      <c r="H2313" s="13" t="n">
        <v>2110405</v>
      </c>
      <c r="I2313" s="0" t="s">
        <v>56</v>
      </c>
      <c r="J2313" s="13" t="n">
        <v>1734406</v>
      </c>
      <c r="L2313" s="13" t="n">
        <v>238466</v>
      </c>
      <c r="M2313" s="0" t="s">
        <v>52</v>
      </c>
      <c r="N2313" s="0" t="s">
        <v>45</v>
      </c>
      <c r="P2313" s="13" t="n">
        <v>113</v>
      </c>
      <c r="Q2313" s="0" t="s">
        <v>46</v>
      </c>
      <c r="R2313" s="0" t="s">
        <v>47</v>
      </c>
      <c r="S2313" s="13" t="n">
        <v>1130101</v>
      </c>
      <c r="T2313" s="0" t="s">
        <v>48</v>
      </c>
      <c r="U2313" s="15" t="n">
        <v>115</v>
      </c>
      <c r="W2313" s="15" t="n">
        <v>115</v>
      </c>
      <c r="X2313" s="0" t="s">
        <v>408</v>
      </c>
      <c r="Z2313" s="0" t="str">
        <f aca="false">IF($T2313="","",IFERROR(INDEX('Resumo Grupos'!$AC$3:$AC$200,MATCH($T2313,'Resumo Grupos'!$AB$3:$AB$200,0)),"n/d"))</f>
        <v>Mercadoria</v>
      </c>
      <c r="AA2313" s="0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3" t="n">
        <v>2</v>
      </c>
      <c r="B2314" s="14" t="n">
        <v>46287</v>
      </c>
      <c r="C2314" s="14" t="n">
        <v>46295</v>
      </c>
      <c r="D2314" s="13" t="n">
        <v>1683</v>
      </c>
      <c r="E2314" s="0" t="s">
        <v>406</v>
      </c>
      <c r="F2314" s="13" t="n">
        <v>34</v>
      </c>
      <c r="G2314" s="0" t="s">
        <v>55</v>
      </c>
      <c r="H2314" s="13" t="n">
        <v>2110405</v>
      </c>
      <c r="I2314" s="0" t="s">
        <v>56</v>
      </c>
      <c r="J2314" s="13" t="n">
        <v>1739505</v>
      </c>
      <c r="L2314" s="13" t="n">
        <v>239288</v>
      </c>
      <c r="M2314" s="0" t="s">
        <v>52</v>
      </c>
      <c r="N2314" s="0" t="s">
        <v>45</v>
      </c>
      <c r="P2314" s="13" t="n">
        <v>113</v>
      </c>
      <c r="Q2314" s="0" t="s">
        <v>46</v>
      </c>
      <c r="R2314" s="0" t="s">
        <v>47</v>
      </c>
      <c r="S2314" s="13" t="n">
        <v>1130101</v>
      </c>
      <c r="T2314" s="0" t="s">
        <v>48</v>
      </c>
      <c r="U2314" s="15" t="n">
        <v>157</v>
      </c>
      <c r="W2314" s="15" t="n">
        <v>157</v>
      </c>
      <c r="X2314" s="0" t="s">
        <v>408</v>
      </c>
      <c r="Z2314" s="0" t="str">
        <f aca="false">IF($T2314="","",IFERROR(INDEX('Resumo Grupos'!$AC$3:$AC$200,MATCH($T2314,'Resumo Grupos'!$AB$3:$AB$200,0)),"n/d"))</f>
        <v>Mercadoria</v>
      </c>
      <c r="AA2314" s="0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3" t="n">
        <v>2</v>
      </c>
      <c r="B2315" s="14" t="n">
        <v>46289</v>
      </c>
      <c r="C2315" s="14" t="n">
        <v>46295</v>
      </c>
      <c r="D2315" s="13" t="n">
        <v>1683</v>
      </c>
      <c r="E2315" s="0" t="s">
        <v>406</v>
      </c>
      <c r="F2315" s="13" t="n">
        <v>34</v>
      </c>
      <c r="G2315" s="0" t="s">
        <v>55</v>
      </c>
      <c r="H2315" s="13" t="n">
        <v>2110405</v>
      </c>
      <c r="I2315" s="0" t="s">
        <v>56</v>
      </c>
      <c r="J2315" s="13" t="n">
        <v>1748800</v>
      </c>
      <c r="L2315" s="13" t="n">
        <v>240894</v>
      </c>
      <c r="M2315" s="0" t="s">
        <v>52</v>
      </c>
      <c r="N2315" s="0" t="s">
        <v>45</v>
      </c>
      <c r="P2315" s="13" t="n">
        <v>113</v>
      </c>
      <c r="Q2315" s="0" t="s">
        <v>46</v>
      </c>
      <c r="R2315" s="0" t="s">
        <v>47</v>
      </c>
      <c r="S2315" s="13" t="n">
        <v>1130101</v>
      </c>
      <c r="T2315" s="0" t="s">
        <v>48</v>
      </c>
      <c r="U2315" s="15" t="n">
        <v>130</v>
      </c>
      <c r="W2315" s="15" t="n">
        <v>130</v>
      </c>
      <c r="X2315" s="0" t="s">
        <v>408</v>
      </c>
      <c r="Z2315" s="0" t="str">
        <f aca="false">IF($T2315="","",IFERROR(INDEX('Resumo Grupos'!$AC$3:$AC$200,MATCH($T2315,'Resumo Grupos'!$AB$3:$AB$200,0)),"n/d"))</f>
        <v>Mercadoria</v>
      </c>
      <c r="AA2315" s="0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3" t="n">
        <v>2</v>
      </c>
      <c r="B2316" s="14" t="n">
        <v>46291</v>
      </c>
      <c r="C2316" s="14" t="n">
        <v>46295</v>
      </c>
      <c r="D2316" s="13" t="n">
        <v>1683</v>
      </c>
      <c r="E2316" s="0" t="s">
        <v>406</v>
      </c>
      <c r="F2316" s="13" t="n">
        <v>34</v>
      </c>
      <c r="G2316" s="0" t="s">
        <v>55</v>
      </c>
      <c r="H2316" s="13" t="n">
        <v>2110405</v>
      </c>
      <c r="I2316" s="0" t="s">
        <v>56</v>
      </c>
      <c r="J2316" s="13" t="n">
        <v>1759134</v>
      </c>
      <c r="L2316" s="13" t="n">
        <v>242269</v>
      </c>
      <c r="M2316" s="0" t="s">
        <v>52</v>
      </c>
      <c r="N2316" s="0" t="s">
        <v>45</v>
      </c>
      <c r="P2316" s="13" t="n">
        <v>113</v>
      </c>
      <c r="Q2316" s="0" t="s">
        <v>46</v>
      </c>
      <c r="R2316" s="0" t="s">
        <v>47</v>
      </c>
      <c r="S2316" s="13" t="n">
        <v>1130101</v>
      </c>
      <c r="T2316" s="0" t="s">
        <v>48</v>
      </c>
      <c r="U2316" s="15" t="n">
        <v>187</v>
      </c>
      <c r="W2316" s="15" t="n">
        <v>187</v>
      </c>
      <c r="X2316" s="0" t="s">
        <v>408</v>
      </c>
      <c r="Z2316" s="0" t="str">
        <f aca="false">IF($T2316="","",IFERROR(INDEX('Resumo Grupos'!$AC$3:$AC$200,MATCH($T2316,'Resumo Grupos'!$AB$3:$AB$200,0)),"n/d"))</f>
        <v>Mercadoria</v>
      </c>
      <c r="AA2316" s="0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3" t="n">
        <v>2</v>
      </c>
      <c r="B2317" s="14" t="n">
        <v>46294</v>
      </c>
      <c r="C2317" s="14" t="n">
        <v>46295</v>
      </c>
      <c r="D2317" s="13" t="n">
        <v>1683</v>
      </c>
      <c r="E2317" s="0" t="s">
        <v>406</v>
      </c>
      <c r="F2317" s="13" t="n">
        <v>34</v>
      </c>
      <c r="G2317" s="0" t="s">
        <v>55</v>
      </c>
      <c r="H2317" s="13" t="n">
        <v>2110405</v>
      </c>
      <c r="I2317" s="0" t="s">
        <v>56</v>
      </c>
      <c r="J2317" s="13" t="n">
        <v>1773585</v>
      </c>
      <c r="L2317" s="13" t="n">
        <v>244219</v>
      </c>
      <c r="M2317" s="0" t="s">
        <v>52</v>
      </c>
      <c r="N2317" s="0" t="s">
        <v>45</v>
      </c>
      <c r="P2317" s="13" t="n">
        <v>113</v>
      </c>
      <c r="Q2317" s="0" t="s">
        <v>46</v>
      </c>
      <c r="R2317" s="0" t="s">
        <v>47</v>
      </c>
      <c r="S2317" s="13" t="n">
        <v>1130101</v>
      </c>
      <c r="T2317" s="0" t="s">
        <v>48</v>
      </c>
      <c r="U2317" s="15" t="n">
        <v>155</v>
      </c>
      <c r="W2317" s="15" t="n">
        <v>155</v>
      </c>
      <c r="X2317" s="0" t="s">
        <v>408</v>
      </c>
      <c r="Z2317" s="0" t="str">
        <f aca="false">IF($T2317="","",IFERROR(INDEX('Resumo Grupos'!$AC$3:$AC$200,MATCH($T2317,'Resumo Grupos'!$AB$3:$AB$200,0)),"n/d"))</f>
        <v>Mercadoria</v>
      </c>
      <c r="AA2317" s="0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3" t="n">
        <v>2</v>
      </c>
      <c r="B2318" s="14" t="n">
        <v>46295</v>
      </c>
      <c r="C2318" s="14" t="n">
        <v>46295</v>
      </c>
      <c r="D2318" s="13" t="n">
        <v>1683</v>
      </c>
      <c r="E2318" s="0" t="s">
        <v>406</v>
      </c>
      <c r="F2318" s="13" t="n">
        <v>34</v>
      </c>
      <c r="G2318" s="0" t="s">
        <v>55</v>
      </c>
      <c r="H2318" s="13" t="n">
        <v>2110405</v>
      </c>
      <c r="I2318" s="0" t="s">
        <v>56</v>
      </c>
      <c r="J2318" s="13" t="n">
        <v>1778654</v>
      </c>
      <c r="L2318" s="13" t="n">
        <v>244940</v>
      </c>
      <c r="M2318" s="0" t="s">
        <v>52</v>
      </c>
      <c r="N2318" s="0" t="s">
        <v>45</v>
      </c>
      <c r="P2318" s="13" t="n">
        <v>113</v>
      </c>
      <c r="Q2318" s="0" t="s">
        <v>46</v>
      </c>
      <c r="R2318" s="0" t="s">
        <v>47</v>
      </c>
      <c r="S2318" s="13" t="n">
        <v>1130101</v>
      </c>
      <c r="T2318" s="0" t="s">
        <v>48</v>
      </c>
      <c r="U2318" s="15" t="n">
        <v>89</v>
      </c>
      <c r="W2318" s="15" t="n">
        <v>89</v>
      </c>
      <c r="X2318" s="0" t="s">
        <v>408</v>
      </c>
      <c r="Z2318" s="0" t="str">
        <f aca="false">IF($T2318="","",IFERROR(INDEX('Resumo Grupos'!$AC$3:$AC$200,MATCH($T2318,'Resumo Grupos'!$AB$3:$AB$200,0)),"n/d"))</f>
        <v>Mercadoria</v>
      </c>
      <c r="AA2318" s="0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3" t="n">
        <v>2</v>
      </c>
      <c r="B2319" s="14" t="n">
        <v>46295</v>
      </c>
      <c r="C2319" s="14" t="n">
        <v>46295</v>
      </c>
      <c r="D2319" s="13" t="n">
        <v>1683</v>
      </c>
      <c r="E2319" s="0" t="s">
        <v>406</v>
      </c>
      <c r="F2319" s="13" t="n">
        <v>34</v>
      </c>
      <c r="G2319" s="0" t="s">
        <v>55</v>
      </c>
      <c r="H2319" s="13" t="n">
        <v>2110405</v>
      </c>
      <c r="I2319" s="0" t="s">
        <v>56</v>
      </c>
      <c r="J2319" s="13" t="n">
        <v>1779531</v>
      </c>
      <c r="L2319" s="13" t="n">
        <v>245117</v>
      </c>
      <c r="M2319" s="0" t="s">
        <v>52</v>
      </c>
      <c r="N2319" s="0" t="s">
        <v>45</v>
      </c>
      <c r="P2319" s="13" t="n">
        <v>113</v>
      </c>
      <c r="Q2319" s="0" t="s">
        <v>46</v>
      </c>
      <c r="R2319" s="0" t="s">
        <v>47</v>
      </c>
      <c r="S2319" s="13" t="n">
        <v>1130101</v>
      </c>
      <c r="T2319" s="0" t="s">
        <v>48</v>
      </c>
      <c r="U2319" s="15" t="n">
        <v>158</v>
      </c>
      <c r="W2319" s="15" t="n">
        <v>158</v>
      </c>
      <c r="X2319" s="0" t="s">
        <v>408</v>
      </c>
      <c r="Z2319" s="0" t="str">
        <f aca="false">IF($T2319="","",IFERROR(INDEX('Resumo Grupos'!$AC$3:$AC$200,MATCH($T2319,'Resumo Grupos'!$AB$3:$AB$200,0)),"n/d"))</f>
        <v>Mercadoria</v>
      </c>
      <c r="AA2319" s="0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3" t="n">
        <v>2</v>
      </c>
      <c r="B2320" s="14" t="n">
        <v>46270</v>
      </c>
      <c r="C2320" s="14" t="n">
        <v>46295</v>
      </c>
      <c r="D2320" s="13" t="n">
        <v>639</v>
      </c>
      <c r="E2320" s="0" t="s">
        <v>512</v>
      </c>
      <c r="F2320" s="13" t="n">
        <v>24</v>
      </c>
      <c r="G2320" s="0" t="s">
        <v>51</v>
      </c>
      <c r="H2320" s="13" t="n">
        <v>2110405</v>
      </c>
      <c r="I2320" s="0" t="s">
        <v>56</v>
      </c>
      <c r="J2320" s="13" t="n">
        <v>1141287</v>
      </c>
      <c r="L2320" s="13" t="n">
        <v>151507</v>
      </c>
      <c r="M2320" s="0" t="s">
        <v>67</v>
      </c>
      <c r="N2320" s="0" t="s">
        <v>45</v>
      </c>
      <c r="P2320" s="13" t="n">
        <v>101</v>
      </c>
      <c r="Q2320" s="0" t="s">
        <v>57</v>
      </c>
      <c r="R2320" s="0" t="s">
        <v>39</v>
      </c>
      <c r="S2320" s="13" t="n">
        <v>4210216</v>
      </c>
      <c r="T2320" s="0" t="s">
        <v>513</v>
      </c>
      <c r="U2320" s="15" t="n">
        <v>420</v>
      </c>
      <c r="W2320" s="15" t="n">
        <v>420</v>
      </c>
      <c r="X2320" s="0" t="s">
        <v>1003</v>
      </c>
      <c r="Z2320" s="0" t="str">
        <f aca="false">IF($T2320="","",IFERROR(INDEX('Resumo Grupos'!$AC$3:$AC$200,MATCH($T2320,'Resumo Grupos'!$AB$3:$AB$200,0)),"n/d"))</f>
        <v>Despesa</v>
      </c>
      <c r="AA2320" s="0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3" t="n">
        <v>2</v>
      </c>
      <c r="B2321" s="14" t="n">
        <v>46289</v>
      </c>
      <c r="C2321" s="14" t="n">
        <v>46295</v>
      </c>
      <c r="D2321" s="13" t="n">
        <v>10019</v>
      </c>
      <c r="E2321" s="0" t="s">
        <v>268</v>
      </c>
      <c r="F2321" s="13" t="n">
        <v>24</v>
      </c>
      <c r="G2321" s="0" t="s">
        <v>51</v>
      </c>
      <c r="H2321" s="13" t="n">
        <v>2110405</v>
      </c>
      <c r="I2321" s="0" t="s">
        <v>56</v>
      </c>
      <c r="J2321" s="13" t="n">
        <v>1748853</v>
      </c>
      <c r="L2321" s="13" t="n">
        <v>240916</v>
      </c>
      <c r="M2321" s="0" t="s">
        <v>52</v>
      </c>
      <c r="N2321" s="0" t="s">
        <v>45</v>
      </c>
      <c r="P2321" s="13" t="n">
        <v>113</v>
      </c>
      <c r="Q2321" s="0" t="s">
        <v>46</v>
      </c>
      <c r="R2321" s="0" t="s">
        <v>47</v>
      </c>
      <c r="S2321" s="13" t="n">
        <v>1130101</v>
      </c>
      <c r="T2321" s="0" t="s">
        <v>48</v>
      </c>
      <c r="U2321" s="15" t="n">
        <v>2748.32</v>
      </c>
      <c r="W2321" s="15" t="n">
        <v>2748.32</v>
      </c>
      <c r="X2321" s="0" t="s">
        <v>1909</v>
      </c>
      <c r="Z2321" s="0" t="str">
        <f aca="false">IF($T2321="","",IFERROR(INDEX('Resumo Grupos'!$AC$3:$AC$200,MATCH($T2321,'Resumo Grupos'!$AB$3:$AB$200,0)),"n/d"))</f>
        <v>Mercadoria</v>
      </c>
      <c r="AA2321" s="0" t="str">
        <f aca="false">IF($T2321="","",IF(COUNTIF('Resumo Grupos'!$AE$3:$AE$40,$T2321)&gt;0,"NAO","SIM"))</f>
        <v>SIM</v>
      </c>
      <c r="AB2321" s="0" t="str">
        <f aca="false">IFERROR(INDEX('Mov Entradas (Rel 10497)'!$L:$L,MATCH(AC2321,'Mov Entradas (Rel 10497)'!$I:$I,0)),"nao encontrado")</f>
        <v>PATINHO BOVINO KG</v>
      </c>
      <c r="AC2321" s="0" t="n">
        <v>33788</v>
      </c>
    </row>
    <row r="2322" customFormat="false" ht="12.75" hidden="false" customHeight="true" outlineLevel="0" collapsed="false">
      <c r="A2322" s="13" t="n">
        <v>2</v>
      </c>
      <c r="B2322" s="14" t="n">
        <v>46295</v>
      </c>
      <c r="C2322" s="14" t="n">
        <v>46295</v>
      </c>
      <c r="D2322" s="13" t="n">
        <v>12</v>
      </c>
      <c r="E2322" s="0" t="s">
        <v>79</v>
      </c>
      <c r="F2322" s="13" t="n">
        <v>34</v>
      </c>
      <c r="G2322" s="0" t="s">
        <v>55</v>
      </c>
      <c r="H2322" s="13" t="n">
        <v>2110405</v>
      </c>
      <c r="I2322" s="0" t="s">
        <v>56</v>
      </c>
      <c r="J2322" s="13" t="n">
        <v>1783952</v>
      </c>
      <c r="L2322" s="13" t="n">
        <v>245814</v>
      </c>
      <c r="M2322" s="0" t="s">
        <v>52</v>
      </c>
      <c r="N2322" s="0" t="s">
        <v>45</v>
      </c>
      <c r="P2322" s="13" t="n">
        <v>113</v>
      </c>
      <c r="Q2322" s="0" t="s">
        <v>46</v>
      </c>
      <c r="R2322" s="0" t="s">
        <v>71</v>
      </c>
      <c r="S2322" s="13" t="n">
        <v>4210301</v>
      </c>
      <c r="T2322" s="0" t="s">
        <v>220</v>
      </c>
      <c r="U2322" s="15" t="n">
        <v>600</v>
      </c>
      <c r="W2322" s="15" t="n">
        <v>600</v>
      </c>
      <c r="X2322" s="0" t="s">
        <v>1910</v>
      </c>
      <c r="Z2322" s="0" t="str">
        <f aca="false">IF($T2322="","",IFERROR(INDEX('Resumo Grupos'!$AC$3:$AC$200,MATCH($T2322,'Resumo Grupos'!$AB$3:$AB$200,0)),"n/d"))</f>
        <v>Salários</v>
      </c>
      <c r="AA2322" s="0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3" t="n">
        <v>2</v>
      </c>
      <c r="B2323" s="14" t="n">
        <v>46295</v>
      </c>
      <c r="C2323" s="14" t="n">
        <v>46295</v>
      </c>
      <c r="D2323" s="13" t="n">
        <v>48</v>
      </c>
      <c r="E2323" s="0" t="s">
        <v>153</v>
      </c>
      <c r="F2323" s="13" t="n">
        <v>34</v>
      </c>
      <c r="G2323" s="0" t="s">
        <v>55</v>
      </c>
      <c r="H2323" s="13" t="n">
        <v>2110101</v>
      </c>
      <c r="I2323" s="0" t="s">
        <v>43</v>
      </c>
      <c r="J2323" s="13" t="n">
        <v>1779569</v>
      </c>
      <c r="L2323" s="13" t="n">
        <v>2709</v>
      </c>
      <c r="M2323" s="0" t="s">
        <v>52</v>
      </c>
      <c r="N2323" s="0" t="s">
        <v>37</v>
      </c>
      <c r="P2323" s="13" t="n">
        <v>113</v>
      </c>
      <c r="Q2323" s="0" t="s">
        <v>46</v>
      </c>
      <c r="R2323" s="0" t="s">
        <v>47</v>
      </c>
      <c r="S2323" s="13" t="n">
        <v>1130101</v>
      </c>
      <c r="T2323" s="0" t="s">
        <v>48</v>
      </c>
      <c r="U2323" s="15" t="n">
        <v>405</v>
      </c>
      <c r="W2323" s="15" t="n">
        <v>405</v>
      </c>
      <c r="X2323" s="0" t="s">
        <v>1698</v>
      </c>
      <c r="Z2323" s="0" t="str">
        <f aca="false">IF($T2323="","",IFERROR(INDEX('Resumo Grupos'!$AC$3:$AC$200,MATCH($T2323,'Resumo Grupos'!$AB$3:$AB$200,0)),"n/d"))</f>
        <v>Mercadoria</v>
      </c>
      <c r="AA2323" s="0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3" t="n">
        <v>2</v>
      </c>
      <c r="B2324" s="14" t="n">
        <v>46274</v>
      </c>
      <c r="C2324" s="14" t="n">
        <v>46295</v>
      </c>
      <c r="D2324" s="13" t="n">
        <v>1899</v>
      </c>
      <c r="E2324" s="0" t="s">
        <v>204</v>
      </c>
      <c r="F2324" s="13" t="n">
        <v>24</v>
      </c>
      <c r="G2324" s="0" t="s">
        <v>51</v>
      </c>
      <c r="H2324" s="13" t="n">
        <v>2110405</v>
      </c>
      <c r="I2324" s="0" t="s">
        <v>56</v>
      </c>
      <c r="J2324" s="13" t="n">
        <v>1677066</v>
      </c>
      <c r="L2324" s="13" t="n">
        <v>230034</v>
      </c>
      <c r="M2324" s="0" t="s">
        <v>52</v>
      </c>
      <c r="N2324" s="0" t="s">
        <v>45</v>
      </c>
      <c r="P2324" s="13" t="n">
        <v>113</v>
      </c>
      <c r="Q2324" s="0" t="s">
        <v>46</v>
      </c>
      <c r="R2324" s="0" t="s">
        <v>47</v>
      </c>
      <c r="S2324" s="13" t="n">
        <v>1130101</v>
      </c>
      <c r="T2324" s="0" t="s">
        <v>48</v>
      </c>
      <c r="U2324" s="15" t="n">
        <v>124.75</v>
      </c>
      <c r="W2324" s="15" t="n">
        <v>124.75</v>
      </c>
      <c r="X2324" s="0" t="s">
        <v>1911</v>
      </c>
      <c r="Z2324" s="0" t="str">
        <f aca="false">IF($T2324="","",IFERROR(INDEX('Resumo Grupos'!$AC$3:$AC$200,MATCH($T2324,'Resumo Grupos'!$AB$3:$AB$200,0)),"n/d"))</f>
        <v>Mercadoria</v>
      </c>
      <c r="AA2324" s="0" t="str">
        <f aca="false">IF($T2324="","",IF(COUNTIF('Resumo Grupos'!$AE$3:$AE$40,$T2324)&gt;0,"NAO","SIM"))</f>
        <v>SIM</v>
      </c>
      <c r="AB2324" s="0" t="str">
        <f aca="false">IFERROR(INDEX('Mov Entradas (Rel 10497)'!$L:$L,MATCH(AC2324,'Mov Entradas (Rel 10497)'!$I:$I,0)),"nao encontrado")</f>
        <v>PAO DE LEITE</v>
      </c>
      <c r="AC2324" s="0" t="n">
        <v>794</v>
      </c>
    </row>
    <row r="2325" customFormat="false" ht="12.75" hidden="false" customHeight="true" outlineLevel="0" collapsed="false">
      <c r="A2325" s="13" t="n">
        <v>2</v>
      </c>
      <c r="B2325" s="14" t="n">
        <v>46291</v>
      </c>
      <c r="C2325" s="14" t="n">
        <v>46295</v>
      </c>
      <c r="D2325" s="13" t="n">
        <v>1899</v>
      </c>
      <c r="E2325" s="0" t="s">
        <v>204</v>
      </c>
      <c r="F2325" s="13" t="n">
        <v>24</v>
      </c>
      <c r="G2325" s="0" t="s">
        <v>51</v>
      </c>
      <c r="H2325" s="13" t="n">
        <v>2110405</v>
      </c>
      <c r="I2325" s="0" t="s">
        <v>56</v>
      </c>
      <c r="J2325" s="13" t="n">
        <v>1758895</v>
      </c>
      <c r="L2325" s="13" t="n">
        <v>242231</v>
      </c>
      <c r="M2325" s="0" t="s">
        <v>52</v>
      </c>
      <c r="N2325" s="0" t="s">
        <v>45</v>
      </c>
      <c r="P2325" s="13" t="n">
        <v>113</v>
      </c>
      <c r="Q2325" s="0" t="s">
        <v>46</v>
      </c>
      <c r="R2325" s="0" t="s">
        <v>47</v>
      </c>
      <c r="S2325" s="13" t="n">
        <v>1130101</v>
      </c>
      <c r="T2325" s="0" t="s">
        <v>48</v>
      </c>
      <c r="U2325" s="15" t="n">
        <v>279.8</v>
      </c>
      <c r="W2325" s="15" t="n">
        <v>279.8</v>
      </c>
      <c r="X2325" s="0" t="s">
        <v>1912</v>
      </c>
      <c r="Z2325" s="0" t="str">
        <f aca="false">IF($T2325="","",IFERROR(INDEX('Resumo Grupos'!$AC$3:$AC$200,MATCH($T2325,'Resumo Grupos'!$AB$3:$AB$200,0)),"n/d"))</f>
        <v>Mercadoria</v>
      </c>
      <c r="AA2325" s="0" t="str">
        <f aca="false">IF($T2325="","",IF(COUNTIF('Resumo Grupos'!$AE$3:$AE$40,$T2325)&gt;0,"NAO","SIM"))</f>
        <v>SIM</v>
      </c>
      <c r="AB2325" s="0" t="str">
        <f aca="false">IFERROR(INDEX('Mov Entradas (Rel 10497)'!$L:$L,MATCH(AC2325,'Mov Entradas (Rel 10497)'!$I:$I,0)),"nao encontrado")</f>
        <v>PAO DE FORMA REAL MA</v>
      </c>
      <c r="AC2325" s="0" t="n">
        <v>823</v>
      </c>
    </row>
    <row r="2326" customFormat="false" ht="12.75" hidden="false" customHeight="true" outlineLevel="0" collapsed="false">
      <c r="A2326" s="13" t="n">
        <v>2</v>
      </c>
      <c r="B2326" s="14" t="n">
        <v>46275</v>
      </c>
      <c r="C2326" s="14" t="n">
        <v>46295</v>
      </c>
      <c r="D2326" s="13" t="n">
        <v>33</v>
      </c>
      <c r="E2326" s="0" t="s">
        <v>313</v>
      </c>
      <c r="F2326" s="13" t="n">
        <v>34</v>
      </c>
      <c r="G2326" s="0" t="s">
        <v>55</v>
      </c>
      <c r="H2326" s="13" t="n">
        <v>2110405</v>
      </c>
      <c r="I2326" s="0" t="s">
        <v>56</v>
      </c>
      <c r="J2326" s="13" t="n">
        <v>1682663</v>
      </c>
      <c r="L2326" s="13" t="n">
        <v>230994</v>
      </c>
      <c r="M2326" s="0" t="s">
        <v>52</v>
      </c>
      <c r="N2326" s="0" t="s">
        <v>45</v>
      </c>
      <c r="P2326" s="13" t="n">
        <v>113</v>
      </c>
      <c r="Q2326" s="0" t="s">
        <v>46</v>
      </c>
      <c r="R2326" s="0" t="s">
        <v>47</v>
      </c>
      <c r="S2326" s="13" t="n">
        <v>1130101</v>
      </c>
      <c r="T2326" s="0" t="s">
        <v>48</v>
      </c>
      <c r="U2326" s="15" t="n">
        <v>781.38</v>
      </c>
      <c r="W2326" s="15" t="n">
        <v>781.38</v>
      </c>
      <c r="X2326" s="0" t="s">
        <v>413</v>
      </c>
      <c r="Z2326" s="0" t="str">
        <f aca="false">IF($T2326="","",IFERROR(INDEX('Resumo Grupos'!$AC$3:$AC$200,MATCH($T2326,'Resumo Grupos'!$AB$3:$AB$200,0)),"n/d"))</f>
        <v>Mercadoria</v>
      </c>
      <c r="AA2326" s="0" t="str">
        <f aca="false">IF($T2326="","",IF(COUNTIF('Resumo Grupos'!$AE$3:$AE$40,$T2326)&gt;0,"NAO","SIM"))</f>
        <v>SIM</v>
      </c>
      <c r="AB2326" s="0" t="str">
        <f aca="false">IFERROR(INDEX('Mov Entradas (Rel 10497)'!$L:$L,MATCH(AC2326,'Mov Entradas (Rel 10497)'!$I:$I,0)),"nao encontrado")</f>
        <v>SUCO FAZENDINHA CITR</v>
      </c>
      <c r="AC2326" s="0" t="n">
        <v>5642</v>
      </c>
    </row>
    <row r="2327" customFormat="false" ht="12.75" hidden="false" customHeight="true" outlineLevel="0" collapsed="false">
      <c r="A2327" s="13" t="n">
        <v>2</v>
      </c>
      <c r="B2327" s="14" t="n">
        <v>46295</v>
      </c>
      <c r="C2327" s="14" t="n">
        <v>46295</v>
      </c>
      <c r="D2327" s="13" t="n">
        <v>0</v>
      </c>
      <c r="E2327" s="0" t="s">
        <v>109</v>
      </c>
      <c r="F2327" s="13" t="n">
        <v>17</v>
      </c>
      <c r="G2327" s="0" t="s">
        <v>110</v>
      </c>
      <c r="H2327" s="13" t="n">
        <v>1110101</v>
      </c>
      <c r="I2327" s="0" t="s">
        <v>111</v>
      </c>
      <c r="J2327" s="13" t="n">
        <v>1783648</v>
      </c>
      <c r="L2327" s="13" t="n">
        <v>1783648</v>
      </c>
      <c r="M2327" s="0" t="s">
        <v>52</v>
      </c>
      <c r="N2327" s="0" t="s">
        <v>112</v>
      </c>
      <c r="P2327" s="13" t="n">
        <v>113</v>
      </c>
      <c r="Q2327" s="0" t="s">
        <v>46</v>
      </c>
      <c r="R2327" s="0" t="s">
        <v>47</v>
      </c>
      <c r="S2327" s="13" t="n">
        <v>1130101</v>
      </c>
      <c r="T2327" s="0" t="s">
        <v>48</v>
      </c>
      <c r="U2327" s="15" t="n">
        <v>76</v>
      </c>
      <c r="W2327" s="15" t="n">
        <v>76</v>
      </c>
      <c r="X2327" s="0" t="s">
        <v>1913</v>
      </c>
      <c r="Z2327" s="0" t="str">
        <f aca="false">IF($T2327="","",IFERROR(INDEX('Resumo Grupos'!$AC$3:$AC$200,MATCH($T2327,'Resumo Grupos'!$AB$3:$AB$200,0)),"n/d"))</f>
        <v>Mercadoria</v>
      </c>
      <c r="AA2327" s="0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3" t="n">
        <v>2</v>
      </c>
      <c r="B2328" s="14" t="n">
        <v>46295</v>
      </c>
      <c r="C2328" s="14" t="n">
        <v>46295</v>
      </c>
      <c r="D2328" s="13" t="n">
        <v>0</v>
      </c>
      <c r="E2328" s="0" t="s">
        <v>109</v>
      </c>
      <c r="F2328" s="13" t="n">
        <v>17</v>
      </c>
      <c r="G2328" s="0" t="s">
        <v>110</v>
      </c>
      <c r="H2328" s="13" t="n">
        <v>1110101</v>
      </c>
      <c r="I2328" s="0" t="s">
        <v>111</v>
      </c>
      <c r="J2328" s="13" t="n">
        <v>1783650</v>
      </c>
      <c r="L2328" s="13" t="n">
        <v>1783650</v>
      </c>
      <c r="M2328" s="0" t="s">
        <v>52</v>
      </c>
      <c r="N2328" s="0" t="s">
        <v>112</v>
      </c>
      <c r="P2328" s="13" t="n">
        <v>113</v>
      </c>
      <c r="Q2328" s="0" t="s">
        <v>46</v>
      </c>
      <c r="R2328" s="0" t="s">
        <v>71</v>
      </c>
      <c r="S2328" s="13" t="n">
        <v>4210314</v>
      </c>
      <c r="T2328" s="0" t="s">
        <v>113</v>
      </c>
      <c r="U2328" s="15" t="n">
        <v>50</v>
      </c>
      <c r="W2328" s="15" t="n">
        <v>50</v>
      </c>
      <c r="X2328" s="0" t="s">
        <v>368</v>
      </c>
      <c r="Z2328" s="0" t="str">
        <f aca="false">IF($T2328="","",IFERROR(INDEX('Resumo Grupos'!$AC$3:$AC$200,MATCH($T2328,'Resumo Grupos'!$AB$3:$AB$200,0)),"n/d"))</f>
        <v>Despesa</v>
      </c>
      <c r="AA2328" s="0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3" t="n">
        <v>2</v>
      </c>
      <c r="B2329" s="14" t="n">
        <v>46295</v>
      </c>
      <c r="C2329" s="14" t="n">
        <v>46295</v>
      </c>
      <c r="D2329" s="13" t="n">
        <v>0</v>
      </c>
      <c r="E2329" s="0" t="s">
        <v>109</v>
      </c>
      <c r="F2329" s="13" t="n">
        <v>17</v>
      </c>
      <c r="G2329" s="0" t="s">
        <v>110</v>
      </c>
      <c r="H2329" s="13" t="n">
        <v>1110101</v>
      </c>
      <c r="I2329" s="0" t="s">
        <v>111</v>
      </c>
      <c r="J2329" s="13" t="n">
        <v>1783658</v>
      </c>
      <c r="L2329" s="13" t="n">
        <v>1783658</v>
      </c>
      <c r="M2329" s="0" t="s">
        <v>52</v>
      </c>
      <c r="N2329" s="0" t="s">
        <v>112</v>
      </c>
      <c r="P2329" s="13" t="n">
        <v>113</v>
      </c>
      <c r="Q2329" s="0" t="s">
        <v>46</v>
      </c>
      <c r="R2329" s="0" t="s">
        <v>71</v>
      </c>
      <c r="S2329" s="13" t="n">
        <v>4210314</v>
      </c>
      <c r="T2329" s="0" t="s">
        <v>113</v>
      </c>
      <c r="U2329" s="15" t="n">
        <v>100</v>
      </c>
      <c r="W2329" s="15" t="n">
        <v>100</v>
      </c>
      <c r="X2329" s="0" t="s">
        <v>1706</v>
      </c>
      <c r="Z2329" s="0" t="str">
        <f aca="false">IF($T2329="","",IFERROR(INDEX('Resumo Grupos'!$AC$3:$AC$200,MATCH($T2329,'Resumo Grupos'!$AB$3:$AB$200,0)),"n/d"))</f>
        <v>Despesa</v>
      </c>
      <c r="AA2329" s="0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3" t="n">
        <v>2</v>
      </c>
      <c r="B2330" s="14" t="n">
        <v>46295</v>
      </c>
      <c r="C2330" s="14" t="n">
        <v>46295</v>
      </c>
      <c r="D2330" s="13" t="n">
        <v>0</v>
      </c>
      <c r="E2330" s="0" t="s">
        <v>109</v>
      </c>
      <c r="F2330" s="13" t="n">
        <v>17</v>
      </c>
      <c r="G2330" s="0" t="s">
        <v>110</v>
      </c>
      <c r="H2330" s="13" t="n">
        <v>1110101</v>
      </c>
      <c r="I2330" s="0" t="s">
        <v>111</v>
      </c>
      <c r="J2330" s="13" t="n">
        <v>1783660</v>
      </c>
      <c r="L2330" s="13" t="n">
        <v>1783660</v>
      </c>
      <c r="M2330" s="0" t="s">
        <v>52</v>
      </c>
      <c r="N2330" s="0" t="s">
        <v>112</v>
      </c>
      <c r="P2330" s="13" t="n">
        <v>113</v>
      </c>
      <c r="Q2330" s="0" t="s">
        <v>46</v>
      </c>
      <c r="R2330" s="0" t="s">
        <v>71</v>
      </c>
      <c r="S2330" s="13" t="n">
        <v>4210309</v>
      </c>
      <c r="T2330" s="0" t="s">
        <v>72</v>
      </c>
      <c r="U2330" s="15" t="n">
        <v>10</v>
      </c>
      <c r="W2330" s="15" t="n">
        <v>10</v>
      </c>
      <c r="X2330" s="0" t="s">
        <v>1552</v>
      </c>
      <c r="Z2330" s="0" t="str">
        <f aca="false">IF($T2330="","",IFERROR(INDEX('Resumo Grupos'!$AC$3:$AC$200,MATCH($T2330,'Resumo Grupos'!$AB$3:$AB$200,0)),"n/d"))</f>
        <v>Salários</v>
      </c>
      <c r="AA2330" s="0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3" t="n">
        <v>2</v>
      </c>
      <c r="B2331" s="14" t="n">
        <v>46295</v>
      </c>
      <c r="C2331" s="14" t="n">
        <v>46295</v>
      </c>
      <c r="D2331" s="13" t="n">
        <v>0</v>
      </c>
      <c r="E2331" s="0" t="s">
        <v>109</v>
      </c>
      <c r="F2331" s="13" t="n">
        <v>17</v>
      </c>
      <c r="G2331" s="0" t="s">
        <v>110</v>
      </c>
      <c r="H2331" s="13" t="n">
        <v>1110101</v>
      </c>
      <c r="I2331" s="0" t="s">
        <v>111</v>
      </c>
      <c r="J2331" s="13" t="n">
        <v>1783663</v>
      </c>
      <c r="L2331" s="13" t="n">
        <v>1783663</v>
      </c>
      <c r="M2331" s="0" t="s">
        <v>52</v>
      </c>
      <c r="N2331" s="0" t="s">
        <v>112</v>
      </c>
      <c r="P2331" s="13" t="n">
        <v>113</v>
      </c>
      <c r="Q2331" s="0" t="s">
        <v>46</v>
      </c>
      <c r="R2331" s="0" t="s">
        <v>39</v>
      </c>
      <c r="S2331" s="13" t="n">
        <v>4210227</v>
      </c>
      <c r="T2331" s="0" t="s">
        <v>68</v>
      </c>
      <c r="U2331" s="15" t="n">
        <v>20</v>
      </c>
      <c r="W2331" s="15" t="n">
        <v>20</v>
      </c>
      <c r="X2331" s="0" t="s">
        <v>1914</v>
      </c>
      <c r="Z2331" s="0" t="str">
        <f aca="false">IF($T2331="","",IFERROR(INDEX('Resumo Grupos'!$AC$3:$AC$200,MATCH($T2331,'Resumo Grupos'!$AB$3:$AB$200,0)),"n/d"))</f>
        <v>Despesa</v>
      </c>
      <c r="AA2331" s="0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3" t="n">
        <v>2</v>
      </c>
      <c r="B2332" s="14" t="n">
        <v>46295</v>
      </c>
      <c r="C2332" s="14" t="n">
        <v>46295</v>
      </c>
      <c r="D2332" s="13" t="n">
        <v>0</v>
      </c>
      <c r="E2332" s="0" t="s">
        <v>109</v>
      </c>
      <c r="F2332" s="13" t="n">
        <v>17</v>
      </c>
      <c r="G2332" s="0" t="s">
        <v>110</v>
      </c>
      <c r="H2332" s="13" t="n">
        <v>1110101</v>
      </c>
      <c r="I2332" s="0" t="s">
        <v>111</v>
      </c>
      <c r="J2332" s="13" t="n">
        <v>1783664</v>
      </c>
      <c r="L2332" s="13" t="n">
        <v>1783664</v>
      </c>
      <c r="M2332" s="0" t="s">
        <v>52</v>
      </c>
      <c r="N2332" s="0" t="s">
        <v>112</v>
      </c>
      <c r="P2332" s="13" t="n">
        <v>113</v>
      </c>
      <c r="Q2332" s="0" t="s">
        <v>46</v>
      </c>
      <c r="R2332" s="0" t="s">
        <v>71</v>
      </c>
      <c r="S2332" s="13" t="n">
        <v>4210314</v>
      </c>
      <c r="T2332" s="0" t="s">
        <v>113</v>
      </c>
      <c r="U2332" s="15" t="n">
        <v>70</v>
      </c>
      <c r="W2332" s="15" t="n">
        <v>70</v>
      </c>
      <c r="X2332" s="0" t="s">
        <v>187</v>
      </c>
      <c r="Z2332" s="0" t="str">
        <f aca="false">IF($T2332="","",IFERROR(INDEX('Resumo Grupos'!$AC$3:$AC$200,MATCH($T2332,'Resumo Grupos'!$AB$3:$AB$200,0)),"n/d"))</f>
        <v>Despesa</v>
      </c>
      <c r="AA2332" s="0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3" t="n">
        <v>2</v>
      </c>
      <c r="B2333" s="14" t="n">
        <v>46246</v>
      </c>
      <c r="C2333" s="14" t="n">
        <v>46296</v>
      </c>
      <c r="D2333" s="13" t="n">
        <v>875</v>
      </c>
      <c r="E2333" s="0" t="s">
        <v>42</v>
      </c>
      <c r="F2333" s="13" t="n">
        <v>47</v>
      </c>
      <c r="G2333" s="0" t="s">
        <v>34</v>
      </c>
      <c r="H2333" s="13" t="n">
        <v>2110405</v>
      </c>
      <c r="I2333" s="0" t="s">
        <v>56</v>
      </c>
      <c r="J2333" s="13" t="n">
        <v>1534947</v>
      </c>
      <c r="L2333" s="13" t="n">
        <v>209452</v>
      </c>
      <c r="M2333" s="0" t="s">
        <v>44</v>
      </c>
      <c r="N2333" s="0" t="s">
        <v>45</v>
      </c>
      <c r="P2333" s="13" t="n">
        <v>113</v>
      </c>
      <c r="Q2333" s="0" t="s">
        <v>46</v>
      </c>
      <c r="R2333" s="0" t="s">
        <v>47</v>
      </c>
      <c r="S2333" s="13" t="n">
        <v>1130101</v>
      </c>
      <c r="T2333" s="0" t="s">
        <v>48</v>
      </c>
      <c r="U2333" s="15" t="n">
        <v>638.75</v>
      </c>
      <c r="W2333" s="15" t="n">
        <v>0</v>
      </c>
      <c r="X2333" s="0" t="s">
        <v>1915</v>
      </c>
      <c r="Z2333" s="0" t="str">
        <f aca="false">IF($T2333="","",IFERROR(INDEX('Resumo Grupos'!$AC$3:$AC$200,MATCH($T2333,'Resumo Grupos'!$AB$3:$AB$200,0)),"n/d"))</f>
        <v>Mercadoria</v>
      </c>
      <c r="AA2333" s="0" t="str">
        <f aca="false">IF($T2333="","",IF(COUNTIF('Resumo Grupos'!$AE$3:$AE$40,$T2333)&gt;0,"NAO","SIM"))</f>
        <v>SIM</v>
      </c>
      <c r="AB2333" s="0" t="str">
        <f aca="false">IFERROR(INDEX('Mov Entradas (Rel 10497)'!$L:$L,MATCH(AC2333,'Mov Entradas (Rel 10497)'!$I:$I,0)),"nao encontrado")</f>
        <v>FONE DE OUVIDO DO IP</v>
      </c>
      <c r="AC2333" s="0" t="n">
        <v>1898</v>
      </c>
    </row>
    <row r="2334" customFormat="false" ht="12.75" hidden="false" customHeight="true" outlineLevel="0" collapsed="false">
      <c r="A2334" s="13" t="n">
        <v>2</v>
      </c>
      <c r="B2334" s="14" t="n">
        <v>46294</v>
      </c>
      <c r="C2334" s="14" t="n">
        <v>46296</v>
      </c>
      <c r="D2334" s="13" t="n">
        <v>642</v>
      </c>
      <c r="E2334" s="0" t="s">
        <v>123</v>
      </c>
      <c r="F2334" s="13" t="n">
        <v>24</v>
      </c>
      <c r="G2334" s="0" t="s">
        <v>51</v>
      </c>
      <c r="H2334" s="13" t="n">
        <v>2110405</v>
      </c>
      <c r="I2334" s="0" t="s">
        <v>56</v>
      </c>
      <c r="J2334" s="13" t="n">
        <v>1774686</v>
      </c>
      <c r="L2334" s="13" t="n">
        <v>244470</v>
      </c>
      <c r="M2334" s="0" t="s">
        <v>52</v>
      </c>
      <c r="N2334" s="0" t="s">
        <v>45</v>
      </c>
      <c r="P2334" s="13" t="n">
        <v>113</v>
      </c>
      <c r="Q2334" s="0" t="s">
        <v>46</v>
      </c>
      <c r="R2334" s="0" t="s">
        <v>47</v>
      </c>
      <c r="S2334" s="13" t="n">
        <v>1130101</v>
      </c>
      <c r="T2334" s="0" t="s">
        <v>48</v>
      </c>
      <c r="U2334" s="15" t="n">
        <v>180</v>
      </c>
      <c r="W2334" s="15" t="n">
        <v>0</v>
      </c>
      <c r="X2334" s="0" t="s">
        <v>1916</v>
      </c>
      <c r="Z2334" s="0" t="str">
        <f aca="false">IF($T2334="","",IFERROR(INDEX('Resumo Grupos'!$AC$3:$AC$200,MATCH($T2334,'Resumo Grupos'!$AB$3:$AB$200,0)),"n/d"))</f>
        <v>Mercadoria</v>
      </c>
      <c r="AA2334" s="0" t="str">
        <f aca="false">IF($T2334="","",IF(COUNTIF('Resumo Grupos'!$AE$3:$AE$40,$T2334)&gt;0,"NAO","SIM"))</f>
        <v>SIM</v>
      </c>
      <c r="AB2334" s="0" t="str">
        <f aca="false">IFERROR(INDEX('Mov Entradas (Rel 10497)'!$L:$L,MATCH(AC2334,'Mov Entradas (Rel 10497)'!$I:$I,0)),"nao encontrado")</f>
        <v>BOLO BLOOM 600G</v>
      </c>
      <c r="AC2334" s="0" t="n">
        <v>692</v>
      </c>
    </row>
    <row r="2335" customFormat="false" ht="12.75" hidden="false" customHeight="true" outlineLevel="0" collapsed="false">
      <c r="A2335" s="13" t="n">
        <v>2</v>
      </c>
      <c r="B2335" s="14" t="n">
        <v>46282</v>
      </c>
      <c r="C2335" s="14" t="n">
        <v>46296</v>
      </c>
      <c r="D2335" s="13" t="n">
        <v>1659</v>
      </c>
      <c r="E2335" s="0" t="s">
        <v>214</v>
      </c>
      <c r="F2335" s="13" t="n">
        <v>24</v>
      </c>
      <c r="G2335" s="0" t="s">
        <v>51</v>
      </c>
      <c r="H2335" s="13" t="n">
        <v>2110405</v>
      </c>
      <c r="I2335" s="0" t="s">
        <v>56</v>
      </c>
      <c r="J2335" s="13" t="n">
        <v>1714722</v>
      </c>
      <c r="L2335" s="13" t="n">
        <v>235608</v>
      </c>
      <c r="M2335" s="0" t="s">
        <v>52</v>
      </c>
      <c r="N2335" s="0" t="s">
        <v>45</v>
      </c>
      <c r="P2335" s="13" t="n">
        <v>113</v>
      </c>
      <c r="Q2335" s="0" t="s">
        <v>46</v>
      </c>
      <c r="R2335" s="0" t="s">
        <v>47</v>
      </c>
      <c r="S2335" s="13" t="n">
        <v>1130101</v>
      </c>
      <c r="T2335" s="0" t="s">
        <v>48</v>
      </c>
      <c r="U2335" s="15" t="n">
        <v>1121.36</v>
      </c>
      <c r="W2335" s="15" t="n">
        <v>0</v>
      </c>
      <c r="X2335" s="0" t="s">
        <v>1917</v>
      </c>
      <c r="Z2335" s="0" t="str">
        <f aca="false">IF($T2335="","",IFERROR(INDEX('Resumo Grupos'!$AC$3:$AC$200,MATCH($T2335,'Resumo Grupos'!$AB$3:$AB$200,0)),"n/d"))</f>
        <v>Mercadoria</v>
      </c>
      <c r="AA2335" s="0" t="str">
        <f aca="false">IF($T2335="","",IF(COUNTIF('Resumo Grupos'!$AE$3:$AE$40,$T2335)&gt;0,"NAO","SIM"))</f>
        <v>SIM</v>
      </c>
      <c r="AB2335" s="0" t="str">
        <f aca="false">IFERROR(INDEX('Mov Entradas (Rel 10497)'!$L:$L,MATCH(AC2335,'Mov Entradas (Rel 10497)'!$I:$I,0)),"nao encontrado")</f>
        <v>BISC TODESCHINI MAIZ</v>
      </c>
      <c r="AC2335" s="0" t="n">
        <v>895938</v>
      </c>
    </row>
    <row r="2336" customFormat="false" ht="12.75" hidden="false" customHeight="true" outlineLevel="0" collapsed="false">
      <c r="A2336" s="13" t="n">
        <v>2</v>
      </c>
      <c r="B2336" s="14" t="n">
        <v>46290</v>
      </c>
      <c r="C2336" s="14" t="n">
        <v>46296</v>
      </c>
      <c r="D2336" s="13" t="n">
        <v>10018</v>
      </c>
      <c r="E2336" s="0" t="s">
        <v>216</v>
      </c>
      <c r="F2336" s="13" t="n">
        <v>34</v>
      </c>
      <c r="G2336" s="0" t="s">
        <v>55</v>
      </c>
      <c r="H2336" s="13" t="n">
        <v>2110405</v>
      </c>
      <c r="I2336" s="0" t="s">
        <v>56</v>
      </c>
      <c r="J2336" s="13" t="n">
        <v>1755342</v>
      </c>
      <c r="L2336" s="13" t="n">
        <v>241701</v>
      </c>
      <c r="M2336" s="0" t="s">
        <v>52</v>
      </c>
      <c r="N2336" s="0" t="s">
        <v>45</v>
      </c>
      <c r="P2336" s="13" t="n">
        <v>113</v>
      </c>
      <c r="Q2336" s="0" t="s">
        <v>46</v>
      </c>
      <c r="R2336" s="0" t="s">
        <v>47</v>
      </c>
      <c r="S2336" s="13" t="n">
        <v>1130101</v>
      </c>
      <c r="T2336" s="0" t="s">
        <v>48</v>
      </c>
      <c r="U2336" s="15" t="n">
        <v>949.6</v>
      </c>
      <c r="W2336" s="15" t="n">
        <v>0</v>
      </c>
      <c r="X2336" s="0" t="s">
        <v>1246</v>
      </c>
      <c r="Z2336" s="0" t="str">
        <f aca="false">IF($T2336="","",IFERROR(INDEX('Resumo Grupos'!$AC$3:$AC$200,MATCH($T2336,'Resumo Grupos'!$AB$3:$AB$200,0)),"n/d"))</f>
        <v>Mercadoria</v>
      </c>
      <c r="AA2336" s="0" t="str">
        <f aca="false">IF($T2336="","",IF(COUNTIF('Resumo Grupos'!$AE$3:$AE$40,$T2336)&gt;0,"NAO","SIM"))</f>
        <v>SIM</v>
      </c>
      <c r="AB2336" s="0" t="str">
        <f aca="false">IFERROR(INDEX('Mov Entradas (Rel 10497)'!$L:$L,MATCH(AC2336,'Mov Entradas (Rel 10497)'!$I:$I,0)),"nao encontrado")</f>
        <v>CARVAO VEGETAL 3KG</v>
      </c>
      <c r="AC2336" s="0" t="n">
        <v>395</v>
      </c>
    </row>
    <row r="2337" customFormat="false" ht="12.75" hidden="false" customHeight="true" outlineLevel="0" collapsed="false">
      <c r="A2337" s="13" t="n">
        <v>2</v>
      </c>
      <c r="B2337" s="14" t="n">
        <v>46268</v>
      </c>
      <c r="C2337" s="14" t="n">
        <v>46296</v>
      </c>
      <c r="D2337" s="13" t="n">
        <v>1974</v>
      </c>
      <c r="E2337" s="0" t="s">
        <v>681</v>
      </c>
      <c r="F2337" s="13" t="n">
        <v>47</v>
      </c>
      <c r="G2337" s="0" t="s">
        <v>34</v>
      </c>
      <c r="H2337" s="13" t="n">
        <v>2110405</v>
      </c>
      <c r="I2337" s="0" t="s">
        <v>56</v>
      </c>
      <c r="J2337" s="13" t="n">
        <v>1745430</v>
      </c>
      <c r="L2337" s="13" t="n">
        <v>240373</v>
      </c>
      <c r="M2337" s="0" t="s">
        <v>52</v>
      </c>
      <c r="N2337" s="0" t="s">
        <v>45</v>
      </c>
      <c r="P2337" s="13" t="n">
        <v>101</v>
      </c>
      <c r="Q2337" s="0" t="s">
        <v>57</v>
      </c>
      <c r="R2337" s="0" t="s">
        <v>39</v>
      </c>
      <c r="S2337" s="13" t="n">
        <v>4210209</v>
      </c>
      <c r="T2337" s="0" t="s">
        <v>682</v>
      </c>
      <c r="U2337" s="15" t="n">
        <v>531.3</v>
      </c>
      <c r="W2337" s="15" t="n">
        <v>0</v>
      </c>
      <c r="X2337" s="0" t="s">
        <v>1918</v>
      </c>
      <c r="Z2337" s="0" t="str">
        <f aca="false">IF($T2337="","",IFERROR(INDEX('Resumo Grupos'!$AC$3:$AC$200,MATCH($T2337,'Resumo Grupos'!$AB$3:$AB$200,0)),"n/d"))</f>
        <v>Despesa</v>
      </c>
      <c r="AA2337" s="0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3" t="n">
        <v>2</v>
      </c>
      <c r="B2338" s="14" t="n">
        <v>46290</v>
      </c>
      <c r="C2338" s="14" t="n">
        <v>46296</v>
      </c>
      <c r="D2338" s="13" t="n">
        <v>1695</v>
      </c>
      <c r="E2338" s="0" t="s">
        <v>390</v>
      </c>
      <c r="F2338" s="13" t="n">
        <v>24</v>
      </c>
      <c r="G2338" s="0" t="s">
        <v>51</v>
      </c>
      <c r="H2338" s="13" t="n">
        <v>2110405</v>
      </c>
      <c r="I2338" s="0" t="s">
        <v>56</v>
      </c>
      <c r="J2338" s="13" t="n">
        <v>1755305</v>
      </c>
      <c r="L2338" s="13" t="n">
        <v>241691</v>
      </c>
      <c r="M2338" s="0" t="s">
        <v>52</v>
      </c>
      <c r="N2338" s="0" t="s">
        <v>45</v>
      </c>
      <c r="P2338" s="13" t="n">
        <v>113</v>
      </c>
      <c r="Q2338" s="0" t="s">
        <v>46</v>
      </c>
      <c r="R2338" s="0" t="s">
        <v>47</v>
      </c>
      <c r="S2338" s="13" t="n">
        <v>1130101</v>
      </c>
      <c r="T2338" s="0" t="s">
        <v>48</v>
      </c>
      <c r="U2338" s="15" t="n">
        <v>1347.23</v>
      </c>
      <c r="W2338" s="15" t="n">
        <v>0</v>
      </c>
      <c r="X2338" s="0" t="s">
        <v>1919</v>
      </c>
      <c r="Z2338" s="0" t="str">
        <f aca="false">IF($T2338="","",IFERROR(INDEX('Resumo Grupos'!$AC$3:$AC$200,MATCH($T2338,'Resumo Grupos'!$AB$3:$AB$200,0)),"n/d"))</f>
        <v>Mercadoria</v>
      </c>
      <c r="AA2338" s="0" t="str">
        <f aca="false">IF($T2338="","",IF(COUNTIF('Resumo Grupos'!$AE$3:$AE$40,$T2338)&gt;0,"NAO","SIM"))</f>
        <v>SIM</v>
      </c>
      <c r="AB2338" s="0" t="str">
        <f aca="false">IFERROR(INDEX('Mov Entradas (Rel 10497)'!$L:$L,MATCH(AC2338,'Mov Entradas (Rel 10497)'!$I:$I,0)),"nao encontrado")</f>
        <v>SUCO JANDAI CAJU500M</v>
      </c>
      <c r="AC2338" s="0" t="n">
        <v>20716</v>
      </c>
    </row>
    <row r="2339" customFormat="false" ht="12.75" hidden="false" customHeight="true" outlineLevel="0" collapsed="false">
      <c r="A2339" s="13" t="n">
        <v>2</v>
      </c>
      <c r="B2339" s="14" t="n">
        <v>46293</v>
      </c>
      <c r="C2339" s="14" t="n">
        <v>46296</v>
      </c>
      <c r="D2339" s="13" t="n">
        <v>1695</v>
      </c>
      <c r="E2339" s="0" t="s">
        <v>390</v>
      </c>
      <c r="F2339" s="13" t="n">
        <v>34</v>
      </c>
      <c r="G2339" s="0" t="s">
        <v>55</v>
      </c>
      <c r="H2339" s="13" t="n">
        <v>2110405</v>
      </c>
      <c r="I2339" s="0" t="s">
        <v>56</v>
      </c>
      <c r="J2339" s="13" t="n">
        <v>1768705</v>
      </c>
      <c r="L2339" s="13" t="n">
        <v>243496</v>
      </c>
      <c r="M2339" s="0" t="s">
        <v>52</v>
      </c>
      <c r="N2339" s="0" t="s">
        <v>45</v>
      </c>
      <c r="P2339" s="13" t="n">
        <v>113</v>
      </c>
      <c r="Q2339" s="0" t="s">
        <v>46</v>
      </c>
      <c r="R2339" s="0" t="s">
        <v>47</v>
      </c>
      <c r="S2339" s="13" t="n">
        <v>1130101</v>
      </c>
      <c r="T2339" s="0" t="s">
        <v>48</v>
      </c>
      <c r="U2339" s="15" t="n">
        <v>1232.52</v>
      </c>
      <c r="W2339" s="15" t="n">
        <v>0</v>
      </c>
      <c r="X2339" s="0" t="s">
        <v>1920</v>
      </c>
      <c r="Z2339" s="0" t="str">
        <f aca="false">IF($T2339="","",IFERROR(INDEX('Resumo Grupos'!$AC$3:$AC$200,MATCH($T2339,'Resumo Grupos'!$AB$3:$AB$200,0)),"n/d"))</f>
        <v>Mercadoria</v>
      </c>
      <c r="AA2339" s="0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3" t="n">
        <v>2</v>
      </c>
      <c r="B2340" s="14" t="n">
        <v>46275</v>
      </c>
      <c r="C2340" s="14" t="n">
        <v>46296</v>
      </c>
      <c r="D2340" s="13" t="n">
        <v>1725</v>
      </c>
      <c r="E2340" s="0" t="s">
        <v>1921</v>
      </c>
      <c r="F2340" s="13" t="n">
        <v>47</v>
      </c>
      <c r="G2340" s="0" t="s">
        <v>34</v>
      </c>
      <c r="H2340" s="13" t="n">
        <v>2110405</v>
      </c>
      <c r="I2340" s="0" t="s">
        <v>56</v>
      </c>
      <c r="J2340" s="13" t="n">
        <v>1683458</v>
      </c>
      <c r="L2340" s="13" t="n">
        <v>231094</v>
      </c>
      <c r="M2340" s="0" t="s">
        <v>52</v>
      </c>
      <c r="N2340" s="0" t="s">
        <v>45</v>
      </c>
      <c r="P2340" s="13" t="n">
        <v>113</v>
      </c>
      <c r="Q2340" s="0" t="s">
        <v>46</v>
      </c>
      <c r="R2340" s="0" t="s">
        <v>39</v>
      </c>
      <c r="S2340" s="13" t="n">
        <v>4210227</v>
      </c>
      <c r="T2340" s="0" t="s">
        <v>68</v>
      </c>
      <c r="U2340" s="15" t="n">
        <v>162.5</v>
      </c>
      <c r="W2340" s="15" t="n">
        <v>0</v>
      </c>
      <c r="X2340" s="0" t="s">
        <v>1922</v>
      </c>
      <c r="Z2340" s="0" t="str">
        <f aca="false">IF($T2340="","",IFERROR(INDEX('Resumo Grupos'!$AC$3:$AC$200,MATCH($T2340,'Resumo Grupos'!$AB$3:$AB$200,0)),"n/d"))</f>
        <v>Despesa</v>
      </c>
      <c r="AA2340" s="0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3" t="n">
        <v>2</v>
      </c>
      <c r="B2341" s="14" t="n">
        <v>46279</v>
      </c>
      <c r="C2341" s="14" t="n">
        <v>46296</v>
      </c>
      <c r="D2341" s="13" t="n">
        <v>1218</v>
      </c>
      <c r="E2341" s="0" t="s">
        <v>659</v>
      </c>
      <c r="F2341" s="13" t="n">
        <v>24</v>
      </c>
      <c r="G2341" s="0" t="s">
        <v>51</v>
      </c>
      <c r="H2341" s="13" t="n">
        <v>2110405</v>
      </c>
      <c r="I2341" s="0" t="s">
        <v>56</v>
      </c>
      <c r="J2341" s="13" t="n">
        <v>1702965</v>
      </c>
      <c r="L2341" s="13" t="n">
        <v>233732</v>
      </c>
      <c r="M2341" s="0" t="s">
        <v>52</v>
      </c>
      <c r="N2341" s="0" t="s">
        <v>45</v>
      </c>
      <c r="P2341" s="13" t="n">
        <v>113</v>
      </c>
      <c r="Q2341" s="0" t="s">
        <v>46</v>
      </c>
      <c r="R2341" s="0" t="s">
        <v>47</v>
      </c>
      <c r="S2341" s="13" t="n">
        <v>1130101</v>
      </c>
      <c r="T2341" s="0" t="s">
        <v>48</v>
      </c>
      <c r="U2341" s="15" t="n">
        <v>803.5</v>
      </c>
      <c r="W2341" s="15" t="n">
        <v>0</v>
      </c>
      <c r="X2341" s="0" t="s">
        <v>1761</v>
      </c>
      <c r="Z2341" s="0" t="str">
        <f aca="false">IF($T2341="","",IFERROR(INDEX('Resumo Grupos'!$AC$3:$AC$200,MATCH($T2341,'Resumo Grupos'!$AB$3:$AB$200,0)),"n/d"))</f>
        <v>Mercadoria</v>
      </c>
      <c r="AA2341" s="0" t="str">
        <f aca="false">IF($T2341="","",IF(COUNTIF('Resumo Grupos'!$AE$3:$AE$40,$T2341)&gt;0,"NAO","SIM"))</f>
        <v>SIM</v>
      </c>
      <c r="AB2341" s="0" t="str">
        <f aca="false">IFERROR(INDEX('Mov Entradas (Rel 10497)'!$L:$L,MATCH(AC2341,'Mov Entradas (Rel 10497)'!$I:$I,0)),"nao encontrado")</f>
        <v>COLA POLYTUBES ADESI</v>
      </c>
      <c r="AC2341" s="0" t="n">
        <v>11105</v>
      </c>
    </row>
    <row r="2342" customFormat="false" ht="12.75" hidden="false" customHeight="true" outlineLevel="0" collapsed="false">
      <c r="A2342" s="13" t="n">
        <v>2</v>
      </c>
      <c r="B2342" s="14" t="n">
        <v>46296</v>
      </c>
      <c r="C2342" s="14" t="n">
        <v>46296</v>
      </c>
      <c r="D2342" s="13" t="n">
        <v>73</v>
      </c>
      <c r="E2342" s="0" t="s">
        <v>70</v>
      </c>
      <c r="F2342" s="13" t="n">
        <v>34</v>
      </c>
      <c r="G2342" s="0" t="s">
        <v>55</v>
      </c>
      <c r="H2342" s="13" t="n">
        <v>2110405</v>
      </c>
      <c r="I2342" s="0" t="s">
        <v>56</v>
      </c>
      <c r="J2342" s="13" t="n">
        <v>1784845</v>
      </c>
      <c r="L2342" s="13" t="n">
        <v>246007</v>
      </c>
      <c r="M2342" s="0" t="s">
        <v>52</v>
      </c>
      <c r="N2342" s="0" t="s">
        <v>45</v>
      </c>
      <c r="P2342" s="13" t="n">
        <v>113</v>
      </c>
      <c r="Q2342" s="0" t="s">
        <v>46</v>
      </c>
      <c r="R2342" s="0" t="s">
        <v>71</v>
      </c>
      <c r="S2342" s="13" t="n">
        <v>4210309</v>
      </c>
      <c r="T2342" s="0" t="s">
        <v>72</v>
      </c>
      <c r="U2342" s="15" t="n">
        <v>260</v>
      </c>
      <c r="W2342" s="15" t="n">
        <v>0</v>
      </c>
      <c r="X2342" s="0" t="s">
        <v>1923</v>
      </c>
      <c r="Z2342" s="0" t="str">
        <f aca="false">IF($T2342="","",IFERROR(INDEX('Resumo Grupos'!$AC$3:$AC$200,MATCH($T2342,'Resumo Grupos'!$AB$3:$AB$200,0)),"n/d"))</f>
        <v>Salários</v>
      </c>
      <c r="AA2342" s="0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3" t="n">
        <v>2</v>
      </c>
      <c r="B2343" s="14" t="n">
        <v>46282</v>
      </c>
      <c r="C2343" s="14" t="n">
        <v>46296</v>
      </c>
      <c r="D2343" s="13" t="n">
        <v>10019</v>
      </c>
      <c r="E2343" s="0" t="s">
        <v>268</v>
      </c>
      <c r="F2343" s="13" t="n">
        <v>24</v>
      </c>
      <c r="G2343" s="0" t="s">
        <v>51</v>
      </c>
      <c r="H2343" s="13" t="n">
        <v>2110405</v>
      </c>
      <c r="I2343" s="0" t="s">
        <v>56</v>
      </c>
      <c r="J2343" s="13" t="n">
        <v>1715696</v>
      </c>
      <c r="L2343" s="13" t="n">
        <v>235817</v>
      </c>
      <c r="M2343" s="0" t="s">
        <v>52</v>
      </c>
      <c r="N2343" s="0" t="s">
        <v>45</v>
      </c>
      <c r="P2343" s="13" t="n">
        <v>113</v>
      </c>
      <c r="Q2343" s="0" t="s">
        <v>46</v>
      </c>
      <c r="R2343" s="0" t="s">
        <v>47</v>
      </c>
      <c r="S2343" s="13" t="n">
        <v>1130101</v>
      </c>
      <c r="T2343" s="0" t="s">
        <v>48</v>
      </c>
      <c r="U2343" s="15" t="n">
        <v>638.5</v>
      </c>
      <c r="W2343" s="15" t="n">
        <v>0</v>
      </c>
      <c r="X2343" s="0" t="s">
        <v>1826</v>
      </c>
      <c r="Z2343" s="0" t="str">
        <f aca="false">IF($T2343="","",IFERROR(INDEX('Resumo Grupos'!$AC$3:$AC$200,MATCH($T2343,'Resumo Grupos'!$AB$3:$AB$200,0)),"n/d"))</f>
        <v>Mercadoria</v>
      </c>
      <c r="AA2343" s="0" t="str">
        <f aca="false">IF($T2343="","",IF(COUNTIF('Resumo Grupos'!$AE$3:$AE$40,$T2343)&gt;0,"NAO","SIM"))</f>
        <v>SIM</v>
      </c>
      <c r="AB2343" s="0" t="str">
        <f aca="false">IFERROR(INDEX('Mov Entradas (Rel 10497)'!$L:$L,MATCH(AC2343,'Mov Entradas (Rel 10497)'!$I:$I,0)),"nao encontrado")</f>
        <v>PERNIL SUINO KG</v>
      </c>
      <c r="AC2343" s="0" t="n">
        <v>33639</v>
      </c>
    </row>
    <row r="2344" customFormat="false" ht="12.75" hidden="false" customHeight="true" outlineLevel="0" collapsed="false">
      <c r="A2344" s="13" t="n">
        <v>2</v>
      </c>
      <c r="B2344" s="14" t="n">
        <v>46275</v>
      </c>
      <c r="C2344" s="14" t="n">
        <v>46296</v>
      </c>
      <c r="D2344" s="13" t="n">
        <v>1294</v>
      </c>
      <c r="E2344" s="0" t="s">
        <v>1924</v>
      </c>
      <c r="F2344" s="13" t="n">
        <v>47</v>
      </c>
      <c r="G2344" s="0" t="s">
        <v>34</v>
      </c>
      <c r="H2344" s="13" t="n">
        <v>2110405</v>
      </c>
      <c r="I2344" s="0" t="s">
        <v>56</v>
      </c>
      <c r="J2344" s="13" t="n">
        <v>1745438</v>
      </c>
      <c r="L2344" s="13" t="n">
        <v>240375</v>
      </c>
      <c r="M2344" s="0" t="s">
        <v>52</v>
      </c>
      <c r="N2344" s="0" t="s">
        <v>45</v>
      </c>
      <c r="P2344" s="13" t="n">
        <v>101</v>
      </c>
      <c r="Q2344" s="0" t="s">
        <v>57</v>
      </c>
      <c r="R2344" s="0" t="s">
        <v>39</v>
      </c>
      <c r="S2344" s="13" t="n">
        <v>4210227</v>
      </c>
      <c r="T2344" s="0" t="s">
        <v>68</v>
      </c>
      <c r="U2344" s="15" t="n">
        <v>90</v>
      </c>
      <c r="W2344" s="15" t="n">
        <v>0</v>
      </c>
      <c r="X2344" s="0" t="s">
        <v>1925</v>
      </c>
      <c r="Z2344" s="0" t="str">
        <f aca="false">IF($T2344="","",IFERROR(INDEX('Resumo Grupos'!$AC$3:$AC$200,MATCH($T2344,'Resumo Grupos'!$AB$3:$AB$200,0)),"n/d"))</f>
        <v>Despesa</v>
      </c>
      <c r="AA2344" s="0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3" t="n">
        <v>2</v>
      </c>
      <c r="B2345" s="14" t="n">
        <v>46296</v>
      </c>
      <c r="C2345" s="14" t="n">
        <v>46296</v>
      </c>
      <c r="D2345" s="13" t="n">
        <v>10096</v>
      </c>
      <c r="E2345" s="0" t="s">
        <v>622</v>
      </c>
      <c r="F2345" s="13" t="n">
        <v>13</v>
      </c>
      <c r="G2345" s="0" t="s">
        <v>135</v>
      </c>
      <c r="H2345" s="13" t="n">
        <v>2110405</v>
      </c>
      <c r="I2345" s="0" t="s">
        <v>56</v>
      </c>
      <c r="J2345" s="13" t="n">
        <v>1785365</v>
      </c>
      <c r="L2345" s="13" t="n">
        <v>246099</v>
      </c>
      <c r="M2345" s="0" t="s">
        <v>52</v>
      </c>
      <c r="N2345" s="0" t="s">
        <v>45</v>
      </c>
      <c r="P2345" s="13" t="n">
        <v>113</v>
      </c>
      <c r="Q2345" s="0" t="s">
        <v>46</v>
      </c>
      <c r="R2345" s="0" t="s">
        <v>47</v>
      </c>
      <c r="S2345" s="13" t="n">
        <v>1130101</v>
      </c>
      <c r="T2345" s="0" t="s">
        <v>48</v>
      </c>
      <c r="U2345" s="15" t="n">
        <v>140</v>
      </c>
      <c r="W2345" s="15" t="n">
        <v>140</v>
      </c>
      <c r="X2345" s="0" t="s">
        <v>1926</v>
      </c>
      <c r="Z2345" s="0" t="str">
        <f aca="false">IF($T2345="","",IFERROR(INDEX('Resumo Grupos'!$AC$3:$AC$200,MATCH($T2345,'Resumo Grupos'!$AB$3:$AB$200,0)),"n/d"))</f>
        <v>Mercadoria</v>
      </c>
      <c r="AA2345" s="0" t="str">
        <f aca="false">IF($T2345="","",IF(COUNTIF('Resumo Grupos'!$AE$3:$AE$40,$T2345)&gt;0,"NAO","SIM"))</f>
        <v>SIM</v>
      </c>
      <c r="AB2345" s="0" t="str">
        <f aca="false">IFERROR(INDEX('Mov Entradas (Rel 10497)'!$L:$L,MATCH(AC2345,'Mov Entradas (Rel 10497)'!$I:$I,0)),"nao encontrado")</f>
        <v>OVOS BRANCO UNID</v>
      </c>
      <c r="AC2345" s="0" t="n">
        <v>360</v>
      </c>
    </row>
    <row r="2346" customFormat="false" ht="12.75" hidden="false" customHeight="true" outlineLevel="0" collapsed="false">
      <c r="A2346" s="13" t="n">
        <v>2</v>
      </c>
      <c r="B2346" s="14" t="n">
        <v>46296</v>
      </c>
      <c r="C2346" s="14" t="n">
        <v>46296</v>
      </c>
      <c r="D2346" s="13" t="n">
        <v>29</v>
      </c>
      <c r="E2346" s="0" t="s">
        <v>1927</v>
      </c>
      <c r="F2346" s="13" t="n">
        <v>34</v>
      </c>
      <c r="G2346" s="0" t="s">
        <v>55</v>
      </c>
      <c r="H2346" s="13" t="n">
        <v>2110405</v>
      </c>
      <c r="I2346" s="0" t="s">
        <v>56</v>
      </c>
      <c r="J2346" s="13" t="n">
        <v>1783681</v>
      </c>
      <c r="L2346" s="13" t="n">
        <v>6</v>
      </c>
      <c r="M2346" s="0" t="s">
        <v>52</v>
      </c>
      <c r="N2346" s="0" t="s">
        <v>45</v>
      </c>
      <c r="P2346" s="13" t="n">
        <v>101</v>
      </c>
      <c r="Q2346" s="0" t="s">
        <v>57</v>
      </c>
      <c r="R2346" s="0" t="s">
        <v>39</v>
      </c>
      <c r="S2346" s="13" t="n">
        <v>4210221</v>
      </c>
      <c r="T2346" s="0" t="s">
        <v>1928</v>
      </c>
      <c r="U2346" s="15" t="n">
        <v>265</v>
      </c>
      <c r="W2346" s="15" t="n">
        <v>0</v>
      </c>
      <c r="X2346" s="0" t="s">
        <v>1929</v>
      </c>
      <c r="Z2346" s="0" t="str">
        <f aca="false">IF($T2346="","",IFERROR(INDEX('Resumo Grupos'!$AC$3:$AC$200,MATCH($T2346,'Resumo Grupos'!$AB$3:$AB$200,0)),"n/d"))</f>
        <v>Despesa</v>
      </c>
      <c r="AA2346" s="0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3" t="n">
        <v>2</v>
      </c>
      <c r="B2347" s="14" t="n">
        <v>46055</v>
      </c>
      <c r="C2347" s="14" t="n">
        <v>46296</v>
      </c>
      <c r="D2347" s="13" t="n">
        <v>10039</v>
      </c>
      <c r="E2347" s="0" t="s">
        <v>88</v>
      </c>
      <c r="F2347" s="13" t="n">
        <v>47</v>
      </c>
      <c r="G2347" s="0" t="s">
        <v>34</v>
      </c>
      <c r="H2347" s="13" t="n">
        <v>2110405</v>
      </c>
      <c r="I2347" s="0" t="s">
        <v>56</v>
      </c>
      <c r="J2347" s="13" t="n">
        <v>846832</v>
      </c>
      <c r="L2347" s="13" t="n">
        <v>111506</v>
      </c>
      <c r="M2347" s="0" t="s">
        <v>701</v>
      </c>
      <c r="N2347" s="0" t="s">
        <v>45</v>
      </c>
      <c r="P2347" s="13" t="n">
        <v>113</v>
      </c>
      <c r="Q2347" s="0" t="s">
        <v>46</v>
      </c>
      <c r="R2347" s="0" t="s">
        <v>39</v>
      </c>
      <c r="S2347" s="13" t="n">
        <v>4210227</v>
      </c>
      <c r="T2347" s="0" t="s">
        <v>68</v>
      </c>
      <c r="U2347" s="15" t="n">
        <v>378.82</v>
      </c>
      <c r="W2347" s="15" t="n">
        <v>0</v>
      </c>
      <c r="X2347" s="0" t="s">
        <v>1930</v>
      </c>
      <c r="Z2347" s="0" t="str">
        <f aca="false">IF($T2347="","",IFERROR(INDEX('Resumo Grupos'!$AC$3:$AC$200,MATCH($T2347,'Resumo Grupos'!$AB$3:$AB$200,0)),"n/d"))</f>
        <v>Despesa</v>
      </c>
      <c r="AA2347" s="0" t="str">
        <f aca="false">IF($T2347="","",IF(COUNTIF('Resumo Grupos'!$AE$3:$AE$40,$T2347)&gt;0,"NAO","SIM"))</f>
        <v>SIM</v>
      </c>
      <c r="AB2347" s="0" t="str">
        <f aca="false">IFERROR(INDEX('Mov Entradas (Rel 10497)'!$L:$L,MATCH(AC2347,'Mov Entradas (Rel 10497)'!$I:$I,0)),"nao encontrado")</f>
        <v>nao encontrado</v>
      </c>
      <c r="AC2347" s="0" t="n">
        <v>258</v>
      </c>
    </row>
    <row r="2348" customFormat="false" ht="12.75" hidden="false" customHeight="true" outlineLevel="0" collapsed="false">
      <c r="A2348" s="13" t="n">
        <v>2</v>
      </c>
      <c r="B2348" s="14" t="n">
        <v>46289</v>
      </c>
      <c r="C2348" s="14" t="n">
        <v>46296</v>
      </c>
      <c r="D2348" s="13" t="n">
        <v>581</v>
      </c>
      <c r="E2348" s="0" t="s">
        <v>147</v>
      </c>
      <c r="F2348" s="13" t="n">
        <v>24</v>
      </c>
      <c r="G2348" s="0" t="s">
        <v>51</v>
      </c>
      <c r="H2348" s="13" t="n">
        <v>2110405</v>
      </c>
      <c r="I2348" s="0" t="s">
        <v>56</v>
      </c>
      <c r="J2348" s="13" t="n">
        <v>1752153</v>
      </c>
      <c r="L2348" s="13" t="n">
        <v>241215</v>
      </c>
      <c r="M2348" s="0" t="s">
        <v>52</v>
      </c>
      <c r="N2348" s="0" t="s">
        <v>45</v>
      </c>
      <c r="P2348" s="13" t="n">
        <v>113</v>
      </c>
      <c r="Q2348" s="0" t="s">
        <v>46</v>
      </c>
      <c r="R2348" s="0" t="s">
        <v>47</v>
      </c>
      <c r="S2348" s="13" t="n">
        <v>1130101</v>
      </c>
      <c r="T2348" s="0" t="s">
        <v>48</v>
      </c>
      <c r="U2348" s="15" t="n">
        <v>264</v>
      </c>
      <c r="W2348" s="15" t="n">
        <v>0</v>
      </c>
      <c r="X2348" s="0" t="s">
        <v>1931</v>
      </c>
      <c r="Z2348" s="0" t="str">
        <f aca="false">IF($T2348="","",IFERROR(INDEX('Resumo Grupos'!$AC$3:$AC$200,MATCH($T2348,'Resumo Grupos'!$AB$3:$AB$200,0)),"n/d"))</f>
        <v>Mercadoria</v>
      </c>
      <c r="AA2348" s="0" t="str">
        <f aca="false">IF($T2348="","",IF(COUNTIF('Resumo Grupos'!$AE$3:$AE$40,$T2348)&gt;0,"NAO","SIM"))</f>
        <v>SIM</v>
      </c>
      <c r="AB2348" s="0" t="str">
        <f aca="false">IFERROR(INDEX('Mov Entradas (Rel 10497)'!$L:$L,MATCH(AC2348,'Mov Entradas (Rel 10497)'!$I:$I,0)),"nao encontrado")</f>
        <v>GOMA DE MANDIOCA AMA</v>
      </c>
      <c r="AC2348" s="0" t="n">
        <v>32550</v>
      </c>
    </row>
    <row r="2349" customFormat="false" ht="12.75" hidden="false" customHeight="true" outlineLevel="0" collapsed="false">
      <c r="A2349" s="13" t="n">
        <v>2</v>
      </c>
      <c r="B2349" s="14" t="n">
        <v>46296</v>
      </c>
      <c r="C2349" s="14" t="n">
        <v>46296</v>
      </c>
      <c r="D2349" s="13" t="n">
        <v>1783</v>
      </c>
      <c r="E2349" s="0" t="s">
        <v>340</v>
      </c>
      <c r="F2349" s="13" t="n">
        <v>13</v>
      </c>
      <c r="G2349" s="0" t="s">
        <v>135</v>
      </c>
      <c r="H2349" s="13" t="n">
        <v>2110405</v>
      </c>
      <c r="I2349" s="0" t="s">
        <v>56</v>
      </c>
      <c r="J2349" s="13" t="n">
        <v>1784874</v>
      </c>
      <c r="L2349" s="13" t="n">
        <v>246012</v>
      </c>
      <c r="M2349" s="0" t="s">
        <v>52</v>
      </c>
      <c r="N2349" s="0" t="s">
        <v>45</v>
      </c>
      <c r="P2349" s="13" t="n">
        <v>113</v>
      </c>
      <c r="Q2349" s="0" t="s">
        <v>46</v>
      </c>
      <c r="R2349" s="0" t="s">
        <v>47</v>
      </c>
      <c r="S2349" s="13" t="n">
        <v>1130101</v>
      </c>
      <c r="T2349" s="0" t="s">
        <v>48</v>
      </c>
      <c r="U2349" s="15" t="n">
        <v>160.32</v>
      </c>
      <c r="W2349" s="15" t="n">
        <v>160.32</v>
      </c>
      <c r="X2349" s="0" t="s">
        <v>1932</v>
      </c>
      <c r="Z2349" s="0" t="str">
        <f aca="false">IF($T2349="","",IFERROR(INDEX('Resumo Grupos'!$AC$3:$AC$200,MATCH($T2349,'Resumo Grupos'!$AB$3:$AB$200,0)),"n/d"))</f>
        <v>Mercadoria</v>
      </c>
      <c r="AA2349" s="0" t="str">
        <f aca="false">IF($T2349="","",IF(COUNTIF('Resumo Grupos'!$AE$3:$AE$40,$T2349)&gt;0,"NAO","SIM"))</f>
        <v>SIM</v>
      </c>
      <c r="AB2349" s="0" t="str">
        <f aca="false">IFERROR(INDEX('Mov Entradas (Rel 10497)'!$L:$L,MATCH(AC2349,'Mov Entradas (Rel 10497)'!$I:$I,0)),"nao encontrado")</f>
        <v>MARSHMALOW NO PALITO</v>
      </c>
      <c r="AC2349" s="0" t="n">
        <v>545</v>
      </c>
    </row>
    <row r="2350" customFormat="false" ht="12.75" hidden="false" customHeight="true" outlineLevel="0" collapsed="false">
      <c r="A2350" s="13" t="n">
        <v>2</v>
      </c>
      <c r="B2350" s="14" t="n">
        <v>46296</v>
      </c>
      <c r="C2350" s="14" t="n">
        <v>46296</v>
      </c>
      <c r="D2350" s="13" t="n">
        <v>48</v>
      </c>
      <c r="E2350" s="0" t="s">
        <v>153</v>
      </c>
      <c r="F2350" s="13" t="n">
        <v>13</v>
      </c>
      <c r="G2350" s="0" t="s">
        <v>135</v>
      </c>
      <c r="H2350" s="13" t="n">
        <v>2110101</v>
      </c>
      <c r="I2350" s="0" t="s">
        <v>43</v>
      </c>
      <c r="J2350" s="13" t="n">
        <v>1784850</v>
      </c>
      <c r="L2350" s="13" t="n">
        <v>2716</v>
      </c>
      <c r="M2350" s="0" t="s">
        <v>52</v>
      </c>
      <c r="N2350" s="0" t="s">
        <v>37</v>
      </c>
      <c r="P2350" s="13" t="n">
        <v>113</v>
      </c>
      <c r="Q2350" s="0" t="s">
        <v>46</v>
      </c>
      <c r="R2350" s="0" t="s">
        <v>47</v>
      </c>
      <c r="S2350" s="13" t="n">
        <v>1130101</v>
      </c>
      <c r="T2350" s="0" t="s">
        <v>48</v>
      </c>
      <c r="U2350" s="15" t="n">
        <v>300</v>
      </c>
      <c r="W2350" s="15" t="n">
        <v>300</v>
      </c>
      <c r="X2350" s="0" t="s">
        <v>1933</v>
      </c>
      <c r="Z2350" s="0" t="str">
        <f aca="false">IF($T2350="","",IFERROR(INDEX('Resumo Grupos'!$AC$3:$AC$200,MATCH($T2350,'Resumo Grupos'!$AB$3:$AB$200,0)),"n/d"))</f>
        <v>Mercadoria</v>
      </c>
      <c r="AA2350" s="0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3" t="n">
        <v>2</v>
      </c>
      <c r="B2351" s="14" t="n">
        <v>46290</v>
      </c>
      <c r="C2351" s="14" t="n">
        <v>46296</v>
      </c>
      <c r="D2351" s="13" t="n">
        <v>1328</v>
      </c>
      <c r="E2351" s="0" t="s">
        <v>95</v>
      </c>
      <c r="F2351" s="13" t="n">
        <v>24</v>
      </c>
      <c r="G2351" s="0" t="s">
        <v>51</v>
      </c>
      <c r="H2351" s="13" t="n">
        <v>2110405</v>
      </c>
      <c r="I2351" s="0" t="s">
        <v>56</v>
      </c>
      <c r="J2351" s="13" t="n">
        <v>1756264</v>
      </c>
      <c r="L2351" s="13" t="n">
        <v>241894</v>
      </c>
      <c r="M2351" s="0" t="s">
        <v>52</v>
      </c>
      <c r="N2351" s="0" t="s">
        <v>45</v>
      </c>
      <c r="P2351" s="13" t="n">
        <v>113</v>
      </c>
      <c r="Q2351" s="0" t="s">
        <v>46</v>
      </c>
      <c r="R2351" s="0" t="s">
        <v>47</v>
      </c>
      <c r="S2351" s="13" t="n">
        <v>1130101</v>
      </c>
      <c r="T2351" s="0" t="s">
        <v>48</v>
      </c>
      <c r="U2351" s="15" t="n">
        <v>133.05</v>
      </c>
      <c r="W2351" s="15" t="n">
        <v>0</v>
      </c>
      <c r="X2351" s="0" t="s">
        <v>1934</v>
      </c>
      <c r="Z2351" s="0" t="str">
        <f aca="false">IF($T2351="","",IFERROR(INDEX('Resumo Grupos'!$AC$3:$AC$200,MATCH($T2351,'Resumo Grupos'!$AB$3:$AB$200,0)),"n/d"))</f>
        <v>Mercadoria</v>
      </c>
      <c r="AA2351" s="0" t="str">
        <f aca="false">IF($T2351="","",IF(COUNTIF('Resumo Grupos'!$AE$3:$AE$40,$T2351)&gt;0,"NAO","SIM"))</f>
        <v>SIM</v>
      </c>
      <c r="AB2351" s="0" t="str">
        <f aca="false">IFERROR(INDEX('Mov Entradas (Rel 10497)'!$L:$L,MATCH(AC2351,'Mov Entradas (Rel 10497)'!$I:$I,0)),"nao encontrado")</f>
        <v>PAO DE KIKAO 10</v>
      </c>
      <c r="AC2351" s="0" t="n">
        <v>4761</v>
      </c>
    </row>
    <row r="2352" customFormat="false" ht="12.75" hidden="false" customHeight="true" outlineLevel="0" collapsed="false">
      <c r="A2352" s="13" t="n">
        <v>2</v>
      </c>
      <c r="B2352" s="14" t="n">
        <v>46289</v>
      </c>
      <c r="C2352" s="14" t="n">
        <v>46296</v>
      </c>
      <c r="D2352" s="13" t="n">
        <v>1024</v>
      </c>
      <c r="E2352" s="0" t="s">
        <v>471</v>
      </c>
      <c r="F2352" s="13" t="n">
        <v>24</v>
      </c>
      <c r="G2352" s="0" t="s">
        <v>51</v>
      </c>
      <c r="H2352" s="13" t="n">
        <v>2110405</v>
      </c>
      <c r="I2352" s="0" t="s">
        <v>56</v>
      </c>
      <c r="J2352" s="13" t="n">
        <v>1749543</v>
      </c>
      <c r="L2352" s="13" t="n">
        <v>241107</v>
      </c>
      <c r="M2352" s="0" t="s">
        <v>52</v>
      </c>
      <c r="N2352" s="0" t="s">
        <v>45</v>
      </c>
      <c r="P2352" s="13" t="n">
        <v>113</v>
      </c>
      <c r="Q2352" s="0" t="s">
        <v>46</v>
      </c>
      <c r="R2352" s="0" t="s">
        <v>47</v>
      </c>
      <c r="S2352" s="13" t="n">
        <v>1130101</v>
      </c>
      <c r="T2352" s="0" t="s">
        <v>48</v>
      </c>
      <c r="U2352" s="15" t="n">
        <v>617</v>
      </c>
      <c r="W2352" s="15" t="n">
        <v>0</v>
      </c>
      <c r="X2352" s="0" t="s">
        <v>1935</v>
      </c>
      <c r="Z2352" s="0" t="str">
        <f aca="false">IF($T2352="","",IFERROR(INDEX('Resumo Grupos'!$AC$3:$AC$200,MATCH($T2352,'Resumo Grupos'!$AB$3:$AB$200,0)),"n/d"))</f>
        <v>Mercadoria</v>
      </c>
      <c r="AA2352" s="0" t="str">
        <f aca="false">IF($T2352="","",IF(COUNTIF('Resumo Grupos'!$AE$3:$AE$40,$T2352)&gt;0,"NAO","SIM"))</f>
        <v>SIM</v>
      </c>
      <c r="AB2352" s="0" t="str">
        <f aca="false">IFERROR(INDEX('Mov Entradas (Rel 10497)'!$L:$L,MATCH(AC2352,'Mov Entradas (Rel 10497)'!$I:$I,0)),"nao encontrado")</f>
        <v>REAL GOLD 250ML PET</v>
      </c>
      <c r="AC2352" s="0" t="n">
        <v>649357</v>
      </c>
    </row>
    <row r="2353" customFormat="false" ht="12.75" hidden="false" customHeight="true" outlineLevel="0" collapsed="false">
      <c r="A2353" s="13" t="n">
        <v>2</v>
      </c>
      <c r="B2353" s="14" t="n">
        <v>46296</v>
      </c>
      <c r="C2353" s="14" t="n">
        <v>46296</v>
      </c>
      <c r="D2353" s="13" t="n">
        <v>21</v>
      </c>
      <c r="E2353" s="0" t="s">
        <v>107</v>
      </c>
      <c r="F2353" s="13" t="n">
        <v>34</v>
      </c>
      <c r="G2353" s="0" t="s">
        <v>55</v>
      </c>
      <c r="H2353" s="13" t="n">
        <v>2110405</v>
      </c>
      <c r="I2353" s="0" t="s">
        <v>56</v>
      </c>
      <c r="J2353" s="13" t="n">
        <v>1784847</v>
      </c>
      <c r="L2353" s="13" t="n">
        <v>246008</v>
      </c>
      <c r="M2353" s="0" t="s">
        <v>52</v>
      </c>
      <c r="N2353" s="0" t="s">
        <v>45</v>
      </c>
      <c r="P2353" s="13" t="n">
        <v>113</v>
      </c>
      <c r="Q2353" s="0" t="s">
        <v>46</v>
      </c>
      <c r="R2353" s="0" t="s">
        <v>71</v>
      </c>
      <c r="S2353" s="13" t="n">
        <v>4210309</v>
      </c>
      <c r="T2353" s="0" t="s">
        <v>72</v>
      </c>
      <c r="U2353" s="15" t="n">
        <v>280</v>
      </c>
      <c r="W2353" s="15" t="n">
        <v>0</v>
      </c>
      <c r="X2353" s="0" t="s">
        <v>1923</v>
      </c>
      <c r="Z2353" s="0" t="str">
        <f aca="false">IF($T2353="","",IFERROR(INDEX('Resumo Grupos'!$AC$3:$AC$200,MATCH($T2353,'Resumo Grupos'!$AB$3:$AB$200,0)),"n/d"))</f>
        <v>Salários</v>
      </c>
      <c r="AA2353" s="0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3" t="n">
        <v>2</v>
      </c>
      <c r="B2354" s="14" t="n">
        <v>46283</v>
      </c>
      <c r="C2354" s="14" t="n">
        <v>46296</v>
      </c>
      <c r="D2354" s="13" t="n">
        <v>514</v>
      </c>
      <c r="E2354" s="0" t="s">
        <v>759</v>
      </c>
      <c r="F2354" s="13" t="n">
        <v>47</v>
      </c>
      <c r="G2354" s="0" t="s">
        <v>34</v>
      </c>
      <c r="H2354" s="13" t="n">
        <v>2110405</v>
      </c>
      <c r="I2354" s="0" t="s">
        <v>56</v>
      </c>
      <c r="J2354" s="13" t="n">
        <v>1745456</v>
      </c>
      <c r="L2354" s="13" t="n">
        <v>240380</v>
      </c>
      <c r="M2354" s="0" t="s">
        <v>52</v>
      </c>
      <c r="N2354" s="0" t="s">
        <v>45</v>
      </c>
      <c r="P2354" s="13" t="n">
        <v>101</v>
      </c>
      <c r="Q2354" s="0" t="s">
        <v>57</v>
      </c>
      <c r="R2354" s="0" t="s">
        <v>607</v>
      </c>
      <c r="S2354" s="13" t="n">
        <v>1140104</v>
      </c>
      <c r="T2354" s="0" t="s">
        <v>1846</v>
      </c>
      <c r="U2354" s="15" t="n">
        <v>17.63</v>
      </c>
      <c r="W2354" s="15" t="n">
        <v>0</v>
      </c>
      <c r="X2354" s="0" t="s">
        <v>1936</v>
      </c>
      <c r="Z2354" s="0" t="str">
        <f aca="false">IF($T2354="","",IFERROR(INDEX('Resumo Grupos'!$AC$3:$AC$200,MATCH($T2354,'Resumo Grupos'!$AB$3:$AB$200,0)),"n/d"))</f>
        <v>Despesa</v>
      </c>
      <c r="AA2354" s="0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3" t="n">
        <v>2</v>
      </c>
      <c r="B2355" s="14" t="n">
        <v>46290</v>
      </c>
      <c r="C2355" s="14" t="n">
        <v>46296</v>
      </c>
      <c r="D2355" s="13" t="n">
        <v>1292</v>
      </c>
      <c r="E2355" s="0" t="s">
        <v>209</v>
      </c>
      <c r="F2355" s="13" t="n">
        <v>24</v>
      </c>
      <c r="G2355" s="0" t="s">
        <v>51</v>
      </c>
      <c r="H2355" s="13" t="n">
        <v>2110405</v>
      </c>
      <c r="I2355" s="0" t="s">
        <v>56</v>
      </c>
      <c r="J2355" s="13" t="n">
        <v>1755044</v>
      </c>
      <c r="L2355" s="13" t="n">
        <v>241637</v>
      </c>
      <c r="M2355" s="0" t="s">
        <v>52</v>
      </c>
      <c r="N2355" s="0" t="s">
        <v>45</v>
      </c>
      <c r="P2355" s="13" t="n">
        <v>113</v>
      </c>
      <c r="Q2355" s="0" t="s">
        <v>46</v>
      </c>
      <c r="R2355" s="0" t="s">
        <v>47</v>
      </c>
      <c r="S2355" s="13" t="n">
        <v>1130101</v>
      </c>
      <c r="T2355" s="0" t="s">
        <v>48</v>
      </c>
      <c r="U2355" s="15" t="n">
        <v>454.65</v>
      </c>
      <c r="W2355" s="15" t="n">
        <v>0</v>
      </c>
      <c r="X2355" s="0" t="s">
        <v>1937</v>
      </c>
      <c r="Z2355" s="0" t="str">
        <f aca="false">IF($T2355="","",IFERROR(INDEX('Resumo Grupos'!$AC$3:$AC$200,MATCH($T2355,'Resumo Grupos'!$AB$3:$AB$200,0)),"n/d"))</f>
        <v>Mercadoria</v>
      </c>
      <c r="AA2355" s="0" t="str">
        <f aca="false">IF($T2355="","",IF(COUNTIF('Resumo Grupos'!$AE$3:$AE$40,$T2355)&gt;0,"NAO","SIM"))</f>
        <v>SIM</v>
      </c>
      <c r="AB2355" s="0" t="str">
        <f aca="false">IFERROR(INDEX('Mov Entradas (Rel 10497)'!$L:$L,MATCH(AC2355,'Mov Entradas (Rel 10497)'!$I:$I,0)),"nao encontrado")</f>
        <v>QUEIJO MUSSARELA FAT</v>
      </c>
      <c r="AC2355" s="0" t="n">
        <v>4140</v>
      </c>
    </row>
    <row r="2356" customFormat="false" ht="12.75" hidden="false" customHeight="true" outlineLevel="0" collapsed="false">
      <c r="A2356" s="13" t="n">
        <v>2</v>
      </c>
      <c r="B2356" s="14" t="n">
        <v>46273</v>
      </c>
      <c r="C2356" s="14" t="n">
        <v>46296</v>
      </c>
      <c r="D2356" s="13" t="n">
        <v>10012</v>
      </c>
      <c r="E2356" s="0" t="s">
        <v>185</v>
      </c>
      <c r="F2356" s="13" t="n">
        <v>24</v>
      </c>
      <c r="G2356" s="0" t="s">
        <v>51</v>
      </c>
      <c r="H2356" s="13" t="n">
        <v>2110405</v>
      </c>
      <c r="I2356" s="0" t="s">
        <v>56</v>
      </c>
      <c r="J2356" s="13" t="n">
        <v>1672890</v>
      </c>
      <c r="L2356" s="13" t="n">
        <v>229363</v>
      </c>
      <c r="M2356" s="0" t="s">
        <v>52</v>
      </c>
      <c r="N2356" s="0" t="s">
        <v>45</v>
      </c>
      <c r="P2356" s="13" t="n">
        <v>113</v>
      </c>
      <c r="Q2356" s="0" t="s">
        <v>46</v>
      </c>
      <c r="R2356" s="0" t="s">
        <v>47</v>
      </c>
      <c r="S2356" s="13" t="n">
        <v>1130101</v>
      </c>
      <c r="T2356" s="0" t="s">
        <v>48</v>
      </c>
      <c r="U2356" s="15" t="n">
        <v>419.38</v>
      </c>
      <c r="W2356" s="15" t="n">
        <v>0</v>
      </c>
      <c r="X2356" s="0" t="s">
        <v>1835</v>
      </c>
      <c r="Z2356" s="0" t="str">
        <f aca="false">IF($T2356="","",IFERROR(INDEX('Resumo Grupos'!$AC$3:$AC$200,MATCH($T2356,'Resumo Grupos'!$AB$3:$AB$200,0)),"n/d"))</f>
        <v>Mercadoria</v>
      </c>
      <c r="AA2356" s="0" t="str">
        <f aca="false">IF($T2356="","",IF(COUNTIF('Resumo Grupos'!$AE$3:$AE$40,$T2356)&gt;0,"NAO","SIM"))</f>
        <v>SIM</v>
      </c>
      <c r="AB2356" s="0" t="str">
        <f aca="false">IFERROR(INDEX('Mov Entradas (Rel 10497)'!$L:$L,MATCH(AC2356,'Mov Entradas (Rel 10497)'!$I:$I,0)),"nao encontrado")</f>
        <v>ABS SEMPERLIVRE SUAVE C/ABA -16UN</v>
      </c>
      <c r="AC2356" s="0" t="n">
        <v>1968927</v>
      </c>
    </row>
    <row r="2357" customFormat="false" ht="12.75" hidden="false" customHeight="true" outlineLevel="0" collapsed="false">
      <c r="A2357" s="13" t="n">
        <v>2</v>
      </c>
      <c r="B2357" s="14" t="n">
        <v>46296</v>
      </c>
      <c r="C2357" s="14" t="n">
        <v>46296</v>
      </c>
      <c r="D2357" s="13" t="n">
        <v>0</v>
      </c>
      <c r="E2357" s="0" t="s">
        <v>109</v>
      </c>
      <c r="F2357" s="13" t="n">
        <v>17</v>
      </c>
      <c r="G2357" s="0" t="s">
        <v>110</v>
      </c>
      <c r="H2357" s="13" t="n">
        <v>1110101</v>
      </c>
      <c r="I2357" s="0" t="s">
        <v>111</v>
      </c>
      <c r="J2357" s="13" t="n">
        <v>1789177</v>
      </c>
      <c r="L2357" s="13" t="n">
        <v>1789177</v>
      </c>
      <c r="M2357" s="0" t="s">
        <v>52</v>
      </c>
      <c r="N2357" s="0" t="s">
        <v>112</v>
      </c>
      <c r="P2357" s="13" t="n">
        <v>113</v>
      </c>
      <c r="Q2357" s="0" t="s">
        <v>46</v>
      </c>
      <c r="R2357" s="0" t="s">
        <v>56</v>
      </c>
      <c r="S2357" s="13" t="n">
        <v>2110405</v>
      </c>
      <c r="T2357" s="0" t="s">
        <v>56</v>
      </c>
      <c r="U2357" s="15" t="n">
        <v>140</v>
      </c>
      <c r="W2357" s="15" t="n">
        <v>140</v>
      </c>
      <c r="X2357" s="0" t="s">
        <v>1938</v>
      </c>
      <c r="Z2357" s="0" t="str">
        <f aca="false">IF($T2357="","",IFERROR(INDEX('Resumo Grupos'!$AC$3:$AC$200,MATCH($T2357,'Resumo Grupos'!$AB$3:$AB$200,0)),"n/d"))</f>
        <v>Cobertura de conta</v>
      </c>
      <c r="AA2357" s="0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3" t="n">
        <v>2</v>
      </c>
      <c r="B2358" s="14" t="n">
        <v>46296</v>
      </c>
      <c r="C2358" s="14" t="n">
        <v>46296</v>
      </c>
      <c r="D2358" s="13" t="n">
        <v>0</v>
      </c>
      <c r="E2358" s="0" t="s">
        <v>109</v>
      </c>
      <c r="F2358" s="13" t="n">
        <v>17</v>
      </c>
      <c r="G2358" s="0" t="s">
        <v>110</v>
      </c>
      <c r="H2358" s="13" t="n">
        <v>1110101</v>
      </c>
      <c r="I2358" s="0" t="s">
        <v>111</v>
      </c>
      <c r="J2358" s="13" t="n">
        <v>1789178</v>
      </c>
      <c r="L2358" s="13" t="n">
        <v>1789178</v>
      </c>
      <c r="M2358" s="0" t="s">
        <v>52</v>
      </c>
      <c r="N2358" s="0" t="s">
        <v>112</v>
      </c>
      <c r="P2358" s="13" t="n">
        <v>113</v>
      </c>
      <c r="Q2358" s="0" t="s">
        <v>46</v>
      </c>
      <c r="R2358" s="0" t="s">
        <v>56</v>
      </c>
      <c r="S2358" s="13" t="n">
        <v>2110405</v>
      </c>
      <c r="T2358" s="0" t="s">
        <v>56</v>
      </c>
      <c r="U2358" s="15" t="n">
        <v>160.32</v>
      </c>
      <c r="W2358" s="15" t="n">
        <v>160.32</v>
      </c>
      <c r="X2358" s="0" t="s">
        <v>1939</v>
      </c>
      <c r="Z2358" s="0" t="str">
        <f aca="false">IF($T2358="","",IFERROR(INDEX('Resumo Grupos'!$AC$3:$AC$200,MATCH($T2358,'Resumo Grupos'!$AB$3:$AB$200,0)),"n/d"))</f>
        <v>Cobertura de conta</v>
      </c>
      <c r="AA2358" s="0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3" t="n">
        <v>2</v>
      </c>
      <c r="B2359" s="14" t="n">
        <v>46296</v>
      </c>
      <c r="C2359" s="14" t="n">
        <v>46296</v>
      </c>
      <c r="D2359" s="13" t="n">
        <v>0</v>
      </c>
      <c r="E2359" s="0" t="s">
        <v>109</v>
      </c>
      <c r="F2359" s="13" t="n">
        <v>17</v>
      </c>
      <c r="G2359" s="0" t="s">
        <v>110</v>
      </c>
      <c r="H2359" s="13" t="n">
        <v>1110101</v>
      </c>
      <c r="I2359" s="0" t="s">
        <v>111</v>
      </c>
      <c r="J2359" s="13" t="n">
        <v>1789184</v>
      </c>
      <c r="L2359" s="13" t="n">
        <v>1789184</v>
      </c>
      <c r="M2359" s="0" t="s">
        <v>52</v>
      </c>
      <c r="N2359" s="0" t="s">
        <v>112</v>
      </c>
      <c r="P2359" s="13" t="n">
        <v>113</v>
      </c>
      <c r="Q2359" s="0" t="s">
        <v>46</v>
      </c>
      <c r="R2359" s="0" t="s">
        <v>259</v>
      </c>
      <c r="S2359" s="13" t="n">
        <v>2110101</v>
      </c>
      <c r="T2359" s="0" t="s">
        <v>43</v>
      </c>
      <c r="U2359" s="15" t="n">
        <v>300</v>
      </c>
      <c r="W2359" s="15" t="n">
        <v>300</v>
      </c>
      <c r="X2359" s="0" t="s">
        <v>1940</v>
      </c>
      <c r="Z2359" s="0" t="str">
        <f aca="false">IF($T2359="","",IFERROR(INDEX('Resumo Grupos'!$AC$3:$AC$200,MATCH($T2359,'Resumo Grupos'!$AB$3:$AB$200,0)),"n/d"))</f>
        <v>Despesa</v>
      </c>
      <c r="AA2359" s="0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3" t="n">
        <v>2</v>
      </c>
      <c r="B2360" s="14" t="n">
        <v>46296</v>
      </c>
      <c r="C2360" s="14" t="n">
        <v>46296</v>
      </c>
      <c r="D2360" s="13" t="n">
        <v>0</v>
      </c>
      <c r="E2360" s="0" t="s">
        <v>109</v>
      </c>
      <c r="F2360" s="13" t="n">
        <v>17</v>
      </c>
      <c r="G2360" s="0" t="s">
        <v>110</v>
      </c>
      <c r="H2360" s="13" t="n">
        <v>1110101</v>
      </c>
      <c r="I2360" s="0" t="s">
        <v>111</v>
      </c>
      <c r="J2360" s="13" t="n">
        <v>1789192</v>
      </c>
      <c r="L2360" s="13" t="n">
        <v>1789192</v>
      </c>
      <c r="M2360" s="0" t="s">
        <v>52</v>
      </c>
      <c r="N2360" s="0" t="s">
        <v>112</v>
      </c>
      <c r="P2360" s="13" t="n">
        <v>113</v>
      </c>
      <c r="Q2360" s="0" t="s">
        <v>46</v>
      </c>
      <c r="R2360" s="0" t="s">
        <v>39</v>
      </c>
      <c r="S2360" s="13" t="n">
        <v>4210227</v>
      </c>
      <c r="T2360" s="0" t="s">
        <v>68</v>
      </c>
      <c r="U2360" s="15" t="n">
        <v>19</v>
      </c>
      <c r="W2360" s="15" t="n">
        <v>19</v>
      </c>
      <c r="X2360" s="0" t="s">
        <v>1941</v>
      </c>
      <c r="Z2360" s="0" t="str">
        <f aca="false">IF($T2360="","",IFERROR(INDEX('Resumo Grupos'!$AC$3:$AC$200,MATCH($T2360,'Resumo Grupos'!$AB$3:$AB$200,0)),"n/d"))</f>
        <v>Despesa</v>
      </c>
      <c r="AA2360" s="0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3" t="n">
        <v>2</v>
      </c>
      <c r="B2361" s="14" t="n">
        <v>46296</v>
      </c>
      <c r="C2361" s="14" t="n">
        <v>46296</v>
      </c>
      <c r="D2361" s="13" t="n">
        <v>0</v>
      </c>
      <c r="E2361" s="0" t="s">
        <v>109</v>
      </c>
      <c r="F2361" s="13" t="n">
        <v>17</v>
      </c>
      <c r="G2361" s="0" t="s">
        <v>110</v>
      </c>
      <c r="H2361" s="13" t="n">
        <v>1110101</v>
      </c>
      <c r="I2361" s="0" t="s">
        <v>111</v>
      </c>
      <c r="J2361" s="13" t="n">
        <v>1789202</v>
      </c>
      <c r="L2361" s="13" t="n">
        <v>1789202</v>
      </c>
      <c r="M2361" s="0" t="s">
        <v>52</v>
      </c>
      <c r="N2361" s="0" t="s">
        <v>112</v>
      </c>
      <c r="P2361" s="13" t="n">
        <v>113</v>
      </c>
      <c r="Q2361" s="0" t="s">
        <v>46</v>
      </c>
      <c r="R2361" s="0" t="s">
        <v>39</v>
      </c>
      <c r="S2361" s="13" t="n">
        <v>4210227</v>
      </c>
      <c r="T2361" s="0" t="s">
        <v>68</v>
      </c>
      <c r="U2361" s="15" t="n">
        <v>25</v>
      </c>
      <c r="W2361" s="15" t="n">
        <v>25</v>
      </c>
      <c r="X2361" s="0" t="s">
        <v>1942</v>
      </c>
      <c r="Z2361" s="0" t="str">
        <f aca="false">IF($T2361="","",IFERROR(INDEX('Resumo Grupos'!$AC$3:$AC$200,MATCH($T2361,'Resumo Grupos'!$AB$3:$AB$200,0)),"n/d"))</f>
        <v>Despesa</v>
      </c>
      <c r="AA2361" s="0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3" t="n">
        <v>2</v>
      </c>
      <c r="B2362" s="14" t="n">
        <v>46296</v>
      </c>
      <c r="C2362" s="14" t="n">
        <v>46296</v>
      </c>
      <c r="D2362" s="13" t="n">
        <v>0</v>
      </c>
      <c r="E2362" s="0" t="s">
        <v>109</v>
      </c>
      <c r="F2362" s="13" t="n">
        <v>17</v>
      </c>
      <c r="G2362" s="0" t="s">
        <v>110</v>
      </c>
      <c r="H2362" s="13" t="n">
        <v>1110101</v>
      </c>
      <c r="I2362" s="0" t="s">
        <v>111</v>
      </c>
      <c r="J2362" s="13" t="n">
        <v>1789208</v>
      </c>
      <c r="L2362" s="13" t="n">
        <v>1789208</v>
      </c>
      <c r="M2362" s="0" t="s">
        <v>52</v>
      </c>
      <c r="N2362" s="0" t="s">
        <v>112</v>
      </c>
      <c r="P2362" s="13" t="n">
        <v>113</v>
      </c>
      <c r="Q2362" s="0" t="s">
        <v>46</v>
      </c>
      <c r="R2362" s="0" t="s">
        <v>71</v>
      </c>
      <c r="S2362" s="13" t="n">
        <v>4210314</v>
      </c>
      <c r="T2362" s="0" t="s">
        <v>113</v>
      </c>
      <c r="U2362" s="15" t="n">
        <v>50</v>
      </c>
      <c r="W2362" s="15" t="n">
        <v>50</v>
      </c>
      <c r="X2362" s="0" t="s">
        <v>368</v>
      </c>
      <c r="Z2362" s="0" t="str">
        <f aca="false">IF($T2362="","",IFERROR(INDEX('Resumo Grupos'!$AC$3:$AC$200,MATCH($T2362,'Resumo Grupos'!$AB$3:$AB$200,0)),"n/d"))</f>
        <v>Despesa</v>
      </c>
      <c r="AA2362" s="0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3" t="n">
        <v>2</v>
      </c>
      <c r="B2363" s="14" t="n">
        <v>46296</v>
      </c>
      <c r="C2363" s="14" t="n">
        <v>46296</v>
      </c>
      <c r="D2363" s="13" t="n">
        <v>0</v>
      </c>
      <c r="E2363" s="0" t="s">
        <v>109</v>
      </c>
      <c r="F2363" s="13" t="n">
        <v>17</v>
      </c>
      <c r="G2363" s="0" t="s">
        <v>110</v>
      </c>
      <c r="H2363" s="13" t="n">
        <v>1110101</v>
      </c>
      <c r="I2363" s="0" t="s">
        <v>111</v>
      </c>
      <c r="J2363" s="13" t="n">
        <v>1789210</v>
      </c>
      <c r="L2363" s="13" t="n">
        <v>1789210</v>
      </c>
      <c r="M2363" s="0" t="s">
        <v>52</v>
      </c>
      <c r="N2363" s="0" t="s">
        <v>112</v>
      </c>
      <c r="P2363" s="13" t="n">
        <v>113</v>
      </c>
      <c r="Q2363" s="0" t="s">
        <v>46</v>
      </c>
      <c r="R2363" s="0" t="s">
        <v>71</v>
      </c>
      <c r="S2363" s="13" t="n">
        <v>4210316</v>
      </c>
      <c r="T2363" s="0" t="s">
        <v>159</v>
      </c>
      <c r="U2363" s="15" t="n">
        <v>100</v>
      </c>
      <c r="W2363" s="15" t="n">
        <v>100</v>
      </c>
      <c r="X2363" s="0" t="s">
        <v>1614</v>
      </c>
      <c r="Z2363" s="0" t="str">
        <f aca="false">IF($T2363="","",IFERROR(INDEX('Resumo Grupos'!$AC$3:$AC$200,MATCH($T2363,'Resumo Grupos'!$AB$3:$AB$200,0)),"n/d"))</f>
        <v>Salários</v>
      </c>
      <c r="AA2363" s="0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3" t="n">
        <v>2</v>
      </c>
      <c r="B2364" s="14" t="n">
        <v>46296</v>
      </c>
      <c r="C2364" s="14" t="n">
        <v>46296</v>
      </c>
      <c r="D2364" s="13" t="n">
        <v>0</v>
      </c>
      <c r="E2364" s="0" t="s">
        <v>109</v>
      </c>
      <c r="F2364" s="13" t="n">
        <v>17</v>
      </c>
      <c r="G2364" s="0" t="s">
        <v>110</v>
      </c>
      <c r="H2364" s="13" t="n">
        <v>1110101</v>
      </c>
      <c r="I2364" s="0" t="s">
        <v>111</v>
      </c>
      <c r="J2364" s="13" t="n">
        <v>1789213</v>
      </c>
      <c r="L2364" s="13" t="n">
        <v>1789213</v>
      </c>
      <c r="M2364" s="0" t="s">
        <v>52</v>
      </c>
      <c r="N2364" s="0" t="s">
        <v>112</v>
      </c>
      <c r="P2364" s="13" t="n">
        <v>113</v>
      </c>
      <c r="Q2364" s="0" t="s">
        <v>46</v>
      </c>
      <c r="R2364" s="0" t="s">
        <v>71</v>
      </c>
      <c r="S2364" s="13" t="n">
        <v>4210309</v>
      </c>
      <c r="T2364" s="0" t="s">
        <v>72</v>
      </c>
      <c r="U2364" s="15" t="n">
        <v>10</v>
      </c>
      <c r="W2364" s="15" t="n">
        <v>10</v>
      </c>
      <c r="X2364" s="0" t="s">
        <v>1552</v>
      </c>
      <c r="Z2364" s="0" t="str">
        <f aca="false">IF($T2364="","",IFERROR(INDEX('Resumo Grupos'!$AC$3:$AC$200,MATCH($T2364,'Resumo Grupos'!$AB$3:$AB$200,0)),"n/d"))</f>
        <v>Salários</v>
      </c>
      <c r="AA2364" s="0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3" t="n">
        <v>2</v>
      </c>
      <c r="B2365" s="14" t="n">
        <v>46296</v>
      </c>
      <c r="C2365" s="14" t="n">
        <v>46296</v>
      </c>
      <c r="D2365" s="13" t="n">
        <v>0</v>
      </c>
      <c r="E2365" s="0" t="s">
        <v>109</v>
      </c>
      <c r="F2365" s="13" t="n">
        <v>17</v>
      </c>
      <c r="G2365" s="0" t="s">
        <v>110</v>
      </c>
      <c r="H2365" s="13" t="n">
        <v>1110101</v>
      </c>
      <c r="I2365" s="0" t="s">
        <v>111</v>
      </c>
      <c r="J2365" s="13" t="n">
        <v>1789215</v>
      </c>
      <c r="L2365" s="13" t="n">
        <v>1789215</v>
      </c>
      <c r="M2365" s="0" t="s">
        <v>52</v>
      </c>
      <c r="N2365" s="0" t="s">
        <v>112</v>
      </c>
      <c r="P2365" s="13" t="n">
        <v>113</v>
      </c>
      <c r="Q2365" s="0" t="s">
        <v>46</v>
      </c>
      <c r="R2365" s="0" t="s">
        <v>71</v>
      </c>
      <c r="S2365" s="13" t="n">
        <v>4210314</v>
      </c>
      <c r="T2365" s="0" t="s">
        <v>113</v>
      </c>
      <c r="U2365" s="15" t="n">
        <v>100</v>
      </c>
      <c r="W2365" s="15" t="n">
        <v>100</v>
      </c>
      <c r="X2365" s="0" t="s">
        <v>1706</v>
      </c>
      <c r="Z2365" s="0" t="str">
        <f aca="false">IF($T2365="","",IFERROR(INDEX('Resumo Grupos'!$AC$3:$AC$200,MATCH($T2365,'Resumo Grupos'!$AB$3:$AB$200,0)),"n/d"))</f>
        <v>Despesa</v>
      </c>
      <c r="AA2365" s="0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3" t="n">
        <v>2</v>
      </c>
      <c r="B2366" s="14" t="n">
        <v>46283</v>
      </c>
      <c r="C2366" s="14" t="n">
        <v>46297</v>
      </c>
      <c r="D2366" s="13" t="n">
        <v>1705</v>
      </c>
      <c r="E2366" s="0" t="s">
        <v>130</v>
      </c>
      <c r="F2366" s="13" t="n">
        <v>24</v>
      </c>
      <c r="G2366" s="0" t="s">
        <v>51</v>
      </c>
      <c r="H2366" s="13" t="n">
        <v>2110405</v>
      </c>
      <c r="I2366" s="0" t="s">
        <v>56</v>
      </c>
      <c r="J2366" s="13" t="n">
        <v>1720651</v>
      </c>
      <c r="L2366" s="13" t="n">
        <v>236661</v>
      </c>
      <c r="M2366" s="0" t="s">
        <v>52</v>
      </c>
      <c r="N2366" s="0" t="s">
        <v>45</v>
      </c>
      <c r="P2366" s="13" t="n">
        <v>113</v>
      </c>
      <c r="Q2366" s="0" t="s">
        <v>46</v>
      </c>
      <c r="R2366" s="0" t="s">
        <v>47</v>
      </c>
      <c r="S2366" s="13" t="n">
        <v>1130101</v>
      </c>
      <c r="T2366" s="0" t="s">
        <v>48</v>
      </c>
      <c r="U2366" s="15" t="n">
        <v>915.39</v>
      </c>
      <c r="W2366" s="15" t="n">
        <v>0</v>
      </c>
      <c r="X2366" s="0" t="s">
        <v>1943</v>
      </c>
      <c r="Z2366" s="0" t="str">
        <f aca="false">IF($T2366="","",IFERROR(INDEX('Resumo Grupos'!$AC$3:$AC$200,MATCH($T2366,'Resumo Grupos'!$AB$3:$AB$200,0)),"n/d"))</f>
        <v>Mercadoria</v>
      </c>
      <c r="AA2366" s="0" t="str">
        <f aca="false">IF($T2366="","",IF(COUNTIF('Resumo Grupos'!$AE$3:$AE$40,$T2366)&gt;0,"NAO","SIM"))</f>
        <v>SIM</v>
      </c>
      <c r="AB2366" s="0" t="str">
        <f aca="false">IFERROR(INDEX('Mov Entradas (Rel 10497)'!$L:$L,MATCH(AC2366,'Mov Entradas (Rel 10497)'!$I:$I,0)),"nao encontrado")</f>
        <v>MONSTER ENERGY 473ML</v>
      </c>
      <c r="AC2366" s="0" t="n">
        <v>1295018</v>
      </c>
    </row>
    <row r="2367" customFormat="false" ht="12.75" hidden="false" customHeight="true" outlineLevel="0" collapsed="false">
      <c r="A2367" s="13" t="n">
        <v>2</v>
      </c>
      <c r="B2367" s="14" t="n">
        <v>46283</v>
      </c>
      <c r="C2367" s="14" t="n">
        <v>46297</v>
      </c>
      <c r="D2367" s="13" t="n">
        <v>1705</v>
      </c>
      <c r="E2367" s="0" t="s">
        <v>130</v>
      </c>
      <c r="F2367" s="13" t="n">
        <v>24</v>
      </c>
      <c r="G2367" s="0" t="s">
        <v>51</v>
      </c>
      <c r="H2367" s="13" t="n">
        <v>2110405</v>
      </c>
      <c r="I2367" s="0" t="s">
        <v>56</v>
      </c>
      <c r="J2367" s="13" t="n">
        <v>1720685</v>
      </c>
      <c r="L2367" s="13" t="n">
        <v>236670</v>
      </c>
      <c r="M2367" s="0" t="s">
        <v>52</v>
      </c>
      <c r="N2367" s="0" t="s">
        <v>45</v>
      </c>
      <c r="P2367" s="13" t="n">
        <v>113</v>
      </c>
      <c r="Q2367" s="0" t="s">
        <v>46</v>
      </c>
      <c r="R2367" s="0" t="s">
        <v>47</v>
      </c>
      <c r="S2367" s="13" t="n">
        <v>1130101</v>
      </c>
      <c r="T2367" s="0" t="s">
        <v>48</v>
      </c>
      <c r="U2367" s="15" t="n">
        <v>176.67</v>
      </c>
      <c r="W2367" s="15" t="n">
        <v>0</v>
      </c>
      <c r="X2367" s="0" t="s">
        <v>1944</v>
      </c>
      <c r="Z2367" s="0" t="str">
        <f aca="false">IF($T2367="","",IFERROR(INDEX('Resumo Grupos'!$AC$3:$AC$200,MATCH($T2367,'Resumo Grupos'!$AB$3:$AB$200,0)),"n/d"))</f>
        <v>Mercadoria</v>
      </c>
      <c r="AA2367" s="0" t="str">
        <f aca="false">IF($T2367="","",IF(COUNTIF('Resumo Grupos'!$AE$3:$AE$40,$T2367)&gt;0,"NAO","SIM"))</f>
        <v>SIM</v>
      </c>
      <c r="AB2367" s="0" t="str">
        <f aca="false">IFERROR(INDEX('Mov Entradas (Rel 10497)'!$L:$L,MATCH(AC2367,'Mov Entradas (Rel 10497)'!$I:$I,0)),"nao encontrado")</f>
        <v>SUCO DEL VALLE FRUT</v>
      </c>
      <c r="AC2367" s="0" t="n">
        <v>1294293</v>
      </c>
    </row>
    <row r="2368" customFormat="false" ht="12.75" hidden="false" customHeight="true" outlineLevel="0" collapsed="false">
      <c r="A2368" s="13" t="n">
        <v>2</v>
      </c>
      <c r="B2368" s="14" t="n">
        <v>46283</v>
      </c>
      <c r="C2368" s="14" t="n">
        <v>46297</v>
      </c>
      <c r="D2368" s="13" t="n">
        <v>1705</v>
      </c>
      <c r="E2368" s="0" t="s">
        <v>130</v>
      </c>
      <c r="F2368" s="13" t="n">
        <v>24</v>
      </c>
      <c r="G2368" s="0" t="s">
        <v>51</v>
      </c>
      <c r="H2368" s="13" t="n">
        <v>2110405</v>
      </c>
      <c r="I2368" s="0" t="s">
        <v>56</v>
      </c>
      <c r="J2368" s="13" t="n">
        <v>1720705</v>
      </c>
      <c r="L2368" s="13" t="n">
        <v>236676</v>
      </c>
      <c r="M2368" s="0" t="s">
        <v>52</v>
      </c>
      <c r="N2368" s="0" t="s">
        <v>45</v>
      </c>
      <c r="P2368" s="13" t="n">
        <v>113</v>
      </c>
      <c r="Q2368" s="0" t="s">
        <v>46</v>
      </c>
      <c r="R2368" s="0" t="s">
        <v>47</v>
      </c>
      <c r="S2368" s="13" t="n">
        <v>1130101</v>
      </c>
      <c r="T2368" s="0" t="s">
        <v>48</v>
      </c>
      <c r="U2368" s="15" t="n">
        <v>3065.9</v>
      </c>
      <c r="W2368" s="15" t="n">
        <v>0</v>
      </c>
      <c r="X2368" s="0" t="s">
        <v>1945</v>
      </c>
      <c r="Z2368" s="0" t="str">
        <f aca="false">IF($T2368="","",IFERROR(INDEX('Resumo Grupos'!$AC$3:$AC$200,MATCH($T2368,'Resumo Grupos'!$AB$3:$AB$200,0)),"n/d"))</f>
        <v>Mercadoria</v>
      </c>
      <c r="AA2368" s="0" t="str">
        <f aca="false">IF($T2368="","",IF(COUNTIF('Resumo Grupos'!$AE$3:$AE$40,$T2368)&gt;0,"NAO","SIM"))</f>
        <v>SIM</v>
      </c>
      <c r="AB2368" s="0" t="str">
        <f aca="false">IFERROR(INDEX('Mov Entradas (Rel 10497)'!$L:$L,MATCH(AC2368,'Mov Entradas (Rel 10497)'!$I:$I,0)),"nao encontrado")</f>
        <v>REFRI. FANTA UVA 1,5</v>
      </c>
      <c r="AC2368" s="0" t="n">
        <v>2047847</v>
      </c>
    </row>
    <row r="2369" customFormat="false" ht="12.75" hidden="false" customHeight="true" outlineLevel="0" collapsed="false">
      <c r="A2369" s="13" t="n">
        <v>2</v>
      </c>
      <c r="B2369" s="14" t="n">
        <v>46269</v>
      </c>
      <c r="C2369" s="14" t="n">
        <v>46297</v>
      </c>
      <c r="D2369" s="13" t="n">
        <v>1608</v>
      </c>
      <c r="E2369" s="0" t="s">
        <v>240</v>
      </c>
      <c r="F2369" s="13" t="n">
        <v>24</v>
      </c>
      <c r="G2369" s="0" t="s">
        <v>51</v>
      </c>
      <c r="H2369" s="13" t="n">
        <v>2110405</v>
      </c>
      <c r="I2369" s="0" t="s">
        <v>56</v>
      </c>
      <c r="J2369" s="13" t="n">
        <v>1653008</v>
      </c>
      <c r="L2369" s="13" t="n">
        <v>227092</v>
      </c>
      <c r="M2369" s="0" t="s">
        <v>52</v>
      </c>
      <c r="N2369" s="0" t="s">
        <v>45</v>
      </c>
      <c r="P2369" s="13" t="n">
        <v>113</v>
      </c>
      <c r="Q2369" s="0" t="s">
        <v>46</v>
      </c>
      <c r="R2369" s="0" t="s">
        <v>47</v>
      </c>
      <c r="S2369" s="13" t="n">
        <v>1130101</v>
      </c>
      <c r="T2369" s="0" t="s">
        <v>48</v>
      </c>
      <c r="U2369" s="15" t="n">
        <v>1333.12</v>
      </c>
      <c r="W2369" s="15" t="n">
        <v>0</v>
      </c>
      <c r="X2369" s="0" t="s">
        <v>1774</v>
      </c>
      <c r="Z2369" s="0" t="str">
        <f aca="false">IF($T2369="","",IFERROR(INDEX('Resumo Grupos'!$AC$3:$AC$200,MATCH($T2369,'Resumo Grupos'!$AB$3:$AB$200,0)),"n/d"))</f>
        <v>Mercadoria</v>
      </c>
      <c r="AA2369" s="0" t="str">
        <f aca="false">IF($T2369="","",IF(COUNTIF('Resumo Grupos'!$AE$3:$AE$40,$T2369)&gt;0,"NAO","SIM"))</f>
        <v>SIM</v>
      </c>
      <c r="AB2369" s="0" t="str">
        <f aca="false">IFERROR(INDEX('Mov Entradas (Rel 10497)'!$L:$L,MATCH(AC2369,'Mov Entradas (Rel 10497)'!$I:$I,0)),"nao encontrado")</f>
        <v>ACHOC TODDY 200G</v>
      </c>
      <c r="AC2369" s="0" t="n">
        <v>1724435</v>
      </c>
    </row>
    <row r="2370" customFormat="false" ht="12.75" hidden="false" customHeight="true" outlineLevel="0" collapsed="false">
      <c r="A2370" s="13" t="n">
        <v>2</v>
      </c>
      <c r="B2370" s="14" t="n">
        <v>46290</v>
      </c>
      <c r="C2370" s="14" t="n">
        <v>46297</v>
      </c>
      <c r="D2370" s="13" t="n">
        <v>1608</v>
      </c>
      <c r="E2370" s="0" t="s">
        <v>240</v>
      </c>
      <c r="F2370" s="13" t="n">
        <v>24</v>
      </c>
      <c r="G2370" s="0" t="s">
        <v>51</v>
      </c>
      <c r="H2370" s="13" t="n">
        <v>2110405</v>
      </c>
      <c r="I2370" s="0" t="s">
        <v>56</v>
      </c>
      <c r="J2370" s="13" t="n">
        <v>1756201</v>
      </c>
      <c r="L2370" s="13" t="n">
        <v>241884</v>
      </c>
      <c r="M2370" s="0" t="s">
        <v>52</v>
      </c>
      <c r="N2370" s="0" t="s">
        <v>45</v>
      </c>
      <c r="P2370" s="13" t="n">
        <v>113</v>
      </c>
      <c r="Q2370" s="0" t="s">
        <v>46</v>
      </c>
      <c r="R2370" s="0" t="s">
        <v>47</v>
      </c>
      <c r="S2370" s="13" t="n">
        <v>1130101</v>
      </c>
      <c r="T2370" s="0" t="s">
        <v>48</v>
      </c>
      <c r="U2370" s="15" t="n">
        <v>318.99</v>
      </c>
      <c r="W2370" s="15" t="n">
        <v>0</v>
      </c>
      <c r="X2370" s="0" t="s">
        <v>1946</v>
      </c>
      <c r="Z2370" s="0" t="str">
        <f aca="false">IF($T2370="","",IFERROR(INDEX('Resumo Grupos'!$AC$3:$AC$200,MATCH($T2370,'Resumo Grupos'!$AB$3:$AB$200,0)),"n/d"))</f>
        <v>Mercadoria</v>
      </c>
      <c r="AA2370" s="0" t="str">
        <f aca="false">IF($T2370="","",IF(COUNTIF('Resumo Grupos'!$AE$3:$AE$40,$T2370)&gt;0,"NAO","SIM"))</f>
        <v>SIM</v>
      </c>
      <c r="AB2370" s="0" t="str">
        <f aca="false">IFERROR(INDEX('Mov Entradas (Rel 10497)'!$L:$L,MATCH(AC2370,'Mov Entradas (Rel 10497)'!$I:$I,0)),"nao encontrado")</f>
        <v>DANONE GREGO UNID FR</v>
      </c>
      <c r="AC2370" s="0" t="n">
        <v>1736722</v>
      </c>
    </row>
    <row r="2371" customFormat="false" ht="12.75" hidden="false" customHeight="true" outlineLevel="0" collapsed="false">
      <c r="A2371" s="13" t="n">
        <v>2</v>
      </c>
      <c r="B2371" s="14" t="n">
        <v>46295</v>
      </c>
      <c r="C2371" s="14" t="n">
        <v>46297</v>
      </c>
      <c r="D2371" s="13" t="n">
        <v>1608</v>
      </c>
      <c r="E2371" s="0" t="s">
        <v>240</v>
      </c>
      <c r="F2371" s="13" t="n">
        <v>24</v>
      </c>
      <c r="G2371" s="0" t="s">
        <v>51</v>
      </c>
      <c r="H2371" s="13" t="n">
        <v>2110405</v>
      </c>
      <c r="I2371" s="0" t="s">
        <v>56</v>
      </c>
      <c r="J2371" s="13" t="n">
        <v>1779106</v>
      </c>
      <c r="L2371" s="13" t="n">
        <v>245015</v>
      </c>
      <c r="M2371" s="0" t="s">
        <v>52</v>
      </c>
      <c r="N2371" s="0" t="s">
        <v>45</v>
      </c>
      <c r="P2371" s="13" t="n">
        <v>113</v>
      </c>
      <c r="Q2371" s="0" t="s">
        <v>46</v>
      </c>
      <c r="R2371" s="0" t="s">
        <v>47</v>
      </c>
      <c r="S2371" s="13" t="n">
        <v>1130101</v>
      </c>
      <c r="T2371" s="0" t="s">
        <v>48</v>
      </c>
      <c r="U2371" s="15" t="n">
        <v>1092.48</v>
      </c>
      <c r="W2371" s="15" t="n">
        <v>0</v>
      </c>
      <c r="X2371" s="0" t="s">
        <v>1947</v>
      </c>
      <c r="Z2371" s="0" t="str">
        <f aca="false">IF($T2371="","",IFERROR(INDEX('Resumo Grupos'!$AC$3:$AC$200,MATCH($T2371,'Resumo Grupos'!$AB$3:$AB$200,0)),"n/d"))</f>
        <v>Mercadoria</v>
      </c>
      <c r="AA2371" s="0" t="str">
        <f aca="false">IF($T2371="","",IF(COUNTIF('Resumo Grupos'!$AE$3:$AE$40,$T2371)&gt;0,"NAO","SIM"))</f>
        <v>SIM</v>
      </c>
      <c r="AB2371" s="0" t="str">
        <f aca="false">IFERROR(INDEX('Mov Entradas (Rel 10497)'!$L:$L,MATCH(AC2371,'Mov Entradas (Rel 10497)'!$I:$I,0)),"nao encontrado")</f>
        <v>SALG CHEETOS ONDA REQUEIJAO 40G</v>
      </c>
      <c r="AC2371" s="0" t="n">
        <v>1736096</v>
      </c>
    </row>
    <row r="2372" customFormat="false" ht="12.75" hidden="false" customHeight="true" outlineLevel="0" collapsed="false">
      <c r="A2372" s="13" t="n">
        <v>2</v>
      </c>
      <c r="B2372" s="14" t="n">
        <v>46297</v>
      </c>
      <c r="C2372" s="14" t="n">
        <v>46297</v>
      </c>
      <c r="D2372" s="13" t="n">
        <v>1037</v>
      </c>
      <c r="E2372" s="0" t="s">
        <v>134</v>
      </c>
      <c r="F2372" s="13" t="n">
        <v>34</v>
      </c>
      <c r="G2372" s="0" t="s">
        <v>55</v>
      </c>
      <c r="H2372" s="13" t="n">
        <v>2110405</v>
      </c>
      <c r="I2372" s="0" t="s">
        <v>56</v>
      </c>
      <c r="J2372" s="13" t="n">
        <v>1790598</v>
      </c>
      <c r="L2372" s="13" t="n">
        <v>246840</v>
      </c>
      <c r="M2372" s="0" t="s">
        <v>52</v>
      </c>
      <c r="N2372" s="0" t="s">
        <v>45</v>
      </c>
      <c r="P2372" s="13" t="n">
        <v>113</v>
      </c>
      <c r="Q2372" s="0" t="s">
        <v>46</v>
      </c>
      <c r="R2372" s="0" t="s">
        <v>47</v>
      </c>
      <c r="S2372" s="13" t="n">
        <v>1130101</v>
      </c>
      <c r="T2372" s="0" t="s">
        <v>48</v>
      </c>
      <c r="U2372" s="15" t="n">
        <v>625</v>
      </c>
      <c r="W2372" s="15" t="n">
        <v>0</v>
      </c>
      <c r="X2372" s="0" t="s">
        <v>1948</v>
      </c>
      <c r="Z2372" s="0" t="str">
        <f aca="false">IF($T2372="","",IFERROR(INDEX('Resumo Grupos'!$AC$3:$AC$200,MATCH($T2372,'Resumo Grupos'!$AB$3:$AB$200,0)),"n/d"))</f>
        <v>Mercadoria</v>
      </c>
      <c r="AA2372" s="0" t="str">
        <f aca="false">IF($T2372="","",IF(COUNTIF('Resumo Grupos'!$AE$3:$AE$40,$T2372)&gt;0,"NAO","SIM"))</f>
        <v>SIM</v>
      </c>
    </row>
    <row r="2373" customFormat="false" ht="12.75" hidden="false" customHeight="true" outlineLevel="0" collapsed="false">
      <c r="A2373" s="13" t="n">
        <v>2</v>
      </c>
      <c r="B2373" s="14" t="n">
        <v>46283</v>
      </c>
      <c r="C2373" s="14" t="n">
        <v>46297</v>
      </c>
      <c r="D2373" s="13" t="n">
        <v>1626</v>
      </c>
      <c r="E2373" s="0" t="s">
        <v>77</v>
      </c>
      <c r="F2373" s="13" t="n">
        <v>24</v>
      </c>
      <c r="G2373" s="0" t="s">
        <v>51</v>
      </c>
      <c r="H2373" s="13" t="n">
        <v>2110405</v>
      </c>
      <c r="I2373" s="0" t="s">
        <v>56</v>
      </c>
      <c r="J2373" s="13" t="n">
        <v>1720818</v>
      </c>
      <c r="L2373" s="13" t="n">
        <v>236702</v>
      </c>
      <c r="M2373" s="0" t="s">
        <v>52</v>
      </c>
      <c r="N2373" s="0" t="s">
        <v>45</v>
      </c>
      <c r="P2373" s="13" t="n">
        <v>113</v>
      </c>
      <c r="Q2373" s="0" t="s">
        <v>46</v>
      </c>
      <c r="R2373" s="0" t="s">
        <v>47</v>
      </c>
      <c r="S2373" s="13" t="n">
        <v>1130101</v>
      </c>
      <c r="T2373" s="0" t="s">
        <v>48</v>
      </c>
      <c r="U2373" s="15" t="n">
        <v>1109.18</v>
      </c>
      <c r="W2373" s="15" t="n">
        <v>0</v>
      </c>
      <c r="X2373" s="0" t="s">
        <v>1949</v>
      </c>
      <c r="Z2373" s="0" t="str">
        <f aca="false">IF($T2373="","",IFERROR(INDEX('Resumo Grupos'!$AC$3:$AC$200,MATCH($T2373,'Resumo Grupos'!$AB$3:$AB$200,0)),"n/d"))</f>
        <v>Mercadoria</v>
      </c>
      <c r="AA2373" s="0" t="str">
        <f aca="false">IF($T2373="","",IF(COUNTIF('Resumo Grupos'!$AE$3:$AE$40,$T2373)&gt;0,"NAO","SIM"))</f>
        <v>SIM</v>
      </c>
      <c r="AB2373" s="0" t="str">
        <f aca="false">IFERROR(INDEX('Mov Entradas (Rel 10497)'!$L:$L,MATCH(AC2373,'Mov Entradas (Rel 10497)'!$I:$I,0)),"nao encontrado")</f>
        <v>CALABRESA SEARA KG</v>
      </c>
      <c r="AC2373" s="0" t="n">
        <v>321762</v>
      </c>
    </row>
    <row r="2374" customFormat="false" ht="12.75" hidden="false" customHeight="true" outlineLevel="0" collapsed="false">
      <c r="A2374" s="13" t="n">
        <v>2</v>
      </c>
      <c r="B2374" s="14" t="n">
        <v>46290</v>
      </c>
      <c r="C2374" s="14" t="n">
        <v>46297</v>
      </c>
      <c r="D2374" s="13" t="n">
        <v>1609</v>
      </c>
      <c r="E2374" s="0" t="s">
        <v>84</v>
      </c>
      <c r="F2374" s="13" t="n">
        <v>24</v>
      </c>
      <c r="G2374" s="0" t="s">
        <v>51</v>
      </c>
      <c r="H2374" s="13" t="n">
        <v>2110405</v>
      </c>
      <c r="I2374" s="0" t="s">
        <v>56</v>
      </c>
      <c r="J2374" s="13" t="n">
        <v>1756327</v>
      </c>
      <c r="L2374" s="13" t="n">
        <v>241909</v>
      </c>
      <c r="M2374" s="0" t="s">
        <v>52</v>
      </c>
      <c r="N2374" s="0" t="s">
        <v>45</v>
      </c>
      <c r="P2374" s="13" t="n">
        <v>113</v>
      </c>
      <c r="Q2374" s="0" t="s">
        <v>46</v>
      </c>
      <c r="R2374" s="0" t="s">
        <v>47</v>
      </c>
      <c r="S2374" s="13" t="n">
        <v>1130101</v>
      </c>
      <c r="T2374" s="0" t="s">
        <v>48</v>
      </c>
      <c r="U2374" s="15" t="n">
        <v>608.65</v>
      </c>
      <c r="W2374" s="15" t="n">
        <v>0</v>
      </c>
      <c r="X2374" s="0" t="s">
        <v>1950</v>
      </c>
      <c r="Z2374" s="0" t="str">
        <f aca="false">IF($T2374="","",IFERROR(INDEX('Resumo Grupos'!$AC$3:$AC$200,MATCH($T2374,'Resumo Grupos'!$AB$3:$AB$200,0)),"n/d"))</f>
        <v>Mercadoria</v>
      </c>
      <c r="AA2374" s="0" t="str">
        <f aca="false">IF($T2374="","",IF(COUNTIF('Resumo Grupos'!$AE$3:$AE$40,$T2374)&gt;0,"NAO","SIM"))</f>
        <v>SIM</v>
      </c>
      <c r="AB2374" s="0" t="str">
        <f aca="false">IFERROR(INDEX('Mov Entradas (Rel 10497)'!$L:$L,MATCH(AC2374,'Mov Entradas (Rel 10497)'!$I:$I,0)),"nao encontrado")</f>
        <v>FAZENDINH LAR 500 ML</v>
      </c>
      <c r="AC2374" s="0" t="n">
        <v>6165</v>
      </c>
    </row>
    <row r="2375" customFormat="false" ht="12.75" hidden="false" customHeight="true" outlineLevel="0" collapsed="false">
      <c r="A2375" s="13" t="n">
        <v>2</v>
      </c>
      <c r="B2375" s="14" t="n">
        <v>46297</v>
      </c>
      <c r="C2375" s="14" t="n">
        <v>46297</v>
      </c>
      <c r="D2375" s="13" t="n">
        <v>515</v>
      </c>
      <c r="E2375" s="0" t="s">
        <v>137</v>
      </c>
      <c r="F2375" s="13" t="n">
        <v>34</v>
      </c>
      <c r="G2375" s="0" t="s">
        <v>55</v>
      </c>
      <c r="H2375" s="13" t="n">
        <v>2110405</v>
      </c>
      <c r="I2375" s="0" t="s">
        <v>56</v>
      </c>
      <c r="J2375" s="13" t="n">
        <v>1789016</v>
      </c>
      <c r="L2375" s="13" t="n">
        <v>246535</v>
      </c>
      <c r="M2375" s="0" t="s">
        <v>52</v>
      </c>
      <c r="N2375" s="0" t="s">
        <v>45</v>
      </c>
      <c r="P2375" s="13" t="n">
        <v>101</v>
      </c>
      <c r="Q2375" s="0" t="s">
        <v>57</v>
      </c>
      <c r="R2375" s="0" t="s">
        <v>138</v>
      </c>
      <c r="S2375" s="13" t="n">
        <v>4210504</v>
      </c>
      <c r="T2375" s="0" t="s">
        <v>143</v>
      </c>
      <c r="U2375" s="15" t="n">
        <v>316.84</v>
      </c>
      <c r="W2375" s="15" t="n">
        <v>0</v>
      </c>
      <c r="X2375" s="0" t="s">
        <v>1951</v>
      </c>
      <c r="Z2375" s="0" t="str">
        <f aca="false">IF($T2375="","",IFERROR(INDEX('Resumo Grupos'!$AC$3:$AC$200,MATCH($T2375,'Resumo Grupos'!$AB$3:$AB$200,0)),"n/d"))</f>
        <v>Despesa</v>
      </c>
      <c r="AA2375" s="0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3" t="n">
        <v>2</v>
      </c>
      <c r="B2376" s="14" t="n">
        <v>46297</v>
      </c>
      <c r="C2376" s="14" t="n">
        <v>46297</v>
      </c>
      <c r="D2376" s="13" t="n">
        <v>515</v>
      </c>
      <c r="E2376" s="0" t="s">
        <v>137</v>
      </c>
      <c r="F2376" s="13" t="n">
        <v>34</v>
      </c>
      <c r="G2376" s="0" t="s">
        <v>55</v>
      </c>
      <c r="H2376" s="13" t="n">
        <v>2110405</v>
      </c>
      <c r="I2376" s="0" t="s">
        <v>56</v>
      </c>
      <c r="J2376" s="13" t="n">
        <v>1789020</v>
      </c>
      <c r="L2376" s="13" t="n">
        <v>246537</v>
      </c>
      <c r="M2376" s="0" t="s">
        <v>52</v>
      </c>
      <c r="N2376" s="0" t="s">
        <v>45</v>
      </c>
      <c r="P2376" s="13" t="n">
        <v>101</v>
      </c>
      <c r="Q2376" s="0" t="s">
        <v>57</v>
      </c>
      <c r="R2376" s="0" t="s">
        <v>138</v>
      </c>
      <c r="S2376" s="13" t="n">
        <v>4210504</v>
      </c>
      <c r="T2376" s="0" t="s">
        <v>143</v>
      </c>
      <c r="U2376" s="15" t="n">
        <v>103.8</v>
      </c>
      <c r="W2376" s="15" t="n">
        <v>0</v>
      </c>
      <c r="X2376" s="0" t="s">
        <v>1952</v>
      </c>
      <c r="Z2376" s="0" t="str">
        <f aca="false">IF($T2376="","",IFERROR(INDEX('Resumo Grupos'!$AC$3:$AC$200,MATCH($T2376,'Resumo Grupos'!$AB$3:$AB$200,0)),"n/d"))</f>
        <v>Despesa</v>
      </c>
      <c r="AA2376" s="0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3" t="n">
        <v>2</v>
      </c>
      <c r="B2377" s="14" t="n">
        <v>46297</v>
      </c>
      <c r="C2377" s="14" t="n">
        <v>46297</v>
      </c>
      <c r="D2377" s="13" t="n">
        <v>515</v>
      </c>
      <c r="E2377" s="0" t="s">
        <v>137</v>
      </c>
      <c r="F2377" s="13" t="n">
        <v>34</v>
      </c>
      <c r="G2377" s="0" t="s">
        <v>55</v>
      </c>
      <c r="H2377" s="13" t="n">
        <v>2110405</v>
      </c>
      <c r="I2377" s="0" t="s">
        <v>56</v>
      </c>
      <c r="J2377" s="13" t="n">
        <v>1789023</v>
      </c>
      <c r="L2377" s="13" t="n">
        <v>246538</v>
      </c>
      <c r="M2377" s="0" t="s">
        <v>52</v>
      </c>
      <c r="N2377" s="0" t="s">
        <v>45</v>
      </c>
      <c r="P2377" s="13" t="n">
        <v>101</v>
      </c>
      <c r="Q2377" s="0" t="s">
        <v>57</v>
      </c>
      <c r="R2377" s="0" t="s">
        <v>138</v>
      </c>
      <c r="S2377" s="13" t="n">
        <v>4210504</v>
      </c>
      <c r="T2377" s="0" t="s">
        <v>143</v>
      </c>
      <c r="U2377" s="15" t="n">
        <v>347.56</v>
      </c>
      <c r="W2377" s="15" t="n">
        <v>0</v>
      </c>
      <c r="X2377" s="0" t="s">
        <v>1953</v>
      </c>
      <c r="Z2377" s="0" t="str">
        <f aca="false">IF($T2377="","",IFERROR(INDEX('Resumo Grupos'!$AC$3:$AC$200,MATCH($T2377,'Resumo Grupos'!$AB$3:$AB$200,0)),"n/d"))</f>
        <v>Despesa</v>
      </c>
      <c r="AA2377" s="0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3" t="n">
        <v>2</v>
      </c>
      <c r="B2378" s="14" t="n">
        <v>46291</v>
      </c>
      <c r="C2378" s="14" t="n">
        <v>46297</v>
      </c>
      <c r="D2378" s="13" t="n">
        <v>1815</v>
      </c>
      <c r="E2378" s="0" t="s">
        <v>172</v>
      </c>
      <c r="F2378" s="13" t="n">
        <v>24</v>
      </c>
      <c r="G2378" s="0" t="s">
        <v>51</v>
      </c>
      <c r="H2378" s="13" t="n">
        <v>2110405</v>
      </c>
      <c r="I2378" s="0" t="s">
        <v>56</v>
      </c>
      <c r="J2378" s="13" t="n">
        <v>1759090</v>
      </c>
      <c r="L2378" s="13" t="n">
        <v>242261</v>
      </c>
      <c r="M2378" s="0" t="s">
        <v>52</v>
      </c>
      <c r="N2378" s="0" t="s">
        <v>45</v>
      </c>
      <c r="P2378" s="13" t="n">
        <v>113</v>
      </c>
      <c r="Q2378" s="0" t="s">
        <v>46</v>
      </c>
      <c r="R2378" s="0" t="s">
        <v>47</v>
      </c>
      <c r="S2378" s="13" t="n">
        <v>1130101</v>
      </c>
      <c r="T2378" s="0" t="s">
        <v>48</v>
      </c>
      <c r="U2378" s="15" t="n">
        <v>716.1</v>
      </c>
      <c r="W2378" s="15" t="n">
        <v>0</v>
      </c>
      <c r="X2378" s="0" t="s">
        <v>1954</v>
      </c>
      <c r="Z2378" s="0" t="str">
        <f aca="false">IF($T2378="","",IFERROR(INDEX('Resumo Grupos'!$AC$3:$AC$200,MATCH($T2378,'Resumo Grupos'!$AB$3:$AB$200,0)),"n/d"))</f>
        <v>Mercadoria</v>
      </c>
      <c r="AA2378" s="0" t="str">
        <f aca="false">IF($T2378="","",IF(COUNTIF('Resumo Grupos'!$AE$3:$AE$40,$T2378)&gt;0,"NAO","SIM"))</f>
        <v>SIM</v>
      </c>
      <c r="AB2378" s="0" t="str">
        <f aca="false">IFERROR(INDEX('Mov Entradas (Rel 10497)'!$L:$L,MATCH(AC2378,'Mov Entradas (Rel 10497)'!$I:$I,0)),"nao encontrado")</f>
        <v>FILE PEITOA GRANEL</v>
      </c>
      <c r="AC2378" s="0" t="n">
        <v>404714</v>
      </c>
    </row>
    <row r="2379" customFormat="false" ht="12.75" hidden="false" customHeight="true" outlineLevel="0" collapsed="false">
      <c r="A2379" s="13" t="n">
        <v>2</v>
      </c>
      <c r="B2379" s="14" t="n">
        <v>46297</v>
      </c>
      <c r="C2379" s="14" t="n">
        <v>46297</v>
      </c>
      <c r="D2379" s="13" t="n">
        <v>48</v>
      </c>
      <c r="E2379" s="0" t="s">
        <v>153</v>
      </c>
      <c r="F2379" s="13" t="n">
        <v>34</v>
      </c>
      <c r="G2379" s="0" t="s">
        <v>55</v>
      </c>
      <c r="H2379" s="13" t="n">
        <v>2110101</v>
      </c>
      <c r="I2379" s="0" t="s">
        <v>43</v>
      </c>
      <c r="J2379" s="13" t="n">
        <v>1790588</v>
      </c>
      <c r="L2379" s="13" t="n">
        <v>2717</v>
      </c>
      <c r="M2379" s="0" t="s">
        <v>52</v>
      </c>
      <c r="N2379" s="0" t="s">
        <v>37</v>
      </c>
      <c r="P2379" s="13" t="n">
        <v>113</v>
      </c>
      <c r="Q2379" s="0" t="s">
        <v>46</v>
      </c>
      <c r="R2379" s="0" t="s">
        <v>47</v>
      </c>
      <c r="S2379" s="13" t="n">
        <v>1130101</v>
      </c>
      <c r="T2379" s="0" t="s">
        <v>48</v>
      </c>
      <c r="U2379" s="15" t="n">
        <v>2520</v>
      </c>
      <c r="W2379" s="15" t="n">
        <v>0</v>
      </c>
      <c r="X2379" s="0" t="s">
        <v>1955</v>
      </c>
      <c r="Z2379" s="0" t="str">
        <f aca="false">IF($T2379="","",IFERROR(INDEX('Resumo Grupos'!$AC$3:$AC$200,MATCH($T2379,'Resumo Grupos'!$AB$3:$AB$200,0)),"n/d"))</f>
        <v>Mercadoria</v>
      </c>
      <c r="AA2379" s="0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3" t="n">
        <v>2</v>
      </c>
      <c r="B2380" s="14" t="n">
        <v>46284</v>
      </c>
      <c r="C2380" s="14" t="n">
        <v>46297</v>
      </c>
      <c r="D2380" s="13" t="n">
        <v>1749</v>
      </c>
      <c r="E2380" s="0" t="s">
        <v>585</v>
      </c>
      <c r="F2380" s="13" t="n">
        <v>24</v>
      </c>
      <c r="G2380" s="0" t="s">
        <v>51</v>
      </c>
      <c r="H2380" s="13" t="n">
        <v>2110405</v>
      </c>
      <c r="I2380" s="0" t="s">
        <v>56</v>
      </c>
      <c r="J2380" s="13" t="n">
        <v>1724160</v>
      </c>
      <c r="L2380" s="13" t="n">
        <v>237132</v>
      </c>
      <c r="M2380" s="0" t="s">
        <v>52</v>
      </c>
      <c r="N2380" s="0" t="s">
        <v>45</v>
      </c>
      <c r="P2380" s="13" t="n">
        <v>113</v>
      </c>
      <c r="Q2380" s="0" t="s">
        <v>46</v>
      </c>
      <c r="R2380" s="0" t="s">
        <v>47</v>
      </c>
      <c r="S2380" s="13" t="n">
        <v>1130101</v>
      </c>
      <c r="T2380" s="0" t="s">
        <v>48</v>
      </c>
      <c r="U2380" s="15" t="n">
        <v>1731.75</v>
      </c>
      <c r="W2380" s="15" t="n">
        <v>0</v>
      </c>
      <c r="X2380" s="0" t="s">
        <v>1956</v>
      </c>
      <c r="Z2380" s="0" t="str">
        <f aca="false">IF($T2380="","",IFERROR(INDEX('Resumo Grupos'!$AC$3:$AC$200,MATCH($T2380,'Resumo Grupos'!$AB$3:$AB$200,0)),"n/d"))</f>
        <v>Mercadoria</v>
      </c>
      <c r="AA2380" s="0" t="str">
        <f aca="false">IF($T2380="","",IF(COUNTIF('Resumo Grupos'!$AE$3:$AE$40,$T2380)&gt;0,"NAO","SIM"))</f>
        <v>SIM</v>
      </c>
      <c r="AB2380" s="0" t="str">
        <f aca="false">IFERROR(INDEX('Mov Entradas (Rel 10497)'!$L:$L,MATCH(AC2380,'Mov Entradas (Rel 10497)'!$I:$I,0)),"nao encontrado")</f>
        <v>ARROZ BRANCO FACCIO 1KG</v>
      </c>
      <c r="AC2380" s="0" t="n">
        <v>4426</v>
      </c>
    </row>
    <row r="2381" customFormat="false" ht="12.75" hidden="false" customHeight="true" outlineLevel="0" collapsed="false">
      <c r="A2381" s="13" t="n">
        <v>2</v>
      </c>
      <c r="B2381" s="14" t="n">
        <v>46297</v>
      </c>
      <c r="C2381" s="14" t="n">
        <v>46297</v>
      </c>
      <c r="D2381" s="13" t="n">
        <v>1936</v>
      </c>
      <c r="E2381" s="0" t="s">
        <v>1277</v>
      </c>
      <c r="F2381" s="13" t="n">
        <v>24</v>
      </c>
      <c r="G2381" s="0" t="s">
        <v>51</v>
      </c>
      <c r="H2381" s="13" t="n">
        <v>2110405</v>
      </c>
      <c r="I2381" s="0" t="s">
        <v>56</v>
      </c>
      <c r="J2381" s="13" t="n">
        <v>1788978</v>
      </c>
      <c r="L2381" s="13" t="n">
        <v>246515</v>
      </c>
      <c r="M2381" s="0" t="s">
        <v>52</v>
      </c>
      <c r="N2381" s="0" t="s">
        <v>45</v>
      </c>
      <c r="P2381" s="13" t="n">
        <v>101</v>
      </c>
      <c r="Q2381" s="0" t="s">
        <v>57</v>
      </c>
      <c r="R2381" s="0" t="s">
        <v>259</v>
      </c>
      <c r="S2381" s="13" t="n">
        <v>2110101</v>
      </c>
      <c r="T2381" s="0" t="s">
        <v>43</v>
      </c>
      <c r="U2381" s="15" t="n">
        <v>840</v>
      </c>
      <c r="W2381" s="15" t="n">
        <v>0</v>
      </c>
      <c r="X2381" s="0" t="s">
        <v>1957</v>
      </c>
      <c r="Z2381" s="0" t="str">
        <f aca="false">IF($T2381="","",IFERROR(INDEX('Resumo Grupos'!$AC$3:$AC$200,MATCH($T2381,'Resumo Grupos'!$AB$3:$AB$200,0)),"n/d"))</f>
        <v>Despesa</v>
      </c>
      <c r="AA2381" s="0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3" t="n">
        <v>2</v>
      </c>
      <c r="B2382" s="14" t="n">
        <v>46297</v>
      </c>
      <c r="C2382" s="14" t="n">
        <v>46297</v>
      </c>
      <c r="D2382" s="13" t="n">
        <v>514</v>
      </c>
      <c r="E2382" s="0" t="s">
        <v>759</v>
      </c>
      <c r="F2382" s="13" t="n">
        <v>34</v>
      </c>
      <c r="G2382" s="0" t="s">
        <v>55</v>
      </c>
      <c r="H2382" s="13" t="n">
        <v>2110405</v>
      </c>
      <c r="I2382" s="0" t="s">
        <v>56</v>
      </c>
      <c r="J2382" s="13" t="n">
        <v>1635280</v>
      </c>
      <c r="L2382" s="13" t="n">
        <v>224585</v>
      </c>
      <c r="M2382" s="0" t="s">
        <v>44</v>
      </c>
      <c r="N2382" s="0" t="s">
        <v>45</v>
      </c>
      <c r="P2382" s="13" t="n">
        <v>101</v>
      </c>
      <c r="Q2382" s="0" t="s">
        <v>57</v>
      </c>
      <c r="R2382" s="0" t="s">
        <v>81</v>
      </c>
      <c r="S2382" s="13" t="n">
        <v>4220199</v>
      </c>
      <c r="T2382" s="0" t="s">
        <v>82</v>
      </c>
      <c r="U2382" s="15" t="n">
        <v>237</v>
      </c>
      <c r="W2382" s="15" t="n">
        <v>0</v>
      </c>
      <c r="X2382" s="0" t="s">
        <v>1550</v>
      </c>
      <c r="Z2382" s="0" t="str">
        <f aca="false">IF($T2382="","",IFERROR(INDEX('Resumo Grupos'!$AC$3:$AC$200,MATCH($T2382,'Resumo Grupos'!$AB$3:$AB$200,0)),"n/d"))</f>
        <v>Pagamentos outros não operacionais</v>
      </c>
      <c r="AA2382" s="0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3" t="n">
        <v>2</v>
      </c>
      <c r="B2383" s="14" t="n">
        <v>46297</v>
      </c>
      <c r="C2383" s="14" t="n">
        <v>46297</v>
      </c>
      <c r="D2383" s="13" t="n">
        <v>0</v>
      </c>
      <c r="E2383" s="0" t="s">
        <v>109</v>
      </c>
      <c r="F2383" s="13" t="n">
        <v>17</v>
      </c>
      <c r="G2383" s="0" t="s">
        <v>110</v>
      </c>
      <c r="H2383" s="13" t="n">
        <v>1110101</v>
      </c>
      <c r="I2383" s="0" t="s">
        <v>111</v>
      </c>
      <c r="J2383" s="13" t="n">
        <v>1805672</v>
      </c>
      <c r="L2383" s="13" t="n">
        <v>1805672</v>
      </c>
      <c r="M2383" s="0" t="s">
        <v>52</v>
      </c>
      <c r="N2383" s="0" t="s">
        <v>112</v>
      </c>
      <c r="P2383" s="13" t="n">
        <v>113</v>
      </c>
      <c r="Q2383" s="0" t="s">
        <v>46</v>
      </c>
      <c r="R2383" s="0" t="s">
        <v>71</v>
      </c>
      <c r="S2383" s="13" t="n">
        <v>4210314</v>
      </c>
      <c r="T2383" s="0" t="s">
        <v>113</v>
      </c>
      <c r="U2383" s="15" t="n">
        <v>200</v>
      </c>
      <c r="W2383" s="15" t="n">
        <v>200</v>
      </c>
      <c r="X2383" s="0" t="s">
        <v>1958</v>
      </c>
      <c r="Z2383" s="0" t="str">
        <f aca="false">IF($T2383="","",IFERROR(INDEX('Resumo Grupos'!$AC$3:$AC$200,MATCH($T2383,'Resumo Grupos'!$AB$3:$AB$200,0)),"n/d"))</f>
        <v>Despesa</v>
      </c>
      <c r="AA2383" s="0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3" t="n">
        <v>2</v>
      </c>
      <c r="B2384" s="14" t="n">
        <v>46297</v>
      </c>
      <c r="C2384" s="14" t="n">
        <v>46297</v>
      </c>
      <c r="D2384" s="13" t="n">
        <v>0</v>
      </c>
      <c r="E2384" s="0" t="s">
        <v>109</v>
      </c>
      <c r="F2384" s="13" t="n">
        <v>17</v>
      </c>
      <c r="G2384" s="0" t="s">
        <v>110</v>
      </c>
      <c r="H2384" s="13" t="n">
        <v>1110101</v>
      </c>
      <c r="I2384" s="0" t="s">
        <v>111</v>
      </c>
      <c r="J2384" s="13" t="n">
        <v>1805675</v>
      </c>
      <c r="L2384" s="13" t="n">
        <v>1805675</v>
      </c>
      <c r="M2384" s="0" t="s">
        <v>52</v>
      </c>
      <c r="N2384" s="0" t="s">
        <v>112</v>
      </c>
      <c r="P2384" s="13" t="n">
        <v>113</v>
      </c>
      <c r="Q2384" s="0" t="s">
        <v>46</v>
      </c>
      <c r="R2384" s="0" t="s">
        <v>71</v>
      </c>
      <c r="S2384" s="13" t="n">
        <v>4210314</v>
      </c>
      <c r="T2384" s="0" t="s">
        <v>113</v>
      </c>
      <c r="U2384" s="15" t="n">
        <v>50</v>
      </c>
      <c r="W2384" s="15" t="n">
        <v>50</v>
      </c>
      <c r="X2384" s="0" t="s">
        <v>368</v>
      </c>
      <c r="Z2384" s="0" t="str">
        <f aca="false">IF($T2384="","",IFERROR(INDEX('Resumo Grupos'!$AC$3:$AC$200,MATCH($T2384,'Resumo Grupos'!$AB$3:$AB$200,0)),"n/d"))</f>
        <v>Despesa</v>
      </c>
      <c r="AA2384" s="0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3" t="n">
        <v>2</v>
      </c>
      <c r="B2385" s="14" t="n">
        <v>46297</v>
      </c>
      <c r="C2385" s="14" t="n">
        <v>46297</v>
      </c>
      <c r="D2385" s="13" t="n">
        <v>0</v>
      </c>
      <c r="E2385" s="0" t="s">
        <v>109</v>
      </c>
      <c r="F2385" s="13" t="n">
        <v>17</v>
      </c>
      <c r="G2385" s="0" t="s">
        <v>110</v>
      </c>
      <c r="H2385" s="13" t="n">
        <v>1110101</v>
      </c>
      <c r="I2385" s="0" t="s">
        <v>111</v>
      </c>
      <c r="J2385" s="13" t="n">
        <v>1805677</v>
      </c>
      <c r="L2385" s="13" t="n">
        <v>1805677</v>
      </c>
      <c r="M2385" s="0" t="s">
        <v>52</v>
      </c>
      <c r="N2385" s="0" t="s">
        <v>112</v>
      </c>
      <c r="P2385" s="13" t="n">
        <v>113</v>
      </c>
      <c r="Q2385" s="0" t="s">
        <v>46</v>
      </c>
      <c r="R2385" s="0" t="s">
        <v>39</v>
      </c>
      <c r="S2385" s="13" t="n">
        <v>4210227</v>
      </c>
      <c r="T2385" s="0" t="s">
        <v>68</v>
      </c>
      <c r="U2385" s="15" t="n">
        <v>50</v>
      </c>
      <c r="W2385" s="15" t="n">
        <v>50</v>
      </c>
      <c r="X2385" s="0" t="s">
        <v>1959</v>
      </c>
      <c r="Z2385" s="0" t="str">
        <f aca="false">IF($T2385="","",IFERROR(INDEX('Resumo Grupos'!$AC$3:$AC$200,MATCH($T2385,'Resumo Grupos'!$AB$3:$AB$200,0)),"n/d"))</f>
        <v>Despesa</v>
      </c>
      <c r="AA2385" s="0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3" t="n">
        <v>2</v>
      </c>
      <c r="B2386" s="14" t="n">
        <v>46297</v>
      </c>
      <c r="C2386" s="14" t="n">
        <v>46297</v>
      </c>
      <c r="D2386" s="13" t="n">
        <v>0</v>
      </c>
      <c r="E2386" s="0" t="s">
        <v>109</v>
      </c>
      <c r="F2386" s="13" t="n">
        <v>17</v>
      </c>
      <c r="G2386" s="0" t="s">
        <v>110</v>
      </c>
      <c r="H2386" s="13" t="n">
        <v>1110101</v>
      </c>
      <c r="I2386" s="0" t="s">
        <v>111</v>
      </c>
      <c r="J2386" s="13" t="n">
        <v>1805679</v>
      </c>
      <c r="L2386" s="13" t="n">
        <v>1805679</v>
      </c>
      <c r="M2386" s="0" t="s">
        <v>52</v>
      </c>
      <c r="N2386" s="0" t="s">
        <v>112</v>
      </c>
      <c r="P2386" s="13" t="n">
        <v>113</v>
      </c>
      <c r="Q2386" s="0" t="s">
        <v>46</v>
      </c>
      <c r="R2386" s="0" t="s">
        <v>71</v>
      </c>
      <c r="S2386" s="13" t="n">
        <v>4210309</v>
      </c>
      <c r="T2386" s="0" t="s">
        <v>72</v>
      </c>
      <c r="U2386" s="15" t="n">
        <v>10</v>
      </c>
      <c r="W2386" s="15" t="n">
        <v>10</v>
      </c>
      <c r="X2386" s="0" t="s">
        <v>1552</v>
      </c>
      <c r="Z2386" s="0" t="str">
        <f aca="false">IF($T2386="","",IFERROR(INDEX('Resumo Grupos'!$AC$3:$AC$200,MATCH($T2386,'Resumo Grupos'!$AB$3:$AB$200,0)),"n/d"))</f>
        <v>Salários</v>
      </c>
      <c r="AA2386" s="0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3" t="n">
        <v>2</v>
      </c>
      <c r="B2387" s="14" t="n">
        <v>46297</v>
      </c>
      <c r="C2387" s="14" t="n">
        <v>46297</v>
      </c>
      <c r="D2387" s="13" t="n">
        <v>0</v>
      </c>
      <c r="E2387" s="0" t="s">
        <v>109</v>
      </c>
      <c r="F2387" s="13" t="n">
        <v>17</v>
      </c>
      <c r="G2387" s="0" t="s">
        <v>110</v>
      </c>
      <c r="H2387" s="13" t="n">
        <v>1110101</v>
      </c>
      <c r="I2387" s="0" t="s">
        <v>111</v>
      </c>
      <c r="J2387" s="13" t="n">
        <v>1805681</v>
      </c>
      <c r="L2387" s="13" t="n">
        <v>1805681</v>
      </c>
      <c r="M2387" s="0" t="s">
        <v>52</v>
      </c>
      <c r="N2387" s="0" t="s">
        <v>112</v>
      </c>
      <c r="P2387" s="13" t="n">
        <v>113</v>
      </c>
      <c r="Q2387" s="0" t="s">
        <v>46</v>
      </c>
      <c r="R2387" s="0" t="s">
        <v>71</v>
      </c>
      <c r="S2387" s="13" t="n">
        <v>4210314</v>
      </c>
      <c r="T2387" s="0" t="s">
        <v>113</v>
      </c>
      <c r="U2387" s="15" t="n">
        <v>100</v>
      </c>
      <c r="W2387" s="15" t="n">
        <v>100</v>
      </c>
      <c r="X2387" s="0" t="s">
        <v>1706</v>
      </c>
      <c r="Z2387" s="0" t="str">
        <f aca="false">IF($T2387="","",IFERROR(INDEX('Resumo Grupos'!$AC$3:$AC$200,MATCH($T2387,'Resumo Grupos'!$AB$3:$AB$200,0)),"n/d"))</f>
        <v>Despesa</v>
      </c>
      <c r="AA2387" s="0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3" t="n">
        <v>2</v>
      </c>
      <c r="B2388" s="14" t="n">
        <v>46288</v>
      </c>
      <c r="C2388" s="14" t="n">
        <v>46298</v>
      </c>
      <c r="D2388" s="13" t="n">
        <v>1723</v>
      </c>
      <c r="E2388" s="0" t="s">
        <v>371</v>
      </c>
      <c r="F2388" s="13" t="n">
        <v>24</v>
      </c>
      <c r="G2388" s="0" t="s">
        <v>51</v>
      </c>
      <c r="H2388" s="13" t="n">
        <v>2110405</v>
      </c>
      <c r="I2388" s="0" t="s">
        <v>56</v>
      </c>
      <c r="J2388" s="13" t="n">
        <v>1745549</v>
      </c>
      <c r="L2388" s="13" t="n">
        <v>240392</v>
      </c>
      <c r="M2388" s="0" t="s">
        <v>52</v>
      </c>
      <c r="N2388" s="0" t="s">
        <v>45</v>
      </c>
      <c r="P2388" s="13" t="n">
        <v>113</v>
      </c>
      <c r="Q2388" s="0" t="s">
        <v>46</v>
      </c>
      <c r="R2388" s="0" t="s">
        <v>47</v>
      </c>
      <c r="S2388" s="13" t="n">
        <v>1130101</v>
      </c>
      <c r="T2388" s="0" t="s">
        <v>48</v>
      </c>
      <c r="U2388" s="15" t="n">
        <v>2528.5</v>
      </c>
      <c r="W2388" s="15" t="n">
        <v>0</v>
      </c>
      <c r="X2388" s="0" t="s">
        <v>1960</v>
      </c>
      <c r="Z2388" s="0" t="str">
        <f aca="false">IF($T2388="","",IFERROR(INDEX('Resumo Grupos'!$AC$3:$AC$200,MATCH($T2388,'Resumo Grupos'!$AB$3:$AB$200,0)),"n/d"))</f>
        <v>Mercadoria</v>
      </c>
      <c r="AA2388" s="0" t="str">
        <f aca="false">IF($T2388="","",IF(COUNTIF('Resumo Grupos'!$AE$3:$AE$40,$T2388)&gt;0,"NAO","SIM"))</f>
        <v>SIM</v>
      </c>
      <c r="AB2388" s="0" t="str">
        <f aca="false">IFERROR(INDEX('Mov Entradas (Rel 10497)'!$L:$L,MATCH(AC2388,'Mov Entradas (Rel 10497)'!$I:$I,0)),"nao encontrado")</f>
        <v>TRASEIRO DE BOI L1</v>
      </c>
      <c r="AC2388" s="0" t="n">
        <v>176831</v>
      </c>
    </row>
    <row r="2389" customFormat="false" ht="12.75" hidden="false" customHeight="true" outlineLevel="0" collapsed="false">
      <c r="A2389" s="13" t="n">
        <v>2</v>
      </c>
      <c r="B2389" s="14" t="n">
        <v>46298</v>
      </c>
      <c r="C2389" s="14" t="n">
        <v>46298</v>
      </c>
      <c r="D2389" s="13" t="n">
        <v>10096</v>
      </c>
      <c r="E2389" s="0" t="s">
        <v>622</v>
      </c>
      <c r="F2389" s="13" t="n">
        <v>13</v>
      </c>
      <c r="G2389" s="0" t="s">
        <v>135</v>
      </c>
      <c r="H2389" s="13" t="n">
        <v>2110405</v>
      </c>
      <c r="I2389" s="0" t="s">
        <v>56</v>
      </c>
      <c r="J2389" s="13" t="n">
        <v>1805716</v>
      </c>
      <c r="L2389" s="13" t="n">
        <v>249183</v>
      </c>
      <c r="M2389" s="0" t="s">
        <v>52</v>
      </c>
      <c r="N2389" s="0" t="s">
        <v>45</v>
      </c>
      <c r="P2389" s="13" t="n">
        <v>113</v>
      </c>
      <c r="Q2389" s="0" t="s">
        <v>46</v>
      </c>
      <c r="R2389" s="0" t="s">
        <v>47</v>
      </c>
      <c r="S2389" s="13" t="n">
        <v>1130101</v>
      </c>
      <c r="T2389" s="0" t="s">
        <v>48</v>
      </c>
      <c r="U2389" s="15" t="n">
        <v>140</v>
      </c>
      <c r="W2389" s="15" t="n">
        <v>140</v>
      </c>
      <c r="X2389" s="0" t="s">
        <v>1961</v>
      </c>
      <c r="Z2389" s="0" t="str">
        <f aca="false">IF($T2389="","",IFERROR(INDEX('Resumo Grupos'!$AC$3:$AC$200,MATCH($T2389,'Resumo Grupos'!$AB$3:$AB$200,0)),"n/d"))</f>
        <v>Mercadoria</v>
      </c>
      <c r="AA2389" s="0" t="str">
        <f aca="false">IF($T2389="","",IF(COUNTIF('Resumo Grupos'!$AE$3:$AE$40,$T2389)&gt;0,"NAO","SIM"))</f>
        <v>SIM</v>
      </c>
      <c r="AB2389" s="0" t="str">
        <f aca="false">IFERROR(INDEX('Mov Entradas (Rel 10497)'!$L:$L,MATCH(AC2389,'Mov Entradas (Rel 10497)'!$I:$I,0)),"nao encontrado")</f>
        <v>BOLO MIYAZAKI GRANDE</v>
      </c>
      <c r="AC2389" s="0" t="n">
        <v>372</v>
      </c>
    </row>
    <row r="2390" customFormat="false" ht="12.75" hidden="false" customHeight="true" outlineLevel="0" collapsed="false">
      <c r="A2390" s="13" t="n">
        <v>2</v>
      </c>
      <c r="B2390" s="14" t="n">
        <v>46284</v>
      </c>
      <c r="C2390" s="14" t="n">
        <v>46298</v>
      </c>
      <c r="D2390" s="13" t="n">
        <v>1672</v>
      </c>
      <c r="E2390" s="0" t="s">
        <v>343</v>
      </c>
      <c r="F2390" s="13" t="n">
        <v>24</v>
      </c>
      <c r="G2390" s="0" t="s">
        <v>51</v>
      </c>
      <c r="H2390" s="13" t="n">
        <v>2110405</v>
      </c>
      <c r="I2390" s="0" t="s">
        <v>56</v>
      </c>
      <c r="J2390" s="13" t="n">
        <v>1724076</v>
      </c>
      <c r="L2390" s="13" t="n">
        <v>237121</v>
      </c>
      <c r="M2390" s="0" t="s">
        <v>52</v>
      </c>
      <c r="N2390" s="0" t="s">
        <v>45</v>
      </c>
      <c r="P2390" s="13" t="n">
        <v>113</v>
      </c>
      <c r="Q2390" s="0" t="s">
        <v>46</v>
      </c>
      <c r="R2390" s="0" t="s">
        <v>47</v>
      </c>
      <c r="S2390" s="13" t="n">
        <v>1130101</v>
      </c>
      <c r="T2390" s="0" t="s">
        <v>48</v>
      </c>
      <c r="U2390" s="15" t="n">
        <v>1598.5</v>
      </c>
      <c r="W2390" s="15" t="n">
        <v>0</v>
      </c>
      <c r="X2390" s="0" t="s">
        <v>1962</v>
      </c>
      <c r="Z2390" s="0" t="str">
        <f aca="false">IF($T2390="","",IFERROR(INDEX('Resumo Grupos'!$AC$3:$AC$200,MATCH($T2390,'Resumo Grupos'!$AB$3:$AB$200,0)),"n/d"))</f>
        <v>Mercadoria</v>
      </c>
      <c r="AA2390" s="0" t="str">
        <f aca="false">IF($T2390="","",IF(COUNTIF('Resumo Grupos'!$AE$3:$AE$40,$T2390)&gt;0,"NAO","SIM"))</f>
        <v>SIM</v>
      </c>
      <c r="AB2390" s="0" t="str">
        <f aca="false">IFERROR(INDEX('Mov Entradas (Rel 10497)'!$L:$L,MATCH(AC2390,'Mov Entradas (Rel 10497)'!$I:$I,0)),"nao encontrado")</f>
        <v>REFRIG MAGISTRAL 2L</v>
      </c>
      <c r="AC2390" s="0" t="n">
        <v>1452168</v>
      </c>
    </row>
    <row r="2391" customFormat="false" ht="12.75" hidden="false" customHeight="true" outlineLevel="0" collapsed="false">
      <c r="A2391" s="13" t="n">
        <v>2</v>
      </c>
      <c r="B2391" s="14" t="n">
        <v>46293</v>
      </c>
      <c r="C2391" s="14" t="n">
        <v>46298</v>
      </c>
      <c r="D2391" s="13" t="n">
        <v>1625</v>
      </c>
      <c r="E2391" s="0" t="s">
        <v>270</v>
      </c>
      <c r="F2391" s="13" t="n">
        <v>24</v>
      </c>
      <c r="G2391" s="0" t="s">
        <v>51</v>
      </c>
      <c r="H2391" s="13" t="n">
        <v>2110405</v>
      </c>
      <c r="I2391" s="0" t="s">
        <v>56</v>
      </c>
      <c r="J2391" s="13" t="n">
        <v>1768840</v>
      </c>
      <c r="L2391" s="13" t="n">
        <v>243525</v>
      </c>
      <c r="M2391" s="0" t="s">
        <v>52</v>
      </c>
      <c r="N2391" s="0" t="s">
        <v>45</v>
      </c>
      <c r="P2391" s="13" t="n">
        <v>113</v>
      </c>
      <c r="Q2391" s="0" t="s">
        <v>46</v>
      </c>
      <c r="R2391" s="0" t="s">
        <v>47</v>
      </c>
      <c r="S2391" s="13" t="n">
        <v>1130101</v>
      </c>
      <c r="T2391" s="0" t="s">
        <v>48</v>
      </c>
      <c r="U2391" s="15" t="n">
        <v>3753.6</v>
      </c>
      <c r="W2391" s="15" t="n">
        <v>0</v>
      </c>
      <c r="X2391" s="0" t="s">
        <v>1963</v>
      </c>
      <c r="Z2391" s="0" t="str">
        <f aca="false">IF($T2391="","",IFERROR(INDEX('Resumo Grupos'!$AC$3:$AC$200,MATCH($T2391,'Resumo Grupos'!$AB$3:$AB$200,0)),"n/d"))</f>
        <v>Mercadoria</v>
      </c>
      <c r="AA2391" s="0" t="str">
        <f aca="false">IF($T2391="","",IF(COUNTIF('Resumo Grupos'!$AE$3:$AE$40,$T2391)&gt;0,"NAO","SIM"))</f>
        <v>SIM</v>
      </c>
      <c r="AB2391" s="0" t="str">
        <f aca="false">IFERROR(INDEX('Mov Entradas (Rel 10497)'!$L:$L,MATCH(AC2391,'Mov Entradas (Rel 10497)'!$I:$I,0)),"nao encontrado")</f>
        <v>TRASEIRO DE BOI L1</v>
      </c>
      <c r="AC2391" s="0" t="n">
        <v>15464</v>
      </c>
    </row>
    <row r="2392" customFormat="false" ht="12.75" hidden="false" customHeight="true" outlineLevel="0" collapsed="false">
      <c r="A2392" s="13" t="n">
        <v>2</v>
      </c>
      <c r="B2392" s="14" t="n">
        <v>46298</v>
      </c>
      <c r="C2392" s="14" t="n">
        <v>46298</v>
      </c>
      <c r="D2392" s="13" t="n">
        <v>0</v>
      </c>
      <c r="E2392" s="0" t="s">
        <v>109</v>
      </c>
      <c r="F2392" s="13" t="n">
        <v>17</v>
      </c>
      <c r="G2392" s="0" t="s">
        <v>110</v>
      </c>
      <c r="H2392" s="13" t="n">
        <v>1110101</v>
      </c>
      <c r="I2392" s="0" t="s">
        <v>111</v>
      </c>
      <c r="J2392" s="13" t="n">
        <v>1805717</v>
      </c>
      <c r="L2392" s="13" t="n">
        <v>1805717</v>
      </c>
      <c r="M2392" s="0" t="s">
        <v>52</v>
      </c>
      <c r="N2392" s="0" t="s">
        <v>112</v>
      </c>
      <c r="P2392" s="13" t="n">
        <v>113</v>
      </c>
      <c r="Q2392" s="0" t="s">
        <v>46</v>
      </c>
      <c r="R2392" s="0" t="s">
        <v>56</v>
      </c>
      <c r="S2392" s="13" t="n">
        <v>2110405</v>
      </c>
      <c r="T2392" s="0" t="s">
        <v>56</v>
      </c>
      <c r="U2392" s="15" t="n">
        <v>140</v>
      </c>
      <c r="W2392" s="15" t="n">
        <v>140</v>
      </c>
      <c r="X2392" s="0" t="s">
        <v>1964</v>
      </c>
      <c r="Z2392" s="0" t="str">
        <f aca="false">IF($T2392="","",IFERROR(INDEX('Resumo Grupos'!$AC$3:$AC$200,MATCH($T2392,'Resumo Grupos'!$AB$3:$AB$200,0)),"n/d"))</f>
        <v>Cobertura de conta</v>
      </c>
      <c r="AA2392" s="0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3" t="n">
        <v>2</v>
      </c>
      <c r="B2393" s="14" t="n">
        <v>46298</v>
      </c>
      <c r="C2393" s="14" t="n">
        <v>46298</v>
      </c>
      <c r="D2393" s="13" t="n">
        <v>0</v>
      </c>
      <c r="E2393" s="0" t="s">
        <v>109</v>
      </c>
      <c r="F2393" s="13" t="n">
        <v>17</v>
      </c>
      <c r="G2393" s="0" t="s">
        <v>110</v>
      </c>
      <c r="H2393" s="13" t="n">
        <v>1110101</v>
      </c>
      <c r="I2393" s="0" t="s">
        <v>111</v>
      </c>
      <c r="J2393" s="13" t="n">
        <v>1805720</v>
      </c>
      <c r="L2393" s="13" t="n">
        <v>1805720</v>
      </c>
      <c r="M2393" s="0" t="s">
        <v>52</v>
      </c>
      <c r="N2393" s="0" t="s">
        <v>112</v>
      </c>
      <c r="P2393" s="13" t="n">
        <v>113</v>
      </c>
      <c r="Q2393" s="0" t="s">
        <v>46</v>
      </c>
      <c r="R2393" s="0" t="s">
        <v>71</v>
      </c>
      <c r="S2393" s="13" t="n">
        <v>4210314</v>
      </c>
      <c r="T2393" s="0" t="s">
        <v>113</v>
      </c>
      <c r="U2393" s="15" t="n">
        <v>50</v>
      </c>
      <c r="W2393" s="15" t="n">
        <v>50</v>
      </c>
      <c r="X2393" s="0" t="s">
        <v>368</v>
      </c>
      <c r="Z2393" s="0" t="str">
        <f aca="false">IF($T2393="","",IFERROR(INDEX('Resumo Grupos'!$AC$3:$AC$200,MATCH($T2393,'Resumo Grupos'!$AB$3:$AB$200,0)),"n/d"))</f>
        <v>Despesa</v>
      </c>
      <c r="AA2393" s="0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3" t="n">
        <v>2</v>
      </c>
      <c r="B2394" s="14" t="n">
        <v>46298</v>
      </c>
      <c r="C2394" s="14" t="n">
        <v>46298</v>
      </c>
      <c r="D2394" s="13" t="n">
        <v>0</v>
      </c>
      <c r="E2394" s="0" t="s">
        <v>109</v>
      </c>
      <c r="F2394" s="13" t="n">
        <v>17</v>
      </c>
      <c r="G2394" s="0" t="s">
        <v>110</v>
      </c>
      <c r="H2394" s="13" t="n">
        <v>1110101</v>
      </c>
      <c r="I2394" s="0" t="s">
        <v>111</v>
      </c>
      <c r="J2394" s="13" t="n">
        <v>1805722</v>
      </c>
      <c r="L2394" s="13" t="n">
        <v>1805722</v>
      </c>
      <c r="M2394" s="0" t="s">
        <v>52</v>
      </c>
      <c r="N2394" s="0" t="s">
        <v>112</v>
      </c>
      <c r="P2394" s="13" t="n">
        <v>113</v>
      </c>
      <c r="Q2394" s="0" t="s">
        <v>46</v>
      </c>
      <c r="R2394" s="0" t="s">
        <v>71</v>
      </c>
      <c r="S2394" s="13" t="n">
        <v>4210316</v>
      </c>
      <c r="T2394" s="0" t="s">
        <v>159</v>
      </c>
      <c r="U2394" s="15" t="n">
        <v>300</v>
      </c>
      <c r="W2394" s="15" t="n">
        <v>300</v>
      </c>
      <c r="X2394" s="0" t="s">
        <v>1708</v>
      </c>
      <c r="Z2394" s="0" t="str">
        <f aca="false">IF($T2394="","",IFERROR(INDEX('Resumo Grupos'!$AC$3:$AC$200,MATCH($T2394,'Resumo Grupos'!$AB$3:$AB$200,0)),"n/d"))</f>
        <v>Salários</v>
      </c>
      <c r="AA2394" s="0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3" t="n">
        <v>2</v>
      </c>
      <c r="B2395" s="14" t="n">
        <v>46298</v>
      </c>
      <c r="C2395" s="14" t="n">
        <v>46298</v>
      </c>
      <c r="D2395" s="13" t="n">
        <v>0</v>
      </c>
      <c r="E2395" s="0" t="s">
        <v>109</v>
      </c>
      <c r="F2395" s="13" t="n">
        <v>17</v>
      </c>
      <c r="G2395" s="0" t="s">
        <v>110</v>
      </c>
      <c r="H2395" s="13" t="n">
        <v>1110101</v>
      </c>
      <c r="I2395" s="0" t="s">
        <v>111</v>
      </c>
      <c r="J2395" s="13" t="n">
        <v>1805723</v>
      </c>
      <c r="L2395" s="13" t="n">
        <v>1805723</v>
      </c>
      <c r="M2395" s="0" t="s">
        <v>52</v>
      </c>
      <c r="N2395" s="0" t="s">
        <v>112</v>
      </c>
      <c r="P2395" s="13" t="n">
        <v>113</v>
      </c>
      <c r="Q2395" s="0" t="s">
        <v>46</v>
      </c>
      <c r="R2395" s="0" t="s">
        <v>71</v>
      </c>
      <c r="S2395" s="13" t="n">
        <v>4210314</v>
      </c>
      <c r="T2395" s="0" t="s">
        <v>113</v>
      </c>
      <c r="U2395" s="15" t="n">
        <v>100</v>
      </c>
      <c r="W2395" s="15" t="n">
        <v>100</v>
      </c>
      <c r="X2395" s="0" t="s">
        <v>1706</v>
      </c>
      <c r="Z2395" s="0" t="str">
        <f aca="false">IF($T2395="","",IFERROR(INDEX('Resumo Grupos'!$AC$3:$AC$200,MATCH($T2395,'Resumo Grupos'!$AB$3:$AB$200,0)),"n/d"))</f>
        <v>Despesa</v>
      </c>
      <c r="AA2395" s="0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3" t="n">
        <v>2</v>
      </c>
      <c r="B2396" s="14" t="n">
        <v>46298</v>
      </c>
      <c r="C2396" s="14" t="n">
        <v>46298</v>
      </c>
      <c r="D2396" s="13" t="n">
        <v>0</v>
      </c>
      <c r="E2396" s="0" t="s">
        <v>109</v>
      </c>
      <c r="F2396" s="13" t="n">
        <v>17</v>
      </c>
      <c r="G2396" s="0" t="s">
        <v>110</v>
      </c>
      <c r="H2396" s="13" t="n">
        <v>1110101</v>
      </c>
      <c r="I2396" s="0" t="s">
        <v>111</v>
      </c>
      <c r="J2396" s="13" t="n">
        <v>1805725</v>
      </c>
      <c r="L2396" s="13" t="n">
        <v>1805725</v>
      </c>
      <c r="M2396" s="0" t="s">
        <v>52</v>
      </c>
      <c r="N2396" s="0" t="s">
        <v>112</v>
      </c>
      <c r="P2396" s="13" t="n">
        <v>113</v>
      </c>
      <c r="Q2396" s="0" t="s">
        <v>46</v>
      </c>
      <c r="R2396" s="0" t="s">
        <v>71</v>
      </c>
      <c r="S2396" s="13" t="n">
        <v>4210309</v>
      </c>
      <c r="T2396" s="0" t="s">
        <v>72</v>
      </c>
      <c r="U2396" s="15" t="n">
        <v>10</v>
      </c>
      <c r="W2396" s="15" t="n">
        <v>10</v>
      </c>
      <c r="X2396" s="0" t="s">
        <v>1552</v>
      </c>
      <c r="Z2396" s="0" t="str">
        <f aca="false">IF($T2396="","",IFERROR(INDEX('Resumo Grupos'!$AC$3:$AC$200,MATCH($T2396,'Resumo Grupos'!$AB$3:$AB$200,0)),"n/d"))</f>
        <v>Salários</v>
      </c>
      <c r="AA2396" s="0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3" t="n">
        <v>2</v>
      </c>
      <c r="B2397" s="14" t="n">
        <v>46298</v>
      </c>
      <c r="C2397" s="14" t="n">
        <v>46298</v>
      </c>
      <c r="D2397" s="13" t="n">
        <v>0</v>
      </c>
      <c r="E2397" s="0" t="s">
        <v>109</v>
      </c>
      <c r="F2397" s="13" t="n">
        <v>17</v>
      </c>
      <c r="G2397" s="0" t="s">
        <v>110</v>
      </c>
      <c r="H2397" s="13" t="n">
        <v>1110101</v>
      </c>
      <c r="I2397" s="0" t="s">
        <v>111</v>
      </c>
      <c r="J2397" s="13" t="n">
        <v>1805726</v>
      </c>
      <c r="L2397" s="13" t="n">
        <v>1805726</v>
      </c>
      <c r="M2397" s="0" t="s">
        <v>52</v>
      </c>
      <c r="N2397" s="0" t="s">
        <v>112</v>
      </c>
      <c r="P2397" s="13" t="n">
        <v>113</v>
      </c>
      <c r="Q2397" s="0" t="s">
        <v>46</v>
      </c>
      <c r="R2397" s="0" t="s">
        <v>71</v>
      </c>
      <c r="S2397" s="13" t="n">
        <v>4210314</v>
      </c>
      <c r="T2397" s="0" t="s">
        <v>113</v>
      </c>
      <c r="U2397" s="15" t="n">
        <v>50</v>
      </c>
      <c r="W2397" s="15" t="n">
        <v>50</v>
      </c>
      <c r="X2397" s="0" t="s">
        <v>187</v>
      </c>
      <c r="Z2397" s="0" t="str">
        <f aca="false">IF($T2397="","",IFERROR(INDEX('Resumo Grupos'!$AC$3:$AC$200,MATCH($T2397,'Resumo Grupos'!$AB$3:$AB$200,0)),"n/d"))</f>
        <v>Despesa</v>
      </c>
      <c r="AA2397" s="0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3" t="n">
        <v>2</v>
      </c>
      <c r="B2398" s="14" t="n">
        <v>46238</v>
      </c>
      <c r="C2398" s="14" t="n">
        <v>46299</v>
      </c>
      <c r="D2398" s="13" t="n">
        <v>862</v>
      </c>
      <c r="E2398" s="0" t="s">
        <v>318</v>
      </c>
      <c r="F2398" s="13" t="n">
        <v>24</v>
      </c>
      <c r="G2398" s="0" t="s">
        <v>51</v>
      </c>
      <c r="H2398" s="13" t="n">
        <v>2110405</v>
      </c>
      <c r="I2398" s="0" t="s">
        <v>56</v>
      </c>
      <c r="J2398" s="13" t="n">
        <v>1498421</v>
      </c>
      <c r="L2398" s="13" t="n">
        <v>202608</v>
      </c>
      <c r="M2398" s="0" t="s">
        <v>67</v>
      </c>
      <c r="N2398" s="0" t="s">
        <v>45</v>
      </c>
      <c r="P2398" s="13" t="n">
        <v>101</v>
      </c>
      <c r="Q2398" s="0" t="s">
        <v>57</v>
      </c>
      <c r="R2398" s="0" t="s">
        <v>39</v>
      </c>
      <c r="S2398" s="13" t="n">
        <v>4210233</v>
      </c>
      <c r="T2398" s="0" t="s">
        <v>207</v>
      </c>
      <c r="U2398" s="15" t="n">
        <v>270.9</v>
      </c>
      <c r="W2398" s="15" t="n">
        <v>0</v>
      </c>
      <c r="Z2398" s="0" t="str">
        <f aca="false">IF($T2398="","",IFERROR(INDEX('Resumo Grupos'!$AC$3:$AC$200,MATCH($T2398,'Resumo Grupos'!$AB$3:$AB$200,0)),"n/d"))</f>
        <v>Despesa</v>
      </c>
      <c r="AA2398" s="0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3" t="n">
        <v>2</v>
      </c>
      <c r="B2399" s="14" t="n">
        <v>46299</v>
      </c>
      <c r="C2399" s="14" t="n">
        <v>46299</v>
      </c>
      <c r="D2399" s="13" t="n">
        <v>0</v>
      </c>
      <c r="E2399" s="0" t="s">
        <v>109</v>
      </c>
      <c r="F2399" s="13" t="n">
        <v>17</v>
      </c>
      <c r="G2399" s="0" t="s">
        <v>110</v>
      </c>
      <c r="H2399" s="13" t="n">
        <v>1110101</v>
      </c>
      <c r="I2399" s="0" t="s">
        <v>111</v>
      </c>
      <c r="J2399" s="13" t="n">
        <v>1805755</v>
      </c>
      <c r="L2399" s="13" t="n">
        <v>1805755</v>
      </c>
      <c r="M2399" s="0" t="s">
        <v>52</v>
      </c>
      <c r="N2399" s="0" t="s">
        <v>112</v>
      </c>
      <c r="P2399" s="13" t="n">
        <v>113</v>
      </c>
      <c r="Q2399" s="0" t="s">
        <v>46</v>
      </c>
      <c r="R2399" s="0" t="s">
        <v>71</v>
      </c>
      <c r="S2399" s="13" t="n">
        <v>4210310</v>
      </c>
      <c r="T2399" s="0" t="s">
        <v>126</v>
      </c>
      <c r="U2399" s="15" t="n">
        <v>140</v>
      </c>
      <c r="W2399" s="15" t="n">
        <v>140</v>
      </c>
      <c r="X2399" s="0" t="s">
        <v>1965</v>
      </c>
      <c r="Z2399" s="0" t="str">
        <f aca="false">IF($T2399="","",IFERROR(INDEX('Resumo Grupos'!$AC$3:$AC$200,MATCH($T2399,'Resumo Grupos'!$AB$3:$AB$200,0)),"n/d"))</f>
        <v>Despesa</v>
      </c>
      <c r="AA2399" s="0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3" t="n">
        <v>2</v>
      </c>
      <c r="B2400" s="14" t="n">
        <v>46299</v>
      </c>
      <c r="C2400" s="14" t="n">
        <v>46299</v>
      </c>
      <c r="D2400" s="13" t="n">
        <v>0</v>
      </c>
      <c r="E2400" s="0" t="s">
        <v>109</v>
      </c>
      <c r="F2400" s="13" t="n">
        <v>17</v>
      </c>
      <c r="G2400" s="0" t="s">
        <v>110</v>
      </c>
      <c r="H2400" s="13" t="n">
        <v>1110101</v>
      </c>
      <c r="I2400" s="0" t="s">
        <v>111</v>
      </c>
      <c r="J2400" s="13" t="n">
        <v>1805757</v>
      </c>
      <c r="L2400" s="13" t="n">
        <v>1805757</v>
      </c>
      <c r="M2400" s="0" t="s">
        <v>52</v>
      </c>
      <c r="N2400" s="0" t="s">
        <v>112</v>
      </c>
      <c r="P2400" s="13" t="n">
        <v>113</v>
      </c>
      <c r="Q2400" s="0" t="s">
        <v>46</v>
      </c>
      <c r="R2400" s="0" t="s">
        <v>71</v>
      </c>
      <c r="S2400" s="13" t="n">
        <v>4210316</v>
      </c>
      <c r="T2400" s="0" t="s">
        <v>159</v>
      </c>
      <c r="U2400" s="15" t="n">
        <v>100</v>
      </c>
      <c r="W2400" s="15" t="n">
        <v>100</v>
      </c>
      <c r="X2400" s="0" t="s">
        <v>1614</v>
      </c>
      <c r="Z2400" s="0" t="str">
        <f aca="false">IF($T2400="","",IFERROR(INDEX('Resumo Grupos'!$AC$3:$AC$200,MATCH($T2400,'Resumo Grupos'!$AB$3:$AB$200,0)),"n/d"))</f>
        <v>Salários</v>
      </c>
      <c r="AA2400" s="0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3" t="n">
        <v>2</v>
      </c>
      <c r="B2401" s="14" t="n">
        <v>46299</v>
      </c>
      <c r="C2401" s="14" t="n">
        <v>46299</v>
      </c>
      <c r="D2401" s="13" t="n">
        <v>0</v>
      </c>
      <c r="E2401" s="0" t="s">
        <v>109</v>
      </c>
      <c r="F2401" s="13" t="n">
        <v>17</v>
      </c>
      <c r="G2401" s="0" t="s">
        <v>110</v>
      </c>
      <c r="H2401" s="13" t="n">
        <v>1110101</v>
      </c>
      <c r="I2401" s="0" t="s">
        <v>111</v>
      </c>
      <c r="J2401" s="13" t="n">
        <v>1805761</v>
      </c>
      <c r="L2401" s="13" t="n">
        <v>1805761</v>
      </c>
      <c r="M2401" s="0" t="s">
        <v>52</v>
      </c>
      <c r="N2401" s="0" t="s">
        <v>112</v>
      </c>
      <c r="P2401" s="13" t="n">
        <v>113</v>
      </c>
      <c r="Q2401" s="0" t="s">
        <v>46</v>
      </c>
      <c r="R2401" s="0" t="s">
        <v>71</v>
      </c>
      <c r="S2401" s="13" t="n">
        <v>4210314</v>
      </c>
      <c r="T2401" s="0" t="s">
        <v>113</v>
      </c>
      <c r="U2401" s="15" t="n">
        <v>70</v>
      </c>
      <c r="W2401" s="15" t="n">
        <v>70</v>
      </c>
      <c r="X2401" s="0" t="s">
        <v>187</v>
      </c>
      <c r="Z2401" s="0" t="str">
        <f aca="false">IF($T2401="","",IFERROR(INDEX('Resumo Grupos'!$AC$3:$AC$200,MATCH($T2401,'Resumo Grupos'!$AB$3:$AB$200,0)),"n/d"))</f>
        <v>Despesa</v>
      </c>
      <c r="AA2401" s="0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3" t="n">
        <v>2</v>
      </c>
      <c r="B2402" s="14" t="n">
        <v>46299</v>
      </c>
      <c r="C2402" s="14" t="n">
        <v>46299</v>
      </c>
      <c r="D2402" s="13" t="n">
        <v>0</v>
      </c>
      <c r="E2402" s="0" t="s">
        <v>109</v>
      </c>
      <c r="F2402" s="13" t="n">
        <v>17</v>
      </c>
      <c r="G2402" s="0" t="s">
        <v>110</v>
      </c>
      <c r="H2402" s="13" t="n">
        <v>1110101</v>
      </c>
      <c r="I2402" s="0" t="s">
        <v>111</v>
      </c>
      <c r="J2402" s="13" t="n">
        <v>1805762</v>
      </c>
      <c r="L2402" s="13" t="n">
        <v>1805762</v>
      </c>
      <c r="M2402" s="0" t="s">
        <v>52</v>
      </c>
      <c r="N2402" s="0" t="s">
        <v>112</v>
      </c>
      <c r="P2402" s="13" t="n">
        <v>113</v>
      </c>
      <c r="Q2402" s="0" t="s">
        <v>46</v>
      </c>
      <c r="R2402" s="0" t="s">
        <v>71</v>
      </c>
      <c r="S2402" s="13" t="n">
        <v>4210314</v>
      </c>
      <c r="T2402" s="0" t="s">
        <v>113</v>
      </c>
      <c r="U2402" s="15" t="n">
        <v>70</v>
      </c>
      <c r="W2402" s="15" t="n">
        <v>70</v>
      </c>
      <c r="X2402" s="0" t="s">
        <v>368</v>
      </c>
      <c r="Z2402" s="0" t="str">
        <f aca="false">IF($T2402="","",IFERROR(INDEX('Resumo Grupos'!$AC$3:$AC$200,MATCH($T2402,'Resumo Grupos'!$AB$3:$AB$200,0)),"n/d"))</f>
        <v>Despesa</v>
      </c>
      <c r="AA2402" s="0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3" t="n">
        <v>2</v>
      </c>
      <c r="B2403" s="14" t="n">
        <v>46286</v>
      </c>
      <c r="C2403" s="14" t="n">
        <v>46300</v>
      </c>
      <c r="D2403" s="13" t="n">
        <v>1678</v>
      </c>
      <c r="E2403" s="0" t="s">
        <v>840</v>
      </c>
      <c r="F2403" s="13" t="n">
        <v>24</v>
      </c>
      <c r="G2403" s="0" t="s">
        <v>51</v>
      </c>
      <c r="H2403" s="13" t="n">
        <v>2110405</v>
      </c>
      <c r="I2403" s="0" t="s">
        <v>56</v>
      </c>
      <c r="J2403" s="13" t="n">
        <v>1734617</v>
      </c>
      <c r="L2403" s="13" t="n">
        <v>238502</v>
      </c>
      <c r="M2403" s="0" t="s">
        <v>52</v>
      </c>
      <c r="N2403" s="0" t="s">
        <v>45</v>
      </c>
      <c r="P2403" s="13" t="n">
        <v>113</v>
      </c>
      <c r="Q2403" s="0" t="s">
        <v>46</v>
      </c>
      <c r="R2403" s="0" t="s">
        <v>47</v>
      </c>
      <c r="S2403" s="13" t="n">
        <v>1130101</v>
      </c>
      <c r="T2403" s="0" t="s">
        <v>48</v>
      </c>
      <c r="U2403" s="15" t="n">
        <v>177</v>
      </c>
      <c r="W2403" s="15" t="n">
        <v>0</v>
      </c>
      <c r="X2403" s="0" t="s">
        <v>1966</v>
      </c>
      <c r="Z2403" s="0" t="str">
        <f aca="false">IF($T2403="","",IFERROR(INDEX('Resumo Grupos'!$AC$3:$AC$200,MATCH($T2403,'Resumo Grupos'!$AB$3:$AB$200,0)),"n/d"))</f>
        <v>Mercadoria</v>
      </c>
      <c r="AA2403" s="0" t="str">
        <f aca="false">IF($T2403="","",IF(COUNTIF('Resumo Grupos'!$AE$3:$AE$40,$T2403)&gt;0,"NAO","SIM"))</f>
        <v>SIM</v>
      </c>
      <c r="AB2403" s="0" t="str">
        <f aca="false">IFERROR(INDEX('Mov Entradas (Rel 10497)'!$L:$L,MATCH(AC2403,'Mov Entradas (Rel 10497)'!$I:$I,0)),"nao encontrado")</f>
        <v>LIMPA AR COND GLOBO</v>
      </c>
      <c r="AC2403" s="0" t="n">
        <v>165649</v>
      </c>
    </row>
    <row r="2404" customFormat="false" ht="12.75" hidden="false" customHeight="true" outlineLevel="0" collapsed="false">
      <c r="A2404" s="13" t="n">
        <v>2</v>
      </c>
      <c r="B2404" s="14" t="n">
        <v>46275</v>
      </c>
      <c r="C2404" s="14" t="n">
        <v>46300</v>
      </c>
      <c r="D2404" s="13" t="n">
        <v>1637</v>
      </c>
      <c r="E2404" s="0" t="s">
        <v>871</v>
      </c>
      <c r="F2404" s="13" t="n">
        <v>24</v>
      </c>
      <c r="G2404" s="0" t="s">
        <v>51</v>
      </c>
      <c r="H2404" s="13" t="n">
        <v>2110405</v>
      </c>
      <c r="I2404" s="0" t="s">
        <v>56</v>
      </c>
      <c r="J2404" s="13" t="n">
        <v>1681939</v>
      </c>
      <c r="L2404" s="13" t="n">
        <v>230799</v>
      </c>
      <c r="M2404" s="0" t="s">
        <v>52</v>
      </c>
      <c r="N2404" s="0" t="s">
        <v>45</v>
      </c>
      <c r="P2404" s="13" t="n">
        <v>113</v>
      </c>
      <c r="Q2404" s="0" t="s">
        <v>46</v>
      </c>
      <c r="R2404" s="0" t="s">
        <v>47</v>
      </c>
      <c r="S2404" s="13" t="n">
        <v>1130101</v>
      </c>
      <c r="T2404" s="0" t="s">
        <v>48</v>
      </c>
      <c r="U2404" s="15" t="n">
        <v>476.24</v>
      </c>
      <c r="W2404" s="15" t="n">
        <v>0</v>
      </c>
      <c r="X2404" s="0" t="s">
        <v>1967</v>
      </c>
      <c r="Z2404" s="0" t="str">
        <f aca="false">IF($T2404="","",IFERROR(INDEX('Resumo Grupos'!$AC$3:$AC$200,MATCH($T2404,'Resumo Grupos'!$AB$3:$AB$200,0)),"n/d"))</f>
        <v>Mercadoria</v>
      </c>
      <c r="AA2404" s="0" t="str">
        <f aca="false">IF($T2404="","",IF(COUNTIF('Resumo Grupos'!$AE$3:$AE$40,$T2404)&gt;0,"NAO","SIM"))</f>
        <v>SIM</v>
      </c>
      <c r="AB2404" s="0" t="str">
        <f aca="false">IFERROR(INDEX('Mov Entradas (Rel 10497)'!$L:$L,MATCH(AC2404,'Mov Entradas (Rel 10497)'!$I:$I,0)),"nao encontrado")</f>
        <v>DAFRUTA GOIABA 1L PT</v>
      </c>
      <c r="AC2404" s="0" t="n">
        <v>1930761</v>
      </c>
    </row>
    <row r="2405" customFormat="false" ht="12.75" hidden="false" customHeight="true" outlineLevel="0" collapsed="false">
      <c r="A2405" s="13" t="n">
        <v>2</v>
      </c>
      <c r="B2405" s="14" t="n">
        <v>46282</v>
      </c>
      <c r="C2405" s="14" t="n">
        <v>46300</v>
      </c>
      <c r="D2405" s="13" t="n">
        <v>1637</v>
      </c>
      <c r="E2405" s="0" t="s">
        <v>871</v>
      </c>
      <c r="F2405" s="13" t="n">
        <v>24</v>
      </c>
      <c r="G2405" s="0" t="s">
        <v>51</v>
      </c>
      <c r="H2405" s="13" t="n">
        <v>2110405</v>
      </c>
      <c r="I2405" s="0" t="s">
        <v>56</v>
      </c>
      <c r="J2405" s="13" t="n">
        <v>1716167</v>
      </c>
      <c r="L2405" s="13" t="n">
        <v>235892</v>
      </c>
      <c r="M2405" s="0" t="s">
        <v>52</v>
      </c>
      <c r="N2405" s="0" t="s">
        <v>45</v>
      </c>
      <c r="P2405" s="13" t="n">
        <v>113</v>
      </c>
      <c r="Q2405" s="0" t="s">
        <v>46</v>
      </c>
      <c r="R2405" s="0" t="s">
        <v>47</v>
      </c>
      <c r="S2405" s="13" t="n">
        <v>1130101</v>
      </c>
      <c r="T2405" s="0" t="s">
        <v>48</v>
      </c>
      <c r="U2405" s="15" t="n">
        <v>1043.2</v>
      </c>
      <c r="W2405" s="15" t="n">
        <v>0</v>
      </c>
      <c r="X2405" s="0" t="s">
        <v>1968</v>
      </c>
      <c r="Z2405" s="0" t="str">
        <f aca="false">IF($T2405="","",IFERROR(INDEX('Resumo Grupos'!$AC$3:$AC$200,MATCH($T2405,'Resumo Grupos'!$AB$3:$AB$200,0)),"n/d"))</f>
        <v>Mercadoria</v>
      </c>
      <c r="AA2405" s="0" t="str">
        <f aca="false">IF($T2405="","",IF(COUNTIF('Resumo Grupos'!$AE$3:$AE$40,$T2405)&gt;0,"NAO","SIM"))</f>
        <v>SIM</v>
      </c>
      <c r="AB2405" s="0" t="str">
        <f aca="false">IFERROR(INDEX('Mov Entradas (Rel 10497)'!$L:$L,MATCH(AC2405,'Mov Entradas (Rel 10497)'!$I:$I,0)),"nao encontrado")</f>
        <v>CAFE KIMINO 250G</v>
      </c>
      <c r="AC2405" s="0" t="n">
        <v>1936305</v>
      </c>
    </row>
    <row r="2406" customFormat="false" ht="12.75" hidden="false" customHeight="true" outlineLevel="0" collapsed="false">
      <c r="A2406" s="13" t="n">
        <v>2</v>
      </c>
      <c r="B2406" s="14" t="n">
        <v>46300</v>
      </c>
      <c r="C2406" s="14" t="n">
        <v>46300</v>
      </c>
      <c r="D2406" s="13" t="n">
        <v>34</v>
      </c>
      <c r="E2406" s="0" t="s">
        <v>230</v>
      </c>
      <c r="F2406" s="13" t="n">
        <v>11</v>
      </c>
      <c r="G2406" s="0" t="s">
        <v>556</v>
      </c>
      <c r="H2406" s="13" t="n">
        <v>2110405</v>
      </c>
      <c r="I2406" s="0" t="s">
        <v>56</v>
      </c>
      <c r="J2406" s="13" t="n">
        <v>1805778</v>
      </c>
      <c r="L2406" s="13" t="n">
        <v>249186</v>
      </c>
      <c r="M2406" s="0" t="s">
        <v>52</v>
      </c>
      <c r="N2406" s="0" t="s">
        <v>45</v>
      </c>
      <c r="P2406" s="13" t="n">
        <v>101</v>
      </c>
      <c r="Q2406" s="0" t="s">
        <v>57</v>
      </c>
      <c r="R2406" s="0" t="s">
        <v>39</v>
      </c>
      <c r="S2406" s="13" t="n">
        <v>4210231</v>
      </c>
      <c r="T2406" s="0" t="s">
        <v>737</v>
      </c>
      <c r="U2406" s="15" t="n">
        <v>984.64</v>
      </c>
      <c r="W2406" s="15" t="n">
        <v>0</v>
      </c>
      <c r="X2406" s="0" t="s">
        <v>1969</v>
      </c>
      <c r="Z2406" s="0" t="str">
        <f aca="false">IF($T2406="","",IFERROR(INDEX('Resumo Grupos'!$AC$3:$AC$200,MATCH($T2406,'Resumo Grupos'!$AB$3:$AB$200,0)),"n/d"))</f>
        <v>Despesa</v>
      </c>
      <c r="AA2406" s="0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3" t="n">
        <v>2</v>
      </c>
      <c r="B2407" s="14" t="n">
        <v>46266</v>
      </c>
      <c r="C2407" s="14" t="n">
        <v>46300</v>
      </c>
      <c r="D2407" s="13" t="n">
        <v>794</v>
      </c>
      <c r="E2407" s="0" t="s">
        <v>335</v>
      </c>
      <c r="F2407" s="13" t="n">
        <v>24</v>
      </c>
      <c r="G2407" s="0" t="s">
        <v>51</v>
      </c>
      <c r="H2407" s="13" t="n">
        <v>2110405</v>
      </c>
      <c r="I2407" s="0" t="s">
        <v>56</v>
      </c>
      <c r="J2407" s="13" t="n">
        <v>1633939</v>
      </c>
      <c r="L2407" s="13" t="n">
        <v>224238</v>
      </c>
      <c r="M2407" s="0" t="s">
        <v>52</v>
      </c>
      <c r="N2407" s="0" t="s">
        <v>45</v>
      </c>
      <c r="P2407" s="13" t="n">
        <v>113</v>
      </c>
      <c r="Q2407" s="0" t="s">
        <v>46</v>
      </c>
      <c r="R2407" s="0" t="s">
        <v>39</v>
      </c>
      <c r="S2407" s="13" t="n">
        <v>4210299</v>
      </c>
      <c r="T2407" s="0" t="s">
        <v>165</v>
      </c>
      <c r="U2407" s="15" t="n">
        <v>1332.55</v>
      </c>
      <c r="W2407" s="15" t="n">
        <v>0</v>
      </c>
      <c r="X2407" s="0" t="s">
        <v>1716</v>
      </c>
      <c r="Z2407" s="0" t="str">
        <f aca="false">IF($T2407="","",IFERROR(INDEX('Resumo Grupos'!$AC$3:$AC$200,MATCH($T2407,'Resumo Grupos'!$AB$3:$AB$200,0)),"n/d"))</f>
        <v>Despesa</v>
      </c>
      <c r="AA2407" s="0" t="str">
        <f aca="false">IF($T2407="","",IF(COUNTIF('Resumo Grupos'!$AE$3:$AE$40,$T2407)&gt;0,"NAO","SIM"))</f>
        <v>SIM</v>
      </c>
      <c r="AB2407" s="0" t="str">
        <f aca="false">IFERROR(INDEX('Mov Entradas (Rel 10497)'!$L:$L,MATCH(AC2407,'Mov Entradas (Rel 10497)'!$I:$I,0)),"nao encontrado")</f>
        <v>SACOLA BRC. L. ALIP.</v>
      </c>
      <c r="AC2407" s="0" t="n">
        <v>8802</v>
      </c>
    </row>
    <row r="2408" customFormat="false" ht="12.75" hidden="false" customHeight="true" outlineLevel="0" collapsed="false">
      <c r="A2408" s="13" t="n">
        <v>2</v>
      </c>
      <c r="B2408" s="14" t="n">
        <v>46300</v>
      </c>
      <c r="C2408" s="14" t="n">
        <v>46300</v>
      </c>
      <c r="D2408" s="13" t="n">
        <v>1768</v>
      </c>
      <c r="E2408" s="0" t="s">
        <v>378</v>
      </c>
      <c r="F2408" s="13" t="n">
        <v>34</v>
      </c>
      <c r="G2408" s="0" t="s">
        <v>55</v>
      </c>
      <c r="H2408" s="13" t="n">
        <v>2110405</v>
      </c>
      <c r="I2408" s="0" t="s">
        <v>56</v>
      </c>
      <c r="J2408" s="13" t="n">
        <v>628286</v>
      </c>
      <c r="L2408" s="13" t="n">
        <v>81552</v>
      </c>
      <c r="M2408" s="0" t="s">
        <v>701</v>
      </c>
      <c r="N2408" s="0" t="s">
        <v>45</v>
      </c>
      <c r="P2408" s="13" t="n">
        <v>101</v>
      </c>
      <c r="Q2408" s="0" t="s">
        <v>57</v>
      </c>
      <c r="R2408" s="0" t="s">
        <v>39</v>
      </c>
      <c r="S2408" s="13" t="n">
        <v>4210202</v>
      </c>
      <c r="T2408" s="0" t="s">
        <v>379</v>
      </c>
      <c r="U2408" s="15" t="n">
        <v>2431.5</v>
      </c>
      <c r="W2408" s="15" t="n">
        <v>0</v>
      </c>
      <c r="X2408" s="0" t="s">
        <v>380</v>
      </c>
      <c r="Z2408" s="0" t="str">
        <f aca="false">IF($T2408="","",IFERROR(INDEX('Resumo Grupos'!$AC$3:$AC$200,MATCH($T2408,'Resumo Grupos'!$AB$3:$AB$200,0)),"n/d"))</f>
        <v>Despesa</v>
      </c>
      <c r="AA2408" s="0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3" t="n">
        <v>2</v>
      </c>
      <c r="B2409" s="14" t="n">
        <v>46297</v>
      </c>
      <c r="C2409" s="14" t="n">
        <v>46300</v>
      </c>
      <c r="D2409" s="13" t="n">
        <v>10035</v>
      </c>
      <c r="E2409" s="0" t="s">
        <v>86</v>
      </c>
      <c r="F2409" s="13" t="n">
        <v>34</v>
      </c>
      <c r="G2409" s="0" t="s">
        <v>55</v>
      </c>
      <c r="H2409" s="13" t="n">
        <v>2110405</v>
      </c>
      <c r="I2409" s="0" t="s">
        <v>56</v>
      </c>
      <c r="J2409" s="13" t="n">
        <v>1790219</v>
      </c>
      <c r="L2409" s="13" t="n">
        <v>246783</v>
      </c>
      <c r="M2409" s="0" t="s">
        <v>52</v>
      </c>
      <c r="N2409" s="0" t="s">
        <v>45</v>
      </c>
      <c r="P2409" s="13" t="n">
        <v>113</v>
      </c>
      <c r="Q2409" s="0" t="s">
        <v>46</v>
      </c>
      <c r="R2409" s="0" t="s">
        <v>47</v>
      </c>
      <c r="S2409" s="13" t="n">
        <v>1130101</v>
      </c>
      <c r="T2409" s="0" t="s">
        <v>48</v>
      </c>
      <c r="U2409" s="15" t="n">
        <v>422</v>
      </c>
      <c r="W2409" s="15" t="n">
        <v>0</v>
      </c>
      <c r="X2409" s="0" t="s">
        <v>1970</v>
      </c>
      <c r="Z2409" s="0" t="str">
        <f aca="false">IF($T2409="","",IFERROR(INDEX('Resumo Grupos'!$AC$3:$AC$200,MATCH($T2409,'Resumo Grupos'!$AB$3:$AB$200,0)),"n/d"))</f>
        <v>Mercadoria</v>
      </c>
      <c r="AA2409" s="0" t="str">
        <f aca="false">IF($T2409="","",IF(COUNTIF('Resumo Grupos'!$AE$3:$AE$40,$T2409)&gt;0,"NAO","SIM"))</f>
        <v>SIM</v>
      </c>
      <c r="AB2409" s="0" t="str">
        <f aca="false">IFERROR(INDEX('Mov Entradas (Rel 10497)'!$L:$L,MATCH(AC2409,'Mov Entradas (Rel 10497)'!$I:$I,0)),"nao encontrado")</f>
        <v>CARVAO VEGETAL 3KG</v>
      </c>
      <c r="AC2409" s="0" t="n">
        <v>458</v>
      </c>
    </row>
    <row r="2410" customFormat="false" ht="12.75" hidden="false" customHeight="true" outlineLevel="0" collapsed="false">
      <c r="A2410" s="13" t="n">
        <v>2</v>
      </c>
      <c r="B2410" s="14" t="n">
        <v>46293</v>
      </c>
      <c r="C2410" s="14" t="n">
        <v>46300</v>
      </c>
      <c r="D2410" s="13" t="n">
        <v>48</v>
      </c>
      <c r="E2410" s="0" t="s">
        <v>153</v>
      </c>
      <c r="F2410" s="13" t="n">
        <v>34</v>
      </c>
      <c r="G2410" s="0" t="s">
        <v>55</v>
      </c>
      <c r="H2410" s="13" t="n">
        <v>2110101</v>
      </c>
      <c r="I2410" s="0" t="s">
        <v>43</v>
      </c>
      <c r="J2410" s="13" t="n">
        <v>1770519</v>
      </c>
      <c r="L2410" s="13" t="n">
        <v>2704</v>
      </c>
      <c r="M2410" s="0" t="s">
        <v>52</v>
      </c>
      <c r="N2410" s="0" t="s">
        <v>37</v>
      </c>
      <c r="P2410" s="13" t="n">
        <v>113</v>
      </c>
      <c r="Q2410" s="0" t="s">
        <v>46</v>
      </c>
      <c r="R2410" s="0" t="s">
        <v>47</v>
      </c>
      <c r="S2410" s="13" t="n">
        <v>1130101</v>
      </c>
      <c r="T2410" s="0" t="s">
        <v>48</v>
      </c>
      <c r="U2410" s="15" t="n">
        <v>2275</v>
      </c>
      <c r="W2410" s="15" t="n">
        <v>0</v>
      </c>
      <c r="X2410" s="0" t="s">
        <v>1971</v>
      </c>
      <c r="Z2410" s="0" t="str">
        <f aca="false">IF($T2410="","",IFERROR(INDEX('Resumo Grupos'!$AC$3:$AC$200,MATCH($T2410,'Resumo Grupos'!$AB$3:$AB$200,0)),"n/d"))</f>
        <v>Mercadoria</v>
      </c>
      <c r="AA2410" s="0" t="str">
        <f aca="false">IF($T2410="","",IF(COUNTIF('Resumo Grupos'!$AE$3:$AE$40,$T2410)&gt;0,"NAO","SIM"))</f>
        <v>SIM</v>
      </c>
    </row>
    <row r="2411" customFormat="false" ht="12.75" hidden="false" customHeight="true" outlineLevel="0" collapsed="false">
      <c r="A2411" s="13" t="n">
        <v>2</v>
      </c>
      <c r="B2411" s="14" t="n">
        <v>46300</v>
      </c>
      <c r="C2411" s="14" t="n">
        <v>46300</v>
      </c>
      <c r="D2411" s="13" t="n">
        <v>48</v>
      </c>
      <c r="E2411" s="0" t="s">
        <v>153</v>
      </c>
      <c r="F2411" s="13" t="n">
        <v>13</v>
      </c>
      <c r="G2411" s="0" t="s">
        <v>135</v>
      </c>
      <c r="H2411" s="13" t="n">
        <v>2110101</v>
      </c>
      <c r="I2411" s="0" t="s">
        <v>43</v>
      </c>
      <c r="J2411" s="13" t="n">
        <v>1805438</v>
      </c>
      <c r="L2411" s="13" t="n">
        <v>2720</v>
      </c>
      <c r="M2411" s="0" t="s">
        <v>52</v>
      </c>
      <c r="N2411" s="0" t="s">
        <v>37</v>
      </c>
      <c r="P2411" s="13" t="n">
        <v>113</v>
      </c>
      <c r="Q2411" s="0" t="s">
        <v>46</v>
      </c>
      <c r="R2411" s="0" t="s">
        <v>47</v>
      </c>
      <c r="S2411" s="13" t="n">
        <v>1130101</v>
      </c>
      <c r="T2411" s="0" t="s">
        <v>48</v>
      </c>
      <c r="U2411" s="15" t="n">
        <v>300</v>
      </c>
      <c r="W2411" s="15" t="n">
        <v>0</v>
      </c>
      <c r="X2411" s="0" t="s">
        <v>1972</v>
      </c>
      <c r="Z2411" s="0" t="str">
        <f aca="false">IF($T2411="","",IFERROR(INDEX('Resumo Grupos'!$AC$3:$AC$200,MATCH($T2411,'Resumo Grupos'!$AB$3:$AB$200,0)),"n/d"))</f>
        <v>Mercadoria</v>
      </c>
      <c r="AA2411" s="0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3" t="n">
        <v>2</v>
      </c>
      <c r="B2412" s="14" t="n">
        <v>46300</v>
      </c>
      <c r="C2412" s="14" t="n">
        <v>46300</v>
      </c>
      <c r="D2412" s="13" t="n">
        <v>48</v>
      </c>
      <c r="E2412" s="0" t="s">
        <v>153</v>
      </c>
      <c r="F2412" s="13" t="n">
        <v>34</v>
      </c>
      <c r="G2412" s="0" t="s">
        <v>55</v>
      </c>
      <c r="H2412" s="13" t="n">
        <v>2110101</v>
      </c>
      <c r="I2412" s="0" t="s">
        <v>43</v>
      </c>
      <c r="J2412" s="13" t="n">
        <v>1805598</v>
      </c>
      <c r="L2412" s="13" t="n">
        <v>2721</v>
      </c>
      <c r="M2412" s="0" t="s">
        <v>52</v>
      </c>
      <c r="N2412" s="0" t="s">
        <v>37</v>
      </c>
      <c r="P2412" s="13" t="n">
        <v>113</v>
      </c>
      <c r="Q2412" s="0" t="s">
        <v>46</v>
      </c>
      <c r="R2412" s="0" t="s">
        <v>47</v>
      </c>
      <c r="S2412" s="13" t="n">
        <v>1130101</v>
      </c>
      <c r="T2412" s="0" t="s">
        <v>48</v>
      </c>
      <c r="U2412" s="15" t="n">
        <v>240</v>
      </c>
      <c r="W2412" s="15" t="n">
        <v>0</v>
      </c>
      <c r="X2412" s="0" t="s">
        <v>1973</v>
      </c>
      <c r="Z2412" s="0" t="str">
        <f aca="false">IF($T2412="","",IFERROR(INDEX('Resumo Grupos'!$AC$3:$AC$200,MATCH($T2412,'Resumo Grupos'!$AB$3:$AB$200,0)),"n/d"))</f>
        <v>Mercadoria</v>
      </c>
      <c r="AA2412" s="0" t="str">
        <f aca="false">IF($T2412="","",IF(COUNTIF('Resumo Grupos'!$AE$3:$AE$40,$T2412)&gt;0,"NAO","SIM"))</f>
        <v>SIM</v>
      </c>
    </row>
    <row r="2413" customFormat="false" ht="12.75" hidden="false" customHeight="true" outlineLevel="0" collapsed="false">
      <c r="A2413" s="13" t="n">
        <v>2</v>
      </c>
      <c r="B2413" s="14" t="n">
        <v>46300</v>
      </c>
      <c r="C2413" s="14" t="n">
        <v>46300</v>
      </c>
      <c r="D2413" s="13" t="n">
        <v>17</v>
      </c>
      <c r="E2413" s="0" t="s">
        <v>489</v>
      </c>
      <c r="F2413" s="13" t="n">
        <v>7</v>
      </c>
      <c r="G2413" s="0" t="s">
        <v>222</v>
      </c>
      <c r="H2413" s="13" t="n">
        <v>2110405</v>
      </c>
      <c r="I2413" s="0" t="s">
        <v>56</v>
      </c>
      <c r="J2413" s="13" t="n">
        <v>1805801</v>
      </c>
      <c r="L2413" s="13" t="n">
        <v>249192</v>
      </c>
      <c r="M2413" s="0" t="s">
        <v>52</v>
      </c>
      <c r="N2413" s="0" t="s">
        <v>45</v>
      </c>
      <c r="P2413" s="13" t="n">
        <v>101</v>
      </c>
      <c r="Q2413" s="0" t="s">
        <v>57</v>
      </c>
      <c r="R2413" s="0" t="s">
        <v>81</v>
      </c>
      <c r="S2413" s="13" t="n">
        <v>4220199</v>
      </c>
      <c r="T2413" s="0" t="s">
        <v>82</v>
      </c>
      <c r="U2413" s="15" t="n">
        <v>180.94</v>
      </c>
      <c r="W2413" s="15" t="n">
        <v>0</v>
      </c>
      <c r="X2413" s="0" t="s">
        <v>1974</v>
      </c>
      <c r="Z2413" s="0" t="str">
        <f aca="false">IF($T2413="","",IFERROR(INDEX('Resumo Grupos'!$AC$3:$AC$200,MATCH($T2413,'Resumo Grupos'!$AB$3:$AB$200,0)),"n/d"))</f>
        <v>Pagamentos outros não operacionais</v>
      </c>
      <c r="AA2413" s="0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3" t="n">
        <v>2</v>
      </c>
      <c r="B2414" s="14" t="n">
        <v>46282</v>
      </c>
      <c r="C2414" s="14" t="n">
        <v>46300</v>
      </c>
      <c r="D2414" s="13" t="n">
        <v>607</v>
      </c>
      <c r="E2414" s="0" t="s">
        <v>281</v>
      </c>
      <c r="F2414" s="13" t="n">
        <v>24</v>
      </c>
      <c r="G2414" s="0" t="s">
        <v>51</v>
      </c>
      <c r="H2414" s="13" t="n">
        <v>2110101</v>
      </c>
      <c r="I2414" s="0" t="s">
        <v>43</v>
      </c>
      <c r="J2414" s="13" t="n">
        <v>1716177</v>
      </c>
      <c r="L2414" s="13" t="n">
        <v>235895</v>
      </c>
      <c r="M2414" s="0" t="s">
        <v>52</v>
      </c>
      <c r="N2414" s="0" t="s">
        <v>45</v>
      </c>
      <c r="P2414" s="13" t="n">
        <v>113</v>
      </c>
      <c r="Q2414" s="0" t="s">
        <v>46</v>
      </c>
      <c r="R2414" s="0" t="s">
        <v>47</v>
      </c>
      <c r="S2414" s="13" t="n">
        <v>1130101</v>
      </c>
      <c r="T2414" s="0" t="s">
        <v>48</v>
      </c>
      <c r="U2414" s="15" t="n">
        <v>786.59</v>
      </c>
      <c r="W2414" s="15" t="n">
        <v>0</v>
      </c>
      <c r="X2414" s="0" t="s">
        <v>1975</v>
      </c>
      <c r="Z2414" s="0" t="str">
        <f aca="false">IF($T2414="","",IFERROR(INDEX('Resumo Grupos'!$AC$3:$AC$200,MATCH($T2414,'Resumo Grupos'!$AB$3:$AB$200,0)),"n/d"))</f>
        <v>Mercadoria</v>
      </c>
      <c r="AA2414" s="0" t="str">
        <f aca="false">IF($T2414="","",IF(COUNTIF('Resumo Grupos'!$AE$3:$AE$40,$T2414)&gt;0,"NAO","SIM"))</f>
        <v>SIM</v>
      </c>
      <c r="AB2414" s="0" t="str">
        <f aca="false">IFERROR(INDEX('Mov Entradas (Rel 10497)'!$L:$L,MATCH(AC2414,'Mov Entradas (Rel 10497)'!$I:$I,0)),"nao encontrado")</f>
        <v>RC BESSER NATURAL GT CAST KG</v>
      </c>
      <c r="AC2414" s="0" t="n">
        <v>11681</v>
      </c>
    </row>
    <row r="2415" customFormat="false" ht="12.75" hidden="false" customHeight="true" outlineLevel="0" collapsed="false">
      <c r="A2415" s="13" t="n">
        <v>2</v>
      </c>
      <c r="B2415" s="14" t="n">
        <v>46244</v>
      </c>
      <c r="C2415" s="14" t="n">
        <v>46300</v>
      </c>
      <c r="D2415" s="13" t="n">
        <v>33</v>
      </c>
      <c r="E2415" s="0" t="s">
        <v>313</v>
      </c>
      <c r="F2415" s="13" t="n">
        <v>34</v>
      </c>
      <c r="G2415" s="0" t="s">
        <v>55</v>
      </c>
      <c r="H2415" s="13" t="n">
        <v>2110405</v>
      </c>
      <c r="I2415" s="0" t="s">
        <v>56</v>
      </c>
      <c r="J2415" s="13" t="n">
        <v>1530158</v>
      </c>
      <c r="L2415" s="13" t="n">
        <v>208205</v>
      </c>
      <c r="M2415" s="0" t="s">
        <v>44</v>
      </c>
      <c r="N2415" s="0" t="s">
        <v>45</v>
      </c>
      <c r="P2415" s="13" t="n">
        <v>101</v>
      </c>
      <c r="Q2415" s="0" t="s">
        <v>57</v>
      </c>
      <c r="R2415" s="0" t="s">
        <v>71</v>
      </c>
      <c r="S2415" s="13" t="n">
        <v>4210301</v>
      </c>
      <c r="T2415" s="0" t="s">
        <v>220</v>
      </c>
      <c r="U2415" s="15" t="n">
        <v>265.76</v>
      </c>
      <c r="W2415" s="15" t="n">
        <v>0</v>
      </c>
      <c r="X2415" s="0" t="s">
        <v>1645</v>
      </c>
      <c r="Z2415" s="0" t="str">
        <f aca="false">IF($T2415="","",IFERROR(INDEX('Resumo Grupos'!$AC$3:$AC$200,MATCH($T2415,'Resumo Grupos'!$AB$3:$AB$200,0)),"n/d"))</f>
        <v>Salários</v>
      </c>
      <c r="AA2415" s="0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3" t="n">
        <v>2</v>
      </c>
      <c r="B2416" s="14" t="n">
        <v>46300</v>
      </c>
      <c r="C2416" s="14" t="n">
        <v>46300</v>
      </c>
      <c r="D2416" s="13" t="n">
        <v>16</v>
      </c>
      <c r="E2416" s="0" t="s">
        <v>257</v>
      </c>
      <c r="F2416" s="13" t="n">
        <v>34</v>
      </c>
      <c r="G2416" s="0" t="s">
        <v>55</v>
      </c>
      <c r="H2416" s="13" t="n">
        <v>2110405</v>
      </c>
      <c r="I2416" s="0" t="s">
        <v>56</v>
      </c>
      <c r="J2416" s="13" t="n">
        <v>1509239</v>
      </c>
      <c r="L2416" s="13" t="n">
        <v>205164</v>
      </c>
      <c r="M2416" s="0" t="s">
        <v>44</v>
      </c>
      <c r="N2416" s="0" t="s">
        <v>45</v>
      </c>
      <c r="P2416" s="13" t="n">
        <v>101</v>
      </c>
      <c r="Q2416" s="0" t="s">
        <v>57</v>
      </c>
      <c r="R2416" s="0" t="s">
        <v>71</v>
      </c>
      <c r="S2416" s="13" t="n">
        <v>4210301</v>
      </c>
      <c r="T2416" s="0" t="s">
        <v>220</v>
      </c>
      <c r="U2416" s="15" t="n">
        <v>500</v>
      </c>
      <c r="W2416" s="15" t="n">
        <v>0</v>
      </c>
      <c r="X2416" s="0" t="s">
        <v>1976</v>
      </c>
      <c r="Z2416" s="0" t="str">
        <f aca="false">IF($T2416="","",IFERROR(INDEX('Resumo Grupos'!$AC$3:$AC$200,MATCH($T2416,'Resumo Grupos'!$AB$3:$AB$200,0)),"n/d"))</f>
        <v>Salários</v>
      </c>
      <c r="AA2416" s="0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3" t="n">
        <v>2</v>
      </c>
      <c r="B2417" s="14" t="n">
        <v>46300</v>
      </c>
      <c r="C2417" s="14" t="n">
        <v>46300</v>
      </c>
      <c r="D2417" s="13" t="n">
        <v>16</v>
      </c>
      <c r="E2417" s="0" t="s">
        <v>257</v>
      </c>
      <c r="F2417" s="13" t="n">
        <v>7</v>
      </c>
      <c r="G2417" s="0" t="s">
        <v>222</v>
      </c>
      <c r="H2417" s="13" t="n">
        <v>2110405</v>
      </c>
      <c r="I2417" s="0" t="s">
        <v>56</v>
      </c>
      <c r="J2417" s="13" t="n">
        <v>1805818</v>
      </c>
      <c r="L2417" s="13" t="n">
        <v>249194</v>
      </c>
      <c r="M2417" s="0" t="s">
        <v>52</v>
      </c>
      <c r="N2417" s="0" t="s">
        <v>45</v>
      </c>
      <c r="P2417" s="13" t="n">
        <v>101</v>
      </c>
      <c r="Q2417" s="0" t="s">
        <v>57</v>
      </c>
      <c r="R2417" s="0" t="s">
        <v>81</v>
      </c>
      <c r="S2417" s="13" t="n">
        <v>4220199</v>
      </c>
      <c r="T2417" s="0" t="s">
        <v>82</v>
      </c>
      <c r="U2417" s="15" t="n">
        <v>1210.93</v>
      </c>
      <c r="W2417" s="15" t="n">
        <v>0</v>
      </c>
      <c r="X2417" s="0" t="s">
        <v>1977</v>
      </c>
      <c r="Z2417" s="0" t="str">
        <f aca="false">IF($T2417="","",IFERROR(INDEX('Resumo Grupos'!$AC$3:$AC$200,MATCH($T2417,'Resumo Grupos'!$AB$3:$AB$200,0)),"n/d"))</f>
        <v>Pagamentos outros não operacionais</v>
      </c>
      <c r="AA2417" s="0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3" t="n">
        <v>2</v>
      </c>
      <c r="B2418" s="14" t="n">
        <v>46294</v>
      </c>
      <c r="C2418" s="14" t="n">
        <v>46300</v>
      </c>
      <c r="D2418" s="13" t="n">
        <v>1292</v>
      </c>
      <c r="E2418" s="0" t="s">
        <v>209</v>
      </c>
      <c r="F2418" s="13" t="n">
        <v>24</v>
      </c>
      <c r="G2418" s="0" t="s">
        <v>51</v>
      </c>
      <c r="H2418" s="13" t="n">
        <v>2110405</v>
      </c>
      <c r="I2418" s="0" t="s">
        <v>56</v>
      </c>
      <c r="J2418" s="13" t="n">
        <v>1773575</v>
      </c>
      <c r="L2418" s="13" t="n">
        <v>244215</v>
      </c>
      <c r="M2418" s="0" t="s">
        <v>52</v>
      </c>
      <c r="N2418" s="0" t="s">
        <v>45</v>
      </c>
      <c r="P2418" s="13" t="n">
        <v>113</v>
      </c>
      <c r="Q2418" s="0" t="s">
        <v>46</v>
      </c>
      <c r="R2418" s="0" t="s">
        <v>47</v>
      </c>
      <c r="S2418" s="13" t="n">
        <v>1130101</v>
      </c>
      <c r="T2418" s="0" t="s">
        <v>48</v>
      </c>
      <c r="U2418" s="15" t="n">
        <v>364.75</v>
      </c>
      <c r="W2418" s="15" t="n">
        <v>0</v>
      </c>
      <c r="X2418" s="0" t="s">
        <v>1978</v>
      </c>
      <c r="Z2418" s="0" t="str">
        <f aca="false">IF($T2418="","",IFERROR(INDEX('Resumo Grupos'!$AC$3:$AC$200,MATCH($T2418,'Resumo Grupos'!$AB$3:$AB$200,0)),"n/d"))</f>
        <v>Mercadoria</v>
      </c>
      <c r="AA2418" s="0" t="str">
        <f aca="false">IF($T2418="","",IF(COUNTIF('Resumo Grupos'!$AE$3:$AE$40,$T2418)&gt;0,"NAO","SIM"))</f>
        <v>SIM</v>
      </c>
      <c r="AB2418" s="0" t="str">
        <f aca="false">IFERROR(INDEX('Mov Entradas (Rel 10497)'!$L:$L,MATCH(AC2418,'Mov Entradas (Rel 10497)'!$I:$I,0)),"nao encontrado")</f>
        <v>QUEIJO MUSSARELA FAT</v>
      </c>
      <c r="AC2418" s="0" t="n">
        <v>4169</v>
      </c>
    </row>
    <row r="2419" customFormat="false" ht="12.75" hidden="false" customHeight="true" outlineLevel="0" collapsed="false">
      <c r="A2419" s="13" t="n">
        <v>2</v>
      </c>
      <c r="B2419" s="14" t="n">
        <v>46291</v>
      </c>
      <c r="C2419" s="14" t="n">
        <v>46300</v>
      </c>
      <c r="D2419" s="13" t="n">
        <v>1666</v>
      </c>
      <c r="E2419" s="0" t="s">
        <v>266</v>
      </c>
      <c r="F2419" s="13" t="n">
        <v>24</v>
      </c>
      <c r="G2419" s="0" t="s">
        <v>51</v>
      </c>
      <c r="H2419" s="13" t="n">
        <v>2110405</v>
      </c>
      <c r="I2419" s="0" t="s">
        <v>56</v>
      </c>
      <c r="J2419" s="13" t="n">
        <v>1759161</v>
      </c>
      <c r="L2419" s="13" t="n">
        <v>242273</v>
      </c>
      <c r="M2419" s="0" t="s">
        <v>52</v>
      </c>
      <c r="N2419" s="0" t="s">
        <v>45</v>
      </c>
      <c r="P2419" s="13" t="n">
        <v>113</v>
      </c>
      <c r="Q2419" s="0" t="s">
        <v>46</v>
      </c>
      <c r="R2419" s="0" t="s">
        <v>47</v>
      </c>
      <c r="S2419" s="13" t="n">
        <v>1130101</v>
      </c>
      <c r="T2419" s="0" t="s">
        <v>48</v>
      </c>
      <c r="U2419" s="15" t="n">
        <v>5412.67</v>
      </c>
      <c r="W2419" s="15" t="n">
        <v>0</v>
      </c>
      <c r="X2419" s="0" t="s">
        <v>1979</v>
      </c>
      <c r="Z2419" s="0" t="str">
        <f aca="false">IF($T2419="","",IFERROR(INDEX('Resumo Grupos'!$AC$3:$AC$200,MATCH($T2419,'Resumo Grupos'!$AB$3:$AB$200,0)),"n/d"))</f>
        <v>Mercadoria</v>
      </c>
      <c r="AA2419" s="0" t="str">
        <f aca="false">IF($T2419="","",IF(COUNTIF('Resumo Grupos'!$AE$3:$AE$40,$T2419)&gt;0,"NAO","SIM"))</f>
        <v>SIM</v>
      </c>
      <c r="AB2419" s="0" t="str">
        <f aca="false">IFERROR(INDEX('Mov Entradas (Rel 10497)'!$L:$L,MATCH(AC2419,'Mov Entradas (Rel 10497)'!$I:$I,0)),"nao encontrado")</f>
        <v>DUNHILL CARLTON BLEN</v>
      </c>
      <c r="AC2419" s="0" t="n">
        <v>575307</v>
      </c>
    </row>
    <row r="2420" customFormat="false" ht="12.75" hidden="false" customHeight="true" outlineLevel="0" collapsed="false">
      <c r="A2420" s="13" t="n">
        <v>2</v>
      </c>
      <c r="B2420" s="14" t="n">
        <v>46298</v>
      </c>
      <c r="C2420" s="14" t="n">
        <v>46301</v>
      </c>
      <c r="D2420" s="13" t="n">
        <v>642</v>
      </c>
      <c r="E2420" s="0" t="s">
        <v>123</v>
      </c>
      <c r="F2420" s="13" t="n">
        <v>24</v>
      </c>
      <c r="G2420" s="0" t="s">
        <v>51</v>
      </c>
      <c r="H2420" s="13" t="n">
        <v>2110405</v>
      </c>
      <c r="I2420" s="0" t="s">
        <v>56</v>
      </c>
      <c r="J2420" s="13" t="n">
        <v>1793306</v>
      </c>
      <c r="L2420" s="13" t="n">
        <v>247212</v>
      </c>
      <c r="M2420" s="0" t="s">
        <v>52</v>
      </c>
      <c r="N2420" s="0" t="s">
        <v>45</v>
      </c>
      <c r="P2420" s="13" t="n">
        <v>113</v>
      </c>
      <c r="Q2420" s="0" t="s">
        <v>46</v>
      </c>
      <c r="R2420" s="0" t="s">
        <v>47</v>
      </c>
      <c r="S2420" s="13" t="n">
        <v>1130101</v>
      </c>
      <c r="T2420" s="0" t="s">
        <v>48</v>
      </c>
      <c r="U2420" s="15" t="n">
        <v>180</v>
      </c>
      <c r="W2420" s="15" t="n">
        <v>0</v>
      </c>
      <c r="X2420" s="0" t="s">
        <v>1980</v>
      </c>
      <c r="Z2420" s="0" t="str">
        <f aca="false">IF($T2420="","",IFERROR(INDEX('Resumo Grupos'!$AC$3:$AC$200,MATCH($T2420,'Resumo Grupos'!$AB$3:$AB$200,0)),"n/d"))</f>
        <v>Mercadoria</v>
      </c>
      <c r="AA2420" s="0" t="str">
        <f aca="false">IF($T2420="","",IF(COUNTIF('Resumo Grupos'!$AE$3:$AE$40,$T2420)&gt;0,"NAO","SIM"))</f>
        <v>SIM</v>
      </c>
      <c r="AB2420" s="0" t="str">
        <f aca="false">IFERROR(INDEX('Mov Entradas (Rel 10497)'!$L:$L,MATCH(AC2420,'Mov Entradas (Rel 10497)'!$I:$I,0)),"nao encontrado")</f>
        <v>BOLO BLOOM 600G</v>
      </c>
      <c r="AC2420" s="0" t="n">
        <v>696</v>
      </c>
    </row>
    <row r="2421" customFormat="false" ht="12.75" hidden="false" customHeight="true" outlineLevel="0" collapsed="false">
      <c r="A2421" s="13" t="n">
        <v>2</v>
      </c>
      <c r="B2421" s="14" t="n">
        <v>46300</v>
      </c>
      <c r="C2421" s="14" t="n">
        <v>46301</v>
      </c>
      <c r="D2421" s="13" t="n">
        <v>1695</v>
      </c>
      <c r="E2421" s="0" t="s">
        <v>390</v>
      </c>
      <c r="F2421" s="13" t="n">
        <v>34</v>
      </c>
      <c r="G2421" s="0" t="s">
        <v>55</v>
      </c>
      <c r="H2421" s="13" t="n">
        <v>2110405</v>
      </c>
      <c r="I2421" s="0" t="s">
        <v>56</v>
      </c>
      <c r="J2421" s="13" t="n">
        <v>1805554</v>
      </c>
      <c r="L2421" s="13" t="n">
        <v>249157</v>
      </c>
      <c r="M2421" s="0" t="s">
        <v>52</v>
      </c>
      <c r="N2421" s="0" t="s">
        <v>45</v>
      </c>
      <c r="P2421" s="13" t="n">
        <v>113</v>
      </c>
      <c r="Q2421" s="0" t="s">
        <v>46</v>
      </c>
      <c r="R2421" s="0" t="s">
        <v>47</v>
      </c>
      <c r="S2421" s="13" t="n">
        <v>1130101</v>
      </c>
      <c r="T2421" s="0" t="s">
        <v>48</v>
      </c>
      <c r="U2421" s="15" t="n">
        <v>381.6</v>
      </c>
      <c r="W2421" s="15" t="n">
        <v>0</v>
      </c>
      <c r="X2421" s="0" t="s">
        <v>1981</v>
      </c>
      <c r="Z2421" s="0" t="str">
        <f aca="false">IF($T2421="","",IFERROR(INDEX('Resumo Grupos'!$AC$3:$AC$200,MATCH($T2421,'Resumo Grupos'!$AB$3:$AB$200,0)),"n/d"))</f>
        <v>Mercadoria</v>
      </c>
      <c r="AA2421" s="0" t="str">
        <f aca="false">IF($T2421="","",IF(COUNTIF('Resumo Grupos'!$AE$3:$AE$40,$T2421)&gt;0,"NAO","SIM"))</f>
        <v>SIM</v>
      </c>
      <c r="AB2421" s="0" t="str">
        <f aca="false">IFERROR(INDEX('Mov Entradas (Rel 10497)'!$L:$L,MATCH(AC2421,'Mov Entradas (Rel 10497)'!$I:$I,0)),"nao encontrado")</f>
        <v>RED BULL ENERGY 250ML</v>
      </c>
      <c r="AC2421" s="0" t="n">
        <v>20936</v>
      </c>
    </row>
    <row r="2422" customFormat="false" ht="12.75" hidden="false" customHeight="true" outlineLevel="0" collapsed="false">
      <c r="A2422" s="13" t="n">
        <v>2</v>
      </c>
      <c r="B2422" s="14" t="n">
        <v>46294</v>
      </c>
      <c r="C2422" s="14" t="n">
        <v>46301</v>
      </c>
      <c r="D2422" s="13" t="n">
        <v>1642</v>
      </c>
      <c r="E2422" s="0" t="s">
        <v>228</v>
      </c>
      <c r="F2422" s="13" t="n">
        <v>24</v>
      </c>
      <c r="G2422" s="0" t="s">
        <v>51</v>
      </c>
      <c r="H2422" s="13" t="n">
        <v>2110405</v>
      </c>
      <c r="I2422" s="0" t="s">
        <v>56</v>
      </c>
      <c r="J2422" s="13" t="n">
        <v>1773537</v>
      </c>
      <c r="L2422" s="13" t="n">
        <v>244211</v>
      </c>
      <c r="M2422" s="0" t="s">
        <v>52</v>
      </c>
      <c r="N2422" s="0" t="s">
        <v>45</v>
      </c>
      <c r="P2422" s="13" t="n">
        <v>113</v>
      </c>
      <c r="Q2422" s="0" t="s">
        <v>46</v>
      </c>
      <c r="R2422" s="0" t="s">
        <v>47</v>
      </c>
      <c r="S2422" s="13" t="n">
        <v>1130101</v>
      </c>
      <c r="T2422" s="0" t="s">
        <v>48</v>
      </c>
      <c r="U2422" s="15" t="n">
        <v>290.51</v>
      </c>
      <c r="W2422" s="15" t="n">
        <v>0</v>
      </c>
      <c r="X2422" s="0" t="s">
        <v>1982</v>
      </c>
      <c r="Z2422" s="0" t="str">
        <f aca="false">IF($T2422="","",IFERROR(INDEX('Resumo Grupos'!$AC$3:$AC$200,MATCH($T2422,'Resumo Grupos'!$AB$3:$AB$200,0)),"n/d"))</f>
        <v>Mercadoria</v>
      </c>
      <c r="AA2422" s="0" t="str">
        <f aca="false">IF($T2422="","",IF(COUNTIF('Resumo Grupos'!$AE$3:$AE$40,$T2422)&gt;0,"NAO","SIM"))</f>
        <v>SIM</v>
      </c>
      <c r="AB2422" s="0" t="str">
        <f aca="false">IFERROR(INDEX('Mov Entradas (Rel 10497)'!$L:$L,MATCH(AC2422,'Mov Entradas (Rel 10497)'!$I:$I,0)),"nao encontrado")</f>
        <v>FAR ROSCA COM BROTHE</v>
      </c>
      <c r="AC2422" s="0" t="n">
        <v>1044095</v>
      </c>
    </row>
    <row r="2423" customFormat="false" ht="12.75" hidden="false" customHeight="true" outlineLevel="0" collapsed="false">
      <c r="A2423" s="13" t="n">
        <v>2</v>
      </c>
      <c r="B2423" s="14" t="n">
        <v>46297</v>
      </c>
      <c r="C2423" s="14" t="n">
        <v>46301</v>
      </c>
      <c r="D2423" s="13" t="n">
        <v>1621</v>
      </c>
      <c r="E2423" s="0" t="s">
        <v>232</v>
      </c>
      <c r="F2423" s="13" t="n">
        <v>24</v>
      </c>
      <c r="G2423" s="0" t="s">
        <v>51</v>
      </c>
      <c r="H2423" s="13" t="n">
        <v>2110405</v>
      </c>
      <c r="I2423" s="0" t="s">
        <v>56</v>
      </c>
      <c r="J2423" s="13" t="n">
        <v>1790442</v>
      </c>
      <c r="L2423" s="13" t="n">
        <v>246813</v>
      </c>
      <c r="M2423" s="0" t="s">
        <v>52</v>
      </c>
      <c r="N2423" s="0" t="s">
        <v>45</v>
      </c>
      <c r="P2423" s="13" t="n">
        <v>113</v>
      </c>
      <c r="Q2423" s="0" t="s">
        <v>46</v>
      </c>
      <c r="R2423" s="0" t="s">
        <v>47</v>
      </c>
      <c r="S2423" s="13" t="n">
        <v>1130101</v>
      </c>
      <c r="T2423" s="0" t="s">
        <v>48</v>
      </c>
      <c r="U2423" s="15" t="n">
        <v>485.8</v>
      </c>
      <c r="W2423" s="15" t="n">
        <v>0</v>
      </c>
      <c r="X2423" s="0" t="s">
        <v>1983</v>
      </c>
      <c r="Z2423" s="0" t="str">
        <f aca="false">IF($T2423="","",IFERROR(INDEX('Resumo Grupos'!$AC$3:$AC$200,MATCH($T2423,'Resumo Grupos'!$AB$3:$AB$200,0)),"n/d"))</f>
        <v>Mercadoria</v>
      </c>
      <c r="AA2423" s="0" t="str">
        <f aca="false">IF($T2423="","",IF(COUNTIF('Resumo Grupos'!$AE$3:$AE$40,$T2423)&gt;0,"NAO","SIM"))</f>
        <v>SIM</v>
      </c>
      <c r="AB2423" s="0" t="str">
        <f aca="false">IFERROR(INDEX('Mov Entradas (Rel 10497)'!$L:$L,MATCH(AC2423,'Mov Entradas (Rel 10497)'!$I:$I,0)),"nao encontrado")</f>
        <v>GUARANA  ANTARLT 350</v>
      </c>
      <c r="AC2423" s="0" t="n">
        <v>38346</v>
      </c>
    </row>
    <row r="2424" customFormat="false" ht="12.75" hidden="false" customHeight="true" outlineLevel="0" collapsed="false">
      <c r="A2424" s="13" t="n">
        <v>2</v>
      </c>
      <c r="B2424" s="14" t="n">
        <v>46287</v>
      </c>
      <c r="C2424" s="14" t="n">
        <v>46301</v>
      </c>
      <c r="D2424" s="13" t="n">
        <v>1612</v>
      </c>
      <c r="E2424" s="0" t="s">
        <v>74</v>
      </c>
      <c r="F2424" s="13" t="n">
        <v>24</v>
      </c>
      <c r="G2424" s="0" t="s">
        <v>51</v>
      </c>
      <c r="H2424" s="13" t="n">
        <v>2110405</v>
      </c>
      <c r="I2424" s="0" t="s">
        <v>56</v>
      </c>
      <c r="J2424" s="13" t="n">
        <v>1739892</v>
      </c>
      <c r="L2424" s="13" t="n">
        <v>239392</v>
      </c>
      <c r="M2424" s="0" t="s">
        <v>52</v>
      </c>
      <c r="N2424" s="0" t="s">
        <v>45</v>
      </c>
      <c r="P2424" s="13" t="n">
        <v>113</v>
      </c>
      <c r="Q2424" s="0" t="s">
        <v>46</v>
      </c>
      <c r="R2424" s="0" t="s">
        <v>47</v>
      </c>
      <c r="S2424" s="13" t="n">
        <v>1130101</v>
      </c>
      <c r="T2424" s="0" t="s">
        <v>48</v>
      </c>
      <c r="U2424" s="15" t="n">
        <v>235.72</v>
      </c>
      <c r="W2424" s="15" t="n">
        <v>0</v>
      </c>
      <c r="X2424" s="0" t="s">
        <v>1984</v>
      </c>
      <c r="Z2424" s="0" t="str">
        <f aca="false">IF($T2424="","",IFERROR(INDEX('Resumo Grupos'!$AC$3:$AC$200,MATCH($T2424,'Resumo Grupos'!$AB$3:$AB$200,0)),"n/d"))</f>
        <v>Mercadoria</v>
      </c>
      <c r="AA2424" s="0" t="str">
        <f aca="false">IF($T2424="","",IF(COUNTIF('Resumo Grupos'!$AE$3:$AE$40,$T2424)&gt;0,"NAO","SIM"))</f>
        <v>SIM</v>
      </c>
      <c r="AB2424" s="0" t="str">
        <f aca="false">IFERROR(INDEX('Mov Entradas (Rel 10497)'!$L:$L,MATCH(AC2424,'Mov Entradas (Rel 10497)'!$I:$I,0)),"nao encontrado")</f>
        <v>AGUA SANI BRILUX1L</v>
      </c>
      <c r="AC2424" s="0" t="n">
        <v>2320993</v>
      </c>
    </row>
    <row r="2425" customFormat="false" ht="12.75" hidden="false" customHeight="true" outlineLevel="0" collapsed="false">
      <c r="A2425" s="13" t="n">
        <v>2</v>
      </c>
      <c r="B2425" s="14" t="n">
        <v>46295</v>
      </c>
      <c r="C2425" s="14" t="n">
        <v>46301</v>
      </c>
      <c r="D2425" s="13" t="n">
        <v>911</v>
      </c>
      <c r="E2425" s="0" t="s">
        <v>487</v>
      </c>
      <c r="F2425" s="13" t="n">
        <v>24</v>
      </c>
      <c r="G2425" s="0" t="s">
        <v>51</v>
      </c>
      <c r="H2425" s="13" t="n">
        <v>2110405</v>
      </c>
      <c r="I2425" s="0" t="s">
        <v>56</v>
      </c>
      <c r="J2425" s="13" t="n">
        <v>1779221</v>
      </c>
      <c r="L2425" s="13" t="n">
        <v>245046</v>
      </c>
      <c r="M2425" s="0" t="s">
        <v>52</v>
      </c>
      <c r="N2425" s="0" t="s">
        <v>45</v>
      </c>
      <c r="P2425" s="13" t="n">
        <v>113</v>
      </c>
      <c r="Q2425" s="0" t="s">
        <v>46</v>
      </c>
      <c r="R2425" s="0" t="s">
        <v>47</v>
      </c>
      <c r="S2425" s="13" t="n">
        <v>1130101</v>
      </c>
      <c r="T2425" s="0" t="s">
        <v>48</v>
      </c>
      <c r="U2425" s="15" t="n">
        <v>223.84</v>
      </c>
      <c r="W2425" s="15" t="n">
        <v>0</v>
      </c>
      <c r="X2425" s="0" t="s">
        <v>1985</v>
      </c>
      <c r="Z2425" s="0" t="str">
        <f aca="false">IF($T2425="","",IFERROR(INDEX('Resumo Grupos'!$AC$3:$AC$200,MATCH($T2425,'Resumo Grupos'!$AB$3:$AB$200,0)),"n/d"))</f>
        <v>Mercadoria</v>
      </c>
      <c r="AA2425" s="0" t="str">
        <f aca="false">IF($T2425="","",IF(COUNTIF('Resumo Grupos'!$AE$3:$AE$40,$T2425)&gt;0,"NAO","SIM"))</f>
        <v>SIM</v>
      </c>
      <c r="AB2425" s="0" t="str">
        <f aca="false">IFERROR(INDEX('Mov Entradas (Rel 10497)'!$L:$L,MATCH(AC2425,'Mov Entradas (Rel 10497)'!$I:$I,0)),"nao encontrado")</f>
        <v>PURAGUA LEMON 497ML</v>
      </c>
      <c r="AC2425" s="0" t="n">
        <v>60655</v>
      </c>
    </row>
    <row r="2426" customFormat="false" ht="12.75" hidden="false" customHeight="true" outlineLevel="0" collapsed="false">
      <c r="A2426" s="13" t="n">
        <v>2</v>
      </c>
      <c r="B2426" s="14" t="n">
        <v>46280</v>
      </c>
      <c r="C2426" s="14" t="n">
        <v>46301</v>
      </c>
      <c r="D2426" s="13" t="n">
        <v>1667</v>
      </c>
      <c r="E2426" s="0" t="s">
        <v>77</v>
      </c>
      <c r="F2426" s="13" t="n">
        <v>24</v>
      </c>
      <c r="G2426" s="0" t="s">
        <v>51</v>
      </c>
      <c r="H2426" s="13" t="n">
        <v>2110405</v>
      </c>
      <c r="I2426" s="0" t="s">
        <v>56</v>
      </c>
      <c r="J2426" s="13" t="n">
        <v>1707246</v>
      </c>
      <c r="L2426" s="13" t="n">
        <v>234438</v>
      </c>
      <c r="M2426" s="0" t="s">
        <v>52</v>
      </c>
      <c r="N2426" s="0" t="s">
        <v>45</v>
      </c>
      <c r="P2426" s="13" t="n">
        <v>113</v>
      </c>
      <c r="Q2426" s="0" t="s">
        <v>46</v>
      </c>
      <c r="R2426" s="0" t="s">
        <v>47</v>
      </c>
      <c r="S2426" s="13" t="n">
        <v>1130101</v>
      </c>
      <c r="T2426" s="0" t="s">
        <v>48</v>
      </c>
      <c r="U2426" s="15" t="n">
        <v>729.31</v>
      </c>
      <c r="W2426" s="15" t="n">
        <v>0</v>
      </c>
      <c r="X2426" s="0" t="s">
        <v>1802</v>
      </c>
      <c r="Z2426" s="0" t="str">
        <f aca="false">IF($T2426="","",IFERROR(INDEX('Resumo Grupos'!$AC$3:$AC$200,MATCH($T2426,'Resumo Grupos'!$AB$3:$AB$200,0)),"n/d"))</f>
        <v>Mercadoria</v>
      </c>
      <c r="AA2426" s="0" t="str">
        <f aca="false">IF($T2426="","",IF(COUNTIF('Resumo Grupos'!$AE$3:$AE$40,$T2426)&gt;0,"NAO","SIM"))</f>
        <v>SIM</v>
      </c>
      <c r="AB2426" s="0" t="str">
        <f aca="false">IFERROR(INDEX('Mov Entradas (Rel 10497)'!$L:$L,MATCH(AC2426,'Mov Entradas (Rel 10497)'!$I:$I,0)),"nao encontrado")</f>
        <v>SOPAO MAGGI CARN 200</v>
      </c>
      <c r="AC2426" s="0" t="n">
        <v>400026</v>
      </c>
    </row>
    <row r="2427" customFormat="false" ht="12.75" hidden="false" customHeight="true" outlineLevel="0" collapsed="false">
      <c r="A2427" s="13" t="n">
        <v>2</v>
      </c>
      <c r="B2427" s="14" t="n">
        <v>46294</v>
      </c>
      <c r="C2427" s="14" t="n">
        <v>46301</v>
      </c>
      <c r="D2427" s="13" t="n">
        <v>1625</v>
      </c>
      <c r="E2427" s="0" t="s">
        <v>270</v>
      </c>
      <c r="F2427" s="13" t="n">
        <v>24</v>
      </c>
      <c r="G2427" s="0" t="s">
        <v>51</v>
      </c>
      <c r="H2427" s="13" t="n">
        <v>2110405</v>
      </c>
      <c r="I2427" s="0" t="s">
        <v>56</v>
      </c>
      <c r="J2427" s="13" t="n">
        <v>1774933</v>
      </c>
      <c r="L2427" s="13" t="n">
        <v>244495</v>
      </c>
      <c r="M2427" s="0" t="s">
        <v>52</v>
      </c>
      <c r="N2427" s="0" t="s">
        <v>45</v>
      </c>
      <c r="P2427" s="13" t="n">
        <v>113</v>
      </c>
      <c r="Q2427" s="0" t="s">
        <v>46</v>
      </c>
      <c r="R2427" s="0" t="s">
        <v>47</v>
      </c>
      <c r="S2427" s="13" t="n">
        <v>1130101</v>
      </c>
      <c r="T2427" s="0" t="s">
        <v>48</v>
      </c>
      <c r="U2427" s="15" t="n">
        <v>3661</v>
      </c>
      <c r="W2427" s="15" t="n">
        <v>0</v>
      </c>
      <c r="X2427" s="0" t="s">
        <v>1986</v>
      </c>
      <c r="Z2427" s="0" t="str">
        <f aca="false">IF($T2427="","",IFERROR(INDEX('Resumo Grupos'!$AC$3:$AC$200,MATCH($T2427,'Resumo Grupos'!$AB$3:$AB$200,0)),"n/d"))</f>
        <v>Mercadoria</v>
      </c>
      <c r="AA2427" s="0" t="str">
        <f aca="false">IF($T2427="","",IF(COUNTIF('Resumo Grupos'!$AE$3:$AE$40,$T2427)&gt;0,"NAO","SIM"))</f>
        <v>SIM</v>
      </c>
      <c r="AB2427" s="0" t="str">
        <f aca="false">IFERROR(INDEX('Mov Entradas (Rel 10497)'!$L:$L,MATCH(AC2427,'Mov Entradas (Rel 10497)'!$I:$I,0)),"nao encontrado")</f>
        <v>TRASEIRO DE BOI L1</v>
      </c>
      <c r="AC2427" s="0" t="n">
        <v>15487</v>
      </c>
    </row>
    <row r="2428" customFormat="false" ht="12.75" hidden="false" customHeight="true" outlineLevel="0" collapsed="false">
      <c r="A2428" s="13" t="n">
        <v>2</v>
      </c>
      <c r="B2428" s="14" t="n">
        <v>46288</v>
      </c>
      <c r="C2428" s="14" t="n">
        <v>46301</v>
      </c>
      <c r="D2428" s="13" t="n">
        <v>1668</v>
      </c>
      <c r="E2428" s="0" t="s">
        <v>151</v>
      </c>
      <c r="F2428" s="13" t="n">
        <v>24</v>
      </c>
      <c r="G2428" s="0" t="s">
        <v>51</v>
      </c>
      <c r="H2428" s="13" t="n">
        <v>2110405</v>
      </c>
      <c r="I2428" s="0" t="s">
        <v>56</v>
      </c>
      <c r="J2428" s="13" t="n">
        <v>1745712</v>
      </c>
      <c r="L2428" s="13" t="n">
        <v>240425</v>
      </c>
      <c r="M2428" s="0" t="s">
        <v>52</v>
      </c>
      <c r="N2428" s="0" t="s">
        <v>45</v>
      </c>
      <c r="P2428" s="13" t="n">
        <v>113</v>
      </c>
      <c r="Q2428" s="0" t="s">
        <v>46</v>
      </c>
      <c r="R2428" s="0" t="s">
        <v>47</v>
      </c>
      <c r="S2428" s="13" t="n">
        <v>1130101</v>
      </c>
      <c r="T2428" s="0" t="s">
        <v>48</v>
      </c>
      <c r="U2428" s="15" t="n">
        <v>365.38</v>
      </c>
      <c r="W2428" s="15" t="n">
        <v>0</v>
      </c>
      <c r="X2428" s="0" t="s">
        <v>1987</v>
      </c>
      <c r="Z2428" s="0" t="str">
        <f aca="false">IF($T2428="","",IFERROR(INDEX('Resumo Grupos'!$AC$3:$AC$200,MATCH($T2428,'Resumo Grupos'!$AB$3:$AB$200,0)),"n/d"))</f>
        <v>Mercadoria</v>
      </c>
      <c r="AA2428" s="0" t="str">
        <f aca="false">IF($T2428="","",IF(COUNTIF('Resumo Grupos'!$AE$3:$AE$40,$T2428)&gt;0,"NAO","SIM"))</f>
        <v>SIM</v>
      </c>
      <c r="AB2428" s="0" t="str">
        <f aca="false">IFERROR(INDEX('Mov Entradas (Rel 10497)'!$L:$L,MATCH(AC2428,'Mov Entradas (Rel 10497)'!$I:$I,0)),"nao encontrado")</f>
        <v>POTE COM TPA 250ML G</v>
      </c>
      <c r="AC2428" s="0" t="n">
        <v>762379</v>
      </c>
    </row>
    <row r="2429" customFormat="false" ht="12.75" hidden="false" customHeight="true" outlineLevel="0" collapsed="false">
      <c r="A2429" s="13" t="n">
        <v>2</v>
      </c>
      <c r="B2429" s="14" t="n">
        <v>46279</v>
      </c>
      <c r="C2429" s="14" t="n">
        <v>46301</v>
      </c>
      <c r="D2429" s="13" t="n">
        <v>10011</v>
      </c>
      <c r="E2429" s="0" t="s">
        <v>349</v>
      </c>
      <c r="F2429" s="13" t="n">
        <v>24</v>
      </c>
      <c r="G2429" s="0" t="s">
        <v>51</v>
      </c>
      <c r="H2429" s="13" t="n">
        <v>2110405</v>
      </c>
      <c r="I2429" s="0" t="s">
        <v>56</v>
      </c>
      <c r="J2429" s="13" t="n">
        <v>1701755</v>
      </c>
      <c r="L2429" s="13" t="n">
        <v>233496</v>
      </c>
      <c r="M2429" s="0" t="s">
        <v>52</v>
      </c>
      <c r="N2429" s="0" t="s">
        <v>45</v>
      </c>
      <c r="P2429" s="13" t="n">
        <v>113</v>
      </c>
      <c r="Q2429" s="0" t="s">
        <v>46</v>
      </c>
      <c r="R2429" s="0" t="s">
        <v>47</v>
      </c>
      <c r="S2429" s="13" t="n">
        <v>1130101</v>
      </c>
      <c r="T2429" s="0" t="s">
        <v>48</v>
      </c>
      <c r="U2429" s="15" t="n">
        <v>1459.69</v>
      </c>
      <c r="W2429" s="15" t="n">
        <v>0</v>
      </c>
      <c r="X2429" s="0" t="s">
        <v>1988</v>
      </c>
      <c r="Z2429" s="0" t="str">
        <f aca="false">IF($T2429="","",IFERROR(INDEX('Resumo Grupos'!$AC$3:$AC$200,MATCH($T2429,'Resumo Grupos'!$AB$3:$AB$200,0)),"n/d"))</f>
        <v>Mercadoria</v>
      </c>
      <c r="AA2429" s="0" t="str">
        <f aca="false">IF($T2429="","",IF(COUNTIF('Resumo Grupos'!$AE$3:$AE$40,$T2429)&gt;0,"NAO","SIM"))</f>
        <v>SIM</v>
      </c>
      <c r="AB2429" s="0" t="str">
        <f aca="false">IFERROR(INDEX('Mov Entradas (Rel 10497)'!$L:$L,MATCH(AC2429,'Mov Entradas (Rel 10497)'!$I:$I,0)),"nao encontrado")</f>
        <v>RC GRANPLUS GATO FILH FRG E ARROZ KG</v>
      </c>
      <c r="AC2429" s="0" t="n">
        <v>35693</v>
      </c>
    </row>
    <row r="2430" customFormat="false" ht="12.75" hidden="false" customHeight="true" outlineLevel="0" collapsed="false">
      <c r="A2430" s="13" t="n">
        <v>2</v>
      </c>
      <c r="B2430" s="14" t="n">
        <v>46297</v>
      </c>
      <c r="C2430" s="14" t="n">
        <v>46301</v>
      </c>
      <c r="D2430" s="13" t="n">
        <v>1899</v>
      </c>
      <c r="E2430" s="0" t="s">
        <v>204</v>
      </c>
      <c r="F2430" s="13" t="n">
        <v>24</v>
      </c>
      <c r="G2430" s="0" t="s">
        <v>51</v>
      </c>
      <c r="H2430" s="13" t="n">
        <v>2110405</v>
      </c>
      <c r="I2430" s="0" t="s">
        <v>56</v>
      </c>
      <c r="J2430" s="13" t="n">
        <v>1789474</v>
      </c>
      <c r="L2430" s="13" t="n">
        <v>246625</v>
      </c>
      <c r="M2430" s="0" t="s">
        <v>52</v>
      </c>
      <c r="N2430" s="0" t="s">
        <v>45</v>
      </c>
      <c r="P2430" s="13" t="n">
        <v>113</v>
      </c>
      <c r="Q2430" s="0" t="s">
        <v>46</v>
      </c>
      <c r="R2430" s="0" t="s">
        <v>47</v>
      </c>
      <c r="S2430" s="13" t="n">
        <v>1130101</v>
      </c>
      <c r="T2430" s="0" t="s">
        <v>48</v>
      </c>
      <c r="U2430" s="15" t="n">
        <v>209.85</v>
      </c>
      <c r="W2430" s="15" t="n">
        <v>0</v>
      </c>
      <c r="X2430" s="0" t="s">
        <v>1989</v>
      </c>
      <c r="Z2430" s="0" t="str">
        <f aca="false">IF($T2430="","",IFERROR(INDEX('Resumo Grupos'!$AC$3:$AC$200,MATCH($T2430,'Resumo Grupos'!$AB$3:$AB$200,0)),"n/d"))</f>
        <v>Mercadoria</v>
      </c>
      <c r="AA2430" s="0" t="str">
        <f aca="false">IF($T2430="","",IF(COUNTIF('Resumo Grupos'!$AE$3:$AE$40,$T2430)&gt;0,"NAO","SIM"))</f>
        <v>SIM</v>
      </c>
      <c r="AB2430" s="0" t="str">
        <f aca="false">IFERROR(INDEX('Mov Entradas (Rel 10497)'!$L:$L,MATCH(AC2430,'Mov Entradas (Rel 10497)'!$I:$I,0)),"nao encontrado")</f>
        <v>PAO DE FORMA REAL MA</v>
      </c>
      <c r="AC2430" s="0" t="n">
        <v>830</v>
      </c>
    </row>
    <row r="2431" customFormat="false" ht="12.75" hidden="false" customHeight="true" outlineLevel="0" collapsed="false">
      <c r="A2431" s="13" t="n">
        <v>2</v>
      </c>
      <c r="B2431" s="14" t="n">
        <v>46274</v>
      </c>
      <c r="C2431" s="14" t="n">
        <v>46301</v>
      </c>
      <c r="D2431" s="13" t="n">
        <v>1671</v>
      </c>
      <c r="E2431" s="0" t="s">
        <v>119</v>
      </c>
      <c r="F2431" s="13" t="n">
        <v>24</v>
      </c>
      <c r="G2431" s="0" t="s">
        <v>51</v>
      </c>
      <c r="H2431" s="13" t="n">
        <v>2110405</v>
      </c>
      <c r="I2431" s="0" t="s">
        <v>56</v>
      </c>
      <c r="J2431" s="13" t="n">
        <v>1678538</v>
      </c>
      <c r="L2431" s="13" t="n">
        <v>230287</v>
      </c>
      <c r="M2431" s="0" t="s">
        <v>52</v>
      </c>
      <c r="N2431" s="0" t="s">
        <v>45</v>
      </c>
      <c r="P2431" s="13" t="n">
        <v>113</v>
      </c>
      <c r="Q2431" s="0" t="s">
        <v>46</v>
      </c>
      <c r="R2431" s="0" t="s">
        <v>47</v>
      </c>
      <c r="S2431" s="13" t="n">
        <v>1130101</v>
      </c>
      <c r="T2431" s="0" t="s">
        <v>48</v>
      </c>
      <c r="U2431" s="15" t="n">
        <v>575.27</v>
      </c>
      <c r="W2431" s="15" t="n">
        <v>0</v>
      </c>
      <c r="X2431" s="0" t="s">
        <v>1810</v>
      </c>
      <c r="Z2431" s="0" t="str">
        <f aca="false">IF($T2431="","",IFERROR(INDEX('Resumo Grupos'!$AC$3:$AC$200,MATCH($T2431,'Resumo Grupos'!$AB$3:$AB$200,0)),"n/d"))</f>
        <v>Mercadoria</v>
      </c>
      <c r="AA2431" s="0" t="str">
        <f aca="false">IF($T2431="","",IF(COUNTIF('Resumo Grupos'!$AE$3:$AE$40,$T2431)&gt;0,"NAO","SIM"))</f>
        <v>SIM</v>
      </c>
      <c r="AB2431" s="0" t="str">
        <f aca="false">IFERROR(INDEX('Mov Entradas (Rel 10497)'!$L:$L,MATCH(AC2431,'Mov Entradas (Rel 10497)'!$I:$I,0)),"nao encontrado")</f>
        <v>ABS NATURALMEN C/A 8</v>
      </c>
      <c r="AC2431" s="0" t="n">
        <v>591052</v>
      </c>
    </row>
    <row r="2432" customFormat="false" ht="12.75" hidden="false" customHeight="true" outlineLevel="0" collapsed="false">
      <c r="A2432" s="13" t="n">
        <v>2</v>
      </c>
      <c r="B2432" s="14" t="n">
        <v>46283</v>
      </c>
      <c r="C2432" s="14" t="n">
        <v>46302</v>
      </c>
      <c r="D2432" s="13" t="n">
        <v>1613</v>
      </c>
      <c r="E2432" s="0" t="s">
        <v>50</v>
      </c>
      <c r="F2432" s="13" t="n">
        <v>24</v>
      </c>
      <c r="G2432" s="0" t="s">
        <v>51</v>
      </c>
      <c r="H2432" s="13" t="n">
        <v>2110405</v>
      </c>
      <c r="I2432" s="0" t="s">
        <v>56</v>
      </c>
      <c r="J2432" s="13" t="n">
        <v>1720793</v>
      </c>
      <c r="L2432" s="13" t="n">
        <v>236696</v>
      </c>
      <c r="M2432" s="0" t="s">
        <v>52</v>
      </c>
      <c r="N2432" s="0" t="s">
        <v>45</v>
      </c>
      <c r="P2432" s="13" t="n">
        <v>113</v>
      </c>
      <c r="Q2432" s="0" t="s">
        <v>46</v>
      </c>
      <c r="R2432" s="0" t="s">
        <v>47</v>
      </c>
      <c r="S2432" s="13" t="n">
        <v>1130101</v>
      </c>
      <c r="T2432" s="0" t="s">
        <v>48</v>
      </c>
      <c r="U2432" s="15" t="n">
        <v>453.36</v>
      </c>
      <c r="W2432" s="15" t="n">
        <v>0</v>
      </c>
      <c r="X2432" s="0" t="s">
        <v>1908</v>
      </c>
      <c r="Z2432" s="0" t="str">
        <f aca="false">IF($T2432="","",IFERROR(INDEX('Resumo Grupos'!$AC$3:$AC$200,MATCH($T2432,'Resumo Grupos'!$AB$3:$AB$200,0)),"n/d"))</f>
        <v>Mercadoria</v>
      </c>
      <c r="AA2432" s="0" t="str">
        <f aca="false">IF($T2432="","",IF(COUNTIF('Resumo Grupos'!$AE$3:$AE$40,$T2432)&gt;0,"NAO","SIM"))</f>
        <v>SIM</v>
      </c>
      <c r="AB2432" s="0" t="str">
        <f aca="false">IFERROR(INDEX('Mov Entradas (Rel 10497)'!$L:$L,MATCH(AC2432,'Mov Entradas (Rel 10497)'!$I:$I,0)),"nao encontrado")</f>
        <v>COXAS SADIA 1KG</v>
      </c>
      <c r="AC2432" s="0" t="n">
        <v>1632482</v>
      </c>
    </row>
    <row r="2433" customFormat="false" ht="12.75" hidden="false" customHeight="true" outlineLevel="0" collapsed="false">
      <c r="A2433" s="13" t="n">
        <v>2</v>
      </c>
      <c r="B2433" s="14" t="n">
        <v>46290</v>
      </c>
      <c r="C2433" s="14" t="n">
        <v>46302</v>
      </c>
      <c r="D2433" s="13" t="n">
        <v>1613</v>
      </c>
      <c r="E2433" s="0" t="s">
        <v>50</v>
      </c>
      <c r="F2433" s="13" t="n">
        <v>24</v>
      </c>
      <c r="G2433" s="0" t="s">
        <v>51</v>
      </c>
      <c r="H2433" s="13" t="n">
        <v>2110405</v>
      </c>
      <c r="I2433" s="0" t="s">
        <v>56</v>
      </c>
      <c r="J2433" s="13" t="n">
        <v>1756307</v>
      </c>
      <c r="L2433" s="13" t="n">
        <v>241902</v>
      </c>
      <c r="M2433" s="0" t="s">
        <v>52</v>
      </c>
      <c r="N2433" s="0" t="s">
        <v>45</v>
      </c>
      <c r="P2433" s="13" t="n">
        <v>113</v>
      </c>
      <c r="Q2433" s="0" t="s">
        <v>46</v>
      </c>
      <c r="R2433" s="0" t="s">
        <v>47</v>
      </c>
      <c r="S2433" s="13" t="n">
        <v>1130101</v>
      </c>
      <c r="T2433" s="0" t="s">
        <v>48</v>
      </c>
      <c r="U2433" s="15" t="n">
        <v>321.29</v>
      </c>
      <c r="W2433" s="15" t="n">
        <v>0</v>
      </c>
      <c r="X2433" s="0" t="s">
        <v>1990</v>
      </c>
      <c r="Z2433" s="0" t="str">
        <f aca="false">IF($T2433="","",IFERROR(INDEX('Resumo Grupos'!$AC$3:$AC$200,MATCH($T2433,'Resumo Grupos'!$AB$3:$AB$200,0)),"n/d"))</f>
        <v>Mercadoria</v>
      </c>
      <c r="AA2433" s="0" t="str">
        <f aca="false">IF($T2433="","",IF(COUNTIF('Resumo Grupos'!$AE$3:$AE$40,$T2433)&gt;0,"NAO","SIM"))</f>
        <v>SIM</v>
      </c>
      <c r="AB2433" s="0" t="str">
        <f aca="false">IFERROR(INDEX('Mov Entradas (Rel 10497)'!$L:$L,MATCH(AC2433,'Mov Entradas (Rel 10497)'!$I:$I,0)),"nao encontrado")</f>
        <v>MARGARINA QUALY 250G</v>
      </c>
      <c r="AC2433" s="0" t="n">
        <v>1634890</v>
      </c>
    </row>
    <row r="2434" customFormat="false" ht="12.75" hidden="false" customHeight="true" outlineLevel="0" collapsed="false">
      <c r="A2434" s="13" t="n">
        <v>2</v>
      </c>
      <c r="B2434" s="14" t="n">
        <v>46288</v>
      </c>
      <c r="C2434" s="14" t="n">
        <v>46302</v>
      </c>
      <c r="D2434" s="13" t="n">
        <v>1601</v>
      </c>
      <c r="E2434" s="0" t="s">
        <v>193</v>
      </c>
      <c r="F2434" s="13" t="n">
        <v>24</v>
      </c>
      <c r="G2434" s="0" t="s">
        <v>51</v>
      </c>
      <c r="H2434" s="13" t="n">
        <v>2110405</v>
      </c>
      <c r="I2434" s="0" t="s">
        <v>56</v>
      </c>
      <c r="J2434" s="13" t="n">
        <v>1744619</v>
      </c>
      <c r="L2434" s="13" t="n">
        <v>240185</v>
      </c>
      <c r="M2434" s="0" t="s">
        <v>52</v>
      </c>
      <c r="N2434" s="0" t="s">
        <v>45</v>
      </c>
      <c r="P2434" s="13" t="n">
        <v>113</v>
      </c>
      <c r="Q2434" s="0" t="s">
        <v>46</v>
      </c>
      <c r="R2434" s="0" t="s">
        <v>47</v>
      </c>
      <c r="S2434" s="13" t="n">
        <v>1130101</v>
      </c>
      <c r="T2434" s="0" t="s">
        <v>48</v>
      </c>
      <c r="U2434" s="15" t="n">
        <v>296.4</v>
      </c>
      <c r="W2434" s="15" t="n">
        <v>0</v>
      </c>
      <c r="X2434" s="0" t="s">
        <v>1991</v>
      </c>
      <c r="Z2434" s="0" t="str">
        <f aca="false">IF($T2434="","",IFERROR(INDEX('Resumo Grupos'!$AC$3:$AC$200,MATCH($T2434,'Resumo Grupos'!$AB$3:$AB$200,0)),"n/d"))</f>
        <v>Mercadoria</v>
      </c>
      <c r="AA2434" s="0" t="str">
        <f aca="false">IF($T2434="","",IF(COUNTIF('Resumo Grupos'!$AE$3:$AE$40,$T2434)&gt;0,"NAO","SIM"))</f>
        <v>SIM</v>
      </c>
      <c r="AB2434" s="0" t="str">
        <f aca="false">IFERROR(INDEX('Mov Entradas (Rel 10497)'!$L:$L,MATCH(AC2434,'Mov Entradas (Rel 10497)'!$I:$I,0)),"nao encontrado")</f>
        <v>SKILHOS HILEIA QUEIJ</v>
      </c>
      <c r="AC2434" s="0" t="n">
        <v>874491</v>
      </c>
    </row>
    <row r="2435" customFormat="false" ht="12.75" hidden="false" customHeight="true" outlineLevel="0" collapsed="false">
      <c r="A2435" s="13" t="n">
        <v>2</v>
      </c>
      <c r="B2435" s="14" t="n">
        <v>46289</v>
      </c>
      <c r="C2435" s="14" t="n">
        <v>46302</v>
      </c>
      <c r="D2435" s="13" t="n">
        <v>10002</v>
      </c>
      <c r="E2435" s="0" t="s">
        <v>197</v>
      </c>
      <c r="F2435" s="13" t="n">
        <v>24</v>
      </c>
      <c r="G2435" s="0" t="s">
        <v>51</v>
      </c>
      <c r="H2435" s="13" t="n">
        <v>2110405</v>
      </c>
      <c r="I2435" s="0" t="s">
        <v>56</v>
      </c>
      <c r="J2435" s="13" t="n">
        <v>1748778</v>
      </c>
      <c r="L2435" s="13" t="n">
        <v>240887</v>
      </c>
      <c r="M2435" s="0" t="s">
        <v>52</v>
      </c>
      <c r="N2435" s="0" t="s">
        <v>45</v>
      </c>
      <c r="P2435" s="13" t="n">
        <v>113</v>
      </c>
      <c r="Q2435" s="0" t="s">
        <v>46</v>
      </c>
      <c r="R2435" s="0" t="s">
        <v>47</v>
      </c>
      <c r="S2435" s="13" t="n">
        <v>1130101</v>
      </c>
      <c r="T2435" s="0" t="s">
        <v>48</v>
      </c>
      <c r="U2435" s="15" t="n">
        <v>809.66</v>
      </c>
      <c r="W2435" s="15" t="n">
        <v>0</v>
      </c>
      <c r="X2435" s="0" t="s">
        <v>1992</v>
      </c>
      <c r="Z2435" s="0" t="str">
        <f aca="false">IF($T2435="","",IFERROR(INDEX('Resumo Grupos'!$AC$3:$AC$200,MATCH($T2435,'Resumo Grupos'!$AB$3:$AB$200,0)),"n/d"))</f>
        <v>Mercadoria</v>
      </c>
      <c r="AA2435" s="0" t="str">
        <f aca="false">IF($T2435="","",IF(COUNTIF('Resumo Grupos'!$AE$3:$AE$40,$T2435)&gt;0,"NAO","SIM"))</f>
        <v>SIM</v>
      </c>
      <c r="AB2435" s="0" t="str">
        <f aca="false">IFERROR(INDEX('Mov Entradas (Rel 10497)'!$L:$L,MATCH(AC2435,'Mov Entradas (Rel 10497)'!$I:$I,0)),"nao encontrado")</f>
        <v>POLPA MANGA BRASFRUT</v>
      </c>
      <c r="AC2435" s="0" t="n">
        <v>198764</v>
      </c>
    </row>
    <row r="2436" customFormat="false" ht="12.75" hidden="false" customHeight="true" outlineLevel="0" collapsed="false">
      <c r="A2436" s="13" t="n">
        <v>2</v>
      </c>
      <c r="B2436" s="14" t="n">
        <v>46275</v>
      </c>
      <c r="C2436" s="14" t="n">
        <v>46302</v>
      </c>
      <c r="D2436" s="13" t="n">
        <v>1608</v>
      </c>
      <c r="E2436" s="0" t="s">
        <v>240</v>
      </c>
      <c r="F2436" s="13" t="n">
        <v>24</v>
      </c>
      <c r="G2436" s="0" t="s">
        <v>51</v>
      </c>
      <c r="H2436" s="13" t="n">
        <v>2110405</v>
      </c>
      <c r="I2436" s="0" t="s">
        <v>56</v>
      </c>
      <c r="J2436" s="13" t="n">
        <v>1681694</v>
      </c>
      <c r="L2436" s="13" t="n">
        <v>230754</v>
      </c>
      <c r="M2436" s="0" t="s">
        <v>52</v>
      </c>
      <c r="N2436" s="0" t="s">
        <v>45</v>
      </c>
      <c r="P2436" s="13" t="n">
        <v>113</v>
      </c>
      <c r="Q2436" s="0" t="s">
        <v>46</v>
      </c>
      <c r="R2436" s="0" t="s">
        <v>47</v>
      </c>
      <c r="S2436" s="13" t="n">
        <v>1130101</v>
      </c>
      <c r="T2436" s="0" t="s">
        <v>48</v>
      </c>
      <c r="U2436" s="15" t="n">
        <v>684.67</v>
      </c>
      <c r="W2436" s="15" t="n">
        <v>0</v>
      </c>
      <c r="X2436" s="0" t="s">
        <v>1751</v>
      </c>
      <c r="Z2436" s="0" t="str">
        <f aca="false">IF($T2436="","",IFERROR(INDEX('Resumo Grupos'!$AC$3:$AC$200,MATCH($T2436,'Resumo Grupos'!$AB$3:$AB$200,0)),"n/d"))</f>
        <v>Mercadoria</v>
      </c>
      <c r="AA2436" s="0" t="str">
        <f aca="false">IF($T2436="","",IF(COUNTIF('Resumo Grupos'!$AE$3:$AE$40,$T2436)&gt;0,"NAO","SIM"))</f>
        <v>SIM</v>
      </c>
      <c r="AB2436" s="0" t="str">
        <f aca="false">IFERROR(INDEX('Mov Entradas (Rel 10497)'!$L:$L,MATCH(AC2436,'Mov Entradas (Rel 10497)'!$I:$I,0)),"nao encontrado")</f>
        <v>PATE ATUM COQ 170G</v>
      </c>
      <c r="AC2436" s="0" t="n">
        <v>1726308</v>
      </c>
    </row>
    <row r="2437" customFormat="false" ht="12.75" hidden="false" customHeight="true" outlineLevel="0" collapsed="false">
      <c r="A2437" s="13" t="n">
        <v>2</v>
      </c>
      <c r="B2437" s="14" t="n">
        <v>46289</v>
      </c>
      <c r="C2437" s="14" t="n">
        <v>46302</v>
      </c>
      <c r="D2437" s="13" t="n">
        <v>10019</v>
      </c>
      <c r="E2437" s="0" t="s">
        <v>268</v>
      </c>
      <c r="F2437" s="13" t="n">
        <v>24</v>
      </c>
      <c r="G2437" s="0" t="s">
        <v>51</v>
      </c>
      <c r="H2437" s="13" t="n">
        <v>2110405</v>
      </c>
      <c r="I2437" s="0" t="s">
        <v>56</v>
      </c>
      <c r="J2437" s="13" t="n">
        <v>1748856</v>
      </c>
      <c r="L2437" s="13" t="n">
        <v>240918</v>
      </c>
      <c r="M2437" s="0" t="s">
        <v>52</v>
      </c>
      <c r="N2437" s="0" t="s">
        <v>45</v>
      </c>
      <c r="P2437" s="13" t="n">
        <v>113</v>
      </c>
      <c r="Q2437" s="0" t="s">
        <v>46</v>
      </c>
      <c r="R2437" s="0" t="s">
        <v>47</v>
      </c>
      <c r="S2437" s="13" t="n">
        <v>1130101</v>
      </c>
      <c r="T2437" s="0" t="s">
        <v>48</v>
      </c>
      <c r="U2437" s="15" t="n">
        <v>2748.32</v>
      </c>
      <c r="W2437" s="15" t="n">
        <v>0</v>
      </c>
      <c r="X2437" s="0" t="s">
        <v>1909</v>
      </c>
      <c r="Z2437" s="0" t="str">
        <f aca="false">IF($T2437="","",IFERROR(INDEX('Resumo Grupos'!$AC$3:$AC$200,MATCH($T2437,'Resumo Grupos'!$AB$3:$AB$200,0)),"n/d"))</f>
        <v>Mercadoria</v>
      </c>
      <c r="AA2437" s="0" t="str">
        <f aca="false">IF($T2437="","",IF(COUNTIF('Resumo Grupos'!$AE$3:$AE$40,$T2437)&gt;0,"NAO","SIM"))</f>
        <v>SIM</v>
      </c>
      <c r="AB2437" s="0" t="str">
        <f aca="false">IFERROR(INDEX('Mov Entradas (Rel 10497)'!$L:$L,MATCH(AC2437,'Mov Entradas (Rel 10497)'!$I:$I,0)),"nao encontrado")</f>
        <v>PATINHO BOVINO KG</v>
      </c>
      <c r="AC2437" s="0" t="n">
        <v>33788</v>
      </c>
    </row>
    <row r="2438" customFormat="false" ht="12.75" hidden="false" customHeight="true" outlineLevel="0" collapsed="false">
      <c r="A2438" s="13" t="n">
        <v>2</v>
      </c>
      <c r="B2438" s="14" t="n">
        <v>46294</v>
      </c>
      <c r="C2438" s="14" t="n">
        <v>46302</v>
      </c>
      <c r="D2438" s="13" t="n">
        <v>1819</v>
      </c>
      <c r="E2438" s="0" t="s">
        <v>984</v>
      </c>
      <c r="F2438" s="13" t="n">
        <v>24</v>
      </c>
      <c r="G2438" s="0" t="s">
        <v>51</v>
      </c>
      <c r="H2438" s="13" t="n">
        <v>2110405</v>
      </c>
      <c r="I2438" s="0" t="s">
        <v>56</v>
      </c>
      <c r="J2438" s="13" t="n">
        <v>1773787</v>
      </c>
      <c r="L2438" s="13" t="n">
        <v>244257</v>
      </c>
      <c r="M2438" s="0" t="s">
        <v>52</v>
      </c>
      <c r="N2438" s="0" t="s">
        <v>45</v>
      </c>
      <c r="P2438" s="13" t="n">
        <v>113</v>
      </c>
      <c r="Q2438" s="0" t="s">
        <v>46</v>
      </c>
      <c r="R2438" s="0" t="s">
        <v>47</v>
      </c>
      <c r="S2438" s="13" t="n">
        <v>1130101</v>
      </c>
      <c r="T2438" s="0" t="s">
        <v>48</v>
      </c>
      <c r="U2438" s="15" t="n">
        <v>200</v>
      </c>
      <c r="W2438" s="15" t="n">
        <v>0</v>
      </c>
      <c r="X2438" s="0" t="s">
        <v>1993</v>
      </c>
      <c r="Z2438" s="0" t="str">
        <f aca="false">IF($T2438="","",IFERROR(INDEX('Resumo Grupos'!$AC$3:$AC$200,MATCH($T2438,'Resumo Grupos'!$AB$3:$AB$200,0)),"n/d"))</f>
        <v>Mercadoria</v>
      </c>
      <c r="AA2438" s="0" t="str">
        <f aca="false">IF($T2438="","",IF(COUNTIF('Resumo Grupos'!$AE$3:$AE$40,$T2438)&gt;0,"NAO","SIM"))</f>
        <v>SIM</v>
      </c>
      <c r="AB2438" s="0" t="str">
        <f aca="false">IFERROR(INDEX('Mov Entradas (Rel 10497)'!$L:$L,MATCH(AC2438,'Mov Entradas (Rel 10497)'!$I:$I,0)),"nao encontrado")</f>
        <v>MASSA PASTEL REDONDA P 500G</v>
      </c>
      <c r="AC2438" s="0" t="n">
        <v>402</v>
      </c>
    </row>
    <row r="2439" customFormat="false" ht="12.75" hidden="false" customHeight="true" outlineLevel="0" collapsed="false">
      <c r="A2439" s="13" t="n">
        <v>2</v>
      </c>
      <c r="B2439" s="14" t="n">
        <v>46295</v>
      </c>
      <c r="C2439" s="14" t="n">
        <v>46302</v>
      </c>
      <c r="D2439" s="13" t="n">
        <v>1778</v>
      </c>
      <c r="E2439" s="0" t="s">
        <v>200</v>
      </c>
      <c r="F2439" s="13" t="n">
        <v>24</v>
      </c>
      <c r="G2439" s="0" t="s">
        <v>51</v>
      </c>
      <c r="H2439" s="13" t="n">
        <v>2110405</v>
      </c>
      <c r="I2439" s="0" t="s">
        <v>56</v>
      </c>
      <c r="J2439" s="13" t="n">
        <v>1779603</v>
      </c>
      <c r="L2439" s="13" t="n">
        <v>245138</v>
      </c>
      <c r="M2439" s="0" t="s">
        <v>52</v>
      </c>
      <c r="N2439" s="0" t="s">
        <v>45</v>
      </c>
      <c r="P2439" s="13" t="n">
        <v>113</v>
      </c>
      <c r="Q2439" s="0" t="s">
        <v>46</v>
      </c>
      <c r="R2439" s="0" t="s">
        <v>39</v>
      </c>
      <c r="S2439" s="13" t="n">
        <v>4210207</v>
      </c>
      <c r="T2439" s="0" t="s">
        <v>201</v>
      </c>
      <c r="U2439" s="15" t="n">
        <v>620.88</v>
      </c>
      <c r="W2439" s="15" t="n">
        <v>0</v>
      </c>
      <c r="X2439" s="0" t="s">
        <v>1994</v>
      </c>
      <c r="Z2439" s="0" t="str">
        <f aca="false">IF($T2439="","",IFERROR(INDEX('Resumo Grupos'!$AC$3:$AC$200,MATCH($T2439,'Resumo Grupos'!$AB$3:$AB$200,0)),"n/d"))</f>
        <v>Despesa</v>
      </c>
      <c r="AA2439" s="0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3" t="n">
        <v>2</v>
      </c>
      <c r="B2440" s="14" t="n">
        <v>46232</v>
      </c>
      <c r="C2440" s="14" t="n">
        <v>46302</v>
      </c>
      <c r="D2440" s="13" t="n">
        <v>1932</v>
      </c>
      <c r="E2440" s="0" t="s">
        <v>278</v>
      </c>
      <c r="F2440" s="13" t="n">
        <v>34</v>
      </c>
      <c r="G2440" s="0" t="s">
        <v>55</v>
      </c>
      <c r="H2440" s="13" t="n">
        <v>2110405</v>
      </c>
      <c r="I2440" s="0" t="s">
        <v>56</v>
      </c>
      <c r="J2440" s="13" t="n">
        <v>1469462</v>
      </c>
      <c r="L2440" s="13" t="n">
        <v>199057</v>
      </c>
      <c r="M2440" s="0" t="s">
        <v>67</v>
      </c>
      <c r="N2440" s="0" t="s">
        <v>45</v>
      </c>
      <c r="P2440" s="13" t="n">
        <v>101</v>
      </c>
      <c r="Q2440" s="0" t="s">
        <v>57</v>
      </c>
      <c r="R2440" s="0" t="s">
        <v>71</v>
      </c>
      <c r="S2440" s="13" t="n">
        <v>4210315</v>
      </c>
      <c r="T2440" s="0" t="s">
        <v>279</v>
      </c>
      <c r="U2440" s="15" t="n">
        <v>119.97</v>
      </c>
      <c r="W2440" s="15" t="n">
        <v>0</v>
      </c>
      <c r="X2440" s="0" t="s">
        <v>1220</v>
      </c>
      <c r="Z2440" s="0" t="str">
        <f aca="false">IF($T2440="","",IFERROR(INDEX('Resumo Grupos'!$AC$3:$AC$200,MATCH($T2440,'Resumo Grupos'!$AB$3:$AB$200,0)),"n/d"))</f>
        <v>Despesa</v>
      </c>
      <c r="AA2440" s="0" t="str">
        <f aca="false">IF($T2440="","",IF(COUNTIF('Resumo Grupos'!$AE$3:$AE$40,$T2440)&gt;0,"NAO","SIM"))</f>
        <v>SIM</v>
      </c>
    </row>
    <row r="2441" customFormat="false" ht="12.75" hidden="false" customHeight="true" outlineLevel="0" collapsed="false">
      <c r="A2441" s="13" t="n">
        <v>2</v>
      </c>
      <c r="B2441" s="14" t="n">
        <v>46282</v>
      </c>
      <c r="C2441" s="14" t="n">
        <v>46303</v>
      </c>
      <c r="D2441" s="13" t="n">
        <v>1659</v>
      </c>
      <c r="E2441" s="0" t="s">
        <v>214</v>
      </c>
      <c r="F2441" s="13" t="n">
        <v>24</v>
      </c>
      <c r="G2441" s="0" t="s">
        <v>51</v>
      </c>
      <c r="H2441" s="13" t="n">
        <v>2110405</v>
      </c>
      <c r="I2441" s="0" t="s">
        <v>56</v>
      </c>
      <c r="J2441" s="13" t="n">
        <v>1714726</v>
      </c>
      <c r="L2441" s="13" t="n">
        <v>235610</v>
      </c>
      <c r="M2441" s="0" t="s">
        <v>52</v>
      </c>
      <c r="N2441" s="0" t="s">
        <v>45</v>
      </c>
      <c r="P2441" s="13" t="n">
        <v>113</v>
      </c>
      <c r="Q2441" s="0" t="s">
        <v>46</v>
      </c>
      <c r="R2441" s="0" t="s">
        <v>47</v>
      </c>
      <c r="S2441" s="13" t="n">
        <v>1130101</v>
      </c>
      <c r="T2441" s="0" t="s">
        <v>48</v>
      </c>
      <c r="U2441" s="15" t="n">
        <v>1121.36</v>
      </c>
      <c r="W2441" s="15" t="n">
        <v>0</v>
      </c>
      <c r="X2441" s="0" t="s">
        <v>1917</v>
      </c>
      <c r="Z2441" s="0" t="str">
        <f aca="false">IF($T2441="","",IFERROR(INDEX('Resumo Grupos'!$AC$3:$AC$200,MATCH($T2441,'Resumo Grupos'!$AB$3:$AB$200,0)),"n/d"))</f>
        <v>Mercadoria</v>
      </c>
      <c r="AA2441" s="0" t="str">
        <f aca="false">IF($T2441="","",IF(COUNTIF('Resumo Grupos'!$AE$3:$AE$40,$T2441)&gt;0,"NAO","SIM"))</f>
        <v>SIM</v>
      </c>
      <c r="AB2441" s="0" t="str">
        <f aca="false">IFERROR(INDEX('Mov Entradas (Rel 10497)'!$L:$L,MATCH(AC2441,'Mov Entradas (Rel 10497)'!$I:$I,0)),"nao encontrado")</f>
        <v>BISC TODESCHINI MAIZ</v>
      </c>
      <c r="AC2441" s="0" t="n">
        <v>895938</v>
      </c>
    </row>
    <row r="2442" customFormat="false" ht="12.75" hidden="false" customHeight="true" outlineLevel="0" collapsed="false">
      <c r="A2442" s="13" t="n">
        <v>2</v>
      </c>
      <c r="B2442" s="14" t="n">
        <v>46290</v>
      </c>
      <c r="C2442" s="14" t="n">
        <v>46303</v>
      </c>
      <c r="D2442" s="13" t="n">
        <v>1695</v>
      </c>
      <c r="E2442" s="0" t="s">
        <v>390</v>
      </c>
      <c r="F2442" s="13" t="n">
        <v>24</v>
      </c>
      <c r="G2442" s="0" t="s">
        <v>51</v>
      </c>
      <c r="H2442" s="13" t="n">
        <v>2110405</v>
      </c>
      <c r="I2442" s="0" t="s">
        <v>56</v>
      </c>
      <c r="J2442" s="13" t="n">
        <v>1755309</v>
      </c>
      <c r="L2442" s="13" t="n">
        <v>241693</v>
      </c>
      <c r="M2442" s="0" t="s">
        <v>52</v>
      </c>
      <c r="N2442" s="0" t="s">
        <v>45</v>
      </c>
      <c r="P2442" s="13" t="n">
        <v>113</v>
      </c>
      <c r="Q2442" s="0" t="s">
        <v>46</v>
      </c>
      <c r="R2442" s="0" t="s">
        <v>47</v>
      </c>
      <c r="S2442" s="13" t="n">
        <v>1130101</v>
      </c>
      <c r="T2442" s="0" t="s">
        <v>48</v>
      </c>
      <c r="U2442" s="15" t="n">
        <v>1347.23</v>
      </c>
      <c r="W2442" s="15" t="n">
        <v>0</v>
      </c>
      <c r="X2442" s="0" t="s">
        <v>1919</v>
      </c>
      <c r="Z2442" s="0" t="str">
        <f aca="false">IF($T2442="","",IFERROR(INDEX('Resumo Grupos'!$AC$3:$AC$200,MATCH($T2442,'Resumo Grupos'!$AB$3:$AB$200,0)),"n/d"))</f>
        <v>Mercadoria</v>
      </c>
      <c r="AA2442" s="0" t="str">
        <f aca="false">IF($T2442="","",IF(COUNTIF('Resumo Grupos'!$AE$3:$AE$40,$T2442)&gt;0,"NAO","SIM"))</f>
        <v>SIM</v>
      </c>
      <c r="AB2442" s="0" t="str">
        <f aca="false">IFERROR(INDEX('Mov Entradas (Rel 10497)'!$L:$L,MATCH(AC2442,'Mov Entradas (Rel 10497)'!$I:$I,0)),"nao encontrado")</f>
        <v>SUCO JANDAI CAJU500M</v>
      </c>
      <c r="AC2442" s="0" t="n">
        <v>20716</v>
      </c>
    </row>
    <row r="2443" customFormat="false" ht="12.75" hidden="false" customHeight="true" outlineLevel="0" collapsed="false">
      <c r="A2443" s="13" t="n">
        <v>2</v>
      </c>
      <c r="B2443" s="14" t="n">
        <v>46290</v>
      </c>
      <c r="C2443" s="14" t="n">
        <v>46303</v>
      </c>
      <c r="D2443" s="13" t="n">
        <v>1705</v>
      </c>
      <c r="E2443" s="0" t="s">
        <v>130</v>
      </c>
      <c r="F2443" s="13" t="n">
        <v>24</v>
      </c>
      <c r="G2443" s="0" t="s">
        <v>51</v>
      </c>
      <c r="H2443" s="13" t="n">
        <v>2110405</v>
      </c>
      <c r="I2443" s="0" t="s">
        <v>56</v>
      </c>
      <c r="J2443" s="13" t="n">
        <v>1755123</v>
      </c>
      <c r="L2443" s="13" t="n">
        <v>241652</v>
      </c>
      <c r="M2443" s="0" t="s">
        <v>52</v>
      </c>
      <c r="N2443" s="0" t="s">
        <v>45</v>
      </c>
      <c r="P2443" s="13" t="n">
        <v>113</v>
      </c>
      <c r="Q2443" s="0" t="s">
        <v>46</v>
      </c>
      <c r="R2443" s="0" t="s">
        <v>47</v>
      </c>
      <c r="S2443" s="13" t="n">
        <v>1130101</v>
      </c>
      <c r="T2443" s="0" t="s">
        <v>48</v>
      </c>
      <c r="U2443" s="15" t="n">
        <v>538.83</v>
      </c>
      <c r="W2443" s="15" t="n">
        <v>0</v>
      </c>
      <c r="X2443" s="0" t="s">
        <v>1995</v>
      </c>
      <c r="Z2443" s="0" t="str">
        <f aca="false">IF($T2443="","",IFERROR(INDEX('Resumo Grupos'!$AC$3:$AC$200,MATCH($T2443,'Resumo Grupos'!$AB$3:$AB$200,0)),"n/d"))</f>
        <v>Mercadoria</v>
      </c>
      <c r="AA2443" s="0" t="str">
        <f aca="false">IF($T2443="","",IF(COUNTIF('Resumo Grupos'!$AE$3:$AE$40,$T2443)&gt;0,"NAO","SIM"))</f>
        <v>SIM</v>
      </c>
      <c r="AB2443" s="0" t="str">
        <f aca="false">IFERROR(INDEX('Mov Entradas (Rel 10497)'!$L:$L,MATCH(AC2443,'Mov Entradas (Rel 10497)'!$I:$I,0)),"nao encontrado")</f>
        <v>MONSTER ENERGY 473ML</v>
      </c>
      <c r="AC2443" s="0" t="n">
        <v>1301295</v>
      </c>
    </row>
    <row r="2444" customFormat="false" ht="12.75" hidden="false" customHeight="true" outlineLevel="0" collapsed="false">
      <c r="A2444" s="13" t="n">
        <v>2</v>
      </c>
      <c r="B2444" s="14" t="n">
        <v>46290</v>
      </c>
      <c r="C2444" s="14" t="n">
        <v>46303</v>
      </c>
      <c r="D2444" s="13" t="n">
        <v>1705</v>
      </c>
      <c r="E2444" s="0" t="s">
        <v>130</v>
      </c>
      <c r="F2444" s="13" t="n">
        <v>24</v>
      </c>
      <c r="G2444" s="0" t="s">
        <v>51</v>
      </c>
      <c r="H2444" s="13" t="n">
        <v>2110405</v>
      </c>
      <c r="I2444" s="0" t="s">
        <v>56</v>
      </c>
      <c r="J2444" s="13" t="n">
        <v>1755150</v>
      </c>
      <c r="L2444" s="13" t="n">
        <v>241660</v>
      </c>
      <c r="M2444" s="0" t="s">
        <v>52</v>
      </c>
      <c r="N2444" s="0" t="s">
        <v>45</v>
      </c>
      <c r="P2444" s="13" t="n">
        <v>113</v>
      </c>
      <c r="Q2444" s="0" t="s">
        <v>46</v>
      </c>
      <c r="R2444" s="0" t="s">
        <v>47</v>
      </c>
      <c r="S2444" s="13" t="n">
        <v>1130101</v>
      </c>
      <c r="T2444" s="0" t="s">
        <v>48</v>
      </c>
      <c r="U2444" s="15" t="n">
        <v>950.6</v>
      </c>
      <c r="W2444" s="15" t="n">
        <v>0</v>
      </c>
      <c r="X2444" s="0" t="s">
        <v>1996</v>
      </c>
      <c r="Z2444" s="0" t="str">
        <f aca="false">IF($T2444="","",IFERROR(INDEX('Resumo Grupos'!$AC$3:$AC$200,MATCH($T2444,'Resumo Grupos'!$AB$3:$AB$200,0)),"n/d"))</f>
        <v>Mercadoria</v>
      </c>
      <c r="AA2444" s="0" t="str">
        <f aca="false">IF($T2444="","",IF(COUNTIF('Resumo Grupos'!$AE$3:$AE$40,$T2444)&gt;0,"NAO","SIM"))</f>
        <v>SIM</v>
      </c>
      <c r="AB2444" s="0" t="str">
        <f aca="false">IFERROR(INDEX('Mov Entradas (Rel 10497)'!$L:$L,MATCH(AC2444,'Mov Entradas (Rel 10497)'!$I:$I,0)),"nao encontrado")</f>
        <v>REFRI. COCA COLA ORI</v>
      </c>
      <c r="AC2444" s="0" t="n">
        <v>2056092</v>
      </c>
    </row>
    <row r="2445" customFormat="false" ht="12.75" hidden="false" customHeight="true" outlineLevel="0" collapsed="false">
      <c r="A2445" s="13" t="n">
        <v>2</v>
      </c>
      <c r="B2445" s="14" t="n">
        <v>46279</v>
      </c>
      <c r="C2445" s="14" t="n">
        <v>46303</v>
      </c>
      <c r="D2445" s="13" t="n">
        <v>1218</v>
      </c>
      <c r="E2445" s="0" t="s">
        <v>659</v>
      </c>
      <c r="F2445" s="13" t="n">
        <v>24</v>
      </c>
      <c r="G2445" s="0" t="s">
        <v>51</v>
      </c>
      <c r="H2445" s="13" t="n">
        <v>2110405</v>
      </c>
      <c r="I2445" s="0" t="s">
        <v>56</v>
      </c>
      <c r="J2445" s="13" t="n">
        <v>1702968</v>
      </c>
      <c r="L2445" s="13" t="n">
        <v>233735</v>
      </c>
      <c r="M2445" s="0" t="s">
        <v>52</v>
      </c>
      <c r="N2445" s="0" t="s">
        <v>45</v>
      </c>
      <c r="P2445" s="13" t="n">
        <v>113</v>
      </c>
      <c r="Q2445" s="0" t="s">
        <v>46</v>
      </c>
      <c r="R2445" s="0" t="s">
        <v>47</v>
      </c>
      <c r="S2445" s="13" t="n">
        <v>1130101</v>
      </c>
      <c r="T2445" s="0" t="s">
        <v>48</v>
      </c>
      <c r="U2445" s="15" t="n">
        <v>803.5</v>
      </c>
      <c r="W2445" s="15" t="n">
        <v>0</v>
      </c>
      <c r="X2445" s="0" t="s">
        <v>1761</v>
      </c>
      <c r="Z2445" s="0" t="str">
        <f aca="false">IF($T2445="","",IFERROR(INDEX('Resumo Grupos'!$AC$3:$AC$200,MATCH($T2445,'Resumo Grupos'!$AB$3:$AB$200,0)),"n/d"))</f>
        <v>Mercadoria</v>
      </c>
      <c r="AA2445" s="0" t="str">
        <f aca="false">IF($T2445="","",IF(COUNTIF('Resumo Grupos'!$AE$3:$AE$40,$T2445)&gt;0,"NAO","SIM"))</f>
        <v>SIM</v>
      </c>
      <c r="AB2445" s="0" t="str">
        <f aca="false">IFERROR(INDEX('Mov Entradas (Rel 10497)'!$L:$L,MATCH(AC2445,'Mov Entradas (Rel 10497)'!$I:$I,0)),"nao encontrado")</f>
        <v>COLA POLYTUBES ADESI</v>
      </c>
      <c r="AC2445" s="0" t="n">
        <v>11105</v>
      </c>
    </row>
    <row r="2446" customFormat="false" ht="12.75" hidden="false" customHeight="true" outlineLevel="0" collapsed="false">
      <c r="A2446" s="13" t="n">
        <v>2</v>
      </c>
      <c r="B2446" s="14" t="n">
        <v>46289</v>
      </c>
      <c r="C2446" s="14" t="n">
        <v>46303</v>
      </c>
      <c r="D2446" s="13" t="n">
        <v>1740</v>
      </c>
      <c r="E2446" s="0" t="s">
        <v>468</v>
      </c>
      <c r="F2446" s="13" t="n">
        <v>24</v>
      </c>
      <c r="G2446" s="0" t="s">
        <v>51</v>
      </c>
      <c r="H2446" s="13" t="n">
        <v>2110405</v>
      </c>
      <c r="I2446" s="0" t="s">
        <v>56</v>
      </c>
      <c r="J2446" s="13" t="n">
        <v>1749107</v>
      </c>
      <c r="L2446" s="13" t="n">
        <v>240978</v>
      </c>
      <c r="M2446" s="0" t="s">
        <v>52</v>
      </c>
      <c r="N2446" s="0" t="s">
        <v>45</v>
      </c>
      <c r="P2446" s="13" t="n">
        <v>113</v>
      </c>
      <c r="Q2446" s="0" t="s">
        <v>46</v>
      </c>
      <c r="R2446" s="0" t="s">
        <v>47</v>
      </c>
      <c r="S2446" s="13" t="n">
        <v>1130101</v>
      </c>
      <c r="T2446" s="0" t="s">
        <v>48</v>
      </c>
      <c r="U2446" s="15" t="n">
        <v>381.01</v>
      </c>
      <c r="W2446" s="15" t="n">
        <v>0</v>
      </c>
      <c r="X2446" s="0" t="s">
        <v>1997</v>
      </c>
      <c r="Z2446" s="0" t="str">
        <f aca="false">IF($T2446="","",IFERROR(INDEX('Resumo Grupos'!$AC$3:$AC$200,MATCH($T2446,'Resumo Grupos'!$AB$3:$AB$200,0)),"n/d"))</f>
        <v>Mercadoria</v>
      </c>
      <c r="AA2446" s="0" t="str">
        <f aca="false">IF($T2446="","",IF(COUNTIF('Resumo Grupos'!$AE$3:$AE$40,$T2446)&gt;0,"NAO","SIM"))</f>
        <v>SIM</v>
      </c>
      <c r="AB2446" s="0" t="str">
        <f aca="false">IFERROR(INDEX('Mov Entradas (Rel 10497)'!$L:$L,MATCH(AC2446,'Mov Entradas (Rel 10497)'!$I:$I,0)),"nao encontrado")</f>
        <v>IOGURTE CEN LAR NESTLE COPO 170G</v>
      </c>
      <c r="AC2446" s="0" t="n">
        <v>1274240</v>
      </c>
    </row>
    <row r="2447" customFormat="false" ht="12.75" hidden="false" customHeight="true" outlineLevel="0" collapsed="false">
      <c r="A2447" s="13" t="n">
        <v>2</v>
      </c>
      <c r="B2447" s="14" t="n">
        <v>46273</v>
      </c>
      <c r="C2447" s="14" t="n">
        <v>46303</v>
      </c>
      <c r="D2447" s="13" t="n">
        <v>10012</v>
      </c>
      <c r="E2447" s="0" t="s">
        <v>185</v>
      </c>
      <c r="F2447" s="13" t="n">
        <v>24</v>
      </c>
      <c r="G2447" s="0" t="s">
        <v>51</v>
      </c>
      <c r="H2447" s="13" t="n">
        <v>2110405</v>
      </c>
      <c r="I2447" s="0" t="s">
        <v>56</v>
      </c>
      <c r="J2447" s="13" t="n">
        <v>1672894</v>
      </c>
      <c r="L2447" s="13" t="n">
        <v>229365</v>
      </c>
      <c r="M2447" s="0" t="s">
        <v>52</v>
      </c>
      <c r="N2447" s="0" t="s">
        <v>45</v>
      </c>
      <c r="P2447" s="13" t="n">
        <v>113</v>
      </c>
      <c r="Q2447" s="0" t="s">
        <v>46</v>
      </c>
      <c r="R2447" s="0" t="s">
        <v>47</v>
      </c>
      <c r="S2447" s="13" t="n">
        <v>1130101</v>
      </c>
      <c r="T2447" s="0" t="s">
        <v>48</v>
      </c>
      <c r="U2447" s="15" t="n">
        <v>419.5</v>
      </c>
      <c r="W2447" s="15" t="n">
        <v>0</v>
      </c>
      <c r="X2447" s="0" t="s">
        <v>1835</v>
      </c>
      <c r="Z2447" s="0" t="str">
        <f aca="false">IF($T2447="","",IFERROR(INDEX('Resumo Grupos'!$AC$3:$AC$200,MATCH($T2447,'Resumo Grupos'!$AB$3:$AB$200,0)),"n/d"))</f>
        <v>Mercadoria</v>
      </c>
      <c r="AA2447" s="0" t="str">
        <f aca="false">IF($T2447="","",IF(COUNTIF('Resumo Grupos'!$AE$3:$AE$40,$T2447)&gt;0,"NAO","SIM"))</f>
        <v>SIM</v>
      </c>
      <c r="AB2447" s="0" t="str">
        <f aca="false">IFERROR(INDEX('Mov Entradas (Rel 10497)'!$L:$L,MATCH(AC2447,'Mov Entradas (Rel 10497)'!$I:$I,0)),"nao encontrado")</f>
        <v>ABS SEMPERLIVRE SUAVE C/ABA -16UN</v>
      </c>
      <c r="AC2447" s="0" t="n">
        <v>1968927</v>
      </c>
    </row>
    <row r="2448" customFormat="false" ht="12.75" hidden="false" customHeight="true" outlineLevel="0" collapsed="false">
      <c r="A2448" s="13" t="n">
        <v>2</v>
      </c>
      <c r="B2448" s="14" t="n">
        <v>46300</v>
      </c>
      <c r="C2448" s="14" t="n">
        <v>46304</v>
      </c>
      <c r="D2448" s="13" t="n">
        <v>10018</v>
      </c>
      <c r="E2448" s="0" t="s">
        <v>216</v>
      </c>
      <c r="F2448" s="13" t="n">
        <v>34</v>
      </c>
      <c r="G2448" s="0" t="s">
        <v>55</v>
      </c>
      <c r="H2448" s="13" t="n">
        <v>2110405</v>
      </c>
      <c r="I2448" s="0" t="s">
        <v>56</v>
      </c>
      <c r="J2448" s="13" t="n">
        <v>1805399</v>
      </c>
      <c r="L2448" s="13" t="n">
        <v>249126</v>
      </c>
      <c r="M2448" s="0" t="s">
        <v>52</v>
      </c>
      <c r="N2448" s="0" t="s">
        <v>45</v>
      </c>
      <c r="P2448" s="13" t="n">
        <v>113</v>
      </c>
      <c r="Q2448" s="0" t="s">
        <v>46</v>
      </c>
      <c r="R2448" s="0" t="s">
        <v>47</v>
      </c>
      <c r="S2448" s="13" t="n">
        <v>1130101</v>
      </c>
      <c r="T2448" s="0" t="s">
        <v>48</v>
      </c>
      <c r="U2448" s="15" t="n">
        <v>519</v>
      </c>
      <c r="W2448" s="15" t="n">
        <v>0</v>
      </c>
      <c r="X2448" s="0" t="s">
        <v>1998</v>
      </c>
      <c r="Z2448" s="0" t="str">
        <f aca="false">IF($T2448="","",IFERROR(INDEX('Resumo Grupos'!$AC$3:$AC$200,MATCH($T2448,'Resumo Grupos'!$AB$3:$AB$200,0)),"n/d"))</f>
        <v>Mercadoria</v>
      </c>
      <c r="AA2448" s="0" t="str">
        <f aca="false">IF($T2448="","",IF(COUNTIF('Resumo Grupos'!$AE$3:$AE$40,$T2448)&gt;0,"NAO","SIM"))</f>
        <v>SIM</v>
      </c>
      <c r="AB2448" s="0" t="str">
        <f aca="false">IFERROR(INDEX('Mov Entradas (Rel 10497)'!$L:$L,MATCH(AC2448,'Mov Entradas (Rel 10497)'!$I:$I,0)),"nao encontrado")</f>
        <v>OVOS BRANCO UNID</v>
      </c>
      <c r="AC2448" s="0" t="n">
        <v>400</v>
      </c>
    </row>
    <row r="2449" customFormat="false" ht="12.75" hidden="false" customHeight="true" outlineLevel="0" collapsed="false">
      <c r="A2449" s="13" t="n">
        <v>2</v>
      </c>
      <c r="B2449" s="14" t="n">
        <v>46297</v>
      </c>
      <c r="C2449" s="14" t="n">
        <v>46304</v>
      </c>
      <c r="D2449" s="13" t="n">
        <v>1642</v>
      </c>
      <c r="E2449" s="0" t="s">
        <v>228</v>
      </c>
      <c r="F2449" s="13" t="n">
        <v>24</v>
      </c>
      <c r="G2449" s="0" t="s">
        <v>51</v>
      </c>
      <c r="H2449" s="13" t="n">
        <v>2110405</v>
      </c>
      <c r="I2449" s="0" t="s">
        <v>56</v>
      </c>
      <c r="J2449" s="13" t="n">
        <v>1789308</v>
      </c>
      <c r="L2449" s="13" t="n">
        <v>246591</v>
      </c>
      <c r="M2449" s="0" t="s">
        <v>52</v>
      </c>
      <c r="N2449" s="0" t="s">
        <v>45</v>
      </c>
      <c r="P2449" s="13" t="n">
        <v>113</v>
      </c>
      <c r="Q2449" s="0" t="s">
        <v>46</v>
      </c>
      <c r="R2449" s="0" t="s">
        <v>47</v>
      </c>
      <c r="S2449" s="13" t="n">
        <v>1130101</v>
      </c>
      <c r="T2449" s="0" t="s">
        <v>48</v>
      </c>
      <c r="U2449" s="15" t="n">
        <v>408.97</v>
      </c>
      <c r="W2449" s="15" t="n">
        <v>0</v>
      </c>
      <c r="X2449" s="0" t="s">
        <v>1999</v>
      </c>
      <c r="Z2449" s="0" t="str">
        <f aca="false">IF($T2449="","",IFERROR(INDEX('Resumo Grupos'!$AC$3:$AC$200,MATCH($T2449,'Resumo Grupos'!$AB$3:$AB$200,0)),"n/d"))</f>
        <v>Mercadoria</v>
      </c>
      <c r="AA2449" s="0" t="str">
        <f aca="false">IF($T2449="","",IF(COUNTIF('Resumo Grupos'!$AE$3:$AE$40,$T2449)&gt;0,"NAO","SIM"))</f>
        <v>SIM</v>
      </c>
      <c r="AB2449" s="0" t="str">
        <f aca="false">IFERROR(INDEX('Mov Entradas (Rel 10497)'!$L:$L,MATCH(AC2449,'Mov Entradas (Rel 10497)'!$I:$I,0)),"nao encontrado")</f>
        <v>PAO DE FORMA BROTHER</v>
      </c>
      <c r="AC2449" s="0" t="n">
        <v>1044713</v>
      </c>
    </row>
    <row r="2450" customFormat="false" ht="12.75" hidden="false" customHeight="true" outlineLevel="0" collapsed="false">
      <c r="A2450" s="13" t="n">
        <v>2</v>
      </c>
      <c r="B2450" s="14" t="n">
        <v>46276</v>
      </c>
      <c r="C2450" s="14" t="n">
        <v>46304</v>
      </c>
      <c r="D2450" s="13" t="n">
        <v>1217</v>
      </c>
      <c r="E2450" s="0" t="s">
        <v>776</v>
      </c>
      <c r="F2450" s="13" t="n">
        <v>24</v>
      </c>
      <c r="G2450" s="0" t="s">
        <v>51</v>
      </c>
      <c r="H2450" s="13" t="n">
        <v>2110405</v>
      </c>
      <c r="I2450" s="0" t="s">
        <v>56</v>
      </c>
      <c r="J2450" s="13" t="n">
        <v>1687687</v>
      </c>
      <c r="L2450" s="13" t="n">
        <v>231763</v>
      </c>
      <c r="M2450" s="0" t="s">
        <v>52</v>
      </c>
      <c r="N2450" s="0" t="s">
        <v>45</v>
      </c>
      <c r="P2450" s="13" t="n">
        <v>113</v>
      </c>
      <c r="Q2450" s="0" t="s">
        <v>46</v>
      </c>
      <c r="R2450" s="0" t="s">
        <v>47</v>
      </c>
      <c r="S2450" s="13" t="n">
        <v>1130101</v>
      </c>
      <c r="T2450" s="0" t="s">
        <v>48</v>
      </c>
      <c r="U2450" s="15" t="n">
        <v>793.46</v>
      </c>
      <c r="W2450" s="15" t="n">
        <v>0</v>
      </c>
      <c r="X2450" s="0" t="s">
        <v>1785</v>
      </c>
      <c r="Z2450" s="0" t="str">
        <f aca="false">IF($T2450="","",IFERROR(INDEX('Resumo Grupos'!$AC$3:$AC$200,MATCH($T2450,'Resumo Grupos'!$AB$3:$AB$200,0)),"n/d"))</f>
        <v>Mercadoria</v>
      </c>
      <c r="AA2450" s="0" t="str">
        <f aca="false">IF($T2450="","",IF(COUNTIF('Resumo Grupos'!$AE$3:$AE$40,$T2450)&gt;0,"NAO","SIM"))</f>
        <v>SIM</v>
      </c>
      <c r="AB2450" s="0" t="str">
        <f aca="false">IFERROR(INDEX('Mov Entradas (Rel 10497)'!$L:$L,MATCH(AC2450,'Mov Entradas (Rel 10497)'!$I:$I,0)),"nao encontrado")</f>
        <v>CORANTE XZ.PRETO</v>
      </c>
      <c r="AC2450" s="0" t="n">
        <v>5521</v>
      </c>
    </row>
    <row r="2451" customFormat="false" ht="12.75" hidden="false" customHeight="true" outlineLevel="0" collapsed="false">
      <c r="A2451" s="13" t="n">
        <v>2</v>
      </c>
      <c r="B2451" s="14" t="n">
        <v>46283</v>
      </c>
      <c r="C2451" s="14" t="n">
        <v>46304</v>
      </c>
      <c r="D2451" s="13" t="n">
        <v>1626</v>
      </c>
      <c r="E2451" s="0" t="s">
        <v>77</v>
      </c>
      <c r="F2451" s="13" t="n">
        <v>24</v>
      </c>
      <c r="G2451" s="0" t="s">
        <v>51</v>
      </c>
      <c r="H2451" s="13" t="n">
        <v>2110405</v>
      </c>
      <c r="I2451" s="0" t="s">
        <v>56</v>
      </c>
      <c r="J2451" s="13" t="n">
        <v>1720829</v>
      </c>
      <c r="L2451" s="13" t="n">
        <v>236704</v>
      </c>
      <c r="M2451" s="0" t="s">
        <v>52</v>
      </c>
      <c r="N2451" s="0" t="s">
        <v>45</v>
      </c>
      <c r="P2451" s="13" t="n">
        <v>113</v>
      </c>
      <c r="Q2451" s="0" t="s">
        <v>46</v>
      </c>
      <c r="R2451" s="0" t="s">
        <v>47</v>
      </c>
      <c r="S2451" s="13" t="n">
        <v>1130101</v>
      </c>
      <c r="T2451" s="0" t="s">
        <v>48</v>
      </c>
      <c r="U2451" s="15" t="n">
        <v>1109.18</v>
      </c>
      <c r="W2451" s="15" t="n">
        <v>0</v>
      </c>
      <c r="X2451" s="0" t="s">
        <v>1949</v>
      </c>
      <c r="Z2451" s="0" t="str">
        <f aca="false">IF($T2451="","",IFERROR(INDEX('Resumo Grupos'!$AC$3:$AC$200,MATCH($T2451,'Resumo Grupos'!$AB$3:$AB$200,0)),"n/d"))</f>
        <v>Mercadoria</v>
      </c>
      <c r="AA2451" s="0" t="str">
        <f aca="false">IF($T2451="","",IF(COUNTIF('Resumo Grupos'!$AE$3:$AE$40,$T2451)&gt;0,"NAO","SIM"))</f>
        <v>SIM</v>
      </c>
      <c r="AB2451" s="0" t="str">
        <f aca="false">IFERROR(INDEX('Mov Entradas (Rel 10497)'!$L:$L,MATCH(AC2451,'Mov Entradas (Rel 10497)'!$I:$I,0)),"nao encontrado")</f>
        <v>CALABRESA SEARA KG</v>
      </c>
      <c r="AC2451" s="0" t="n">
        <v>321762</v>
      </c>
    </row>
    <row r="2452" customFormat="false" ht="12.75" hidden="false" customHeight="true" outlineLevel="0" collapsed="false">
      <c r="A2452" s="13" t="n">
        <v>2</v>
      </c>
      <c r="B2452" s="14" t="n">
        <v>46291</v>
      </c>
      <c r="C2452" s="14" t="n">
        <v>46304</v>
      </c>
      <c r="D2452" s="13" t="n">
        <v>1815</v>
      </c>
      <c r="E2452" s="0" t="s">
        <v>172</v>
      </c>
      <c r="F2452" s="13" t="n">
        <v>24</v>
      </c>
      <c r="G2452" s="0" t="s">
        <v>51</v>
      </c>
      <c r="H2452" s="13" t="n">
        <v>2110405</v>
      </c>
      <c r="I2452" s="0" t="s">
        <v>56</v>
      </c>
      <c r="J2452" s="13" t="n">
        <v>1759101</v>
      </c>
      <c r="L2452" s="13" t="n">
        <v>242262</v>
      </c>
      <c r="M2452" s="0" t="s">
        <v>52</v>
      </c>
      <c r="N2452" s="0" t="s">
        <v>45</v>
      </c>
      <c r="P2452" s="13" t="n">
        <v>113</v>
      </c>
      <c r="Q2452" s="0" t="s">
        <v>46</v>
      </c>
      <c r="R2452" s="0" t="s">
        <v>47</v>
      </c>
      <c r="S2452" s="13" t="n">
        <v>1130101</v>
      </c>
      <c r="T2452" s="0" t="s">
        <v>48</v>
      </c>
      <c r="U2452" s="15" t="n">
        <v>716.1</v>
      </c>
      <c r="W2452" s="15" t="n">
        <v>0</v>
      </c>
      <c r="X2452" s="0" t="s">
        <v>1954</v>
      </c>
      <c r="Z2452" s="0" t="str">
        <f aca="false">IF($T2452="","",IFERROR(INDEX('Resumo Grupos'!$AC$3:$AC$200,MATCH($T2452,'Resumo Grupos'!$AB$3:$AB$200,0)),"n/d"))</f>
        <v>Mercadoria</v>
      </c>
      <c r="AA2452" s="0" t="str">
        <f aca="false">IF($T2452="","",IF(COUNTIF('Resumo Grupos'!$AE$3:$AE$40,$T2452)&gt;0,"NAO","SIM"))</f>
        <v>SIM</v>
      </c>
      <c r="AB2452" s="0" t="str">
        <f aca="false">IFERROR(INDEX('Mov Entradas (Rel 10497)'!$L:$L,MATCH(AC2452,'Mov Entradas (Rel 10497)'!$I:$I,0)),"nao encontrado")</f>
        <v>FILE PEITOA GRANEL</v>
      </c>
      <c r="AC2452" s="0" t="n">
        <v>404714</v>
      </c>
    </row>
    <row r="2453" customFormat="false" ht="12.75" hidden="false" customHeight="true" outlineLevel="0" collapsed="false">
      <c r="A2453" s="13" t="n">
        <v>2</v>
      </c>
      <c r="B2453" s="14" t="n">
        <v>46298</v>
      </c>
      <c r="C2453" s="14" t="n">
        <v>46304</v>
      </c>
      <c r="D2453" s="13" t="n">
        <v>1363</v>
      </c>
      <c r="E2453" s="0" t="s">
        <v>174</v>
      </c>
      <c r="F2453" s="13" t="n">
        <v>24</v>
      </c>
      <c r="G2453" s="0" t="s">
        <v>51</v>
      </c>
      <c r="H2453" s="13" t="n">
        <v>2110405</v>
      </c>
      <c r="I2453" s="0" t="s">
        <v>56</v>
      </c>
      <c r="J2453" s="13" t="n">
        <v>1793336</v>
      </c>
      <c r="L2453" s="13" t="n">
        <v>247224</v>
      </c>
      <c r="M2453" s="0" t="s">
        <v>52</v>
      </c>
      <c r="N2453" s="0" t="s">
        <v>45</v>
      </c>
      <c r="P2453" s="13" t="n">
        <v>113</v>
      </c>
      <c r="Q2453" s="0" t="s">
        <v>46</v>
      </c>
      <c r="R2453" s="0" t="s">
        <v>47</v>
      </c>
      <c r="S2453" s="13" t="n">
        <v>1130101</v>
      </c>
      <c r="T2453" s="0" t="s">
        <v>48</v>
      </c>
      <c r="U2453" s="15" t="n">
        <v>185</v>
      </c>
      <c r="W2453" s="15" t="n">
        <v>0</v>
      </c>
      <c r="X2453" s="0" t="s">
        <v>2000</v>
      </c>
      <c r="Z2453" s="0" t="str">
        <f aca="false">IF($T2453="","",IFERROR(INDEX('Resumo Grupos'!$AC$3:$AC$200,MATCH($T2453,'Resumo Grupos'!$AB$3:$AB$200,0)),"n/d"))</f>
        <v>Mercadoria</v>
      </c>
      <c r="AA2453" s="0" t="str">
        <f aca="false">IF($T2453="","",IF(COUNTIF('Resumo Grupos'!$AE$3:$AE$40,$T2453)&gt;0,"NAO","SIM"))</f>
        <v>SIM</v>
      </c>
      <c r="AB2453" s="0" t="str">
        <f aca="false">IFERROR(INDEX('Mov Entradas (Rel 10497)'!$L:$L,MATCH(AC2453,'Mov Entradas (Rel 10497)'!$I:$I,0)),"nao encontrado")</f>
        <v>PAO HAMBURGUER SANTO PAO</v>
      </c>
      <c r="AC2453" s="0" t="n">
        <v>4046</v>
      </c>
    </row>
    <row r="2454" customFormat="false" ht="12.75" hidden="false" customHeight="true" outlineLevel="0" collapsed="false">
      <c r="A2454" s="13" t="n">
        <v>2</v>
      </c>
      <c r="B2454" s="14" t="n">
        <v>46297</v>
      </c>
      <c r="C2454" s="14" t="n">
        <v>46304</v>
      </c>
      <c r="D2454" s="13" t="n">
        <v>560</v>
      </c>
      <c r="E2454" s="0" t="s">
        <v>453</v>
      </c>
      <c r="F2454" s="13" t="n">
        <v>24</v>
      </c>
      <c r="G2454" s="0" t="s">
        <v>51</v>
      </c>
      <c r="H2454" s="13" t="n">
        <v>2110405</v>
      </c>
      <c r="I2454" s="0" t="s">
        <v>56</v>
      </c>
      <c r="J2454" s="13" t="n">
        <v>1790215</v>
      </c>
      <c r="L2454" s="13" t="n">
        <v>246782</v>
      </c>
      <c r="M2454" s="0" t="s">
        <v>52</v>
      </c>
      <c r="N2454" s="0" t="s">
        <v>45</v>
      </c>
      <c r="P2454" s="13" t="n">
        <v>113</v>
      </c>
      <c r="Q2454" s="0" t="s">
        <v>46</v>
      </c>
      <c r="R2454" s="0" t="s">
        <v>47</v>
      </c>
      <c r="S2454" s="13" t="n">
        <v>1130101</v>
      </c>
      <c r="T2454" s="0" t="s">
        <v>48</v>
      </c>
      <c r="U2454" s="15" t="n">
        <v>250</v>
      </c>
      <c r="W2454" s="15" t="n">
        <v>0</v>
      </c>
      <c r="X2454" s="0" t="s">
        <v>2001</v>
      </c>
      <c r="Z2454" s="0" t="str">
        <f aca="false">IF($T2454="","",IFERROR(INDEX('Resumo Grupos'!$AC$3:$AC$200,MATCH($T2454,'Resumo Grupos'!$AB$3:$AB$200,0)),"n/d"))</f>
        <v>Mercadoria</v>
      </c>
      <c r="AA2454" s="0" t="str">
        <f aca="false">IF($T2454="","",IF(COUNTIF('Resumo Grupos'!$AE$3:$AE$40,$T2454)&gt;0,"NAO","SIM"))</f>
        <v>SIM</v>
      </c>
      <c r="AB2454" s="0" t="str">
        <f aca="false">IFERROR(INDEX('Mov Entradas (Rel 10497)'!$L:$L,MATCH(AC2454,'Mov Entradas (Rel 10497)'!$I:$I,0)),"nao encontrado")</f>
        <v>BISCOITOS DA MARIA S</v>
      </c>
      <c r="AC2454" s="0" t="n">
        <v>2368</v>
      </c>
    </row>
    <row r="2455" customFormat="false" ht="12.75" hidden="false" customHeight="true" outlineLevel="0" collapsed="false">
      <c r="A2455" s="13" t="n">
        <v>2</v>
      </c>
      <c r="B2455" s="14" t="n">
        <v>46283</v>
      </c>
      <c r="C2455" s="14" t="n">
        <v>46304</v>
      </c>
      <c r="D2455" s="13" t="n">
        <v>1675</v>
      </c>
      <c r="E2455" s="0" t="s">
        <v>289</v>
      </c>
      <c r="F2455" s="13" t="n">
        <v>24</v>
      </c>
      <c r="G2455" s="0" t="s">
        <v>51</v>
      </c>
      <c r="H2455" s="13" t="n">
        <v>2110405</v>
      </c>
      <c r="I2455" s="0" t="s">
        <v>56</v>
      </c>
      <c r="J2455" s="13" t="n">
        <v>1720448</v>
      </c>
      <c r="L2455" s="13" t="n">
        <v>236603</v>
      </c>
      <c r="M2455" s="0" t="s">
        <v>52</v>
      </c>
      <c r="N2455" s="0" t="s">
        <v>45</v>
      </c>
      <c r="P2455" s="13" t="n">
        <v>113</v>
      </c>
      <c r="Q2455" s="0" t="s">
        <v>46</v>
      </c>
      <c r="R2455" s="0" t="s">
        <v>47</v>
      </c>
      <c r="S2455" s="13" t="n">
        <v>1130101</v>
      </c>
      <c r="T2455" s="0" t="s">
        <v>48</v>
      </c>
      <c r="U2455" s="15" t="n">
        <v>270.84</v>
      </c>
      <c r="W2455" s="15" t="n">
        <v>0</v>
      </c>
      <c r="X2455" s="0" t="s">
        <v>2002</v>
      </c>
      <c r="Z2455" s="0" t="str">
        <f aca="false">IF($T2455="","",IFERROR(INDEX('Resumo Grupos'!$AC$3:$AC$200,MATCH($T2455,'Resumo Grupos'!$AB$3:$AB$200,0)),"n/d"))</f>
        <v>Mercadoria</v>
      </c>
      <c r="AA2455" s="0" t="str">
        <f aca="false">IF($T2455="","",IF(COUNTIF('Resumo Grupos'!$AE$3:$AE$40,$T2455)&gt;0,"NAO","SIM"))</f>
        <v>SIM</v>
      </c>
      <c r="AB2455" s="0" t="str">
        <f aca="false">IFERROR(INDEX('Mov Entradas (Rel 10497)'!$L:$L,MATCH(AC2455,'Mov Entradas (Rel 10497)'!$I:$I,0)),"nao encontrado")</f>
        <v>MAC.D BENTA ESP 500G</v>
      </c>
      <c r="AC2455" s="0" t="n">
        <v>515341</v>
      </c>
    </row>
    <row r="2456" customFormat="false" ht="12.75" hidden="false" customHeight="true" outlineLevel="0" collapsed="false">
      <c r="A2456" s="13" t="n">
        <v>2</v>
      </c>
      <c r="B2456" s="14" t="n">
        <v>46298</v>
      </c>
      <c r="C2456" s="14" t="n">
        <v>46304</v>
      </c>
      <c r="D2456" s="13" t="n">
        <v>1625</v>
      </c>
      <c r="E2456" s="0" t="s">
        <v>270</v>
      </c>
      <c r="F2456" s="13" t="n">
        <v>24</v>
      </c>
      <c r="G2456" s="0" t="s">
        <v>51</v>
      </c>
      <c r="H2456" s="13" t="n">
        <v>2110405</v>
      </c>
      <c r="I2456" s="0" t="s">
        <v>56</v>
      </c>
      <c r="J2456" s="13" t="n">
        <v>1793474</v>
      </c>
      <c r="L2456" s="13" t="n">
        <v>247245</v>
      </c>
      <c r="M2456" s="0" t="s">
        <v>52</v>
      </c>
      <c r="N2456" s="0" t="s">
        <v>45</v>
      </c>
      <c r="P2456" s="13" t="n">
        <v>113</v>
      </c>
      <c r="Q2456" s="0" t="s">
        <v>46</v>
      </c>
      <c r="R2456" s="0" t="s">
        <v>47</v>
      </c>
      <c r="S2456" s="13" t="n">
        <v>1130101</v>
      </c>
      <c r="T2456" s="0" t="s">
        <v>48</v>
      </c>
      <c r="U2456" s="15" t="n">
        <v>5747</v>
      </c>
      <c r="W2456" s="15" t="n">
        <v>0</v>
      </c>
      <c r="X2456" s="0" t="s">
        <v>2003</v>
      </c>
      <c r="Z2456" s="0" t="str">
        <f aca="false">IF($T2456="","",IFERROR(INDEX('Resumo Grupos'!$AC$3:$AC$200,MATCH($T2456,'Resumo Grupos'!$AB$3:$AB$200,0)),"n/d"))</f>
        <v>Mercadoria</v>
      </c>
      <c r="AA2456" s="0" t="str">
        <f aca="false">IF($T2456="","",IF(COUNTIF('Resumo Grupos'!$AE$3:$AE$40,$T2456)&gt;0,"NAO","SIM"))</f>
        <v>SIM</v>
      </c>
      <c r="AB2456" s="0" t="str">
        <f aca="false">IFERROR(INDEX('Mov Entradas (Rel 10497)'!$L:$L,MATCH(AC2456,'Mov Entradas (Rel 10497)'!$I:$I,0)),"nao encontrado")</f>
        <v>TRASEIRO DE BOI L1</v>
      </c>
      <c r="AC2456" s="0" t="n">
        <v>15523</v>
      </c>
    </row>
    <row r="2457" customFormat="false" ht="12.75" hidden="false" customHeight="true" outlineLevel="0" collapsed="false">
      <c r="A2457" s="13" t="n">
        <v>2</v>
      </c>
      <c r="B2457" s="14" t="n">
        <v>46284</v>
      </c>
      <c r="C2457" s="14" t="n">
        <v>46304</v>
      </c>
      <c r="D2457" s="13" t="n">
        <v>1749</v>
      </c>
      <c r="E2457" s="0" t="s">
        <v>585</v>
      </c>
      <c r="F2457" s="13" t="n">
        <v>24</v>
      </c>
      <c r="G2457" s="0" t="s">
        <v>51</v>
      </c>
      <c r="H2457" s="13" t="n">
        <v>2110101</v>
      </c>
      <c r="I2457" s="0" t="s">
        <v>43</v>
      </c>
      <c r="J2457" s="13" t="n">
        <v>1724182</v>
      </c>
      <c r="L2457" s="13" t="n">
        <v>237134</v>
      </c>
      <c r="M2457" s="0" t="s">
        <v>52</v>
      </c>
      <c r="N2457" s="0" t="s">
        <v>45</v>
      </c>
      <c r="P2457" s="13" t="n">
        <v>113</v>
      </c>
      <c r="Q2457" s="0" t="s">
        <v>46</v>
      </c>
      <c r="R2457" s="0" t="s">
        <v>47</v>
      </c>
      <c r="S2457" s="13" t="n">
        <v>1130101</v>
      </c>
      <c r="T2457" s="0" t="s">
        <v>48</v>
      </c>
      <c r="U2457" s="15" t="n">
        <v>1731.75</v>
      </c>
      <c r="W2457" s="15" t="n">
        <v>0</v>
      </c>
      <c r="X2457" s="0" t="s">
        <v>1956</v>
      </c>
      <c r="Z2457" s="0" t="str">
        <f aca="false">IF($T2457="","",IFERROR(INDEX('Resumo Grupos'!$AC$3:$AC$200,MATCH($T2457,'Resumo Grupos'!$AB$3:$AB$200,0)),"n/d"))</f>
        <v>Mercadoria</v>
      </c>
      <c r="AA2457" s="0" t="str">
        <f aca="false">IF($T2457="","",IF(COUNTIF('Resumo Grupos'!$AE$3:$AE$40,$T2457)&gt;0,"NAO","SIM"))</f>
        <v>SIM</v>
      </c>
      <c r="AB2457" s="0" t="str">
        <f aca="false">IFERROR(INDEX('Mov Entradas (Rel 10497)'!$L:$L,MATCH(AC2457,'Mov Entradas (Rel 10497)'!$I:$I,0)),"nao encontrado")</f>
        <v>ARROZ BRANCO FACCIO 1KG</v>
      </c>
      <c r="AC2457" s="0" t="n">
        <v>4426</v>
      </c>
    </row>
    <row r="2458" customFormat="false" ht="12.75" hidden="false" customHeight="true" outlineLevel="0" collapsed="false">
      <c r="A2458" s="13" t="n">
        <v>2</v>
      </c>
      <c r="B2458" s="14" t="n">
        <v>46300</v>
      </c>
      <c r="C2458" s="14" t="n">
        <v>46304</v>
      </c>
      <c r="D2458" s="13" t="n">
        <v>1899</v>
      </c>
      <c r="E2458" s="0" t="s">
        <v>204</v>
      </c>
      <c r="F2458" s="13" t="n">
        <v>24</v>
      </c>
      <c r="G2458" s="0" t="s">
        <v>51</v>
      </c>
      <c r="H2458" s="13" t="n">
        <v>2110405</v>
      </c>
      <c r="I2458" s="0" t="s">
        <v>56</v>
      </c>
      <c r="J2458" s="13" t="n">
        <v>1806966</v>
      </c>
      <c r="L2458" s="13" t="n">
        <v>249202</v>
      </c>
      <c r="M2458" s="0" t="s">
        <v>52</v>
      </c>
      <c r="N2458" s="0" t="s">
        <v>45</v>
      </c>
      <c r="P2458" s="13" t="n">
        <v>113</v>
      </c>
      <c r="Q2458" s="0" t="s">
        <v>46</v>
      </c>
      <c r="R2458" s="0" t="s">
        <v>47</v>
      </c>
      <c r="S2458" s="13" t="n">
        <v>1130101</v>
      </c>
      <c r="T2458" s="0" t="s">
        <v>48</v>
      </c>
      <c r="U2458" s="15" t="n">
        <v>162.4</v>
      </c>
      <c r="W2458" s="15" t="n">
        <v>0</v>
      </c>
      <c r="X2458" s="0" t="s">
        <v>2004</v>
      </c>
      <c r="Z2458" s="0" t="str">
        <f aca="false">IF($T2458="","",IFERROR(INDEX('Resumo Grupos'!$AC$3:$AC$200,MATCH($T2458,'Resumo Grupos'!$AB$3:$AB$200,0)),"n/d"))</f>
        <v>Mercadoria</v>
      </c>
      <c r="AA2458" s="0" t="str">
        <f aca="false">IF($T2458="","",IF(COUNTIF('Resumo Grupos'!$AE$3:$AE$40,$T2458)&gt;0,"NAO","SIM"))</f>
        <v>SIM</v>
      </c>
      <c r="AB2458" s="0" t="str">
        <f aca="false">IFERROR(INDEX('Mov Entradas (Rel 10497)'!$L:$L,MATCH(AC2458,'Mov Entradas (Rel 10497)'!$I:$I,0)),"nao encontrado")</f>
        <v>PAO DE FORMA REAL MA</v>
      </c>
      <c r="AC2458" s="0" t="n">
        <v>838</v>
      </c>
    </row>
    <row r="2459" customFormat="false" ht="12.75" hidden="false" customHeight="true" outlineLevel="0" collapsed="false">
      <c r="A2459" s="13" t="n">
        <v>2</v>
      </c>
      <c r="B2459" s="14" t="n">
        <v>46290</v>
      </c>
      <c r="C2459" s="14" t="n">
        <v>46304</v>
      </c>
      <c r="D2459" s="13" t="n">
        <v>1697</v>
      </c>
      <c r="E2459" s="0" t="s">
        <v>787</v>
      </c>
      <c r="F2459" s="13" t="n">
        <v>24</v>
      </c>
      <c r="G2459" s="0" t="s">
        <v>51</v>
      </c>
      <c r="H2459" s="13" t="n">
        <v>2110405</v>
      </c>
      <c r="I2459" s="0" t="s">
        <v>56</v>
      </c>
      <c r="J2459" s="13" t="n">
        <v>1756495</v>
      </c>
      <c r="L2459" s="13" t="n">
        <v>241945</v>
      </c>
      <c r="M2459" s="0" t="s">
        <v>52</v>
      </c>
      <c r="N2459" s="0" t="s">
        <v>45</v>
      </c>
      <c r="P2459" s="13" t="n">
        <v>113</v>
      </c>
      <c r="Q2459" s="0" t="s">
        <v>46</v>
      </c>
      <c r="R2459" s="0" t="s">
        <v>47</v>
      </c>
      <c r="S2459" s="13" t="n">
        <v>1130101</v>
      </c>
      <c r="T2459" s="0" t="s">
        <v>48</v>
      </c>
      <c r="U2459" s="15" t="n">
        <v>588.84</v>
      </c>
      <c r="W2459" s="15" t="n">
        <v>0</v>
      </c>
      <c r="X2459" s="0" t="s">
        <v>2005</v>
      </c>
      <c r="Z2459" s="0" t="str">
        <f aca="false">IF($T2459="","",IFERROR(INDEX('Resumo Grupos'!$AC$3:$AC$200,MATCH($T2459,'Resumo Grupos'!$AB$3:$AB$200,0)),"n/d"))</f>
        <v>Mercadoria</v>
      </c>
      <c r="AA2459" s="0" t="str">
        <f aca="false">IF($T2459="","",IF(COUNTIF('Resumo Grupos'!$AE$3:$AE$40,$T2459)&gt;0,"NAO","SIM"))</f>
        <v>SIM</v>
      </c>
      <c r="AB2459" s="0" t="str">
        <f aca="false">IFERROR(INDEX('Mov Entradas (Rel 10497)'!$L:$L,MATCH(AC2459,'Mov Entradas (Rel 10497)'!$I:$I,0)),"nao encontrado")</f>
        <v>LEITE ITALAC DESN 1L</v>
      </c>
      <c r="AC2459" s="0" t="n">
        <v>213686</v>
      </c>
    </row>
    <row r="2460" customFormat="false" ht="12.75" hidden="false" customHeight="true" outlineLevel="0" collapsed="false">
      <c r="A2460" s="13" t="n">
        <v>2</v>
      </c>
      <c r="B2460" s="14" t="n">
        <v>46261</v>
      </c>
      <c r="C2460" s="14" t="n">
        <v>46305</v>
      </c>
      <c r="D2460" s="13" t="n">
        <v>1134</v>
      </c>
      <c r="E2460" s="0" t="s">
        <v>2006</v>
      </c>
      <c r="F2460" s="13" t="n">
        <v>46</v>
      </c>
      <c r="G2460" s="0" t="s">
        <v>319</v>
      </c>
      <c r="H2460" s="13" t="n">
        <v>2110405</v>
      </c>
      <c r="I2460" s="0" t="s">
        <v>56</v>
      </c>
      <c r="J2460" s="13" t="n">
        <v>1608652</v>
      </c>
      <c r="L2460" s="13" t="n">
        <v>220390</v>
      </c>
      <c r="M2460" s="0" t="s">
        <v>52</v>
      </c>
      <c r="N2460" s="0" t="s">
        <v>45</v>
      </c>
      <c r="P2460" s="13" t="n">
        <v>113</v>
      </c>
      <c r="Q2460" s="0" t="s">
        <v>46</v>
      </c>
      <c r="R2460" s="0" t="s">
        <v>39</v>
      </c>
      <c r="S2460" s="13" t="n">
        <v>4210227</v>
      </c>
      <c r="T2460" s="0" t="s">
        <v>68</v>
      </c>
      <c r="U2460" s="15" t="n">
        <v>100</v>
      </c>
      <c r="W2460" s="15" t="n">
        <v>0</v>
      </c>
      <c r="X2460" s="0" t="s">
        <v>2007</v>
      </c>
      <c r="Z2460" s="0" t="str">
        <f aca="false">IF($T2460="","",IFERROR(INDEX('Resumo Grupos'!$AC$3:$AC$200,MATCH($T2460,'Resumo Grupos'!$AB$3:$AB$200,0)),"n/d"))</f>
        <v>Despesa</v>
      </c>
      <c r="AA2460" s="0" t="str">
        <f aca="false">IF($T2460="","",IF(COUNTIF('Resumo Grupos'!$AE$3:$AE$40,$T2460)&gt;0,"NAO","SIM"))</f>
        <v>SIM</v>
      </c>
    </row>
    <row r="2461" customFormat="false" ht="12.75" hidden="false" customHeight="true" outlineLevel="0" collapsed="false">
      <c r="A2461" s="13" t="n">
        <v>2</v>
      </c>
      <c r="B2461" s="14" t="n">
        <v>46279</v>
      </c>
      <c r="C2461" s="14" t="n">
        <v>46305</v>
      </c>
      <c r="D2461" s="13" t="n">
        <v>1134</v>
      </c>
      <c r="E2461" s="0" t="s">
        <v>2006</v>
      </c>
      <c r="F2461" s="13" t="n">
        <v>46</v>
      </c>
      <c r="G2461" s="0" t="s">
        <v>319</v>
      </c>
      <c r="H2461" s="13" t="n">
        <v>2110405</v>
      </c>
      <c r="I2461" s="0" t="s">
        <v>56</v>
      </c>
      <c r="J2461" s="13" t="n">
        <v>1701694</v>
      </c>
      <c r="L2461" s="13" t="n">
        <v>233483</v>
      </c>
      <c r="M2461" s="0" t="s">
        <v>52</v>
      </c>
      <c r="N2461" s="0" t="s">
        <v>45</v>
      </c>
      <c r="P2461" s="13" t="n">
        <v>113</v>
      </c>
      <c r="Q2461" s="0" t="s">
        <v>46</v>
      </c>
      <c r="R2461" s="0" t="s">
        <v>39</v>
      </c>
      <c r="S2461" s="13" t="n">
        <v>4210227</v>
      </c>
      <c r="T2461" s="0" t="s">
        <v>68</v>
      </c>
      <c r="U2461" s="15" t="n">
        <v>30</v>
      </c>
      <c r="W2461" s="15" t="n">
        <v>0</v>
      </c>
      <c r="X2461" s="0" t="s">
        <v>2008</v>
      </c>
      <c r="Z2461" s="0" t="str">
        <f aca="false">IF($T2461="","",IFERROR(INDEX('Resumo Grupos'!$AC$3:$AC$200,MATCH($T2461,'Resumo Grupos'!$AB$3:$AB$200,0)),"n/d"))</f>
        <v>Despesa</v>
      </c>
      <c r="AA2461" s="0" t="str">
        <f aca="false">IF($T2461="","",IF(COUNTIF('Resumo Grupos'!$AE$3:$AE$40,$T2461)&gt;0,"NAO","SIM"))</f>
        <v>SIM</v>
      </c>
    </row>
    <row r="2462" customFormat="false" ht="12.75" hidden="false" customHeight="true" outlineLevel="0" collapsed="false">
      <c r="A2462" s="13" t="n">
        <v>2</v>
      </c>
      <c r="B2462" s="14" t="n">
        <v>46242</v>
      </c>
      <c r="C2462" s="14" t="n">
        <v>46305</v>
      </c>
      <c r="D2462" s="13" t="n">
        <v>1100</v>
      </c>
      <c r="E2462" s="0" t="s">
        <v>327</v>
      </c>
      <c r="F2462" s="13" t="n">
        <v>46</v>
      </c>
      <c r="G2462" s="0" t="s">
        <v>319</v>
      </c>
      <c r="H2462" s="13" t="n">
        <v>2110405</v>
      </c>
      <c r="I2462" s="0" t="s">
        <v>56</v>
      </c>
      <c r="J2462" s="13" t="n">
        <v>1427624</v>
      </c>
      <c r="L2462" s="13" t="n">
        <v>190916</v>
      </c>
      <c r="M2462" s="0" t="s">
        <v>67</v>
      </c>
      <c r="N2462" s="0" t="s">
        <v>45</v>
      </c>
      <c r="P2462" s="13" t="n">
        <v>101</v>
      </c>
      <c r="Q2462" s="0" t="s">
        <v>57</v>
      </c>
      <c r="R2462" s="0" t="s">
        <v>39</v>
      </c>
      <c r="S2462" s="13" t="n">
        <v>4210227</v>
      </c>
      <c r="T2462" s="0" t="s">
        <v>68</v>
      </c>
      <c r="U2462" s="15" t="n">
        <v>266.68</v>
      </c>
      <c r="W2462" s="15" t="n">
        <v>0</v>
      </c>
      <c r="X2462" s="0" t="s">
        <v>2009</v>
      </c>
      <c r="Z2462" s="0" t="str">
        <f aca="false">IF($T2462="","",IFERROR(INDEX('Resumo Grupos'!$AC$3:$AC$200,MATCH($T2462,'Resumo Grupos'!$AB$3:$AB$200,0)),"n/d"))</f>
        <v>Despesa</v>
      </c>
      <c r="AA2462" s="0" t="str">
        <f aca="false">IF($T2462="","",IF(COUNTIF('Resumo Grupos'!$AE$3:$AE$40,$T2462)&gt;0,"NAO","SIM"))</f>
        <v>SIM</v>
      </c>
      <c r="AB2462" s="0" t="str">
        <f aca="false">IFERROR(INDEX('Mov Entradas (Rel 10497)'!$L:$L,MATCH(AC2462,'Mov Entradas (Rel 10497)'!$I:$I,0)),"nao encontrado")</f>
        <v>MEMORIA HIKSEMI HIKER 8GB DDR4 3200 - HS</v>
      </c>
      <c r="AC2462" s="0" t="n">
        <v>9481</v>
      </c>
    </row>
    <row r="2463" customFormat="false" ht="12.75" hidden="false" customHeight="true" outlineLevel="0" collapsed="false">
      <c r="A2463" s="13" t="n">
        <v>2</v>
      </c>
      <c r="B2463" s="14" t="n">
        <v>46274</v>
      </c>
      <c r="C2463" s="14" t="n">
        <v>46305</v>
      </c>
      <c r="D2463" s="13" t="n">
        <v>10106</v>
      </c>
      <c r="E2463" s="0" t="s">
        <v>1679</v>
      </c>
      <c r="F2463" s="13" t="n">
        <v>46</v>
      </c>
      <c r="G2463" s="0" t="s">
        <v>319</v>
      </c>
      <c r="H2463" s="13" t="n">
        <v>2110405</v>
      </c>
      <c r="I2463" s="0" t="s">
        <v>56</v>
      </c>
      <c r="J2463" s="13" t="n">
        <v>1585437</v>
      </c>
      <c r="L2463" s="13" t="n">
        <v>216905</v>
      </c>
      <c r="M2463" s="0" t="s">
        <v>44</v>
      </c>
      <c r="N2463" s="0" t="s">
        <v>45</v>
      </c>
      <c r="P2463" s="13" t="n">
        <v>101</v>
      </c>
      <c r="Q2463" s="0" t="s">
        <v>57</v>
      </c>
      <c r="R2463" s="0" t="s">
        <v>39</v>
      </c>
      <c r="S2463" s="13" t="n">
        <v>4210229</v>
      </c>
      <c r="T2463" s="0" t="s">
        <v>1091</v>
      </c>
      <c r="U2463" s="15" t="n">
        <v>101.9</v>
      </c>
      <c r="W2463" s="15" t="n">
        <v>0</v>
      </c>
      <c r="X2463" s="0" t="s">
        <v>1680</v>
      </c>
      <c r="Z2463" s="0" t="str">
        <f aca="false">IF($T2463="","",IFERROR(INDEX('Resumo Grupos'!$AC$3:$AC$200,MATCH($T2463,'Resumo Grupos'!$AB$3:$AB$200,0)),"n/d"))</f>
        <v>Despesa</v>
      </c>
      <c r="AA2463" s="0" t="str">
        <f aca="false">IF($T2463="","",IF(COUNTIF('Resumo Grupos'!$AE$3:$AE$40,$T2463)&gt;0,"NAO","SIM"))</f>
        <v>SIM</v>
      </c>
    </row>
    <row r="2464" customFormat="false" ht="12.75" hidden="false" customHeight="true" outlineLevel="0" collapsed="false">
      <c r="A2464" s="13" t="n">
        <v>2</v>
      </c>
      <c r="B2464" s="14" t="n">
        <v>46260</v>
      </c>
      <c r="C2464" s="14" t="n">
        <v>46305</v>
      </c>
      <c r="D2464" s="13" t="n">
        <v>1835</v>
      </c>
      <c r="E2464" s="0" t="s">
        <v>2010</v>
      </c>
      <c r="F2464" s="13" t="n">
        <v>46</v>
      </c>
      <c r="G2464" s="0" t="s">
        <v>319</v>
      </c>
      <c r="H2464" s="13" t="n">
        <v>2110405</v>
      </c>
      <c r="I2464" s="0" t="s">
        <v>56</v>
      </c>
      <c r="J2464" s="13" t="n">
        <v>1605275</v>
      </c>
      <c r="L2464" s="13" t="n">
        <v>219925</v>
      </c>
      <c r="M2464" s="0" t="s">
        <v>52</v>
      </c>
      <c r="N2464" s="0" t="s">
        <v>45</v>
      </c>
      <c r="P2464" s="13" t="n">
        <v>113</v>
      </c>
      <c r="Q2464" s="0" t="s">
        <v>46</v>
      </c>
      <c r="R2464" s="0" t="s">
        <v>39</v>
      </c>
      <c r="S2464" s="13" t="n">
        <v>4210227</v>
      </c>
      <c r="T2464" s="0" t="s">
        <v>68</v>
      </c>
      <c r="U2464" s="15" t="n">
        <v>176.82</v>
      </c>
      <c r="W2464" s="15" t="n">
        <v>0</v>
      </c>
      <c r="X2464" s="0" t="s">
        <v>2011</v>
      </c>
      <c r="Z2464" s="0" t="str">
        <f aca="false">IF($T2464="","",IFERROR(INDEX('Resumo Grupos'!$AC$3:$AC$200,MATCH($T2464,'Resumo Grupos'!$AB$3:$AB$200,0)),"n/d"))</f>
        <v>Despesa</v>
      </c>
      <c r="AA2464" s="0" t="str">
        <f aca="false">IF($T2464="","",IF(COUNTIF('Resumo Grupos'!$AE$3:$AE$40,$T2464)&gt;0,"NAO","SIM"))</f>
        <v>SIM</v>
      </c>
      <c r="AB2464" s="0" t="str">
        <f aca="false">IFERROR(INDEX('Mov Entradas (Rel 10497)'!$L:$L,MATCH(AC2464,'Mov Entradas (Rel 10497)'!$I:$I,0)),"nao encontrado")</f>
        <v>TINTA ESMALTE FOSCO CITY 3L PRETO UN QTD</v>
      </c>
      <c r="AC2464" s="0" t="n">
        <v>110228</v>
      </c>
    </row>
    <row r="2465" customFormat="false" ht="12.75" hidden="false" customHeight="true" outlineLevel="0" collapsed="false">
      <c r="A2465" s="13" t="n">
        <v>2</v>
      </c>
      <c r="B2465" s="14" t="n">
        <v>46265</v>
      </c>
      <c r="C2465" s="14" t="n">
        <v>46305</v>
      </c>
      <c r="D2465" s="13" t="n">
        <v>1150</v>
      </c>
      <c r="E2465" s="0" t="s">
        <v>2010</v>
      </c>
      <c r="F2465" s="13" t="n">
        <v>46</v>
      </c>
      <c r="G2465" s="0" t="s">
        <v>319</v>
      </c>
      <c r="H2465" s="13" t="n">
        <v>2110405</v>
      </c>
      <c r="I2465" s="0" t="s">
        <v>56</v>
      </c>
      <c r="J2465" s="13" t="n">
        <v>1656987</v>
      </c>
      <c r="L2465" s="13" t="n">
        <v>87916</v>
      </c>
      <c r="M2465" s="0" t="s">
        <v>52</v>
      </c>
      <c r="N2465" s="0" t="s">
        <v>45</v>
      </c>
      <c r="P2465" s="13" t="n">
        <v>101</v>
      </c>
      <c r="Q2465" s="0" t="s">
        <v>57</v>
      </c>
      <c r="R2465" s="0" t="s">
        <v>39</v>
      </c>
      <c r="S2465" s="13" t="n">
        <v>4210227</v>
      </c>
      <c r="T2465" s="0" t="s">
        <v>68</v>
      </c>
      <c r="U2465" s="15" t="n">
        <v>241.82</v>
      </c>
      <c r="W2465" s="15" t="n">
        <v>0</v>
      </c>
      <c r="Z2465" s="0" t="str">
        <f aca="false">IF($T2465="","",IFERROR(INDEX('Resumo Grupos'!$AC$3:$AC$200,MATCH($T2465,'Resumo Grupos'!$AB$3:$AB$200,0)),"n/d"))</f>
        <v>Despesa</v>
      </c>
      <c r="AA2465" s="0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3" t="n">
        <v>2</v>
      </c>
      <c r="B2466" s="14" t="n">
        <v>46300</v>
      </c>
      <c r="C2466" s="14" t="n">
        <v>46305</v>
      </c>
      <c r="D2466" s="13" t="n">
        <v>1625</v>
      </c>
      <c r="E2466" s="0" t="s">
        <v>270</v>
      </c>
      <c r="F2466" s="13" t="n">
        <v>24</v>
      </c>
      <c r="G2466" s="0" t="s">
        <v>51</v>
      </c>
      <c r="H2466" s="13" t="n">
        <v>2110405</v>
      </c>
      <c r="I2466" s="0" t="s">
        <v>56</v>
      </c>
      <c r="J2466" s="13" t="n">
        <v>1807005</v>
      </c>
      <c r="L2466" s="13" t="n">
        <v>249203</v>
      </c>
      <c r="M2466" s="0" t="s">
        <v>52</v>
      </c>
      <c r="N2466" s="0" t="s">
        <v>45</v>
      </c>
      <c r="P2466" s="13" t="n">
        <v>113</v>
      </c>
      <c r="Q2466" s="0" t="s">
        <v>46</v>
      </c>
      <c r="R2466" s="0" t="s">
        <v>47</v>
      </c>
      <c r="S2466" s="13" t="n">
        <v>1130101</v>
      </c>
      <c r="T2466" s="0" t="s">
        <v>48</v>
      </c>
      <c r="U2466" s="15" t="n">
        <v>2656</v>
      </c>
      <c r="W2466" s="15" t="n">
        <v>0</v>
      </c>
      <c r="X2466" s="0" t="s">
        <v>2012</v>
      </c>
      <c r="Z2466" s="0" t="str">
        <f aca="false">IF($T2466="","",IFERROR(INDEX('Resumo Grupos'!$AC$3:$AC$200,MATCH($T2466,'Resumo Grupos'!$AB$3:$AB$200,0)),"n/d"))</f>
        <v>Mercadoria</v>
      </c>
      <c r="AA2466" s="0" t="str">
        <f aca="false">IF($T2466="","",IF(COUNTIF('Resumo Grupos'!$AE$3:$AE$40,$T2466)&gt;0,"NAO","SIM"))</f>
        <v>SIM</v>
      </c>
      <c r="AB2466" s="0" t="str">
        <f aca="false">IFERROR(INDEX('Mov Entradas (Rel 10497)'!$L:$L,MATCH(AC2466,'Mov Entradas (Rel 10497)'!$I:$I,0)),"nao encontrado")</f>
        <v>TRASEIRO DE BOI L1</v>
      </c>
      <c r="AC2466" s="0" t="n">
        <v>15538</v>
      </c>
    </row>
    <row r="2467" customFormat="false" ht="12.75" hidden="false" customHeight="true" outlineLevel="0" collapsed="false">
      <c r="A2467" s="13" t="n">
        <v>2</v>
      </c>
      <c r="B2467" s="14" t="n">
        <v>46211</v>
      </c>
      <c r="C2467" s="14" t="n">
        <v>46305</v>
      </c>
      <c r="D2467" s="13" t="n">
        <v>33</v>
      </c>
      <c r="E2467" s="0" t="s">
        <v>313</v>
      </c>
      <c r="F2467" s="13" t="n">
        <v>34</v>
      </c>
      <c r="G2467" s="0" t="s">
        <v>55</v>
      </c>
      <c r="H2467" s="13" t="n">
        <v>2110405</v>
      </c>
      <c r="I2467" s="0" t="s">
        <v>56</v>
      </c>
      <c r="J2467" s="13" t="n">
        <v>1370733</v>
      </c>
      <c r="L2467" s="13" t="n">
        <v>184338</v>
      </c>
      <c r="M2467" s="0" t="s">
        <v>67</v>
      </c>
      <c r="N2467" s="0" t="s">
        <v>45</v>
      </c>
      <c r="P2467" s="13" t="n">
        <v>101</v>
      </c>
      <c r="Q2467" s="0" t="s">
        <v>57</v>
      </c>
      <c r="R2467" s="0" t="s">
        <v>39</v>
      </c>
      <c r="S2467" s="13" t="n">
        <v>4210222</v>
      </c>
      <c r="T2467" s="0" t="s">
        <v>1256</v>
      </c>
      <c r="U2467" s="15" t="n">
        <v>666.67</v>
      </c>
      <c r="W2467" s="15" t="n">
        <v>0</v>
      </c>
      <c r="X2467" s="0" t="s">
        <v>1257</v>
      </c>
      <c r="Z2467" s="0" t="str">
        <f aca="false">IF($T2467="","",IFERROR(INDEX('Resumo Grupos'!$AC$3:$AC$200,MATCH($T2467,'Resumo Grupos'!$AB$3:$AB$200,0)),"n/d"))</f>
        <v>Despesa</v>
      </c>
      <c r="AA2467" s="0" t="str">
        <f aca="false">IF($T2467="","",IF(COUNTIF('Resumo Grupos'!$AE$3:$AE$40,$T2467)&gt;0,"NAO","SIM"))</f>
        <v>SIM</v>
      </c>
    </row>
    <row r="2468" customFormat="false" ht="12.75" hidden="false" customHeight="true" outlineLevel="0" collapsed="false">
      <c r="A2468" s="13" t="n">
        <v>2</v>
      </c>
      <c r="B2468" s="14" t="n">
        <v>46275</v>
      </c>
      <c r="C2468" s="14" t="n">
        <v>46305</v>
      </c>
      <c r="D2468" s="13" t="n">
        <v>1747</v>
      </c>
      <c r="E2468" s="0" t="s">
        <v>2013</v>
      </c>
      <c r="F2468" s="13" t="n">
        <v>46</v>
      </c>
      <c r="G2468" s="0" t="s">
        <v>319</v>
      </c>
      <c r="H2468" s="13" t="n">
        <v>2110405</v>
      </c>
      <c r="I2468" s="0" t="s">
        <v>56</v>
      </c>
      <c r="J2468" s="13" t="n">
        <v>1683464</v>
      </c>
      <c r="L2468" s="13" t="n">
        <v>231103</v>
      </c>
      <c r="M2468" s="0" t="s">
        <v>52</v>
      </c>
      <c r="N2468" s="0" t="s">
        <v>45</v>
      </c>
      <c r="P2468" s="13" t="n">
        <v>113</v>
      </c>
      <c r="Q2468" s="0" t="s">
        <v>46</v>
      </c>
      <c r="R2468" s="0" t="s">
        <v>39</v>
      </c>
      <c r="S2468" s="13" t="n">
        <v>4210227</v>
      </c>
      <c r="T2468" s="0" t="s">
        <v>68</v>
      </c>
      <c r="U2468" s="15" t="n">
        <v>141.85</v>
      </c>
      <c r="W2468" s="15" t="n">
        <v>0</v>
      </c>
      <c r="X2468" s="0" t="s">
        <v>2014</v>
      </c>
      <c r="Z2468" s="0" t="str">
        <f aca="false">IF($T2468="","",IFERROR(INDEX('Resumo Grupos'!$AC$3:$AC$200,MATCH($T2468,'Resumo Grupos'!$AB$3:$AB$200,0)),"n/d"))</f>
        <v>Despesa</v>
      </c>
      <c r="AA2468" s="0" t="str">
        <f aca="false">IF($T2468="","",IF(COUNTIF('Resumo Grupos'!$AE$3:$AE$40,$T2468)&gt;0,"NAO","SIM"))</f>
        <v>SIM</v>
      </c>
    </row>
    <row r="2469" customFormat="false" ht="12.75" hidden="false" customHeight="true" outlineLevel="0" collapsed="false">
      <c r="A2469" s="13" t="n">
        <v>2</v>
      </c>
      <c r="B2469" s="14" t="n">
        <v>46275</v>
      </c>
      <c r="C2469" s="14" t="n">
        <v>46305</v>
      </c>
      <c r="D2469" s="13" t="n">
        <v>1747</v>
      </c>
      <c r="E2469" s="0" t="s">
        <v>2013</v>
      </c>
      <c r="F2469" s="13" t="n">
        <v>46</v>
      </c>
      <c r="G2469" s="0" t="s">
        <v>319</v>
      </c>
      <c r="H2469" s="13" t="n">
        <v>2110405</v>
      </c>
      <c r="I2469" s="0" t="s">
        <v>56</v>
      </c>
      <c r="J2469" s="13" t="n">
        <v>1683676</v>
      </c>
      <c r="L2469" s="13" t="n">
        <v>231136</v>
      </c>
      <c r="M2469" s="0" t="s">
        <v>52</v>
      </c>
      <c r="N2469" s="0" t="s">
        <v>45</v>
      </c>
      <c r="P2469" s="13" t="n">
        <v>113</v>
      </c>
      <c r="Q2469" s="0" t="s">
        <v>46</v>
      </c>
      <c r="R2469" s="0" t="s">
        <v>39</v>
      </c>
      <c r="S2469" s="13" t="n">
        <v>4210227</v>
      </c>
      <c r="T2469" s="0" t="s">
        <v>68</v>
      </c>
      <c r="U2469" s="15" t="n">
        <v>161.75</v>
      </c>
      <c r="W2469" s="15" t="n">
        <v>0</v>
      </c>
      <c r="X2469" s="0" t="s">
        <v>2015</v>
      </c>
      <c r="Z2469" s="0" t="str">
        <f aca="false">IF($T2469="","",IFERROR(INDEX('Resumo Grupos'!$AC$3:$AC$200,MATCH($T2469,'Resumo Grupos'!$AB$3:$AB$200,0)),"n/d"))</f>
        <v>Despesa</v>
      </c>
      <c r="AA2469" s="0" t="str">
        <f aca="false">IF($T2469="","",IF(COUNTIF('Resumo Grupos'!$AE$3:$AE$40,$T2469)&gt;0,"NAO","SIM"))</f>
        <v>SIM</v>
      </c>
      <c r="AB2469" s="0" t="str">
        <f aca="false">IFERROR(INDEX('Mov Entradas (Rel 10497)'!$L:$L,MATCH(AC2469,'Mov Entradas (Rel 10497)'!$I:$I,0)),"nao encontrado")</f>
        <v>GLASURITI ESM. FOSCO</v>
      </c>
      <c r="AC2469" s="0" t="n">
        <v>1544516</v>
      </c>
    </row>
    <row r="2470" customFormat="false" ht="12.75" hidden="false" customHeight="true" outlineLevel="0" collapsed="false">
      <c r="A2470" s="13" t="n">
        <v>2</v>
      </c>
      <c r="B2470" s="14" t="n">
        <v>46279</v>
      </c>
      <c r="C2470" s="14" t="n">
        <v>46307</v>
      </c>
      <c r="D2470" s="13" t="n">
        <v>1705</v>
      </c>
      <c r="E2470" s="0" t="s">
        <v>130</v>
      </c>
      <c r="F2470" s="13" t="n">
        <v>24</v>
      </c>
      <c r="G2470" s="0" t="s">
        <v>51</v>
      </c>
      <c r="H2470" s="13" t="n">
        <v>2110405</v>
      </c>
      <c r="I2470" s="0" t="s">
        <v>56</v>
      </c>
      <c r="J2470" s="13" t="n">
        <v>1702815</v>
      </c>
      <c r="L2470" s="13" t="n">
        <v>233710</v>
      </c>
      <c r="M2470" s="0" t="s">
        <v>52</v>
      </c>
      <c r="N2470" s="0" t="s">
        <v>45</v>
      </c>
      <c r="P2470" s="13" t="n">
        <v>113</v>
      </c>
      <c r="Q2470" s="0" t="s">
        <v>46</v>
      </c>
      <c r="R2470" s="0" t="s">
        <v>47</v>
      </c>
      <c r="S2470" s="13" t="n">
        <v>1130101</v>
      </c>
      <c r="T2470" s="0" t="s">
        <v>48</v>
      </c>
      <c r="U2470" s="15" t="n">
        <v>40.46</v>
      </c>
      <c r="W2470" s="15" t="n">
        <v>0</v>
      </c>
      <c r="X2470" s="0" t="s">
        <v>2016</v>
      </c>
      <c r="Z2470" s="0" t="str">
        <f aca="false">IF($T2470="","",IFERROR(INDEX('Resumo Grupos'!$AC$3:$AC$200,MATCH($T2470,'Resumo Grupos'!$AB$3:$AB$200,0)),"n/d"))</f>
        <v>Mercadoria</v>
      </c>
      <c r="AA2470" s="0" t="str">
        <f aca="false">IF($T2470="","",IF(COUNTIF('Resumo Grupos'!$AE$3:$AE$40,$T2470)&gt;0,"NAO","SIM"))</f>
        <v>SIM</v>
      </c>
      <c r="AB2470" s="0" t="str">
        <f aca="false">IFERROR(INDEX('Mov Entradas (Rel 10497)'!$L:$L,MATCH(AC2470,'Mov Entradas (Rel 10497)'!$I:$I,0)),"nao encontrado")</f>
        <v>VODKA SPRITE ABSOLUT</v>
      </c>
      <c r="AC2470" s="0" t="n">
        <v>1288792</v>
      </c>
    </row>
    <row r="2471" customFormat="false" ht="12.75" hidden="false" customHeight="true" outlineLevel="0" collapsed="false">
      <c r="A2471" s="13" t="n">
        <v>2</v>
      </c>
      <c r="B2471" s="14" t="n">
        <v>46300</v>
      </c>
      <c r="C2471" s="14" t="n">
        <v>46307</v>
      </c>
      <c r="D2471" s="13" t="n">
        <v>581</v>
      </c>
      <c r="E2471" s="0" t="s">
        <v>147</v>
      </c>
      <c r="F2471" s="13" t="n">
        <v>24</v>
      </c>
      <c r="G2471" s="0" t="s">
        <v>51</v>
      </c>
      <c r="H2471" s="13" t="n">
        <v>2110405</v>
      </c>
      <c r="I2471" s="0" t="s">
        <v>56</v>
      </c>
      <c r="J2471" s="13" t="n">
        <v>1806911</v>
      </c>
      <c r="L2471" s="13" t="n">
        <v>249200</v>
      </c>
      <c r="M2471" s="0" t="s">
        <v>52</v>
      </c>
      <c r="N2471" s="0" t="s">
        <v>45</v>
      </c>
      <c r="P2471" s="13" t="n">
        <v>113</v>
      </c>
      <c r="Q2471" s="0" t="s">
        <v>46</v>
      </c>
      <c r="R2471" s="0" t="s">
        <v>47</v>
      </c>
      <c r="S2471" s="13" t="n">
        <v>1130101</v>
      </c>
      <c r="T2471" s="0" t="s">
        <v>48</v>
      </c>
      <c r="U2471" s="15" t="n">
        <v>264</v>
      </c>
      <c r="W2471" s="15" t="n">
        <v>0</v>
      </c>
      <c r="X2471" s="0" t="s">
        <v>2017</v>
      </c>
      <c r="Z2471" s="0" t="str">
        <f aca="false">IF($T2471="","",IFERROR(INDEX('Resumo Grupos'!$AC$3:$AC$200,MATCH($T2471,'Resumo Grupos'!$AB$3:$AB$200,0)),"n/d"))</f>
        <v>Mercadoria</v>
      </c>
      <c r="AA2471" s="0" t="str">
        <f aca="false">IF($T2471="","",IF(COUNTIF('Resumo Grupos'!$AE$3:$AE$40,$T2471)&gt;0,"NAO","SIM"))</f>
        <v>SIM</v>
      </c>
      <c r="AB2471" s="0" t="str">
        <f aca="false">IFERROR(INDEX('Mov Entradas (Rel 10497)'!$L:$L,MATCH(AC2471,'Mov Entradas (Rel 10497)'!$I:$I,0)),"nao encontrado")</f>
        <v>GOMA DE MANDIOCA AMA</v>
      </c>
      <c r="AC2471" s="0" t="n">
        <v>32674</v>
      </c>
    </row>
    <row r="2472" customFormat="false" ht="12.75" hidden="false" customHeight="true" outlineLevel="0" collapsed="false">
      <c r="A2472" s="13" t="n">
        <v>2</v>
      </c>
      <c r="B2472" s="14" t="n">
        <v>46300</v>
      </c>
      <c r="C2472" s="14" t="n">
        <v>46307</v>
      </c>
      <c r="D2472" s="13" t="n">
        <v>1292</v>
      </c>
      <c r="E2472" s="0" t="s">
        <v>209</v>
      </c>
      <c r="F2472" s="13" t="n">
        <v>24</v>
      </c>
      <c r="G2472" s="0" t="s">
        <v>51</v>
      </c>
      <c r="H2472" s="13" t="n">
        <v>2110405</v>
      </c>
      <c r="I2472" s="0" t="s">
        <v>56</v>
      </c>
      <c r="J2472" s="13" t="n">
        <v>1805485</v>
      </c>
      <c r="L2472" s="13" t="n">
        <v>249146</v>
      </c>
      <c r="M2472" s="0" t="s">
        <v>52</v>
      </c>
      <c r="N2472" s="0" t="s">
        <v>45</v>
      </c>
      <c r="P2472" s="13" t="n">
        <v>113</v>
      </c>
      <c r="Q2472" s="0" t="s">
        <v>46</v>
      </c>
      <c r="R2472" s="0" t="s">
        <v>47</v>
      </c>
      <c r="S2472" s="13" t="n">
        <v>1130101</v>
      </c>
      <c r="T2472" s="0" t="s">
        <v>48</v>
      </c>
      <c r="U2472" s="15" t="n">
        <v>617.5</v>
      </c>
      <c r="W2472" s="15" t="n">
        <v>0</v>
      </c>
      <c r="X2472" s="0" t="s">
        <v>2018</v>
      </c>
      <c r="Z2472" s="0" t="str">
        <f aca="false">IF($T2472="","",IFERROR(INDEX('Resumo Grupos'!$AC$3:$AC$200,MATCH($T2472,'Resumo Grupos'!$AB$3:$AB$200,0)),"n/d"))</f>
        <v>Mercadoria</v>
      </c>
      <c r="AA2472" s="0" t="str">
        <f aca="false">IF($T2472="","",IF(COUNTIF('Resumo Grupos'!$AE$3:$AE$40,$T2472)&gt;0,"NAO","SIM"))</f>
        <v>SIM</v>
      </c>
      <c r="AB2472" s="0" t="str">
        <f aca="false">IFERROR(INDEX('Mov Entradas (Rel 10497)'!$L:$L,MATCH(AC2472,'Mov Entradas (Rel 10497)'!$I:$I,0)),"nao encontrado")</f>
        <v>QUEIJO MUSSARELA FAT</v>
      </c>
      <c r="AC2472" s="0" t="n">
        <v>4230</v>
      </c>
    </row>
    <row r="2473" customFormat="false" ht="12.75" hidden="false" customHeight="true" outlineLevel="0" collapsed="false">
      <c r="A2473" s="13" t="n">
        <v>2</v>
      </c>
      <c r="B2473" s="14" t="n">
        <v>46300</v>
      </c>
      <c r="C2473" s="14" t="n">
        <v>46307</v>
      </c>
      <c r="D2473" s="13" t="n">
        <v>1631</v>
      </c>
      <c r="E2473" s="0" t="s">
        <v>299</v>
      </c>
      <c r="F2473" s="13" t="n">
        <v>24</v>
      </c>
      <c r="G2473" s="0" t="s">
        <v>51</v>
      </c>
      <c r="H2473" s="13" t="n">
        <v>2110405</v>
      </c>
      <c r="I2473" s="0" t="s">
        <v>56</v>
      </c>
      <c r="J2473" s="13" t="n">
        <v>1806918</v>
      </c>
      <c r="L2473" s="13" t="n">
        <v>249201</v>
      </c>
      <c r="M2473" s="0" t="s">
        <v>52</v>
      </c>
      <c r="N2473" s="0" t="s">
        <v>45</v>
      </c>
      <c r="P2473" s="13" t="n">
        <v>113</v>
      </c>
      <c r="Q2473" s="0" t="s">
        <v>46</v>
      </c>
      <c r="R2473" s="0" t="s">
        <v>47</v>
      </c>
      <c r="S2473" s="13" t="n">
        <v>1130101</v>
      </c>
      <c r="T2473" s="0" t="s">
        <v>48</v>
      </c>
      <c r="U2473" s="15" t="n">
        <v>253.72</v>
      </c>
      <c r="W2473" s="15" t="n">
        <v>0</v>
      </c>
      <c r="X2473" s="0" t="s">
        <v>2019</v>
      </c>
      <c r="Z2473" s="0" t="str">
        <f aca="false">IF($T2473="","",IFERROR(INDEX('Resumo Grupos'!$AC$3:$AC$200,MATCH($T2473,'Resumo Grupos'!$AB$3:$AB$200,0)),"n/d"))</f>
        <v>Mercadoria</v>
      </c>
      <c r="AA2473" s="0" t="str">
        <f aca="false">IF($T2473="","",IF(COUNTIF('Resumo Grupos'!$AE$3:$AE$40,$T2473)&gt;0,"NAO","SIM"))</f>
        <v>SIM</v>
      </c>
      <c r="AB2473" s="0" t="str">
        <f aca="false">IFERROR(INDEX('Mov Entradas (Rel 10497)'!$L:$L,MATCH(AC2473,'Mov Entradas (Rel 10497)'!$I:$I,0)),"nao encontrado")</f>
        <v>IOGURTE AMAZONGURT D</v>
      </c>
      <c r="AC2473" s="0" t="n">
        <v>15466</v>
      </c>
    </row>
    <row r="2474" customFormat="false" ht="12.75" hidden="false" customHeight="true" outlineLevel="0" collapsed="false">
      <c r="A2474" s="13" t="n">
        <v>2</v>
      </c>
      <c r="B2474" s="14" t="n">
        <v>46282</v>
      </c>
      <c r="C2474" s="14" t="n">
        <v>46308</v>
      </c>
      <c r="D2474" s="13" t="n">
        <v>1637</v>
      </c>
      <c r="E2474" s="0" t="s">
        <v>871</v>
      </c>
      <c r="F2474" s="13" t="n">
        <v>24</v>
      </c>
      <c r="G2474" s="0" t="s">
        <v>51</v>
      </c>
      <c r="H2474" s="13" t="n">
        <v>2110405</v>
      </c>
      <c r="I2474" s="0" t="s">
        <v>56</v>
      </c>
      <c r="J2474" s="13" t="n">
        <v>1716163</v>
      </c>
      <c r="L2474" s="13" t="n">
        <v>235891</v>
      </c>
      <c r="M2474" s="0" t="s">
        <v>52</v>
      </c>
      <c r="N2474" s="0" t="s">
        <v>45</v>
      </c>
      <c r="P2474" s="13" t="n">
        <v>113</v>
      </c>
      <c r="Q2474" s="0" t="s">
        <v>46</v>
      </c>
      <c r="R2474" s="0" t="s">
        <v>47</v>
      </c>
      <c r="S2474" s="13" t="n">
        <v>1130101</v>
      </c>
      <c r="T2474" s="0" t="s">
        <v>48</v>
      </c>
      <c r="U2474" s="15" t="n">
        <v>787.4</v>
      </c>
      <c r="W2474" s="15" t="n">
        <v>0</v>
      </c>
      <c r="X2474" s="0" t="s">
        <v>2020</v>
      </c>
      <c r="Z2474" s="0" t="str">
        <f aca="false">IF($T2474="","",IFERROR(INDEX('Resumo Grupos'!$AC$3:$AC$200,MATCH($T2474,'Resumo Grupos'!$AB$3:$AB$200,0)),"n/d"))</f>
        <v>Mercadoria</v>
      </c>
      <c r="AA2474" s="0" t="str">
        <f aca="false">IF($T2474="","",IF(COUNTIF('Resumo Grupos'!$AE$3:$AE$40,$T2474)&gt;0,"NAO","SIM"))</f>
        <v>SIM</v>
      </c>
      <c r="AB2474" s="0" t="str">
        <f aca="false">IFERROR(INDEX('Mov Entradas (Rel 10497)'!$L:$L,MATCH(AC2474,'Mov Entradas (Rel 10497)'!$I:$I,0)),"nao encontrado")</f>
        <v>CAFE KIMINO 250G</v>
      </c>
      <c r="AC2474" s="0" t="n">
        <v>1936306</v>
      </c>
    </row>
    <row r="2475" customFormat="false" ht="12.75" hidden="false" customHeight="true" outlineLevel="0" collapsed="false">
      <c r="A2475" s="13" t="n">
        <v>2</v>
      </c>
      <c r="B2475" s="14" t="n">
        <v>46286</v>
      </c>
      <c r="C2475" s="14" t="n">
        <v>46308</v>
      </c>
      <c r="D2475" s="13" t="n">
        <v>1637</v>
      </c>
      <c r="E2475" s="0" t="s">
        <v>871</v>
      </c>
      <c r="F2475" s="13" t="n">
        <v>24</v>
      </c>
      <c r="G2475" s="0" t="s">
        <v>51</v>
      </c>
      <c r="H2475" s="13" t="n">
        <v>2110405</v>
      </c>
      <c r="I2475" s="0" t="s">
        <v>56</v>
      </c>
      <c r="J2475" s="13" t="n">
        <v>1734764</v>
      </c>
      <c r="L2475" s="13" t="n">
        <v>238533</v>
      </c>
      <c r="M2475" s="0" t="s">
        <v>52</v>
      </c>
      <c r="N2475" s="0" t="s">
        <v>45</v>
      </c>
      <c r="P2475" s="13" t="n">
        <v>113</v>
      </c>
      <c r="Q2475" s="0" t="s">
        <v>46</v>
      </c>
      <c r="R2475" s="0" t="s">
        <v>47</v>
      </c>
      <c r="S2475" s="13" t="n">
        <v>1130101</v>
      </c>
      <c r="T2475" s="0" t="s">
        <v>48</v>
      </c>
      <c r="U2475" s="15" t="n">
        <v>896.25</v>
      </c>
      <c r="W2475" s="15" t="n">
        <v>0</v>
      </c>
      <c r="X2475" s="0" t="s">
        <v>2021</v>
      </c>
      <c r="Z2475" s="0" t="str">
        <f aca="false">IF($T2475="","",IFERROR(INDEX('Resumo Grupos'!$AC$3:$AC$200,MATCH($T2475,'Resumo Grupos'!$AB$3:$AB$200,0)),"n/d"))</f>
        <v>Mercadoria</v>
      </c>
      <c r="AA2475" s="0" t="str">
        <f aca="false">IF($T2475="","",IF(COUNTIF('Resumo Grupos'!$AE$3:$AE$40,$T2475)&gt;0,"NAO","SIM"))</f>
        <v>SIM</v>
      </c>
      <c r="AB2475" s="0" t="str">
        <f aca="false">IFERROR(INDEX('Mov Entradas (Rel 10497)'!$L:$L,MATCH(AC2475,'Mov Entradas (Rel 10497)'!$I:$I,0)),"nao encontrado")</f>
        <v>CERVEJA ITAIPAVA 269ML</v>
      </c>
      <c r="AC2475" s="0" t="n">
        <v>1934563</v>
      </c>
    </row>
    <row r="2476" customFormat="false" ht="12.75" hidden="false" customHeight="true" outlineLevel="0" collapsed="false">
      <c r="A2476" s="13" t="n">
        <v>2</v>
      </c>
      <c r="B2476" s="14" t="n">
        <v>46286</v>
      </c>
      <c r="C2476" s="14" t="n">
        <v>46308</v>
      </c>
      <c r="D2476" s="13" t="n">
        <v>1637</v>
      </c>
      <c r="E2476" s="0" t="s">
        <v>871</v>
      </c>
      <c r="F2476" s="13" t="n">
        <v>24</v>
      </c>
      <c r="G2476" s="0" t="s">
        <v>51</v>
      </c>
      <c r="H2476" s="13" t="n">
        <v>2110405</v>
      </c>
      <c r="I2476" s="0" t="s">
        <v>56</v>
      </c>
      <c r="J2476" s="13" t="n">
        <v>1734783</v>
      </c>
      <c r="L2476" s="13" t="n">
        <v>238537</v>
      </c>
      <c r="M2476" s="0" t="s">
        <v>52</v>
      </c>
      <c r="N2476" s="0" t="s">
        <v>45</v>
      </c>
      <c r="P2476" s="13" t="n">
        <v>113</v>
      </c>
      <c r="Q2476" s="0" t="s">
        <v>46</v>
      </c>
      <c r="R2476" s="0" t="s">
        <v>47</v>
      </c>
      <c r="S2476" s="13" t="n">
        <v>1130101</v>
      </c>
      <c r="T2476" s="0" t="s">
        <v>48</v>
      </c>
      <c r="U2476" s="15" t="n">
        <v>896.25</v>
      </c>
      <c r="W2476" s="15" t="n">
        <v>0</v>
      </c>
      <c r="X2476" s="0" t="s">
        <v>2022</v>
      </c>
      <c r="Z2476" s="0" t="str">
        <f aca="false">IF($T2476="","",IFERROR(INDEX('Resumo Grupos'!$AC$3:$AC$200,MATCH($T2476,'Resumo Grupos'!$AB$3:$AB$200,0)),"n/d"))</f>
        <v>Mercadoria</v>
      </c>
      <c r="AA2476" s="0" t="str">
        <f aca="false">IF($T2476="","",IF(COUNTIF('Resumo Grupos'!$AE$3:$AE$40,$T2476)&gt;0,"NAO","SIM"))</f>
        <v>SIM</v>
      </c>
      <c r="AB2476" s="0" t="str">
        <f aca="false">IFERROR(INDEX('Mov Entradas (Rel 10497)'!$L:$L,MATCH(AC2476,'Mov Entradas (Rel 10497)'!$I:$I,0)),"nao encontrado")</f>
        <v>CERVEJA ITAIPAVA 269ML</v>
      </c>
      <c r="AC2476" s="0" t="n">
        <v>1934564</v>
      </c>
    </row>
    <row r="2477" customFormat="false" ht="12.75" hidden="false" customHeight="true" outlineLevel="0" collapsed="false">
      <c r="A2477" s="13" t="n">
        <v>2</v>
      </c>
      <c r="B2477" s="14" t="n">
        <v>46297</v>
      </c>
      <c r="C2477" s="14" t="n">
        <v>46308</v>
      </c>
      <c r="D2477" s="13" t="n">
        <v>1608</v>
      </c>
      <c r="E2477" s="0" t="s">
        <v>240</v>
      </c>
      <c r="F2477" s="13" t="n">
        <v>24</v>
      </c>
      <c r="G2477" s="0" t="s">
        <v>51</v>
      </c>
      <c r="H2477" s="13" t="n">
        <v>2110405</v>
      </c>
      <c r="I2477" s="0" t="s">
        <v>56</v>
      </c>
      <c r="J2477" s="13" t="n">
        <v>1789344</v>
      </c>
      <c r="L2477" s="13" t="n">
        <v>246598</v>
      </c>
      <c r="M2477" s="0" t="s">
        <v>52</v>
      </c>
      <c r="N2477" s="0" t="s">
        <v>45</v>
      </c>
      <c r="P2477" s="13" t="n">
        <v>113</v>
      </c>
      <c r="Q2477" s="0" t="s">
        <v>46</v>
      </c>
      <c r="R2477" s="0" t="s">
        <v>47</v>
      </c>
      <c r="S2477" s="13" t="n">
        <v>1130101</v>
      </c>
      <c r="T2477" s="0" t="s">
        <v>48</v>
      </c>
      <c r="U2477" s="15" t="n">
        <v>539.66</v>
      </c>
      <c r="W2477" s="15" t="n">
        <v>0</v>
      </c>
      <c r="X2477" s="0" t="s">
        <v>2023</v>
      </c>
      <c r="Z2477" s="0" t="str">
        <f aca="false">IF($T2477="","",IFERROR(INDEX('Resumo Grupos'!$AC$3:$AC$200,MATCH($T2477,'Resumo Grupos'!$AB$3:$AB$200,0)),"n/d"))</f>
        <v>Mercadoria</v>
      </c>
      <c r="AA2477" s="0" t="str">
        <f aca="false">IF($T2477="","",IF(COUNTIF('Resumo Grupos'!$AE$3:$AE$40,$T2477)&gt;0,"NAO","SIM"))</f>
        <v>SIM</v>
      </c>
      <c r="AB2477" s="0" t="str">
        <f aca="false">IFERROR(INDEX('Mov Entradas (Rel 10497)'!$L:$L,MATCH(AC2477,'Mov Entradas (Rel 10497)'!$I:$I,0)),"nao encontrado")</f>
        <v>SUCO LARANJA NAT ONE</v>
      </c>
      <c r="AC2477" s="0" t="n">
        <v>1741887</v>
      </c>
    </row>
    <row r="2478" customFormat="false" ht="12.75" hidden="false" customHeight="true" outlineLevel="0" collapsed="false">
      <c r="A2478" s="13" t="n">
        <v>2</v>
      </c>
      <c r="B2478" s="14" t="n">
        <v>46287</v>
      </c>
      <c r="C2478" s="14" t="n">
        <v>46308</v>
      </c>
      <c r="D2478" s="13" t="n">
        <v>1612</v>
      </c>
      <c r="E2478" s="0" t="s">
        <v>74</v>
      </c>
      <c r="F2478" s="13" t="n">
        <v>24</v>
      </c>
      <c r="G2478" s="0" t="s">
        <v>51</v>
      </c>
      <c r="H2478" s="13" t="n">
        <v>2110405</v>
      </c>
      <c r="I2478" s="0" t="s">
        <v>56</v>
      </c>
      <c r="J2478" s="13" t="n">
        <v>1739895</v>
      </c>
      <c r="L2478" s="13" t="n">
        <v>239394</v>
      </c>
      <c r="M2478" s="0" t="s">
        <v>52</v>
      </c>
      <c r="N2478" s="0" t="s">
        <v>45</v>
      </c>
      <c r="P2478" s="13" t="n">
        <v>113</v>
      </c>
      <c r="Q2478" s="0" t="s">
        <v>46</v>
      </c>
      <c r="R2478" s="0" t="s">
        <v>47</v>
      </c>
      <c r="S2478" s="13" t="n">
        <v>1130101</v>
      </c>
      <c r="T2478" s="0" t="s">
        <v>48</v>
      </c>
      <c r="U2478" s="15" t="n">
        <v>235.72</v>
      </c>
      <c r="W2478" s="15" t="n">
        <v>0</v>
      </c>
      <c r="X2478" s="0" t="s">
        <v>1984</v>
      </c>
      <c r="Z2478" s="0" t="str">
        <f aca="false">IF($T2478="","",IFERROR(INDEX('Resumo Grupos'!$AC$3:$AC$200,MATCH($T2478,'Resumo Grupos'!$AB$3:$AB$200,0)),"n/d"))</f>
        <v>Mercadoria</v>
      </c>
      <c r="AA2478" s="0" t="str">
        <f aca="false">IF($T2478="","",IF(COUNTIF('Resumo Grupos'!$AE$3:$AE$40,$T2478)&gt;0,"NAO","SIM"))</f>
        <v>SIM</v>
      </c>
      <c r="AB2478" s="0" t="str">
        <f aca="false">IFERROR(INDEX('Mov Entradas (Rel 10497)'!$L:$L,MATCH(AC2478,'Mov Entradas (Rel 10497)'!$I:$I,0)),"nao encontrado")</f>
        <v>AGUA SANI BRILUX1L</v>
      </c>
      <c r="AC2478" s="0" t="n">
        <v>2320993</v>
      </c>
    </row>
    <row r="2479" customFormat="false" ht="12.75" hidden="false" customHeight="true" outlineLevel="0" collapsed="false">
      <c r="A2479" s="13" t="n">
        <v>2</v>
      </c>
      <c r="B2479" s="14" t="n">
        <v>46288</v>
      </c>
      <c r="C2479" s="14" t="n">
        <v>46308</v>
      </c>
      <c r="D2479" s="13" t="n">
        <v>1668</v>
      </c>
      <c r="E2479" s="0" t="s">
        <v>151</v>
      </c>
      <c r="F2479" s="13" t="n">
        <v>24</v>
      </c>
      <c r="G2479" s="0" t="s">
        <v>51</v>
      </c>
      <c r="H2479" s="13" t="n">
        <v>2110405</v>
      </c>
      <c r="I2479" s="0" t="s">
        <v>56</v>
      </c>
      <c r="J2479" s="13" t="n">
        <v>1745715</v>
      </c>
      <c r="L2479" s="13" t="n">
        <v>240427</v>
      </c>
      <c r="M2479" s="0" t="s">
        <v>52</v>
      </c>
      <c r="N2479" s="0" t="s">
        <v>45</v>
      </c>
      <c r="P2479" s="13" t="n">
        <v>113</v>
      </c>
      <c r="Q2479" s="0" t="s">
        <v>46</v>
      </c>
      <c r="R2479" s="0" t="s">
        <v>47</v>
      </c>
      <c r="S2479" s="13" t="n">
        <v>1130101</v>
      </c>
      <c r="T2479" s="0" t="s">
        <v>48</v>
      </c>
      <c r="U2479" s="15" t="n">
        <v>365.37</v>
      </c>
      <c r="W2479" s="15" t="n">
        <v>0</v>
      </c>
      <c r="X2479" s="0" t="s">
        <v>1987</v>
      </c>
      <c r="Z2479" s="0" t="str">
        <f aca="false">IF($T2479="","",IFERROR(INDEX('Resumo Grupos'!$AC$3:$AC$200,MATCH($T2479,'Resumo Grupos'!$AB$3:$AB$200,0)),"n/d"))</f>
        <v>Mercadoria</v>
      </c>
      <c r="AA2479" s="0" t="str">
        <f aca="false">IF($T2479="","",IF(COUNTIF('Resumo Grupos'!$AE$3:$AE$40,$T2479)&gt;0,"NAO","SIM"))</f>
        <v>SIM</v>
      </c>
      <c r="AB2479" s="0" t="str">
        <f aca="false">IFERROR(INDEX('Mov Entradas (Rel 10497)'!$L:$L,MATCH(AC2479,'Mov Entradas (Rel 10497)'!$I:$I,0)),"nao encontrado")</f>
        <v>POTE COM TPA 250ML G</v>
      </c>
      <c r="AC2479" s="0" t="n">
        <v>762379</v>
      </c>
    </row>
    <row r="2480" customFormat="false" ht="12.75" hidden="false" customHeight="true" outlineLevel="0" collapsed="false">
      <c r="A2480" s="13" t="n">
        <v>2</v>
      </c>
      <c r="B2480" s="14" t="n">
        <v>46290</v>
      </c>
      <c r="C2480" s="14" t="n">
        <v>46308</v>
      </c>
      <c r="D2480" s="13" t="n">
        <v>1668</v>
      </c>
      <c r="E2480" s="0" t="s">
        <v>151</v>
      </c>
      <c r="F2480" s="13" t="n">
        <v>24</v>
      </c>
      <c r="G2480" s="0" t="s">
        <v>51</v>
      </c>
      <c r="H2480" s="13" t="n">
        <v>2110405</v>
      </c>
      <c r="I2480" s="0" t="s">
        <v>56</v>
      </c>
      <c r="J2480" s="13" t="n">
        <v>1755398</v>
      </c>
      <c r="L2480" s="13" t="n">
        <v>241714</v>
      </c>
      <c r="M2480" s="0" t="s">
        <v>52</v>
      </c>
      <c r="N2480" s="0" t="s">
        <v>45</v>
      </c>
      <c r="P2480" s="13" t="n">
        <v>113</v>
      </c>
      <c r="Q2480" s="0" t="s">
        <v>46</v>
      </c>
      <c r="R2480" s="0" t="s">
        <v>39</v>
      </c>
      <c r="S2480" s="13" t="n">
        <v>4210299</v>
      </c>
      <c r="T2480" s="0" t="s">
        <v>165</v>
      </c>
      <c r="U2480" s="15" t="n">
        <v>442.45</v>
      </c>
      <c r="W2480" s="15" t="n">
        <v>0</v>
      </c>
      <c r="X2480" s="0" t="s">
        <v>2024</v>
      </c>
      <c r="Z2480" s="0" t="str">
        <f aca="false">IF($T2480="","",IFERROR(INDEX('Resumo Grupos'!$AC$3:$AC$200,MATCH($T2480,'Resumo Grupos'!$AB$3:$AB$200,0)),"n/d"))</f>
        <v>Despesa</v>
      </c>
      <c r="AA2480" s="0" t="str">
        <f aca="false">IF($T2480="","",IF(COUNTIF('Resumo Grupos'!$AE$3:$AE$40,$T2480)&gt;0,"NAO","SIM"))</f>
        <v>SIM</v>
      </c>
      <c r="AB2480" s="0" t="str">
        <f aca="false">IFERROR(INDEX('Mov Entradas (Rel 10497)'!$L:$L,MATCH(AC2480,'Mov Entradas (Rel 10497)'!$I:$I,0)),"nao encontrado")</f>
        <v>BANDEJA B1 BRANCA C/</v>
      </c>
      <c r="AC2480" s="0" t="n">
        <v>762380</v>
      </c>
    </row>
    <row r="2481" customFormat="false" ht="12.75" hidden="false" customHeight="true" outlineLevel="0" collapsed="false">
      <c r="A2481" s="13" t="n">
        <v>2</v>
      </c>
      <c r="B2481" s="14" t="n">
        <v>46254</v>
      </c>
      <c r="C2481" s="14" t="n">
        <v>46308</v>
      </c>
      <c r="D2481" s="13" t="n">
        <v>33</v>
      </c>
      <c r="E2481" s="0" t="s">
        <v>313</v>
      </c>
      <c r="F2481" s="13" t="n">
        <v>34</v>
      </c>
      <c r="G2481" s="0" t="s">
        <v>55</v>
      </c>
      <c r="H2481" s="13" t="n">
        <v>2110405</v>
      </c>
      <c r="I2481" s="0" t="s">
        <v>56</v>
      </c>
      <c r="J2481" s="13" t="n">
        <v>1577428</v>
      </c>
      <c r="L2481" s="13" t="n">
        <v>215659</v>
      </c>
      <c r="M2481" s="0" t="s">
        <v>52</v>
      </c>
      <c r="N2481" s="0" t="s">
        <v>45</v>
      </c>
      <c r="P2481" s="13" t="n">
        <v>101</v>
      </c>
      <c r="Q2481" s="0" t="s">
        <v>57</v>
      </c>
      <c r="R2481" s="0" t="s">
        <v>39</v>
      </c>
      <c r="S2481" s="13" t="n">
        <v>4210222</v>
      </c>
      <c r="T2481" s="0" t="s">
        <v>1256</v>
      </c>
      <c r="U2481" s="15" t="n">
        <v>522.5</v>
      </c>
      <c r="W2481" s="15" t="n">
        <v>0</v>
      </c>
      <c r="X2481" s="0" t="s">
        <v>2025</v>
      </c>
      <c r="Z2481" s="0" t="str">
        <f aca="false">IF($T2481="","",IFERROR(INDEX('Resumo Grupos'!$AC$3:$AC$200,MATCH($T2481,'Resumo Grupos'!$AB$3:$AB$200,0)),"n/d"))</f>
        <v>Despesa</v>
      </c>
      <c r="AA2481" s="0" t="str">
        <f aca="false">IF($T2481="","",IF(COUNTIF('Resumo Grupos'!$AE$3:$AE$40,$T2481)&gt;0,"NAO","SIM"))</f>
        <v>SIM</v>
      </c>
    </row>
    <row r="2482" customFormat="false" ht="12.75" hidden="false" customHeight="true" outlineLevel="0" collapsed="false">
      <c r="A2482" s="13" t="n">
        <v>2</v>
      </c>
      <c r="B2482" s="14" t="n">
        <v>46295</v>
      </c>
      <c r="C2482" s="14" t="n">
        <v>46308</v>
      </c>
      <c r="D2482" s="13" t="n">
        <v>1000054</v>
      </c>
      <c r="E2482" s="0" t="s">
        <v>2026</v>
      </c>
      <c r="F2482" s="13" t="n">
        <v>26</v>
      </c>
      <c r="G2482" s="0" t="s">
        <v>2027</v>
      </c>
      <c r="H2482" s="13" t="n">
        <v>2110701</v>
      </c>
      <c r="I2482" s="0" t="s">
        <v>2028</v>
      </c>
      <c r="J2482" s="13" t="n">
        <v>1806691</v>
      </c>
      <c r="L2482" s="13" t="n">
        <v>249199</v>
      </c>
      <c r="M2482" s="0" t="s">
        <v>52</v>
      </c>
      <c r="N2482" s="0" t="s">
        <v>2029</v>
      </c>
      <c r="P2482" s="13" t="n">
        <v>113</v>
      </c>
      <c r="Q2482" s="0" t="s">
        <v>46</v>
      </c>
      <c r="R2482" s="0" t="s">
        <v>1397</v>
      </c>
      <c r="S2482" s="13" t="n">
        <v>3110302</v>
      </c>
      <c r="T2482" s="0" t="s">
        <v>2030</v>
      </c>
      <c r="U2482" s="15" t="n">
        <v>5073.69</v>
      </c>
      <c r="W2482" s="15" t="n">
        <v>0</v>
      </c>
      <c r="X2482" s="0" t="s">
        <v>2031</v>
      </c>
      <c r="Z2482" s="0" t="str">
        <f aca="false">IF($T2482="","",IFERROR(INDEX('Resumo Grupos'!$AC$3:$AC$200,MATCH($T2482,'Resumo Grupos'!$AB$3:$AB$200,0)),"n/d"))</f>
        <v>Impostos</v>
      </c>
      <c r="AA2482" s="0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3" t="n">
        <v>2</v>
      </c>
      <c r="B2483" s="14" t="n">
        <v>46291</v>
      </c>
      <c r="C2483" s="14" t="n">
        <v>46308</v>
      </c>
      <c r="D2483" s="13" t="n">
        <v>1666</v>
      </c>
      <c r="E2483" s="0" t="s">
        <v>266</v>
      </c>
      <c r="F2483" s="13" t="n">
        <v>24</v>
      </c>
      <c r="G2483" s="0" t="s">
        <v>51</v>
      </c>
      <c r="H2483" s="13" t="n">
        <v>2110405</v>
      </c>
      <c r="I2483" s="0" t="s">
        <v>56</v>
      </c>
      <c r="J2483" s="13" t="n">
        <v>1759189</v>
      </c>
      <c r="L2483" s="13" t="n">
        <v>242274</v>
      </c>
      <c r="M2483" s="0" t="s">
        <v>52</v>
      </c>
      <c r="N2483" s="0" t="s">
        <v>45</v>
      </c>
      <c r="P2483" s="13" t="n">
        <v>113</v>
      </c>
      <c r="Q2483" s="0" t="s">
        <v>46</v>
      </c>
      <c r="R2483" s="0" t="s">
        <v>47</v>
      </c>
      <c r="S2483" s="13" t="n">
        <v>1130101</v>
      </c>
      <c r="T2483" s="0" t="s">
        <v>48</v>
      </c>
      <c r="U2483" s="15" t="n">
        <v>5272.66</v>
      </c>
      <c r="W2483" s="15" t="n">
        <v>0</v>
      </c>
      <c r="X2483" s="0" t="s">
        <v>1979</v>
      </c>
      <c r="Z2483" s="0" t="str">
        <f aca="false">IF($T2483="","",IFERROR(INDEX('Resumo Grupos'!$AC$3:$AC$200,MATCH($T2483,'Resumo Grupos'!$AB$3:$AB$200,0)),"n/d"))</f>
        <v>Mercadoria</v>
      </c>
      <c r="AA2483" s="0" t="str">
        <f aca="false">IF($T2483="","",IF(COUNTIF('Resumo Grupos'!$AE$3:$AE$40,$T2483)&gt;0,"NAO","SIM"))</f>
        <v>SIM</v>
      </c>
      <c r="AB2483" s="0" t="str">
        <f aca="false">IFERROR(INDEX('Mov Entradas (Rel 10497)'!$L:$L,MATCH(AC2483,'Mov Entradas (Rel 10497)'!$I:$I,0)),"nao encontrado")</f>
        <v>DUNHILL CARLTON BLEN</v>
      </c>
      <c r="AC2483" s="0" t="n">
        <v>575307</v>
      </c>
    </row>
    <row r="2484" customFormat="false" ht="12.75" hidden="false" customHeight="true" outlineLevel="0" collapsed="false">
      <c r="A2484" s="13" t="n">
        <v>2</v>
      </c>
      <c r="B2484" s="14" t="n">
        <v>46295</v>
      </c>
      <c r="C2484" s="14" t="n">
        <v>46309</v>
      </c>
      <c r="D2484" s="13" t="n">
        <v>1705</v>
      </c>
      <c r="E2484" s="0" t="s">
        <v>130</v>
      </c>
      <c r="F2484" s="13" t="n">
        <v>24</v>
      </c>
      <c r="G2484" s="0" t="s">
        <v>51</v>
      </c>
      <c r="H2484" s="13" t="n">
        <v>2110405</v>
      </c>
      <c r="I2484" s="0" t="s">
        <v>56</v>
      </c>
      <c r="J2484" s="13" t="n">
        <v>1779327</v>
      </c>
      <c r="L2484" s="13" t="n">
        <v>245075</v>
      </c>
      <c r="M2484" s="0" t="s">
        <v>52</v>
      </c>
      <c r="N2484" s="0" t="s">
        <v>45</v>
      </c>
      <c r="P2484" s="13" t="n">
        <v>113</v>
      </c>
      <c r="Q2484" s="0" t="s">
        <v>46</v>
      </c>
      <c r="R2484" s="0" t="s">
        <v>47</v>
      </c>
      <c r="S2484" s="13" t="n">
        <v>1130101</v>
      </c>
      <c r="T2484" s="0" t="s">
        <v>48</v>
      </c>
      <c r="U2484" s="15" t="n">
        <v>132.72</v>
      </c>
      <c r="W2484" s="15" t="n">
        <v>0</v>
      </c>
      <c r="X2484" s="0" t="s">
        <v>2032</v>
      </c>
      <c r="Z2484" s="0" t="str">
        <f aca="false">IF($T2484="","",IFERROR(INDEX('Resumo Grupos'!$AC$3:$AC$200,MATCH($T2484,'Resumo Grupos'!$AB$3:$AB$200,0)),"n/d"))</f>
        <v>Mercadoria</v>
      </c>
      <c r="AA2484" s="0" t="str">
        <f aca="false">IF($T2484="","",IF(COUNTIF('Resumo Grupos'!$AE$3:$AE$40,$T2484)&gt;0,"NAO","SIM"))</f>
        <v>SIM</v>
      </c>
      <c r="AB2484" s="0" t="str">
        <f aca="false">IFERROR(INDEX('Mov Entradas (Rel 10497)'!$L:$L,MATCH(AC2484,'Mov Entradas (Rel 10497)'!$I:$I,0)),"nao encontrado")</f>
        <v>REFRI. SPRITE LEMON</v>
      </c>
      <c r="AC2484" s="0" t="n">
        <v>2066814</v>
      </c>
    </row>
    <row r="2485" customFormat="false" ht="12.75" hidden="false" customHeight="true" outlineLevel="0" collapsed="false">
      <c r="A2485" s="13" t="n">
        <v>2</v>
      </c>
      <c r="B2485" s="14" t="n">
        <v>46295</v>
      </c>
      <c r="C2485" s="14" t="n">
        <v>46309</v>
      </c>
      <c r="D2485" s="13" t="n">
        <v>1705</v>
      </c>
      <c r="E2485" s="0" t="s">
        <v>130</v>
      </c>
      <c r="F2485" s="13" t="n">
        <v>24</v>
      </c>
      <c r="G2485" s="0" t="s">
        <v>51</v>
      </c>
      <c r="H2485" s="13" t="n">
        <v>2110405</v>
      </c>
      <c r="I2485" s="0" t="s">
        <v>56</v>
      </c>
      <c r="J2485" s="13" t="n">
        <v>1779374</v>
      </c>
      <c r="L2485" s="13" t="n">
        <v>245087</v>
      </c>
      <c r="M2485" s="0" t="s">
        <v>52</v>
      </c>
      <c r="N2485" s="0" t="s">
        <v>45</v>
      </c>
      <c r="P2485" s="13" t="n">
        <v>113</v>
      </c>
      <c r="Q2485" s="0" t="s">
        <v>46</v>
      </c>
      <c r="R2485" s="0" t="s">
        <v>47</v>
      </c>
      <c r="S2485" s="13" t="n">
        <v>1130101</v>
      </c>
      <c r="T2485" s="0" t="s">
        <v>48</v>
      </c>
      <c r="U2485" s="15" t="n">
        <v>152.55</v>
      </c>
      <c r="W2485" s="15" t="n">
        <v>0</v>
      </c>
      <c r="X2485" s="0" t="s">
        <v>2033</v>
      </c>
      <c r="Z2485" s="0" t="str">
        <f aca="false">IF($T2485="","",IFERROR(INDEX('Resumo Grupos'!$AC$3:$AC$200,MATCH($T2485,'Resumo Grupos'!$AB$3:$AB$200,0)),"n/d"))</f>
        <v>Mercadoria</v>
      </c>
      <c r="AA2485" s="0" t="str">
        <f aca="false">IF($T2485="","",IF(COUNTIF('Resumo Grupos'!$AE$3:$AE$40,$T2485)&gt;0,"NAO","SIM"))</f>
        <v>SIM</v>
      </c>
      <c r="AB2485" s="0" t="str">
        <f aca="false">IFERROR(INDEX('Mov Entradas (Rel 10497)'!$L:$L,MATCH(AC2485,'Mov Entradas (Rel 10497)'!$I:$I,0)),"nao encontrado")</f>
        <v>MONSTER ENERGY ULTRA</v>
      </c>
      <c r="AC2485" s="0" t="n">
        <v>1309311</v>
      </c>
    </row>
    <row r="2486" customFormat="false" ht="12.75" hidden="false" customHeight="true" outlineLevel="0" collapsed="false">
      <c r="A2486" s="13" t="n">
        <v>2</v>
      </c>
      <c r="B2486" s="14" t="n">
        <v>46295</v>
      </c>
      <c r="C2486" s="14" t="n">
        <v>46309</v>
      </c>
      <c r="D2486" s="13" t="n">
        <v>1705</v>
      </c>
      <c r="E2486" s="0" t="s">
        <v>130</v>
      </c>
      <c r="F2486" s="13" t="n">
        <v>24</v>
      </c>
      <c r="G2486" s="0" t="s">
        <v>51</v>
      </c>
      <c r="H2486" s="13" t="n">
        <v>2110405</v>
      </c>
      <c r="I2486" s="0" t="s">
        <v>56</v>
      </c>
      <c r="J2486" s="13" t="n">
        <v>1779405</v>
      </c>
      <c r="L2486" s="13" t="n">
        <v>245096</v>
      </c>
      <c r="M2486" s="0" t="s">
        <v>52</v>
      </c>
      <c r="N2486" s="0" t="s">
        <v>45</v>
      </c>
      <c r="P2486" s="13" t="n">
        <v>113</v>
      </c>
      <c r="Q2486" s="0" t="s">
        <v>46</v>
      </c>
      <c r="R2486" s="0" t="s">
        <v>47</v>
      </c>
      <c r="S2486" s="13" t="n">
        <v>1130101</v>
      </c>
      <c r="T2486" s="0" t="s">
        <v>48</v>
      </c>
      <c r="U2486" s="15" t="n">
        <v>610.26</v>
      </c>
      <c r="W2486" s="15" t="n">
        <v>0</v>
      </c>
      <c r="X2486" s="0" t="s">
        <v>2034</v>
      </c>
      <c r="Z2486" s="0" t="str">
        <f aca="false">IF($T2486="","",IFERROR(INDEX('Resumo Grupos'!$AC$3:$AC$200,MATCH($T2486,'Resumo Grupos'!$AB$3:$AB$200,0)),"n/d"))</f>
        <v>Mercadoria</v>
      </c>
      <c r="AA2486" s="0" t="str">
        <f aca="false">IF($T2486="","",IF(COUNTIF('Resumo Grupos'!$AE$3:$AE$40,$T2486)&gt;0,"NAO","SIM"))</f>
        <v>SIM</v>
      </c>
      <c r="AB2486" s="0" t="str">
        <f aca="false">IFERROR(INDEX('Mov Entradas (Rel 10497)'!$L:$L,MATCH(AC2486,'Mov Entradas (Rel 10497)'!$I:$I,0)),"nao encontrado")</f>
        <v>MONSTER ENERGY 473ML</v>
      </c>
      <c r="AC2486" s="0" t="n">
        <v>1309310</v>
      </c>
    </row>
    <row r="2487" customFormat="false" ht="12.75" hidden="false" customHeight="true" outlineLevel="0" collapsed="false">
      <c r="A2487" s="13" t="n">
        <v>2</v>
      </c>
      <c r="B2487" s="14" t="n">
        <v>46295</v>
      </c>
      <c r="C2487" s="14" t="n">
        <v>46309</v>
      </c>
      <c r="D2487" s="13" t="n">
        <v>1705</v>
      </c>
      <c r="E2487" s="0" t="s">
        <v>130</v>
      </c>
      <c r="F2487" s="13" t="n">
        <v>24</v>
      </c>
      <c r="G2487" s="0" t="s">
        <v>51</v>
      </c>
      <c r="H2487" s="13" t="n">
        <v>2110405</v>
      </c>
      <c r="I2487" s="0" t="s">
        <v>56</v>
      </c>
      <c r="J2487" s="13" t="n">
        <v>1779449</v>
      </c>
      <c r="L2487" s="13" t="n">
        <v>245101</v>
      </c>
      <c r="M2487" s="0" t="s">
        <v>52</v>
      </c>
      <c r="N2487" s="0" t="s">
        <v>45</v>
      </c>
      <c r="P2487" s="13" t="n">
        <v>113</v>
      </c>
      <c r="Q2487" s="0" t="s">
        <v>46</v>
      </c>
      <c r="R2487" s="0" t="s">
        <v>47</v>
      </c>
      <c r="S2487" s="13" t="n">
        <v>1130101</v>
      </c>
      <c r="T2487" s="0" t="s">
        <v>48</v>
      </c>
      <c r="U2487" s="15" t="n">
        <v>2952.06</v>
      </c>
      <c r="W2487" s="15" t="n">
        <v>0</v>
      </c>
      <c r="X2487" s="0" t="s">
        <v>2035</v>
      </c>
      <c r="Z2487" s="0" t="str">
        <f aca="false">IF($T2487="","",IFERROR(INDEX('Resumo Grupos'!$AC$3:$AC$200,MATCH($T2487,'Resumo Grupos'!$AB$3:$AB$200,0)),"n/d"))</f>
        <v>Mercadoria</v>
      </c>
      <c r="AA2487" s="0" t="str">
        <f aca="false">IF($T2487="","",IF(COUNTIF('Resumo Grupos'!$AE$3:$AE$40,$T2487)&gt;0,"NAO","SIM"))</f>
        <v>SIM</v>
      </c>
      <c r="AB2487" s="0" t="str">
        <f aca="false">IFERROR(INDEX('Mov Entradas (Rel 10497)'!$L:$L,MATCH(AC2487,'Mov Entradas (Rel 10497)'!$I:$I,0)),"nao encontrado")</f>
        <v>FANTA LAR 1,5L</v>
      </c>
      <c r="AC2487" s="0" t="n">
        <v>2067069</v>
      </c>
    </row>
    <row r="2488" customFormat="false" ht="12.75" hidden="false" customHeight="true" outlineLevel="0" collapsed="false">
      <c r="A2488" s="13" t="n">
        <v>2</v>
      </c>
      <c r="B2488" s="14" t="n">
        <v>46290</v>
      </c>
      <c r="C2488" s="14" t="n">
        <v>46309</v>
      </c>
      <c r="D2488" s="13" t="n">
        <v>1613</v>
      </c>
      <c r="E2488" s="0" t="s">
        <v>50</v>
      </c>
      <c r="F2488" s="13" t="n">
        <v>24</v>
      </c>
      <c r="G2488" s="0" t="s">
        <v>51</v>
      </c>
      <c r="H2488" s="13" t="n">
        <v>2110405</v>
      </c>
      <c r="I2488" s="0" t="s">
        <v>56</v>
      </c>
      <c r="J2488" s="13" t="n">
        <v>1756308</v>
      </c>
      <c r="L2488" s="13" t="n">
        <v>241903</v>
      </c>
      <c r="M2488" s="0" t="s">
        <v>52</v>
      </c>
      <c r="N2488" s="0" t="s">
        <v>45</v>
      </c>
      <c r="P2488" s="13" t="n">
        <v>113</v>
      </c>
      <c r="Q2488" s="0" t="s">
        <v>46</v>
      </c>
      <c r="R2488" s="0" t="s">
        <v>47</v>
      </c>
      <c r="S2488" s="13" t="n">
        <v>1130101</v>
      </c>
      <c r="T2488" s="0" t="s">
        <v>48</v>
      </c>
      <c r="U2488" s="15" t="n">
        <v>321.29</v>
      </c>
      <c r="W2488" s="15" t="n">
        <v>0</v>
      </c>
      <c r="X2488" s="0" t="s">
        <v>1990</v>
      </c>
      <c r="Z2488" s="0" t="str">
        <f aca="false">IF($T2488="","",IFERROR(INDEX('Resumo Grupos'!$AC$3:$AC$200,MATCH($T2488,'Resumo Grupos'!$AB$3:$AB$200,0)),"n/d"))</f>
        <v>Mercadoria</v>
      </c>
      <c r="AA2488" s="0" t="str">
        <f aca="false">IF($T2488="","",IF(COUNTIF('Resumo Grupos'!$AE$3:$AE$40,$T2488)&gt;0,"NAO","SIM"))</f>
        <v>SIM</v>
      </c>
      <c r="AB2488" s="0" t="str">
        <f aca="false">IFERROR(INDEX('Mov Entradas (Rel 10497)'!$L:$L,MATCH(AC2488,'Mov Entradas (Rel 10497)'!$I:$I,0)),"nao encontrado")</f>
        <v>MARGARINA QUALY 250G</v>
      </c>
      <c r="AC2488" s="0" t="n">
        <v>1634890</v>
      </c>
    </row>
    <row r="2489" customFormat="false" ht="12.75" hidden="false" customHeight="true" outlineLevel="0" collapsed="false">
      <c r="A2489" s="13" t="n">
        <v>2</v>
      </c>
      <c r="B2489" s="14" t="n">
        <v>46297</v>
      </c>
      <c r="C2489" s="14" t="n">
        <v>46309</v>
      </c>
      <c r="D2489" s="13" t="n">
        <v>1613</v>
      </c>
      <c r="E2489" s="0" t="s">
        <v>50</v>
      </c>
      <c r="F2489" s="13" t="n">
        <v>24</v>
      </c>
      <c r="G2489" s="0" t="s">
        <v>51</v>
      </c>
      <c r="H2489" s="13" t="n">
        <v>2110405</v>
      </c>
      <c r="I2489" s="0" t="s">
        <v>56</v>
      </c>
      <c r="J2489" s="13" t="n">
        <v>1789428</v>
      </c>
      <c r="L2489" s="13" t="n">
        <v>246612</v>
      </c>
      <c r="M2489" s="0" t="s">
        <v>52</v>
      </c>
      <c r="N2489" s="0" t="s">
        <v>45</v>
      </c>
      <c r="P2489" s="13" t="n">
        <v>113</v>
      </c>
      <c r="Q2489" s="0" t="s">
        <v>46</v>
      </c>
      <c r="R2489" s="0" t="s">
        <v>47</v>
      </c>
      <c r="S2489" s="13" t="n">
        <v>1130101</v>
      </c>
      <c r="T2489" s="0" t="s">
        <v>48</v>
      </c>
      <c r="U2489" s="15" t="n">
        <v>680.48</v>
      </c>
      <c r="W2489" s="15" t="n">
        <v>0</v>
      </c>
      <c r="X2489" s="0" t="s">
        <v>2036</v>
      </c>
      <c r="Z2489" s="0" t="str">
        <f aca="false">IF($T2489="","",IFERROR(INDEX('Resumo Grupos'!$AC$3:$AC$200,MATCH($T2489,'Resumo Grupos'!$AB$3:$AB$200,0)),"n/d"))</f>
        <v>Mercadoria</v>
      </c>
      <c r="AA2489" s="0" t="str">
        <f aca="false">IF($T2489="","",IF(COUNTIF('Resumo Grupos'!$AE$3:$AE$40,$T2489)&gt;0,"NAO","SIM"))</f>
        <v>SIM</v>
      </c>
      <c r="AB2489" s="0" t="str">
        <f aca="false">IFERROR(INDEX('Mov Entradas (Rel 10497)'!$L:$L,MATCH(AC2489,'Mov Entradas (Rel 10497)'!$I:$I,0)),"nao encontrado")</f>
        <v>SALSICHA PERDIGÃO KG</v>
      </c>
      <c r="AC2489" s="0" t="n">
        <v>1637369</v>
      </c>
    </row>
    <row r="2490" customFormat="false" ht="12.75" hidden="false" customHeight="true" outlineLevel="0" collapsed="false">
      <c r="A2490" s="13" t="n">
        <v>2</v>
      </c>
      <c r="B2490" s="14" t="n">
        <v>46288</v>
      </c>
      <c r="C2490" s="14" t="n">
        <v>46309</v>
      </c>
      <c r="D2490" s="13" t="n">
        <v>1601</v>
      </c>
      <c r="E2490" s="0" t="s">
        <v>193</v>
      </c>
      <c r="F2490" s="13" t="n">
        <v>24</v>
      </c>
      <c r="G2490" s="0" t="s">
        <v>51</v>
      </c>
      <c r="H2490" s="13" t="n">
        <v>2110405</v>
      </c>
      <c r="I2490" s="0" t="s">
        <v>56</v>
      </c>
      <c r="J2490" s="13" t="n">
        <v>1744624</v>
      </c>
      <c r="L2490" s="13" t="n">
        <v>240188</v>
      </c>
      <c r="M2490" s="0" t="s">
        <v>52</v>
      </c>
      <c r="N2490" s="0" t="s">
        <v>45</v>
      </c>
      <c r="P2490" s="13" t="n">
        <v>113</v>
      </c>
      <c r="Q2490" s="0" t="s">
        <v>46</v>
      </c>
      <c r="R2490" s="0" t="s">
        <v>47</v>
      </c>
      <c r="S2490" s="13" t="n">
        <v>1130101</v>
      </c>
      <c r="T2490" s="0" t="s">
        <v>48</v>
      </c>
      <c r="U2490" s="15" t="n">
        <v>296.4</v>
      </c>
      <c r="W2490" s="15" t="n">
        <v>0</v>
      </c>
      <c r="X2490" s="0" t="s">
        <v>1991</v>
      </c>
      <c r="Z2490" s="0" t="str">
        <f aca="false">IF($T2490="","",IFERROR(INDEX('Resumo Grupos'!$AC$3:$AC$200,MATCH($T2490,'Resumo Grupos'!$AB$3:$AB$200,0)),"n/d"))</f>
        <v>Mercadoria</v>
      </c>
      <c r="AA2490" s="0" t="str">
        <f aca="false">IF($T2490="","",IF(COUNTIF('Resumo Grupos'!$AE$3:$AE$40,$T2490)&gt;0,"NAO","SIM"))</f>
        <v>SIM</v>
      </c>
      <c r="AB2490" s="0" t="str">
        <f aca="false">IFERROR(INDEX('Mov Entradas (Rel 10497)'!$L:$L,MATCH(AC2490,'Mov Entradas (Rel 10497)'!$I:$I,0)),"nao encontrado")</f>
        <v>SKILHOS HILEIA QUEIJ</v>
      </c>
      <c r="AC2490" s="0" t="n">
        <v>874491</v>
      </c>
    </row>
    <row r="2491" customFormat="false" ht="12.75" hidden="false" customHeight="true" outlineLevel="0" collapsed="false">
      <c r="A2491" s="13" t="n">
        <v>2</v>
      </c>
      <c r="B2491" s="14" t="n">
        <v>46282</v>
      </c>
      <c r="C2491" s="14" t="n">
        <v>46310</v>
      </c>
      <c r="D2491" s="13" t="n">
        <v>1659</v>
      </c>
      <c r="E2491" s="0" t="s">
        <v>214</v>
      </c>
      <c r="F2491" s="13" t="n">
        <v>24</v>
      </c>
      <c r="G2491" s="0" t="s">
        <v>51</v>
      </c>
      <c r="H2491" s="13" t="n">
        <v>2110405</v>
      </c>
      <c r="I2491" s="0" t="s">
        <v>56</v>
      </c>
      <c r="J2491" s="13" t="n">
        <v>1714733</v>
      </c>
      <c r="L2491" s="13" t="n">
        <v>235611</v>
      </c>
      <c r="M2491" s="0" t="s">
        <v>52</v>
      </c>
      <c r="N2491" s="0" t="s">
        <v>45</v>
      </c>
      <c r="P2491" s="13" t="n">
        <v>113</v>
      </c>
      <c r="Q2491" s="0" t="s">
        <v>46</v>
      </c>
      <c r="R2491" s="0" t="s">
        <v>47</v>
      </c>
      <c r="S2491" s="13" t="n">
        <v>1130101</v>
      </c>
      <c r="T2491" s="0" t="s">
        <v>48</v>
      </c>
      <c r="U2491" s="15" t="n">
        <v>1121.36</v>
      </c>
      <c r="W2491" s="15" t="n">
        <v>0</v>
      </c>
      <c r="X2491" s="0" t="s">
        <v>1917</v>
      </c>
      <c r="Z2491" s="0" t="str">
        <f aca="false">IF($T2491="","",IFERROR(INDEX('Resumo Grupos'!$AC$3:$AC$200,MATCH($T2491,'Resumo Grupos'!$AB$3:$AB$200,0)),"n/d"))</f>
        <v>Mercadoria</v>
      </c>
      <c r="AA2491" s="0" t="str">
        <f aca="false">IF($T2491="","",IF(COUNTIF('Resumo Grupos'!$AE$3:$AE$40,$T2491)&gt;0,"NAO","SIM"))</f>
        <v>SIM</v>
      </c>
      <c r="AB2491" s="0" t="str">
        <f aca="false">IFERROR(INDEX('Mov Entradas (Rel 10497)'!$L:$L,MATCH(AC2491,'Mov Entradas (Rel 10497)'!$I:$I,0)),"nao encontrado")</f>
        <v>BISC TODESCHINI MAIZ</v>
      </c>
      <c r="AC2491" s="0" t="n">
        <v>895938</v>
      </c>
    </row>
    <row r="2492" customFormat="false" ht="12.75" hidden="false" customHeight="true" outlineLevel="0" collapsed="false">
      <c r="A2492" s="13" t="n">
        <v>2</v>
      </c>
      <c r="B2492" s="14" t="n">
        <v>46290</v>
      </c>
      <c r="C2492" s="14" t="n">
        <v>46310</v>
      </c>
      <c r="D2492" s="13" t="n">
        <v>1695</v>
      </c>
      <c r="E2492" s="0" t="s">
        <v>390</v>
      </c>
      <c r="F2492" s="13" t="n">
        <v>24</v>
      </c>
      <c r="G2492" s="0" t="s">
        <v>51</v>
      </c>
      <c r="H2492" s="13" t="n">
        <v>2110405</v>
      </c>
      <c r="I2492" s="0" t="s">
        <v>56</v>
      </c>
      <c r="J2492" s="13" t="n">
        <v>1755313</v>
      </c>
      <c r="L2492" s="13" t="n">
        <v>241694</v>
      </c>
      <c r="M2492" s="0" t="s">
        <v>52</v>
      </c>
      <c r="N2492" s="0" t="s">
        <v>45</v>
      </c>
      <c r="P2492" s="13" t="n">
        <v>113</v>
      </c>
      <c r="Q2492" s="0" t="s">
        <v>46</v>
      </c>
      <c r="R2492" s="0" t="s">
        <v>47</v>
      </c>
      <c r="S2492" s="13" t="n">
        <v>1130101</v>
      </c>
      <c r="T2492" s="0" t="s">
        <v>48</v>
      </c>
      <c r="U2492" s="15" t="n">
        <v>1347.22</v>
      </c>
      <c r="W2492" s="15" t="n">
        <v>0</v>
      </c>
      <c r="X2492" s="0" t="s">
        <v>1919</v>
      </c>
      <c r="Z2492" s="0" t="str">
        <f aca="false">IF($T2492="","",IFERROR(INDEX('Resumo Grupos'!$AC$3:$AC$200,MATCH($T2492,'Resumo Grupos'!$AB$3:$AB$200,0)),"n/d"))</f>
        <v>Mercadoria</v>
      </c>
      <c r="AA2492" s="0" t="str">
        <f aca="false">IF($T2492="","",IF(COUNTIF('Resumo Grupos'!$AE$3:$AE$40,$T2492)&gt;0,"NAO","SIM"))</f>
        <v>SIM</v>
      </c>
      <c r="AB2492" s="0" t="str">
        <f aca="false">IFERROR(INDEX('Mov Entradas (Rel 10497)'!$L:$L,MATCH(AC2492,'Mov Entradas (Rel 10497)'!$I:$I,0)),"nao encontrado")</f>
        <v>SUCO JANDAI CAJU500M</v>
      </c>
      <c r="AC2492" s="0" t="n">
        <v>20716</v>
      </c>
    </row>
    <row r="2493" customFormat="false" ht="12.75" hidden="false" customHeight="true" outlineLevel="0" collapsed="false">
      <c r="A2493" s="13" t="n">
        <v>2</v>
      </c>
      <c r="B2493" s="14" t="n">
        <v>46288</v>
      </c>
      <c r="C2493" s="14" t="n">
        <v>46310</v>
      </c>
      <c r="D2493" s="13" t="n">
        <v>1718</v>
      </c>
      <c r="E2493" s="0" t="s">
        <v>236</v>
      </c>
      <c r="F2493" s="13" t="n">
        <v>24</v>
      </c>
      <c r="G2493" s="0" t="s">
        <v>51</v>
      </c>
      <c r="H2493" s="13" t="n">
        <v>2110405</v>
      </c>
      <c r="I2493" s="0" t="s">
        <v>56</v>
      </c>
      <c r="J2493" s="13" t="n">
        <v>1745283</v>
      </c>
      <c r="L2493" s="13" t="n">
        <v>240344</v>
      </c>
      <c r="M2493" s="0" t="s">
        <v>52</v>
      </c>
      <c r="N2493" s="0" t="s">
        <v>45</v>
      </c>
      <c r="P2493" s="13" t="n">
        <v>113</v>
      </c>
      <c r="Q2493" s="0" t="s">
        <v>46</v>
      </c>
      <c r="R2493" s="0" t="s">
        <v>47</v>
      </c>
      <c r="S2493" s="13" t="n">
        <v>1130101</v>
      </c>
      <c r="T2493" s="0" t="s">
        <v>48</v>
      </c>
      <c r="U2493" s="15" t="n">
        <v>359.5</v>
      </c>
      <c r="W2493" s="15" t="n">
        <v>0</v>
      </c>
      <c r="X2493" s="0" t="s">
        <v>2037</v>
      </c>
      <c r="Z2493" s="0" t="str">
        <f aca="false">IF($T2493="","",IFERROR(INDEX('Resumo Grupos'!$AC$3:$AC$200,MATCH($T2493,'Resumo Grupos'!$AB$3:$AB$200,0)),"n/d"))</f>
        <v>Mercadoria</v>
      </c>
      <c r="AA2493" s="0" t="str">
        <f aca="false">IF($T2493="","",IF(COUNTIF('Resumo Grupos'!$AE$3:$AE$40,$T2493)&gt;0,"NAO","SIM"))</f>
        <v>SIM</v>
      </c>
      <c r="AB2493" s="0" t="str">
        <f aca="false">IFERROR(INDEX('Mov Entradas (Rel 10497)'!$L:$L,MATCH(AC2493,'Mov Entradas (Rel 10497)'!$I:$I,0)),"nao encontrado")</f>
        <v>ISQUEIRO BIC PEQ.</v>
      </c>
      <c r="AC2493" s="0" t="n">
        <v>698007</v>
      </c>
    </row>
    <row r="2494" customFormat="false" ht="12.75" hidden="false" customHeight="true" outlineLevel="0" collapsed="false">
      <c r="A2494" s="13" t="n">
        <v>2</v>
      </c>
      <c r="B2494" s="14" t="n">
        <v>46279</v>
      </c>
      <c r="C2494" s="14" t="n">
        <v>46310</v>
      </c>
      <c r="D2494" s="13" t="n">
        <v>1218</v>
      </c>
      <c r="E2494" s="0" t="s">
        <v>659</v>
      </c>
      <c r="F2494" s="13" t="n">
        <v>24</v>
      </c>
      <c r="G2494" s="0" t="s">
        <v>51</v>
      </c>
      <c r="H2494" s="13" t="n">
        <v>2110405</v>
      </c>
      <c r="I2494" s="0" t="s">
        <v>56</v>
      </c>
      <c r="J2494" s="13" t="n">
        <v>1702972</v>
      </c>
      <c r="L2494" s="13" t="n">
        <v>233737</v>
      </c>
      <c r="M2494" s="0" t="s">
        <v>52</v>
      </c>
      <c r="N2494" s="0" t="s">
        <v>45</v>
      </c>
      <c r="P2494" s="13" t="n">
        <v>113</v>
      </c>
      <c r="Q2494" s="0" t="s">
        <v>46</v>
      </c>
      <c r="R2494" s="0" t="s">
        <v>47</v>
      </c>
      <c r="S2494" s="13" t="n">
        <v>1130101</v>
      </c>
      <c r="T2494" s="0" t="s">
        <v>48</v>
      </c>
      <c r="U2494" s="15" t="n">
        <v>803.5</v>
      </c>
      <c r="W2494" s="15" t="n">
        <v>0</v>
      </c>
      <c r="X2494" s="0" t="s">
        <v>1761</v>
      </c>
      <c r="Z2494" s="0" t="str">
        <f aca="false">IF($T2494="","",IFERROR(INDEX('Resumo Grupos'!$AC$3:$AC$200,MATCH($T2494,'Resumo Grupos'!$AB$3:$AB$200,0)),"n/d"))</f>
        <v>Mercadoria</v>
      </c>
      <c r="AA2494" s="0" t="str">
        <f aca="false">IF($T2494="","",IF(COUNTIF('Resumo Grupos'!$AE$3:$AE$40,$T2494)&gt;0,"NAO","SIM"))</f>
        <v>SIM</v>
      </c>
      <c r="AB2494" s="0" t="str">
        <f aca="false">IFERROR(INDEX('Mov Entradas (Rel 10497)'!$L:$L,MATCH(AC2494,'Mov Entradas (Rel 10497)'!$I:$I,0)),"nao encontrado")</f>
        <v>COLA POLYTUBES ADESI</v>
      </c>
      <c r="AC2494" s="0" t="n">
        <v>11105</v>
      </c>
    </row>
    <row r="2495" customFormat="false" ht="12.75" hidden="false" customHeight="true" outlineLevel="0" collapsed="false">
      <c r="A2495" s="13" t="n">
        <v>2</v>
      </c>
      <c r="B2495" s="14" t="n">
        <v>46295</v>
      </c>
      <c r="C2495" s="14" t="n">
        <v>46310</v>
      </c>
      <c r="D2495" s="13" t="n">
        <v>1266</v>
      </c>
      <c r="E2495" s="0" t="s">
        <v>804</v>
      </c>
      <c r="F2495" s="13" t="n">
        <v>24</v>
      </c>
      <c r="G2495" s="0" t="s">
        <v>51</v>
      </c>
      <c r="H2495" s="13" t="n">
        <v>2110405</v>
      </c>
      <c r="I2495" s="0" t="s">
        <v>56</v>
      </c>
      <c r="J2495" s="13" t="n">
        <v>1780605</v>
      </c>
      <c r="L2495" s="13" t="n">
        <v>245360</v>
      </c>
      <c r="M2495" s="0" t="s">
        <v>52</v>
      </c>
      <c r="N2495" s="0" t="s">
        <v>45</v>
      </c>
      <c r="P2495" s="13" t="n">
        <v>113</v>
      </c>
      <c r="Q2495" s="0" t="s">
        <v>46</v>
      </c>
      <c r="R2495" s="0" t="s">
        <v>39</v>
      </c>
      <c r="S2495" s="13" t="n">
        <v>4210227</v>
      </c>
      <c r="T2495" s="0" t="s">
        <v>68</v>
      </c>
      <c r="U2495" s="15" t="n">
        <v>638</v>
      </c>
      <c r="W2495" s="15" t="n">
        <v>0</v>
      </c>
      <c r="X2495" s="0" t="s">
        <v>2038</v>
      </c>
      <c r="Z2495" s="0" t="str">
        <f aca="false">IF($T2495="","",IFERROR(INDEX('Resumo Grupos'!$AC$3:$AC$200,MATCH($T2495,'Resumo Grupos'!$AB$3:$AB$200,0)),"n/d"))</f>
        <v>Despesa</v>
      </c>
      <c r="AA2495" s="0" t="str">
        <f aca="false">IF($T2495="","",IF(COUNTIF('Resumo Grupos'!$AE$3:$AE$40,$T2495)&gt;0,"NAO","SIM"))</f>
        <v>SIM</v>
      </c>
      <c r="AB2495" s="0" t="str">
        <f aca="false">IFERROR(INDEX('Mov Entradas (Rel 10497)'!$L:$L,MATCH(AC2495,'Mov Entradas (Rel 10497)'!$I:$I,0)),"nao encontrado")</f>
        <v>LUVA VINIL VABENE S/</v>
      </c>
      <c r="AC2495" s="0" t="n">
        <v>2828</v>
      </c>
    </row>
    <row r="2496" customFormat="false" ht="12.75" hidden="false" customHeight="true" outlineLevel="0" collapsed="false">
      <c r="A2496" s="13" t="n">
        <v>2</v>
      </c>
      <c r="B2496" s="14" t="n">
        <v>46097</v>
      </c>
      <c r="C2496" s="14" t="n">
        <v>46310</v>
      </c>
      <c r="D2496" s="13" t="n">
        <v>1867</v>
      </c>
      <c r="E2496" s="0" t="s">
        <v>420</v>
      </c>
      <c r="F2496" s="13" t="n">
        <v>24</v>
      </c>
      <c r="G2496" s="0" t="s">
        <v>51</v>
      </c>
      <c r="H2496" s="13" t="n">
        <v>2110405</v>
      </c>
      <c r="I2496" s="0" t="s">
        <v>56</v>
      </c>
      <c r="J2496" s="13" t="n">
        <v>808550</v>
      </c>
      <c r="L2496" s="13" t="n">
        <v>2026</v>
      </c>
      <c r="M2496" s="0" t="s">
        <v>701</v>
      </c>
      <c r="N2496" s="0" t="s">
        <v>45</v>
      </c>
      <c r="P2496" s="13" t="n">
        <v>101</v>
      </c>
      <c r="Q2496" s="0" t="s">
        <v>57</v>
      </c>
      <c r="R2496" s="0" t="s">
        <v>421</v>
      </c>
      <c r="S2496" s="13" t="n">
        <v>4210401</v>
      </c>
      <c r="T2496" s="0" t="s">
        <v>422</v>
      </c>
      <c r="U2496" s="15" t="n">
        <v>228.88</v>
      </c>
      <c r="W2496" s="15" t="n">
        <v>0</v>
      </c>
      <c r="X2496" s="0" t="s">
        <v>2039</v>
      </c>
      <c r="Z2496" s="0" t="str">
        <f aca="false">IF($T2496="","",IFERROR(INDEX('Resumo Grupos'!$AC$3:$AC$200,MATCH($T2496,'Resumo Grupos'!$AB$3:$AB$200,0)),"n/d"))</f>
        <v>Impostos</v>
      </c>
      <c r="AA2496" s="0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3" t="n">
        <v>2</v>
      </c>
      <c r="B2497" s="14" t="n">
        <v>46282</v>
      </c>
      <c r="C2497" s="14" t="n">
        <v>46310</v>
      </c>
      <c r="D2497" s="13" t="n">
        <v>607</v>
      </c>
      <c r="E2497" s="0" t="s">
        <v>281</v>
      </c>
      <c r="F2497" s="13" t="n">
        <v>24</v>
      </c>
      <c r="G2497" s="0" t="s">
        <v>51</v>
      </c>
      <c r="H2497" s="13" t="n">
        <v>2110405</v>
      </c>
      <c r="I2497" s="0" t="s">
        <v>56</v>
      </c>
      <c r="J2497" s="13" t="n">
        <v>1716179</v>
      </c>
      <c r="L2497" s="13" t="n">
        <v>235896</v>
      </c>
      <c r="M2497" s="0" t="s">
        <v>52</v>
      </c>
      <c r="N2497" s="0" t="s">
        <v>45</v>
      </c>
      <c r="P2497" s="13" t="n">
        <v>113</v>
      </c>
      <c r="Q2497" s="0" t="s">
        <v>46</v>
      </c>
      <c r="R2497" s="0" t="s">
        <v>47</v>
      </c>
      <c r="S2497" s="13" t="n">
        <v>1130101</v>
      </c>
      <c r="T2497" s="0" t="s">
        <v>48</v>
      </c>
      <c r="U2497" s="15" t="n">
        <v>786.59</v>
      </c>
      <c r="W2497" s="15" t="n">
        <v>0</v>
      </c>
      <c r="X2497" s="0" t="s">
        <v>1975</v>
      </c>
      <c r="Z2497" s="0" t="str">
        <f aca="false">IF($T2497="","",IFERROR(INDEX('Resumo Grupos'!$AC$3:$AC$200,MATCH($T2497,'Resumo Grupos'!$AB$3:$AB$200,0)),"n/d"))</f>
        <v>Mercadoria</v>
      </c>
      <c r="AA2497" s="0" t="str">
        <f aca="false">IF($T2497="","",IF(COUNTIF('Resumo Grupos'!$AE$3:$AE$40,$T2497)&gt;0,"NAO","SIM"))</f>
        <v>SIM</v>
      </c>
      <c r="AB2497" s="0" t="str">
        <f aca="false">IFERROR(INDEX('Mov Entradas (Rel 10497)'!$L:$L,MATCH(AC2497,'Mov Entradas (Rel 10497)'!$I:$I,0)),"nao encontrado")</f>
        <v>RC BESSER NATURAL GT CAST KG</v>
      </c>
      <c r="AC2497" s="0" t="n">
        <v>11681</v>
      </c>
    </row>
    <row r="2498" customFormat="false" ht="12.75" hidden="false" customHeight="true" outlineLevel="0" collapsed="false">
      <c r="A2498" s="13" t="n">
        <v>2</v>
      </c>
      <c r="B2498" s="14" t="n">
        <v>46127</v>
      </c>
      <c r="C2498" s="14" t="n">
        <v>46310</v>
      </c>
      <c r="D2498" s="13" t="n">
        <v>512</v>
      </c>
      <c r="E2498" s="0" t="s">
        <v>429</v>
      </c>
      <c r="F2498" s="13" t="n">
        <v>34</v>
      </c>
      <c r="G2498" s="0" t="s">
        <v>55</v>
      </c>
      <c r="H2498" s="13" t="n">
        <v>2110405</v>
      </c>
      <c r="I2498" s="0" t="s">
        <v>56</v>
      </c>
      <c r="J2498" s="13" t="n">
        <v>954215</v>
      </c>
      <c r="L2498" s="13" t="n">
        <v>126220</v>
      </c>
      <c r="M2498" s="0" t="s">
        <v>80</v>
      </c>
      <c r="N2498" s="0" t="s">
        <v>45</v>
      </c>
      <c r="P2498" s="13" t="n">
        <v>101</v>
      </c>
      <c r="Q2498" s="0" t="s">
        <v>57</v>
      </c>
      <c r="R2498" s="0" t="s">
        <v>430</v>
      </c>
      <c r="S2498" s="13" t="n">
        <v>4210111</v>
      </c>
      <c r="T2498" s="0" t="s">
        <v>431</v>
      </c>
      <c r="U2498" s="15" t="n">
        <v>5700</v>
      </c>
      <c r="W2498" s="15" t="n">
        <v>0</v>
      </c>
      <c r="X2498" s="0" t="s">
        <v>432</v>
      </c>
      <c r="Z2498" s="0" t="str">
        <f aca="false">IF($T2498="","",IFERROR(INDEX('Resumo Grupos'!$AC$3:$AC$200,MATCH($T2498,'Resumo Grupos'!$AB$3:$AB$200,0)),"n/d"))</f>
        <v>Despesa</v>
      </c>
      <c r="AA2498" s="0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3" t="n">
        <v>2</v>
      </c>
      <c r="B2499" s="14" t="n">
        <v>46296</v>
      </c>
      <c r="C2499" s="14" t="n">
        <v>46311</v>
      </c>
      <c r="D2499" s="13" t="n">
        <v>1659</v>
      </c>
      <c r="E2499" s="0" t="s">
        <v>214</v>
      </c>
      <c r="F2499" s="13" t="n">
        <v>24</v>
      </c>
      <c r="G2499" s="0" t="s">
        <v>51</v>
      </c>
      <c r="H2499" s="13" t="n">
        <v>2110405</v>
      </c>
      <c r="I2499" s="0" t="s">
        <v>56</v>
      </c>
      <c r="J2499" s="13" t="n">
        <v>1783828</v>
      </c>
      <c r="L2499" s="13" t="n">
        <v>245794</v>
      </c>
      <c r="M2499" s="0" t="s">
        <v>52</v>
      </c>
      <c r="N2499" s="0" t="s">
        <v>45</v>
      </c>
      <c r="P2499" s="13" t="n">
        <v>113</v>
      </c>
      <c r="Q2499" s="0" t="s">
        <v>46</v>
      </c>
      <c r="R2499" s="0" t="s">
        <v>47</v>
      </c>
      <c r="S2499" s="13" t="n">
        <v>1130101</v>
      </c>
      <c r="T2499" s="0" t="s">
        <v>48</v>
      </c>
      <c r="U2499" s="15" t="n">
        <v>410.51</v>
      </c>
      <c r="W2499" s="15" t="n">
        <v>0</v>
      </c>
      <c r="X2499" s="0" t="s">
        <v>2040</v>
      </c>
      <c r="Z2499" s="0" t="str">
        <f aca="false">IF($T2499="","",IFERROR(INDEX('Resumo Grupos'!$AC$3:$AC$200,MATCH($T2499,'Resumo Grupos'!$AB$3:$AB$200,0)),"n/d"))</f>
        <v>Mercadoria</v>
      </c>
      <c r="AA2499" s="0" t="str">
        <f aca="false">IF($T2499="","",IF(COUNTIF('Resumo Grupos'!$AE$3:$AE$40,$T2499)&gt;0,"NAO","SIM"))</f>
        <v>SIM</v>
      </c>
      <c r="AB2499" s="0" t="str">
        <f aca="false">IFERROR(INDEX('Mov Entradas (Rel 10497)'!$L:$L,MATCH(AC2499,'Mov Entradas (Rel 10497)'!$I:$I,0)),"nao encontrado")</f>
        <v>MOCOQUINHA 200ML</v>
      </c>
      <c r="AC2499" s="0" t="n">
        <v>899623</v>
      </c>
    </row>
    <row r="2500" customFormat="false" ht="12.75" hidden="false" customHeight="true" outlineLevel="0" collapsed="false">
      <c r="A2500" s="13" t="n">
        <v>2</v>
      </c>
      <c r="B2500" s="14" t="n">
        <v>46296</v>
      </c>
      <c r="C2500" s="14" t="n">
        <v>46311</v>
      </c>
      <c r="D2500" s="13" t="n">
        <v>1705</v>
      </c>
      <c r="E2500" s="0" t="s">
        <v>130</v>
      </c>
      <c r="F2500" s="13" t="n">
        <v>24</v>
      </c>
      <c r="G2500" s="0" t="s">
        <v>51</v>
      </c>
      <c r="H2500" s="13" t="n">
        <v>2110405</v>
      </c>
      <c r="I2500" s="0" t="s">
        <v>56</v>
      </c>
      <c r="J2500" s="13" t="n">
        <v>1785275</v>
      </c>
      <c r="L2500" s="13" t="n">
        <v>246080</v>
      </c>
      <c r="M2500" s="0" t="s">
        <v>52</v>
      </c>
      <c r="N2500" s="0" t="s">
        <v>45</v>
      </c>
      <c r="P2500" s="13" t="n">
        <v>113</v>
      </c>
      <c r="Q2500" s="0" t="s">
        <v>46</v>
      </c>
      <c r="R2500" s="0" t="s">
        <v>47</v>
      </c>
      <c r="S2500" s="13" t="n">
        <v>1130101</v>
      </c>
      <c r="T2500" s="0" t="s">
        <v>48</v>
      </c>
      <c r="U2500" s="15" t="n">
        <v>1066.72</v>
      </c>
      <c r="W2500" s="15" t="n">
        <v>0</v>
      </c>
      <c r="X2500" s="0" t="s">
        <v>2041</v>
      </c>
      <c r="Z2500" s="0" t="str">
        <f aca="false">IF($T2500="","",IFERROR(INDEX('Resumo Grupos'!$AC$3:$AC$200,MATCH($T2500,'Resumo Grupos'!$AB$3:$AB$200,0)),"n/d"))</f>
        <v>Mercadoria</v>
      </c>
      <c r="AA2500" s="0" t="str">
        <f aca="false">IF($T2500="","",IF(COUNTIF('Resumo Grupos'!$AE$3:$AE$40,$T2500)&gt;0,"NAO","SIM"))</f>
        <v>SIM</v>
      </c>
      <c r="AB2500" s="0" t="str">
        <f aca="false">IFERROR(INDEX('Mov Entradas (Rel 10497)'!$L:$L,MATCH(AC2500,'Mov Entradas (Rel 10497)'!$I:$I,0)),"nao encontrado")</f>
        <v>REFR FANTA UVA 200ML</v>
      </c>
      <c r="AC2500" s="0" t="n">
        <v>2072597</v>
      </c>
    </row>
    <row r="2501" customFormat="false" ht="12.75" hidden="false" customHeight="true" outlineLevel="0" collapsed="false">
      <c r="A2501" s="13" t="n">
        <v>2</v>
      </c>
      <c r="B2501" s="14" t="n">
        <v>46297</v>
      </c>
      <c r="C2501" s="14" t="n">
        <v>46311</v>
      </c>
      <c r="D2501" s="13" t="n">
        <v>1608</v>
      </c>
      <c r="E2501" s="0" t="s">
        <v>240</v>
      </c>
      <c r="F2501" s="13" t="n">
        <v>24</v>
      </c>
      <c r="G2501" s="0" t="s">
        <v>51</v>
      </c>
      <c r="H2501" s="13" t="n">
        <v>2110405</v>
      </c>
      <c r="I2501" s="0" t="s">
        <v>56</v>
      </c>
      <c r="J2501" s="13" t="n">
        <v>1790280</v>
      </c>
      <c r="L2501" s="13" t="n">
        <v>246786</v>
      </c>
      <c r="M2501" s="0" t="s">
        <v>52</v>
      </c>
      <c r="N2501" s="0" t="s">
        <v>45</v>
      </c>
      <c r="P2501" s="13" t="n">
        <v>113</v>
      </c>
      <c r="Q2501" s="0" t="s">
        <v>46</v>
      </c>
      <c r="R2501" s="0" t="s">
        <v>47</v>
      </c>
      <c r="S2501" s="13" t="n">
        <v>1130101</v>
      </c>
      <c r="T2501" s="0" t="s">
        <v>48</v>
      </c>
      <c r="U2501" s="15" t="n">
        <v>552.1</v>
      </c>
      <c r="W2501" s="15" t="n">
        <v>0</v>
      </c>
      <c r="X2501" s="0" t="s">
        <v>2042</v>
      </c>
      <c r="Z2501" s="0" t="str">
        <f aca="false">IF($T2501="","",IFERROR(INDEX('Resumo Grupos'!$AC$3:$AC$200,MATCH($T2501,'Resumo Grupos'!$AB$3:$AB$200,0)),"n/d"))</f>
        <v>Mercadoria</v>
      </c>
      <c r="AA2501" s="0" t="str">
        <f aca="false">IF($T2501="","",IF(COUNTIF('Resumo Grupos'!$AE$3:$AE$40,$T2501)&gt;0,"NAO","SIM"))</f>
        <v>SIM</v>
      </c>
      <c r="AB2501" s="0" t="str">
        <f aca="false">IFERROR(INDEX('Mov Entradas (Rel 10497)'!$L:$L,MATCH(AC2501,'Mov Entradas (Rel 10497)'!$I:$I,0)),"nao encontrado")</f>
        <v>AMENDOIM JAPONES 5</v>
      </c>
      <c r="AC2501" s="0" t="n">
        <v>1741445</v>
      </c>
    </row>
    <row r="2502" customFormat="false" ht="12.75" hidden="false" customHeight="true" outlineLevel="0" collapsed="false">
      <c r="A2502" s="13" t="n">
        <v>2</v>
      </c>
      <c r="B2502" s="14" t="n">
        <v>46291</v>
      </c>
      <c r="C2502" s="14" t="n">
        <v>46311</v>
      </c>
      <c r="D2502" s="13" t="n">
        <v>1815</v>
      </c>
      <c r="E2502" s="0" t="s">
        <v>172</v>
      </c>
      <c r="F2502" s="13" t="n">
        <v>24</v>
      </c>
      <c r="G2502" s="0" t="s">
        <v>51</v>
      </c>
      <c r="H2502" s="13" t="n">
        <v>2110405</v>
      </c>
      <c r="I2502" s="0" t="s">
        <v>56</v>
      </c>
      <c r="J2502" s="13" t="n">
        <v>1759105</v>
      </c>
      <c r="L2502" s="13" t="n">
        <v>242265</v>
      </c>
      <c r="M2502" s="0" t="s">
        <v>52</v>
      </c>
      <c r="N2502" s="0" t="s">
        <v>45</v>
      </c>
      <c r="P2502" s="13" t="n">
        <v>113</v>
      </c>
      <c r="Q2502" s="0" t="s">
        <v>46</v>
      </c>
      <c r="R2502" s="0" t="s">
        <v>47</v>
      </c>
      <c r="S2502" s="13" t="n">
        <v>1130101</v>
      </c>
      <c r="T2502" s="0" t="s">
        <v>48</v>
      </c>
      <c r="U2502" s="15" t="n">
        <v>716.1</v>
      </c>
      <c r="W2502" s="15" t="n">
        <v>0</v>
      </c>
      <c r="X2502" s="0" t="s">
        <v>1954</v>
      </c>
      <c r="Z2502" s="0" t="str">
        <f aca="false">IF($T2502="","",IFERROR(INDEX('Resumo Grupos'!$AC$3:$AC$200,MATCH($T2502,'Resumo Grupos'!$AB$3:$AB$200,0)),"n/d"))</f>
        <v>Mercadoria</v>
      </c>
      <c r="AA2502" s="0" t="str">
        <f aca="false">IF($T2502="","",IF(COUNTIF('Resumo Grupos'!$AE$3:$AE$40,$T2502)&gt;0,"NAO","SIM"))</f>
        <v>SIM</v>
      </c>
      <c r="AB2502" s="0" t="str">
        <f aca="false">IFERROR(INDEX('Mov Entradas (Rel 10497)'!$L:$L,MATCH(AC2502,'Mov Entradas (Rel 10497)'!$I:$I,0)),"nao encontrado")</f>
        <v>FILE PEITOA GRANEL</v>
      </c>
      <c r="AC2502" s="0" t="n">
        <v>404714</v>
      </c>
    </row>
    <row r="2503" customFormat="false" ht="12.75" hidden="false" customHeight="true" outlineLevel="0" collapsed="false">
      <c r="A2503" s="13" t="n">
        <v>2</v>
      </c>
      <c r="B2503" s="14" t="n">
        <v>46283</v>
      </c>
      <c r="C2503" s="14" t="n">
        <v>46311</v>
      </c>
      <c r="D2503" s="13" t="n">
        <v>1675</v>
      </c>
      <c r="E2503" s="0" t="s">
        <v>289</v>
      </c>
      <c r="F2503" s="13" t="n">
        <v>24</v>
      </c>
      <c r="G2503" s="0" t="s">
        <v>51</v>
      </c>
      <c r="H2503" s="13" t="n">
        <v>2110405</v>
      </c>
      <c r="I2503" s="0" t="s">
        <v>56</v>
      </c>
      <c r="J2503" s="13" t="n">
        <v>1720452</v>
      </c>
      <c r="L2503" s="13" t="n">
        <v>236605</v>
      </c>
      <c r="M2503" s="0" t="s">
        <v>52</v>
      </c>
      <c r="N2503" s="0" t="s">
        <v>45</v>
      </c>
      <c r="P2503" s="13" t="n">
        <v>113</v>
      </c>
      <c r="Q2503" s="0" t="s">
        <v>46</v>
      </c>
      <c r="R2503" s="0" t="s">
        <v>47</v>
      </c>
      <c r="S2503" s="13" t="n">
        <v>1130101</v>
      </c>
      <c r="T2503" s="0" t="s">
        <v>48</v>
      </c>
      <c r="U2503" s="15" t="n">
        <v>270.84</v>
      </c>
      <c r="W2503" s="15" t="n">
        <v>0</v>
      </c>
      <c r="X2503" s="0" t="s">
        <v>2002</v>
      </c>
      <c r="Z2503" s="0" t="str">
        <f aca="false">IF($T2503="","",IFERROR(INDEX('Resumo Grupos'!$AC$3:$AC$200,MATCH($T2503,'Resumo Grupos'!$AB$3:$AB$200,0)),"n/d"))</f>
        <v>Mercadoria</v>
      </c>
      <c r="AA2503" s="0" t="str">
        <f aca="false">IF($T2503="","",IF(COUNTIF('Resumo Grupos'!$AE$3:$AE$40,$T2503)&gt;0,"NAO","SIM"))</f>
        <v>SIM</v>
      </c>
      <c r="AB2503" s="0" t="str">
        <f aca="false">IFERROR(INDEX('Mov Entradas (Rel 10497)'!$L:$L,MATCH(AC2503,'Mov Entradas (Rel 10497)'!$I:$I,0)),"nao encontrado")</f>
        <v>MAC.D BENTA ESP 500G</v>
      </c>
      <c r="AC2503" s="0" t="n">
        <v>515341</v>
      </c>
    </row>
    <row r="2504" customFormat="false" ht="12.75" hidden="false" customHeight="true" outlineLevel="0" collapsed="false">
      <c r="A2504" s="13" t="n">
        <v>2</v>
      </c>
      <c r="B2504" s="14" t="n">
        <v>46279</v>
      </c>
      <c r="C2504" s="14" t="n">
        <v>46311</v>
      </c>
      <c r="D2504" s="13" t="n">
        <v>10011</v>
      </c>
      <c r="E2504" s="0" t="s">
        <v>349</v>
      </c>
      <c r="F2504" s="13" t="n">
        <v>24</v>
      </c>
      <c r="G2504" s="0" t="s">
        <v>51</v>
      </c>
      <c r="H2504" s="13" t="n">
        <v>2110405</v>
      </c>
      <c r="I2504" s="0" t="s">
        <v>56</v>
      </c>
      <c r="J2504" s="13" t="n">
        <v>1701763</v>
      </c>
      <c r="L2504" s="13" t="n">
        <v>233499</v>
      </c>
      <c r="M2504" s="0" t="s">
        <v>52</v>
      </c>
      <c r="N2504" s="0" t="s">
        <v>45</v>
      </c>
      <c r="P2504" s="13" t="n">
        <v>113</v>
      </c>
      <c r="Q2504" s="0" t="s">
        <v>46</v>
      </c>
      <c r="R2504" s="0" t="s">
        <v>47</v>
      </c>
      <c r="S2504" s="13" t="n">
        <v>1130101</v>
      </c>
      <c r="T2504" s="0" t="s">
        <v>48</v>
      </c>
      <c r="U2504" s="15" t="n">
        <v>1459.69</v>
      </c>
      <c r="W2504" s="15" t="n">
        <v>0</v>
      </c>
      <c r="X2504" s="0" t="s">
        <v>1988</v>
      </c>
      <c r="Z2504" s="0" t="str">
        <f aca="false">IF($T2504="","",IFERROR(INDEX('Resumo Grupos'!$AC$3:$AC$200,MATCH($T2504,'Resumo Grupos'!$AB$3:$AB$200,0)),"n/d"))</f>
        <v>Mercadoria</v>
      </c>
      <c r="AA2504" s="0" t="str">
        <f aca="false">IF($T2504="","",IF(COUNTIF('Resumo Grupos'!$AE$3:$AE$40,$T2504)&gt;0,"NAO","SIM"))</f>
        <v>SIM</v>
      </c>
      <c r="AB2504" s="0" t="str">
        <f aca="false">IFERROR(INDEX('Mov Entradas (Rel 10497)'!$L:$L,MATCH(AC2504,'Mov Entradas (Rel 10497)'!$I:$I,0)),"nao encontrado")</f>
        <v>RC GRANPLUS GATO FILH FRG E ARROZ KG</v>
      </c>
      <c r="AC2504" s="0" t="n">
        <v>35693</v>
      </c>
    </row>
    <row r="2505" customFormat="false" ht="12.75" hidden="false" customHeight="true" outlineLevel="0" collapsed="false">
      <c r="A2505" s="13" t="n">
        <v>2</v>
      </c>
      <c r="B2505" s="14" t="n">
        <v>46290</v>
      </c>
      <c r="C2505" s="14" t="n">
        <v>46311</v>
      </c>
      <c r="D2505" s="13" t="n">
        <v>1697</v>
      </c>
      <c r="E2505" s="0" t="s">
        <v>787</v>
      </c>
      <c r="F2505" s="13" t="n">
        <v>24</v>
      </c>
      <c r="G2505" s="0" t="s">
        <v>51</v>
      </c>
      <c r="H2505" s="13" t="n">
        <v>2110405</v>
      </c>
      <c r="I2505" s="0" t="s">
        <v>56</v>
      </c>
      <c r="J2505" s="13" t="n">
        <v>1756502</v>
      </c>
      <c r="L2505" s="13" t="n">
        <v>241946</v>
      </c>
      <c r="M2505" s="0" t="s">
        <v>52</v>
      </c>
      <c r="N2505" s="0" t="s">
        <v>45</v>
      </c>
      <c r="P2505" s="13" t="n">
        <v>113</v>
      </c>
      <c r="Q2505" s="0" t="s">
        <v>46</v>
      </c>
      <c r="R2505" s="0" t="s">
        <v>47</v>
      </c>
      <c r="S2505" s="13" t="n">
        <v>1130101</v>
      </c>
      <c r="T2505" s="0" t="s">
        <v>48</v>
      </c>
      <c r="U2505" s="15" t="n">
        <v>588.83</v>
      </c>
      <c r="W2505" s="15" t="n">
        <v>0</v>
      </c>
      <c r="X2505" s="0" t="s">
        <v>2005</v>
      </c>
      <c r="Z2505" s="0" t="str">
        <f aca="false">IF($T2505="","",IFERROR(INDEX('Resumo Grupos'!$AC$3:$AC$200,MATCH($T2505,'Resumo Grupos'!$AB$3:$AB$200,0)),"n/d"))</f>
        <v>Mercadoria</v>
      </c>
      <c r="AA2505" s="0" t="str">
        <f aca="false">IF($T2505="","",IF(COUNTIF('Resumo Grupos'!$AE$3:$AE$40,$T2505)&gt;0,"NAO","SIM"))</f>
        <v>SIM</v>
      </c>
      <c r="AB2505" s="0" t="str">
        <f aca="false">IFERROR(INDEX('Mov Entradas (Rel 10497)'!$L:$L,MATCH(AC2505,'Mov Entradas (Rel 10497)'!$I:$I,0)),"nao encontrado")</f>
        <v>LEITE ITALAC DESN 1L</v>
      </c>
      <c r="AC2505" s="0" t="n">
        <v>213686</v>
      </c>
    </row>
    <row r="2506" customFormat="false" ht="12.75" hidden="false" customHeight="true" outlineLevel="0" collapsed="false">
      <c r="A2506" s="13" t="n">
        <v>2</v>
      </c>
      <c r="B2506" s="14" t="n">
        <v>46206</v>
      </c>
      <c r="C2506" s="14" t="n">
        <v>46313</v>
      </c>
      <c r="D2506" s="13" t="n">
        <v>33</v>
      </c>
      <c r="E2506" s="0" t="s">
        <v>313</v>
      </c>
      <c r="F2506" s="13" t="n">
        <v>34</v>
      </c>
      <c r="G2506" s="0" t="s">
        <v>55</v>
      </c>
      <c r="H2506" s="13" t="n">
        <v>2110405</v>
      </c>
      <c r="I2506" s="0" t="s">
        <v>56</v>
      </c>
      <c r="J2506" s="13" t="n">
        <v>1345312</v>
      </c>
      <c r="L2506" s="13" t="n">
        <v>180690</v>
      </c>
      <c r="M2506" s="0" t="s">
        <v>89</v>
      </c>
      <c r="N2506" s="0" t="s">
        <v>45</v>
      </c>
      <c r="P2506" s="13" t="n">
        <v>101</v>
      </c>
      <c r="Q2506" s="0" t="s">
        <v>57</v>
      </c>
      <c r="R2506" s="0" t="s">
        <v>39</v>
      </c>
      <c r="S2506" s="13" t="n">
        <v>4210203</v>
      </c>
      <c r="T2506" s="0" t="s">
        <v>757</v>
      </c>
      <c r="U2506" s="15" t="n">
        <v>247.27</v>
      </c>
      <c r="W2506" s="15" t="n">
        <v>0</v>
      </c>
      <c r="X2506" s="0" t="s">
        <v>2043</v>
      </c>
      <c r="Z2506" s="0" t="str">
        <f aca="false">IF($T2506="","",IFERROR(INDEX('Resumo Grupos'!$AC$3:$AC$200,MATCH($T2506,'Resumo Grupos'!$AB$3:$AB$200,0)),"n/d"))</f>
        <v>Despesa</v>
      </c>
      <c r="AA2506" s="0" t="str">
        <f aca="false">IF($T2506="","",IF(COUNTIF('Resumo Grupos'!$AE$3:$AE$40,$T2506)&gt;0,"NAO","SIM"))</f>
        <v>SIM</v>
      </c>
    </row>
    <row r="2507" customFormat="false" ht="12.75" hidden="false" customHeight="true" outlineLevel="0" collapsed="false">
      <c r="A2507" s="13" t="n">
        <v>2</v>
      </c>
      <c r="B2507" s="14" t="n">
        <v>46282</v>
      </c>
      <c r="C2507" s="14" t="n">
        <v>46314</v>
      </c>
      <c r="D2507" s="13" t="n">
        <v>1637</v>
      </c>
      <c r="E2507" s="0" t="s">
        <v>871</v>
      </c>
      <c r="F2507" s="13" t="n">
        <v>24</v>
      </c>
      <c r="G2507" s="0" t="s">
        <v>51</v>
      </c>
      <c r="H2507" s="13" t="n">
        <v>2110405</v>
      </c>
      <c r="I2507" s="0" t="s">
        <v>56</v>
      </c>
      <c r="J2507" s="13" t="n">
        <v>1716134</v>
      </c>
      <c r="L2507" s="13" t="n">
        <v>235890</v>
      </c>
      <c r="M2507" s="0" t="s">
        <v>52</v>
      </c>
      <c r="N2507" s="0" t="s">
        <v>45</v>
      </c>
      <c r="P2507" s="13" t="n">
        <v>113</v>
      </c>
      <c r="Q2507" s="0" t="s">
        <v>46</v>
      </c>
      <c r="R2507" s="0" t="s">
        <v>47</v>
      </c>
      <c r="S2507" s="13" t="n">
        <v>1130101</v>
      </c>
      <c r="T2507" s="0" t="s">
        <v>48</v>
      </c>
      <c r="U2507" s="15" t="n">
        <v>787.4</v>
      </c>
      <c r="W2507" s="15" t="n">
        <v>0</v>
      </c>
      <c r="X2507" s="0" t="s">
        <v>2044</v>
      </c>
      <c r="Z2507" s="0" t="str">
        <f aca="false">IF($T2507="","",IFERROR(INDEX('Resumo Grupos'!$AC$3:$AC$200,MATCH($T2507,'Resumo Grupos'!$AB$3:$AB$200,0)),"n/d"))</f>
        <v>Mercadoria</v>
      </c>
      <c r="AA2507" s="0" t="str">
        <f aca="false">IF($T2507="","",IF(COUNTIF('Resumo Grupos'!$AE$3:$AE$40,$T2507)&gt;0,"NAO","SIM"))</f>
        <v>SIM</v>
      </c>
      <c r="AB2507" s="0" t="str">
        <f aca="false">IFERROR(INDEX('Mov Entradas (Rel 10497)'!$L:$L,MATCH(AC2507,'Mov Entradas (Rel 10497)'!$I:$I,0)),"nao encontrado")</f>
        <v>CAFE KIMINO 250G</v>
      </c>
      <c r="AC2507" s="0" t="n">
        <v>1936307</v>
      </c>
    </row>
    <row r="2508" customFormat="false" ht="12.75" hidden="false" customHeight="true" outlineLevel="0" collapsed="false">
      <c r="A2508" s="13" t="n">
        <v>2</v>
      </c>
      <c r="B2508" s="14" t="n">
        <v>46276</v>
      </c>
      <c r="C2508" s="14" t="n">
        <v>46314</v>
      </c>
      <c r="D2508" s="13" t="n">
        <v>1217</v>
      </c>
      <c r="E2508" s="0" t="s">
        <v>776</v>
      </c>
      <c r="F2508" s="13" t="n">
        <v>24</v>
      </c>
      <c r="G2508" s="0" t="s">
        <v>51</v>
      </c>
      <c r="H2508" s="13" t="n">
        <v>2110405</v>
      </c>
      <c r="I2508" s="0" t="s">
        <v>56</v>
      </c>
      <c r="J2508" s="13" t="n">
        <v>1687717</v>
      </c>
      <c r="L2508" s="13" t="n">
        <v>231774</v>
      </c>
      <c r="M2508" s="0" t="s">
        <v>52</v>
      </c>
      <c r="N2508" s="0" t="s">
        <v>45</v>
      </c>
      <c r="P2508" s="13" t="n">
        <v>113</v>
      </c>
      <c r="Q2508" s="0" t="s">
        <v>46</v>
      </c>
      <c r="R2508" s="0" t="s">
        <v>47</v>
      </c>
      <c r="S2508" s="13" t="n">
        <v>1130101</v>
      </c>
      <c r="T2508" s="0" t="s">
        <v>48</v>
      </c>
      <c r="U2508" s="15" t="n">
        <v>793.46</v>
      </c>
      <c r="W2508" s="15" t="n">
        <v>0</v>
      </c>
      <c r="X2508" s="0" t="s">
        <v>1785</v>
      </c>
      <c r="Z2508" s="0" t="str">
        <f aca="false">IF($T2508="","",IFERROR(INDEX('Resumo Grupos'!$AC$3:$AC$200,MATCH($T2508,'Resumo Grupos'!$AB$3:$AB$200,0)),"n/d"))</f>
        <v>Mercadoria</v>
      </c>
      <c r="AA2508" s="0" t="str">
        <f aca="false">IF($T2508="","",IF(COUNTIF('Resumo Grupos'!$AE$3:$AE$40,$T2508)&gt;0,"NAO","SIM"))</f>
        <v>SIM</v>
      </c>
      <c r="AB2508" s="0" t="str">
        <f aca="false">IFERROR(INDEX('Mov Entradas (Rel 10497)'!$L:$L,MATCH(AC2508,'Mov Entradas (Rel 10497)'!$I:$I,0)),"nao encontrado")</f>
        <v>CORANTE XZ.PRETO</v>
      </c>
      <c r="AC2508" s="0" t="n">
        <v>5521</v>
      </c>
    </row>
    <row r="2509" customFormat="false" ht="12.75" hidden="false" customHeight="true" outlineLevel="0" collapsed="false">
      <c r="A2509" s="13" t="n">
        <v>2</v>
      </c>
      <c r="B2509" s="14" t="n">
        <v>46300</v>
      </c>
      <c r="C2509" s="14" t="n">
        <v>46314</v>
      </c>
      <c r="D2509" s="13" t="n">
        <v>1626</v>
      </c>
      <c r="E2509" s="0" t="s">
        <v>77</v>
      </c>
      <c r="F2509" s="13" t="n">
        <v>24</v>
      </c>
      <c r="G2509" s="0" t="s">
        <v>51</v>
      </c>
      <c r="H2509" s="13" t="n">
        <v>2110405</v>
      </c>
      <c r="I2509" s="0" t="s">
        <v>56</v>
      </c>
      <c r="J2509" s="13" t="n">
        <v>1805580</v>
      </c>
      <c r="L2509" s="13" t="n">
        <v>249159</v>
      </c>
      <c r="M2509" s="0" t="s">
        <v>52</v>
      </c>
      <c r="N2509" s="0" t="s">
        <v>45</v>
      </c>
      <c r="P2509" s="13" t="n">
        <v>113</v>
      </c>
      <c r="Q2509" s="0" t="s">
        <v>46</v>
      </c>
      <c r="R2509" s="0" t="s">
        <v>47</v>
      </c>
      <c r="S2509" s="13" t="n">
        <v>1130101</v>
      </c>
      <c r="T2509" s="0" t="s">
        <v>48</v>
      </c>
      <c r="U2509" s="15" t="n">
        <v>607.1</v>
      </c>
      <c r="W2509" s="15" t="n">
        <v>0</v>
      </c>
      <c r="X2509" s="0" t="s">
        <v>2045</v>
      </c>
      <c r="Z2509" s="0" t="str">
        <f aca="false">IF($T2509="","",IFERROR(INDEX('Resumo Grupos'!$AC$3:$AC$200,MATCH($T2509,'Resumo Grupos'!$AB$3:$AB$200,0)),"n/d"))</f>
        <v>Mercadoria</v>
      </c>
      <c r="AA2509" s="0" t="str">
        <f aca="false">IF($T2509="","",IF(COUNTIF('Resumo Grupos'!$AE$3:$AE$40,$T2509)&gt;0,"NAO","SIM"))</f>
        <v>SIM</v>
      </c>
      <c r="AB2509" s="0" t="str">
        <f aca="false">IFERROR(INDEX('Mov Entradas (Rel 10497)'!$L:$L,MATCH(AC2509,'Mov Entradas (Rel 10497)'!$I:$I,0)),"nao encontrado")</f>
        <v>DORIANA CREMOSA 250G</v>
      </c>
      <c r="AC2509" s="0" t="n">
        <v>324423</v>
      </c>
    </row>
    <row r="2510" customFormat="false" ht="12.75" hidden="false" customHeight="true" outlineLevel="0" collapsed="false">
      <c r="A2510" s="13" t="n">
        <v>2</v>
      </c>
      <c r="B2510" s="14" t="n">
        <v>46294</v>
      </c>
      <c r="C2510" s="14" t="n">
        <v>46314</v>
      </c>
      <c r="D2510" s="13" t="n">
        <v>967</v>
      </c>
      <c r="E2510" s="0" t="s">
        <v>1540</v>
      </c>
      <c r="F2510" s="13" t="n">
        <v>24</v>
      </c>
      <c r="G2510" s="0" t="s">
        <v>51</v>
      </c>
      <c r="H2510" s="13" t="n">
        <v>2110405</v>
      </c>
      <c r="I2510" s="0" t="s">
        <v>56</v>
      </c>
      <c r="J2510" s="13" t="n">
        <v>1774823</v>
      </c>
      <c r="L2510" s="13" t="n">
        <v>244483</v>
      </c>
      <c r="M2510" s="0" t="s">
        <v>52</v>
      </c>
      <c r="N2510" s="0" t="s">
        <v>45</v>
      </c>
      <c r="P2510" s="13" t="n">
        <v>113</v>
      </c>
      <c r="Q2510" s="0" t="s">
        <v>46</v>
      </c>
      <c r="R2510" s="0" t="s">
        <v>47</v>
      </c>
      <c r="S2510" s="13" t="n">
        <v>1130101</v>
      </c>
      <c r="T2510" s="0" t="s">
        <v>48</v>
      </c>
      <c r="U2510" s="15" t="n">
        <v>581.16</v>
      </c>
      <c r="W2510" s="15" t="n">
        <v>0</v>
      </c>
      <c r="X2510" s="0" t="s">
        <v>2046</v>
      </c>
      <c r="Z2510" s="0" t="str">
        <f aca="false">IF($T2510="","",IFERROR(INDEX('Resumo Grupos'!$AC$3:$AC$200,MATCH($T2510,'Resumo Grupos'!$AB$3:$AB$200,0)),"n/d"))</f>
        <v>Mercadoria</v>
      </c>
      <c r="AA2510" s="0" t="str">
        <f aca="false">IF($T2510="","",IF(COUNTIF('Resumo Grupos'!$AE$3:$AE$40,$T2510)&gt;0,"NAO","SIM"))</f>
        <v>SIM</v>
      </c>
      <c r="AB2510" s="0" t="str">
        <f aca="false">IFERROR(INDEX('Mov Entradas (Rel 10497)'!$L:$L,MATCH(AC2510,'Mov Entradas (Rel 10497)'!$I:$I,0)),"nao encontrado")</f>
        <v>SOPAO MAGGI CARN 200</v>
      </c>
      <c r="AC2510" s="0" t="n">
        <v>39433</v>
      </c>
    </row>
    <row r="2511" customFormat="false" ht="12.75" hidden="false" customHeight="true" outlineLevel="0" collapsed="false">
      <c r="A2511" s="13" t="n">
        <v>2</v>
      </c>
      <c r="B2511" s="14" t="n">
        <v>46297</v>
      </c>
      <c r="C2511" s="14" t="n">
        <v>46314</v>
      </c>
      <c r="D2511" s="13" t="n">
        <v>1672</v>
      </c>
      <c r="E2511" s="0" t="s">
        <v>343</v>
      </c>
      <c r="F2511" s="13" t="n">
        <v>24</v>
      </c>
      <c r="G2511" s="0" t="s">
        <v>51</v>
      </c>
      <c r="H2511" s="13" t="n">
        <v>2110405</v>
      </c>
      <c r="I2511" s="0" t="s">
        <v>56</v>
      </c>
      <c r="J2511" s="13" t="n">
        <v>1790340</v>
      </c>
      <c r="L2511" s="13" t="n">
        <v>246790</v>
      </c>
      <c r="M2511" s="0" t="s">
        <v>52</v>
      </c>
      <c r="N2511" s="0" t="s">
        <v>45</v>
      </c>
      <c r="P2511" s="13" t="n">
        <v>113</v>
      </c>
      <c r="Q2511" s="0" t="s">
        <v>46</v>
      </c>
      <c r="R2511" s="0" t="s">
        <v>47</v>
      </c>
      <c r="S2511" s="13" t="n">
        <v>1130101</v>
      </c>
      <c r="T2511" s="0" t="s">
        <v>48</v>
      </c>
      <c r="U2511" s="15" t="n">
        <v>1389.2</v>
      </c>
      <c r="W2511" s="15" t="n">
        <v>0</v>
      </c>
      <c r="X2511" s="0" t="s">
        <v>2047</v>
      </c>
      <c r="Z2511" s="0" t="str">
        <f aca="false">IF($T2511="","",IFERROR(INDEX('Resumo Grupos'!$AC$3:$AC$200,MATCH($T2511,'Resumo Grupos'!$AB$3:$AB$200,0)),"n/d"))</f>
        <v>Mercadoria</v>
      </c>
      <c r="AA2511" s="0" t="str">
        <f aca="false">IF($T2511="","",IF(COUNTIF('Resumo Grupos'!$AE$3:$AE$40,$T2511)&gt;0,"NAO","SIM"))</f>
        <v>SIM</v>
      </c>
      <c r="AB2511" s="0" t="str">
        <f aca="false">IFERROR(INDEX('Mov Entradas (Rel 10497)'!$L:$L,MATCH(AC2511,'Mov Entradas (Rel 10497)'!$I:$I,0)),"nao encontrado")</f>
        <v>AGUA MINERAL YARA 2L</v>
      </c>
      <c r="AC2511" s="0" t="n">
        <v>1464424</v>
      </c>
    </row>
    <row r="2512" customFormat="false" ht="12.75" hidden="false" customHeight="true" outlineLevel="0" collapsed="false">
      <c r="A2512" s="13" t="n">
        <v>2</v>
      </c>
      <c r="B2512" s="14" t="n">
        <v>46287</v>
      </c>
      <c r="C2512" s="14" t="n">
        <v>46315</v>
      </c>
      <c r="D2512" s="13" t="n">
        <v>1612</v>
      </c>
      <c r="E2512" s="0" t="s">
        <v>74</v>
      </c>
      <c r="F2512" s="13" t="n">
        <v>24</v>
      </c>
      <c r="G2512" s="0" t="s">
        <v>51</v>
      </c>
      <c r="H2512" s="13" t="n">
        <v>2110405</v>
      </c>
      <c r="I2512" s="0" t="s">
        <v>56</v>
      </c>
      <c r="J2512" s="13" t="n">
        <v>1739899</v>
      </c>
      <c r="L2512" s="13" t="n">
        <v>239396</v>
      </c>
      <c r="M2512" s="0" t="s">
        <v>52</v>
      </c>
      <c r="N2512" s="0" t="s">
        <v>45</v>
      </c>
      <c r="P2512" s="13" t="n">
        <v>113</v>
      </c>
      <c r="Q2512" s="0" t="s">
        <v>46</v>
      </c>
      <c r="R2512" s="0" t="s">
        <v>47</v>
      </c>
      <c r="S2512" s="13" t="n">
        <v>1130101</v>
      </c>
      <c r="T2512" s="0" t="s">
        <v>48</v>
      </c>
      <c r="U2512" s="15" t="n">
        <v>235.72</v>
      </c>
      <c r="W2512" s="15" t="n">
        <v>0</v>
      </c>
      <c r="X2512" s="0" t="s">
        <v>1984</v>
      </c>
      <c r="Z2512" s="0" t="str">
        <f aca="false">IF($T2512="","",IFERROR(INDEX('Resumo Grupos'!$AC$3:$AC$200,MATCH($T2512,'Resumo Grupos'!$AB$3:$AB$200,0)),"n/d"))</f>
        <v>Mercadoria</v>
      </c>
      <c r="AA2512" s="0" t="str">
        <f aca="false">IF($T2512="","",IF(COUNTIF('Resumo Grupos'!$AE$3:$AE$40,$T2512)&gt;0,"NAO","SIM"))</f>
        <v>SIM</v>
      </c>
      <c r="AB2512" s="0" t="str">
        <f aca="false">IFERROR(INDEX('Mov Entradas (Rel 10497)'!$L:$L,MATCH(AC2512,'Mov Entradas (Rel 10497)'!$I:$I,0)),"nao encontrado")</f>
        <v>AGUA SANI BRILUX1L</v>
      </c>
      <c r="AC2512" s="0" t="n">
        <v>2320993</v>
      </c>
    </row>
    <row r="2513" customFormat="false" ht="12.75" hidden="false" customHeight="true" outlineLevel="0" collapsed="false">
      <c r="A2513" s="13" t="n">
        <v>2</v>
      </c>
      <c r="B2513" s="14" t="n">
        <v>46275</v>
      </c>
      <c r="C2513" s="14" t="n">
        <v>46315</v>
      </c>
      <c r="D2513" s="13" t="n">
        <v>10028</v>
      </c>
      <c r="E2513" s="0" t="s">
        <v>494</v>
      </c>
      <c r="F2513" s="13" t="n">
        <v>24</v>
      </c>
      <c r="G2513" s="0" t="s">
        <v>51</v>
      </c>
      <c r="H2513" s="13" t="n">
        <v>2110405</v>
      </c>
      <c r="I2513" s="0" t="s">
        <v>56</v>
      </c>
      <c r="J2513" s="13" t="n">
        <v>1370757</v>
      </c>
      <c r="L2513" s="13" t="n">
        <v>184341</v>
      </c>
      <c r="M2513" s="0" t="s">
        <v>89</v>
      </c>
      <c r="N2513" s="0" t="s">
        <v>45</v>
      </c>
      <c r="P2513" s="13" t="n">
        <v>101</v>
      </c>
      <c r="Q2513" s="0" t="s">
        <v>57</v>
      </c>
      <c r="R2513" s="0" t="s">
        <v>71</v>
      </c>
      <c r="S2513" s="13" t="n">
        <v>4210315</v>
      </c>
      <c r="T2513" s="0" t="s">
        <v>279</v>
      </c>
      <c r="U2513" s="15" t="n">
        <v>595.9</v>
      </c>
      <c r="W2513" s="15" t="n">
        <v>0</v>
      </c>
      <c r="X2513" s="0" t="s">
        <v>495</v>
      </c>
      <c r="Z2513" s="0" t="str">
        <f aca="false">IF($T2513="","",IFERROR(INDEX('Resumo Grupos'!$AC$3:$AC$200,MATCH($T2513,'Resumo Grupos'!$AB$3:$AB$200,0)),"n/d"))</f>
        <v>Despesa</v>
      </c>
      <c r="AA2513" s="0" t="str">
        <f aca="false">IF($T2513="","",IF(COUNTIF('Resumo Grupos'!$AE$3:$AE$40,$T2513)&gt;0,"NAO","SIM"))</f>
        <v>SIM</v>
      </c>
    </row>
    <row r="2514" customFormat="false" ht="12.75" hidden="false" customHeight="true" outlineLevel="0" collapsed="false">
      <c r="A2514" s="13" t="n">
        <v>2</v>
      </c>
      <c r="B2514" s="14" t="n">
        <v>46286</v>
      </c>
      <c r="C2514" s="14" t="n">
        <v>46315</v>
      </c>
      <c r="D2514" s="13" t="n">
        <v>33</v>
      </c>
      <c r="E2514" s="0" t="s">
        <v>313</v>
      </c>
      <c r="F2514" s="13" t="n">
        <v>34</v>
      </c>
      <c r="G2514" s="0" t="s">
        <v>55</v>
      </c>
      <c r="H2514" s="13" t="n">
        <v>2110405</v>
      </c>
      <c r="I2514" s="0" t="s">
        <v>56</v>
      </c>
      <c r="J2514" s="13" t="n">
        <v>1424244</v>
      </c>
      <c r="L2514" s="13" t="n">
        <v>190900</v>
      </c>
      <c r="M2514" s="0" t="s">
        <v>89</v>
      </c>
      <c r="N2514" s="0" t="s">
        <v>45</v>
      </c>
      <c r="P2514" s="13" t="n">
        <v>101</v>
      </c>
      <c r="Q2514" s="0" t="s">
        <v>57</v>
      </c>
      <c r="R2514" s="0" t="s">
        <v>430</v>
      </c>
      <c r="S2514" s="13" t="n">
        <v>4210107</v>
      </c>
      <c r="T2514" s="0" t="s">
        <v>496</v>
      </c>
      <c r="U2514" s="15" t="n">
        <v>152.62</v>
      </c>
      <c r="W2514" s="15" t="n">
        <v>0</v>
      </c>
      <c r="X2514" s="0" t="s">
        <v>957</v>
      </c>
      <c r="Z2514" s="0" t="str">
        <f aca="false">IF($T2514="","",IFERROR(INDEX('Resumo Grupos'!$AC$3:$AC$200,MATCH($T2514,'Resumo Grupos'!$AB$3:$AB$200,0)),"n/d"))</f>
        <v>Despesa</v>
      </c>
      <c r="AA2514" s="0" t="str">
        <f aca="false">IF($T2514="","",IF(COUNTIF('Resumo Grupos'!$AE$3:$AE$40,$T2514)&gt;0,"NAO","SIM"))</f>
        <v>SIM</v>
      </c>
    </row>
    <row r="2515" customFormat="false" ht="12.75" hidden="false" customHeight="true" outlineLevel="0" collapsed="false">
      <c r="A2515" s="13" t="n">
        <v>2</v>
      </c>
      <c r="B2515" s="14" t="n">
        <v>46297</v>
      </c>
      <c r="C2515" s="14" t="n">
        <v>46316</v>
      </c>
      <c r="D2515" s="13" t="n">
        <v>1613</v>
      </c>
      <c r="E2515" s="0" t="s">
        <v>50</v>
      </c>
      <c r="F2515" s="13" t="n">
        <v>24</v>
      </c>
      <c r="G2515" s="0" t="s">
        <v>51</v>
      </c>
      <c r="H2515" s="13" t="n">
        <v>2110405</v>
      </c>
      <c r="I2515" s="0" t="s">
        <v>56</v>
      </c>
      <c r="J2515" s="13" t="n">
        <v>1789432</v>
      </c>
      <c r="L2515" s="13" t="n">
        <v>246615</v>
      </c>
      <c r="M2515" s="0" t="s">
        <v>52</v>
      </c>
      <c r="N2515" s="0" t="s">
        <v>45</v>
      </c>
      <c r="P2515" s="13" t="n">
        <v>113</v>
      </c>
      <c r="Q2515" s="0" t="s">
        <v>46</v>
      </c>
      <c r="R2515" s="0" t="s">
        <v>47</v>
      </c>
      <c r="S2515" s="13" t="n">
        <v>1130101</v>
      </c>
      <c r="T2515" s="0" t="s">
        <v>48</v>
      </c>
      <c r="U2515" s="15" t="n">
        <v>680.47</v>
      </c>
      <c r="W2515" s="15" t="n">
        <v>0</v>
      </c>
      <c r="X2515" s="0" t="s">
        <v>2036</v>
      </c>
      <c r="Z2515" s="0" t="str">
        <f aca="false">IF($T2515="","",IFERROR(INDEX('Resumo Grupos'!$AC$3:$AC$200,MATCH($T2515,'Resumo Grupos'!$AB$3:$AB$200,0)),"n/d"))</f>
        <v>Mercadoria</v>
      </c>
      <c r="AA2515" s="0" t="str">
        <f aca="false">IF($T2515="","",IF(COUNTIF('Resumo Grupos'!$AE$3:$AE$40,$T2515)&gt;0,"NAO","SIM"))</f>
        <v>SIM</v>
      </c>
      <c r="AB2515" s="0" t="str">
        <f aca="false">IFERROR(INDEX('Mov Entradas (Rel 10497)'!$L:$L,MATCH(AC2515,'Mov Entradas (Rel 10497)'!$I:$I,0)),"nao encontrado")</f>
        <v>SALSICHA PERDIGÃO KG</v>
      </c>
      <c r="AC2515" s="0" t="n">
        <v>1637369</v>
      </c>
    </row>
    <row r="2516" customFormat="false" ht="12.75" hidden="false" customHeight="true" outlineLevel="0" collapsed="false">
      <c r="A2516" s="13" t="n">
        <v>2</v>
      </c>
      <c r="B2516" s="14" t="n">
        <v>46279</v>
      </c>
      <c r="C2516" s="14" t="n">
        <v>46317</v>
      </c>
      <c r="D2516" s="13" t="n">
        <v>1218</v>
      </c>
      <c r="E2516" s="0" t="s">
        <v>659</v>
      </c>
      <c r="F2516" s="13" t="n">
        <v>24</v>
      </c>
      <c r="G2516" s="0" t="s">
        <v>51</v>
      </c>
      <c r="H2516" s="13" t="n">
        <v>2110405</v>
      </c>
      <c r="I2516" s="0" t="s">
        <v>56</v>
      </c>
      <c r="J2516" s="13" t="n">
        <v>1702975</v>
      </c>
      <c r="L2516" s="13" t="n">
        <v>233739</v>
      </c>
      <c r="M2516" s="0" t="s">
        <v>52</v>
      </c>
      <c r="N2516" s="0" t="s">
        <v>45</v>
      </c>
      <c r="P2516" s="13" t="n">
        <v>113</v>
      </c>
      <c r="Q2516" s="0" t="s">
        <v>46</v>
      </c>
      <c r="R2516" s="0" t="s">
        <v>47</v>
      </c>
      <c r="S2516" s="13" t="n">
        <v>1130101</v>
      </c>
      <c r="T2516" s="0" t="s">
        <v>48</v>
      </c>
      <c r="U2516" s="15" t="n">
        <v>803.5</v>
      </c>
      <c r="W2516" s="15" t="n">
        <v>0</v>
      </c>
      <c r="X2516" s="0" t="s">
        <v>1761</v>
      </c>
      <c r="Z2516" s="0" t="str">
        <f aca="false">IF($T2516="","",IFERROR(INDEX('Resumo Grupos'!$AC$3:$AC$200,MATCH($T2516,'Resumo Grupos'!$AB$3:$AB$200,0)),"n/d"))</f>
        <v>Mercadoria</v>
      </c>
      <c r="AA2516" s="0" t="str">
        <f aca="false">IF($T2516="","",IF(COUNTIF('Resumo Grupos'!$AE$3:$AE$40,$T2516)&gt;0,"NAO","SIM"))</f>
        <v>SIM</v>
      </c>
      <c r="AB2516" s="0" t="str">
        <f aca="false">IFERROR(INDEX('Mov Entradas (Rel 10497)'!$L:$L,MATCH(AC2516,'Mov Entradas (Rel 10497)'!$I:$I,0)),"nao encontrado")</f>
        <v>COLA POLYTUBES ADESI</v>
      </c>
      <c r="AC2516" s="0" t="n">
        <v>11105</v>
      </c>
    </row>
    <row r="2517" customFormat="false" ht="12.75" hidden="false" customHeight="true" outlineLevel="0" collapsed="false">
      <c r="A2517" s="13" t="n">
        <v>2</v>
      </c>
      <c r="B2517" s="14" t="n">
        <v>46296</v>
      </c>
      <c r="C2517" s="14" t="n">
        <v>46318</v>
      </c>
      <c r="D2517" s="13" t="n">
        <v>1659</v>
      </c>
      <c r="E2517" s="0" t="s">
        <v>214</v>
      </c>
      <c r="F2517" s="13" t="n">
        <v>24</v>
      </c>
      <c r="G2517" s="0" t="s">
        <v>51</v>
      </c>
      <c r="H2517" s="13" t="n">
        <v>2110405</v>
      </c>
      <c r="I2517" s="0" t="s">
        <v>56</v>
      </c>
      <c r="J2517" s="13" t="n">
        <v>1783831</v>
      </c>
      <c r="L2517" s="13" t="n">
        <v>245795</v>
      </c>
      <c r="M2517" s="0" t="s">
        <v>52</v>
      </c>
      <c r="N2517" s="0" t="s">
        <v>45</v>
      </c>
      <c r="P2517" s="13" t="n">
        <v>113</v>
      </c>
      <c r="Q2517" s="0" t="s">
        <v>46</v>
      </c>
      <c r="R2517" s="0" t="s">
        <v>47</v>
      </c>
      <c r="S2517" s="13" t="n">
        <v>1130101</v>
      </c>
      <c r="T2517" s="0" t="s">
        <v>48</v>
      </c>
      <c r="U2517" s="15" t="n">
        <v>410.5</v>
      </c>
      <c r="W2517" s="15" t="n">
        <v>0</v>
      </c>
      <c r="X2517" s="0" t="s">
        <v>2040</v>
      </c>
      <c r="Z2517" s="0" t="str">
        <f aca="false">IF($T2517="","",IFERROR(INDEX('Resumo Grupos'!$AC$3:$AC$200,MATCH($T2517,'Resumo Grupos'!$AB$3:$AB$200,0)),"n/d"))</f>
        <v>Mercadoria</v>
      </c>
      <c r="AA2517" s="0" t="str">
        <f aca="false">IF($T2517="","",IF(COUNTIF('Resumo Grupos'!$AE$3:$AE$40,$T2517)&gt;0,"NAO","SIM"))</f>
        <v>SIM</v>
      </c>
      <c r="AB2517" s="0" t="str">
        <f aca="false">IFERROR(INDEX('Mov Entradas (Rel 10497)'!$L:$L,MATCH(AC2517,'Mov Entradas (Rel 10497)'!$I:$I,0)),"nao encontrado")</f>
        <v>MOCOQUINHA 200ML</v>
      </c>
      <c r="AC2517" s="0" t="n">
        <v>899623</v>
      </c>
    </row>
    <row r="2518" customFormat="false" ht="12.75" hidden="false" customHeight="false" outlineLevel="0" collapsed="false">
      <c r="A2518" s="13" t="n">
        <v>2</v>
      </c>
      <c r="B2518" s="14" t="n">
        <v>46274</v>
      </c>
      <c r="C2518" s="14" t="n">
        <v>46318</v>
      </c>
      <c r="D2518" s="13" t="n">
        <v>1789</v>
      </c>
      <c r="E2518" s="0" t="s">
        <v>544</v>
      </c>
      <c r="F2518" s="13" t="n">
        <v>24</v>
      </c>
      <c r="G2518" s="0" t="s">
        <v>51</v>
      </c>
      <c r="H2518" s="13" t="n">
        <v>2110405</v>
      </c>
      <c r="I2518" s="0" t="s">
        <v>56</v>
      </c>
      <c r="J2518" s="13" t="n">
        <v>1677749</v>
      </c>
      <c r="L2518" s="13" t="n">
        <v>230157</v>
      </c>
      <c r="M2518" s="0" t="s">
        <v>52</v>
      </c>
      <c r="N2518" s="0" t="s">
        <v>45</v>
      </c>
      <c r="P2518" s="13" t="n">
        <v>113</v>
      </c>
      <c r="Q2518" s="0" t="s">
        <v>46</v>
      </c>
      <c r="R2518" s="0" t="s">
        <v>430</v>
      </c>
      <c r="S2518" s="13" t="n">
        <v>4210112</v>
      </c>
      <c r="T2518" s="0" t="s">
        <v>545</v>
      </c>
      <c r="U2518" s="15" t="n">
        <v>10413.34</v>
      </c>
      <c r="W2518" s="15" t="n">
        <v>0</v>
      </c>
      <c r="X2518" s="0" t="s">
        <v>2048</v>
      </c>
      <c r="Z2518" s="0" t="str">
        <f aca="false">IF($T2518="","",IFERROR(INDEX('Resumo Grupos'!$AC$3:$AC$200,MATCH($T2518,'Resumo Grupos'!$AB$3:$AB$200,0)),"n/d"))</f>
        <v>Despesa</v>
      </c>
      <c r="AA2518" s="0" t="str">
        <f aca="false">IF($T2518="","",IF(COUNTIF('Resumo Grupos'!$AE$3:$AE$40,$T2518)&gt;0,"NAO","SIM"))</f>
        <v>SIM</v>
      </c>
    </row>
    <row r="2519" customFormat="false" ht="12.75" hidden="false" customHeight="false" outlineLevel="0" collapsed="false">
      <c r="A2519" s="13" t="n">
        <v>2</v>
      </c>
      <c r="B2519" s="14" t="n">
        <v>46290</v>
      </c>
      <c r="C2519" s="14" t="n">
        <v>46318</v>
      </c>
      <c r="D2519" s="13" t="n">
        <v>1697</v>
      </c>
      <c r="E2519" s="0" t="s">
        <v>787</v>
      </c>
      <c r="F2519" s="13" t="n">
        <v>24</v>
      </c>
      <c r="G2519" s="0" t="s">
        <v>51</v>
      </c>
      <c r="H2519" s="13" t="n">
        <v>2110405</v>
      </c>
      <c r="I2519" s="0" t="s">
        <v>56</v>
      </c>
      <c r="J2519" s="13" t="n">
        <v>1756507</v>
      </c>
      <c r="L2519" s="13" t="n">
        <v>241948</v>
      </c>
      <c r="M2519" s="0" t="s">
        <v>52</v>
      </c>
      <c r="N2519" s="0" t="s">
        <v>45</v>
      </c>
      <c r="P2519" s="13" t="n">
        <v>113</v>
      </c>
      <c r="Q2519" s="0" t="s">
        <v>46</v>
      </c>
      <c r="R2519" s="0" t="s">
        <v>47</v>
      </c>
      <c r="S2519" s="13" t="n">
        <v>1130101</v>
      </c>
      <c r="T2519" s="0" t="s">
        <v>48</v>
      </c>
      <c r="U2519" s="15" t="n">
        <v>588.83</v>
      </c>
      <c r="W2519" s="15" t="n">
        <v>0</v>
      </c>
      <c r="X2519" s="0" t="s">
        <v>2005</v>
      </c>
      <c r="Z2519" s="0" t="str">
        <f aca="false">IF($T2519="","",IFERROR(INDEX('Resumo Grupos'!$AC$3:$AC$200,MATCH($T2519,'Resumo Grupos'!$AB$3:$AB$200,0)),"n/d"))</f>
        <v>Mercadoria</v>
      </c>
      <c r="AA2519" s="0" t="str">
        <f aca="false">IF($T2519="","",IF(COUNTIF('Resumo Grupos'!$AE$3:$AE$40,$T2519)&gt;0,"NAO","SIM"))</f>
        <v>SIM</v>
      </c>
      <c r="AB2519" s="0" t="str">
        <f aca="false">IFERROR(INDEX('Mov Entradas (Rel 10497)'!$L:$L,MATCH(AC2519,'Mov Entradas (Rel 10497)'!$I:$I,0)),"nao encontrado")</f>
        <v>LEITE ITALAC DESN 1L</v>
      </c>
      <c r="AC2519" s="0" t="n">
        <v>213686</v>
      </c>
    </row>
    <row r="2520" customFormat="false" ht="12.75" hidden="false" customHeight="false" outlineLevel="0" collapsed="false">
      <c r="A2520" s="13" t="n">
        <v>2</v>
      </c>
      <c r="B2520" s="14" t="n">
        <v>46256</v>
      </c>
      <c r="C2520" s="14" t="n">
        <v>46320</v>
      </c>
      <c r="D2520" s="13" t="n">
        <v>1782</v>
      </c>
      <c r="E2520" s="0" t="s">
        <v>1839</v>
      </c>
      <c r="F2520" s="13" t="n">
        <v>48</v>
      </c>
      <c r="G2520" s="0" t="s">
        <v>581</v>
      </c>
      <c r="H2520" s="13" t="n">
        <v>2110405</v>
      </c>
      <c r="I2520" s="0" t="s">
        <v>56</v>
      </c>
      <c r="J2520" s="13" t="n">
        <v>1595448</v>
      </c>
      <c r="L2520" s="13" t="n">
        <v>2208</v>
      </c>
      <c r="M2520" s="0" t="s">
        <v>44</v>
      </c>
      <c r="N2520" s="0" t="s">
        <v>45</v>
      </c>
      <c r="P2520" s="13" t="n">
        <v>101</v>
      </c>
      <c r="Q2520" s="0" t="s">
        <v>57</v>
      </c>
      <c r="R2520" s="0" t="s">
        <v>39</v>
      </c>
      <c r="S2520" s="13" t="n">
        <v>4210232</v>
      </c>
      <c r="T2520" s="0" t="s">
        <v>320</v>
      </c>
      <c r="U2520" s="15" t="n">
        <v>79.9</v>
      </c>
      <c r="W2520" s="15" t="n">
        <v>0</v>
      </c>
      <c r="X2520" s="0" t="s">
        <v>2049</v>
      </c>
      <c r="Z2520" s="0" t="str">
        <f aca="false">IF($T2520="","",IFERROR(INDEX('Resumo Grupos'!$AC$3:$AC$200,MATCH($T2520,'Resumo Grupos'!$AB$3:$AB$200,0)),"n/d"))</f>
        <v>Despesa</v>
      </c>
      <c r="AA2520" s="0" t="str">
        <f aca="false">IF($T2520="","",IF(COUNTIF('Resumo Grupos'!$AE$3:$AE$40,$T2520)&gt;0,"NAO","SIM"))</f>
        <v>SIM</v>
      </c>
    </row>
    <row r="2521" customFormat="false" ht="12.75" hidden="false" customHeight="false" outlineLevel="0" collapsed="false">
      <c r="A2521" s="13" t="n">
        <v>2</v>
      </c>
      <c r="B2521" s="14" t="n">
        <v>46256</v>
      </c>
      <c r="C2521" s="14" t="n">
        <v>46320</v>
      </c>
      <c r="D2521" s="13" t="n">
        <v>1782</v>
      </c>
      <c r="E2521" s="0" t="s">
        <v>1839</v>
      </c>
      <c r="F2521" s="13" t="n">
        <v>48</v>
      </c>
      <c r="G2521" s="0" t="s">
        <v>581</v>
      </c>
      <c r="H2521" s="13" t="n">
        <v>2110405</v>
      </c>
      <c r="I2521" s="0" t="s">
        <v>56</v>
      </c>
      <c r="J2521" s="13" t="n">
        <v>1745338</v>
      </c>
      <c r="L2521" s="13" t="n">
        <v>240350</v>
      </c>
      <c r="M2521" s="0" t="s">
        <v>44</v>
      </c>
      <c r="N2521" s="0" t="s">
        <v>45</v>
      </c>
      <c r="P2521" s="13" t="n">
        <v>101</v>
      </c>
      <c r="Q2521" s="0" t="s">
        <v>57</v>
      </c>
      <c r="R2521" s="0" t="s">
        <v>81</v>
      </c>
      <c r="S2521" s="13" t="n">
        <v>4220199</v>
      </c>
      <c r="T2521" s="0" t="s">
        <v>82</v>
      </c>
      <c r="U2521" s="15" t="n">
        <v>159.8</v>
      </c>
      <c r="W2521" s="15" t="n">
        <v>0</v>
      </c>
      <c r="X2521" s="0" t="s">
        <v>1841</v>
      </c>
      <c r="Z2521" s="0" t="str">
        <f aca="false">IF($T2521="","",IFERROR(INDEX('Resumo Grupos'!$AC$3:$AC$200,MATCH($T2521,'Resumo Grupos'!$AB$3:$AB$200,0)),"n/d"))</f>
        <v>Pagamentos outros não operacionais</v>
      </c>
      <c r="AA2521" s="0" t="str">
        <f aca="false">IF($T2521="","",IF(COUNTIF('Resumo Grupos'!$AE$3:$AE$40,$T2521)&gt;0,"NAO","SIM"))</f>
        <v>SIM</v>
      </c>
    </row>
    <row r="2522" customFormat="false" ht="12.75" hidden="false" customHeight="false" outlineLevel="0" collapsed="false">
      <c r="A2522" s="13" t="n">
        <v>2</v>
      </c>
      <c r="B2522" s="14" t="n">
        <v>46029</v>
      </c>
      <c r="C2522" s="14" t="n">
        <v>46320</v>
      </c>
      <c r="D2522" s="13" t="n">
        <v>17</v>
      </c>
      <c r="E2522" s="0" t="s">
        <v>489</v>
      </c>
      <c r="F2522" s="13" t="n">
        <v>48</v>
      </c>
      <c r="G2522" s="0" t="s">
        <v>581</v>
      </c>
      <c r="H2522" s="13" t="n">
        <v>2110405</v>
      </c>
      <c r="I2522" s="0" t="s">
        <v>56</v>
      </c>
      <c r="J2522" s="13" t="n">
        <v>660305</v>
      </c>
      <c r="L2522" s="13" t="n">
        <v>86116</v>
      </c>
      <c r="M2522" s="0" t="s">
        <v>1546</v>
      </c>
      <c r="N2522" s="0" t="s">
        <v>45</v>
      </c>
      <c r="P2522" s="13" t="n">
        <v>101</v>
      </c>
      <c r="Q2522" s="0" t="s">
        <v>57</v>
      </c>
      <c r="R2522" s="0" t="s">
        <v>81</v>
      </c>
      <c r="S2522" s="13" t="n">
        <v>4220199</v>
      </c>
      <c r="T2522" s="0" t="s">
        <v>82</v>
      </c>
      <c r="U2522" s="15" t="n">
        <v>84.03</v>
      </c>
      <c r="W2522" s="15" t="n">
        <v>0</v>
      </c>
      <c r="X2522" s="0" t="s">
        <v>583</v>
      </c>
      <c r="Z2522" s="0" t="str">
        <f aca="false">IF($T2522="","",IFERROR(INDEX('Resumo Grupos'!$AC$3:$AC$200,MATCH($T2522,'Resumo Grupos'!$AB$3:$AB$200,0)),"n/d"))</f>
        <v>Pagamentos outros não operacionais</v>
      </c>
      <c r="AA2522" s="0" t="str">
        <f aca="false">IF($T2522="","",IF(COUNTIF('Resumo Grupos'!$AE$3:$AE$40,$T2522)&gt;0,"NAO","SIM"))</f>
        <v>SIM</v>
      </c>
    </row>
    <row r="2523" customFormat="false" ht="12.75" hidden="false" customHeight="false" outlineLevel="0" collapsed="false">
      <c r="A2523" s="13" t="n">
        <v>2</v>
      </c>
      <c r="B2523" s="14" t="n">
        <v>46013</v>
      </c>
      <c r="C2523" s="14" t="n">
        <v>46320</v>
      </c>
      <c r="D2523" s="13" t="n">
        <v>17</v>
      </c>
      <c r="E2523" s="0" t="s">
        <v>489</v>
      </c>
      <c r="F2523" s="13" t="n">
        <v>48</v>
      </c>
      <c r="G2523" s="0" t="s">
        <v>581</v>
      </c>
      <c r="H2523" s="13" t="n">
        <v>2110405</v>
      </c>
      <c r="I2523" s="0" t="s">
        <v>56</v>
      </c>
      <c r="J2523" s="13" t="n">
        <v>660421</v>
      </c>
      <c r="L2523" s="13" t="n">
        <v>86128</v>
      </c>
      <c r="M2523" s="0" t="s">
        <v>1546</v>
      </c>
      <c r="N2523" s="0" t="s">
        <v>45</v>
      </c>
      <c r="P2523" s="13" t="n">
        <v>101</v>
      </c>
      <c r="Q2523" s="0" t="s">
        <v>57</v>
      </c>
      <c r="R2523" s="0" t="s">
        <v>81</v>
      </c>
      <c r="S2523" s="13" t="n">
        <v>4220199</v>
      </c>
      <c r="T2523" s="0" t="s">
        <v>82</v>
      </c>
      <c r="U2523" s="15" t="n">
        <v>362.14</v>
      </c>
      <c r="W2523" s="15" t="n">
        <v>0</v>
      </c>
      <c r="X2523" s="0" t="s">
        <v>584</v>
      </c>
      <c r="Z2523" s="0" t="str">
        <f aca="false">IF($T2523="","",IFERROR(INDEX('Resumo Grupos'!$AC$3:$AC$200,MATCH($T2523,'Resumo Grupos'!$AB$3:$AB$200,0)),"n/d"))</f>
        <v>Pagamentos outros não operacionais</v>
      </c>
      <c r="AA2523" s="0" t="str">
        <f aca="false">IF($T2523="","",IF(COUNTIF('Resumo Grupos'!$AE$3:$AE$40,$T2523)&gt;0,"NAO","SIM"))</f>
        <v>SIM</v>
      </c>
    </row>
    <row r="2524" customFormat="false" ht="12.75" hidden="false" customHeight="false" outlineLevel="0" collapsed="false">
      <c r="A2524" s="13" t="n">
        <v>2</v>
      </c>
      <c r="B2524" s="14" t="n">
        <v>46282</v>
      </c>
      <c r="C2524" s="14" t="n">
        <v>46320</v>
      </c>
      <c r="D2524" s="13" t="n">
        <v>607</v>
      </c>
      <c r="E2524" s="0" t="s">
        <v>281</v>
      </c>
      <c r="F2524" s="13" t="n">
        <v>24</v>
      </c>
      <c r="G2524" s="0" t="s">
        <v>51</v>
      </c>
      <c r="H2524" s="13" t="n">
        <v>2110405</v>
      </c>
      <c r="I2524" s="0" t="s">
        <v>56</v>
      </c>
      <c r="J2524" s="13" t="n">
        <v>1716182</v>
      </c>
      <c r="L2524" s="13" t="n">
        <v>235897</v>
      </c>
      <c r="M2524" s="0" t="s">
        <v>52</v>
      </c>
      <c r="N2524" s="0" t="s">
        <v>45</v>
      </c>
      <c r="P2524" s="13" t="n">
        <v>113</v>
      </c>
      <c r="Q2524" s="0" t="s">
        <v>46</v>
      </c>
      <c r="R2524" s="0" t="s">
        <v>47</v>
      </c>
      <c r="S2524" s="13" t="n">
        <v>1130101</v>
      </c>
      <c r="T2524" s="0" t="s">
        <v>48</v>
      </c>
      <c r="U2524" s="15" t="n">
        <v>786.59</v>
      </c>
      <c r="W2524" s="15" t="n">
        <v>0</v>
      </c>
      <c r="X2524" s="0" t="s">
        <v>1975</v>
      </c>
      <c r="Z2524" s="0" t="str">
        <f aca="false">IF($T2524="","",IFERROR(INDEX('Resumo Grupos'!$AC$3:$AC$200,MATCH($T2524,'Resumo Grupos'!$AB$3:$AB$200,0)),"n/d"))</f>
        <v>Mercadoria</v>
      </c>
      <c r="AA2524" s="0" t="str">
        <f aca="false">IF($T2524="","",IF(COUNTIF('Resumo Grupos'!$AE$3:$AE$40,$T2524)&gt;0,"NAO","SIM"))</f>
        <v>SIM</v>
      </c>
      <c r="AB2524" s="0" t="str">
        <f aca="false">IFERROR(INDEX('Mov Entradas (Rel 10497)'!$L:$L,MATCH(AC2524,'Mov Entradas (Rel 10497)'!$I:$I,0)),"nao encontrado")</f>
        <v>RC BESSER NATURAL GT CAST KG</v>
      </c>
      <c r="AC2524" s="0" t="n">
        <v>11681</v>
      </c>
    </row>
    <row r="2525" customFormat="false" ht="12.75" hidden="false" customHeight="false" outlineLevel="0" collapsed="false">
      <c r="A2525" s="13" t="n">
        <v>2</v>
      </c>
      <c r="B2525" s="14" t="n">
        <v>46265</v>
      </c>
      <c r="C2525" s="14" t="n">
        <v>46320</v>
      </c>
      <c r="D2525" s="13" t="n">
        <v>218</v>
      </c>
      <c r="E2525" s="0" t="s">
        <v>819</v>
      </c>
      <c r="F2525" s="13" t="n">
        <v>48</v>
      </c>
      <c r="G2525" s="0" t="s">
        <v>581</v>
      </c>
      <c r="H2525" s="13" t="n">
        <v>2110405</v>
      </c>
      <c r="I2525" s="0" t="s">
        <v>56</v>
      </c>
      <c r="J2525" s="13" t="n">
        <v>1759731</v>
      </c>
      <c r="L2525" s="13" t="n">
        <v>242377</v>
      </c>
      <c r="M2525" s="0" t="s">
        <v>44</v>
      </c>
      <c r="N2525" s="0" t="s">
        <v>45</v>
      </c>
      <c r="P2525" s="13" t="n">
        <v>101</v>
      </c>
      <c r="Q2525" s="0" t="s">
        <v>57</v>
      </c>
      <c r="R2525" s="0" t="s">
        <v>81</v>
      </c>
      <c r="S2525" s="13" t="n">
        <v>4220199</v>
      </c>
      <c r="T2525" s="0" t="s">
        <v>82</v>
      </c>
      <c r="U2525" s="15" t="n">
        <v>309.96</v>
      </c>
      <c r="W2525" s="15" t="n">
        <v>0</v>
      </c>
      <c r="X2525" s="0" t="s">
        <v>1854</v>
      </c>
      <c r="Z2525" s="0" t="str">
        <f aca="false">IF($T2525="","",IFERROR(INDEX('Resumo Grupos'!$AC$3:$AC$200,MATCH($T2525,'Resumo Grupos'!$AB$3:$AB$200,0)),"n/d"))</f>
        <v>Pagamentos outros não operacionais</v>
      </c>
      <c r="AA2525" s="0" t="str">
        <f aca="false">IF($T2525="","",IF(COUNTIF('Resumo Grupos'!$AE$3:$AE$40,$T2525)&gt;0,"NAO","SIM"))</f>
        <v>SIM</v>
      </c>
    </row>
    <row r="2526" customFormat="false" ht="12.75" hidden="false" customHeight="false" outlineLevel="0" collapsed="false">
      <c r="A2526" s="13" t="n">
        <v>2</v>
      </c>
      <c r="B2526" s="14" t="n">
        <v>46300</v>
      </c>
      <c r="C2526" s="14" t="n">
        <v>46321</v>
      </c>
      <c r="D2526" s="13" t="n">
        <v>1626</v>
      </c>
      <c r="E2526" s="0" t="s">
        <v>77</v>
      </c>
      <c r="F2526" s="13" t="n">
        <v>24</v>
      </c>
      <c r="G2526" s="0" t="s">
        <v>51</v>
      </c>
      <c r="H2526" s="13" t="n">
        <v>2110405</v>
      </c>
      <c r="I2526" s="0" t="s">
        <v>56</v>
      </c>
      <c r="J2526" s="13" t="n">
        <v>1805583</v>
      </c>
      <c r="L2526" s="13" t="n">
        <v>249160</v>
      </c>
      <c r="M2526" s="0" t="s">
        <v>52</v>
      </c>
      <c r="N2526" s="0" t="s">
        <v>45</v>
      </c>
      <c r="P2526" s="13" t="n">
        <v>113</v>
      </c>
      <c r="Q2526" s="0" t="s">
        <v>46</v>
      </c>
      <c r="R2526" s="0" t="s">
        <v>47</v>
      </c>
      <c r="S2526" s="13" t="n">
        <v>1130101</v>
      </c>
      <c r="T2526" s="0" t="s">
        <v>48</v>
      </c>
      <c r="U2526" s="15" t="n">
        <v>607.11</v>
      </c>
      <c r="W2526" s="15" t="n">
        <v>0</v>
      </c>
      <c r="X2526" s="0" t="s">
        <v>2045</v>
      </c>
      <c r="Z2526" s="0" t="str">
        <f aca="false">IF($T2526="","",IFERROR(INDEX('Resumo Grupos'!$AC$3:$AC$200,MATCH($T2526,'Resumo Grupos'!$AB$3:$AB$200,0)),"n/d"))</f>
        <v>Mercadoria</v>
      </c>
      <c r="AA2526" s="0" t="str">
        <f aca="false">IF($T2526="","",IF(COUNTIF('Resumo Grupos'!$AE$3:$AE$40,$T2526)&gt;0,"NAO","SIM"))</f>
        <v>SIM</v>
      </c>
      <c r="AB2526" s="0" t="str">
        <f aca="false">IFERROR(INDEX('Mov Entradas (Rel 10497)'!$L:$L,MATCH(AC2526,'Mov Entradas (Rel 10497)'!$I:$I,0)),"nao encontrado")</f>
        <v>DORIANA CREMOSA 250G</v>
      </c>
      <c r="AC2526" s="0" t="n">
        <v>324423</v>
      </c>
    </row>
    <row r="2527" customFormat="false" ht="12.75" hidden="false" customHeight="false" outlineLevel="0" collapsed="false">
      <c r="A2527" s="13" t="n">
        <v>2</v>
      </c>
      <c r="B2527" s="14" t="n">
        <v>46023</v>
      </c>
      <c r="C2527" s="14" t="n">
        <v>46321</v>
      </c>
      <c r="D2527" s="13" t="n">
        <v>515</v>
      </c>
      <c r="E2527" s="0" t="s">
        <v>137</v>
      </c>
      <c r="F2527" s="13" t="n">
        <v>34</v>
      </c>
      <c r="G2527" s="0" t="s">
        <v>55</v>
      </c>
      <c r="H2527" s="13" t="n">
        <v>2110405</v>
      </c>
      <c r="I2527" s="0" t="s">
        <v>56</v>
      </c>
      <c r="J2527" s="13" t="n">
        <v>1012266</v>
      </c>
      <c r="L2527" s="13" t="n">
        <v>133812</v>
      </c>
      <c r="M2527" s="0" t="s">
        <v>1546</v>
      </c>
      <c r="N2527" s="0" t="s">
        <v>45</v>
      </c>
      <c r="P2527" s="13" t="n">
        <v>101</v>
      </c>
      <c r="Q2527" s="0" t="s">
        <v>57</v>
      </c>
      <c r="R2527" s="0" t="s">
        <v>323</v>
      </c>
      <c r="S2527" s="13" t="n">
        <v>2110901</v>
      </c>
      <c r="T2527" s="0" t="s">
        <v>324</v>
      </c>
      <c r="U2527" s="15" t="n">
        <v>4168.41</v>
      </c>
      <c r="W2527" s="15" t="n">
        <v>0</v>
      </c>
      <c r="X2527" s="0" t="s">
        <v>2050</v>
      </c>
      <c r="Z2527" s="0" t="str">
        <f aca="false">IF($T2527="","",IFERROR(INDEX('Resumo Grupos'!$AC$3:$AC$200,MATCH($T2527,'Resumo Grupos'!$AB$3:$AB$200,0)),"n/d"))</f>
        <v>Empréstimo</v>
      </c>
      <c r="AA2527" s="0" t="str">
        <f aca="false">IF($T2527="","",IF(COUNTIF('Resumo Grupos'!$AE$3:$AE$40,$T2527)&gt;0,"NAO","SIM"))</f>
        <v>SIM</v>
      </c>
    </row>
    <row r="2528" customFormat="false" ht="12.75" hidden="false" customHeight="false" outlineLevel="0" collapsed="false">
      <c r="A2528" s="13" t="n">
        <v>2</v>
      </c>
      <c r="B2528" s="14" t="n">
        <v>46294</v>
      </c>
      <c r="C2528" s="14" t="n">
        <v>46321</v>
      </c>
      <c r="D2528" s="13" t="n">
        <v>967</v>
      </c>
      <c r="E2528" s="0" t="s">
        <v>1540</v>
      </c>
      <c r="F2528" s="13" t="n">
        <v>24</v>
      </c>
      <c r="G2528" s="0" t="s">
        <v>51</v>
      </c>
      <c r="H2528" s="13" t="n">
        <v>2110405</v>
      </c>
      <c r="I2528" s="0" t="s">
        <v>56</v>
      </c>
      <c r="J2528" s="13" t="n">
        <v>1774828</v>
      </c>
      <c r="L2528" s="13" t="n">
        <v>244485</v>
      </c>
      <c r="M2528" s="0" t="s">
        <v>52</v>
      </c>
      <c r="N2528" s="0" t="s">
        <v>45</v>
      </c>
      <c r="P2528" s="13" t="n">
        <v>113</v>
      </c>
      <c r="Q2528" s="0" t="s">
        <v>46</v>
      </c>
      <c r="R2528" s="0" t="s">
        <v>47</v>
      </c>
      <c r="S2528" s="13" t="n">
        <v>1130101</v>
      </c>
      <c r="T2528" s="0" t="s">
        <v>48</v>
      </c>
      <c r="U2528" s="15" t="n">
        <v>581.16</v>
      </c>
      <c r="W2528" s="15" t="n">
        <v>0</v>
      </c>
      <c r="X2528" s="0" t="s">
        <v>2046</v>
      </c>
      <c r="Z2528" s="0" t="str">
        <f aca="false">IF($T2528="","",IFERROR(INDEX('Resumo Grupos'!$AC$3:$AC$200,MATCH($T2528,'Resumo Grupos'!$AB$3:$AB$200,0)),"n/d"))</f>
        <v>Mercadoria</v>
      </c>
      <c r="AA2528" s="0" t="str">
        <f aca="false">IF($T2528="","",IF(COUNTIF('Resumo Grupos'!$AE$3:$AE$40,$T2528)&gt;0,"NAO","SIM"))</f>
        <v>SIM</v>
      </c>
      <c r="AB2528" s="0" t="str">
        <f aca="false">IFERROR(INDEX('Mov Entradas (Rel 10497)'!$L:$L,MATCH(AC2528,'Mov Entradas (Rel 10497)'!$I:$I,0)),"nao encontrado")</f>
        <v>SOPAO MAGGI CARN 200</v>
      </c>
      <c r="AC2528" s="0" t="n">
        <v>39433</v>
      </c>
    </row>
    <row r="2529" customFormat="false" ht="12.75" hidden="false" customHeight="false" outlineLevel="0" collapsed="false">
      <c r="A2529" s="13" t="n">
        <v>2</v>
      </c>
      <c r="B2529" s="14" t="n">
        <v>46279</v>
      </c>
      <c r="C2529" s="14" t="n">
        <v>46321</v>
      </c>
      <c r="D2529" s="13" t="n">
        <v>10011</v>
      </c>
      <c r="E2529" s="0" t="s">
        <v>349</v>
      </c>
      <c r="F2529" s="13" t="n">
        <v>24</v>
      </c>
      <c r="G2529" s="0" t="s">
        <v>51</v>
      </c>
      <c r="H2529" s="13" t="n">
        <v>2110405</v>
      </c>
      <c r="I2529" s="0" t="s">
        <v>56</v>
      </c>
      <c r="J2529" s="13" t="n">
        <v>1701767</v>
      </c>
      <c r="L2529" s="13" t="n">
        <v>233502</v>
      </c>
      <c r="M2529" s="0" t="s">
        <v>52</v>
      </c>
      <c r="N2529" s="0" t="s">
        <v>45</v>
      </c>
      <c r="P2529" s="13" t="n">
        <v>113</v>
      </c>
      <c r="Q2529" s="0" t="s">
        <v>46</v>
      </c>
      <c r="R2529" s="0" t="s">
        <v>47</v>
      </c>
      <c r="S2529" s="13" t="n">
        <v>1130101</v>
      </c>
      <c r="T2529" s="0" t="s">
        <v>48</v>
      </c>
      <c r="U2529" s="15" t="n">
        <v>1459.69</v>
      </c>
      <c r="W2529" s="15" t="n">
        <v>0</v>
      </c>
      <c r="X2529" s="0" t="s">
        <v>1988</v>
      </c>
      <c r="Z2529" s="0" t="str">
        <f aca="false">IF($T2529="","",IFERROR(INDEX('Resumo Grupos'!$AC$3:$AC$200,MATCH($T2529,'Resumo Grupos'!$AB$3:$AB$200,0)),"n/d"))</f>
        <v>Mercadoria</v>
      </c>
      <c r="AA2529" s="0" t="str">
        <f aca="false">IF($T2529="","",IF(COUNTIF('Resumo Grupos'!$AE$3:$AE$40,$T2529)&gt;0,"NAO","SIM"))</f>
        <v>SIM</v>
      </c>
      <c r="AB2529" s="0" t="str">
        <f aca="false">IFERROR(INDEX('Mov Entradas (Rel 10497)'!$L:$L,MATCH(AC2529,'Mov Entradas (Rel 10497)'!$I:$I,0)),"nao encontrado")</f>
        <v>RC GRANPLUS GATO FILH FRG E ARROZ KG</v>
      </c>
      <c r="AC2529" s="0" t="n">
        <v>35693</v>
      </c>
    </row>
    <row r="2530" customFormat="false" ht="12.75" hidden="false" customHeight="false" outlineLevel="0" collapsed="false">
      <c r="A2530" s="13" t="n">
        <v>2</v>
      </c>
      <c r="B2530" s="14" t="n">
        <v>46294</v>
      </c>
      <c r="C2530" s="14" t="n">
        <v>46323</v>
      </c>
      <c r="D2530" s="13" t="n">
        <v>1636</v>
      </c>
      <c r="E2530" s="0" t="s">
        <v>61</v>
      </c>
      <c r="F2530" s="13" t="n">
        <v>24</v>
      </c>
      <c r="G2530" s="0" t="s">
        <v>51</v>
      </c>
      <c r="H2530" s="13" t="n">
        <v>2110405</v>
      </c>
      <c r="I2530" s="0" t="s">
        <v>56</v>
      </c>
      <c r="J2530" s="13" t="n">
        <v>1774627</v>
      </c>
      <c r="L2530" s="13" t="n">
        <v>244449</v>
      </c>
      <c r="M2530" s="0" t="s">
        <v>52</v>
      </c>
      <c r="N2530" s="0" t="s">
        <v>45</v>
      </c>
      <c r="P2530" s="13" t="n">
        <v>113</v>
      </c>
      <c r="Q2530" s="0" t="s">
        <v>46</v>
      </c>
      <c r="R2530" s="0" t="s">
        <v>39</v>
      </c>
      <c r="S2530" s="13" t="n">
        <v>4210227</v>
      </c>
      <c r="T2530" s="0" t="s">
        <v>68</v>
      </c>
      <c r="U2530" s="15" t="n">
        <v>483.51</v>
      </c>
      <c r="W2530" s="15" t="n">
        <v>0</v>
      </c>
      <c r="X2530" s="0" t="s">
        <v>2051</v>
      </c>
      <c r="Z2530" s="0" t="str">
        <f aca="false">IF($T2530="","",IFERROR(INDEX('Resumo Grupos'!$AC$3:$AC$200,MATCH($T2530,'Resumo Grupos'!$AB$3:$AB$200,0)),"n/d"))</f>
        <v>Despesa</v>
      </c>
      <c r="AA2530" s="0" t="str">
        <f aca="false">IF($T2530="","",IF(COUNTIF('Resumo Grupos'!$AE$3:$AE$40,$T2530)&gt;0,"NAO","SIM"))</f>
        <v>SIM</v>
      </c>
      <c r="AB2530" s="0" t="str">
        <f aca="false">IFERROR(INDEX('Mov Entradas (Rel 10497)'!$L:$L,MATCH(AC2530,'Mov Entradas (Rel 10497)'!$I:$I,0)),"nao encontrado")</f>
        <v>PAPEL HIG ELITE ROLO</v>
      </c>
      <c r="AC2530" s="0" t="n">
        <v>3260278</v>
      </c>
    </row>
    <row r="2531" customFormat="false" ht="12.75" hidden="false" customHeight="false" outlineLevel="0" collapsed="false">
      <c r="A2531" s="13" t="n">
        <v>2</v>
      </c>
      <c r="B2531" s="14" t="n">
        <v>46279</v>
      </c>
      <c r="C2531" s="14" t="n">
        <v>46324</v>
      </c>
      <c r="D2531" s="13" t="n">
        <v>1218</v>
      </c>
      <c r="E2531" s="0" t="s">
        <v>659</v>
      </c>
      <c r="F2531" s="13" t="n">
        <v>24</v>
      </c>
      <c r="G2531" s="0" t="s">
        <v>51</v>
      </c>
      <c r="H2531" s="13" t="n">
        <v>2110405</v>
      </c>
      <c r="I2531" s="0" t="s">
        <v>56</v>
      </c>
      <c r="J2531" s="13" t="n">
        <v>1702980</v>
      </c>
      <c r="L2531" s="13" t="n">
        <v>233740</v>
      </c>
      <c r="M2531" s="0" t="s">
        <v>52</v>
      </c>
      <c r="N2531" s="0" t="s">
        <v>45</v>
      </c>
      <c r="P2531" s="13" t="n">
        <v>113</v>
      </c>
      <c r="Q2531" s="0" t="s">
        <v>46</v>
      </c>
      <c r="R2531" s="0" t="s">
        <v>47</v>
      </c>
      <c r="S2531" s="13" t="n">
        <v>1130101</v>
      </c>
      <c r="T2531" s="0" t="s">
        <v>48</v>
      </c>
      <c r="U2531" s="15" t="n">
        <v>803.5</v>
      </c>
      <c r="W2531" s="15" t="n">
        <v>0</v>
      </c>
      <c r="X2531" s="0" t="s">
        <v>1761</v>
      </c>
      <c r="Z2531" s="0" t="str">
        <f aca="false">IF($T2531="","",IFERROR(INDEX('Resumo Grupos'!$AC$3:$AC$200,MATCH($T2531,'Resumo Grupos'!$AB$3:$AB$200,0)),"n/d"))</f>
        <v>Mercadoria</v>
      </c>
      <c r="AA2531" s="0" t="str">
        <f aca="false">IF($T2531="","",IF(COUNTIF('Resumo Grupos'!$AE$3:$AE$40,$T2531)&gt;0,"NAO","SIM"))</f>
        <v>SIM</v>
      </c>
      <c r="AB2531" s="0" t="str">
        <f aca="false">IFERROR(INDEX('Mov Entradas (Rel 10497)'!$L:$L,MATCH(AC2531,'Mov Entradas (Rel 10497)'!$I:$I,0)),"nao encontrado")</f>
        <v>COLA POLYTUBES ADESI</v>
      </c>
      <c r="AC2531" s="0" t="n">
        <v>11105</v>
      </c>
    </row>
    <row r="2532" customFormat="false" ht="12.75" hidden="false" customHeight="false" outlineLevel="0" collapsed="false">
      <c r="A2532" s="13" t="n">
        <v>2</v>
      </c>
      <c r="B2532" s="14" t="n">
        <v>46276</v>
      </c>
      <c r="C2532" s="14" t="n">
        <v>46324</v>
      </c>
      <c r="D2532" s="13" t="n">
        <v>1217</v>
      </c>
      <c r="E2532" s="0" t="s">
        <v>776</v>
      </c>
      <c r="F2532" s="13" t="n">
        <v>24</v>
      </c>
      <c r="G2532" s="0" t="s">
        <v>51</v>
      </c>
      <c r="H2532" s="13" t="n">
        <v>2110405</v>
      </c>
      <c r="I2532" s="0" t="s">
        <v>56</v>
      </c>
      <c r="J2532" s="13" t="n">
        <v>1687719</v>
      </c>
      <c r="L2532" s="13" t="n">
        <v>231775</v>
      </c>
      <c r="M2532" s="0" t="s">
        <v>52</v>
      </c>
      <c r="N2532" s="0" t="s">
        <v>45</v>
      </c>
      <c r="P2532" s="13" t="n">
        <v>113</v>
      </c>
      <c r="Q2532" s="0" t="s">
        <v>46</v>
      </c>
      <c r="R2532" s="0" t="s">
        <v>47</v>
      </c>
      <c r="S2532" s="13" t="n">
        <v>1130101</v>
      </c>
      <c r="T2532" s="0" t="s">
        <v>48</v>
      </c>
      <c r="U2532" s="15" t="n">
        <v>793.46</v>
      </c>
      <c r="W2532" s="15" t="n">
        <v>0</v>
      </c>
      <c r="X2532" s="0" t="s">
        <v>1785</v>
      </c>
      <c r="Z2532" s="0" t="str">
        <f aca="false">IF($T2532="","",IFERROR(INDEX('Resumo Grupos'!$AC$3:$AC$200,MATCH($T2532,'Resumo Grupos'!$AB$3:$AB$200,0)),"n/d"))</f>
        <v>Mercadoria</v>
      </c>
      <c r="AA2532" s="0" t="str">
        <f aca="false">IF($T2532="","",IF(COUNTIF('Resumo Grupos'!$AE$3:$AE$40,$T2532)&gt;0,"NAO","SIM"))</f>
        <v>SIM</v>
      </c>
      <c r="AB2532" s="0" t="str">
        <f aca="false">IFERROR(INDEX('Mov Entradas (Rel 10497)'!$L:$L,MATCH(AC2532,'Mov Entradas (Rel 10497)'!$I:$I,0)),"nao encontrado")</f>
        <v>CORANTE XZ.PRETO</v>
      </c>
      <c r="AC2532" s="0" t="n">
        <v>5521</v>
      </c>
    </row>
    <row r="2533" customFormat="false" ht="12.75" hidden="false" customHeight="false" outlineLevel="0" collapsed="false">
      <c r="A2533" s="13" t="n">
        <v>2</v>
      </c>
      <c r="B2533" s="14" t="n">
        <v>46296</v>
      </c>
      <c r="C2533" s="14" t="n">
        <v>46325</v>
      </c>
      <c r="D2533" s="13" t="n">
        <v>1659</v>
      </c>
      <c r="E2533" s="0" t="s">
        <v>214</v>
      </c>
      <c r="F2533" s="13" t="n">
        <v>24</v>
      </c>
      <c r="G2533" s="0" t="s">
        <v>51</v>
      </c>
      <c r="H2533" s="13" t="n">
        <v>2110405</v>
      </c>
      <c r="I2533" s="0" t="s">
        <v>56</v>
      </c>
      <c r="J2533" s="13" t="n">
        <v>1783837</v>
      </c>
      <c r="L2533" s="13" t="n">
        <v>245798</v>
      </c>
      <c r="M2533" s="0" t="s">
        <v>52</v>
      </c>
      <c r="N2533" s="0" t="s">
        <v>45</v>
      </c>
      <c r="P2533" s="13" t="n">
        <v>113</v>
      </c>
      <c r="Q2533" s="0" t="s">
        <v>46</v>
      </c>
      <c r="R2533" s="0" t="s">
        <v>47</v>
      </c>
      <c r="S2533" s="13" t="n">
        <v>1130101</v>
      </c>
      <c r="T2533" s="0" t="s">
        <v>48</v>
      </c>
      <c r="U2533" s="15" t="n">
        <v>410.5</v>
      </c>
      <c r="W2533" s="15" t="n">
        <v>0</v>
      </c>
      <c r="X2533" s="0" t="s">
        <v>2040</v>
      </c>
      <c r="Z2533" s="0" t="str">
        <f aca="false">IF($T2533="","",IFERROR(INDEX('Resumo Grupos'!$AC$3:$AC$200,MATCH($T2533,'Resumo Grupos'!$AB$3:$AB$200,0)),"n/d"))</f>
        <v>Mercadoria</v>
      </c>
      <c r="AA2533" s="0" t="str">
        <f aca="false">IF($T2533="","",IF(COUNTIF('Resumo Grupos'!$AE$3:$AE$40,$T2533)&gt;0,"NAO","SIM"))</f>
        <v>SIM</v>
      </c>
      <c r="AB2533" s="0" t="str">
        <f aca="false">IFERROR(INDEX('Mov Entradas (Rel 10497)'!$L:$L,MATCH(AC2533,'Mov Entradas (Rel 10497)'!$I:$I,0)),"nao encontrado")</f>
        <v>MOCOQUINHA 200ML</v>
      </c>
      <c r="AC2533" s="0" t="n">
        <v>899623</v>
      </c>
    </row>
    <row r="2534" customFormat="false" ht="12.75" hidden="false" customHeight="false" outlineLevel="0" collapsed="false">
      <c r="A2534" s="13" t="n">
        <v>2</v>
      </c>
      <c r="B2534" s="14" t="n">
        <v>46265</v>
      </c>
      <c r="C2534" s="14" t="n">
        <v>46325</v>
      </c>
      <c r="D2534" s="13" t="n">
        <v>1150</v>
      </c>
      <c r="E2534" s="0" t="s">
        <v>2010</v>
      </c>
      <c r="F2534" s="13" t="n">
        <v>46</v>
      </c>
      <c r="G2534" s="0" t="s">
        <v>319</v>
      </c>
      <c r="H2534" s="13" t="n">
        <v>2110405</v>
      </c>
      <c r="I2534" s="0" t="s">
        <v>56</v>
      </c>
      <c r="J2534" s="13" t="n">
        <v>1656987</v>
      </c>
      <c r="L2534" s="13" t="n">
        <v>87916</v>
      </c>
      <c r="M2534" s="0" t="s">
        <v>44</v>
      </c>
      <c r="N2534" s="0" t="s">
        <v>45</v>
      </c>
      <c r="P2534" s="13" t="n">
        <v>101</v>
      </c>
      <c r="Q2534" s="0" t="s">
        <v>57</v>
      </c>
      <c r="R2534" s="0" t="s">
        <v>39</v>
      </c>
      <c r="S2534" s="13" t="n">
        <v>4210227</v>
      </c>
      <c r="T2534" s="0" t="s">
        <v>68</v>
      </c>
      <c r="U2534" s="15" t="n">
        <v>241.82</v>
      </c>
      <c r="W2534" s="15" t="n">
        <v>0</v>
      </c>
      <c r="Z2534" s="0" t="str">
        <f aca="false">IF($T2534="","",IFERROR(INDEX('Resumo Grupos'!$AC$3:$AC$200,MATCH($T2534,'Resumo Grupos'!$AB$3:$AB$200,0)),"n/d"))</f>
        <v>Despesa</v>
      </c>
      <c r="AA2534" s="0" t="str">
        <f aca="false">IF($T2534="","",IF(COUNTIF('Resumo Grupos'!$AE$3:$AE$40,$T2534)&gt;0,"NAO","SIM"))</f>
        <v>SIM</v>
      </c>
    </row>
    <row r="2535" customFormat="false" ht="12.75" hidden="false" customHeight="false" outlineLevel="0" collapsed="false">
      <c r="A2535" s="13" t="n">
        <v>2</v>
      </c>
      <c r="B2535" s="14" t="n">
        <v>46295</v>
      </c>
      <c r="C2535" s="14" t="n">
        <v>46327</v>
      </c>
      <c r="D2535" s="13" t="n">
        <v>875</v>
      </c>
      <c r="E2535" s="0" t="s">
        <v>42</v>
      </c>
      <c r="F2535" s="13" t="n">
        <v>47</v>
      </c>
      <c r="G2535" s="0" t="s">
        <v>34</v>
      </c>
      <c r="H2535" s="13" t="n">
        <v>2110405</v>
      </c>
      <c r="I2535" s="0" t="s">
        <v>56</v>
      </c>
      <c r="J2535" s="13" t="n">
        <v>1780588</v>
      </c>
      <c r="L2535" s="13" t="n">
        <v>245356</v>
      </c>
      <c r="M2535" s="0" t="s">
        <v>52</v>
      </c>
      <c r="N2535" s="0" t="s">
        <v>45</v>
      </c>
      <c r="P2535" s="13" t="n">
        <v>113</v>
      </c>
      <c r="Q2535" s="0" t="s">
        <v>46</v>
      </c>
      <c r="R2535" s="0" t="s">
        <v>47</v>
      </c>
      <c r="S2535" s="13" t="n">
        <v>1130101</v>
      </c>
      <c r="T2535" s="0" t="s">
        <v>48</v>
      </c>
      <c r="U2535" s="15" t="n">
        <v>1164.5</v>
      </c>
      <c r="W2535" s="15" t="n">
        <v>0</v>
      </c>
      <c r="X2535" s="0" t="s">
        <v>2052</v>
      </c>
      <c r="Z2535" s="0" t="str">
        <f aca="false">IF($T2535="","",IFERROR(INDEX('Resumo Grupos'!$AC$3:$AC$200,MATCH($T2535,'Resumo Grupos'!$AB$3:$AB$200,0)),"n/d"))</f>
        <v>Mercadoria</v>
      </c>
      <c r="AA2535" s="0" t="str">
        <f aca="false">IF($T2535="","",IF(COUNTIF('Resumo Grupos'!$AE$3:$AE$40,$T2535)&gt;0,"NAO","SIM"))</f>
        <v>SIM</v>
      </c>
      <c r="AB2535" s="0" t="str">
        <f aca="false">IFERROR(INDEX('Mov Entradas (Rel 10497)'!$L:$L,MATCH(AC2535,'Mov Entradas (Rel 10497)'!$I:$I,0)),"nao encontrado")</f>
        <v>CARREGADOR INOVA CAR</v>
      </c>
      <c r="AC2535" s="0" t="n">
        <v>1975</v>
      </c>
    </row>
    <row r="2536" customFormat="false" ht="12.75" hidden="false" customHeight="false" outlineLevel="0" collapsed="false">
      <c r="A2536" s="13" t="n">
        <v>2</v>
      </c>
      <c r="B2536" s="14" t="n">
        <v>46293</v>
      </c>
      <c r="C2536" s="14" t="n">
        <v>46327</v>
      </c>
      <c r="D2536" s="13" t="n">
        <v>10116</v>
      </c>
      <c r="E2536" s="0" t="s">
        <v>871</v>
      </c>
      <c r="F2536" s="13" t="n">
        <v>47</v>
      </c>
      <c r="G2536" s="0" t="s">
        <v>34</v>
      </c>
      <c r="H2536" s="13" t="n">
        <v>2110405</v>
      </c>
      <c r="I2536" s="0" t="s">
        <v>56</v>
      </c>
      <c r="J2536" s="13" t="n">
        <v>1769856</v>
      </c>
      <c r="L2536" s="13" t="n">
        <v>243712</v>
      </c>
      <c r="M2536" s="0" t="s">
        <v>52</v>
      </c>
      <c r="N2536" s="0" t="s">
        <v>45</v>
      </c>
      <c r="P2536" s="13" t="n">
        <v>113</v>
      </c>
      <c r="Q2536" s="0" t="s">
        <v>46</v>
      </c>
      <c r="R2536" s="0" t="s">
        <v>47</v>
      </c>
      <c r="S2536" s="13" t="n">
        <v>1130101</v>
      </c>
      <c r="T2536" s="0" t="s">
        <v>48</v>
      </c>
      <c r="U2536" s="15" t="n">
        <v>549</v>
      </c>
      <c r="W2536" s="15" t="n">
        <v>0</v>
      </c>
      <c r="X2536" s="0" t="s">
        <v>2053</v>
      </c>
      <c r="Z2536" s="0" t="str">
        <f aca="false">IF($T2536="","",IFERROR(INDEX('Resumo Grupos'!$AC$3:$AC$200,MATCH($T2536,'Resumo Grupos'!$AB$3:$AB$200,0)),"n/d"))</f>
        <v>Mercadoria</v>
      </c>
      <c r="AA2536" s="0" t="str">
        <f aca="false">IF($T2536="","",IF(COUNTIF('Resumo Grupos'!$AE$3:$AE$40,$T2536)&gt;0,"NAO","SIM"))</f>
        <v>SIM</v>
      </c>
    </row>
    <row r="2537" customFormat="false" ht="12.75" hidden="false" customHeight="false" outlineLevel="0" collapsed="false">
      <c r="A2537" s="13" t="n">
        <v>2</v>
      </c>
      <c r="B2537" s="14" t="n">
        <v>46275</v>
      </c>
      <c r="C2537" s="14" t="n">
        <v>46327</v>
      </c>
      <c r="D2537" s="13" t="n">
        <v>1725</v>
      </c>
      <c r="E2537" s="0" t="s">
        <v>1921</v>
      </c>
      <c r="F2537" s="13" t="n">
        <v>47</v>
      </c>
      <c r="G2537" s="0" t="s">
        <v>34</v>
      </c>
      <c r="H2537" s="13" t="n">
        <v>2110405</v>
      </c>
      <c r="I2537" s="0" t="s">
        <v>56</v>
      </c>
      <c r="J2537" s="13" t="n">
        <v>1683458</v>
      </c>
      <c r="L2537" s="13" t="n">
        <v>231094</v>
      </c>
      <c r="M2537" s="0" t="s">
        <v>44</v>
      </c>
      <c r="N2537" s="0" t="s">
        <v>45</v>
      </c>
      <c r="P2537" s="13" t="n">
        <v>113</v>
      </c>
      <c r="Q2537" s="0" t="s">
        <v>46</v>
      </c>
      <c r="R2537" s="0" t="s">
        <v>39</v>
      </c>
      <c r="S2537" s="13" t="n">
        <v>4210227</v>
      </c>
      <c r="T2537" s="0" t="s">
        <v>68</v>
      </c>
      <c r="U2537" s="15" t="n">
        <v>162.5</v>
      </c>
      <c r="W2537" s="15" t="n">
        <v>0</v>
      </c>
      <c r="X2537" s="0" t="s">
        <v>2054</v>
      </c>
      <c r="Z2537" s="0" t="str">
        <f aca="false">IF($T2537="","",IFERROR(INDEX('Resumo Grupos'!$AC$3:$AC$200,MATCH($T2537,'Resumo Grupos'!$AB$3:$AB$200,0)),"n/d"))</f>
        <v>Despesa</v>
      </c>
      <c r="AA2537" s="0" t="str">
        <f aca="false">IF($T2537="","",IF(COUNTIF('Resumo Grupos'!$AE$3:$AE$40,$T2537)&gt;0,"NAO","SIM"))</f>
        <v>SIM</v>
      </c>
    </row>
    <row r="2538" customFormat="false" ht="12.75" hidden="false" customHeight="false" outlineLevel="0" collapsed="false">
      <c r="A2538" s="13" t="n">
        <v>2</v>
      </c>
      <c r="B2538" s="14" t="n">
        <v>46293</v>
      </c>
      <c r="C2538" s="14" t="n">
        <v>46327</v>
      </c>
      <c r="D2538" s="13" t="n">
        <v>1725</v>
      </c>
      <c r="E2538" s="0" t="s">
        <v>1921</v>
      </c>
      <c r="F2538" s="13" t="n">
        <v>47</v>
      </c>
      <c r="G2538" s="0" t="s">
        <v>34</v>
      </c>
      <c r="H2538" s="13" t="n">
        <v>2110405</v>
      </c>
      <c r="I2538" s="0" t="s">
        <v>56</v>
      </c>
      <c r="J2538" s="13" t="n">
        <v>1770115</v>
      </c>
      <c r="L2538" s="13" t="n">
        <v>243727</v>
      </c>
      <c r="M2538" s="0" t="s">
        <v>52</v>
      </c>
      <c r="N2538" s="0" t="s">
        <v>45</v>
      </c>
      <c r="P2538" s="13" t="n">
        <v>113</v>
      </c>
      <c r="Q2538" s="0" t="s">
        <v>46</v>
      </c>
      <c r="R2538" s="0" t="s">
        <v>39</v>
      </c>
      <c r="S2538" s="13" t="n">
        <v>4210227</v>
      </c>
      <c r="T2538" s="0" t="s">
        <v>68</v>
      </c>
      <c r="U2538" s="15" t="n">
        <v>234</v>
      </c>
      <c r="W2538" s="15" t="n">
        <v>0</v>
      </c>
      <c r="X2538" s="0" t="s">
        <v>2055</v>
      </c>
      <c r="Z2538" s="0" t="str">
        <f aca="false">IF($T2538="","",IFERROR(INDEX('Resumo Grupos'!$AC$3:$AC$200,MATCH($T2538,'Resumo Grupos'!$AB$3:$AB$200,0)),"n/d"))</f>
        <v>Despesa</v>
      </c>
      <c r="AA2538" s="0" t="str">
        <f aca="false">IF($T2538="","",IF(COUNTIF('Resumo Grupos'!$AE$3:$AE$40,$T2538)&gt;0,"NAO","SIM"))</f>
        <v>SIM</v>
      </c>
      <c r="AB2538" s="0" t="str">
        <f aca="false">IFERROR(INDEX('Mov Entradas (Rel 10497)'!$L:$L,MATCH(AC2538,'Mov Entradas (Rel 10497)'!$I:$I,0)),"nao encontrado")</f>
        <v>CANALETA PARA MDF CA</v>
      </c>
      <c r="AC2538" s="0" t="n">
        <v>292150</v>
      </c>
    </row>
    <row r="2539" customFormat="false" ht="12.75" hidden="false" customHeight="false" outlineLevel="0" collapsed="false">
      <c r="A2539" s="13" t="n">
        <v>2</v>
      </c>
      <c r="B2539" s="14" t="n">
        <v>46293</v>
      </c>
      <c r="C2539" s="14" t="n">
        <v>46327</v>
      </c>
      <c r="D2539" s="13" t="n">
        <v>737</v>
      </c>
      <c r="E2539" s="0" t="s">
        <v>2056</v>
      </c>
      <c r="F2539" s="13" t="n">
        <v>47</v>
      </c>
      <c r="G2539" s="0" t="s">
        <v>34</v>
      </c>
      <c r="H2539" s="13" t="n">
        <v>2110405</v>
      </c>
      <c r="I2539" s="0" t="s">
        <v>56</v>
      </c>
      <c r="J2539" s="13" t="n">
        <v>1769891</v>
      </c>
      <c r="L2539" s="13" t="n">
        <v>243722</v>
      </c>
      <c r="M2539" s="0" t="s">
        <v>52</v>
      </c>
      <c r="N2539" s="0" t="s">
        <v>45</v>
      </c>
      <c r="P2539" s="13" t="n">
        <v>113</v>
      </c>
      <c r="Q2539" s="0" t="s">
        <v>46</v>
      </c>
      <c r="R2539" s="0" t="s">
        <v>39</v>
      </c>
      <c r="S2539" s="13" t="n">
        <v>4210227</v>
      </c>
      <c r="T2539" s="0" t="s">
        <v>68</v>
      </c>
      <c r="U2539" s="15" t="n">
        <v>256.67</v>
      </c>
      <c r="W2539" s="15" t="n">
        <v>0</v>
      </c>
      <c r="X2539" s="0" t="s">
        <v>2057</v>
      </c>
      <c r="Z2539" s="0" t="str">
        <f aca="false">IF($T2539="","",IFERROR(INDEX('Resumo Grupos'!$AC$3:$AC$200,MATCH($T2539,'Resumo Grupos'!$AB$3:$AB$200,0)),"n/d"))</f>
        <v>Despesa</v>
      </c>
      <c r="AA2539" s="0" t="str">
        <f aca="false">IF($T2539="","",IF(COUNTIF('Resumo Grupos'!$AE$3:$AE$40,$T2539)&gt;0,"NAO","SIM"))</f>
        <v>SIM</v>
      </c>
      <c r="AB2539" s="0" t="str">
        <f aca="false">IFERROR(INDEX('Mov Entradas (Rel 10497)'!$L:$L,MATCH(AC2539,'Mov Entradas (Rel 10497)'!$I:$I,0)),"nao encontrado")</f>
        <v>PAINEL CANALETADO BR</v>
      </c>
      <c r="AC2539" s="0" t="n">
        <v>178788</v>
      </c>
    </row>
    <row r="2540" customFormat="false" ht="12.75" hidden="false" customHeight="false" outlineLevel="0" collapsed="false">
      <c r="A2540" s="13" t="n">
        <v>2</v>
      </c>
      <c r="B2540" s="14" t="n">
        <v>46055</v>
      </c>
      <c r="C2540" s="14" t="n">
        <v>46327</v>
      </c>
      <c r="D2540" s="13" t="n">
        <v>10039</v>
      </c>
      <c r="E2540" s="0" t="s">
        <v>88</v>
      </c>
      <c r="F2540" s="13" t="n">
        <v>47</v>
      </c>
      <c r="G2540" s="0" t="s">
        <v>34</v>
      </c>
      <c r="H2540" s="13" t="n">
        <v>2110405</v>
      </c>
      <c r="I2540" s="0" t="s">
        <v>56</v>
      </c>
      <c r="J2540" s="13" t="n">
        <v>846832</v>
      </c>
      <c r="L2540" s="13" t="n">
        <v>111506</v>
      </c>
      <c r="M2540" s="0" t="s">
        <v>1134</v>
      </c>
      <c r="N2540" s="0" t="s">
        <v>45</v>
      </c>
      <c r="P2540" s="13" t="n">
        <v>113</v>
      </c>
      <c r="Q2540" s="0" t="s">
        <v>46</v>
      </c>
      <c r="R2540" s="0" t="s">
        <v>39</v>
      </c>
      <c r="S2540" s="13" t="n">
        <v>4210227</v>
      </c>
      <c r="T2540" s="0" t="s">
        <v>68</v>
      </c>
      <c r="U2540" s="15" t="n">
        <v>378.82</v>
      </c>
      <c r="W2540" s="15" t="n">
        <v>0</v>
      </c>
      <c r="X2540" s="0" t="s">
        <v>2058</v>
      </c>
      <c r="Z2540" s="0" t="str">
        <f aca="false">IF($T2540="","",IFERROR(INDEX('Resumo Grupos'!$AC$3:$AC$200,MATCH($T2540,'Resumo Grupos'!$AB$3:$AB$200,0)),"n/d"))</f>
        <v>Despesa</v>
      </c>
      <c r="AA2540" s="0" t="str">
        <f aca="false">IF($T2540="","",IF(COUNTIF('Resumo Grupos'!$AE$3:$AE$40,$T2540)&gt;0,"NAO","SIM"))</f>
        <v>SIM</v>
      </c>
      <c r="AB2540" s="0" t="str">
        <f aca="false">IFERROR(INDEX('Mov Entradas (Rel 10497)'!$L:$L,MATCH(AC2540,'Mov Entradas (Rel 10497)'!$I:$I,0)),"nao encontrado")</f>
        <v>nao encontrado</v>
      </c>
      <c r="AC2540" s="0" t="n">
        <v>258</v>
      </c>
    </row>
    <row r="2541" customFormat="false" ht="12.75" hidden="false" customHeight="false" outlineLevel="0" collapsed="false">
      <c r="A2541" s="13" t="n">
        <v>2</v>
      </c>
      <c r="B2541" s="14" t="n">
        <v>46282</v>
      </c>
      <c r="C2541" s="14" t="n">
        <v>46330</v>
      </c>
      <c r="D2541" s="13" t="n">
        <v>607</v>
      </c>
      <c r="E2541" s="0" t="s">
        <v>281</v>
      </c>
      <c r="F2541" s="13" t="n">
        <v>24</v>
      </c>
      <c r="G2541" s="0" t="s">
        <v>51</v>
      </c>
      <c r="H2541" s="13" t="n">
        <v>2110405</v>
      </c>
      <c r="I2541" s="0" t="s">
        <v>56</v>
      </c>
      <c r="J2541" s="13" t="n">
        <v>1716187</v>
      </c>
      <c r="L2541" s="13" t="n">
        <v>235899</v>
      </c>
      <c r="M2541" s="0" t="s">
        <v>52</v>
      </c>
      <c r="N2541" s="0" t="s">
        <v>45</v>
      </c>
      <c r="P2541" s="13" t="n">
        <v>113</v>
      </c>
      <c r="Q2541" s="0" t="s">
        <v>46</v>
      </c>
      <c r="R2541" s="0" t="s">
        <v>47</v>
      </c>
      <c r="S2541" s="13" t="n">
        <v>1130101</v>
      </c>
      <c r="T2541" s="0" t="s">
        <v>48</v>
      </c>
      <c r="U2541" s="15" t="n">
        <v>786.59</v>
      </c>
      <c r="W2541" s="15" t="n">
        <v>0</v>
      </c>
      <c r="X2541" s="0" t="s">
        <v>1975</v>
      </c>
      <c r="Z2541" s="0" t="str">
        <f aca="false">IF($T2541="","",IFERROR(INDEX('Resumo Grupos'!$AC$3:$AC$200,MATCH($T2541,'Resumo Grupos'!$AB$3:$AB$200,0)),"n/d"))</f>
        <v>Mercadoria</v>
      </c>
      <c r="AA2541" s="0" t="str">
        <f aca="false">IF($T2541="","",IF(COUNTIF('Resumo Grupos'!$AE$3:$AE$40,$T2541)&gt;0,"NAO","SIM"))</f>
        <v>SIM</v>
      </c>
      <c r="AB2541" s="0" t="str">
        <f aca="false">IFERROR(INDEX('Mov Entradas (Rel 10497)'!$L:$L,MATCH(AC2541,'Mov Entradas (Rel 10497)'!$I:$I,0)),"nao encontrado")</f>
        <v>RC BESSER NATURAL GT CAST KG</v>
      </c>
      <c r="AC2541" s="0" t="n">
        <v>11681</v>
      </c>
    </row>
    <row r="2542" customFormat="false" ht="12.75" hidden="false" customHeight="false" outlineLevel="0" collapsed="false">
      <c r="A2542" s="13" t="n">
        <v>2</v>
      </c>
      <c r="B2542" s="14" t="n">
        <v>46279</v>
      </c>
      <c r="C2542" s="14" t="n">
        <v>46331</v>
      </c>
      <c r="D2542" s="13" t="n">
        <v>1218</v>
      </c>
      <c r="E2542" s="0" t="s">
        <v>659</v>
      </c>
      <c r="F2542" s="13" t="n">
        <v>24</v>
      </c>
      <c r="G2542" s="0" t="s">
        <v>51</v>
      </c>
      <c r="H2542" s="13" t="n">
        <v>2110405</v>
      </c>
      <c r="I2542" s="0" t="s">
        <v>56</v>
      </c>
      <c r="J2542" s="13" t="n">
        <v>1702982</v>
      </c>
      <c r="L2542" s="13" t="n">
        <v>233742</v>
      </c>
      <c r="M2542" s="0" t="s">
        <v>52</v>
      </c>
      <c r="N2542" s="0" t="s">
        <v>45</v>
      </c>
      <c r="P2542" s="13" t="n">
        <v>113</v>
      </c>
      <c r="Q2542" s="0" t="s">
        <v>46</v>
      </c>
      <c r="R2542" s="0" t="s">
        <v>47</v>
      </c>
      <c r="S2542" s="13" t="n">
        <v>1130101</v>
      </c>
      <c r="T2542" s="0" t="s">
        <v>48</v>
      </c>
      <c r="U2542" s="15" t="n">
        <v>803.5</v>
      </c>
      <c r="W2542" s="15" t="n">
        <v>0</v>
      </c>
      <c r="X2542" s="0" t="s">
        <v>1761</v>
      </c>
      <c r="Z2542" s="0" t="str">
        <f aca="false">IF($T2542="","",IFERROR(INDEX('Resumo Grupos'!$AC$3:$AC$200,MATCH($T2542,'Resumo Grupos'!$AB$3:$AB$200,0)),"n/d"))</f>
        <v>Mercadoria</v>
      </c>
      <c r="AA2542" s="0" t="str">
        <f aca="false">IF($T2542="","",IF(COUNTIF('Resumo Grupos'!$AE$3:$AE$40,$T2542)&gt;0,"NAO","SIM"))</f>
        <v>SIM</v>
      </c>
      <c r="AB2542" s="0" t="str">
        <f aca="false">IFERROR(INDEX('Mov Entradas (Rel 10497)'!$L:$L,MATCH(AC2542,'Mov Entradas (Rel 10497)'!$I:$I,0)),"nao encontrado")</f>
        <v>COLA POLYTUBES ADESI</v>
      </c>
      <c r="AC2542" s="0" t="n">
        <v>11105</v>
      </c>
    </row>
    <row r="2543" customFormat="false" ht="12.75" hidden="false" customHeight="false" outlineLevel="0" collapsed="false">
      <c r="A2543" s="13" t="n">
        <v>2</v>
      </c>
      <c r="B2543" s="14" t="n">
        <v>46300</v>
      </c>
      <c r="C2543" s="14" t="n">
        <v>46331</v>
      </c>
      <c r="D2543" s="13" t="n">
        <v>1768</v>
      </c>
      <c r="E2543" s="0" t="s">
        <v>378</v>
      </c>
      <c r="F2543" s="13" t="n">
        <v>34</v>
      </c>
      <c r="G2543" s="0" t="s">
        <v>55</v>
      </c>
      <c r="H2543" s="13" t="n">
        <v>2110405</v>
      </c>
      <c r="I2543" s="0" t="s">
        <v>56</v>
      </c>
      <c r="J2543" s="13" t="n">
        <v>628286</v>
      </c>
      <c r="L2543" s="13" t="n">
        <v>81552</v>
      </c>
      <c r="M2543" s="0" t="s">
        <v>1134</v>
      </c>
      <c r="N2543" s="0" t="s">
        <v>45</v>
      </c>
      <c r="P2543" s="13" t="n">
        <v>101</v>
      </c>
      <c r="Q2543" s="0" t="s">
        <v>57</v>
      </c>
      <c r="R2543" s="0" t="s">
        <v>39</v>
      </c>
      <c r="S2543" s="13" t="n">
        <v>4210202</v>
      </c>
      <c r="T2543" s="0" t="s">
        <v>379</v>
      </c>
      <c r="U2543" s="15" t="n">
        <v>2431.5</v>
      </c>
      <c r="W2543" s="15" t="n">
        <v>0</v>
      </c>
      <c r="X2543" s="0" t="s">
        <v>380</v>
      </c>
      <c r="Z2543" s="0" t="str">
        <f aca="false">IF($T2543="","",IFERROR(INDEX('Resumo Grupos'!$AC$3:$AC$200,MATCH($T2543,'Resumo Grupos'!$AB$3:$AB$200,0)),"n/d"))</f>
        <v>Despesa</v>
      </c>
      <c r="AA2543" s="0" t="str">
        <f aca="false">IF($T2543="","",IF(COUNTIF('Resumo Grupos'!$AE$3:$AE$40,$T2543)&gt;0,"NAO","SIM"))</f>
        <v>SIM</v>
      </c>
    </row>
    <row r="2544" customFormat="false" ht="12.75" hidden="false" customHeight="false" outlineLevel="0" collapsed="false">
      <c r="A2544" s="13" t="n">
        <v>2</v>
      </c>
      <c r="B2544" s="14" t="n">
        <v>46244</v>
      </c>
      <c r="C2544" s="14" t="n">
        <v>46331</v>
      </c>
      <c r="D2544" s="13" t="n">
        <v>33</v>
      </c>
      <c r="E2544" s="0" t="s">
        <v>313</v>
      </c>
      <c r="F2544" s="13" t="n">
        <v>34</v>
      </c>
      <c r="G2544" s="0" t="s">
        <v>55</v>
      </c>
      <c r="H2544" s="13" t="n">
        <v>2110405</v>
      </c>
      <c r="I2544" s="0" t="s">
        <v>56</v>
      </c>
      <c r="J2544" s="13" t="n">
        <v>1530158</v>
      </c>
      <c r="L2544" s="13" t="n">
        <v>208205</v>
      </c>
      <c r="M2544" s="0" t="s">
        <v>67</v>
      </c>
      <c r="N2544" s="0" t="s">
        <v>45</v>
      </c>
      <c r="P2544" s="13" t="n">
        <v>101</v>
      </c>
      <c r="Q2544" s="0" t="s">
        <v>57</v>
      </c>
      <c r="R2544" s="0" t="s">
        <v>71</v>
      </c>
      <c r="S2544" s="13" t="n">
        <v>4210301</v>
      </c>
      <c r="T2544" s="0" t="s">
        <v>220</v>
      </c>
      <c r="U2544" s="15" t="n">
        <v>250.1</v>
      </c>
      <c r="W2544" s="15" t="n">
        <v>0</v>
      </c>
      <c r="X2544" s="0" t="s">
        <v>1645</v>
      </c>
      <c r="Z2544" s="0" t="str">
        <f aca="false">IF($T2544="","",IFERROR(INDEX('Resumo Grupos'!$AC$3:$AC$200,MATCH($T2544,'Resumo Grupos'!$AB$3:$AB$200,0)),"n/d"))</f>
        <v>Salários</v>
      </c>
      <c r="AA2544" s="0" t="str">
        <f aca="false">IF($T2544="","",IF(COUNTIF('Resumo Grupos'!$AE$3:$AE$40,$T2544)&gt;0,"NAO","SIM"))</f>
        <v>SIM</v>
      </c>
    </row>
    <row r="2545" customFormat="false" ht="12.75" hidden="false" customHeight="false" outlineLevel="0" collapsed="false">
      <c r="A2545" s="13" t="n">
        <v>2</v>
      </c>
      <c r="B2545" s="14" t="n">
        <v>46300</v>
      </c>
      <c r="C2545" s="14" t="n">
        <v>46331</v>
      </c>
      <c r="D2545" s="13" t="n">
        <v>16</v>
      </c>
      <c r="E2545" s="0" t="s">
        <v>257</v>
      </c>
      <c r="F2545" s="13" t="n">
        <v>34</v>
      </c>
      <c r="G2545" s="0" t="s">
        <v>55</v>
      </c>
      <c r="H2545" s="13" t="n">
        <v>2110405</v>
      </c>
      <c r="I2545" s="0" t="s">
        <v>56</v>
      </c>
      <c r="J2545" s="13" t="n">
        <v>1509239</v>
      </c>
      <c r="L2545" s="13" t="n">
        <v>205164</v>
      </c>
      <c r="M2545" s="0" t="s">
        <v>67</v>
      </c>
      <c r="N2545" s="0" t="s">
        <v>45</v>
      </c>
      <c r="P2545" s="13" t="n">
        <v>101</v>
      </c>
      <c r="Q2545" s="0" t="s">
        <v>57</v>
      </c>
      <c r="R2545" s="0" t="s">
        <v>71</v>
      </c>
      <c r="S2545" s="13" t="n">
        <v>4210301</v>
      </c>
      <c r="T2545" s="0" t="s">
        <v>220</v>
      </c>
      <c r="U2545" s="15" t="n">
        <v>500</v>
      </c>
      <c r="W2545" s="15" t="n">
        <v>0</v>
      </c>
      <c r="X2545" s="0" t="s">
        <v>2059</v>
      </c>
      <c r="Z2545" s="0" t="str">
        <f aca="false">IF($T2545="","",IFERROR(INDEX('Resumo Grupos'!$AC$3:$AC$200,MATCH($T2545,'Resumo Grupos'!$AB$3:$AB$200,0)),"n/d"))</f>
        <v>Salários</v>
      </c>
      <c r="AA2545" s="0" t="str">
        <f aca="false">IF($T2545="","",IF(COUNTIF('Resumo Grupos'!$AE$3:$AE$40,$T2545)&gt;0,"NAO","SIM"))</f>
        <v>SIM</v>
      </c>
    </row>
    <row r="2546" customFormat="false" ht="12.75" hidden="false" customHeight="false" outlineLevel="0" collapsed="false">
      <c r="A2546" s="13" t="n">
        <v>2</v>
      </c>
      <c r="B2546" s="14" t="n">
        <v>46293</v>
      </c>
      <c r="C2546" s="14" t="n">
        <v>46333</v>
      </c>
      <c r="D2546" s="13" t="n">
        <v>1932</v>
      </c>
      <c r="E2546" s="0" t="s">
        <v>278</v>
      </c>
      <c r="F2546" s="13" t="n">
        <v>34</v>
      </c>
      <c r="G2546" s="0" t="s">
        <v>55</v>
      </c>
      <c r="H2546" s="13" t="n">
        <v>2110405</v>
      </c>
      <c r="I2546" s="0" t="s">
        <v>56</v>
      </c>
      <c r="J2546" s="13" t="n">
        <v>1469462</v>
      </c>
      <c r="L2546" s="13" t="n">
        <v>199057</v>
      </c>
      <c r="M2546" s="0" t="s">
        <v>89</v>
      </c>
      <c r="N2546" s="0" t="s">
        <v>45</v>
      </c>
      <c r="P2546" s="13" t="n">
        <v>101</v>
      </c>
      <c r="Q2546" s="0" t="s">
        <v>57</v>
      </c>
      <c r="R2546" s="0" t="s">
        <v>71</v>
      </c>
      <c r="S2546" s="13" t="n">
        <v>4210315</v>
      </c>
      <c r="T2546" s="0" t="s">
        <v>279</v>
      </c>
      <c r="U2546" s="15" t="n">
        <v>119.97</v>
      </c>
      <c r="W2546" s="15" t="n">
        <v>0</v>
      </c>
      <c r="X2546" s="0" t="s">
        <v>1220</v>
      </c>
      <c r="Z2546" s="0" t="str">
        <f aca="false">IF($T2546="","",IFERROR(INDEX('Resumo Grupos'!$AC$3:$AC$200,MATCH($T2546,'Resumo Grupos'!$AB$3:$AB$200,0)),"n/d"))</f>
        <v>Despesa</v>
      </c>
      <c r="AA2546" s="0" t="str">
        <f aca="false">IF($T2546="","",IF(COUNTIF('Resumo Grupos'!$AE$3:$AE$40,$T2546)&gt;0,"NAO","SIM"))</f>
        <v>SIM</v>
      </c>
    </row>
    <row r="2547" customFormat="false" ht="12.75" hidden="false" customHeight="false" outlineLevel="0" collapsed="false">
      <c r="A2547" s="13" t="n">
        <v>2</v>
      </c>
      <c r="B2547" s="14" t="n">
        <v>46276</v>
      </c>
      <c r="C2547" s="14" t="n">
        <v>46334</v>
      </c>
      <c r="D2547" s="13" t="n">
        <v>1217</v>
      </c>
      <c r="E2547" s="0" t="s">
        <v>776</v>
      </c>
      <c r="F2547" s="13" t="n">
        <v>24</v>
      </c>
      <c r="G2547" s="0" t="s">
        <v>51</v>
      </c>
      <c r="H2547" s="13" t="n">
        <v>2110405</v>
      </c>
      <c r="I2547" s="0" t="s">
        <v>56</v>
      </c>
      <c r="J2547" s="13" t="n">
        <v>1687721</v>
      </c>
      <c r="L2547" s="13" t="n">
        <v>231777</v>
      </c>
      <c r="M2547" s="0" t="s">
        <v>52</v>
      </c>
      <c r="N2547" s="0" t="s">
        <v>45</v>
      </c>
      <c r="P2547" s="13" t="n">
        <v>113</v>
      </c>
      <c r="Q2547" s="0" t="s">
        <v>46</v>
      </c>
      <c r="R2547" s="0" t="s">
        <v>47</v>
      </c>
      <c r="S2547" s="13" t="n">
        <v>1130101</v>
      </c>
      <c r="T2547" s="0" t="s">
        <v>48</v>
      </c>
      <c r="U2547" s="15" t="n">
        <v>792.51</v>
      </c>
      <c r="W2547" s="15" t="n">
        <v>0</v>
      </c>
      <c r="X2547" s="0" t="s">
        <v>1785</v>
      </c>
      <c r="Z2547" s="0" t="str">
        <f aca="false">IF($T2547="","",IFERROR(INDEX('Resumo Grupos'!$AC$3:$AC$200,MATCH($T2547,'Resumo Grupos'!$AB$3:$AB$200,0)),"n/d"))</f>
        <v>Mercadoria</v>
      </c>
      <c r="AA2547" s="0" t="str">
        <f aca="false">IF($T2547="","",IF(COUNTIF('Resumo Grupos'!$AE$3:$AE$40,$T2547)&gt;0,"NAO","SIM"))</f>
        <v>SIM</v>
      </c>
      <c r="AB2547" s="0" t="str">
        <f aca="false">IFERROR(INDEX('Mov Entradas (Rel 10497)'!$L:$L,MATCH(AC2547,'Mov Entradas (Rel 10497)'!$I:$I,0)),"nao encontrado")</f>
        <v>CORANTE XZ.PRETO</v>
      </c>
      <c r="AC2547" s="0" t="n">
        <v>5521</v>
      </c>
    </row>
    <row r="2548" customFormat="false" ht="12.75" hidden="false" customHeight="false" outlineLevel="0" collapsed="false">
      <c r="A2548" s="13" t="n">
        <v>2</v>
      </c>
      <c r="B2548" s="14" t="n">
        <v>46260</v>
      </c>
      <c r="C2548" s="14" t="n">
        <v>46336</v>
      </c>
      <c r="D2548" s="13" t="n">
        <v>1835</v>
      </c>
      <c r="E2548" s="0" t="s">
        <v>2010</v>
      </c>
      <c r="F2548" s="13" t="n">
        <v>46</v>
      </c>
      <c r="G2548" s="0" t="s">
        <v>319</v>
      </c>
      <c r="H2548" s="13" t="n">
        <v>2110405</v>
      </c>
      <c r="I2548" s="0" t="s">
        <v>56</v>
      </c>
      <c r="J2548" s="13" t="n">
        <v>1605275</v>
      </c>
      <c r="L2548" s="13" t="n">
        <v>219925</v>
      </c>
      <c r="M2548" s="0" t="s">
        <v>44</v>
      </c>
      <c r="N2548" s="0" t="s">
        <v>45</v>
      </c>
      <c r="P2548" s="13" t="n">
        <v>113</v>
      </c>
      <c r="Q2548" s="0" t="s">
        <v>46</v>
      </c>
      <c r="R2548" s="0" t="s">
        <v>39</v>
      </c>
      <c r="S2548" s="13" t="n">
        <v>4210227</v>
      </c>
      <c r="T2548" s="0" t="s">
        <v>68</v>
      </c>
      <c r="U2548" s="15" t="n">
        <v>176.81</v>
      </c>
      <c r="W2548" s="15" t="n">
        <v>0</v>
      </c>
      <c r="X2548" s="0" t="s">
        <v>2060</v>
      </c>
      <c r="Z2548" s="0" t="str">
        <f aca="false">IF($T2548="","",IFERROR(INDEX('Resumo Grupos'!$AC$3:$AC$200,MATCH($T2548,'Resumo Grupos'!$AB$3:$AB$200,0)),"n/d"))</f>
        <v>Despesa</v>
      </c>
      <c r="AA2548" s="0" t="str">
        <f aca="false">IF($T2548="","",IF(COUNTIF('Resumo Grupos'!$AE$3:$AE$40,$T2548)&gt;0,"NAO","SIM"))</f>
        <v>SIM</v>
      </c>
      <c r="AB2548" s="0" t="str">
        <f aca="false">IFERROR(INDEX('Mov Entradas (Rel 10497)'!$L:$L,MATCH(AC2548,'Mov Entradas (Rel 10497)'!$I:$I,0)),"nao encontrado")</f>
        <v>TINTA ESMALTE FOSCO CITY 3L PRETO UN QTD</v>
      </c>
      <c r="AC2548" s="0" t="n">
        <v>110228</v>
      </c>
    </row>
    <row r="2549" customFormat="false" ht="12.75" hidden="false" customHeight="false" outlineLevel="0" collapsed="false">
      <c r="A2549" s="13" t="n">
        <v>2</v>
      </c>
      <c r="B2549" s="14" t="n">
        <v>46211</v>
      </c>
      <c r="C2549" s="14" t="n">
        <v>46336</v>
      </c>
      <c r="D2549" s="13" t="n">
        <v>33</v>
      </c>
      <c r="E2549" s="0" t="s">
        <v>313</v>
      </c>
      <c r="F2549" s="13" t="n">
        <v>34</v>
      </c>
      <c r="G2549" s="0" t="s">
        <v>55</v>
      </c>
      <c r="H2549" s="13" t="n">
        <v>2110405</v>
      </c>
      <c r="I2549" s="0" t="s">
        <v>56</v>
      </c>
      <c r="J2549" s="13" t="n">
        <v>1370733</v>
      </c>
      <c r="L2549" s="13" t="n">
        <v>184338</v>
      </c>
      <c r="M2549" s="0" t="s">
        <v>89</v>
      </c>
      <c r="N2549" s="0" t="s">
        <v>45</v>
      </c>
      <c r="P2549" s="13" t="n">
        <v>101</v>
      </c>
      <c r="Q2549" s="0" t="s">
        <v>57</v>
      </c>
      <c r="R2549" s="0" t="s">
        <v>39</v>
      </c>
      <c r="S2549" s="13" t="n">
        <v>4210222</v>
      </c>
      <c r="T2549" s="0" t="s">
        <v>1256</v>
      </c>
      <c r="U2549" s="15" t="n">
        <v>666.67</v>
      </c>
      <c r="W2549" s="15" t="n">
        <v>0</v>
      </c>
      <c r="X2549" s="0" t="s">
        <v>1257</v>
      </c>
      <c r="Z2549" s="0" t="str">
        <f aca="false">IF($T2549="","",IFERROR(INDEX('Resumo Grupos'!$AC$3:$AC$200,MATCH($T2549,'Resumo Grupos'!$AB$3:$AB$200,0)),"n/d"))</f>
        <v>Despesa</v>
      </c>
      <c r="AA2549" s="0" t="str">
        <f aca="false">IF($T2549="","",IF(COUNTIF('Resumo Grupos'!$AE$3:$AE$40,$T2549)&gt;0,"NAO","SIM"))</f>
        <v>SIM</v>
      </c>
    </row>
    <row r="2550" customFormat="false" ht="12.75" hidden="false" customHeight="false" outlineLevel="0" collapsed="false">
      <c r="A2550" s="13" t="n">
        <v>2</v>
      </c>
      <c r="B2550" s="14" t="n">
        <v>46275</v>
      </c>
      <c r="C2550" s="14" t="n">
        <v>46336</v>
      </c>
      <c r="D2550" s="13" t="n">
        <v>1747</v>
      </c>
      <c r="E2550" s="0" t="s">
        <v>2013</v>
      </c>
      <c r="F2550" s="13" t="n">
        <v>46</v>
      </c>
      <c r="G2550" s="0" t="s">
        <v>319</v>
      </c>
      <c r="H2550" s="13" t="n">
        <v>2110405</v>
      </c>
      <c r="I2550" s="0" t="s">
        <v>56</v>
      </c>
      <c r="J2550" s="13" t="n">
        <v>1683676</v>
      </c>
      <c r="L2550" s="13" t="n">
        <v>231136</v>
      </c>
      <c r="M2550" s="0" t="s">
        <v>44</v>
      </c>
      <c r="N2550" s="0" t="s">
        <v>45</v>
      </c>
      <c r="P2550" s="13" t="n">
        <v>113</v>
      </c>
      <c r="Q2550" s="0" t="s">
        <v>46</v>
      </c>
      <c r="R2550" s="0" t="s">
        <v>39</v>
      </c>
      <c r="S2550" s="13" t="n">
        <v>4210227</v>
      </c>
      <c r="T2550" s="0" t="s">
        <v>68</v>
      </c>
      <c r="U2550" s="15" t="n">
        <v>161.75</v>
      </c>
      <c r="W2550" s="15" t="n">
        <v>0</v>
      </c>
      <c r="X2550" s="0" t="s">
        <v>2061</v>
      </c>
      <c r="Z2550" s="0" t="str">
        <f aca="false">IF($T2550="","",IFERROR(INDEX('Resumo Grupos'!$AC$3:$AC$200,MATCH($T2550,'Resumo Grupos'!$AB$3:$AB$200,0)),"n/d"))</f>
        <v>Despesa</v>
      </c>
      <c r="AA2550" s="0" t="str">
        <f aca="false">IF($T2550="","",IF(COUNTIF('Resumo Grupos'!$AE$3:$AE$40,$T2550)&gt;0,"NAO","SIM"))</f>
        <v>SIM</v>
      </c>
      <c r="AB2550" s="0" t="str">
        <f aca="false">IFERROR(INDEX('Mov Entradas (Rel 10497)'!$L:$L,MATCH(AC2550,'Mov Entradas (Rel 10497)'!$I:$I,0)),"nao encontrado")</f>
        <v>GLASURITI ESM. FOSCO</v>
      </c>
      <c r="AC2550" s="0" t="n">
        <v>1544516</v>
      </c>
    </row>
    <row r="2551" customFormat="false" ht="12.75" hidden="false" customHeight="false" outlineLevel="0" collapsed="false">
      <c r="A2551" s="13" t="n">
        <v>2</v>
      </c>
      <c r="B2551" s="14" t="n">
        <v>46279</v>
      </c>
      <c r="C2551" s="14" t="n">
        <v>46338</v>
      </c>
      <c r="D2551" s="13" t="n">
        <v>1218</v>
      </c>
      <c r="E2551" s="0" t="s">
        <v>659</v>
      </c>
      <c r="F2551" s="13" t="n">
        <v>24</v>
      </c>
      <c r="G2551" s="0" t="s">
        <v>51</v>
      </c>
      <c r="H2551" s="13" t="n">
        <v>2110405</v>
      </c>
      <c r="I2551" s="0" t="s">
        <v>56</v>
      </c>
      <c r="J2551" s="13" t="n">
        <v>1702992</v>
      </c>
      <c r="L2551" s="13" t="n">
        <v>233744</v>
      </c>
      <c r="M2551" s="0" t="s">
        <v>52</v>
      </c>
      <c r="N2551" s="0" t="s">
        <v>45</v>
      </c>
      <c r="P2551" s="13" t="n">
        <v>113</v>
      </c>
      <c r="Q2551" s="0" t="s">
        <v>46</v>
      </c>
      <c r="R2551" s="0" t="s">
        <v>47</v>
      </c>
      <c r="S2551" s="13" t="n">
        <v>1130101</v>
      </c>
      <c r="T2551" s="0" t="s">
        <v>48</v>
      </c>
      <c r="U2551" s="15" t="n">
        <v>803.5</v>
      </c>
      <c r="W2551" s="15" t="n">
        <v>0</v>
      </c>
      <c r="X2551" s="0" t="s">
        <v>1761</v>
      </c>
      <c r="Z2551" s="0" t="str">
        <f aca="false">IF($T2551="","",IFERROR(INDEX('Resumo Grupos'!$AC$3:$AC$200,MATCH($T2551,'Resumo Grupos'!$AB$3:$AB$200,0)),"n/d"))</f>
        <v>Mercadoria</v>
      </c>
      <c r="AA2551" s="0" t="str">
        <f aca="false">IF($T2551="","",IF(COUNTIF('Resumo Grupos'!$AE$3:$AE$40,$T2551)&gt;0,"NAO","SIM"))</f>
        <v>SIM</v>
      </c>
      <c r="AB2551" s="0" t="str">
        <f aca="false">IFERROR(INDEX('Mov Entradas (Rel 10497)'!$L:$L,MATCH(AC2551,'Mov Entradas (Rel 10497)'!$I:$I,0)),"nao encontrado")</f>
        <v>COLA POLYTUBES ADESI</v>
      </c>
      <c r="AC2551" s="0" t="n">
        <v>11105</v>
      </c>
    </row>
    <row r="2552" customFormat="false" ht="12.75" hidden="false" customHeight="false" outlineLevel="0" collapsed="false">
      <c r="A2552" s="13" t="n">
        <v>2</v>
      </c>
      <c r="B2552" s="14" t="n">
        <v>46282</v>
      </c>
      <c r="C2552" s="14" t="n">
        <v>46340</v>
      </c>
      <c r="D2552" s="13" t="n">
        <v>607</v>
      </c>
      <c r="E2552" s="0" t="s">
        <v>281</v>
      </c>
      <c r="F2552" s="13" t="n">
        <v>24</v>
      </c>
      <c r="G2552" s="0" t="s">
        <v>51</v>
      </c>
      <c r="H2552" s="13" t="n">
        <v>2110405</v>
      </c>
      <c r="I2552" s="0" t="s">
        <v>56</v>
      </c>
      <c r="J2552" s="13" t="n">
        <v>1716190</v>
      </c>
      <c r="L2552" s="13" t="n">
        <v>235901</v>
      </c>
      <c r="M2552" s="0" t="s">
        <v>52</v>
      </c>
      <c r="N2552" s="0" t="s">
        <v>45</v>
      </c>
      <c r="P2552" s="13" t="n">
        <v>113</v>
      </c>
      <c r="Q2552" s="0" t="s">
        <v>46</v>
      </c>
      <c r="R2552" s="0" t="s">
        <v>47</v>
      </c>
      <c r="S2552" s="13" t="n">
        <v>1130101</v>
      </c>
      <c r="T2552" s="0" t="s">
        <v>48</v>
      </c>
      <c r="U2552" s="15" t="n">
        <v>786.55</v>
      </c>
      <c r="W2552" s="15" t="n">
        <v>0</v>
      </c>
      <c r="X2552" s="0" t="s">
        <v>1975</v>
      </c>
      <c r="Z2552" s="0" t="str">
        <f aca="false">IF($T2552="","",IFERROR(INDEX('Resumo Grupos'!$AC$3:$AC$200,MATCH($T2552,'Resumo Grupos'!$AB$3:$AB$200,0)),"n/d"))</f>
        <v>Mercadoria</v>
      </c>
      <c r="AA2552" s="0" t="str">
        <f aca="false">IF($T2552="","",IF(COUNTIF('Resumo Grupos'!$AE$3:$AE$40,$T2552)&gt;0,"NAO","SIM"))</f>
        <v>SIM</v>
      </c>
      <c r="AB2552" s="0" t="str">
        <f aca="false">IFERROR(INDEX('Mov Entradas (Rel 10497)'!$L:$L,MATCH(AC2552,'Mov Entradas (Rel 10497)'!$I:$I,0)),"nao encontrado")</f>
        <v>RC BESSER NATURAL GT CAST KG</v>
      </c>
      <c r="AC2552" s="0" t="n">
        <v>11681</v>
      </c>
    </row>
    <row r="2553" customFormat="false" ht="12.75" hidden="false" customHeight="false" outlineLevel="0" collapsed="false">
      <c r="A2553" s="13" t="n">
        <v>2</v>
      </c>
      <c r="B2553" s="14" t="n">
        <v>46097</v>
      </c>
      <c r="C2553" s="14" t="n">
        <v>46341</v>
      </c>
      <c r="D2553" s="13" t="n">
        <v>1867</v>
      </c>
      <c r="E2553" s="0" t="s">
        <v>420</v>
      </c>
      <c r="F2553" s="13" t="n">
        <v>24</v>
      </c>
      <c r="G2553" s="0" t="s">
        <v>51</v>
      </c>
      <c r="H2553" s="13" t="n">
        <v>2110405</v>
      </c>
      <c r="I2553" s="0" t="s">
        <v>56</v>
      </c>
      <c r="J2553" s="13" t="n">
        <v>808550</v>
      </c>
      <c r="L2553" s="13" t="n">
        <v>2026</v>
      </c>
      <c r="M2553" s="0" t="s">
        <v>1134</v>
      </c>
      <c r="N2553" s="0" t="s">
        <v>45</v>
      </c>
      <c r="P2553" s="13" t="n">
        <v>101</v>
      </c>
      <c r="Q2553" s="0" t="s">
        <v>57</v>
      </c>
      <c r="R2553" s="0" t="s">
        <v>421</v>
      </c>
      <c r="S2553" s="13" t="n">
        <v>4210401</v>
      </c>
      <c r="T2553" s="0" t="s">
        <v>422</v>
      </c>
      <c r="U2553" s="15" t="n">
        <v>228.88</v>
      </c>
      <c r="W2553" s="15" t="n">
        <v>0</v>
      </c>
      <c r="X2553" s="0" t="s">
        <v>2062</v>
      </c>
      <c r="Z2553" s="0" t="str">
        <f aca="false">IF($T2553="","",IFERROR(INDEX('Resumo Grupos'!$AC$3:$AC$200,MATCH($T2553,'Resumo Grupos'!$AB$3:$AB$200,0)),"n/d"))</f>
        <v>Impostos</v>
      </c>
      <c r="AA2553" s="0" t="str">
        <f aca="false">IF($T2553="","",IF(COUNTIF('Resumo Grupos'!$AE$3:$AE$40,$T2553)&gt;0,"NAO","SIM"))</f>
        <v>SIM</v>
      </c>
    </row>
    <row r="2554" customFormat="false" ht="12.75" hidden="false" customHeight="false" outlineLevel="0" collapsed="false">
      <c r="A2554" s="13" t="n">
        <v>2</v>
      </c>
      <c r="B2554" s="14" t="n">
        <v>46127</v>
      </c>
      <c r="C2554" s="14" t="n">
        <v>46341</v>
      </c>
      <c r="D2554" s="13" t="n">
        <v>512</v>
      </c>
      <c r="E2554" s="0" t="s">
        <v>429</v>
      </c>
      <c r="F2554" s="13" t="n">
        <v>34</v>
      </c>
      <c r="G2554" s="0" t="s">
        <v>55</v>
      </c>
      <c r="H2554" s="13" t="n">
        <v>2110405</v>
      </c>
      <c r="I2554" s="0" t="s">
        <v>56</v>
      </c>
      <c r="J2554" s="13" t="n">
        <v>954215</v>
      </c>
      <c r="L2554" s="13" t="n">
        <v>126220</v>
      </c>
      <c r="M2554" s="0" t="s">
        <v>701</v>
      </c>
      <c r="N2554" s="0" t="s">
        <v>45</v>
      </c>
      <c r="P2554" s="13" t="n">
        <v>101</v>
      </c>
      <c r="Q2554" s="0" t="s">
        <v>57</v>
      </c>
      <c r="R2554" s="0" t="s">
        <v>430</v>
      </c>
      <c r="S2554" s="13" t="n">
        <v>4210111</v>
      </c>
      <c r="T2554" s="0" t="s">
        <v>431</v>
      </c>
      <c r="U2554" s="15" t="n">
        <v>5700</v>
      </c>
      <c r="W2554" s="15" t="n">
        <v>0</v>
      </c>
      <c r="X2554" s="0" t="s">
        <v>432</v>
      </c>
      <c r="Z2554" s="0" t="str">
        <f aca="false">IF($T2554="","",IFERROR(INDEX('Resumo Grupos'!$AC$3:$AC$200,MATCH($T2554,'Resumo Grupos'!$AB$3:$AB$200,0)),"n/d"))</f>
        <v>Despesa</v>
      </c>
      <c r="AA2554" s="0" t="str">
        <f aca="false">IF($T2554="","",IF(COUNTIF('Resumo Grupos'!$AE$3:$AE$40,$T2554)&gt;0,"NAO","SIM"))</f>
        <v>SIM</v>
      </c>
    </row>
    <row r="2555" customFormat="false" ht="12.75" hidden="false" customHeight="false" outlineLevel="0" collapsed="false">
      <c r="A2555" s="13" t="n">
        <v>2</v>
      </c>
      <c r="B2555" s="14" t="n">
        <v>46206</v>
      </c>
      <c r="C2555" s="14" t="n">
        <v>46344</v>
      </c>
      <c r="D2555" s="13" t="n">
        <v>33</v>
      </c>
      <c r="E2555" s="0" t="s">
        <v>313</v>
      </c>
      <c r="F2555" s="13" t="n">
        <v>34</v>
      </c>
      <c r="G2555" s="0" t="s">
        <v>55</v>
      </c>
      <c r="H2555" s="13" t="n">
        <v>2110405</v>
      </c>
      <c r="I2555" s="0" t="s">
        <v>56</v>
      </c>
      <c r="J2555" s="13" t="n">
        <v>1345312</v>
      </c>
      <c r="L2555" s="13" t="n">
        <v>180690</v>
      </c>
      <c r="M2555" s="0" t="s">
        <v>36</v>
      </c>
      <c r="N2555" s="0" t="s">
        <v>45</v>
      </c>
      <c r="P2555" s="13" t="n">
        <v>101</v>
      </c>
      <c r="Q2555" s="0" t="s">
        <v>57</v>
      </c>
      <c r="R2555" s="0" t="s">
        <v>39</v>
      </c>
      <c r="S2555" s="13" t="n">
        <v>4210203</v>
      </c>
      <c r="T2555" s="0" t="s">
        <v>757</v>
      </c>
      <c r="U2555" s="15" t="n">
        <v>247.27</v>
      </c>
      <c r="W2555" s="15" t="n">
        <v>0</v>
      </c>
      <c r="X2555" s="0" t="s">
        <v>2043</v>
      </c>
      <c r="Z2555" s="0" t="str">
        <f aca="false">IF($T2555="","",IFERROR(INDEX('Resumo Grupos'!$AC$3:$AC$200,MATCH($T2555,'Resumo Grupos'!$AB$3:$AB$200,0)),"n/d"))</f>
        <v>Despesa</v>
      </c>
      <c r="AA2555" s="0" t="str">
        <f aca="false">IF($T2555="","",IF(COUNTIF('Resumo Grupos'!$AE$3:$AE$40,$T2555)&gt;0,"NAO","SIM"))</f>
        <v>SIM</v>
      </c>
    </row>
    <row r="2556" customFormat="false" ht="12.75" hidden="false" customHeight="false" outlineLevel="0" collapsed="false">
      <c r="A2556" s="13" t="n">
        <v>2</v>
      </c>
      <c r="B2556" s="14" t="n">
        <v>46279</v>
      </c>
      <c r="C2556" s="14" t="n">
        <v>46345</v>
      </c>
      <c r="D2556" s="13" t="n">
        <v>1218</v>
      </c>
      <c r="E2556" s="0" t="s">
        <v>659</v>
      </c>
      <c r="F2556" s="13" t="n">
        <v>24</v>
      </c>
      <c r="G2556" s="0" t="s">
        <v>51</v>
      </c>
      <c r="H2556" s="13" t="n">
        <v>2110405</v>
      </c>
      <c r="I2556" s="0" t="s">
        <v>56</v>
      </c>
      <c r="J2556" s="13" t="n">
        <v>1703000</v>
      </c>
      <c r="L2556" s="13" t="n">
        <v>233746</v>
      </c>
      <c r="M2556" s="0" t="s">
        <v>52</v>
      </c>
      <c r="N2556" s="0" t="s">
        <v>45</v>
      </c>
      <c r="P2556" s="13" t="n">
        <v>113</v>
      </c>
      <c r="Q2556" s="0" t="s">
        <v>46</v>
      </c>
      <c r="R2556" s="0" t="s">
        <v>47</v>
      </c>
      <c r="S2556" s="13" t="n">
        <v>1130101</v>
      </c>
      <c r="T2556" s="0" t="s">
        <v>48</v>
      </c>
      <c r="U2556" s="15" t="n">
        <v>803.5</v>
      </c>
      <c r="W2556" s="15" t="n">
        <v>0</v>
      </c>
      <c r="X2556" s="0" t="s">
        <v>1761</v>
      </c>
      <c r="Z2556" s="0" t="str">
        <f aca="false">IF($T2556="","",IFERROR(INDEX('Resumo Grupos'!$AC$3:$AC$200,MATCH($T2556,'Resumo Grupos'!$AB$3:$AB$200,0)),"n/d"))</f>
        <v>Mercadoria</v>
      </c>
      <c r="AA2556" s="0" t="str">
        <f aca="false">IF($T2556="","",IF(COUNTIF('Resumo Grupos'!$AE$3:$AE$40,$T2556)&gt;0,"NAO","SIM"))</f>
        <v>SIM</v>
      </c>
      <c r="AB2556" s="0" t="str">
        <f aca="false">IFERROR(INDEX('Mov Entradas (Rel 10497)'!$L:$L,MATCH(AC2556,'Mov Entradas (Rel 10497)'!$I:$I,0)),"nao encontrado")</f>
        <v>COLA POLYTUBES ADESI</v>
      </c>
      <c r="AC2556" s="0" t="n">
        <v>11105</v>
      </c>
    </row>
    <row r="2557" customFormat="false" ht="12.75" hidden="false" customHeight="false" outlineLevel="0" collapsed="false">
      <c r="A2557" s="13" t="n">
        <v>2</v>
      </c>
      <c r="B2557" s="14" t="n">
        <v>46300</v>
      </c>
      <c r="C2557" s="14" t="n">
        <v>46346</v>
      </c>
      <c r="D2557" s="13" t="n">
        <v>33</v>
      </c>
      <c r="E2557" s="0" t="s">
        <v>313</v>
      </c>
      <c r="F2557" s="13" t="n">
        <v>34</v>
      </c>
      <c r="G2557" s="0" t="s">
        <v>55</v>
      </c>
      <c r="H2557" s="13" t="n">
        <v>2110405</v>
      </c>
      <c r="I2557" s="0" t="s">
        <v>56</v>
      </c>
      <c r="J2557" s="13" t="n">
        <v>1424244</v>
      </c>
      <c r="L2557" s="13" t="n">
        <v>190900</v>
      </c>
      <c r="M2557" s="0" t="s">
        <v>36</v>
      </c>
      <c r="N2557" s="0" t="s">
        <v>45</v>
      </c>
      <c r="P2557" s="13" t="n">
        <v>101</v>
      </c>
      <c r="Q2557" s="0" t="s">
        <v>57</v>
      </c>
      <c r="R2557" s="0" t="s">
        <v>430</v>
      </c>
      <c r="S2557" s="13" t="n">
        <v>4210107</v>
      </c>
      <c r="T2557" s="0" t="s">
        <v>496</v>
      </c>
      <c r="U2557" s="15" t="n">
        <v>152.62</v>
      </c>
      <c r="W2557" s="15" t="n">
        <v>0</v>
      </c>
      <c r="X2557" s="0" t="s">
        <v>2063</v>
      </c>
      <c r="Z2557" s="0" t="str">
        <f aca="false">IF($T2557="","",IFERROR(INDEX('Resumo Grupos'!$AC$3:$AC$200,MATCH($T2557,'Resumo Grupos'!$AB$3:$AB$200,0)),"n/d"))</f>
        <v>Despesa</v>
      </c>
      <c r="AA2557" s="0" t="str">
        <f aca="false">IF($T2557="","",IF(COUNTIF('Resumo Grupos'!$AE$3:$AE$40,$T2557)&gt;0,"NAO","SIM"))</f>
        <v>SIM</v>
      </c>
    </row>
    <row r="2558" customFormat="false" ht="12.75" hidden="false" customHeight="false" outlineLevel="0" collapsed="false">
      <c r="A2558" s="13" t="n">
        <v>2</v>
      </c>
      <c r="B2558" s="14" t="n">
        <v>46282</v>
      </c>
      <c r="C2558" s="14" t="n">
        <v>46350</v>
      </c>
      <c r="D2558" s="13" t="n">
        <v>607</v>
      </c>
      <c r="E2558" s="0" t="s">
        <v>281</v>
      </c>
      <c r="F2558" s="13" t="n">
        <v>24</v>
      </c>
      <c r="G2558" s="0" t="s">
        <v>51</v>
      </c>
      <c r="H2558" s="13" t="n">
        <v>2110405</v>
      </c>
      <c r="I2558" s="0" t="s">
        <v>56</v>
      </c>
      <c r="J2558" s="13" t="n">
        <v>1716195</v>
      </c>
      <c r="L2558" s="13" t="n">
        <v>235903</v>
      </c>
      <c r="M2558" s="0" t="s">
        <v>52</v>
      </c>
      <c r="N2558" s="0" t="s">
        <v>45</v>
      </c>
      <c r="P2558" s="13" t="n">
        <v>113</v>
      </c>
      <c r="Q2558" s="0" t="s">
        <v>46</v>
      </c>
      <c r="R2558" s="0" t="s">
        <v>47</v>
      </c>
      <c r="S2558" s="13" t="n">
        <v>1130101</v>
      </c>
      <c r="T2558" s="0" t="s">
        <v>48</v>
      </c>
      <c r="U2558" s="15" t="n">
        <v>786.56</v>
      </c>
      <c r="W2558" s="15" t="n">
        <v>0</v>
      </c>
      <c r="X2558" s="0" t="s">
        <v>1975</v>
      </c>
      <c r="Z2558" s="0" t="str">
        <f aca="false">IF($T2558="","",IFERROR(INDEX('Resumo Grupos'!$AC$3:$AC$200,MATCH($T2558,'Resumo Grupos'!$AB$3:$AB$200,0)),"n/d"))</f>
        <v>Mercadoria</v>
      </c>
      <c r="AA2558" s="0" t="str">
        <f aca="false">IF($T2558="","",IF(COUNTIF('Resumo Grupos'!$AE$3:$AE$40,$T2558)&gt;0,"NAO","SIM"))</f>
        <v>SIM</v>
      </c>
      <c r="AB2558" s="0" t="str">
        <f aca="false">IFERROR(INDEX('Mov Entradas (Rel 10497)'!$L:$L,MATCH(AC2558,'Mov Entradas (Rel 10497)'!$I:$I,0)),"nao encontrado")</f>
        <v>RC BESSER NATURAL GT CAST KG</v>
      </c>
      <c r="AC2558" s="0" t="n">
        <v>11681</v>
      </c>
    </row>
    <row r="2559" customFormat="false" ht="12.75" hidden="false" customHeight="false" outlineLevel="0" collapsed="false">
      <c r="A2559" s="13" t="n">
        <v>2</v>
      </c>
      <c r="B2559" s="14" t="n">
        <v>46256</v>
      </c>
      <c r="C2559" s="14" t="n">
        <v>46351</v>
      </c>
      <c r="D2559" s="13" t="n">
        <v>1782</v>
      </c>
      <c r="E2559" s="0" t="s">
        <v>1839</v>
      </c>
      <c r="F2559" s="13" t="n">
        <v>48</v>
      </c>
      <c r="G2559" s="0" t="s">
        <v>581</v>
      </c>
      <c r="H2559" s="13" t="n">
        <v>2110405</v>
      </c>
      <c r="I2559" s="0" t="s">
        <v>56</v>
      </c>
      <c r="J2559" s="13" t="n">
        <v>1595448</v>
      </c>
      <c r="L2559" s="13" t="n">
        <v>2208</v>
      </c>
      <c r="M2559" s="0" t="s">
        <v>67</v>
      </c>
      <c r="N2559" s="0" t="s">
        <v>45</v>
      </c>
      <c r="P2559" s="13" t="n">
        <v>101</v>
      </c>
      <c r="Q2559" s="0" t="s">
        <v>57</v>
      </c>
      <c r="R2559" s="0" t="s">
        <v>39</v>
      </c>
      <c r="S2559" s="13" t="n">
        <v>4210232</v>
      </c>
      <c r="T2559" s="0" t="s">
        <v>320</v>
      </c>
      <c r="U2559" s="15" t="n">
        <v>79.9</v>
      </c>
      <c r="W2559" s="15" t="n">
        <v>0</v>
      </c>
      <c r="X2559" s="0" t="s">
        <v>2064</v>
      </c>
      <c r="Z2559" s="0" t="str">
        <f aca="false">IF($T2559="","",IFERROR(INDEX('Resumo Grupos'!$AC$3:$AC$200,MATCH($T2559,'Resumo Grupos'!$AB$3:$AB$200,0)),"n/d"))</f>
        <v>Despesa</v>
      </c>
      <c r="AA2559" s="0" t="str">
        <f aca="false">IF($T2559="","",IF(COUNTIF('Resumo Grupos'!$AE$3:$AE$40,$T2559)&gt;0,"NAO","SIM"))</f>
        <v>SIM</v>
      </c>
    </row>
    <row r="2560" customFormat="false" ht="12.75" hidden="false" customHeight="false" outlineLevel="0" collapsed="false">
      <c r="A2560" s="13" t="n">
        <v>2</v>
      </c>
      <c r="B2560" s="14" t="n">
        <v>46256</v>
      </c>
      <c r="C2560" s="14" t="n">
        <v>46351</v>
      </c>
      <c r="D2560" s="13" t="n">
        <v>1782</v>
      </c>
      <c r="E2560" s="0" t="s">
        <v>1839</v>
      </c>
      <c r="F2560" s="13" t="n">
        <v>48</v>
      </c>
      <c r="G2560" s="0" t="s">
        <v>581</v>
      </c>
      <c r="H2560" s="13" t="n">
        <v>2110405</v>
      </c>
      <c r="I2560" s="0" t="s">
        <v>56</v>
      </c>
      <c r="J2560" s="13" t="n">
        <v>1745338</v>
      </c>
      <c r="L2560" s="13" t="n">
        <v>240350</v>
      </c>
      <c r="M2560" s="0" t="s">
        <v>67</v>
      </c>
      <c r="N2560" s="0" t="s">
        <v>45</v>
      </c>
      <c r="P2560" s="13" t="n">
        <v>101</v>
      </c>
      <c r="Q2560" s="0" t="s">
        <v>57</v>
      </c>
      <c r="R2560" s="0" t="s">
        <v>81</v>
      </c>
      <c r="S2560" s="13" t="n">
        <v>4220199</v>
      </c>
      <c r="T2560" s="0" t="s">
        <v>82</v>
      </c>
      <c r="U2560" s="15" t="n">
        <v>159.8</v>
      </c>
      <c r="W2560" s="15" t="n">
        <v>0</v>
      </c>
      <c r="X2560" s="0" t="s">
        <v>1841</v>
      </c>
      <c r="Z2560" s="0" t="str">
        <f aca="false">IF($T2560="","",IFERROR(INDEX('Resumo Grupos'!$AC$3:$AC$200,MATCH($T2560,'Resumo Grupos'!$AB$3:$AB$200,0)),"n/d"))</f>
        <v>Pagamentos outros não operacionais</v>
      </c>
      <c r="AA2560" s="0" t="str">
        <f aca="false">IF($T2560="","",IF(COUNTIF('Resumo Grupos'!$AE$3:$AE$40,$T2560)&gt;0,"NAO","SIM"))</f>
        <v>SIM</v>
      </c>
    </row>
    <row r="2561" customFormat="false" ht="12.75" hidden="false" customHeight="false" outlineLevel="0" collapsed="false">
      <c r="A2561" s="13" t="n">
        <v>2</v>
      </c>
      <c r="B2561" s="14" t="n">
        <v>46265</v>
      </c>
      <c r="C2561" s="14" t="n">
        <v>46351</v>
      </c>
      <c r="D2561" s="13" t="n">
        <v>218</v>
      </c>
      <c r="E2561" s="0" t="s">
        <v>819</v>
      </c>
      <c r="F2561" s="13" t="n">
        <v>48</v>
      </c>
      <c r="G2561" s="0" t="s">
        <v>581</v>
      </c>
      <c r="H2561" s="13" t="n">
        <v>2110405</v>
      </c>
      <c r="I2561" s="0" t="s">
        <v>56</v>
      </c>
      <c r="J2561" s="13" t="n">
        <v>1759731</v>
      </c>
      <c r="L2561" s="13" t="n">
        <v>242377</v>
      </c>
      <c r="M2561" s="0" t="s">
        <v>67</v>
      </c>
      <c r="N2561" s="0" t="s">
        <v>45</v>
      </c>
      <c r="P2561" s="13" t="n">
        <v>101</v>
      </c>
      <c r="Q2561" s="0" t="s">
        <v>57</v>
      </c>
      <c r="R2561" s="0" t="s">
        <v>81</v>
      </c>
      <c r="S2561" s="13" t="n">
        <v>4220199</v>
      </c>
      <c r="T2561" s="0" t="s">
        <v>82</v>
      </c>
      <c r="U2561" s="15" t="n">
        <v>309.96</v>
      </c>
      <c r="W2561" s="15" t="n">
        <v>0</v>
      </c>
      <c r="X2561" s="0" t="s">
        <v>1854</v>
      </c>
      <c r="Z2561" s="0" t="str">
        <f aca="false">IF($T2561="","",IFERROR(INDEX('Resumo Grupos'!$AC$3:$AC$200,MATCH($T2561,'Resumo Grupos'!$AB$3:$AB$200,0)),"n/d"))</f>
        <v>Pagamentos outros não operacionais</v>
      </c>
      <c r="AA2561" s="0" t="str">
        <f aca="false">IF($T2561="","",IF(COUNTIF('Resumo Grupos'!$AE$3:$AE$40,$T2561)&gt;0,"NAO","SIM"))</f>
        <v>SIM</v>
      </c>
    </row>
    <row r="2562" customFormat="false" ht="12.75" hidden="false" customHeight="false" outlineLevel="0" collapsed="false">
      <c r="A2562" s="13" t="n">
        <v>2</v>
      </c>
      <c r="B2562" s="14" t="n">
        <v>46279</v>
      </c>
      <c r="C2562" s="14" t="n">
        <v>46352</v>
      </c>
      <c r="D2562" s="13" t="n">
        <v>1218</v>
      </c>
      <c r="E2562" s="0" t="s">
        <v>659</v>
      </c>
      <c r="F2562" s="13" t="n">
        <v>24</v>
      </c>
      <c r="G2562" s="0" t="s">
        <v>51</v>
      </c>
      <c r="H2562" s="13" t="n">
        <v>2110405</v>
      </c>
      <c r="I2562" s="0" t="s">
        <v>56</v>
      </c>
      <c r="J2562" s="13" t="n">
        <v>1703019</v>
      </c>
      <c r="L2562" s="13" t="n">
        <v>233748</v>
      </c>
      <c r="M2562" s="0" t="s">
        <v>52</v>
      </c>
      <c r="N2562" s="0" t="s">
        <v>45</v>
      </c>
      <c r="P2562" s="13" t="n">
        <v>113</v>
      </c>
      <c r="Q2562" s="0" t="s">
        <v>46</v>
      </c>
      <c r="R2562" s="0" t="s">
        <v>47</v>
      </c>
      <c r="S2562" s="13" t="n">
        <v>1130101</v>
      </c>
      <c r="T2562" s="0" t="s">
        <v>48</v>
      </c>
      <c r="U2562" s="15" t="n">
        <v>803.5</v>
      </c>
      <c r="W2562" s="15" t="n">
        <v>0</v>
      </c>
      <c r="X2562" s="0" t="s">
        <v>1761</v>
      </c>
      <c r="Z2562" s="0" t="str">
        <f aca="false">IF($T2562="","",IFERROR(INDEX('Resumo Grupos'!$AC$3:$AC$200,MATCH($T2562,'Resumo Grupos'!$AB$3:$AB$200,0)),"n/d"))</f>
        <v>Mercadoria</v>
      </c>
      <c r="AA2562" s="0" t="str">
        <f aca="false">IF($T2562="","",IF(COUNTIF('Resumo Grupos'!$AE$3:$AE$40,$T2562)&gt;0,"NAO","SIM"))</f>
        <v>SIM</v>
      </c>
      <c r="AB2562" s="0" t="str">
        <f aca="false">IFERROR(INDEX('Mov Entradas (Rel 10497)'!$L:$L,MATCH(AC2562,'Mov Entradas (Rel 10497)'!$I:$I,0)),"nao encontrado")</f>
        <v>COLA POLYTUBES ADESI</v>
      </c>
      <c r="AC2562" s="0" t="n">
        <v>11105</v>
      </c>
    </row>
    <row r="2563" customFormat="false" ht="12.75" hidden="false" customHeight="false" outlineLevel="0" collapsed="false">
      <c r="A2563" s="13" t="n">
        <v>2</v>
      </c>
      <c r="B2563" s="14" t="n">
        <v>46023</v>
      </c>
      <c r="C2563" s="14" t="n">
        <v>46352</v>
      </c>
      <c r="D2563" s="13" t="n">
        <v>515</v>
      </c>
      <c r="E2563" s="0" t="s">
        <v>137</v>
      </c>
      <c r="F2563" s="13" t="n">
        <v>34</v>
      </c>
      <c r="G2563" s="0" t="s">
        <v>55</v>
      </c>
      <c r="H2563" s="13" t="n">
        <v>2110405</v>
      </c>
      <c r="I2563" s="0" t="s">
        <v>56</v>
      </c>
      <c r="J2563" s="13" t="n">
        <v>1012266</v>
      </c>
      <c r="L2563" s="13" t="n">
        <v>133812</v>
      </c>
      <c r="M2563" s="0" t="s">
        <v>2065</v>
      </c>
      <c r="N2563" s="0" t="s">
        <v>45</v>
      </c>
      <c r="P2563" s="13" t="n">
        <v>101</v>
      </c>
      <c r="Q2563" s="0" t="s">
        <v>57</v>
      </c>
      <c r="R2563" s="0" t="s">
        <v>323</v>
      </c>
      <c r="S2563" s="13" t="n">
        <v>2110901</v>
      </c>
      <c r="T2563" s="0" t="s">
        <v>324</v>
      </c>
      <c r="U2563" s="15" t="n">
        <v>4168.41</v>
      </c>
      <c r="W2563" s="15" t="n">
        <v>0</v>
      </c>
      <c r="X2563" s="0" t="s">
        <v>2066</v>
      </c>
      <c r="Z2563" s="0" t="str">
        <f aca="false">IF($T2563="","",IFERROR(INDEX('Resumo Grupos'!$AC$3:$AC$200,MATCH($T2563,'Resumo Grupos'!$AB$3:$AB$200,0)),"n/d"))</f>
        <v>Empréstimo</v>
      </c>
      <c r="AA2563" s="0" t="str">
        <f aca="false">IF($T2563="","",IF(COUNTIF('Resumo Grupos'!$AE$3:$AE$40,$T2563)&gt;0,"NAO","SIM"))</f>
        <v>SIM</v>
      </c>
    </row>
    <row r="2564" customFormat="false" ht="12.75" hidden="false" customHeight="false" outlineLevel="0" collapsed="false">
      <c r="A2564" s="13" t="n">
        <v>2</v>
      </c>
      <c r="B2564" s="14" t="n">
        <v>46265</v>
      </c>
      <c r="C2564" s="14" t="n">
        <v>46355</v>
      </c>
      <c r="D2564" s="13" t="n">
        <v>1150</v>
      </c>
      <c r="E2564" s="0" t="s">
        <v>2010</v>
      </c>
      <c r="F2564" s="13" t="n">
        <v>46</v>
      </c>
      <c r="G2564" s="0" t="s">
        <v>319</v>
      </c>
      <c r="H2564" s="13" t="n">
        <v>2110405</v>
      </c>
      <c r="I2564" s="0" t="s">
        <v>56</v>
      </c>
      <c r="J2564" s="13" t="n">
        <v>1656987</v>
      </c>
      <c r="L2564" s="13" t="n">
        <v>87916</v>
      </c>
      <c r="M2564" s="0" t="s">
        <v>67</v>
      </c>
      <c r="N2564" s="0" t="s">
        <v>45</v>
      </c>
      <c r="P2564" s="13" t="n">
        <v>101</v>
      </c>
      <c r="Q2564" s="0" t="s">
        <v>57</v>
      </c>
      <c r="R2564" s="0" t="s">
        <v>39</v>
      </c>
      <c r="S2564" s="13" t="n">
        <v>4210227</v>
      </c>
      <c r="T2564" s="0" t="s">
        <v>68</v>
      </c>
      <c r="U2564" s="15" t="n">
        <v>241.83</v>
      </c>
      <c r="W2564" s="15" t="n">
        <v>0</v>
      </c>
      <c r="Z2564" s="0" t="str">
        <f aca="false">IF($T2564="","",IFERROR(INDEX('Resumo Grupos'!$AC$3:$AC$200,MATCH($T2564,'Resumo Grupos'!$AB$3:$AB$200,0)),"n/d"))</f>
        <v>Despesa</v>
      </c>
      <c r="AA2564" s="0" t="str">
        <f aca="false">IF($T2564="","",IF(COUNTIF('Resumo Grupos'!$AE$3:$AE$40,$T2564)&gt;0,"NAO","SIM"))</f>
        <v>SIM</v>
      </c>
    </row>
    <row r="2565" customFormat="false" ht="12.75" hidden="false" customHeight="false" outlineLevel="0" collapsed="false">
      <c r="A2565" s="13" t="n">
        <v>2</v>
      </c>
      <c r="B2565" s="14" t="n">
        <v>46295</v>
      </c>
      <c r="C2565" s="14" t="n">
        <v>46357</v>
      </c>
      <c r="D2565" s="13" t="n">
        <v>875</v>
      </c>
      <c r="E2565" s="0" t="s">
        <v>42</v>
      </c>
      <c r="F2565" s="13" t="n">
        <v>47</v>
      </c>
      <c r="G2565" s="0" t="s">
        <v>34</v>
      </c>
      <c r="H2565" s="13" t="n">
        <v>2110405</v>
      </c>
      <c r="I2565" s="0" t="s">
        <v>56</v>
      </c>
      <c r="J2565" s="13" t="n">
        <v>1780588</v>
      </c>
      <c r="L2565" s="13" t="n">
        <v>245356</v>
      </c>
      <c r="M2565" s="0" t="s">
        <v>44</v>
      </c>
      <c r="N2565" s="0" t="s">
        <v>45</v>
      </c>
      <c r="P2565" s="13" t="n">
        <v>113</v>
      </c>
      <c r="Q2565" s="0" t="s">
        <v>46</v>
      </c>
      <c r="R2565" s="0" t="s">
        <v>47</v>
      </c>
      <c r="S2565" s="13" t="n">
        <v>1130101</v>
      </c>
      <c r="T2565" s="0" t="s">
        <v>48</v>
      </c>
      <c r="U2565" s="15" t="n">
        <v>1164.5</v>
      </c>
      <c r="W2565" s="15" t="n">
        <v>0</v>
      </c>
      <c r="X2565" s="0" t="s">
        <v>2067</v>
      </c>
      <c r="Z2565" s="0" t="str">
        <f aca="false">IF($T2565="","",IFERROR(INDEX('Resumo Grupos'!$AC$3:$AC$200,MATCH($T2565,'Resumo Grupos'!$AB$3:$AB$200,0)),"n/d"))</f>
        <v>Mercadoria</v>
      </c>
      <c r="AA2565" s="0" t="str">
        <f aca="false">IF($T2565="","",IF(COUNTIF('Resumo Grupos'!$AE$3:$AE$40,$T2565)&gt;0,"NAO","SIM"))</f>
        <v>SIM</v>
      </c>
      <c r="AB2565" s="0" t="str">
        <f aca="false">IFERROR(INDEX('Mov Entradas (Rel 10497)'!$L:$L,MATCH(AC2565,'Mov Entradas (Rel 10497)'!$I:$I,0)),"nao encontrado")</f>
        <v>CARREGADOR INOVA CAR</v>
      </c>
      <c r="AC2565" s="0" t="n">
        <v>1975</v>
      </c>
    </row>
    <row r="2566" customFormat="false" ht="12.75" hidden="false" customHeight="false" outlineLevel="0" collapsed="false">
      <c r="A2566" s="13" t="n">
        <v>2</v>
      </c>
      <c r="B2566" s="14" t="n">
        <v>46293</v>
      </c>
      <c r="C2566" s="14" t="n">
        <v>46357</v>
      </c>
      <c r="D2566" s="13" t="n">
        <v>10116</v>
      </c>
      <c r="E2566" s="0" t="s">
        <v>871</v>
      </c>
      <c r="F2566" s="13" t="n">
        <v>47</v>
      </c>
      <c r="G2566" s="0" t="s">
        <v>34</v>
      </c>
      <c r="H2566" s="13" t="n">
        <v>2110405</v>
      </c>
      <c r="I2566" s="0" t="s">
        <v>56</v>
      </c>
      <c r="J2566" s="13" t="n">
        <v>1769856</v>
      </c>
      <c r="L2566" s="13" t="n">
        <v>243712</v>
      </c>
      <c r="M2566" s="0" t="s">
        <v>44</v>
      </c>
      <c r="N2566" s="0" t="s">
        <v>45</v>
      </c>
      <c r="P2566" s="13" t="n">
        <v>113</v>
      </c>
      <c r="Q2566" s="0" t="s">
        <v>46</v>
      </c>
      <c r="R2566" s="0" t="s">
        <v>47</v>
      </c>
      <c r="S2566" s="13" t="n">
        <v>1130101</v>
      </c>
      <c r="T2566" s="0" t="s">
        <v>48</v>
      </c>
      <c r="U2566" s="15" t="n">
        <v>549</v>
      </c>
      <c r="W2566" s="15" t="n">
        <v>0</v>
      </c>
      <c r="X2566" s="0" t="s">
        <v>2068</v>
      </c>
      <c r="Z2566" s="0" t="str">
        <f aca="false">IF($T2566="","",IFERROR(INDEX('Resumo Grupos'!$AC$3:$AC$200,MATCH($T2566,'Resumo Grupos'!$AB$3:$AB$200,0)),"n/d"))</f>
        <v>Mercadoria</v>
      </c>
      <c r="AA2566" s="0" t="str">
        <f aca="false">IF($T2566="","",IF(COUNTIF('Resumo Grupos'!$AE$3:$AE$40,$T2566)&gt;0,"NAO","SIM"))</f>
        <v>SIM</v>
      </c>
    </row>
    <row r="2567" customFormat="false" ht="12.75" hidden="false" customHeight="false" outlineLevel="0" collapsed="false">
      <c r="A2567" s="13" t="n">
        <v>2</v>
      </c>
      <c r="B2567" s="14" t="n">
        <v>46275</v>
      </c>
      <c r="C2567" s="14" t="n">
        <v>46357</v>
      </c>
      <c r="D2567" s="13" t="n">
        <v>1725</v>
      </c>
      <c r="E2567" s="0" t="s">
        <v>1921</v>
      </c>
      <c r="F2567" s="13" t="n">
        <v>47</v>
      </c>
      <c r="G2567" s="0" t="s">
        <v>34</v>
      </c>
      <c r="H2567" s="13" t="n">
        <v>2110405</v>
      </c>
      <c r="I2567" s="0" t="s">
        <v>56</v>
      </c>
      <c r="J2567" s="13" t="n">
        <v>1683458</v>
      </c>
      <c r="L2567" s="13" t="n">
        <v>231094</v>
      </c>
      <c r="M2567" s="0" t="s">
        <v>67</v>
      </c>
      <c r="N2567" s="0" t="s">
        <v>45</v>
      </c>
      <c r="P2567" s="13" t="n">
        <v>113</v>
      </c>
      <c r="Q2567" s="0" t="s">
        <v>46</v>
      </c>
      <c r="R2567" s="0" t="s">
        <v>39</v>
      </c>
      <c r="S2567" s="13" t="n">
        <v>4210227</v>
      </c>
      <c r="T2567" s="0" t="s">
        <v>68</v>
      </c>
      <c r="U2567" s="15" t="n">
        <v>162.5</v>
      </c>
      <c r="W2567" s="15" t="n">
        <v>0</v>
      </c>
      <c r="X2567" s="0" t="s">
        <v>2069</v>
      </c>
      <c r="Z2567" s="0" t="str">
        <f aca="false">IF($T2567="","",IFERROR(INDEX('Resumo Grupos'!$AC$3:$AC$200,MATCH($T2567,'Resumo Grupos'!$AB$3:$AB$200,0)),"n/d"))</f>
        <v>Despesa</v>
      </c>
      <c r="AA2567" s="0" t="str">
        <f aca="false">IF($T2567="","",IF(COUNTIF('Resumo Grupos'!$AE$3:$AE$40,$T2567)&gt;0,"NAO","SIM"))</f>
        <v>SIM</v>
      </c>
    </row>
    <row r="2568" customFormat="false" ht="12.75" hidden="false" customHeight="false" outlineLevel="0" collapsed="false">
      <c r="A2568" s="13" t="n">
        <v>2</v>
      </c>
      <c r="B2568" s="14" t="n">
        <v>46293</v>
      </c>
      <c r="C2568" s="14" t="n">
        <v>46357</v>
      </c>
      <c r="D2568" s="13" t="n">
        <v>737</v>
      </c>
      <c r="E2568" s="0" t="s">
        <v>2056</v>
      </c>
      <c r="F2568" s="13" t="n">
        <v>47</v>
      </c>
      <c r="G2568" s="0" t="s">
        <v>34</v>
      </c>
      <c r="H2568" s="13" t="n">
        <v>2110405</v>
      </c>
      <c r="I2568" s="0" t="s">
        <v>56</v>
      </c>
      <c r="J2568" s="13" t="n">
        <v>1769891</v>
      </c>
      <c r="L2568" s="13" t="n">
        <v>243722</v>
      </c>
      <c r="M2568" s="0" t="s">
        <v>44</v>
      </c>
      <c r="N2568" s="0" t="s">
        <v>45</v>
      </c>
      <c r="P2568" s="13" t="n">
        <v>113</v>
      </c>
      <c r="Q2568" s="0" t="s">
        <v>46</v>
      </c>
      <c r="R2568" s="0" t="s">
        <v>39</v>
      </c>
      <c r="S2568" s="13" t="n">
        <v>4210227</v>
      </c>
      <c r="T2568" s="0" t="s">
        <v>68</v>
      </c>
      <c r="U2568" s="15" t="n">
        <v>256.67</v>
      </c>
      <c r="W2568" s="15" t="n">
        <v>0</v>
      </c>
      <c r="X2568" s="0" t="s">
        <v>2070</v>
      </c>
      <c r="Z2568" s="0" t="str">
        <f aca="false">IF($T2568="","",IFERROR(INDEX('Resumo Grupos'!$AC$3:$AC$200,MATCH($T2568,'Resumo Grupos'!$AB$3:$AB$200,0)),"n/d"))</f>
        <v>Despesa</v>
      </c>
      <c r="AA2568" s="0" t="str">
        <f aca="false">IF($T2568="","",IF(COUNTIF('Resumo Grupos'!$AE$3:$AE$40,$T2568)&gt;0,"NAO","SIM"))</f>
        <v>SIM</v>
      </c>
      <c r="AB2568" s="0" t="str">
        <f aca="false">IFERROR(INDEX('Mov Entradas (Rel 10497)'!$L:$L,MATCH(AC2568,'Mov Entradas (Rel 10497)'!$I:$I,0)),"nao encontrado")</f>
        <v>PAINEL CANALETADO BR</v>
      </c>
      <c r="AC2568" s="0" t="n">
        <v>178788</v>
      </c>
    </row>
    <row r="2569" customFormat="false" ht="12.75" hidden="false" customHeight="false" outlineLevel="0" collapsed="false">
      <c r="A2569" s="13" t="n">
        <v>2</v>
      </c>
      <c r="B2569" s="14" t="n">
        <v>46055</v>
      </c>
      <c r="C2569" s="14" t="n">
        <v>46357</v>
      </c>
      <c r="D2569" s="13" t="n">
        <v>10039</v>
      </c>
      <c r="E2569" s="0" t="s">
        <v>88</v>
      </c>
      <c r="F2569" s="13" t="n">
        <v>47</v>
      </c>
      <c r="G2569" s="0" t="s">
        <v>34</v>
      </c>
      <c r="H2569" s="13" t="n">
        <v>2110405</v>
      </c>
      <c r="I2569" s="0" t="s">
        <v>56</v>
      </c>
      <c r="J2569" s="13" t="n">
        <v>846832</v>
      </c>
      <c r="L2569" s="13" t="n">
        <v>111506</v>
      </c>
      <c r="M2569" s="0" t="s">
        <v>1546</v>
      </c>
      <c r="N2569" s="0" t="s">
        <v>45</v>
      </c>
      <c r="P2569" s="13" t="n">
        <v>113</v>
      </c>
      <c r="Q2569" s="0" t="s">
        <v>46</v>
      </c>
      <c r="R2569" s="0" t="s">
        <v>39</v>
      </c>
      <c r="S2569" s="13" t="n">
        <v>4210227</v>
      </c>
      <c r="T2569" s="0" t="s">
        <v>68</v>
      </c>
      <c r="U2569" s="15" t="n">
        <v>378.82</v>
      </c>
      <c r="W2569" s="15" t="n">
        <v>0</v>
      </c>
      <c r="X2569" s="0" t="s">
        <v>2071</v>
      </c>
      <c r="Z2569" s="0" t="str">
        <f aca="false">IF($T2569="","",IFERROR(INDEX('Resumo Grupos'!$AC$3:$AC$200,MATCH($T2569,'Resumo Grupos'!$AB$3:$AB$200,0)),"n/d"))</f>
        <v>Despesa</v>
      </c>
      <c r="AA2569" s="0" t="str">
        <f aca="false">IF($T2569="","",IF(COUNTIF('Resumo Grupos'!$AE$3:$AE$40,$T2569)&gt;0,"NAO","SIM"))</f>
        <v>SIM</v>
      </c>
      <c r="AB2569" s="0" t="str">
        <f aca="false">IFERROR(INDEX('Mov Entradas (Rel 10497)'!$L:$L,MATCH(AC2569,'Mov Entradas (Rel 10497)'!$I:$I,0)),"nao encontrado")</f>
        <v>nao encontrado</v>
      </c>
      <c r="AC2569" s="0" t="n">
        <v>258</v>
      </c>
    </row>
    <row r="2570" customFormat="false" ht="12.75" hidden="false" customHeight="false" outlineLevel="0" collapsed="false">
      <c r="A2570" s="13" t="n">
        <v>2</v>
      </c>
      <c r="B2570" s="14" t="n">
        <v>46279</v>
      </c>
      <c r="C2570" s="14" t="n">
        <v>46359</v>
      </c>
      <c r="D2570" s="13" t="n">
        <v>1218</v>
      </c>
      <c r="E2570" s="0" t="s">
        <v>659</v>
      </c>
      <c r="F2570" s="13" t="n">
        <v>24</v>
      </c>
      <c r="G2570" s="0" t="s">
        <v>51</v>
      </c>
      <c r="H2570" s="13" t="n">
        <v>2110405</v>
      </c>
      <c r="I2570" s="0" t="s">
        <v>56</v>
      </c>
      <c r="J2570" s="13" t="n">
        <v>1703024</v>
      </c>
      <c r="L2570" s="13" t="n">
        <v>233756</v>
      </c>
      <c r="M2570" s="0" t="s">
        <v>52</v>
      </c>
      <c r="N2570" s="0" t="s">
        <v>45</v>
      </c>
      <c r="P2570" s="13" t="n">
        <v>113</v>
      </c>
      <c r="Q2570" s="0" t="s">
        <v>46</v>
      </c>
      <c r="R2570" s="0" t="s">
        <v>47</v>
      </c>
      <c r="S2570" s="13" t="n">
        <v>1130101</v>
      </c>
      <c r="T2570" s="0" t="s">
        <v>48</v>
      </c>
      <c r="U2570" s="15" t="n">
        <v>803.5</v>
      </c>
      <c r="W2570" s="15" t="n">
        <v>0</v>
      </c>
      <c r="X2570" s="0" t="s">
        <v>1761</v>
      </c>
      <c r="Z2570" s="0" t="str">
        <f aca="false">IF($T2570="","",IFERROR(INDEX('Resumo Grupos'!$AC$3:$AC$200,MATCH($T2570,'Resumo Grupos'!$AB$3:$AB$200,0)),"n/d"))</f>
        <v>Mercadoria</v>
      </c>
      <c r="AA2570" s="0" t="str">
        <f aca="false">IF($T2570="","",IF(COUNTIF('Resumo Grupos'!$AE$3:$AE$40,$T2570)&gt;0,"NAO","SIM"))</f>
        <v>SIM</v>
      </c>
      <c r="AB2570" s="0" t="str">
        <f aca="false">IFERROR(INDEX('Mov Entradas (Rel 10497)'!$L:$L,MATCH(AC2570,'Mov Entradas (Rel 10497)'!$I:$I,0)),"nao encontrado")</f>
        <v>COLA POLYTUBES ADESI</v>
      </c>
      <c r="AC2570" s="0" t="n">
        <v>11105</v>
      </c>
    </row>
    <row r="2571" customFormat="false" ht="12.75" hidden="false" customHeight="false" outlineLevel="0" collapsed="false">
      <c r="A2571" s="13" t="n">
        <v>2</v>
      </c>
      <c r="B2571" s="14" t="n">
        <v>46300</v>
      </c>
      <c r="C2571" s="14" t="n">
        <v>46361</v>
      </c>
      <c r="D2571" s="13" t="n">
        <v>1768</v>
      </c>
      <c r="E2571" s="0" t="s">
        <v>378</v>
      </c>
      <c r="F2571" s="13" t="n">
        <v>34</v>
      </c>
      <c r="G2571" s="0" t="s">
        <v>55</v>
      </c>
      <c r="H2571" s="13" t="n">
        <v>2110405</v>
      </c>
      <c r="I2571" s="0" t="s">
        <v>56</v>
      </c>
      <c r="J2571" s="13" t="n">
        <v>628286</v>
      </c>
      <c r="L2571" s="13" t="n">
        <v>81552</v>
      </c>
      <c r="M2571" s="0" t="s">
        <v>1546</v>
      </c>
      <c r="N2571" s="0" t="s">
        <v>45</v>
      </c>
      <c r="P2571" s="13" t="n">
        <v>102</v>
      </c>
      <c r="Q2571" s="0" t="s">
        <v>308</v>
      </c>
      <c r="R2571" s="0" t="s">
        <v>39</v>
      </c>
      <c r="S2571" s="13" t="n">
        <v>4210202</v>
      </c>
      <c r="T2571" s="0" t="s">
        <v>379</v>
      </c>
      <c r="U2571" s="15" t="n">
        <v>2431.5</v>
      </c>
      <c r="W2571" s="15" t="n">
        <v>0</v>
      </c>
      <c r="X2571" s="0" t="s">
        <v>380</v>
      </c>
      <c r="Z2571" s="0" t="str">
        <f aca="false">IF($T2571="","",IFERROR(INDEX('Resumo Grupos'!$AC$3:$AC$200,MATCH($T2571,'Resumo Grupos'!$AB$3:$AB$200,0)),"n/d"))</f>
        <v>Despesa</v>
      </c>
      <c r="AA2571" s="0" t="str">
        <f aca="false">IF($T2571="","",IF(COUNTIF('Resumo Grupos'!$AE$3:$AE$40,$T2571)&gt;0,"NAO","SIM"))</f>
        <v>SIM</v>
      </c>
    </row>
    <row r="2572" customFormat="false" ht="12.75" hidden="false" customHeight="false" outlineLevel="0" collapsed="false">
      <c r="A2572" s="13" t="n">
        <v>2</v>
      </c>
      <c r="B2572" s="14" t="n">
        <v>46244</v>
      </c>
      <c r="C2572" s="14" t="n">
        <v>46361</v>
      </c>
      <c r="D2572" s="13" t="n">
        <v>33</v>
      </c>
      <c r="E2572" s="0" t="s">
        <v>313</v>
      </c>
      <c r="F2572" s="13" t="n">
        <v>34</v>
      </c>
      <c r="G2572" s="0" t="s">
        <v>55</v>
      </c>
      <c r="H2572" s="13" t="n">
        <v>2110405</v>
      </c>
      <c r="I2572" s="0" t="s">
        <v>56</v>
      </c>
      <c r="J2572" s="13" t="n">
        <v>1530158</v>
      </c>
      <c r="L2572" s="13" t="n">
        <v>208205</v>
      </c>
      <c r="M2572" s="0" t="s">
        <v>89</v>
      </c>
      <c r="N2572" s="0" t="s">
        <v>45</v>
      </c>
      <c r="P2572" s="13" t="n">
        <v>101</v>
      </c>
      <c r="Q2572" s="0" t="s">
        <v>57</v>
      </c>
      <c r="R2572" s="0" t="s">
        <v>71</v>
      </c>
      <c r="S2572" s="13" t="n">
        <v>4210301</v>
      </c>
      <c r="T2572" s="0" t="s">
        <v>220</v>
      </c>
      <c r="U2572" s="15" t="n">
        <v>250.1</v>
      </c>
      <c r="W2572" s="15" t="n">
        <v>0</v>
      </c>
      <c r="X2572" s="0" t="s">
        <v>1645</v>
      </c>
      <c r="Z2572" s="0" t="str">
        <f aca="false">IF($T2572="","",IFERROR(INDEX('Resumo Grupos'!$AC$3:$AC$200,MATCH($T2572,'Resumo Grupos'!$AB$3:$AB$200,0)),"n/d"))</f>
        <v>Salários</v>
      </c>
      <c r="AA2572" s="0" t="str">
        <f aca="false">IF($T2572="","",IF(COUNTIF('Resumo Grupos'!$AE$3:$AE$40,$T2572)&gt;0,"NAO","SIM"))</f>
        <v>SIM</v>
      </c>
    </row>
    <row r="2573" customFormat="false" ht="12.75" hidden="false" customHeight="false" outlineLevel="0" collapsed="false">
      <c r="A2573" s="13" t="n">
        <v>2</v>
      </c>
      <c r="B2573" s="14" t="n">
        <v>46279</v>
      </c>
      <c r="C2573" s="14" t="n">
        <v>46366</v>
      </c>
      <c r="D2573" s="13" t="n">
        <v>1218</v>
      </c>
      <c r="E2573" s="0" t="s">
        <v>659</v>
      </c>
      <c r="F2573" s="13" t="n">
        <v>24</v>
      </c>
      <c r="G2573" s="0" t="s">
        <v>51</v>
      </c>
      <c r="H2573" s="13" t="n">
        <v>2110405</v>
      </c>
      <c r="I2573" s="0" t="s">
        <v>56</v>
      </c>
      <c r="J2573" s="13" t="n">
        <v>1703026</v>
      </c>
      <c r="L2573" s="13" t="n">
        <v>233758</v>
      </c>
      <c r="M2573" s="0" t="s">
        <v>52</v>
      </c>
      <c r="N2573" s="0" t="s">
        <v>45</v>
      </c>
      <c r="P2573" s="13" t="n">
        <v>113</v>
      </c>
      <c r="Q2573" s="0" t="s">
        <v>46</v>
      </c>
      <c r="R2573" s="0" t="s">
        <v>47</v>
      </c>
      <c r="S2573" s="13" t="n">
        <v>1130101</v>
      </c>
      <c r="T2573" s="0" t="s">
        <v>48</v>
      </c>
      <c r="U2573" s="15" t="n">
        <v>806.62</v>
      </c>
      <c r="W2573" s="15" t="n">
        <v>0</v>
      </c>
      <c r="X2573" s="0" t="s">
        <v>1761</v>
      </c>
      <c r="Z2573" s="0" t="str">
        <f aca="false">IF($T2573="","",IFERROR(INDEX('Resumo Grupos'!$AC$3:$AC$200,MATCH($T2573,'Resumo Grupos'!$AB$3:$AB$200,0)),"n/d"))</f>
        <v>Mercadoria</v>
      </c>
      <c r="AA2573" s="0" t="str">
        <f aca="false">IF($T2573="","",IF(COUNTIF('Resumo Grupos'!$AE$3:$AE$40,$T2573)&gt;0,"NAO","SIM"))</f>
        <v>SIM</v>
      </c>
      <c r="AB2573" s="0" t="str">
        <f aca="false">IFERROR(INDEX('Mov Entradas (Rel 10497)'!$L:$L,MATCH(AC2573,'Mov Entradas (Rel 10497)'!$I:$I,0)),"nao encontrado")</f>
        <v>COLA POLYTUBES ADESI</v>
      </c>
      <c r="AC2573" s="0" t="n">
        <v>11105</v>
      </c>
    </row>
    <row r="2574" customFormat="false" ht="12.75" hidden="false" customHeight="false" outlineLevel="0" collapsed="false">
      <c r="A2574" s="13" t="n">
        <v>2</v>
      </c>
      <c r="B2574" s="14" t="n">
        <v>46211</v>
      </c>
      <c r="C2574" s="14" t="n">
        <v>46366</v>
      </c>
      <c r="D2574" s="13" t="n">
        <v>33</v>
      </c>
      <c r="E2574" s="0" t="s">
        <v>313</v>
      </c>
      <c r="F2574" s="13" t="n">
        <v>34</v>
      </c>
      <c r="G2574" s="0" t="s">
        <v>55</v>
      </c>
      <c r="H2574" s="13" t="n">
        <v>2110405</v>
      </c>
      <c r="I2574" s="0" t="s">
        <v>56</v>
      </c>
      <c r="J2574" s="13" t="n">
        <v>1370733</v>
      </c>
      <c r="L2574" s="13" t="n">
        <v>184338</v>
      </c>
      <c r="M2574" s="0" t="s">
        <v>36</v>
      </c>
      <c r="N2574" s="0" t="s">
        <v>45</v>
      </c>
      <c r="P2574" s="13" t="n">
        <v>101</v>
      </c>
      <c r="Q2574" s="0" t="s">
        <v>57</v>
      </c>
      <c r="R2574" s="0" t="s">
        <v>39</v>
      </c>
      <c r="S2574" s="13" t="n">
        <v>4210222</v>
      </c>
      <c r="T2574" s="0" t="s">
        <v>1256</v>
      </c>
      <c r="U2574" s="15" t="n">
        <v>666.67</v>
      </c>
      <c r="W2574" s="15" t="n">
        <v>0</v>
      </c>
      <c r="X2574" s="0" t="s">
        <v>1257</v>
      </c>
      <c r="Z2574" s="0" t="str">
        <f aca="false">IF($T2574="","",IFERROR(INDEX('Resumo Grupos'!$AC$3:$AC$200,MATCH($T2574,'Resumo Grupos'!$AB$3:$AB$200,0)),"n/d"))</f>
        <v>Despesa</v>
      </c>
      <c r="AA2574" s="0" t="str">
        <f aca="false">IF($T2574="","",IF(COUNTIF('Resumo Grupos'!$AE$3:$AE$40,$T2574)&gt;0,"NAO","SIM"))</f>
        <v>SIM</v>
      </c>
    </row>
    <row r="2575" customFormat="false" ht="12.75" hidden="false" customHeight="false" outlineLevel="0" collapsed="false">
      <c r="A2575" s="13" t="n">
        <v>2</v>
      </c>
      <c r="B2575" s="14" t="n">
        <v>46275</v>
      </c>
      <c r="C2575" s="14" t="n">
        <v>46366</v>
      </c>
      <c r="D2575" s="13" t="n">
        <v>1747</v>
      </c>
      <c r="E2575" s="0" t="s">
        <v>2013</v>
      </c>
      <c r="F2575" s="13" t="n">
        <v>46</v>
      </c>
      <c r="G2575" s="0" t="s">
        <v>319</v>
      </c>
      <c r="H2575" s="13" t="n">
        <v>2110405</v>
      </c>
      <c r="I2575" s="0" t="s">
        <v>56</v>
      </c>
      <c r="J2575" s="13" t="n">
        <v>1683676</v>
      </c>
      <c r="L2575" s="13" t="n">
        <v>231136</v>
      </c>
      <c r="M2575" s="0" t="s">
        <v>67</v>
      </c>
      <c r="N2575" s="0" t="s">
        <v>45</v>
      </c>
      <c r="P2575" s="13" t="n">
        <v>113</v>
      </c>
      <c r="Q2575" s="0" t="s">
        <v>46</v>
      </c>
      <c r="R2575" s="0" t="s">
        <v>39</v>
      </c>
      <c r="S2575" s="13" t="n">
        <v>4210227</v>
      </c>
      <c r="T2575" s="0" t="s">
        <v>68</v>
      </c>
      <c r="U2575" s="15" t="n">
        <v>161.74</v>
      </c>
      <c r="W2575" s="15" t="n">
        <v>0</v>
      </c>
      <c r="X2575" s="0" t="s">
        <v>2072</v>
      </c>
      <c r="Z2575" s="0" t="str">
        <f aca="false">IF($T2575="","",IFERROR(INDEX('Resumo Grupos'!$AC$3:$AC$200,MATCH($T2575,'Resumo Grupos'!$AB$3:$AB$200,0)),"n/d"))</f>
        <v>Despesa</v>
      </c>
      <c r="AA2575" s="0" t="str">
        <f aca="false">IF($T2575="","",IF(COUNTIF('Resumo Grupos'!$AE$3:$AE$40,$T2575)&gt;0,"NAO","SIM"))</f>
        <v>SIM</v>
      </c>
      <c r="AB2575" s="0" t="str">
        <f aca="false">IFERROR(INDEX('Mov Entradas (Rel 10497)'!$L:$L,MATCH(AC2575,'Mov Entradas (Rel 10497)'!$I:$I,0)),"nao encontrado")</f>
        <v>GLASURITI ESM. FOSCO</v>
      </c>
      <c r="AC2575" s="0" t="n">
        <v>1544516</v>
      </c>
    </row>
    <row r="2576" customFormat="false" ht="12.75" hidden="false" customHeight="false" outlineLevel="0" collapsed="false">
      <c r="A2576" s="13" t="n">
        <v>2</v>
      </c>
      <c r="B2576" s="14" t="n">
        <v>46097</v>
      </c>
      <c r="C2576" s="14" t="n">
        <v>46371</v>
      </c>
      <c r="D2576" s="13" t="n">
        <v>1867</v>
      </c>
      <c r="E2576" s="0" t="s">
        <v>420</v>
      </c>
      <c r="F2576" s="13" t="n">
        <v>24</v>
      </c>
      <c r="G2576" s="0" t="s">
        <v>51</v>
      </c>
      <c r="H2576" s="13" t="n">
        <v>2110405</v>
      </c>
      <c r="I2576" s="0" t="s">
        <v>56</v>
      </c>
      <c r="J2576" s="13" t="n">
        <v>808550</v>
      </c>
      <c r="L2576" s="13" t="n">
        <v>2026</v>
      </c>
      <c r="M2576" s="0" t="s">
        <v>1546</v>
      </c>
      <c r="N2576" s="0" t="s">
        <v>45</v>
      </c>
      <c r="P2576" s="13" t="n">
        <v>101</v>
      </c>
      <c r="Q2576" s="0" t="s">
        <v>57</v>
      </c>
      <c r="R2576" s="0" t="s">
        <v>421</v>
      </c>
      <c r="S2576" s="13" t="n">
        <v>4210401</v>
      </c>
      <c r="T2576" s="0" t="s">
        <v>422</v>
      </c>
      <c r="U2576" s="15" t="n">
        <v>228.88</v>
      </c>
      <c r="W2576" s="15" t="n">
        <v>0</v>
      </c>
      <c r="X2576" s="0" t="s">
        <v>2073</v>
      </c>
      <c r="Z2576" s="0" t="str">
        <f aca="false">IF($T2576="","",IFERROR(INDEX('Resumo Grupos'!$AC$3:$AC$200,MATCH($T2576,'Resumo Grupos'!$AB$3:$AB$200,0)),"n/d"))</f>
        <v>Impostos</v>
      </c>
      <c r="AA2576" s="0" t="str">
        <f aca="false">IF($T2576="","",IF(COUNTIF('Resumo Grupos'!$AE$3:$AE$40,$T2576)&gt;0,"NAO","SIM"))</f>
        <v>SIM</v>
      </c>
    </row>
    <row r="2577" customFormat="false" ht="12.75" hidden="false" customHeight="false" outlineLevel="0" collapsed="false">
      <c r="A2577" s="13" t="n">
        <v>2</v>
      </c>
      <c r="B2577" s="14" t="n">
        <v>46127</v>
      </c>
      <c r="C2577" s="14" t="n">
        <v>46371</v>
      </c>
      <c r="D2577" s="13" t="n">
        <v>512</v>
      </c>
      <c r="E2577" s="0" t="s">
        <v>429</v>
      </c>
      <c r="F2577" s="13" t="n">
        <v>34</v>
      </c>
      <c r="G2577" s="0" t="s">
        <v>55</v>
      </c>
      <c r="H2577" s="13" t="n">
        <v>2110405</v>
      </c>
      <c r="I2577" s="0" t="s">
        <v>56</v>
      </c>
      <c r="J2577" s="13" t="n">
        <v>954215</v>
      </c>
      <c r="L2577" s="13" t="n">
        <v>126220</v>
      </c>
      <c r="M2577" s="0" t="s">
        <v>1134</v>
      </c>
      <c r="N2577" s="0" t="s">
        <v>45</v>
      </c>
      <c r="P2577" s="13" t="n">
        <v>101</v>
      </c>
      <c r="Q2577" s="0" t="s">
        <v>57</v>
      </c>
      <c r="R2577" s="0" t="s">
        <v>430</v>
      </c>
      <c r="S2577" s="13" t="n">
        <v>4210111</v>
      </c>
      <c r="T2577" s="0" t="s">
        <v>431</v>
      </c>
      <c r="U2577" s="15" t="n">
        <v>5700</v>
      </c>
      <c r="W2577" s="15" t="n">
        <v>0</v>
      </c>
      <c r="X2577" s="0" t="s">
        <v>432</v>
      </c>
      <c r="Z2577" s="0" t="str">
        <f aca="false">IF($T2577="","",IFERROR(INDEX('Resumo Grupos'!$AC$3:$AC$200,MATCH($T2577,'Resumo Grupos'!$AB$3:$AB$200,0)),"n/d"))</f>
        <v>Despesa</v>
      </c>
      <c r="AA2577" s="0" t="str">
        <f aca="false">IF($T2577="","",IF(COUNTIF('Resumo Grupos'!$AE$3:$AE$40,$T2577)&gt;0,"NAO","SIM"))</f>
        <v>SIM</v>
      </c>
    </row>
    <row r="2578" customFormat="false" ht="12.75" hidden="false" customHeight="false" outlineLevel="0" collapsed="false">
      <c r="A2578" s="13" t="n">
        <v>2</v>
      </c>
      <c r="B2578" s="14" t="n">
        <v>46206</v>
      </c>
      <c r="C2578" s="14" t="n">
        <v>46374</v>
      </c>
      <c r="D2578" s="13" t="n">
        <v>33</v>
      </c>
      <c r="E2578" s="0" t="s">
        <v>313</v>
      </c>
      <c r="F2578" s="13" t="n">
        <v>34</v>
      </c>
      <c r="G2578" s="0" t="s">
        <v>55</v>
      </c>
      <c r="H2578" s="13" t="n">
        <v>2110405</v>
      </c>
      <c r="I2578" s="0" t="s">
        <v>56</v>
      </c>
      <c r="J2578" s="13" t="n">
        <v>1345312</v>
      </c>
      <c r="L2578" s="13" t="n">
        <v>180690</v>
      </c>
      <c r="M2578" s="0" t="s">
        <v>102</v>
      </c>
      <c r="N2578" s="0" t="s">
        <v>45</v>
      </c>
      <c r="P2578" s="13" t="n">
        <v>101</v>
      </c>
      <c r="Q2578" s="0" t="s">
        <v>57</v>
      </c>
      <c r="R2578" s="0" t="s">
        <v>39</v>
      </c>
      <c r="S2578" s="13" t="n">
        <v>4210203</v>
      </c>
      <c r="T2578" s="0" t="s">
        <v>757</v>
      </c>
      <c r="U2578" s="15" t="n">
        <v>247.27</v>
      </c>
      <c r="W2578" s="15" t="n">
        <v>0</v>
      </c>
      <c r="X2578" s="0" t="s">
        <v>2043</v>
      </c>
      <c r="Z2578" s="0" t="str">
        <f aca="false">IF($T2578="","",IFERROR(INDEX('Resumo Grupos'!$AC$3:$AC$200,MATCH($T2578,'Resumo Grupos'!$AB$3:$AB$200,0)),"n/d"))</f>
        <v>Despesa</v>
      </c>
      <c r="AA2578" s="0" t="str">
        <f aca="false">IF($T2578="","",IF(COUNTIF('Resumo Grupos'!$AE$3:$AE$40,$T2578)&gt;0,"NAO","SIM"))</f>
        <v>SIM</v>
      </c>
    </row>
    <row r="2579" customFormat="false" ht="12.75" hidden="false" customHeight="false" outlineLevel="0" collapsed="false">
      <c r="A2579" s="13" t="n">
        <v>2</v>
      </c>
      <c r="B2579" s="14" t="n">
        <v>46011</v>
      </c>
      <c r="C2579" s="14" t="n">
        <v>46376</v>
      </c>
      <c r="D2579" s="13" t="n">
        <v>10028</v>
      </c>
      <c r="E2579" s="0" t="s">
        <v>494</v>
      </c>
      <c r="F2579" s="13" t="n">
        <v>24</v>
      </c>
      <c r="G2579" s="0" t="s">
        <v>51</v>
      </c>
      <c r="H2579" s="13" t="n">
        <v>2110405</v>
      </c>
      <c r="I2579" s="0" t="s">
        <v>56</v>
      </c>
      <c r="J2579" s="13" t="n">
        <v>375619</v>
      </c>
      <c r="L2579" s="13" t="n">
        <v>664</v>
      </c>
      <c r="M2579" s="0" t="s">
        <v>44</v>
      </c>
      <c r="N2579" s="0" t="s">
        <v>45</v>
      </c>
      <c r="P2579" s="13" t="n">
        <v>101</v>
      </c>
      <c r="Q2579" s="0" t="s">
        <v>57</v>
      </c>
      <c r="R2579" s="0" t="s">
        <v>71</v>
      </c>
      <c r="S2579" s="13" t="n">
        <v>4210315</v>
      </c>
      <c r="T2579" s="0" t="s">
        <v>279</v>
      </c>
      <c r="U2579" s="15" t="n">
        <v>595.9</v>
      </c>
      <c r="W2579" s="15" t="n">
        <v>0</v>
      </c>
      <c r="X2579" s="0" t="s">
        <v>2074</v>
      </c>
      <c r="Z2579" s="0" t="str">
        <f aca="false">IF($T2579="","",IFERROR(INDEX('Resumo Grupos'!$AC$3:$AC$200,MATCH($T2579,'Resumo Grupos'!$AB$3:$AB$200,0)),"n/d"))</f>
        <v>Despesa</v>
      </c>
      <c r="AA2579" s="0" t="str">
        <f aca="false">IF($T2579="","",IF(COUNTIF('Resumo Grupos'!$AE$3:$AE$40,$T2579)&gt;0,"NAO","SIM"))</f>
        <v>SIM</v>
      </c>
    </row>
    <row r="2580" customFormat="false" ht="12.75" hidden="false" customHeight="false" outlineLevel="0" collapsed="false">
      <c r="A2580" s="13" t="n">
        <v>2</v>
      </c>
      <c r="B2580" s="14" t="n">
        <v>46256</v>
      </c>
      <c r="C2580" s="14" t="n">
        <v>46381</v>
      </c>
      <c r="D2580" s="13" t="n">
        <v>1782</v>
      </c>
      <c r="E2580" s="0" t="s">
        <v>1839</v>
      </c>
      <c r="F2580" s="13" t="n">
        <v>48</v>
      </c>
      <c r="G2580" s="0" t="s">
        <v>581</v>
      </c>
      <c r="H2580" s="13" t="n">
        <v>2110405</v>
      </c>
      <c r="I2580" s="0" t="s">
        <v>56</v>
      </c>
      <c r="J2580" s="13" t="n">
        <v>1595448</v>
      </c>
      <c r="L2580" s="13" t="n">
        <v>2208</v>
      </c>
      <c r="M2580" s="0" t="s">
        <v>89</v>
      </c>
      <c r="N2580" s="0" t="s">
        <v>45</v>
      </c>
      <c r="P2580" s="13" t="n">
        <v>101</v>
      </c>
      <c r="Q2580" s="0" t="s">
        <v>57</v>
      </c>
      <c r="R2580" s="0" t="s">
        <v>39</v>
      </c>
      <c r="S2580" s="13" t="n">
        <v>4210232</v>
      </c>
      <c r="T2580" s="0" t="s">
        <v>320</v>
      </c>
      <c r="U2580" s="15" t="n">
        <v>79.9</v>
      </c>
      <c r="W2580" s="15" t="n">
        <v>0</v>
      </c>
      <c r="X2580" s="0" t="s">
        <v>2075</v>
      </c>
      <c r="Z2580" s="0" t="str">
        <f aca="false">IF($T2580="","",IFERROR(INDEX('Resumo Grupos'!$AC$3:$AC$200,MATCH($T2580,'Resumo Grupos'!$AB$3:$AB$200,0)),"n/d"))</f>
        <v>Despesa</v>
      </c>
      <c r="AA2580" s="0" t="str">
        <f aca="false">IF($T2580="","",IF(COUNTIF('Resumo Grupos'!$AE$3:$AE$40,$T2580)&gt;0,"NAO","SIM"))</f>
        <v>SIM</v>
      </c>
    </row>
    <row r="2581" customFormat="false" ht="12.75" hidden="false" customHeight="false" outlineLevel="0" collapsed="false">
      <c r="A2581" s="13" t="n">
        <v>2</v>
      </c>
      <c r="B2581" s="14" t="n">
        <v>46256</v>
      </c>
      <c r="C2581" s="14" t="n">
        <v>46381</v>
      </c>
      <c r="D2581" s="13" t="n">
        <v>1782</v>
      </c>
      <c r="E2581" s="0" t="s">
        <v>1839</v>
      </c>
      <c r="F2581" s="13" t="n">
        <v>48</v>
      </c>
      <c r="G2581" s="0" t="s">
        <v>581</v>
      </c>
      <c r="H2581" s="13" t="n">
        <v>2110405</v>
      </c>
      <c r="I2581" s="0" t="s">
        <v>56</v>
      </c>
      <c r="J2581" s="13" t="n">
        <v>1745338</v>
      </c>
      <c r="L2581" s="13" t="n">
        <v>240350</v>
      </c>
      <c r="M2581" s="0" t="s">
        <v>89</v>
      </c>
      <c r="N2581" s="0" t="s">
        <v>45</v>
      </c>
      <c r="P2581" s="13" t="n">
        <v>101</v>
      </c>
      <c r="Q2581" s="0" t="s">
        <v>57</v>
      </c>
      <c r="R2581" s="0" t="s">
        <v>81</v>
      </c>
      <c r="S2581" s="13" t="n">
        <v>4220199</v>
      </c>
      <c r="T2581" s="0" t="s">
        <v>82</v>
      </c>
      <c r="U2581" s="15" t="n">
        <v>159.8</v>
      </c>
      <c r="W2581" s="15" t="n">
        <v>0</v>
      </c>
      <c r="X2581" s="0" t="s">
        <v>1841</v>
      </c>
      <c r="Z2581" s="0" t="str">
        <f aca="false">IF($T2581="","",IFERROR(INDEX('Resumo Grupos'!$AC$3:$AC$200,MATCH($T2581,'Resumo Grupos'!$AB$3:$AB$200,0)),"n/d"))</f>
        <v>Pagamentos outros não operacionais</v>
      </c>
      <c r="AA2581" s="0" t="str">
        <f aca="false">IF($T2581="","",IF(COUNTIF('Resumo Grupos'!$AE$3:$AE$40,$T2581)&gt;0,"NAO","SIM"))</f>
        <v>SIM</v>
      </c>
    </row>
    <row r="2582" customFormat="false" ht="12.75" hidden="false" customHeight="false" outlineLevel="0" collapsed="false">
      <c r="A2582" s="13" t="n">
        <v>2</v>
      </c>
      <c r="B2582" s="14" t="n">
        <v>46265</v>
      </c>
      <c r="C2582" s="14" t="n">
        <v>46381</v>
      </c>
      <c r="D2582" s="13" t="n">
        <v>218</v>
      </c>
      <c r="E2582" s="0" t="s">
        <v>819</v>
      </c>
      <c r="F2582" s="13" t="n">
        <v>48</v>
      </c>
      <c r="G2582" s="0" t="s">
        <v>581</v>
      </c>
      <c r="H2582" s="13" t="n">
        <v>2110405</v>
      </c>
      <c r="I2582" s="0" t="s">
        <v>56</v>
      </c>
      <c r="J2582" s="13" t="n">
        <v>1759731</v>
      </c>
      <c r="L2582" s="13" t="n">
        <v>242377</v>
      </c>
      <c r="M2582" s="0" t="s">
        <v>89</v>
      </c>
      <c r="N2582" s="0" t="s">
        <v>45</v>
      </c>
      <c r="P2582" s="13" t="n">
        <v>101</v>
      </c>
      <c r="Q2582" s="0" t="s">
        <v>57</v>
      </c>
      <c r="R2582" s="0" t="s">
        <v>81</v>
      </c>
      <c r="S2582" s="13" t="n">
        <v>4220199</v>
      </c>
      <c r="T2582" s="0" t="s">
        <v>82</v>
      </c>
      <c r="U2582" s="15" t="n">
        <v>309.96</v>
      </c>
      <c r="W2582" s="15" t="n">
        <v>0</v>
      </c>
      <c r="X2582" s="0" t="s">
        <v>1854</v>
      </c>
      <c r="Z2582" s="0" t="str">
        <f aca="false">IF($T2582="","",IFERROR(INDEX('Resumo Grupos'!$AC$3:$AC$200,MATCH($T2582,'Resumo Grupos'!$AB$3:$AB$200,0)),"n/d"))</f>
        <v>Pagamentos outros não operacionais</v>
      </c>
      <c r="AA2582" s="0" t="str">
        <f aca="false">IF($T2582="","",IF(COUNTIF('Resumo Grupos'!$AE$3:$AE$40,$T2582)&gt;0,"NAO","SIM"))</f>
        <v>SIM</v>
      </c>
    </row>
    <row r="2583" customFormat="false" ht="12.75" hidden="false" customHeight="false" outlineLevel="0" collapsed="false">
      <c r="A2583" s="13" t="n">
        <v>2</v>
      </c>
      <c r="B2583" s="14" t="n">
        <v>46023</v>
      </c>
      <c r="C2583" s="14" t="n">
        <v>46383</v>
      </c>
      <c r="D2583" s="13" t="n">
        <v>515</v>
      </c>
      <c r="E2583" s="0" t="s">
        <v>137</v>
      </c>
      <c r="F2583" s="13" t="n">
        <v>34</v>
      </c>
      <c r="G2583" s="0" t="s">
        <v>55</v>
      </c>
      <c r="H2583" s="13" t="n">
        <v>2110405</v>
      </c>
      <c r="I2583" s="0" t="s">
        <v>56</v>
      </c>
      <c r="J2583" s="13" t="n">
        <v>1012266</v>
      </c>
      <c r="L2583" s="13" t="n">
        <v>133812</v>
      </c>
      <c r="M2583" s="0" t="s">
        <v>2076</v>
      </c>
      <c r="N2583" s="0" t="s">
        <v>45</v>
      </c>
      <c r="P2583" s="13" t="n">
        <v>101</v>
      </c>
      <c r="Q2583" s="0" t="s">
        <v>57</v>
      </c>
      <c r="R2583" s="0" t="s">
        <v>323</v>
      </c>
      <c r="S2583" s="13" t="n">
        <v>2110901</v>
      </c>
      <c r="T2583" s="0" t="s">
        <v>324</v>
      </c>
      <c r="U2583" s="15" t="n">
        <v>4168.41</v>
      </c>
      <c r="W2583" s="15" t="n">
        <v>0</v>
      </c>
      <c r="X2583" s="0" t="s">
        <v>2077</v>
      </c>
      <c r="Z2583" s="0" t="str">
        <f aca="false">IF($T2583="","",IFERROR(INDEX('Resumo Grupos'!$AC$3:$AC$200,MATCH($T2583,'Resumo Grupos'!$AB$3:$AB$200,0)),"n/d"))</f>
        <v>Empréstimo</v>
      </c>
      <c r="AA2583" s="0" t="str">
        <f aca="false">IF($T2583="","",IF(COUNTIF('Resumo Grupos'!$AE$3:$AE$40,$T2583)&gt;0,"NAO","SIM"))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4" width="10.11"/>
    <col collapsed="false" customWidth="true" hidden="false" outlineLevel="0" max="2" min="2" style="0" width="76.67"/>
    <col collapsed="false" customWidth="true" hidden="false" outlineLevel="0" max="3" min="3" style="15" width="10.88"/>
    <col collapsed="false" customWidth="true" hidden="false" outlineLevel="0" max="4" min="4" style="0" width="64.77"/>
  </cols>
  <sheetData>
    <row r="1" customFormat="false" ht="12.75" hidden="false" customHeight="true" outlineLevel="0" collapsed="false">
      <c r="A1" s="16" t="s">
        <v>11</v>
      </c>
      <c r="B1" s="17" t="s">
        <v>13</v>
      </c>
      <c r="C1" s="18" t="s">
        <v>2078</v>
      </c>
      <c r="D1" s="17" t="s">
        <v>29</v>
      </c>
    </row>
    <row r="2" customFormat="false" ht="12.75" hidden="false" customHeight="true" outlineLevel="0" collapsed="false">
      <c r="A2" s="14" t="n">
        <f aca="false">Report!C11</f>
        <v>46174</v>
      </c>
      <c r="B2" s="0" t="str">
        <f aca="false">Report!E11</f>
        <v>A. CORREA JUNIOR</v>
      </c>
      <c r="C2" s="15" t="n">
        <f aca="false">Report!U11</f>
        <v>906.75</v>
      </c>
      <c r="D2" s="0" t="str">
        <f aca="false">Report!X11</f>
        <v>NF 1768 CARTÃO DIA 1 - PARC 2/2 - ELLEN</v>
      </c>
    </row>
    <row r="3" customFormat="false" ht="12.75" hidden="false" customHeight="true" outlineLevel="0" collapsed="false">
      <c r="A3" s="14" t="n">
        <f aca="false">Report!C12</f>
        <v>46174</v>
      </c>
      <c r="B3" s="0" t="str">
        <f aca="false">Report!E12</f>
        <v>BRF S A</v>
      </c>
      <c r="C3" s="15" t="n">
        <f aca="false">Report!U12</f>
        <v>788.13</v>
      </c>
      <c r="D3" s="0" t="str">
        <f aca="false">Report!X12</f>
        <v>NF 1583975 - BOLETO C/ DESCONTO - ELLEN</v>
      </c>
    </row>
    <row r="4" customFormat="false" ht="12.75" hidden="false" customHeight="true" outlineLevel="0" collapsed="false">
      <c r="A4" s="14" t="n">
        <f aca="false">Report!C14</f>
        <v>46174</v>
      </c>
      <c r="B4" s="0" t="str">
        <f aca="false">Report!E14</f>
        <v>DUNORTE DISTRIBUIDORA DE PRODUTOS DE CONSUMO LTDA</v>
      </c>
      <c r="C4" s="15" t="n">
        <f aca="false">Report!U14</f>
        <v>389.51</v>
      </c>
      <c r="D4" s="0" t="str">
        <f aca="false">Report!X14</f>
        <v>NF 3188783 ELLEN</v>
      </c>
    </row>
    <row r="5" customFormat="false" ht="12.75" hidden="false" customHeight="true" outlineLevel="0" collapsed="false">
      <c r="A5" s="14" t="n">
        <f aca="false">Report!C15</f>
        <v>46174</v>
      </c>
      <c r="B5" s="0" t="str">
        <f aca="false">Report!E15</f>
        <v>DUNORTE DISTRIBUIDORA DE PRODUTOS DE CONSUMO LTDA</v>
      </c>
      <c r="C5" s="15" t="n">
        <f aca="false">Report!U15</f>
        <v>1560.38</v>
      </c>
      <c r="D5" s="0" t="str">
        <f aca="false">Report!X15</f>
        <v>NF 3188782 ELLEN</v>
      </c>
    </row>
    <row r="6" customFormat="false" ht="12.75" hidden="false" customHeight="true" outlineLevel="0" collapsed="false">
      <c r="A6" s="14" t="n">
        <f aca="false">Report!C16</f>
        <v>46174</v>
      </c>
      <c r="B6" s="0" t="str">
        <f aca="false">Report!E16</f>
        <v>DURAES DISTRIBUIDORA DE ESTIVAS LTDA</v>
      </c>
      <c r="C6" s="15" t="n">
        <f aca="false">Report!U16</f>
        <v>346.6</v>
      </c>
      <c r="D6" s="0" t="str">
        <f aca="false">Report!X16</f>
        <v>NF 641255 ELLEN</v>
      </c>
    </row>
    <row r="7" customFormat="false" ht="12.75" hidden="false" customHeight="true" outlineLevel="0" collapsed="false">
      <c r="A7" s="14" t="n">
        <f aca="false">Report!C19</f>
        <v>46174</v>
      </c>
      <c r="B7" s="0" t="str">
        <f aca="false">Report!E19</f>
        <v>EMPRESA BRASILEIRA DE DISTRIBUICAO LTDA</v>
      </c>
      <c r="C7" s="15" t="n">
        <f aca="false">Report!U19</f>
        <v>100.36</v>
      </c>
      <c r="D7" s="0" t="str">
        <f aca="false">Report!X19</f>
        <v>NF 2282942 ELLEN</v>
      </c>
    </row>
    <row r="8" customFormat="false" ht="12.75" hidden="false" customHeight="true" outlineLevel="0" collapsed="false">
      <c r="A8" s="14" t="n">
        <f aca="false">Report!C20</f>
        <v>46174</v>
      </c>
      <c r="B8" s="0" t="str">
        <f aca="false">Report!E20</f>
        <v>EMPRESA BRASILEIRA DE DISTRIBUICAO LTDA</v>
      </c>
      <c r="C8" s="15" t="n">
        <f aca="false">Report!U20</f>
        <v>628.88</v>
      </c>
      <c r="D8" s="0" t="str">
        <f aca="false">Report!X20</f>
        <v>NF 2282943 ELLEN</v>
      </c>
    </row>
    <row r="9" customFormat="false" ht="12.75" hidden="false" customHeight="true" outlineLevel="0" collapsed="false">
      <c r="A9" s="14" t="n">
        <f aca="false">Report!C21</f>
        <v>46174</v>
      </c>
      <c r="B9" s="0" t="str">
        <f aca="false">Report!E21</f>
        <v>FENNIX BRASIL DISTRIBUIDORA DE PRODUTOS</v>
      </c>
      <c r="C9" s="15" t="n">
        <f aca="false">Report!U21</f>
        <v>750.79</v>
      </c>
      <c r="D9" s="0" t="str">
        <f aca="false">Report!X21</f>
        <v>NF 305709 ELLEN</v>
      </c>
    </row>
    <row r="10" customFormat="false" ht="12.75" hidden="false" customHeight="true" outlineLevel="0" collapsed="false">
      <c r="A10" s="14" t="n">
        <f aca="false">Report!C23</f>
        <v>46174</v>
      </c>
      <c r="B10" s="0" t="str">
        <f aca="false">Report!E23</f>
        <v>H. L. DO NASCIMENTO</v>
      </c>
      <c r="C10" s="15" t="n">
        <f aca="false">Report!U23</f>
        <v>536.65</v>
      </c>
      <c r="D10" s="0" t="str">
        <f aca="false">Report!X23</f>
        <v>NF 5582 ELLEN</v>
      </c>
    </row>
    <row r="11" customFormat="false" ht="12.75" hidden="false" customHeight="true" outlineLevel="0" collapsed="false">
      <c r="A11" s="14" t="n">
        <f aca="false">Report!C24</f>
        <v>46174</v>
      </c>
      <c r="B11" s="0" t="str">
        <f aca="false">Report!E24</f>
        <v>J W N DOS SANTOS</v>
      </c>
      <c r="C11" s="15" t="n">
        <f aca="false">Report!U24</f>
        <v>212</v>
      </c>
      <c r="D11" s="0" t="str">
        <f aca="false">Report!X24</f>
        <v>NF 287 ELLEN</v>
      </c>
    </row>
    <row r="12" customFormat="false" ht="12.75" hidden="false" customHeight="true" outlineLevel="0" collapsed="false">
      <c r="A12" s="14" t="n">
        <f aca="false">Report!C28</f>
        <v>46174</v>
      </c>
      <c r="B12" s="0" t="str">
        <f aca="false">Report!E28</f>
        <v>NOVA FRIOS COMERCIO ATACADISTA DE LATICINIOS LTDA</v>
      </c>
      <c r="C12" s="15" t="n">
        <f aca="false">Report!U28</f>
        <v>240.98</v>
      </c>
      <c r="D12" s="0" t="str">
        <f aca="false">Report!X28</f>
        <v>NF 3552 ELLEN</v>
      </c>
    </row>
    <row r="13" customFormat="false" ht="12.75" hidden="false" customHeight="true" outlineLevel="0" collapsed="false">
      <c r="A13" s="14" t="n">
        <f aca="false">Report!C30</f>
        <v>46174</v>
      </c>
      <c r="B13" s="0" t="str">
        <f aca="false">Report!E30</f>
        <v>REFRIAL DISTRIBUIDORA COMERCIAL DE MAQUI</v>
      </c>
      <c r="C13" s="15" t="n">
        <f aca="false">Report!U30</f>
        <v>104.15</v>
      </c>
      <c r="D13" s="0" t="str">
        <f aca="false">Report!X30</f>
        <v>NF 151724 DESPESAS-CESTA D-300- ELLEN</v>
      </c>
    </row>
    <row r="14" customFormat="false" ht="12.75" hidden="false" customHeight="true" outlineLevel="0" collapsed="false">
      <c r="A14" s="14" t="n">
        <f aca="false">Report!C37</f>
        <v>46174</v>
      </c>
      <c r="B14" s="0" t="str">
        <f aca="false">Report!E37</f>
        <v>TAPAJOS COM DE PERFUMARIA COSMETICOS E G</v>
      </c>
      <c r="C14" s="15" t="n">
        <f aca="false">Report!U37</f>
        <v>1093.35</v>
      </c>
      <c r="D14" s="0" t="str">
        <f aca="false">Report!X37</f>
        <v>NF 569925 ELLEN</v>
      </c>
    </row>
    <row r="15" customFormat="false" ht="12.75" hidden="false" customHeight="true" outlineLevel="0" collapsed="false">
      <c r="A15" s="14" t="n">
        <f aca="false">Report!C39</f>
        <v>46175</v>
      </c>
      <c r="B15" s="0" t="str">
        <f aca="false">Report!E39</f>
        <v>ADICSO FABIAN GONZALEZ MONTILLA 70302186</v>
      </c>
      <c r="C15" s="15" t="n">
        <f aca="false">Report!U39</f>
        <v>180</v>
      </c>
      <c r="D15" s="0" t="str">
        <f aca="false">Report!X39</f>
        <v>NF 481 ELLEN</v>
      </c>
    </row>
    <row r="16" customFormat="false" ht="12.75" hidden="false" customHeight="true" outlineLevel="0" collapsed="false">
      <c r="A16" s="14" t="n">
        <f aca="false">Report!C41</f>
        <v>46175</v>
      </c>
      <c r="B16" s="0" t="str">
        <f aca="false">Report!E41</f>
        <v>BONNA VITTA INDUSTRIA E COMERCIO LTDA.</v>
      </c>
      <c r="C16" s="15" t="n">
        <f aca="false">Report!U41</f>
        <v>1398</v>
      </c>
      <c r="D16" s="0" t="str">
        <f aca="false">Report!X41</f>
        <v>NF 515967 ELLEN</v>
      </c>
    </row>
    <row r="17" customFormat="false" ht="12.75" hidden="false" customHeight="true" outlineLevel="0" collapsed="false">
      <c r="A17" s="14" t="n">
        <f aca="false">Report!C42</f>
        <v>46175</v>
      </c>
      <c r="B17" s="0" t="str">
        <f aca="false">Report!E42</f>
        <v>BRASIL NORTE BEBIDAS S/A</v>
      </c>
      <c r="C17" s="15" t="n">
        <f aca="false">Report!U42</f>
        <v>256.41</v>
      </c>
      <c r="D17" s="0" t="str">
        <f aca="false">Report!X42</f>
        <v>NF 1834010 ELLEN</v>
      </c>
    </row>
    <row r="18" customFormat="false" ht="12.75" hidden="false" customHeight="true" outlineLevel="0" collapsed="false">
      <c r="A18" s="14" t="n">
        <f aca="false">Report!C43</f>
        <v>46175</v>
      </c>
      <c r="B18" s="0" t="str">
        <f aca="false">Report!E43</f>
        <v>BRASIL NORTE BEBIDAS S/A</v>
      </c>
      <c r="C18" s="15" t="n">
        <f aca="false">Report!U43</f>
        <v>1193.82</v>
      </c>
      <c r="D18" s="0" t="str">
        <f aca="false">Report!X43</f>
        <v>NF 1833935 ELLEN</v>
      </c>
    </row>
    <row r="19" customFormat="false" ht="12.75" hidden="false" customHeight="true" outlineLevel="0" collapsed="false">
      <c r="A19" s="14" t="n">
        <f aca="false">Report!C44</f>
        <v>46175</v>
      </c>
      <c r="B19" s="0" t="str">
        <f aca="false">Report!E44</f>
        <v>BRASIL NORTE BEBIDAS S/A</v>
      </c>
      <c r="C19" s="15" t="n">
        <f aca="false">Report!U44</f>
        <v>186.51</v>
      </c>
      <c r="D19" s="0" t="str">
        <f aca="false">Report!X44</f>
        <v>NF 1124397 ELLEN</v>
      </c>
    </row>
    <row r="20" customFormat="false" ht="12.75" hidden="false" customHeight="true" outlineLevel="0" collapsed="false">
      <c r="A20" s="14" t="n">
        <f aca="false">Report!C45</f>
        <v>46175</v>
      </c>
      <c r="B20" s="0" t="str">
        <f aca="false">Report!E45</f>
        <v>FEIRA</v>
      </c>
      <c r="C20" s="15" t="n">
        <f aca="false">Report!U45</f>
        <v>370</v>
      </c>
      <c r="D20" s="0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4" t="n">
        <f aca="false">Report!C52</f>
        <v>46175</v>
      </c>
      <c r="B21" s="0" t="str">
        <f aca="false">Report!E52</f>
        <v>LIMA E BARANDA COMERCIO DE PRODUTOS REGI</v>
      </c>
      <c r="C21" s="15" t="n">
        <f aca="false">Report!U52</f>
        <v>199</v>
      </c>
      <c r="D21" s="0" t="str">
        <f aca="false">Report!X52</f>
        <v>NF 30655 ELLEN</v>
      </c>
    </row>
    <row r="22" customFormat="false" ht="12.75" hidden="false" customHeight="true" outlineLevel="0" collapsed="false">
      <c r="A22" s="14" t="n">
        <f aca="false">Report!C53</f>
        <v>46175</v>
      </c>
      <c r="B22" s="0" t="str">
        <f aca="false">Report!E53</f>
        <v>MANOEL TEXEIRA DE SOUZA RESTAURANTE</v>
      </c>
      <c r="C22" s="15" t="n">
        <f aca="false">Report!U53</f>
        <v>140</v>
      </c>
      <c r="D22" s="0" t="str">
        <f aca="false">Report!X53</f>
        <v>NF 5932 COMPRAS-BOLO PG NO P 2/6 ELLEN</v>
      </c>
    </row>
    <row r="23" customFormat="false" ht="12.75" hidden="false" customHeight="true" outlineLevel="0" collapsed="false">
      <c r="A23" s="14" t="n">
        <f aca="false">Report!C54</f>
        <v>46175</v>
      </c>
      <c r="B23" s="0" t="str">
        <f aca="false">Report!E54</f>
        <v>NATUREZA COMERCIO DE DESCARTAVEIS LTDA</v>
      </c>
      <c r="C23" s="15" t="n">
        <f aca="false">Report!U54</f>
        <v>460.62</v>
      </c>
      <c r="D23" s="0" t="str">
        <f aca="false">Report!X54</f>
        <v>NF 720157 ELLEN</v>
      </c>
    </row>
    <row r="24" customFormat="false" ht="12.75" hidden="false" customHeight="true" outlineLevel="0" collapsed="false">
      <c r="A24" s="14" t="n">
        <f aca="false">Report!C55</f>
        <v>46175</v>
      </c>
      <c r="B24" s="0" t="str">
        <f aca="false">Report!E55</f>
        <v>NEYLIANE S DE OLIVEIRA &amp; CIA LTDA</v>
      </c>
      <c r="C24" s="15" t="n">
        <f aca="false">Report!U55</f>
        <v>195</v>
      </c>
      <c r="D24" s="0" t="str">
        <f aca="false">Report!X55</f>
        <v>COMPRAS - 15L DE AÇAI - PG NO P 2/6/26 ELLEN</v>
      </c>
    </row>
    <row r="25" customFormat="false" ht="12.75" hidden="false" customHeight="true" outlineLevel="0" collapsed="false">
      <c r="A25" s="14" t="n">
        <f aca="false">Report!C56</f>
        <v>46175</v>
      </c>
      <c r="B25" s="0" t="str">
        <f aca="false">Report!E56</f>
        <v>NEYLIANE S DE OLIVEIRA &amp; CIA LTDA</v>
      </c>
      <c r="C25" s="15" t="n">
        <f aca="false">Report!U56</f>
        <v>1465.86</v>
      </c>
      <c r="D25" s="0" t="str">
        <f aca="false">Report!X56</f>
        <v>FEIRA-SR RENATO-DINHEIRO/POTE - ELLEN</v>
      </c>
    </row>
    <row r="26" customFormat="false" ht="12.75" hidden="false" customHeight="true" outlineLevel="0" collapsed="false">
      <c r="A26" s="14" t="n">
        <f aca="false">Report!C57</f>
        <v>46175</v>
      </c>
      <c r="B26" s="0" t="str">
        <f aca="false">Report!E57</f>
        <v>NJF INDUSTRIA E COMERCIO LTDA</v>
      </c>
      <c r="C26" s="15" t="n">
        <f aca="false">Report!U57</f>
        <v>280</v>
      </c>
      <c r="D26" s="0" t="str">
        <f aca="false">Report!X57</f>
        <v>NF 81956 ELLEN</v>
      </c>
    </row>
    <row r="27" customFormat="false" ht="12.75" hidden="false" customHeight="true" outlineLevel="0" collapsed="false">
      <c r="A27" s="14" t="n">
        <f aca="false">Report!C58</f>
        <v>46175</v>
      </c>
      <c r="B27" s="0" t="str">
        <f aca="false">Report!E58</f>
        <v>NJF INDUSTRIA E COMERCIO LTDA</v>
      </c>
      <c r="C27" s="15" t="n">
        <f aca="false">Report!U58</f>
        <v>1006.5</v>
      </c>
      <c r="D27" s="0" t="str">
        <f aca="false">Report!X58</f>
        <v>NF 81957 ELLEN</v>
      </c>
    </row>
    <row r="28" customFormat="false" ht="12.75" hidden="false" customHeight="true" outlineLevel="0" collapsed="false">
      <c r="A28" s="14" t="n">
        <f aca="false">Report!C63</f>
        <v>46175</v>
      </c>
      <c r="B28" s="0" t="str">
        <f aca="false">Report!E63</f>
        <v>SILVA E SANTOS FRIGORIFICO LTDA</v>
      </c>
      <c r="C28" s="15" t="n">
        <f aca="false">Report!U63</f>
        <v>3849.6</v>
      </c>
      <c r="D28" s="0" t="str">
        <f aca="false">Report!X63</f>
        <v>NF 30636 ELLEN</v>
      </c>
    </row>
    <row r="29" customFormat="false" ht="12.75" hidden="false" customHeight="true" outlineLevel="0" collapsed="false">
      <c r="A29" s="14" t="n">
        <f aca="false">Report!C65</f>
        <v>46176</v>
      </c>
      <c r="B29" s="0" t="str">
        <f aca="false">Report!E65</f>
        <v>BF COMERCIO DE ALIMENTOS REPRESENTACAO L</v>
      </c>
      <c r="C29" s="15" t="n">
        <f aca="false">Report!U65</f>
        <v>340.77</v>
      </c>
      <c r="D29" s="0" t="str">
        <f aca="false">Report!X65</f>
        <v>NF 20752 ELLEN</v>
      </c>
    </row>
    <row r="30" customFormat="false" ht="12.75" hidden="false" customHeight="true" outlineLevel="0" collapsed="false">
      <c r="A30" s="14" t="n">
        <f aca="false">Report!C66</f>
        <v>46176</v>
      </c>
      <c r="B30" s="0" t="str">
        <f aca="false">Report!E66</f>
        <v>BRF S A</v>
      </c>
      <c r="C30" s="15" t="n">
        <f aca="false">Report!U66</f>
        <v>349.37</v>
      </c>
      <c r="D30" s="0" t="str">
        <f aca="false">Report!X66</f>
        <v>NF 1585747 ELLEN</v>
      </c>
    </row>
    <row r="31" customFormat="false" ht="12.75" hidden="false" customHeight="true" outlineLevel="0" collapsed="false">
      <c r="A31" s="14" t="n">
        <f aca="false">Report!C67</f>
        <v>46176</v>
      </c>
      <c r="B31" s="0" t="str">
        <f aca="false">Report!E67</f>
        <v>BRF S A</v>
      </c>
      <c r="C31" s="15" t="n">
        <f aca="false">Report!U67</f>
        <v>1208.63</v>
      </c>
      <c r="D31" s="0" t="str">
        <f aca="false">Report!X67</f>
        <v>NF 1588694 ELLEN</v>
      </c>
    </row>
    <row r="32" customFormat="false" ht="12.75" hidden="false" customHeight="true" outlineLevel="0" collapsed="false">
      <c r="A32" s="14" t="n">
        <f aca="false">Report!C68</f>
        <v>46176</v>
      </c>
      <c r="B32" s="0" t="str">
        <f aca="false">Report!E68</f>
        <v>DUNORTE DISTRIBUIDORA DE PRODUTOS DE CONSUMO LTDA</v>
      </c>
      <c r="C32" s="15" t="n">
        <f aca="false">Report!U68</f>
        <v>1036.09</v>
      </c>
      <c r="D32" s="0" t="str">
        <f aca="false">Report!X68</f>
        <v>NF 3186737 ELLEN</v>
      </c>
    </row>
    <row r="33" customFormat="false" ht="12.75" hidden="false" customHeight="true" outlineLevel="0" collapsed="false">
      <c r="A33" s="14" t="n">
        <f aca="false">Report!C69</f>
        <v>46176</v>
      </c>
      <c r="B33" s="0" t="str">
        <f aca="false">Report!E69</f>
        <v>J G COMERCIO DE PRODUTOS ALIMENTICIOS LTDA</v>
      </c>
      <c r="C33" s="15" t="n">
        <f aca="false">Report!U69</f>
        <v>774.34</v>
      </c>
      <c r="D33" s="0" t="str">
        <f aca="false">Report!X69</f>
        <v>NF 382547 ELLEN</v>
      </c>
    </row>
    <row r="34" customFormat="false" ht="12.75" hidden="false" customHeight="true" outlineLevel="0" collapsed="false">
      <c r="A34" s="14" t="n">
        <f aca="false">Report!C70</f>
        <v>46176</v>
      </c>
      <c r="B34" s="0" t="str">
        <f aca="false">Report!E70</f>
        <v>JAB COMERCIO DE PRODUTOS ALIMENTICIOS LT</v>
      </c>
      <c r="C34" s="15" t="n">
        <f aca="false">Report!U70</f>
        <v>156</v>
      </c>
      <c r="D34" s="0" t="str">
        <f aca="false">Report!X70</f>
        <v>NF 3262 ELLEN</v>
      </c>
    </row>
    <row r="35" customFormat="false" ht="12.75" hidden="false" customHeight="true" outlineLevel="0" collapsed="false">
      <c r="A35" s="14" t="n">
        <f aca="false">Report!C71</f>
        <v>46176</v>
      </c>
      <c r="B35" s="0" t="str">
        <f aca="false">Report!E71</f>
        <v>MARCLEY MACHADO CHAVES</v>
      </c>
      <c r="C35" s="15" t="n">
        <f aca="false">Report!U71</f>
        <v>504.96</v>
      </c>
      <c r="D35" s="0" t="str">
        <f aca="false">Report!X71</f>
        <v>NF 3481 ELLEN</v>
      </c>
    </row>
    <row r="36" customFormat="false" ht="12.75" hidden="false" customHeight="true" outlineLevel="0" collapsed="false">
      <c r="A36" s="14" t="n">
        <f aca="false">Report!C72</f>
        <v>46176</v>
      </c>
      <c r="B36" s="0" t="str">
        <f aca="false">Report!E72</f>
        <v>MARTINS COM SERV DISTR SA</v>
      </c>
      <c r="C36" s="15" t="n">
        <f aca="false">Report!U72</f>
        <v>392.13</v>
      </c>
      <c r="D36" s="0" t="str">
        <f aca="false">Report!X72</f>
        <v>NF 1762194 ELLEN</v>
      </c>
    </row>
    <row r="37" customFormat="false" ht="12.75" hidden="false" customHeight="true" outlineLevel="0" collapsed="false">
      <c r="A37" s="14" t="n">
        <f aca="false">Report!C73</f>
        <v>46176</v>
      </c>
      <c r="B37" s="0" t="str">
        <f aca="false">Report!E73</f>
        <v>MARTINS COM SERV DISTR SA</v>
      </c>
      <c r="C37" s="15" t="n">
        <f aca="false">Report!U73</f>
        <v>691.5</v>
      </c>
      <c r="D37" s="0" t="str">
        <f aca="false">Report!X73</f>
        <v>NF 1762195 ELLEN</v>
      </c>
    </row>
    <row r="38" customFormat="false" ht="12.75" hidden="false" customHeight="true" outlineLevel="0" collapsed="false">
      <c r="A38" s="14" t="n">
        <f aca="false">Report!C74</f>
        <v>46176</v>
      </c>
      <c r="B38" s="0" t="str">
        <f aca="false">Report!E74</f>
        <v>NATUREZA COMERCIO DE DESCARTAVEIS LTDA</v>
      </c>
      <c r="C38" s="15" t="n">
        <f aca="false">Report!U74</f>
        <v>84.11</v>
      </c>
      <c r="D38" s="0" t="str">
        <f aca="false">Report!X74</f>
        <v>NF 27273 ELLEN</v>
      </c>
    </row>
    <row r="39" customFormat="false" ht="12.75" hidden="false" customHeight="true" outlineLevel="0" collapsed="false">
      <c r="A39" s="14" t="n">
        <f aca="false">Report!C75</f>
        <v>46176</v>
      </c>
      <c r="B39" s="0" t="str">
        <f aca="false">Report!E75</f>
        <v>NEYLIANE S DE OLIVEIRA &amp; CIA LTDA</v>
      </c>
      <c r="C39" s="15" t="n">
        <f aca="false">Report!U75</f>
        <v>950</v>
      </c>
      <c r="D39" s="0" t="str">
        <f aca="false">Report!X75</f>
        <v>COMPRAS - 5 FDS FARINHA OVINHA -3 IRMAOS- ELLEN</v>
      </c>
    </row>
    <row r="40" customFormat="false" ht="12.75" hidden="false" customHeight="true" outlineLevel="0" collapsed="false">
      <c r="A40" s="14" t="n">
        <f aca="false">Report!C76</f>
        <v>46176</v>
      </c>
      <c r="B40" s="0" t="str">
        <f aca="false">Report!E76</f>
        <v>PIARARA COMERCIO, IMPORTACAO E EXPORTACAO LTDA</v>
      </c>
      <c r="C40" s="15" t="n">
        <f aca="false">Report!U76</f>
        <v>534.12</v>
      </c>
      <c r="D40" s="0" t="str">
        <f aca="false">Report!X76</f>
        <v>NF 192719 ELLEN</v>
      </c>
    </row>
    <row r="41" customFormat="false" ht="12.75" hidden="false" customHeight="true" outlineLevel="0" collapsed="false">
      <c r="A41" s="14" t="n">
        <f aca="false">Report!C77</f>
        <v>46176</v>
      </c>
      <c r="B41" s="0" t="str">
        <f aca="false">Report!E77</f>
        <v>SB COMERCIO LTDA</v>
      </c>
      <c r="C41" s="15" t="n">
        <f aca="false">Report!U77</f>
        <v>1262.32</v>
      </c>
      <c r="D41" s="0" t="str">
        <f aca="false">Report!X77</f>
        <v>NF 1952417 ELLEN</v>
      </c>
    </row>
    <row r="42" customFormat="false" ht="12.75" hidden="false" customHeight="true" outlineLevel="0" collapsed="false">
      <c r="A42" s="14" t="n">
        <f aca="false">Report!C81</f>
        <v>46176</v>
      </c>
      <c r="B42" s="0" t="str">
        <f aca="false">Report!E81</f>
        <v>TRES CORACOES ALIMENTOS S.A.</v>
      </c>
      <c r="C42" s="15" t="n">
        <f aca="false">Report!U81</f>
        <v>843.12</v>
      </c>
      <c r="D42" s="0" t="str">
        <f aca="false">Report!X81</f>
        <v>NF 341419 ELLEN</v>
      </c>
    </row>
    <row r="43" customFormat="false" ht="12.75" hidden="false" customHeight="true" outlineLevel="0" collapsed="false">
      <c r="A43" s="14" t="n">
        <f aca="false">Report!C82</f>
        <v>46177</v>
      </c>
      <c r="B43" s="0" t="str">
        <f aca="false">Report!E82</f>
        <v>ADICSO FABIAN GONZALEZ MONTILLA 70302186</v>
      </c>
      <c r="C43" s="15" t="n">
        <f aca="false">Report!U82</f>
        <v>180</v>
      </c>
      <c r="D43" s="0" t="str">
        <f aca="false">Report!X82</f>
        <v>NF 483 ELLEN</v>
      </c>
    </row>
    <row r="44" customFormat="false" ht="12.75" hidden="false" customHeight="true" outlineLevel="0" collapsed="false">
      <c r="A44" s="14" t="n">
        <f aca="false">Report!C83</f>
        <v>46177</v>
      </c>
      <c r="B44" s="0" t="str">
        <f aca="false">Report!E83</f>
        <v>BRASIL NORTE BEBIDAS S/A</v>
      </c>
      <c r="C44" s="15" t="n">
        <f aca="false">Report!U83</f>
        <v>157.75</v>
      </c>
      <c r="D44" s="0" t="str">
        <f aca="false">Report!X83</f>
        <v>NF 1109453</v>
      </c>
    </row>
    <row r="45" customFormat="false" ht="12.75" hidden="false" customHeight="true" outlineLevel="0" collapsed="false">
      <c r="A45" s="14" t="n">
        <f aca="false">Report!C84</f>
        <v>46177</v>
      </c>
      <c r="B45" s="0" t="str">
        <f aca="false">Report!E84</f>
        <v>CB COMERCIO E DISTRIBUIDORA DE ALIMENTOS</v>
      </c>
      <c r="C45" s="15" t="n">
        <f aca="false">Report!U84</f>
        <v>897.51</v>
      </c>
      <c r="D45" s="0" t="str">
        <f aca="false">Report!X84</f>
        <v>NF 831791 ELLEN</v>
      </c>
    </row>
    <row r="46" customFormat="false" ht="12.75" hidden="false" customHeight="true" outlineLevel="0" collapsed="false">
      <c r="A46" s="14" t="n">
        <f aca="false">Report!C85</f>
        <v>46177</v>
      </c>
      <c r="B46" s="0" t="str">
        <f aca="false">Report!E85</f>
        <v>CB COMERCIO E DISTRIBUIDORA DE ALIMENTOS</v>
      </c>
      <c r="C46" s="15" t="n">
        <f aca="false">Report!U85</f>
        <v>346.96</v>
      </c>
      <c r="D46" s="0" t="str">
        <f aca="false">Report!X85</f>
        <v>NF 863836 ELLEN</v>
      </c>
    </row>
    <row r="47" customFormat="false" ht="12.75" hidden="false" customHeight="true" outlineLevel="0" collapsed="false">
      <c r="A47" s="14" t="n">
        <f aca="false">Report!C86</f>
        <v>46177</v>
      </c>
      <c r="B47" s="0" t="str">
        <f aca="false">Report!E86</f>
        <v>CB COMERCIO E DISTRIBUIDORA DE ALIMENTOS</v>
      </c>
      <c r="C47" s="15" t="n">
        <f aca="false">Report!U86</f>
        <v>560.42</v>
      </c>
      <c r="D47" s="0" t="str">
        <f aca="false">Report!X86</f>
        <v>NF 836835 ELLEN</v>
      </c>
    </row>
    <row r="48" customFormat="false" ht="12.75" hidden="false" customHeight="true" outlineLevel="0" collapsed="false">
      <c r="A48" s="14" t="n">
        <f aca="false">Report!C87</f>
        <v>46177</v>
      </c>
      <c r="B48" s="0" t="str">
        <f aca="false">Report!E87</f>
        <v>DA FRUTA DISTRIBUIDORA LTDA</v>
      </c>
      <c r="C48" s="15" t="n">
        <f aca="false">Report!U87</f>
        <v>538.53</v>
      </c>
      <c r="D48" s="0" t="str">
        <f aca="false">Report!X87</f>
        <v>NF 195290 ELLEN</v>
      </c>
    </row>
    <row r="49" customFormat="false" ht="12.75" hidden="false" customHeight="true" outlineLevel="0" collapsed="false">
      <c r="A49" s="14" t="n">
        <f aca="false">Report!C88</f>
        <v>46177</v>
      </c>
      <c r="B49" s="0" t="str">
        <f aca="false">Report!E88</f>
        <v>EMPRESA BRASILEIRA DE DISTRIBUICAO LTDA</v>
      </c>
      <c r="C49" s="15" t="n">
        <f aca="false">Report!U88</f>
        <v>506.55</v>
      </c>
      <c r="D49" s="0" t="str">
        <f aca="false">Report!X88</f>
        <v>NF 2285997 ELLEN</v>
      </c>
    </row>
    <row r="50" customFormat="false" ht="12.75" hidden="false" customHeight="true" outlineLevel="0" collapsed="false">
      <c r="A50" s="14" t="n">
        <f aca="false">Report!C90</f>
        <v>46177</v>
      </c>
      <c r="B50" s="0" t="str">
        <f aca="false">Report!E90</f>
        <v>MARTINS COM SERV DISTR SA</v>
      </c>
      <c r="C50" s="15" t="n">
        <f aca="false">Report!U90</f>
        <v>3345.97</v>
      </c>
      <c r="D50" s="0" t="str">
        <f aca="false">Report!X90</f>
        <v>NF'S 1762653/1762654 - ELLEN</v>
      </c>
    </row>
    <row r="51" customFormat="false" ht="12.75" hidden="false" customHeight="true" outlineLevel="0" collapsed="false">
      <c r="A51" s="14" t="n">
        <f aca="false">Report!C91</f>
        <v>46177</v>
      </c>
      <c r="B51" s="0" t="str">
        <f aca="false">Report!E91</f>
        <v>PANIFICADORA E CONFEITARIA REAL MADRI LTDA</v>
      </c>
      <c r="C51" s="15" t="n">
        <f aca="false">Report!U91</f>
        <v>189.8</v>
      </c>
      <c r="D51" s="0" t="str">
        <f aca="false">Report!X91</f>
        <v>NF 641 ELLEN</v>
      </c>
    </row>
    <row r="52" customFormat="false" ht="12.75" hidden="false" customHeight="true" outlineLevel="0" collapsed="false">
      <c r="A52" s="14" t="n">
        <f aca="false">Report!C93</f>
        <v>46177</v>
      </c>
      <c r="B52" s="0" t="str">
        <f aca="false">Report!E93</f>
        <v>SAO JOSE COMERCIO DE LATICINIOS E FRIOS</v>
      </c>
      <c r="C52" s="15" t="n">
        <f aca="false">Report!U93</f>
        <v>398.65</v>
      </c>
      <c r="D52" s="0" t="str">
        <f aca="false">Report!X93</f>
        <v>NF 3278 ELLEN</v>
      </c>
    </row>
    <row r="53" customFormat="false" ht="12.75" hidden="false" customHeight="true" outlineLevel="0" collapsed="false">
      <c r="A53" s="14" t="n">
        <f aca="false">Report!C95</f>
        <v>46177</v>
      </c>
      <c r="B53" s="0" t="str">
        <f aca="false">Report!E95</f>
        <v>T A DE MATTOS COMIM EIRELI</v>
      </c>
      <c r="C53" s="15" t="n">
        <f aca="false">Report!U95</f>
        <v>228</v>
      </c>
      <c r="D53" s="0" t="str">
        <f aca="false">Report!X95</f>
        <v>NF 10468 ELLEN</v>
      </c>
    </row>
    <row r="54" customFormat="false" ht="12.75" hidden="false" customHeight="true" outlineLevel="0" collapsed="false">
      <c r="A54" s="14" t="n">
        <f aca="false">Report!C96</f>
        <v>46178</v>
      </c>
      <c r="B54" s="0" t="str">
        <f aca="false">Report!E96</f>
        <v>ADRIANA DISTRIBUIDORA DE PRODUTOS ALIMEN</v>
      </c>
      <c r="C54" s="15" t="n">
        <f aca="false">Report!U96</f>
        <v>820.73</v>
      </c>
      <c r="D54" s="0" t="str">
        <f aca="false">Report!X96</f>
        <v>NF 869870 ELLEN</v>
      </c>
    </row>
    <row r="55" customFormat="false" ht="12.75" hidden="false" customHeight="true" outlineLevel="0" collapsed="false">
      <c r="A55" s="14" t="n">
        <f aca="false">Report!C97</f>
        <v>46178</v>
      </c>
      <c r="B55" s="0" t="str">
        <f aca="false">Report!E97</f>
        <v>ADRIANO FEITOSA OLIVEIRA LTDA</v>
      </c>
      <c r="C55" s="15" t="n">
        <f aca="false">Report!U97</f>
        <v>570</v>
      </c>
      <c r="D55" s="0" t="str">
        <f aca="false">Report!X97</f>
        <v>NF 287 ELLEN</v>
      </c>
    </row>
    <row r="56" customFormat="false" ht="12.75" hidden="false" customHeight="true" outlineLevel="0" collapsed="false">
      <c r="A56" s="14" t="n">
        <f aca="false">Report!C98</f>
        <v>46178</v>
      </c>
      <c r="B56" s="0" t="str">
        <f aca="false">Report!E98</f>
        <v>AMAZON DISTRIBUIDORA DE PRODUTOS ALIMENT</v>
      </c>
      <c r="C56" s="15" t="n">
        <f aca="false">Report!U98</f>
        <v>627.05</v>
      </c>
      <c r="D56" s="0" t="str">
        <f aca="false">Report!X98</f>
        <v>NF 88296</v>
      </c>
    </row>
    <row r="57" customFormat="false" ht="12.75" hidden="false" customHeight="true" outlineLevel="0" collapsed="false">
      <c r="A57" s="14" t="n">
        <f aca="false">Report!C103</f>
        <v>46178</v>
      </c>
      <c r="B57" s="0" t="str">
        <f aca="false">Report!E103</f>
        <v>BROTHERS  INDUSTRIA DE ALIMENTOS LTDA</v>
      </c>
      <c r="C57" s="15" t="n">
        <f aca="false">Report!U103</f>
        <v>479.28</v>
      </c>
      <c r="D57" s="0" t="str">
        <f aca="false">Report!X103</f>
        <v>NF 1024603 ELLEN</v>
      </c>
    </row>
    <row r="58" customFormat="false" ht="12.75" hidden="false" customHeight="true" outlineLevel="0" collapsed="false">
      <c r="A58" s="14" t="n">
        <f aca="false">Report!C105</f>
        <v>46178</v>
      </c>
      <c r="B58" s="0" t="str">
        <f aca="false">Report!E105</f>
        <v>CRBS S/A</v>
      </c>
      <c r="C58" s="15" t="n">
        <f aca="false">Report!U105</f>
        <v>1156.72</v>
      </c>
      <c r="D58" s="0" t="str">
        <f aca="false">Report!X105</f>
        <v>NF 830893 ELLEN</v>
      </c>
    </row>
    <row r="59" customFormat="false" ht="12.75" hidden="false" customHeight="true" outlineLevel="0" collapsed="false">
      <c r="A59" s="14" t="n">
        <f aca="false">Report!C106</f>
        <v>46178</v>
      </c>
      <c r="B59" s="0" t="str">
        <f aca="false">Report!E106</f>
        <v>CRBS S/A</v>
      </c>
      <c r="C59" s="15" t="n">
        <f aca="false">Report!U106</f>
        <v>1.55</v>
      </c>
      <c r="D59" s="0" t="str">
        <f aca="false">Report!X106</f>
        <v>NF 830893 REF TARIFA AMBEV -ELLEN</v>
      </c>
    </row>
    <row r="60" customFormat="false" ht="12.75" hidden="false" customHeight="true" outlineLevel="0" collapsed="false">
      <c r="A60" s="14" t="n">
        <f aca="false">Report!C109</f>
        <v>46178</v>
      </c>
      <c r="B60" s="0" t="str">
        <f aca="false">Report!E109</f>
        <v>DISTRIBUIDORA FARIAS LTDA.</v>
      </c>
      <c r="C60" s="15" t="n">
        <f aca="false">Report!U109</f>
        <v>700.23</v>
      </c>
      <c r="D60" s="0" t="str">
        <f aca="false">Report!X109</f>
        <v>NF 666212 ELLEN</v>
      </c>
    </row>
    <row r="61" customFormat="false" ht="12.75" hidden="false" customHeight="true" outlineLevel="0" collapsed="false">
      <c r="A61" s="14" t="n">
        <f aca="false">Report!C110</f>
        <v>46178</v>
      </c>
      <c r="B61" s="0" t="str">
        <f aca="false">Report!E110</f>
        <v>DISTRIBUIDORA FARIAS LTDA.</v>
      </c>
      <c r="C61" s="15" t="n">
        <f aca="false">Report!U110</f>
        <v>352.35</v>
      </c>
      <c r="D61" s="0" t="str">
        <f aca="false">Report!X110</f>
        <v>NF 668750 ELLEN</v>
      </c>
    </row>
    <row r="62" customFormat="false" ht="12.75" hidden="false" customHeight="true" outlineLevel="0" collapsed="false">
      <c r="A62" s="14" t="n">
        <f aca="false">Report!C111</f>
        <v>46178</v>
      </c>
      <c r="B62" s="0" t="str">
        <f aca="false">Report!E111</f>
        <v>DISTRIBUIDORA FARIAS LTDA.</v>
      </c>
      <c r="C62" s="15" t="n">
        <f aca="false">Report!U111</f>
        <v>238.4</v>
      </c>
      <c r="D62" s="0" t="str">
        <f aca="false">Report!X111</f>
        <v>NF 670477 (PG NO PIX DIA 10/6/26) ELLEN</v>
      </c>
    </row>
    <row r="63" customFormat="false" ht="12.75" hidden="false" customHeight="true" outlineLevel="0" collapsed="false">
      <c r="A63" s="14" t="n">
        <f aca="false">Report!C112</f>
        <v>46178</v>
      </c>
      <c r="B63" s="0" t="str">
        <f aca="false">Report!E112</f>
        <v>DISTRIBUIDORA LOPES LTDA</v>
      </c>
      <c r="C63" s="15" t="n">
        <f aca="false">Report!U112</f>
        <v>1041.86</v>
      </c>
      <c r="D63" s="0" t="str">
        <f aca="false">Report!X112</f>
        <v>NF 1659538 ELLEN</v>
      </c>
    </row>
    <row r="64" customFormat="false" ht="12.75" hidden="false" customHeight="true" outlineLevel="0" collapsed="false">
      <c r="A64" s="14" t="n">
        <f aca="false">Report!C113</f>
        <v>46178</v>
      </c>
      <c r="B64" s="0" t="str">
        <f aca="false">Report!E113</f>
        <v>DISTRIBUIDORA LOPES LTDA</v>
      </c>
      <c r="C64" s="15" t="n">
        <f aca="false">Report!U113</f>
        <v>342.59</v>
      </c>
      <c r="D64" s="0" t="str">
        <f aca="false">Report!X113</f>
        <v>NF 1664082 ELLEN</v>
      </c>
    </row>
    <row r="65" customFormat="false" ht="12.75" hidden="false" customHeight="true" outlineLevel="0" collapsed="false">
      <c r="A65" s="14" t="n">
        <f aca="false">Report!C118</f>
        <v>46178</v>
      </c>
      <c r="B65" s="0" t="str">
        <f aca="false">Report!E118</f>
        <v>FEIRA</v>
      </c>
      <c r="C65" s="15" t="n">
        <f aca="false">Report!U118</f>
        <v>120</v>
      </c>
      <c r="D65" s="0" t="str">
        <f aca="false">Report!X118</f>
        <v>FEIRA SR RENATO-PG P LJ1 (PERA) SOMAR C NF 2479- ELLEN</v>
      </c>
    </row>
    <row r="66" customFormat="false" ht="12.75" hidden="false" customHeight="true" outlineLevel="0" collapsed="false">
      <c r="A66" s="14" t="n">
        <f aca="false">Report!C123</f>
        <v>46178</v>
      </c>
      <c r="B66" s="0" t="str">
        <f aca="false">Report!E123</f>
        <v>L S M COMERCIO DE ALIMENTOS E NAVEGACAO</v>
      </c>
      <c r="C66" s="15" t="n">
        <f aca="false">Report!U123</f>
        <v>290</v>
      </c>
      <c r="D66" s="0" t="str">
        <f aca="false">Report!X123</f>
        <v>NF 302504 ELLEN</v>
      </c>
    </row>
    <row r="67" customFormat="false" ht="12.75" hidden="false" customHeight="true" outlineLevel="0" collapsed="false">
      <c r="A67" s="14" t="n">
        <f aca="false">Report!C126</f>
        <v>46178</v>
      </c>
      <c r="B67" s="0" t="str">
        <f aca="false">Report!E126</f>
        <v>MANOEL TEXEIRA DE SOUZA RESTAURANTE</v>
      </c>
      <c r="C67" s="15" t="n">
        <f aca="false">Report!U126</f>
        <v>140</v>
      </c>
      <c r="D67" s="0" t="str">
        <f aca="false">Report!X126</f>
        <v>NF 5947 COMPRAS-BOLO PG NO P 5/6/26 ELLEN</v>
      </c>
    </row>
    <row r="68" customFormat="false" ht="12.75" hidden="false" customHeight="true" outlineLevel="0" collapsed="false">
      <c r="A68" s="14" t="n">
        <f aca="false">Report!C127</f>
        <v>46178</v>
      </c>
      <c r="B68" s="0" t="str">
        <f aca="false">Report!E127</f>
        <v>NEYLIANE S DE OLIVEIRA &amp; CIA LTDA</v>
      </c>
      <c r="C68" s="15" t="n">
        <f aca="false">Report!U127</f>
        <v>1281.95</v>
      </c>
      <c r="D68" s="0" t="str">
        <f aca="false">Report!X127</f>
        <v>FEIRA SR RENATO - PG P LJ1 - ELLEN</v>
      </c>
    </row>
    <row r="69" customFormat="false" ht="12.75" hidden="false" customHeight="true" outlineLevel="0" collapsed="false">
      <c r="A69" s="14" t="n">
        <f aca="false">Report!C128</f>
        <v>46178</v>
      </c>
      <c r="B69" s="0" t="str">
        <f aca="false">Report!E128</f>
        <v>NEYLIANE S DE OLIVEIRA &amp; CIA LTDA</v>
      </c>
      <c r="C69" s="15" t="n">
        <f aca="false">Report!U128</f>
        <v>247</v>
      </c>
      <c r="D69" s="0" t="str">
        <f aca="false">Report!X128</f>
        <v>COMPRAS - 19L DE ACAI - PG NO P 5/6/26 ELLEN</v>
      </c>
    </row>
    <row r="70" customFormat="false" ht="12.75" hidden="false" customHeight="true" outlineLevel="0" collapsed="false">
      <c r="A70" s="14" t="n">
        <f aca="false">Report!C129</f>
        <v>46178</v>
      </c>
      <c r="B70" s="0" t="str">
        <f aca="false">Report!E129</f>
        <v>OESA COMERCIO E REPRESENTACOES S/A</v>
      </c>
      <c r="C70" s="15" t="n">
        <f aca="false">Report!U129</f>
        <v>639.84</v>
      </c>
      <c r="D70" s="0" t="str">
        <f aca="false">Report!X129</f>
        <v>NF 407270 ELLEN</v>
      </c>
    </row>
    <row r="71" customFormat="false" ht="12.75" hidden="false" customHeight="true" outlineLevel="0" collapsed="false">
      <c r="A71" s="14" t="n">
        <f aca="false">Report!C130</f>
        <v>46178</v>
      </c>
      <c r="B71" s="0" t="str">
        <f aca="false">Report!E130</f>
        <v>PANIFICADORA E CONFEITARIA REAL MADRI LTDA</v>
      </c>
      <c r="C71" s="15" t="n">
        <f aca="false">Report!U130</f>
        <v>334.6</v>
      </c>
      <c r="D71" s="0" t="str">
        <f aca="false">Report!X130</f>
        <v>NF 643 ELLEN</v>
      </c>
    </row>
    <row r="72" customFormat="false" ht="12.75" hidden="false" customHeight="true" outlineLevel="0" collapsed="false">
      <c r="A72" s="14" t="n">
        <f aca="false">Report!C137</f>
        <v>46178</v>
      </c>
      <c r="B72" s="0" t="str">
        <f aca="false">Report!E137</f>
        <v>SEM FORNECEDOR</v>
      </c>
      <c r="C72" s="15" t="n">
        <f aca="false">Report!U137</f>
        <v>118</v>
      </c>
      <c r="D72" s="0" t="str">
        <f aca="false">Report!X137</f>
        <v>queijo coalho</v>
      </c>
    </row>
    <row r="73" customFormat="false" ht="12.75" hidden="false" customHeight="true" outlineLevel="0" collapsed="false">
      <c r="A73" s="14" t="n">
        <f aca="false">Report!C140</f>
        <v>46178</v>
      </c>
      <c r="B73" s="0" t="str">
        <f aca="false">Report!E140</f>
        <v>SILVA E SANTOS FRIGORIFICO LTDA</v>
      </c>
      <c r="C73" s="15" t="n">
        <f aca="false">Report!U140</f>
        <v>2731.2</v>
      </c>
      <c r="D73" s="0" t="str">
        <f aca="false">Report!X140</f>
        <v>NF 30723 ELLEN</v>
      </c>
    </row>
    <row r="74" customFormat="false" ht="12.75" hidden="false" customHeight="true" outlineLevel="0" collapsed="false">
      <c r="A74" s="14" t="n">
        <f aca="false">Report!C141</f>
        <v>46178</v>
      </c>
      <c r="B74" s="0" t="str">
        <f aca="false">Report!E141</f>
        <v>SOUZA CRUZ LTDA.</v>
      </c>
      <c r="C74" s="15" t="n">
        <f aca="false">Report!U141</f>
        <v>3927.04</v>
      </c>
      <c r="D74" s="0" t="str">
        <f aca="false">Report!X141</f>
        <v>NF 560914 ELLEN</v>
      </c>
    </row>
    <row r="75" customFormat="false" ht="12.75" hidden="false" customHeight="true" outlineLevel="0" collapsed="false">
      <c r="A75" s="14" t="n">
        <f aca="false">Report!C144</f>
        <v>46179</v>
      </c>
      <c r="B75" s="0" t="str">
        <f aca="false">Report!E144</f>
        <v>FALCAO INDUSTRIA DE ALIMENTOS LTDA</v>
      </c>
      <c r="C75" s="15" t="n">
        <f aca="false">Report!U144</f>
        <v>1598.59</v>
      </c>
      <c r="D75" s="0" t="str">
        <f aca="false">Report!X144</f>
        <v>NF 29829 ELLEN</v>
      </c>
    </row>
    <row r="76" customFormat="false" ht="12.75" hidden="false" customHeight="true" outlineLevel="0" collapsed="false">
      <c r="A76" s="14" t="n">
        <f aca="false">Report!C145</f>
        <v>46179</v>
      </c>
      <c r="B76" s="0" t="str">
        <f aca="false">Report!E145</f>
        <v>MAXFRI DISTRIUIDORA LTDA</v>
      </c>
      <c r="C76" s="15" t="n">
        <f aca="false">Report!U145</f>
        <v>2412.8</v>
      </c>
      <c r="D76" s="0" t="str">
        <f aca="false">Report!X145</f>
        <v>NF 14303 ELLEN</v>
      </c>
    </row>
    <row r="77" customFormat="false" ht="12.75" hidden="false" customHeight="true" outlineLevel="0" collapsed="false">
      <c r="A77" s="14" t="n">
        <f aca="false">Report!C146</f>
        <v>46179</v>
      </c>
      <c r="B77" s="0" t="str">
        <f aca="false">Report!E146</f>
        <v>MAXFRI DISTRIUIDORA LTDA</v>
      </c>
      <c r="C77" s="15" t="n">
        <f aca="false">Report!U146</f>
        <v>3329</v>
      </c>
      <c r="D77" s="0" t="str">
        <f aca="false">Report!X146</f>
        <v>NF 14361 ELLEN</v>
      </c>
    </row>
    <row r="78" customFormat="false" ht="12.75" hidden="false" customHeight="true" outlineLevel="0" collapsed="false">
      <c r="A78" s="14" t="n">
        <f aca="false">Report!C147</f>
        <v>46179</v>
      </c>
      <c r="B78" s="0" t="str">
        <f aca="false">Report!E147</f>
        <v>SAO JOSE COMERCIO DE LATICINIOS E FRIOS</v>
      </c>
      <c r="C78" s="15" t="n">
        <f aca="false">Report!U147</f>
        <v>449.5</v>
      </c>
      <c r="D78" s="0" t="str">
        <f aca="false">Report!X147</f>
        <v>NF 3301 ELLEN</v>
      </c>
    </row>
    <row r="79" customFormat="false" ht="12.75" hidden="false" customHeight="true" outlineLevel="0" collapsed="false">
      <c r="A79" s="14" t="n">
        <f aca="false">Report!C150</f>
        <v>46179</v>
      </c>
      <c r="B79" s="0" t="str">
        <f aca="false">Report!E150</f>
        <v>SUPER CANCUN COMERCIO DE PRODUTOS ALIMEN</v>
      </c>
      <c r="C79" s="15" t="n">
        <f aca="false">Report!U150</f>
        <v>317.81</v>
      </c>
      <c r="D79" s="0" t="str">
        <f aca="false">Report!X150</f>
        <v>NF 258977 ELLEN</v>
      </c>
    </row>
    <row r="80" customFormat="false" ht="12.75" hidden="false" customHeight="true" outlineLevel="0" collapsed="false">
      <c r="A80" s="14" t="n">
        <f aca="false">Report!C151</f>
        <v>46179</v>
      </c>
      <c r="B80" s="0" t="str">
        <f aca="false">Report!E151</f>
        <v>SUPER CANCUN COMERCIO DE PRODUTOS ALIMEN</v>
      </c>
      <c r="C80" s="15" t="n">
        <f aca="false">Report!U151</f>
        <v>528.95</v>
      </c>
      <c r="D80" s="0" t="str">
        <f aca="false">Report!X151</f>
        <v>NF 258978 ELLEN</v>
      </c>
    </row>
    <row r="81" customFormat="false" ht="12.75" hidden="false" customHeight="true" outlineLevel="0" collapsed="false">
      <c r="A81" s="14" t="n">
        <f aca="false">Report!C153</f>
        <v>46180</v>
      </c>
      <c r="B81" s="0" t="str">
        <f aca="false">Report!E153</f>
        <v>PRIME PET DISTRIBUIDORA LTDA</v>
      </c>
      <c r="C81" s="15" t="n">
        <f aca="false">Report!U153</f>
        <v>644.97</v>
      </c>
      <c r="D81" s="0" t="str">
        <f aca="false">Report!X153</f>
        <v>NF 10245 ELLEN</v>
      </c>
    </row>
    <row r="82" customFormat="false" ht="12.75" hidden="false" customHeight="true" outlineLevel="0" collapsed="false">
      <c r="A82" s="14" t="n">
        <f aca="false">Report!C157</f>
        <v>46181</v>
      </c>
      <c r="B82" s="0" t="str">
        <f aca="false">Report!E157</f>
        <v>DUNORTE DISTRIBUIDORA DE PRODUTOS DE CONSUMO LTDA</v>
      </c>
      <c r="C82" s="15" t="n">
        <f aca="false">Report!U157</f>
        <v>391.4</v>
      </c>
      <c r="D82" s="0" t="str">
        <f aca="false">Report!X157</f>
        <v>NF 3188783 ELLEN</v>
      </c>
    </row>
    <row r="83" customFormat="false" ht="12.75" hidden="false" customHeight="true" outlineLevel="0" collapsed="false">
      <c r="A83" s="14" t="n">
        <f aca="false">Report!C158</f>
        <v>46181</v>
      </c>
      <c r="B83" s="0" t="str">
        <f aca="false">Report!E158</f>
        <v>DUNORTE DISTRIBUIDORA DE PRODUTOS DE CONSUMO LTDA</v>
      </c>
      <c r="C83" s="15" t="n">
        <f aca="false">Report!U158</f>
        <v>1562.27</v>
      </c>
      <c r="D83" s="0" t="str">
        <f aca="false">Report!X158</f>
        <v>NF 3188782 ELLEN</v>
      </c>
    </row>
    <row r="84" customFormat="false" ht="12.75" hidden="false" customHeight="true" outlineLevel="0" collapsed="false">
      <c r="A84" s="14" t="n">
        <f aca="false">Report!C159</f>
        <v>46181</v>
      </c>
      <c r="B84" s="0" t="str">
        <f aca="false">Report!E159</f>
        <v>DURAES DISTRIBUIDORA DE ESTIVAS LTDA</v>
      </c>
      <c r="C84" s="15" t="n">
        <f aca="false">Report!U159</f>
        <v>346.6</v>
      </c>
      <c r="D84" s="0" t="str">
        <f aca="false">Report!X159</f>
        <v>NF 641255 ELLEN</v>
      </c>
    </row>
    <row r="85" customFormat="false" ht="12.75" hidden="false" customHeight="true" outlineLevel="0" collapsed="false">
      <c r="A85" s="14" t="n">
        <f aca="false">Report!C160</f>
        <v>46181</v>
      </c>
      <c r="B85" s="0" t="str">
        <f aca="false">Report!E160</f>
        <v>EMPRESA BRASILEIRA DE DISTRIBUICAO LTDA</v>
      </c>
      <c r="C85" s="15" t="n">
        <f aca="false">Report!U160</f>
        <v>100.36</v>
      </c>
      <c r="D85" s="0" t="str">
        <f aca="false">Report!X160</f>
        <v>NF 2282942 ELLEN</v>
      </c>
    </row>
    <row r="86" customFormat="false" ht="12.75" hidden="false" customHeight="true" outlineLevel="0" collapsed="false">
      <c r="A86" s="14" t="n">
        <f aca="false">Report!C161</f>
        <v>46181</v>
      </c>
      <c r="B86" s="0" t="str">
        <f aca="false">Report!E161</f>
        <v>EMPRESA BRASILEIRA DE DISTRIBUICAO LTDA</v>
      </c>
      <c r="C86" s="15" t="n">
        <f aca="false">Report!U161</f>
        <v>628.88</v>
      </c>
      <c r="D86" s="0" t="str">
        <f aca="false">Report!X161</f>
        <v>NF 2282943 ELLEN</v>
      </c>
    </row>
    <row r="87" customFormat="false" ht="12.75" hidden="false" customHeight="true" outlineLevel="0" collapsed="false">
      <c r="A87" s="14" t="n">
        <f aca="false">Report!C162</f>
        <v>46181</v>
      </c>
      <c r="B87" s="0" t="str">
        <f aca="false">Report!E162</f>
        <v>FENNIX BRASIL DISTRIBUIDORA DE PRODUTOS</v>
      </c>
      <c r="C87" s="15" t="n">
        <f aca="false">Report!U162</f>
        <v>750.79</v>
      </c>
      <c r="D87" s="0" t="str">
        <f aca="false">Report!X162</f>
        <v>NF 305709 ELLEN</v>
      </c>
    </row>
    <row r="88" customFormat="false" ht="12.75" hidden="false" customHeight="true" outlineLevel="0" collapsed="false">
      <c r="A88" s="14" t="n">
        <f aca="false">Report!C163</f>
        <v>46181</v>
      </c>
      <c r="B88" s="0" t="str">
        <f aca="false">Report!E163</f>
        <v>FH DISTRIBUIDORA DE ALIM. E BEBIDAS LTDA</v>
      </c>
      <c r="C88" s="15" t="n">
        <f aca="false">Report!U163</f>
        <v>591.96</v>
      </c>
      <c r="D88" s="0" t="str">
        <f aca="false">Report!X163</f>
        <v>NF 325220 ELLEN</v>
      </c>
    </row>
    <row r="89" customFormat="false" ht="12.75" hidden="false" customHeight="true" outlineLevel="0" collapsed="false">
      <c r="A89" s="14" t="n">
        <f aca="false">Report!C165</f>
        <v>46181</v>
      </c>
      <c r="B89" s="0" t="str">
        <f aca="false">Report!E165</f>
        <v>MANOEL TEXEIRA DE SOUZA RESTAURANTE</v>
      </c>
      <c r="C89" s="15" t="n">
        <f aca="false">Report!U165</f>
        <v>140</v>
      </c>
      <c r="D89" s="0" t="str">
        <f aca="false">Report!X165</f>
        <v>NF 5957 COMPRAS-BOLO PG NO P 8/6/26 ELLEN</v>
      </c>
    </row>
    <row r="90" customFormat="false" ht="12.75" hidden="false" customHeight="true" outlineLevel="0" collapsed="false">
      <c r="A90" s="14" t="n">
        <f aca="false">Report!C166</f>
        <v>46181</v>
      </c>
      <c r="B90" s="0" t="str">
        <f aca="false">Report!E166</f>
        <v>MARQUES &amp; MELO LTDA - FILIAL</v>
      </c>
      <c r="C90" s="15" t="n">
        <f aca="false">Report!U166</f>
        <v>344.71</v>
      </c>
      <c r="D90" s="0" t="str">
        <f aca="false">Report!X166</f>
        <v>NF 491844 ELLEN</v>
      </c>
    </row>
    <row r="91" customFormat="false" ht="12.75" hidden="false" customHeight="true" outlineLevel="0" collapsed="false">
      <c r="A91" s="14" t="n">
        <f aca="false">Report!C167</f>
        <v>46181</v>
      </c>
      <c r="B91" s="0" t="str">
        <f aca="false">Report!E167</f>
        <v>MARQUES &amp; MELO LTDA - FILIAL</v>
      </c>
      <c r="C91" s="15" t="n">
        <f aca="false">Report!U167</f>
        <v>1022.42</v>
      </c>
      <c r="D91" s="0" t="str">
        <f aca="false">Report!X167</f>
        <v>NF 491834 ELLEN</v>
      </c>
    </row>
    <row r="92" customFormat="false" ht="12.75" hidden="false" customHeight="true" outlineLevel="0" collapsed="false">
      <c r="A92" s="14" t="n">
        <f aca="false">Report!C168</f>
        <v>46181</v>
      </c>
      <c r="B92" s="0" t="str">
        <f aca="false">Report!E168</f>
        <v>NEYLIANE S DE OLIVEIRA &amp; CIA LTDA</v>
      </c>
      <c r="C92" s="15" t="n">
        <f aca="false">Report!U168</f>
        <v>180</v>
      </c>
      <c r="D92" s="0" t="str">
        <f aca="false">Report!X168</f>
        <v>COMPRAS - 10KG PITAYA - PG NO P 6/6/26 ELLEN</v>
      </c>
    </row>
    <row r="93" customFormat="false" ht="12.75" hidden="false" customHeight="true" outlineLevel="0" collapsed="false">
      <c r="A93" s="14" t="n">
        <f aca="false">Report!C169</f>
        <v>46181</v>
      </c>
      <c r="B93" s="0" t="str">
        <f aca="false">Report!E169</f>
        <v>NEYLIANE S DE OLIVEIRA &amp; CIA LTDA</v>
      </c>
      <c r="C93" s="15" t="n">
        <f aca="false">Report!U169</f>
        <v>195</v>
      </c>
      <c r="D93" s="0" t="str">
        <f aca="false">Report!X169</f>
        <v>COMPRAS - 15L DE AÇAI - PG NO NP 8/6/26 ELLEN</v>
      </c>
    </row>
    <row r="94" customFormat="false" ht="12.75" hidden="false" customHeight="true" outlineLevel="0" collapsed="false">
      <c r="A94" s="14" t="n">
        <f aca="false">Report!C170</f>
        <v>46181</v>
      </c>
      <c r="B94" s="0" t="str">
        <f aca="false">Report!E170</f>
        <v>NOVA FRIOS COMERCIO ATACADISTA DE LATICINIOS LTDA</v>
      </c>
      <c r="C94" s="15" t="n">
        <f aca="false">Report!U170</f>
        <v>209.7</v>
      </c>
      <c r="D94" s="0" t="str">
        <f aca="false">Report!X170</f>
        <v>NF 3628 ELLEN</v>
      </c>
    </row>
    <row r="95" customFormat="false" ht="12.75" hidden="false" customHeight="true" outlineLevel="0" collapsed="false">
      <c r="A95" s="14" t="n">
        <f aca="false">Report!C177</f>
        <v>46181</v>
      </c>
      <c r="B95" s="0" t="str">
        <f aca="false">Report!E177</f>
        <v>T. M. L. DA SILVA LTDA</v>
      </c>
      <c r="C95" s="15" t="n">
        <f aca="false">Report!U177</f>
        <v>374.01</v>
      </c>
      <c r="D95" s="0" t="str">
        <f aca="false">Report!X177</f>
        <v>NF 14975 ELLEN</v>
      </c>
    </row>
    <row r="96" customFormat="false" ht="12.75" hidden="false" customHeight="true" outlineLevel="0" collapsed="false">
      <c r="A96" s="14" t="n">
        <f aca="false">Report!C178</f>
        <v>46181</v>
      </c>
      <c r="B96" s="0" t="str">
        <f aca="false">Report!E178</f>
        <v>TAPAJOS COM DE PERFUMARIA COSMETICOS E G</v>
      </c>
      <c r="C96" s="15" t="n">
        <f aca="false">Report!U178</f>
        <v>680.53</v>
      </c>
      <c r="D96" s="0" t="str">
        <f aca="false">Report!X178</f>
        <v>NF 569926 ELLEN</v>
      </c>
    </row>
    <row r="97" customFormat="false" ht="12.75" hidden="false" customHeight="true" outlineLevel="0" collapsed="false">
      <c r="A97" s="14" t="n">
        <f aca="false">Report!C179</f>
        <v>46181</v>
      </c>
      <c r="B97" s="0" t="str">
        <f aca="false">Report!E179</f>
        <v>TAPAJOS COM DE PERFUMARIA COSMETICOS E G</v>
      </c>
      <c r="C97" s="15" t="n">
        <f aca="false">Report!U179</f>
        <v>1095.36</v>
      </c>
      <c r="D97" s="0" t="str">
        <f aca="false">Report!X179</f>
        <v>NF 569925 ELLEN</v>
      </c>
    </row>
    <row r="98" customFormat="false" ht="12.75" hidden="false" customHeight="true" outlineLevel="0" collapsed="false">
      <c r="A98" s="14" t="n">
        <f aca="false">Report!C180</f>
        <v>46182</v>
      </c>
      <c r="B98" s="0" t="str">
        <f aca="false">Report!E180</f>
        <v>ADICSO FABIAN GONZALEZ MONTILLA 70302186</v>
      </c>
      <c r="C98" s="15" t="n">
        <f aca="false">Report!U180</f>
        <v>180</v>
      </c>
      <c r="D98" s="0" t="str">
        <f aca="false">Report!X180</f>
        <v>NF 493 ELLEN</v>
      </c>
    </row>
    <row r="99" customFormat="false" ht="12.75" hidden="false" customHeight="true" outlineLevel="0" collapsed="false">
      <c r="A99" s="14" t="n">
        <f aca="false">Report!C181</f>
        <v>46182</v>
      </c>
      <c r="B99" s="0" t="str">
        <f aca="false">Report!E181</f>
        <v>ADRIANO FEITOSA OLIVEIRA LTDA</v>
      </c>
      <c r="C99" s="15" t="n">
        <f aca="false">Report!U181</f>
        <v>950</v>
      </c>
      <c r="D99" s="0" t="str">
        <f aca="false">Report!X181</f>
        <v>NF 294 ELLEN</v>
      </c>
    </row>
    <row r="100" customFormat="false" ht="12.75" hidden="false" customHeight="true" outlineLevel="0" collapsed="false">
      <c r="A100" s="14" t="n">
        <f aca="false">Report!C182</f>
        <v>46182</v>
      </c>
      <c r="B100" s="0" t="str">
        <f aca="false">Report!E182</f>
        <v>BRASIL NORTE BEBIDAS S/A</v>
      </c>
      <c r="C100" s="15" t="n">
        <f aca="false">Report!U182</f>
        <v>776.55</v>
      </c>
      <c r="D100" s="0" t="str">
        <f aca="false">Report!X182</f>
        <v>NF 1133947 ELLEN</v>
      </c>
    </row>
    <row r="101" customFormat="false" ht="12.75" hidden="false" customHeight="true" outlineLevel="0" collapsed="false">
      <c r="A101" s="14" t="n">
        <f aca="false">Report!C183</f>
        <v>46182</v>
      </c>
      <c r="B101" s="0" t="str">
        <f aca="false">Report!E183</f>
        <v>BRASIL NORTE BEBIDAS S/A</v>
      </c>
      <c r="C101" s="15" t="n">
        <f aca="false">Report!U183</f>
        <v>258.47</v>
      </c>
      <c r="D101" s="0" t="str">
        <f aca="false">Report!X183</f>
        <v>NF 1133905 ELLEN</v>
      </c>
    </row>
    <row r="102" customFormat="false" ht="12.75" hidden="false" customHeight="true" outlineLevel="0" collapsed="false">
      <c r="A102" s="14" t="n">
        <f aca="false">Report!C184</f>
        <v>46182</v>
      </c>
      <c r="B102" s="0" t="str">
        <f aca="false">Report!E184</f>
        <v>BROTHERS  INDUSTRIA DE ALIMENTOS LTDA</v>
      </c>
      <c r="C102" s="15" t="n">
        <f aca="false">Report!U184</f>
        <v>337.08</v>
      </c>
      <c r="D102" s="0" t="str">
        <f aca="false">Report!X184</f>
        <v>NF 1025111 ELLEN</v>
      </c>
    </row>
    <row r="103" customFormat="false" ht="12.75" hidden="false" customHeight="true" outlineLevel="0" collapsed="false">
      <c r="A103" s="14" t="n">
        <f aca="false">Report!C185</f>
        <v>46182</v>
      </c>
      <c r="B103" s="0" t="str">
        <f aca="false">Report!E185</f>
        <v>FEIRA</v>
      </c>
      <c r="C103" s="15" t="n">
        <f aca="false">Report!U185</f>
        <v>180</v>
      </c>
      <c r="D103" s="0" t="str">
        <f aca="false">Report!X185</f>
        <v>FEIRA SR RENATO (UVA)PG DINHEIRO/POTE LJ2-SOMAR C NF2487 ELLEN</v>
      </c>
    </row>
    <row r="104" customFormat="false" ht="12.75" hidden="false" customHeight="true" outlineLevel="0" collapsed="false">
      <c r="A104" s="14" t="n">
        <f aca="false">Report!C189</f>
        <v>46182</v>
      </c>
      <c r="B104" s="0" t="str">
        <f aca="false">Report!E189</f>
        <v>NATUREZA COMERCIO DE DESCARTAVEIS LTDA</v>
      </c>
      <c r="C104" s="15" t="n">
        <f aca="false">Report!U189</f>
        <v>460.61</v>
      </c>
      <c r="D104" s="0" t="str">
        <f aca="false">Report!X189</f>
        <v>NF 720157 ELLEN</v>
      </c>
    </row>
    <row r="105" customFormat="false" ht="12.75" hidden="false" customHeight="true" outlineLevel="0" collapsed="false">
      <c r="A105" s="14" t="n">
        <f aca="false">Report!C190</f>
        <v>46182</v>
      </c>
      <c r="B105" s="0" t="str">
        <f aca="false">Report!E190</f>
        <v>NEYLIANE S DE OLIVEIRA &amp; CIA LTDA</v>
      </c>
      <c r="C105" s="15" t="n">
        <f aca="false">Report!U190</f>
        <v>1926.18</v>
      </c>
      <c r="D105" s="0" t="str">
        <f aca="false">Report!X190</f>
        <v>FEIRA SR RENATO- PG DINHEIRO/POTE LJ2 - ELLEN</v>
      </c>
    </row>
    <row r="106" customFormat="false" ht="12.75" hidden="false" customHeight="true" outlineLevel="0" collapsed="false">
      <c r="A106" s="14" t="n">
        <f aca="false">Report!C194</f>
        <v>46182</v>
      </c>
      <c r="B106" s="0" t="str">
        <f aca="false">Report!E194</f>
        <v>SEM FORNECEDOR</v>
      </c>
      <c r="C106" s="15" t="n">
        <f aca="false">Report!U194</f>
        <v>200</v>
      </c>
      <c r="D106" s="0" t="str">
        <f aca="false">Report!X194</f>
        <v>compras - trufas</v>
      </c>
    </row>
    <row r="107" customFormat="false" ht="12.75" hidden="false" customHeight="true" outlineLevel="0" collapsed="false">
      <c r="A107" s="14" t="n">
        <f aca="false">Report!C199</f>
        <v>46183</v>
      </c>
      <c r="B107" s="0" t="str">
        <f aca="false">Report!E199</f>
        <v>BF COMERCIO DE ALIMENTOS REPRESENTACAO L</v>
      </c>
      <c r="C107" s="15" t="n">
        <f aca="false">Report!U199</f>
        <v>340.77</v>
      </c>
      <c r="D107" s="0" t="str">
        <f aca="false">Report!X199</f>
        <v>NF 20752 ELLEN</v>
      </c>
    </row>
    <row r="108" customFormat="false" ht="12.75" hidden="false" customHeight="true" outlineLevel="0" collapsed="false">
      <c r="A108" s="14" t="n">
        <f aca="false">Report!C200</f>
        <v>46183</v>
      </c>
      <c r="B108" s="0" t="str">
        <f aca="false">Report!E200</f>
        <v>BONNA VITTA INDUSTRIA E COMERCIO LTDA.</v>
      </c>
      <c r="C108" s="15" t="n">
        <f aca="false">Report!U200</f>
        <v>823.77</v>
      </c>
      <c r="D108" s="0" t="str">
        <f aca="false">Report!X200</f>
        <v>NF 517177 ELLEN</v>
      </c>
    </row>
    <row r="109" customFormat="false" ht="12.75" hidden="false" customHeight="true" outlineLevel="0" collapsed="false">
      <c r="A109" s="14" t="n">
        <f aca="false">Report!C201</f>
        <v>46183</v>
      </c>
      <c r="B109" s="0" t="str">
        <f aca="false">Report!E201</f>
        <v>BRF S A</v>
      </c>
      <c r="C109" s="15" t="n">
        <f aca="false">Report!U201</f>
        <v>1208.63</v>
      </c>
      <c r="D109" s="0" t="str">
        <f aca="false">Report!X201</f>
        <v>NF 1588694 ELLEN</v>
      </c>
    </row>
    <row r="110" customFormat="false" ht="12.75" hidden="false" customHeight="true" outlineLevel="0" collapsed="false">
      <c r="A110" s="14" t="n">
        <f aca="false">Report!C202</f>
        <v>46183</v>
      </c>
      <c r="B110" s="0" t="str">
        <f aca="false">Report!E202</f>
        <v>BRF S A</v>
      </c>
      <c r="C110" s="15" t="n">
        <f aca="false">Report!U202</f>
        <v>1030.58</v>
      </c>
      <c r="D110" s="0" t="n">
        <f aca="false">Report!X202</f>
        <v>0</v>
      </c>
    </row>
    <row r="111" customFormat="false" ht="12.75" hidden="false" customHeight="true" outlineLevel="0" collapsed="false">
      <c r="A111" s="14" t="n">
        <f aca="false">Report!C206</f>
        <v>46183</v>
      </c>
      <c r="B111" s="0" t="str">
        <f aca="false">Report!E206</f>
        <v>CHERRYS SEMI JOIAS LTDA</v>
      </c>
      <c r="C111" s="15" t="n">
        <f aca="false">Report!U206</f>
        <v>405</v>
      </c>
      <c r="D111" s="0" t="str">
        <f aca="false">Report!X206</f>
        <v>NF 436 ELLEN</v>
      </c>
    </row>
    <row r="112" customFormat="false" ht="12.75" hidden="false" customHeight="true" outlineLevel="0" collapsed="false">
      <c r="A112" s="14" t="n">
        <f aca="false">Report!C207</f>
        <v>46183</v>
      </c>
      <c r="B112" s="0" t="str">
        <f aca="false">Report!E207</f>
        <v>DISTRIBUIDORA FARIAS LTDA.</v>
      </c>
      <c r="C112" s="15" t="n">
        <f aca="false">Report!U207</f>
        <v>238.4</v>
      </c>
      <c r="D112" s="0" t="str">
        <f aca="false">Report!X207</f>
        <v>NF 670477 ELLEN</v>
      </c>
    </row>
    <row r="113" customFormat="false" ht="12.75" hidden="false" customHeight="true" outlineLevel="0" collapsed="false">
      <c r="A113" s="14" t="n">
        <f aca="false">Report!C208</f>
        <v>46183</v>
      </c>
      <c r="B113" s="0" t="str">
        <f aca="false">Report!E208</f>
        <v>DUNORTE DISTRIBUIDORA DE PRODUTOS DE CONSUMO LTDA</v>
      </c>
      <c r="C113" s="15" t="n">
        <f aca="false">Report!U208</f>
        <v>1036.09</v>
      </c>
      <c r="D113" s="0" t="str">
        <f aca="false">Report!X208</f>
        <v>NF 3186737 ELLEN</v>
      </c>
    </row>
    <row r="114" customFormat="false" ht="12.75" hidden="false" customHeight="true" outlineLevel="0" collapsed="false">
      <c r="A114" s="14" t="n">
        <f aca="false">Report!C210</f>
        <v>46183</v>
      </c>
      <c r="B114" s="0" t="str">
        <f aca="false">Report!E210</f>
        <v>FORTVET DISTRIBUIDORA LTDA</v>
      </c>
      <c r="C114" s="15" t="n">
        <f aca="false">Report!U210</f>
        <v>504.52</v>
      </c>
      <c r="D114" s="0" t="str">
        <f aca="false">Report!X210</f>
        <v>NF 2108 ELLEN</v>
      </c>
    </row>
    <row r="115" customFormat="false" ht="12.75" hidden="false" customHeight="true" outlineLevel="0" collapsed="false">
      <c r="A115" s="14" t="n">
        <f aca="false">Report!C211</f>
        <v>46183</v>
      </c>
      <c r="B115" s="0" t="str">
        <f aca="false">Report!E211</f>
        <v>J G COMERCIO DE PRODUTOS ALIMENTICIOS LTDA</v>
      </c>
      <c r="C115" s="15" t="n">
        <f aca="false">Report!U211</f>
        <v>774.33</v>
      </c>
      <c r="D115" s="0" t="str">
        <f aca="false">Report!X211</f>
        <v>NF 382547 ELLEN</v>
      </c>
    </row>
    <row r="116" customFormat="false" ht="12.75" hidden="false" customHeight="true" outlineLevel="0" collapsed="false">
      <c r="A116" s="14" t="n">
        <f aca="false">Report!C212</f>
        <v>46183</v>
      </c>
      <c r="B116" s="0" t="str">
        <f aca="false">Report!E212</f>
        <v>LIMA E BARANDA COMERCIO DE PRODUTOS REGI</v>
      </c>
      <c r="C116" s="15" t="n">
        <f aca="false">Report!U212</f>
        <v>199</v>
      </c>
      <c r="D116" s="0" t="str">
        <f aca="false">Report!X212</f>
        <v>NF 30975 ELLEN</v>
      </c>
    </row>
    <row r="117" customFormat="false" ht="12.75" hidden="false" customHeight="true" outlineLevel="0" collapsed="false">
      <c r="A117" s="14" t="n">
        <f aca="false">Report!C213</f>
        <v>46183</v>
      </c>
      <c r="B117" s="0" t="str">
        <f aca="false">Report!E213</f>
        <v>LOURIVAL ALMEIDA DA SILVA 17128784845</v>
      </c>
      <c r="C117" s="15" t="n">
        <f aca="false">Report!U213</f>
        <v>160.32</v>
      </c>
      <c r="D117" s="0" t="str">
        <f aca="false">Report!X213</f>
        <v>NF 502 COMPRAS-MARSHMALLOW - ELLEN</v>
      </c>
    </row>
    <row r="118" customFormat="false" ht="12.75" hidden="false" customHeight="true" outlineLevel="0" collapsed="false">
      <c r="A118" s="14" t="n">
        <f aca="false">Report!C215</f>
        <v>46183</v>
      </c>
      <c r="B118" s="0" t="str">
        <f aca="false">Report!E215</f>
        <v>MANOEL TEXEIRA DE SOUZA RESTAURANTE</v>
      </c>
      <c r="C118" s="15" t="n">
        <f aca="false">Report!U215</f>
        <v>200</v>
      </c>
      <c r="D118" s="0" t="str">
        <f aca="false">Report!X215</f>
        <v>NF 5967 COMPRAS-BOLO PG NO P 10/6/26 ELLEN</v>
      </c>
    </row>
    <row r="119" customFormat="false" ht="12.75" hidden="false" customHeight="true" outlineLevel="0" collapsed="false">
      <c r="A119" s="14" t="n">
        <f aca="false">Report!C216</f>
        <v>46183</v>
      </c>
      <c r="B119" s="0" t="str">
        <f aca="false">Report!E216</f>
        <v>MARE DISTRIBUIDORA DE BEBIDAS E DE PRODUTOS ALIMENTICIOS LTDA</v>
      </c>
      <c r="C119" s="15" t="n">
        <f aca="false">Report!U216</f>
        <v>2345.6</v>
      </c>
      <c r="D119" s="0" t="str">
        <f aca="false">Report!X216</f>
        <v>NF 1353427 ELLEN</v>
      </c>
    </row>
    <row r="120" customFormat="false" ht="12.75" hidden="false" customHeight="true" outlineLevel="0" collapsed="false">
      <c r="A120" s="14" t="n">
        <f aca="false">Report!C217</f>
        <v>46183</v>
      </c>
      <c r="B120" s="0" t="str">
        <f aca="false">Report!E217</f>
        <v>MARTINS COM SERV DISTR SA</v>
      </c>
      <c r="C120" s="15" t="n">
        <f aca="false">Report!U217</f>
        <v>392.13</v>
      </c>
      <c r="D120" s="0" t="str">
        <f aca="false">Report!X217</f>
        <v>NF 1762194 ELLEN</v>
      </c>
    </row>
    <row r="121" customFormat="false" ht="12.75" hidden="false" customHeight="true" outlineLevel="0" collapsed="false">
      <c r="A121" s="14" t="n">
        <f aca="false">Report!C218</f>
        <v>46183</v>
      </c>
      <c r="B121" s="0" t="str">
        <f aca="false">Report!E218</f>
        <v>MARTINS COM SERV DISTR SA</v>
      </c>
      <c r="C121" s="15" t="n">
        <f aca="false">Report!U218</f>
        <v>691.5</v>
      </c>
      <c r="D121" s="0" t="str">
        <f aca="false">Report!X218</f>
        <v>NF 1762195 ELLEN</v>
      </c>
    </row>
    <row r="122" customFormat="false" ht="12.75" hidden="false" customHeight="true" outlineLevel="0" collapsed="false">
      <c r="A122" s="14" t="n">
        <f aca="false">Report!C220</f>
        <v>46183</v>
      </c>
      <c r="B122" s="0" t="str">
        <f aca="false">Report!E220</f>
        <v>NATUREZA COMERCIO DE DESCARTAVEIS LTDA</v>
      </c>
      <c r="C122" s="15" t="n">
        <f aca="false">Report!U220</f>
        <v>84.11</v>
      </c>
      <c r="D122" s="0" t="str">
        <f aca="false">Report!X220</f>
        <v>NF 27273 ELLEN</v>
      </c>
    </row>
    <row r="123" customFormat="false" ht="12.75" hidden="false" customHeight="true" outlineLevel="0" collapsed="false">
      <c r="A123" s="14" t="n">
        <f aca="false">Report!C222</f>
        <v>46183</v>
      </c>
      <c r="B123" s="0" t="str">
        <f aca="false">Report!E222</f>
        <v>NEYLIANE S DE OLIVEIRA &amp; CIA LTDA</v>
      </c>
      <c r="C123" s="15" t="n">
        <f aca="false">Report!U222</f>
        <v>195</v>
      </c>
      <c r="D123" s="0" t="str">
        <f aca="false">Report!X222</f>
        <v>COMPRAS-15L DE AÇAI- PG NO P 10/6/26 ELLEN</v>
      </c>
    </row>
    <row r="124" customFormat="false" ht="12.75" hidden="false" customHeight="true" outlineLevel="0" collapsed="false">
      <c r="A124" s="14" t="n">
        <f aca="false">Report!C223</f>
        <v>46183</v>
      </c>
      <c r="B124" s="0" t="str">
        <f aca="false">Report!E223</f>
        <v>OPPORTUNITY ALIMENTOS PARA ANIMAIS LTDA</v>
      </c>
      <c r="C124" s="15" t="n">
        <f aca="false">Report!U223</f>
        <v>1270.35</v>
      </c>
      <c r="D124" s="0" t="str">
        <f aca="false">Report!X223</f>
        <v>NF 33574 ELLEN</v>
      </c>
    </row>
    <row r="125" customFormat="false" ht="12.75" hidden="false" customHeight="true" outlineLevel="0" collapsed="false">
      <c r="A125" s="14" t="n">
        <f aca="false">Report!C224</f>
        <v>46183</v>
      </c>
      <c r="B125" s="0" t="str">
        <f aca="false">Report!E224</f>
        <v>RISADINHA LTDA</v>
      </c>
      <c r="C125" s="15" t="n">
        <f aca="false">Report!U224</f>
        <v>650</v>
      </c>
      <c r="D125" s="0" t="str">
        <f aca="false">Report!X224</f>
        <v>NF 654829 ELLEN</v>
      </c>
    </row>
    <row r="126" customFormat="false" ht="12.75" hidden="false" customHeight="true" outlineLevel="0" collapsed="false">
      <c r="A126" s="14" t="n">
        <f aca="false">Report!C226</f>
        <v>46183</v>
      </c>
      <c r="B126" s="0" t="str">
        <f aca="false">Report!E226</f>
        <v>SB COMERCIO LTDA</v>
      </c>
      <c r="C126" s="15" t="n">
        <f aca="false">Report!U226</f>
        <v>1262.32</v>
      </c>
      <c r="D126" s="0" t="str">
        <f aca="false">Report!X226</f>
        <v>NF 1952417 ELLEN</v>
      </c>
    </row>
    <row r="127" customFormat="false" ht="12.75" hidden="false" customHeight="true" outlineLevel="0" collapsed="false">
      <c r="A127" s="14" t="n">
        <f aca="false">Report!C232</f>
        <v>46183</v>
      </c>
      <c r="B127" s="0" t="str">
        <f aca="false">Report!E232</f>
        <v>SEM FORNECEDOR</v>
      </c>
      <c r="C127" s="15" t="n">
        <f aca="false">Report!U232</f>
        <v>42</v>
      </c>
      <c r="D127" s="0" t="str">
        <f aca="false">Report!X232</f>
        <v>duas aguas completo</v>
      </c>
    </row>
    <row r="128" customFormat="false" ht="12.75" hidden="false" customHeight="true" outlineLevel="0" collapsed="false">
      <c r="A128" s="14" t="n">
        <f aca="false">Report!C236</f>
        <v>46183</v>
      </c>
      <c r="B128" s="0" t="str">
        <f aca="false">Report!E236</f>
        <v>SILVA E SANTOS FRIGORIFICO LTDA</v>
      </c>
      <c r="C128" s="15" t="n">
        <f aca="false">Report!U236</f>
        <v>1600.8</v>
      </c>
      <c r="D128" s="0" t="str">
        <f aca="false">Report!X236</f>
        <v>NF 30864 ELLEN</v>
      </c>
    </row>
    <row r="129" customFormat="false" ht="12.75" hidden="false" customHeight="true" outlineLevel="0" collapsed="false">
      <c r="A129" s="14" t="n">
        <f aca="false">Report!C237</f>
        <v>46183</v>
      </c>
      <c r="B129" s="0" t="str">
        <f aca="false">Report!E237</f>
        <v>SILVA E SANTOS FRIGORIFICO LTDA</v>
      </c>
      <c r="C129" s="15" t="n">
        <f aca="false">Report!U237</f>
        <v>290</v>
      </c>
      <c r="D129" s="0" t="str">
        <f aca="false">Report!X237</f>
        <v>COMPRAS - VISCERAS - ELLEN</v>
      </c>
    </row>
    <row r="130" customFormat="false" ht="12.75" hidden="false" customHeight="true" outlineLevel="0" collapsed="false">
      <c r="A130" s="14" t="n">
        <f aca="false">Report!C238</f>
        <v>46183</v>
      </c>
      <c r="B130" s="0" t="str">
        <f aca="false">Report!E238</f>
        <v>TAPAJOS COM DE PERFUMARIA COSMETICOS E G</v>
      </c>
      <c r="C130" s="15" t="n">
        <f aca="false">Report!U238</f>
        <v>633.45</v>
      </c>
      <c r="D130" s="0" t="str">
        <f aca="false">Report!X238</f>
        <v>NF 571363 ELLEN</v>
      </c>
    </row>
    <row r="131" customFormat="false" ht="12.75" hidden="false" customHeight="true" outlineLevel="0" collapsed="false">
      <c r="A131" s="14" t="n">
        <f aca="false">Report!C239</f>
        <v>46183</v>
      </c>
      <c r="B131" s="0" t="str">
        <f aca="false">Report!E239</f>
        <v>TRES CORACOES ALIMENTOS S.A.</v>
      </c>
      <c r="C131" s="15" t="n">
        <f aca="false">Report!U239</f>
        <v>843.15</v>
      </c>
      <c r="D131" s="0" t="str">
        <f aca="false">Report!X239</f>
        <v>NF 341419 ELLEN</v>
      </c>
    </row>
    <row r="132" customFormat="false" ht="12.75" hidden="false" customHeight="true" outlineLevel="0" collapsed="false">
      <c r="A132" s="14" t="n">
        <f aca="false">Report!C240</f>
        <v>46184</v>
      </c>
      <c r="B132" s="0" t="str">
        <f aca="false">Report!E240</f>
        <v>BRASIL NORTE BEBIDAS S/A</v>
      </c>
      <c r="C132" s="15" t="n">
        <f aca="false">Report!U240</f>
        <v>472.41</v>
      </c>
      <c r="D132" s="0" t="str">
        <f aca="false">Report!X240</f>
        <v>1138131</v>
      </c>
    </row>
    <row r="133" customFormat="false" ht="12.75" hidden="false" customHeight="true" outlineLevel="0" collapsed="false">
      <c r="A133" s="14" t="n">
        <f aca="false">Report!C241</f>
        <v>46184</v>
      </c>
      <c r="B133" s="0" t="str">
        <f aca="false">Report!E241</f>
        <v>BRASIL NORTE BEBIDAS S/A</v>
      </c>
      <c r="C133" s="15" t="n">
        <f aca="false">Report!U241</f>
        <v>205.37</v>
      </c>
      <c r="D133" s="0" t="str">
        <f aca="false">Report!X241</f>
        <v>NF 1850474 ELLEN</v>
      </c>
    </row>
    <row r="134" customFormat="false" ht="12.75" hidden="false" customHeight="true" outlineLevel="0" collapsed="false">
      <c r="A134" s="14" t="n">
        <f aca="false">Report!C242</f>
        <v>46184</v>
      </c>
      <c r="B134" s="0" t="str">
        <f aca="false">Report!E242</f>
        <v>BRASIL NORTE BEBIDAS S/A</v>
      </c>
      <c r="C134" s="15" t="n">
        <f aca="false">Report!U242</f>
        <v>2614.74</v>
      </c>
      <c r="D134" s="0" t="str">
        <f aca="false">Report!X242</f>
        <v>NF 1851161 ELLEN</v>
      </c>
    </row>
    <row r="135" customFormat="false" ht="12.75" hidden="false" customHeight="true" outlineLevel="0" collapsed="false">
      <c r="A135" s="14" t="n">
        <f aca="false">Report!C243</f>
        <v>46184</v>
      </c>
      <c r="B135" s="0" t="str">
        <f aca="false">Report!E243</f>
        <v>CB COMERCIO E DISTRIBUIDORA DE ALIMENTOS</v>
      </c>
      <c r="C135" s="15" t="n">
        <f aca="false">Report!U243</f>
        <v>560.42</v>
      </c>
      <c r="D135" s="0" t="str">
        <f aca="false">Report!X243</f>
        <v>NF 836835 ELLEN</v>
      </c>
    </row>
    <row r="136" customFormat="false" ht="12.75" hidden="false" customHeight="true" outlineLevel="0" collapsed="false">
      <c r="A136" s="14" t="n">
        <f aca="false">Report!C244</f>
        <v>46184</v>
      </c>
      <c r="B136" s="0" t="str">
        <f aca="false">Report!E244</f>
        <v>EMPRESA BRASILEIRA DE DISTRIBUICAO LTDA</v>
      </c>
      <c r="C136" s="15" t="n">
        <f aca="false">Report!U244</f>
        <v>506.55</v>
      </c>
      <c r="D136" s="0" t="str">
        <f aca="false">Report!X244</f>
        <v>NF 2285997 ELLEN</v>
      </c>
    </row>
    <row r="137" customFormat="false" ht="12.75" hidden="false" customHeight="true" outlineLevel="0" collapsed="false">
      <c r="A137" s="14" t="n">
        <f aca="false">Report!C245</f>
        <v>46184</v>
      </c>
      <c r="B137" s="0" t="str">
        <f aca="false">Report!E245</f>
        <v>L S M COMERCIO DE ALIMENTOS E NAVEGACAO</v>
      </c>
      <c r="C137" s="15" t="n">
        <f aca="false">Report!U245</f>
        <v>290</v>
      </c>
      <c r="D137" s="0" t="str">
        <f aca="false">Report!X245</f>
        <v>NF 302504 ELLEN</v>
      </c>
    </row>
    <row r="138" customFormat="false" ht="12.75" hidden="false" customHeight="true" outlineLevel="0" collapsed="false">
      <c r="A138" s="14" t="n">
        <f aca="false">Report!C246</f>
        <v>46184</v>
      </c>
      <c r="B138" s="0" t="str">
        <f aca="false">Report!E246</f>
        <v>MARTINS COM SERV DISTR SA</v>
      </c>
      <c r="C138" s="15" t="n">
        <f aca="false">Report!U246</f>
        <v>3345.97</v>
      </c>
      <c r="D138" s="0" t="str">
        <f aca="false">Report!X246</f>
        <v>NF'S 1762653/1762654 - ELLEN</v>
      </c>
    </row>
    <row r="139" customFormat="false" ht="12.75" hidden="false" customHeight="true" outlineLevel="0" collapsed="false">
      <c r="A139" s="14" t="n">
        <f aca="false">Report!C247</f>
        <v>46184</v>
      </c>
      <c r="B139" s="0" t="str">
        <f aca="false">Report!E247</f>
        <v>NOVA FRIOS COMERCIO ATACADISTA DE LATICINIOS LTDA</v>
      </c>
      <c r="C139" s="15" t="n">
        <f aca="false">Report!U247</f>
        <v>126.04</v>
      </c>
      <c r="D139" s="0" t="str">
        <f aca="false">Report!X247</f>
        <v>NF 3659 ELLEN</v>
      </c>
    </row>
    <row r="140" customFormat="false" ht="12.75" hidden="false" customHeight="true" outlineLevel="0" collapsed="false">
      <c r="A140" s="14" t="n">
        <f aca="false">Report!C248</f>
        <v>46184</v>
      </c>
      <c r="B140" s="0" t="str">
        <f aca="false">Report!E248</f>
        <v>PANIFICADORA E CONFEITARIA REAL MADRI LTDA</v>
      </c>
      <c r="C140" s="15" t="n">
        <f aca="false">Report!U248</f>
        <v>282.25</v>
      </c>
      <c r="D140" s="0" t="str">
        <f aca="false">Report!X248</f>
        <v>NF 654 ELLEN</v>
      </c>
    </row>
    <row r="141" customFormat="false" ht="12.75" hidden="false" customHeight="true" outlineLevel="0" collapsed="false">
      <c r="A141" s="14" t="n">
        <f aca="false">Report!C249</f>
        <v>46184</v>
      </c>
      <c r="B141" s="0" t="str">
        <f aca="false">Report!E249</f>
        <v>SB COMERCIO LTDA</v>
      </c>
      <c r="C141" s="15" t="n">
        <f aca="false">Report!U249</f>
        <v>409.2</v>
      </c>
      <c r="D141" s="0" t="str">
        <f aca="false">Report!X249</f>
        <v>NF 1953907 ELLEN</v>
      </c>
    </row>
    <row r="142" customFormat="false" ht="12.75" hidden="false" customHeight="true" outlineLevel="0" collapsed="false">
      <c r="A142" s="14" t="n">
        <f aca="false">Report!C252</f>
        <v>46185</v>
      </c>
      <c r="B142" s="0" t="str">
        <f aca="false">Report!E252</f>
        <v>ADICSO FABIAN GONZALEZ MONTILLA 70302186</v>
      </c>
      <c r="C142" s="15" t="n">
        <f aca="false">Report!U252</f>
        <v>180</v>
      </c>
      <c r="D142" s="0" t="str">
        <f aca="false">Report!X252</f>
        <v>NF 487 ELLEN</v>
      </c>
    </row>
    <row r="143" customFormat="false" ht="12.75" hidden="false" customHeight="true" outlineLevel="0" collapsed="false">
      <c r="A143" s="14" t="n">
        <f aca="false">Report!C253</f>
        <v>46185</v>
      </c>
      <c r="B143" s="0" t="str">
        <f aca="false">Report!E253</f>
        <v>COMERCIO DE FRIOS MANAUS LTDA</v>
      </c>
      <c r="C143" s="15" t="n">
        <f aca="false">Report!U253</f>
        <v>2264.85</v>
      </c>
      <c r="D143" s="0" t="str">
        <f aca="false">Report!X253</f>
        <v>NF 170938 ELLEN</v>
      </c>
    </row>
    <row r="144" customFormat="false" ht="12.75" hidden="false" customHeight="true" outlineLevel="0" collapsed="false">
      <c r="A144" s="14" t="n">
        <f aca="false">Report!C254</f>
        <v>46185</v>
      </c>
      <c r="B144" s="0" t="str">
        <f aca="false">Report!E254</f>
        <v>DISTRIBUIDORA FARIAS LTDA.</v>
      </c>
      <c r="C144" s="15" t="n">
        <f aca="false">Report!U254</f>
        <v>352.35</v>
      </c>
      <c r="D144" s="0" t="str">
        <f aca="false">Report!X254</f>
        <v>NF 668750 ELLEN</v>
      </c>
    </row>
    <row r="145" customFormat="false" ht="12.75" hidden="false" customHeight="true" outlineLevel="0" collapsed="false">
      <c r="A145" s="14" t="n">
        <f aca="false">Report!C255</f>
        <v>46185</v>
      </c>
      <c r="B145" s="0" t="str">
        <f aca="false">Report!E255</f>
        <v>DISTRIBUIDORA FARIAS LTDA.</v>
      </c>
      <c r="C145" s="15" t="n">
        <f aca="false">Report!U255</f>
        <v>238.4</v>
      </c>
      <c r="D145" s="0" t="str">
        <f aca="false">Report!X255</f>
        <v>NF 670477 ELLEN</v>
      </c>
    </row>
    <row r="146" customFormat="false" ht="12.75" hidden="false" customHeight="true" outlineLevel="0" collapsed="false">
      <c r="A146" s="14" t="n">
        <f aca="false">Report!C256</f>
        <v>46185</v>
      </c>
      <c r="B146" s="0" t="str">
        <f aca="false">Report!E256</f>
        <v>DISTRIBUIDORA LOPES LTDA</v>
      </c>
      <c r="C146" s="15" t="n">
        <f aca="false">Report!U256</f>
        <v>956.2</v>
      </c>
      <c r="D146" s="0" t="str">
        <f aca="false">Report!X256</f>
        <v>NF 1659288 ELLEN</v>
      </c>
    </row>
    <row r="147" customFormat="false" ht="12.75" hidden="false" customHeight="true" outlineLevel="0" collapsed="false">
      <c r="A147" s="14" t="n">
        <f aca="false">Report!C257</f>
        <v>46185</v>
      </c>
      <c r="B147" s="0" t="str">
        <f aca="false">Report!E257</f>
        <v>DISTRIBUIDORA LOPES LTDA</v>
      </c>
      <c r="C147" s="15" t="n">
        <f aca="false">Report!U257</f>
        <v>643.51</v>
      </c>
      <c r="D147" s="0" t="str">
        <f aca="false">Report!X257</f>
        <v>NF 1659289 ELLEN</v>
      </c>
    </row>
    <row r="148" customFormat="false" ht="12.75" hidden="false" customHeight="true" outlineLevel="0" collapsed="false">
      <c r="A148" s="14" t="n">
        <f aca="false">Report!C258</f>
        <v>46185</v>
      </c>
      <c r="B148" s="0" t="str">
        <f aca="false">Report!E258</f>
        <v>DISTRIBUIDORA LOPES LTDA</v>
      </c>
      <c r="C148" s="15" t="n">
        <f aca="false">Report!U258</f>
        <v>1041.87</v>
      </c>
      <c r="D148" s="0" t="str">
        <f aca="false">Report!X258</f>
        <v>NF 1659538 ELLEN</v>
      </c>
    </row>
    <row r="149" customFormat="false" ht="12.75" hidden="false" customHeight="true" outlineLevel="0" collapsed="false">
      <c r="A149" s="14" t="n">
        <f aca="false">Report!C259</f>
        <v>46185</v>
      </c>
      <c r="B149" s="0" t="str">
        <f aca="false">Report!E259</f>
        <v>FEIRA</v>
      </c>
      <c r="C149" s="15" t="n">
        <f aca="false">Report!U259</f>
        <v>380</v>
      </c>
      <c r="D149" s="0" t="str">
        <f aca="false">Report!X259</f>
        <v>FEIRA SR RENATO - CX GERAL POTE-MACA/UVA-SOMAR C NF2495-ELLE</v>
      </c>
    </row>
    <row r="150" customFormat="false" ht="12.75" hidden="false" customHeight="true" outlineLevel="0" collapsed="false">
      <c r="A150" s="14" t="n">
        <f aca="false">Report!C261</f>
        <v>46185</v>
      </c>
      <c r="B150" s="0" t="str">
        <f aca="false">Report!E261</f>
        <v>FENNIX BRASIL DISTRIBUIDORA DE PRODUTOS</v>
      </c>
      <c r="C150" s="15" t="n">
        <f aca="false">Report!U261</f>
        <v>392.25</v>
      </c>
      <c r="D150" s="0" t="str">
        <f aca="false">Report!X261</f>
        <v>NF 308379 ELLEN</v>
      </c>
    </row>
    <row r="151" customFormat="false" ht="12.75" hidden="false" customHeight="true" outlineLevel="0" collapsed="false">
      <c r="A151" s="14" t="n">
        <f aca="false">Report!C263</f>
        <v>46185</v>
      </c>
      <c r="B151" s="0" t="str">
        <f aca="false">Report!E263</f>
        <v>J W N DOS SANTOS</v>
      </c>
      <c r="C151" s="15" t="n">
        <f aca="false">Report!U263</f>
        <v>190.5</v>
      </c>
      <c r="D151" s="0" t="str">
        <f aca="false">Report!X263</f>
        <v>NF 297 ELLEN</v>
      </c>
    </row>
    <row r="152" customFormat="false" ht="12.75" hidden="false" customHeight="true" outlineLevel="0" collapsed="false">
      <c r="A152" s="14" t="n">
        <f aca="false">Report!C264</f>
        <v>46185</v>
      </c>
      <c r="B152" s="0" t="str">
        <f aca="false">Report!E264</f>
        <v>JAB COMERCIO DE PRODUTOS ALIMENTICIOS LT</v>
      </c>
      <c r="C152" s="15" t="n">
        <f aca="false">Report!U264</f>
        <v>161</v>
      </c>
      <c r="D152" s="0" t="str">
        <f aca="false">Report!X264</f>
        <v>NF 3322 ELLEN</v>
      </c>
    </row>
    <row r="153" customFormat="false" ht="12.75" hidden="false" customHeight="true" outlineLevel="0" collapsed="false">
      <c r="A153" s="14" t="n">
        <f aca="false">Report!C265</f>
        <v>46185</v>
      </c>
      <c r="B153" s="0" t="str">
        <f aca="false">Report!E265</f>
        <v>NEYLIANE S DE OLIVEIRA &amp; CIA LTDA</v>
      </c>
      <c r="C153" s="15" t="n">
        <f aca="false">Report!U265</f>
        <v>600</v>
      </c>
      <c r="D153" s="0" t="str">
        <f aca="false">Report!X265</f>
        <v>COMPRAS - F2 FD FARINHA DE FEIRA - ELLEN</v>
      </c>
    </row>
    <row r="154" customFormat="false" ht="12.75" hidden="false" customHeight="true" outlineLevel="0" collapsed="false">
      <c r="A154" s="14" t="n">
        <f aca="false">Report!C266</f>
        <v>46185</v>
      </c>
      <c r="B154" s="0" t="str">
        <f aca="false">Report!E266</f>
        <v>NEYLIANE S DE OLIVEIRA &amp; CIA LTDA</v>
      </c>
      <c r="C154" s="15" t="n">
        <f aca="false">Report!U266</f>
        <v>260</v>
      </c>
      <c r="D154" s="0" t="str">
        <f aca="false">Report!X266</f>
        <v>COMPRAS - 20L DE ACAI - PG NO P 12/6/26 ELLEN</v>
      </c>
    </row>
    <row r="155" customFormat="false" ht="12.75" hidden="false" customHeight="true" outlineLevel="0" collapsed="false">
      <c r="A155" s="14" t="n">
        <f aca="false">Report!C267</f>
        <v>46185</v>
      </c>
      <c r="B155" s="0" t="str">
        <f aca="false">Report!E267</f>
        <v>NEYLIANE S DE OLIVEIRA &amp; CIA LTDA</v>
      </c>
      <c r="C155" s="15" t="n">
        <f aca="false">Report!U267</f>
        <v>1323.79</v>
      </c>
      <c r="D155" s="0" t="str">
        <f aca="false">Report!X267</f>
        <v>FEIRA SR RENATO- CAIXA GERAL POTE - ELLEN</v>
      </c>
    </row>
    <row r="156" customFormat="false" ht="12.75" hidden="false" customHeight="true" outlineLevel="0" collapsed="false">
      <c r="A156" s="14" t="n">
        <f aca="false">Report!C268</f>
        <v>46185</v>
      </c>
      <c r="B156" s="0" t="str">
        <f aca="false">Report!E268</f>
        <v>OESA COMERCIO E REPRESENTACOES S/A</v>
      </c>
      <c r="C156" s="15" t="n">
        <f aca="false">Report!U268</f>
        <v>639.85</v>
      </c>
      <c r="D156" s="0" t="str">
        <f aca="false">Report!X268</f>
        <v>NF 407270 ELLEN</v>
      </c>
    </row>
    <row r="157" customFormat="false" ht="12.75" hidden="false" customHeight="true" outlineLevel="0" collapsed="false">
      <c r="A157" s="14" t="n">
        <f aca="false">Report!C271</f>
        <v>46185</v>
      </c>
      <c r="B157" s="0" t="str">
        <f aca="false">Report!E271</f>
        <v>SEM FORNECEDOR</v>
      </c>
      <c r="C157" s="15" t="n">
        <f aca="false">Report!U271</f>
        <v>54</v>
      </c>
      <c r="D157" s="0" t="str">
        <f aca="false">Report!X271</f>
        <v>compras - brigadeiro</v>
      </c>
    </row>
    <row r="158" customFormat="false" ht="12.75" hidden="false" customHeight="true" outlineLevel="0" collapsed="false">
      <c r="A158" s="14" t="n">
        <f aca="false">Report!C274</f>
        <v>46185</v>
      </c>
      <c r="B158" s="0" t="str">
        <f aca="false">Report!E274</f>
        <v>SILVA E SANTOS FRIGORIFICO LTDA</v>
      </c>
      <c r="C158" s="15" t="n">
        <f aca="false">Report!U274</f>
        <v>3840</v>
      </c>
      <c r="D158" s="0" t="str">
        <f aca="false">Report!X274</f>
        <v>NF 30915 ELLEN</v>
      </c>
    </row>
    <row r="159" customFormat="false" ht="12.75" hidden="false" customHeight="true" outlineLevel="0" collapsed="false">
      <c r="A159" s="14" t="n">
        <f aca="false">Report!C275</f>
        <v>46185</v>
      </c>
      <c r="B159" s="0" t="str">
        <f aca="false">Report!E275</f>
        <v>SOUZA CRUZ LTDA.</v>
      </c>
      <c r="C159" s="15" t="n">
        <f aca="false">Report!U275</f>
        <v>3787.04</v>
      </c>
      <c r="D159" s="0" t="str">
        <f aca="false">Report!X275</f>
        <v>NF 560914 ELLEN</v>
      </c>
    </row>
    <row r="160" customFormat="false" ht="12.75" hidden="false" customHeight="true" outlineLevel="0" collapsed="false">
      <c r="A160" s="14" t="n">
        <f aca="false">Report!C276</f>
        <v>46186</v>
      </c>
      <c r="B160" s="0" t="str">
        <f aca="false">Report!E276</f>
        <v>BRAGA TABACARIA EIRELI ME</v>
      </c>
      <c r="C160" s="15" t="n">
        <f aca="false">Report!U276</f>
        <v>837.49</v>
      </c>
      <c r="D160" s="0" t="str">
        <f aca="false">Report!X276</f>
        <v>NF 18534 ELLEN</v>
      </c>
    </row>
    <row r="161" customFormat="false" ht="12.75" hidden="false" customHeight="true" outlineLevel="0" collapsed="false">
      <c r="A161" s="14" t="n">
        <f aca="false">Report!C277</f>
        <v>46186</v>
      </c>
      <c r="B161" s="0" t="str">
        <f aca="false">Report!E277</f>
        <v>BRASIL NORTE BEBIDAS S/A</v>
      </c>
      <c r="C161" s="15" t="n">
        <f aca="false">Report!U277</f>
        <v>800.9</v>
      </c>
      <c r="D161" s="0" t="n">
        <f aca="false">Report!X277</f>
        <v>0</v>
      </c>
    </row>
    <row r="162" customFormat="false" ht="12.75" hidden="false" customHeight="true" outlineLevel="0" collapsed="false">
      <c r="A162" s="14" t="n">
        <f aca="false">Report!C278</f>
        <v>46186</v>
      </c>
      <c r="B162" s="0" t="str">
        <f aca="false">Report!E278</f>
        <v>FALCAO INDUSTRIA DE ALIMENTOS LTDA</v>
      </c>
      <c r="C162" s="15" t="n">
        <f aca="false">Report!U278</f>
        <v>1598.58</v>
      </c>
      <c r="D162" s="0" t="str">
        <f aca="false">Report!X278</f>
        <v>NF 29829 ELLEN</v>
      </c>
    </row>
    <row r="163" customFormat="false" ht="12.75" hidden="false" customHeight="true" outlineLevel="0" collapsed="false">
      <c r="A163" s="14" t="n">
        <f aca="false">Report!C279</f>
        <v>46186</v>
      </c>
      <c r="B163" s="0" t="str">
        <f aca="false">Report!E279</f>
        <v>J G COMERCIO DE PRODUTOS ALIMENTICIOS LTDA</v>
      </c>
      <c r="C163" s="15" t="n">
        <f aca="false">Report!U279</f>
        <v>524.7</v>
      </c>
      <c r="D163" s="0" t="str">
        <f aca="false">Report!X279</f>
        <v>NF 385542 ELLEN</v>
      </c>
    </row>
    <row r="164" customFormat="false" ht="12.75" hidden="false" customHeight="true" outlineLevel="0" collapsed="false">
      <c r="A164" s="14" t="n">
        <f aca="false">Report!C283</f>
        <v>46187</v>
      </c>
      <c r="B164" s="0" t="str">
        <f aca="false">Report!E283</f>
        <v>ADF DISTRIBUIDORA DE BEBIDAS LTDA</v>
      </c>
      <c r="C164" s="15" t="n">
        <f aca="false">Report!U283</f>
        <v>288</v>
      </c>
      <c r="D164" s="0" t="str">
        <f aca="false">Report!X283</f>
        <v>NF 459236 ELLEN</v>
      </c>
    </row>
    <row r="165" customFormat="false" ht="12.75" hidden="false" customHeight="true" outlineLevel="0" collapsed="false">
      <c r="A165" s="14" t="n">
        <f aca="false">Report!C284</f>
        <v>46187</v>
      </c>
      <c r="B165" s="0" t="str">
        <f aca="false">Report!E284</f>
        <v>BRASIL NORTE BEBIDAS S/A</v>
      </c>
      <c r="C165" s="15" t="n">
        <f aca="false">Report!U284</f>
        <v>225.8</v>
      </c>
      <c r="D165" s="0" t="str">
        <f aca="false">Report!X284</f>
        <v>NF 1858412 ELLEN</v>
      </c>
    </row>
    <row r="166" customFormat="false" ht="12.75" hidden="false" customHeight="true" outlineLevel="0" collapsed="false">
      <c r="A166" s="14" t="n">
        <f aca="false">Report!C285</f>
        <v>46187</v>
      </c>
      <c r="B166" s="0" t="str">
        <f aca="false">Report!E285</f>
        <v>BRASIL NORTE BEBIDAS S/A</v>
      </c>
      <c r="C166" s="15" t="n">
        <f aca="false">Report!U285</f>
        <v>305.12</v>
      </c>
      <c r="D166" s="0" t="str">
        <f aca="false">Report!X285</f>
        <v>NF 1143885 ELLEN</v>
      </c>
    </row>
    <row r="167" customFormat="false" ht="12.75" hidden="false" customHeight="true" outlineLevel="0" collapsed="false">
      <c r="A167" s="14" t="n">
        <f aca="false">Report!C286</f>
        <v>46187</v>
      </c>
      <c r="B167" s="0" t="str">
        <f aca="false">Report!E286</f>
        <v>BRASIL NORTE BEBIDAS S/A</v>
      </c>
      <c r="C167" s="15" t="n">
        <f aca="false">Report!U286</f>
        <v>323.34</v>
      </c>
      <c r="D167" s="0" t="str">
        <f aca="false">Report!X286</f>
        <v>NF 1857569 ELLEN</v>
      </c>
    </row>
    <row r="168" customFormat="false" ht="12.75" hidden="false" customHeight="true" outlineLevel="0" collapsed="false">
      <c r="A168" s="14" t="n">
        <f aca="false">Report!C287</f>
        <v>46187</v>
      </c>
      <c r="B168" s="0" t="str">
        <f aca="false">Report!E287</f>
        <v>OPPORTUNITY ALIMENTOS PARA ANIMAIS LTDA</v>
      </c>
      <c r="C168" s="15" t="n">
        <f aca="false">Report!U287</f>
        <v>938.26</v>
      </c>
      <c r="D168" s="0" t="str">
        <f aca="false">Report!X287</f>
        <v>NF 33745 ELLEN</v>
      </c>
    </row>
    <row r="169" customFormat="false" ht="12.75" hidden="false" customHeight="true" outlineLevel="0" collapsed="false">
      <c r="A169" s="14" t="n">
        <f aca="false">Report!C292</f>
        <v>46188</v>
      </c>
      <c r="B169" s="0" t="str">
        <f aca="false">Report!E292</f>
        <v>BRAGA TABACARIA EIRELI ME</v>
      </c>
      <c r="C169" s="15" t="n">
        <f aca="false">Report!U292</f>
        <v>156.6</v>
      </c>
      <c r="D169" s="0" t="str">
        <f aca="false">Report!X292</f>
        <v>S/NF - COMPRAS-CACHAÇA/MUCILON - ELLEN</v>
      </c>
    </row>
    <row r="170" customFormat="false" ht="12.75" hidden="false" customHeight="true" outlineLevel="0" collapsed="false">
      <c r="A170" s="14" t="n">
        <f aca="false">Report!C293</f>
        <v>46188</v>
      </c>
      <c r="B170" s="0" t="str">
        <f aca="false">Report!E293</f>
        <v>COMERCIO DE FRIOS MANAUS LTDA</v>
      </c>
      <c r="C170" s="15" t="n">
        <f aca="false">Report!U293</f>
        <v>1068</v>
      </c>
      <c r="D170" s="0" t="str">
        <f aca="false">Report!X293</f>
        <v>NF 171066 ELLEN</v>
      </c>
    </row>
    <row r="171" customFormat="false" ht="12.75" hidden="false" customHeight="true" outlineLevel="0" collapsed="false">
      <c r="A171" s="14" t="n">
        <f aca="false">Report!C294</f>
        <v>46188</v>
      </c>
      <c r="B171" s="0" t="str">
        <f aca="false">Report!E294</f>
        <v>DISTRIBUIDORA LOPES LTDA</v>
      </c>
      <c r="C171" s="15" t="n">
        <f aca="false">Report!U294</f>
        <v>333.54</v>
      </c>
      <c r="D171" s="0" t="str">
        <f aca="false">Report!X294</f>
        <v>NF 1668916 ELLEN</v>
      </c>
    </row>
    <row r="172" customFormat="false" ht="12.75" hidden="false" customHeight="true" outlineLevel="0" collapsed="false">
      <c r="A172" s="14" t="n">
        <f aca="false">Report!C295</f>
        <v>46188</v>
      </c>
      <c r="B172" s="0" t="str">
        <f aca="false">Report!E295</f>
        <v>DUNORTE DISTRIBUIDORA DE PRODUTOS DE CONSUMO LTDA</v>
      </c>
      <c r="C172" s="15" t="n">
        <f aca="false">Report!U295</f>
        <v>391.4</v>
      </c>
      <c r="D172" s="0" t="str">
        <f aca="false">Report!X295</f>
        <v>NF 3188783 ELLEN</v>
      </c>
    </row>
    <row r="173" customFormat="false" ht="12.75" hidden="false" customHeight="true" outlineLevel="0" collapsed="false">
      <c r="A173" s="14" t="n">
        <f aca="false">Report!C296</f>
        <v>46188</v>
      </c>
      <c r="B173" s="0" t="str">
        <f aca="false">Report!E296</f>
        <v>DUNORTE DISTRIBUIDORA DE PRODUTOS DE CONSUMO LTDA</v>
      </c>
      <c r="C173" s="15" t="n">
        <f aca="false">Report!U296</f>
        <v>1562.27</v>
      </c>
      <c r="D173" s="0" t="str">
        <f aca="false">Report!X296</f>
        <v>NF 3188782 ELLEN</v>
      </c>
    </row>
    <row r="174" customFormat="false" ht="12.75" hidden="false" customHeight="true" outlineLevel="0" collapsed="false">
      <c r="A174" s="14" t="n">
        <f aca="false">Report!C297</f>
        <v>46188</v>
      </c>
      <c r="B174" s="0" t="str">
        <f aca="false">Report!E297</f>
        <v>EDSON AGUIAR DE SOUZA</v>
      </c>
      <c r="C174" s="15" t="n">
        <f aca="false">Report!U297</f>
        <v>172</v>
      </c>
      <c r="D174" s="0" t="str">
        <f aca="false">Report!X297</f>
        <v>COMPRAS - CHEIRO-VER - ELLEN</v>
      </c>
    </row>
    <row r="175" customFormat="false" ht="12.75" hidden="false" customHeight="true" outlineLevel="0" collapsed="false">
      <c r="A175" s="14" t="n">
        <f aca="false">Report!C298</f>
        <v>46188</v>
      </c>
      <c r="B175" s="0" t="str">
        <f aca="false">Report!E298</f>
        <v>EDSON AGUIAR DE SOUZA</v>
      </c>
      <c r="C175" s="15" t="n">
        <f aca="false">Report!U298</f>
        <v>130.5</v>
      </c>
      <c r="D175" s="0" t="str">
        <f aca="false">Report!X298</f>
        <v>COMPRAS - CHEIRO-VERDE - ELLEN</v>
      </c>
    </row>
    <row r="176" customFormat="false" ht="12.75" hidden="false" customHeight="true" outlineLevel="0" collapsed="false">
      <c r="A176" s="14" t="n">
        <f aca="false">Report!C299</f>
        <v>46188</v>
      </c>
      <c r="B176" s="0" t="str">
        <f aca="false">Report!E299</f>
        <v>EDSON AGUIAR DE SOUZA</v>
      </c>
      <c r="C176" s="15" t="n">
        <f aca="false">Report!U299</f>
        <v>133.5</v>
      </c>
      <c r="D176" s="0" t="str">
        <f aca="false">Report!X299</f>
        <v>COMPRAS - CHEIRO-VERDE-ELLEN</v>
      </c>
    </row>
    <row r="177" customFormat="false" ht="12.75" hidden="false" customHeight="true" outlineLevel="0" collapsed="false">
      <c r="A177" s="14" t="n">
        <f aca="false">Report!C300</f>
        <v>46188</v>
      </c>
      <c r="B177" s="0" t="str">
        <f aca="false">Report!E300</f>
        <v>EDSON AGUIAR DE SOUZA</v>
      </c>
      <c r="C177" s="15" t="n">
        <f aca="false">Report!U300</f>
        <v>90</v>
      </c>
      <c r="D177" s="0" t="str">
        <f aca="false">Report!X300</f>
        <v>COMPRAS - CHEIRO-VERDE - ELLEN</v>
      </c>
    </row>
    <row r="178" customFormat="false" ht="12.75" hidden="false" customHeight="true" outlineLevel="0" collapsed="false">
      <c r="A178" s="14" t="n">
        <f aca="false">Report!C301</f>
        <v>46188</v>
      </c>
      <c r="B178" s="0" t="str">
        <f aca="false">Report!E301</f>
        <v>EDSON AGUIAR DE SOUZA</v>
      </c>
      <c r="C178" s="15" t="n">
        <f aca="false">Report!U301</f>
        <v>81.5</v>
      </c>
      <c r="D178" s="0" t="str">
        <f aca="false">Report!X301</f>
        <v>COMPRAS - CHEIRO-VERDE - ELLEN</v>
      </c>
    </row>
    <row r="179" customFormat="false" ht="12.75" hidden="false" customHeight="true" outlineLevel="0" collapsed="false">
      <c r="A179" s="14" t="n">
        <f aca="false">Report!C302</f>
        <v>46188</v>
      </c>
      <c r="B179" s="0" t="str">
        <f aca="false">Report!E302</f>
        <v>EDSON AGUIAR DE SOUZA</v>
      </c>
      <c r="C179" s="15" t="n">
        <f aca="false">Report!U302</f>
        <v>232</v>
      </c>
      <c r="D179" s="0" t="str">
        <f aca="false">Report!X302</f>
        <v>COMPRAS - CHEIRO-VERDE - ELLEN</v>
      </c>
    </row>
    <row r="180" customFormat="false" ht="12.75" hidden="false" customHeight="true" outlineLevel="0" collapsed="false">
      <c r="A180" s="14" t="n">
        <f aca="false">Report!C303</f>
        <v>46188</v>
      </c>
      <c r="B180" s="0" t="str">
        <f aca="false">Report!E303</f>
        <v>EDSON AGUIAR DE SOUZA</v>
      </c>
      <c r="C180" s="15" t="n">
        <f aca="false">Report!U303</f>
        <v>72</v>
      </c>
      <c r="D180" s="0" t="str">
        <f aca="false">Report!X303</f>
        <v>COMPRAS - CHEIRO-VERDE - ELLEN</v>
      </c>
    </row>
    <row r="181" customFormat="false" ht="12.75" hidden="false" customHeight="true" outlineLevel="0" collapsed="false">
      <c r="A181" s="14" t="n">
        <f aca="false">Report!C304</f>
        <v>46188</v>
      </c>
      <c r="B181" s="0" t="str">
        <f aca="false">Report!E304</f>
        <v>EDSON AGUIAR DE SOUZA</v>
      </c>
      <c r="C181" s="15" t="n">
        <f aca="false">Report!U304</f>
        <v>171.5</v>
      </c>
      <c r="D181" s="0" t="str">
        <f aca="false">Report!X304</f>
        <v>COMPRAS - CHEIRO-VERDE - ELLEN</v>
      </c>
    </row>
    <row r="182" customFormat="false" ht="12.75" hidden="false" customHeight="true" outlineLevel="0" collapsed="false">
      <c r="A182" s="14" t="n">
        <f aca="false">Report!C305</f>
        <v>46188</v>
      </c>
      <c r="B182" s="0" t="str">
        <f aca="false">Report!E305</f>
        <v>EDSON AGUIAR DE SOUZA</v>
      </c>
      <c r="C182" s="15" t="n">
        <f aca="false">Report!U305</f>
        <v>64</v>
      </c>
      <c r="D182" s="0" t="str">
        <f aca="false">Report!X305</f>
        <v>COMPRAS CHEIRO-VERDE - ELLEN</v>
      </c>
    </row>
    <row r="183" customFormat="false" ht="12.75" hidden="false" customHeight="true" outlineLevel="0" collapsed="false">
      <c r="A183" s="14" t="n">
        <f aca="false">Report!C306</f>
        <v>46188</v>
      </c>
      <c r="B183" s="0" t="str">
        <f aca="false">Report!E306</f>
        <v>EDSON AGUIAR DE SOUZA</v>
      </c>
      <c r="C183" s="15" t="n">
        <f aca="false">Report!U306</f>
        <v>161</v>
      </c>
      <c r="D183" s="0" t="str">
        <f aca="false">Report!X306</f>
        <v>COMPRAS - CHEIRO-VERDE - ELLEN</v>
      </c>
    </row>
    <row r="184" customFormat="false" ht="12.75" hidden="false" customHeight="true" outlineLevel="0" collapsed="false">
      <c r="A184" s="14" t="n">
        <f aca="false">Report!C307</f>
        <v>46188</v>
      </c>
      <c r="B184" s="0" t="str">
        <f aca="false">Report!E307</f>
        <v>EDSON AGUIAR DE SOUZA</v>
      </c>
      <c r="C184" s="15" t="n">
        <f aca="false">Report!U307</f>
        <v>86</v>
      </c>
      <c r="D184" s="0" t="str">
        <f aca="false">Report!X307</f>
        <v>COMPRAS - CHEIRO-VERDE - ELLEN</v>
      </c>
    </row>
    <row r="185" customFormat="false" ht="12.75" hidden="false" customHeight="true" outlineLevel="0" collapsed="false">
      <c r="A185" s="14" t="n">
        <f aca="false">Report!C311</f>
        <v>46188</v>
      </c>
      <c r="B185" s="0" t="str">
        <f aca="false">Report!E311</f>
        <v>H. L. DO NASCIMENTO</v>
      </c>
      <c r="C185" s="15" t="n">
        <f aca="false">Report!U311</f>
        <v>688.3</v>
      </c>
      <c r="D185" s="0" t="str">
        <f aca="false">Report!X311</f>
        <v>NF 5642 ELLEN</v>
      </c>
    </row>
    <row r="186" customFormat="false" ht="12.75" hidden="false" customHeight="true" outlineLevel="0" collapsed="false">
      <c r="A186" s="14" t="n">
        <f aca="false">Report!C313</f>
        <v>46188</v>
      </c>
      <c r="B186" s="0" t="str">
        <f aca="false">Report!E313</f>
        <v>L S M COMERCIO DE ALIMENTOS E NAVEGACAO</v>
      </c>
      <c r="C186" s="15" t="n">
        <f aca="false">Report!U313</f>
        <v>1909.5</v>
      </c>
      <c r="D186" s="0" t="str">
        <f aca="false">Report!X313</f>
        <v>NF 303660 ELLEN</v>
      </c>
    </row>
    <row r="187" customFormat="false" ht="12.75" hidden="false" customHeight="true" outlineLevel="0" collapsed="false">
      <c r="A187" s="14" t="n">
        <f aca="false">Report!C315</f>
        <v>46188</v>
      </c>
      <c r="B187" s="0" t="str">
        <f aca="false">Report!E315</f>
        <v>MARQUES &amp; MELO LTDA - FILIAL</v>
      </c>
      <c r="C187" s="15" t="n">
        <f aca="false">Report!U315</f>
        <v>1022.42</v>
      </c>
      <c r="D187" s="0" t="str">
        <f aca="false">Report!X315</f>
        <v>NF 491834 ELLEN</v>
      </c>
    </row>
    <row r="188" customFormat="false" ht="12.75" hidden="false" customHeight="true" outlineLevel="0" collapsed="false">
      <c r="A188" s="14" t="n">
        <f aca="false">Report!C316</f>
        <v>46188</v>
      </c>
      <c r="B188" s="0" t="str">
        <f aca="false">Report!E316</f>
        <v>NEYLIANE S DE OLIVEIRA &amp; CIA LTDA</v>
      </c>
      <c r="C188" s="15" t="n">
        <f aca="false">Report!U316</f>
        <v>210</v>
      </c>
      <c r="D188" s="0" t="str">
        <f aca="false">Report!X316</f>
        <v>COMPRAS - 15L DE AÇAI - PG NO P 15/6/26 ELLEN</v>
      </c>
    </row>
    <row r="189" customFormat="false" ht="12.75" hidden="false" customHeight="true" outlineLevel="0" collapsed="false">
      <c r="A189" s="14" t="n">
        <f aca="false">Report!C317</f>
        <v>46188</v>
      </c>
      <c r="B189" s="0" t="str">
        <f aca="false">Report!E317</f>
        <v>NOVA FRIOS COMERCIO ATACADISTA DE LATICINIOS LTDA</v>
      </c>
      <c r="C189" s="15" t="n">
        <f aca="false">Report!U317</f>
        <v>186.94</v>
      </c>
      <c r="D189" s="0" t="str">
        <f aca="false">Report!X317</f>
        <v>NF 3699 ELLEN</v>
      </c>
    </row>
    <row r="190" customFormat="false" ht="12.75" hidden="false" customHeight="true" outlineLevel="0" collapsed="false">
      <c r="A190" s="14" t="n">
        <f aca="false">Report!C318</f>
        <v>46188</v>
      </c>
      <c r="B190" s="0" t="str">
        <f aca="false">Report!E318</f>
        <v>NSB COMERCIO ATACADISTA E VAREJISTA DE P</v>
      </c>
      <c r="C190" s="15" t="n">
        <f aca="false">Report!U318</f>
        <v>383.26</v>
      </c>
      <c r="D190" s="0" t="str">
        <f aca="false">Report!X318</f>
        <v>NF 7725 ELLEN</v>
      </c>
    </row>
    <row r="191" customFormat="false" ht="12.75" hidden="false" customHeight="true" outlineLevel="0" collapsed="false">
      <c r="A191" s="14" t="n">
        <f aca="false">Report!C319</f>
        <v>46188</v>
      </c>
      <c r="B191" s="0" t="str">
        <f aca="false">Report!E319</f>
        <v>PANIFICADORA E CONFEITARIA REAL MADRI LTDA</v>
      </c>
      <c r="C191" s="15" t="n">
        <f aca="false">Report!U319</f>
        <v>307.2</v>
      </c>
      <c r="D191" s="0" t="str">
        <f aca="false">Report!X319</f>
        <v>NF 656 ELLEN</v>
      </c>
    </row>
    <row r="192" customFormat="false" ht="12.75" hidden="false" customHeight="true" outlineLevel="0" collapsed="false">
      <c r="A192" s="14" t="n">
        <f aca="false">Report!C322</f>
        <v>46188</v>
      </c>
      <c r="B192" s="0" t="str">
        <f aca="false">Report!E322</f>
        <v>SAO JOSE COMERCIO DE LATICINIOS E FRIOS</v>
      </c>
      <c r="C192" s="15" t="n">
        <f aca="false">Report!U322</f>
        <v>561.5</v>
      </c>
      <c r="D192" s="0" t="str">
        <f aca="false">Report!X322</f>
        <v>NF 3362 ELLEN</v>
      </c>
    </row>
    <row r="193" customFormat="false" ht="12.75" hidden="false" customHeight="true" outlineLevel="0" collapsed="false">
      <c r="A193" s="14" t="n">
        <f aca="false">Report!C324</f>
        <v>46188</v>
      </c>
      <c r="B193" s="0" t="str">
        <f aca="false">Report!E324</f>
        <v>SEM FORNECEDOR</v>
      </c>
      <c r="C193" s="15" t="n">
        <f aca="false">Report!U324</f>
        <v>72</v>
      </c>
      <c r="D193" s="0" t="str">
        <f aca="false">Report!X324</f>
        <v>4 cxs brigadeiro/ jose</v>
      </c>
    </row>
    <row r="194" customFormat="false" ht="12.75" hidden="false" customHeight="true" outlineLevel="0" collapsed="false">
      <c r="A194" s="14" t="n">
        <f aca="false">Report!C329</f>
        <v>46188</v>
      </c>
      <c r="B194" s="0" t="str">
        <f aca="false">Report!E329</f>
        <v>SOUZA CRUZ LTDA.</v>
      </c>
      <c r="C194" s="15" t="n">
        <f aca="false">Report!U329</f>
        <v>5244.24</v>
      </c>
      <c r="D194" s="0" t="str">
        <f aca="false">Report!X329</f>
        <v>NF 562635 ELLEN</v>
      </c>
    </row>
    <row r="195" customFormat="false" ht="12.75" hidden="false" customHeight="true" outlineLevel="0" collapsed="false">
      <c r="A195" s="14" t="n">
        <f aca="false">Report!C330</f>
        <v>46188</v>
      </c>
      <c r="B195" s="0" t="str">
        <f aca="false">Report!E330</f>
        <v>TAPAJOS COM DE PERFUMARIA COSMETICOS E G</v>
      </c>
      <c r="C195" s="15" t="n">
        <f aca="false">Report!U330</f>
        <v>680.53</v>
      </c>
      <c r="D195" s="0" t="str">
        <f aca="false">Report!X330</f>
        <v>NF 569926 ELLEN</v>
      </c>
    </row>
    <row r="196" customFormat="false" ht="12.75" hidden="false" customHeight="true" outlineLevel="0" collapsed="false">
      <c r="A196" s="14" t="n">
        <f aca="false">Report!C331</f>
        <v>46188</v>
      </c>
      <c r="B196" s="0" t="str">
        <f aca="false">Report!E331</f>
        <v>TAPAJOS COM DE PERFUMARIA COSMETICOS E G</v>
      </c>
      <c r="C196" s="15" t="n">
        <f aca="false">Report!U331</f>
        <v>1095.36</v>
      </c>
      <c r="D196" s="0" t="str">
        <f aca="false">Report!X331</f>
        <v>NF 596625 ELLEN</v>
      </c>
    </row>
    <row r="197" customFormat="false" ht="12.75" hidden="false" customHeight="true" outlineLevel="0" collapsed="false">
      <c r="A197" s="14" t="n">
        <f aca="false">Report!C332</f>
        <v>46188</v>
      </c>
      <c r="B197" s="0" t="str">
        <f aca="false">Report!E332</f>
        <v>TAPAJOS COM DE PERFUMARIA COSMETICOS E G</v>
      </c>
      <c r="C197" s="15" t="n">
        <f aca="false">Report!U332</f>
        <v>2</v>
      </c>
      <c r="D197" s="0" t="str">
        <f aca="false">Report!X332</f>
        <v>NF 569926 ACRESCIMO BOLETO </v>
      </c>
    </row>
    <row r="198" customFormat="false" ht="12.75" hidden="false" customHeight="true" outlineLevel="0" collapsed="false">
      <c r="A198" s="14" t="n">
        <f aca="false">Report!C333</f>
        <v>46188</v>
      </c>
      <c r="B198" s="0" t="str">
        <f aca="false">Report!E333</f>
        <v>TAPAJOS COM DE PERFUMARIA COSMETICOS E G</v>
      </c>
      <c r="C198" s="15" t="n">
        <f aca="false">Report!U333</f>
        <v>2</v>
      </c>
      <c r="D198" s="0" t="str">
        <f aca="false">Report!X333</f>
        <v>NF 569926 TARIFA BOLETO</v>
      </c>
    </row>
    <row r="199" customFormat="false" ht="12.75" hidden="false" customHeight="true" outlineLevel="0" collapsed="false">
      <c r="A199" s="14" t="n">
        <f aca="false">Report!C335</f>
        <v>46189</v>
      </c>
      <c r="B199" s="0" t="str">
        <f aca="false">Report!E335</f>
        <v>ADICSO FABIAN GONZALEZ MONTILLA 70302186</v>
      </c>
      <c r="C199" s="15" t="n">
        <f aca="false">Report!U335</f>
        <v>180</v>
      </c>
      <c r="D199" s="0" t="str">
        <f aca="false">Report!X335</f>
        <v>NF 496 ELLEN</v>
      </c>
    </row>
    <row r="200" customFormat="false" ht="12.75" hidden="false" customHeight="true" outlineLevel="0" collapsed="false">
      <c r="A200" s="14" t="n">
        <f aca="false">Report!C336</f>
        <v>46189</v>
      </c>
      <c r="B200" s="0" t="str">
        <f aca="false">Report!E336</f>
        <v>FRUTAL INDUSTRIA E COMERCIO LTDA</v>
      </c>
      <c r="C200" s="15" t="n">
        <f aca="false">Report!U336</f>
        <v>796.16</v>
      </c>
      <c r="D200" s="0" t="str">
        <f aca="false">Report!X336</f>
        <v>NF 223109 ELLEN</v>
      </c>
    </row>
    <row r="201" customFormat="false" ht="12.75" hidden="false" customHeight="true" outlineLevel="0" collapsed="false">
      <c r="A201" s="14" t="n">
        <f aca="false">Report!C337</f>
        <v>46189</v>
      </c>
      <c r="B201" s="0" t="str">
        <f aca="false">Report!E337</f>
        <v>MAXFRI DISTRIUIDORA LTDA</v>
      </c>
      <c r="C201" s="15" t="n">
        <f aca="false">Report!U337</f>
        <v>4433</v>
      </c>
      <c r="D201" s="0" t="str">
        <f aca="false">Report!X337</f>
        <v>NF 14437 ELLEN</v>
      </c>
    </row>
    <row r="202" customFormat="false" ht="12.75" hidden="false" customHeight="true" outlineLevel="0" collapsed="false">
      <c r="A202" s="14" t="n">
        <f aca="false">Report!C338</f>
        <v>46189</v>
      </c>
      <c r="B202" s="0" t="str">
        <f aca="false">Report!E338</f>
        <v>NEYLIANE S DE OLIVEIRA &amp; CIA LTDA</v>
      </c>
      <c r="C202" s="15" t="n">
        <f aca="false">Report!U338</f>
        <v>1094</v>
      </c>
      <c r="D202" s="0" t="str">
        <f aca="false">Report!X338</f>
        <v>COMPRAS - FARINHA CRUZEIRO - ELLEN</v>
      </c>
    </row>
    <row r="203" customFormat="false" ht="12.75" hidden="false" customHeight="true" outlineLevel="0" collapsed="false">
      <c r="A203" s="14" t="n">
        <f aca="false">Report!C339</f>
        <v>46189</v>
      </c>
      <c r="B203" s="0" t="str">
        <f aca="false">Report!E339</f>
        <v>NEYLIANE S DE OLIVEIRA &amp; CIA LTDA</v>
      </c>
      <c r="C203" s="15" t="n">
        <f aca="false">Report!U339</f>
        <v>1513.16</v>
      </c>
      <c r="D203" s="0" t="str">
        <f aca="false">Report!X339</f>
        <v>FEIRA SR RENATO - PG P LJ 1 - ELLEN</v>
      </c>
    </row>
    <row r="204" customFormat="false" ht="12.75" hidden="false" customHeight="true" outlineLevel="0" collapsed="false">
      <c r="A204" s="14" t="n">
        <f aca="false">Report!C340</f>
        <v>46189</v>
      </c>
      <c r="B204" s="0" t="str">
        <f aca="false">Report!E340</f>
        <v>NORTELAC DISTRIBUIDORA DE FRIOS LTDA</v>
      </c>
      <c r="C204" s="15" t="n">
        <f aca="false">Report!U340</f>
        <v>460</v>
      </c>
      <c r="D204" s="0" t="str">
        <f aca="false">Report!X340</f>
        <v>NF 40955 ELLEN</v>
      </c>
    </row>
    <row r="205" customFormat="false" ht="12.75" hidden="false" customHeight="true" outlineLevel="0" collapsed="false">
      <c r="A205" s="14" t="n">
        <f aca="false">Report!C345</f>
        <v>46190</v>
      </c>
      <c r="B205" s="0" t="str">
        <f aca="false">Report!E345</f>
        <v>ADRIANO FEITOSA OLIVEIRA LTDA</v>
      </c>
      <c r="C205" s="15" t="n">
        <f aca="false">Report!U345</f>
        <v>950</v>
      </c>
      <c r="D205" s="0" t="str">
        <f aca="false">Report!X345</f>
        <v>NF 299 ELLEN</v>
      </c>
    </row>
    <row r="206" customFormat="false" ht="12.75" hidden="false" customHeight="true" outlineLevel="0" collapsed="false">
      <c r="A206" s="14" t="n">
        <f aca="false">Report!C346</f>
        <v>46190</v>
      </c>
      <c r="B206" s="0" t="str">
        <f aca="false">Report!E346</f>
        <v>BONNA VITTA INDUSTRIA E COMERCIO LTDA.</v>
      </c>
      <c r="C206" s="15" t="n">
        <f aca="false">Report!U346</f>
        <v>823.77</v>
      </c>
      <c r="D206" s="0" t="str">
        <f aca="false">Report!X346</f>
        <v>NF 517177 ELLEN</v>
      </c>
    </row>
    <row r="207" customFormat="false" ht="12.75" hidden="false" customHeight="true" outlineLevel="0" collapsed="false">
      <c r="A207" s="14" t="n">
        <f aca="false">Report!C347</f>
        <v>46190</v>
      </c>
      <c r="B207" s="0" t="str">
        <f aca="false">Report!E347</f>
        <v>BRF S A</v>
      </c>
      <c r="C207" s="15" t="n">
        <f aca="false">Report!U347</f>
        <v>1030.57</v>
      </c>
      <c r="D207" s="0" t="n">
        <f aca="false">Report!X347</f>
        <v>0</v>
      </c>
    </row>
    <row r="208" customFormat="false" ht="12.75" hidden="false" customHeight="true" outlineLevel="0" collapsed="false">
      <c r="A208" s="14" t="n">
        <f aca="false">Report!C350</f>
        <v>46190</v>
      </c>
      <c r="B208" s="0" t="str">
        <f aca="false">Report!E350</f>
        <v>FORTVET DISTRIBUIDORA LTDA</v>
      </c>
      <c r="C208" s="15" t="n">
        <f aca="false">Report!U350</f>
        <v>504.51</v>
      </c>
      <c r="D208" s="0" t="str">
        <f aca="false">Report!X350</f>
        <v>NF 2108 ELLEN</v>
      </c>
    </row>
    <row r="209" customFormat="false" ht="12.75" hidden="false" customHeight="true" outlineLevel="0" collapsed="false">
      <c r="A209" s="14" t="n">
        <f aca="false">Report!C351</f>
        <v>46190</v>
      </c>
      <c r="B209" s="0" t="str">
        <f aca="false">Report!E351</f>
        <v>J G COMERCIO DE PRODUTOS ALIMENTICIOS LTDA</v>
      </c>
      <c r="C209" s="15" t="n">
        <f aca="false">Report!U351</f>
        <v>737.07</v>
      </c>
      <c r="D209" s="0" t="str">
        <f aca="false">Report!X351</f>
        <v>NF 386175 ELLEN</v>
      </c>
    </row>
    <row r="210" customFormat="false" ht="12.75" hidden="false" customHeight="true" outlineLevel="0" collapsed="false">
      <c r="A210" s="14" t="n">
        <f aca="false">Report!C352</f>
        <v>46190</v>
      </c>
      <c r="B210" s="0" t="str">
        <f aca="false">Report!E352</f>
        <v>KAROLINY RODRIGUES SOUZA VENANCIO 915783</v>
      </c>
      <c r="C210" s="15" t="n">
        <f aca="false">Report!U352</f>
        <v>250</v>
      </c>
      <c r="D210" s="0" t="str">
        <f aca="false">Report!X352</f>
        <v>NF 1616 ELLEN</v>
      </c>
    </row>
    <row r="211" customFormat="false" ht="12.75" hidden="false" customHeight="true" outlineLevel="0" collapsed="false">
      <c r="A211" s="14" t="n">
        <f aca="false">Report!C353</f>
        <v>46190</v>
      </c>
      <c r="B211" s="0" t="str">
        <f aca="false">Report!E353</f>
        <v>NATUREZA COMERCIO DE DESCARTAVEIS LTDA</v>
      </c>
      <c r="C211" s="15" t="n">
        <f aca="false">Report!U353</f>
        <v>84.11</v>
      </c>
      <c r="D211" s="0" t="str">
        <f aca="false">Report!X353</f>
        <v>NF 27273 ELLEN</v>
      </c>
    </row>
    <row r="212" customFormat="false" ht="12.75" hidden="false" customHeight="true" outlineLevel="0" collapsed="false">
      <c r="A212" s="14" t="n">
        <f aca="false">Report!C354</f>
        <v>46190</v>
      </c>
      <c r="B212" s="0" t="str">
        <f aca="false">Report!E354</f>
        <v>NEYLIANE S DE OLIVEIRA &amp; CIA LTDA</v>
      </c>
      <c r="C212" s="15" t="n">
        <f aca="false">Report!U354</f>
        <v>1800</v>
      </c>
      <c r="D212" s="0" t="str">
        <f aca="false">Report!X354</f>
        <v>COMPRAS - FARINHA 3 IRMAOS - ELLEN</v>
      </c>
    </row>
    <row r="213" customFormat="false" ht="12.75" hidden="false" customHeight="true" outlineLevel="0" collapsed="false">
      <c r="A213" s="14" t="n">
        <f aca="false">Report!C355</f>
        <v>46190</v>
      </c>
      <c r="B213" s="0" t="str">
        <f aca="false">Report!E355</f>
        <v>NEYLIANE S DE OLIVEIRA &amp; CIA LTDA</v>
      </c>
      <c r="C213" s="15" t="n">
        <f aca="false">Report!U355</f>
        <v>210</v>
      </c>
      <c r="D213" s="0" t="str">
        <f aca="false">Report!X355</f>
        <v>COMPRAS - 15L DE ACAI - PG NO P 17/6 ELLEN</v>
      </c>
    </row>
    <row r="214" customFormat="false" ht="12.75" hidden="false" customHeight="true" outlineLevel="0" collapsed="false">
      <c r="A214" s="14" t="n">
        <f aca="false">Report!C356</f>
        <v>46190</v>
      </c>
      <c r="B214" s="0" t="str">
        <f aca="false">Report!E356</f>
        <v>OPPORTUNITY ALIMENTOS PARA ANIMAIS LTDA</v>
      </c>
      <c r="C214" s="15" t="n">
        <f aca="false">Report!U356</f>
        <v>666.6</v>
      </c>
      <c r="D214" s="0" t="str">
        <f aca="false">Report!X356</f>
        <v>NF 33662 ELLEN</v>
      </c>
    </row>
    <row r="215" customFormat="false" ht="12.75" hidden="false" customHeight="true" outlineLevel="0" collapsed="false">
      <c r="A215" s="14" t="n">
        <f aca="false">Report!C357</f>
        <v>46190</v>
      </c>
      <c r="B215" s="0" t="str">
        <f aca="false">Report!E357</f>
        <v>PRIME PET DISTRIBUIDORA LTDA</v>
      </c>
      <c r="C215" s="15" t="n">
        <f aca="false">Report!U357</f>
        <v>644.95</v>
      </c>
      <c r="D215" s="0" t="str">
        <f aca="false">Report!X357</f>
        <v>NF 10245 ELLEN</v>
      </c>
    </row>
    <row r="216" customFormat="false" ht="12.75" hidden="false" customHeight="true" outlineLevel="0" collapsed="false">
      <c r="A216" s="14" t="n">
        <f aca="false">Report!C358</f>
        <v>46190</v>
      </c>
      <c r="B216" s="0" t="str">
        <f aca="false">Report!E358</f>
        <v>RISADINHA LTDA</v>
      </c>
      <c r="C216" s="15" t="n">
        <f aca="false">Report!U358</f>
        <v>650</v>
      </c>
      <c r="D216" s="0" t="str">
        <f aca="false">Report!X358</f>
        <v>NF 654829 ELLEN</v>
      </c>
    </row>
    <row r="217" customFormat="false" ht="12.75" hidden="false" customHeight="true" outlineLevel="0" collapsed="false">
      <c r="A217" s="14" t="n">
        <f aca="false">Report!C359</f>
        <v>46190</v>
      </c>
      <c r="B217" s="0" t="str">
        <f aca="false">Report!E359</f>
        <v>SB COMERCIO LTDA</v>
      </c>
      <c r="C217" s="15" t="n">
        <f aca="false">Report!U359</f>
        <v>1262.32</v>
      </c>
      <c r="D217" s="0" t="str">
        <f aca="false">Report!X359</f>
        <v>NF 1952417 ELLEN</v>
      </c>
    </row>
    <row r="218" customFormat="false" ht="12.75" hidden="false" customHeight="true" outlineLevel="0" collapsed="false">
      <c r="A218" s="14" t="n">
        <f aca="false">Report!C363</f>
        <v>46190</v>
      </c>
      <c r="B218" s="0" t="str">
        <f aca="false">Report!E363</f>
        <v>TAPAJOS COM DE PERFUMARIA COSMETICOS E G</v>
      </c>
      <c r="C218" s="15" t="n">
        <f aca="false">Report!U363</f>
        <v>635.45</v>
      </c>
      <c r="D218" s="0" t="str">
        <f aca="false">Report!X363</f>
        <v>NF 571363 ELLEN</v>
      </c>
    </row>
    <row r="219" customFormat="false" ht="12.75" hidden="false" customHeight="true" outlineLevel="0" collapsed="false">
      <c r="A219" s="14" t="n">
        <f aca="false">Report!C364</f>
        <v>46191</v>
      </c>
      <c r="B219" s="0" t="str">
        <f aca="false">Report!E364</f>
        <v>BRASIL NORTE BEBIDAS S/A</v>
      </c>
      <c r="C219" s="15" t="n">
        <f aca="false">Report!U364</f>
        <v>953.47</v>
      </c>
      <c r="D219" s="0" t="str">
        <f aca="false">Report!X364</f>
        <v>NF 1863917 ELLEN</v>
      </c>
    </row>
    <row r="220" customFormat="false" ht="12.75" hidden="false" customHeight="true" outlineLevel="0" collapsed="false">
      <c r="A220" s="14" t="n">
        <f aca="false">Report!C365</f>
        <v>46191</v>
      </c>
      <c r="B220" s="0" t="str">
        <f aca="false">Report!E365</f>
        <v>BRASIL NORTE BEBIDAS S/A</v>
      </c>
      <c r="C220" s="15" t="n">
        <f aca="false">Report!U365</f>
        <v>552.17</v>
      </c>
      <c r="D220" s="0" t="str">
        <f aca="false">Report!X365</f>
        <v>NF 1149104 ELLEN</v>
      </c>
    </row>
    <row r="221" customFormat="false" ht="12.75" hidden="false" customHeight="true" outlineLevel="0" collapsed="false">
      <c r="A221" s="14" t="n">
        <f aca="false">Report!C366</f>
        <v>46191</v>
      </c>
      <c r="B221" s="0" t="str">
        <f aca="false">Report!E366</f>
        <v>BRASIL NORTE BEBIDAS S/A</v>
      </c>
      <c r="C221" s="15" t="n">
        <f aca="false">Report!U366</f>
        <v>186.74</v>
      </c>
      <c r="D221" s="0" t="str">
        <f aca="false">Report!X366</f>
        <v>NF 1862359 ELLEN</v>
      </c>
    </row>
    <row r="222" customFormat="false" ht="12.75" hidden="false" customHeight="true" outlineLevel="0" collapsed="false">
      <c r="A222" s="14" t="n">
        <f aca="false">Report!C367</f>
        <v>46191</v>
      </c>
      <c r="B222" s="0" t="str">
        <f aca="false">Report!E367</f>
        <v>CB COMERCIO E DISTRIBUIDORA DE ALIMENTOS</v>
      </c>
      <c r="C222" s="15" t="n">
        <f aca="false">Report!U367</f>
        <v>560.43</v>
      </c>
      <c r="D222" s="0" t="str">
        <f aca="false">Report!X367</f>
        <v>NF 836835 ELLEN</v>
      </c>
    </row>
    <row r="223" customFormat="false" ht="12.75" hidden="false" customHeight="true" outlineLevel="0" collapsed="false">
      <c r="A223" s="14" t="n">
        <f aca="false">Report!C368</f>
        <v>46191</v>
      </c>
      <c r="B223" s="0" t="str">
        <f aca="false">Report!E368</f>
        <v>L S M COMERCIO DE ALIMENTOS E NAVEGACAO</v>
      </c>
      <c r="C223" s="15" t="n">
        <f aca="false">Report!U368</f>
        <v>290</v>
      </c>
      <c r="D223" s="0" t="str">
        <f aca="false">Report!X368</f>
        <v>NF 302504 ELLEN</v>
      </c>
    </row>
    <row r="224" customFormat="false" ht="12.75" hidden="false" customHeight="true" outlineLevel="0" collapsed="false">
      <c r="A224" s="14" t="n">
        <f aca="false">Report!C369</f>
        <v>46191</v>
      </c>
      <c r="B224" s="0" t="str">
        <f aca="false">Report!E369</f>
        <v>LIMA E BARANDA COMERCIO DE PRODUTOS REGI</v>
      </c>
      <c r="C224" s="15" t="n">
        <f aca="false">Report!U369</f>
        <v>231.5</v>
      </c>
      <c r="D224" s="0" t="str">
        <f aca="false">Report!X369</f>
        <v>NF 30896 ELLEN</v>
      </c>
    </row>
    <row r="225" customFormat="false" ht="12.75" hidden="false" customHeight="true" outlineLevel="0" collapsed="false">
      <c r="A225" s="14" t="n">
        <f aca="false">Report!C370</f>
        <v>46191</v>
      </c>
      <c r="B225" s="0" t="str">
        <f aca="false">Report!E370</f>
        <v>NESTLÉ BRASIL LTDA.</v>
      </c>
      <c r="C225" s="15" t="n">
        <f aca="false">Report!U370</f>
        <v>753.4</v>
      </c>
      <c r="D225" s="0" t="str">
        <f aca="false">Report!X370</f>
        <v>NF 1415530 ELLEN</v>
      </c>
    </row>
    <row r="226" customFormat="false" ht="12.75" hidden="false" customHeight="true" outlineLevel="0" collapsed="false">
      <c r="A226" s="14" t="n">
        <f aca="false">Report!C371</f>
        <v>46191</v>
      </c>
      <c r="B226" s="0" t="str">
        <f aca="false">Report!E371</f>
        <v>NESTLÉ BRASIL LTDA.</v>
      </c>
      <c r="C226" s="15" t="n">
        <f aca="false">Report!U371</f>
        <v>1529.51</v>
      </c>
      <c r="D226" s="0" t="str">
        <f aca="false">Report!X371</f>
        <v>NF 1415529 ELLEN</v>
      </c>
    </row>
    <row r="227" customFormat="false" ht="12.75" hidden="false" customHeight="true" outlineLevel="0" collapsed="false">
      <c r="A227" s="14" t="n">
        <f aca="false">Report!C372</f>
        <v>46191</v>
      </c>
      <c r="B227" s="0" t="str">
        <f aca="false">Report!E372</f>
        <v>NOVA FRIOS COMERCIO ATACADISTA DE LATICINIOS LTDA</v>
      </c>
      <c r="C227" s="15" t="n">
        <f aca="false">Report!U372</f>
        <v>184.96</v>
      </c>
      <c r="D227" s="0" t="str">
        <f aca="false">Report!X372</f>
        <v>NF 3741 ELLEN</v>
      </c>
    </row>
    <row r="228" customFormat="false" ht="12.75" hidden="false" customHeight="true" outlineLevel="0" collapsed="false">
      <c r="A228" s="14" t="n">
        <f aca="false">Report!C373</f>
        <v>46191</v>
      </c>
      <c r="B228" s="0" t="str">
        <f aca="false">Report!E373</f>
        <v>OCIDENTAL COMERCIO DE FRIOS LTDA</v>
      </c>
      <c r="C228" s="15" t="n">
        <f aca="false">Report!U373</f>
        <v>345.7</v>
      </c>
      <c r="D228" s="0" t="str">
        <f aca="false">Report!X373</f>
        <v>NF 1235911 ELLEN</v>
      </c>
    </row>
    <row r="229" customFormat="false" ht="12.75" hidden="false" customHeight="true" outlineLevel="0" collapsed="false">
      <c r="A229" s="14" t="n">
        <f aca="false">Report!C374</f>
        <v>46191</v>
      </c>
      <c r="B229" s="0" t="str">
        <f aca="false">Report!E374</f>
        <v>PANIFICADORA E CONFEITARIA REAL MADRI LTDA</v>
      </c>
      <c r="C229" s="15" t="n">
        <f aca="false">Report!U374</f>
        <v>379.6</v>
      </c>
      <c r="D229" s="0" t="str">
        <f aca="false">Report!X374</f>
        <v>NF 664 ELLEN</v>
      </c>
    </row>
    <row r="230" customFormat="false" ht="12.75" hidden="false" customHeight="true" outlineLevel="0" collapsed="false">
      <c r="A230" s="14" t="n">
        <f aca="false">Report!C375</f>
        <v>46191</v>
      </c>
      <c r="B230" s="0" t="str">
        <f aca="false">Report!E375</f>
        <v>REAL BEBIDAS DA AMAZONIA LTDA</v>
      </c>
      <c r="C230" s="15" t="n">
        <f aca="false">Report!U375</f>
        <v>278</v>
      </c>
      <c r="D230" s="0" t="str">
        <f aca="false">Report!X375</f>
        <v>NF 581432 ELLEN</v>
      </c>
    </row>
    <row r="231" customFormat="false" ht="12.75" hidden="false" customHeight="true" outlineLevel="0" collapsed="false">
      <c r="A231" s="14" t="n">
        <f aca="false">Report!C377</f>
        <v>46192</v>
      </c>
      <c r="B231" s="0" t="str">
        <f aca="false">Report!E377</f>
        <v>BROTHERS  INDUSTRIA DE ALIMENTOS LTDA</v>
      </c>
      <c r="C231" s="15" t="n">
        <f aca="false">Report!U377</f>
        <v>440.45</v>
      </c>
      <c r="D231" s="0" t="str">
        <f aca="false">Report!X377</f>
        <v>NF 1026809 ELLEN</v>
      </c>
    </row>
    <row r="232" customFormat="false" ht="12.75" hidden="false" customHeight="true" outlineLevel="0" collapsed="false">
      <c r="A232" s="14" t="n">
        <f aca="false">Report!C378</f>
        <v>46192</v>
      </c>
      <c r="B232" s="0" t="str">
        <f aca="false">Report!E378</f>
        <v>CRBS S/A</v>
      </c>
      <c r="C232" s="15" t="n">
        <f aca="false">Report!U378</f>
        <v>4705.7</v>
      </c>
      <c r="D232" s="0" t="str">
        <f aca="false">Report!X378</f>
        <v>NF 854255 ELLEN</v>
      </c>
    </row>
    <row r="233" customFormat="false" ht="12.75" hidden="false" customHeight="true" outlineLevel="0" collapsed="false">
      <c r="A233" s="14" t="n">
        <f aca="false">Report!C379</f>
        <v>46192</v>
      </c>
      <c r="B233" s="0" t="str">
        <f aca="false">Report!E379</f>
        <v>CRBS S/A</v>
      </c>
      <c r="C233" s="15" t="n">
        <f aca="false">Report!U379</f>
        <v>1.55</v>
      </c>
      <c r="D233" s="0" t="str">
        <f aca="false">Report!X379</f>
        <v>NF 854255 REF TARIFA AMBEV - ELLEN</v>
      </c>
    </row>
    <row r="234" customFormat="false" ht="12.75" hidden="false" customHeight="true" outlineLevel="0" collapsed="false">
      <c r="A234" s="14" t="n">
        <f aca="false">Report!C380</f>
        <v>46192</v>
      </c>
      <c r="B234" s="0" t="str">
        <f aca="false">Report!E380</f>
        <v>DA FRUTA DISTRIBUIDORA LTDA</v>
      </c>
      <c r="C234" s="15" t="n">
        <f aca="false">Report!U380</f>
        <v>618.56</v>
      </c>
      <c r="D234" s="0" t="str">
        <f aca="false">Report!X380</f>
        <v>NF 195681 ELLEN</v>
      </c>
    </row>
    <row r="235" customFormat="false" ht="12.75" hidden="false" customHeight="true" outlineLevel="0" collapsed="false">
      <c r="A235" s="14" t="n">
        <f aca="false">Report!C382</f>
        <v>46192</v>
      </c>
      <c r="B235" s="0" t="str">
        <f aca="false">Report!E382</f>
        <v>DISTRIBUIDORA LOPES LTDA</v>
      </c>
      <c r="C235" s="15" t="n">
        <f aca="false">Report!U382</f>
        <v>1041.87</v>
      </c>
      <c r="D235" s="0" t="str">
        <f aca="false">Report!X382</f>
        <v>NF 1659538 ELLEN</v>
      </c>
    </row>
    <row r="236" customFormat="false" ht="12.75" hidden="false" customHeight="true" outlineLevel="0" collapsed="false">
      <c r="A236" s="14" t="n">
        <f aca="false">Report!C386</f>
        <v>46192</v>
      </c>
      <c r="B236" s="0" t="str">
        <f aca="false">Report!E386</f>
        <v>FEMAR IND E COM DE BEBIDAS LTDA</v>
      </c>
      <c r="C236" s="15" t="n">
        <f aca="false">Report!U386</f>
        <v>246.96</v>
      </c>
      <c r="D236" s="0" t="str">
        <f aca="false">Report!X386</f>
        <v>NF 51542 ELLEN</v>
      </c>
    </row>
    <row r="237" customFormat="false" ht="12.75" hidden="false" customHeight="true" outlineLevel="0" collapsed="false">
      <c r="A237" s="14" t="n">
        <f aca="false">Report!C387</f>
        <v>46192</v>
      </c>
      <c r="B237" s="0" t="str">
        <f aca="false">Report!E387</f>
        <v>FENNIX BRASIL DISTRIBUIDORA DE PRODUTOS</v>
      </c>
      <c r="C237" s="15" t="n">
        <f aca="false">Report!U387</f>
        <v>392.24</v>
      </c>
      <c r="D237" s="0" t="str">
        <f aca="false">Report!X387</f>
        <v>NF 308379 ELLEN</v>
      </c>
    </row>
    <row r="238" customFormat="false" ht="12.75" hidden="false" customHeight="true" outlineLevel="0" collapsed="false">
      <c r="A238" s="14" t="n">
        <f aca="false">Report!C389</f>
        <v>46192</v>
      </c>
      <c r="B238" s="0" t="str">
        <f aca="false">Report!E389</f>
        <v>OESA COMERCIO E REPRESENTACOES S/A</v>
      </c>
      <c r="C238" s="15" t="n">
        <f aca="false">Report!U389</f>
        <v>639.85</v>
      </c>
      <c r="D238" s="0" t="str">
        <f aca="false">Report!X389</f>
        <v>NF 407270 ELLEN</v>
      </c>
    </row>
    <row r="239" customFormat="false" ht="12.75" hidden="false" customHeight="true" outlineLevel="0" collapsed="false">
      <c r="A239" s="14" t="n">
        <f aca="false">Report!C392</f>
        <v>46192</v>
      </c>
      <c r="B239" s="0" t="str">
        <f aca="false">Report!E392</f>
        <v>SEM FORNECEDOR</v>
      </c>
      <c r="C239" s="15" t="n">
        <f aca="false">Report!U392</f>
        <v>108</v>
      </c>
      <c r="D239" s="0" t="str">
        <f aca="false">Report!X392</f>
        <v>brigadeiro caseiro/jose carstro</v>
      </c>
    </row>
    <row r="240" customFormat="false" ht="12.75" hidden="false" customHeight="true" outlineLevel="0" collapsed="false">
      <c r="A240" s="14" t="n">
        <f aca="false">Report!C395</f>
        <v>46193</v>
      </c>
      <c r="B240" s="0" t="str">
        <f aca="false">Report!E395</f>
        <v>BRAGA TABACARIA EIRELI ME</v>
      </c>
      <c r="C240" s="15" t="n">
        <f aca="false">Report!U395</f>
        <v>837.48</v>
      </c>
      <c r="D240" s="0" t="str">
        <f aca="false">Report!X395</f>
        <v>NF 18534 ELLEN</v>
      </c>
    </row>
    <row r="241" customFormat="false" ht="12.75" hidden="false" customHeight="true" outlineLevel="0" collapsed="false">
      <c r="A241" s="14" t="n">
        <f aca="false">Report!C397</f>
        <v>46193</v>
      </c>
      <c r="B241" s="0" t="str">
        <f aca="false">Report!E397</f>
        <v>J G COMERCIO DE PRODUTOS ALIMENTICIOS LTDA</v>
      </c>
      <c r="C241" s="15" t="n">
        <f aca="false">Report!U397</f>
        <v>524.69</v>
      </c>
      <c r="D241" s="0" t="str">
        <f aca="false">Report!X397</f>
        <v>NF 385542 ELLEN</v>
      </c>
    </row>
    <row r="242" customFormat="false" ht="12.75" hidden="false" customHeight="true" outlineLevel="0" collapsed="false">
      <c r="A242" s="14" t="n">
        <f aca="false">Report!C406</f>
        <v>46195</v>
      </c>
      <c r="B242" s="0" t="str">
        <f aca="false">Report!E406</f>
        <v>66.356.670 FRANCISCO CARLOS FERNANDES COSTA</v>
      </c>
      <c r="C242" s="15" t="n">
        <f aca="false">Report!U406</f>
        <v>140</v>
      </c>
      <c r="D242" s="0" t="str">
        <f aca="false">Report!X406</f>
        <v>NF 10 COMPRAS-BOLO PG NO P 15/6/26 ELLEN</v>
      </c>
    </row>
    <row r="243" customFormat="false" ht="12.75" hidden="false" customHeight="true" outlineLevel="0" collapsed="false">
      <c r="A243" s="14" t="n">
        <f aca="false">Report!C407</f>
        <v>46195</v>
      </c>
      <c r="B243" s="0" t="str">
        <f aca="false">Report!E407</f>
        <v>66.356.670 FRANCISCO CARLOS FERNANDES COSTA</v>
      </c>
      <c r="C243" s="15" t="n">
        <f aca="false">Report!U407</f>
        <v>140</v>
      </c>
      <c r="D243" s="0" t="str">
        <f aca="false">Report!X407</f>
        <v>NF 11 COMPRAS-BOLO PG NO P´17/6/26 ELLEN </v>
      </c>
    </row>
    <row r="244" customFormat="false" ht="12.75" hidden="false" customHeight="true" outlineLevel="0" collapsed="false">
      <c r="A244" s="14" t="n">
        <f aca="false">Report!C408</f>
        <v>46195</v>
      </c>
      <c r="B244" s="0" t="str">
        <f aca="false">Report!E408</f>
        <v>66.356.670 FRANCISCO CARLOS FERNANDES COSTA</v>
      </c>
      <c r="C244" s="15" t="n">
        <f aca="false">Report!U408</f>
        <v>200</v>
      </c>
      <c r="D244" s="0" t="str">
        <f aca="false">Report!X408</f>
        <v>NF 12 COMPRAS-BOLO PG NO P 22/6/26 ELLEN</v>
      </c>
    </row>
    <row r="245" customFormat="false" ht="12.75" hidden="false" customHeight="true" outlineLevel="0" collapsed="false">
      <c r="A245" s="14" t="n">
        <f aca="false">Report!C409</f>
        <v>46195</v>
      </c>
      <c r="B245" s="0" t="str">
        <f aca="false">Report!E409</f>
        <v>ADRIANO FEITOSA OLIVEIRA LTDA</v>
      </c>
      <c r="C245" s="15" t="n">
        <f aca="false">Report!U409</f>
        <v>925</v>
      </c>
      <c r="D245" s="0" t="str">
        <f aca="false">Report!X409</f>
        <v>NF 304 ELLEN</v>
      </c>
    </row>
    <row r="246" customFormat="false" ht="12.75" hidden="false" customHeight="true" outlineLevel="0" collapsed="false">
      <c r="A246" s="14" t="n">
        <f aca="false">Report!C410</f>
        <v>46195</v>
      </c>
      <c r="B246" s="0" t="str">
        <f aca="false">Report!E410</f>
        <v>DISTRIBUIDORA LOPES LTDA</v>
      </c>
      <c r="C246" s="15" t="n">
        <f aca="false">Report!U410</f>
        <v>277.2</v>
      </c>
      <c r="D246" s="0" t="str">
        <f aca="false">Report!X410</f>
        <v>NF 1660317 ELLEN</v>
      </c>
    </row>
    <row r="247" customFormat="false" ht="12.75" hidden="false" customHeight="true" outlineLevel="0" collapsed="false">
      <c r="A247" s="14" t="n">
        <f aca="false">Report!C411</f>
        <v>46195</v>
      </c>
      <c r="B247" s="0" t="str">
        <f aca="false">Report!E411</f>
        <v>DISTRIBUIDORA LOPES LTDA</v>
      </c>
      <c r="C247" s="15" t="n">
        <f aca="false">Report!U411</f>
        <v>767.16</v>
      </c>
      <c r="D247" s="0" t="str">
        <f aca="false">Report!X411</f>
        <v>NF 1672321 ELLEN</v>
      </c>
    </row>
    <row r="248" customFormat="false" ht="12.75" hidden="false" customHeight="true" outlineLevel="0" collapsed="false">
      <c r="A248" s="14" t="n">
        <f aca="false">Report!C414</f>
        <v>46195</v>
      </c>
      <c r="B248" s="0" t="str">
        <f aca="false">Report!E414</f>
        <v>FEIRA</v>
      </c>
      <c r="C248" s="15" t="n">
        <f aca="false">Report!U414</f>
        <v>390</v>
      </c>
      <c r="D248" s="0" t="str">
        <f aca="false">Report!X414</f>
        <v>FEIRA SR RENATO-DINHEIRO/POTE-ALHO/MACA-SOMAR C NF2504-ELLEN</v>
      </c>
    </row>
    <row r="249" customFormat="false" ht="12.75" hidden="false" customHeight="true" outlineLevel="0" collapsed="false">
      <c r="A249" s="14" t="n">
        <f aca="false">Report!C416</f>
        <v>46195</v>
      </c>
      <c r="B249" s="0" t="str">
        <f aca="false">Report!E416</f>
        <v>L S M COMERCIO DE ALIMENTOS E NAVEGACAO</v>
      </c>
      <c r="C249" s="15" t="n">
        <f aca="false">Report!U416</f>
        <v>1909.5</v>
      </c>
      <c r="D249" s="0" t="str">
        <f aca="false">Report!X416</f>
        <v>NF 303660 ELLEN</v>
      </c>
    </row>
    <row r="250" customFormat="false" ht="12.75" hidden="false" customHeight="true" outlineLevel="0" collapsed="false">
      <c r="A250" s="14" t="n">
        <f aca="false">Report!C417</f>
        <v>46195</v>
      </c>
      <c r="B250" s="0" t="str">
        <f aca="false">Report!E417</f>
        <v>NEYLIANE S DE OLIVEIRA &amp; CIA LTDA</v>
      </c>
      <c r="C250" s="15" t="n">
        <f aca="false">Report!U417</f>
        <v>210</v>
      </c>
      <c r="D250" s="0" t="str">
        <f aca="false">Report!X417</f>
        <v>COMPRAS - 15L DE ACAI - PG NO P 20/6/26 ELLEN</v>
      </c>
    </row>
    <row r="251" customFormat="false" ht="12.75" hidden="false" customHeight="true" outlineLevel="0" collapsed="false">
      <c r="A251" s="14" t="n">
        <f aca="false">Report!C418</f>
        <v>46195</v>
      </c>
      <c r="B251" s="0" t="str">
        <f aca="false">Report!E418</f>
        <v>NEYLIANE S DE OLIVEIRA &amp; CIA LTDA</v>
      </c>
      <c r="C251" s="15" t="n">
        <f aca="false">Report!U418</f>
        <v>1454</v>
      </c>
      <c r="D251" s="0" t="str">
        <f aca="false">Report!X418</f>
        <v>FEIRA SR RENATO - DINHEIRO POTE MO2 19/6/26 - ELLEN</v>
      </c>
    </row>
    <row r="252" customFormat="false" ht="12.75" hidden="false" customHeight="true" outlineLevel="0" collapsed="false">
      <c r="A252" s="14" t="n">
        <f aca="false">Report!C420</f>
        <v>46195</v>
      </c>
      <c r="B252" s="0" t="str">
        <f aca="false">Report!E420</f>
        <v>NOVA FRIOS COMERCIO ATACADISTA DE LATICINIOS LTDA</v>
      </c>
      <c r="C252" s="15" t="n">
        <f aca="false">Report!U420</f>
        <v>185.2</v>
      </c>
      <c r="D252" s="0" t="str">
        <f aca="false">Report!X420</f>
        <v>NF 3777 ELLEN</v>
      </c>
    </row>
    <row r="253" customFormat="false" ht="12.75" hidden="false" customHeight="true" outlineLevel="0" collapsed="false">
      <c r="A253" s="14" t="n">
        <f aca="false">Report!C421</f>
        <v>46195</v>
      </c>
      <c r="B253" s="0" t="str">
        <f aca="false">Report!E421</f>
        <v>NSB COMERCIO ATACADISTA E VAREJISTA DE P</v>
      </c>
      <c r="C253" s="15" t="n">
        <f aca="false">Report!U421</f>
        <v>383.24</v>
      </c>
      <c r="D253" s="0" t="str">
        <f aca="false">Report!X421</f>
        <v>NF 7725 ELLEN</v>
      </c>
    </row>
    <row r="254" customFormat="false" ht="12.75" hidden="false" customHeight="true" outlineLevel="0" collapsed="false">
      <c r="A254" s="14" t="n">
        <f aca="false">Report!C422</f>
        <v>46195</v>
      </c>
      <c r="B254" s="0" t="str">
        <f aca="false">Report!E422</f>
        <v>P. A. P. CAVALCANTE LTDA</v>
      </c>
      <c r="C254" s="15" t="n">
        <f aca="false">Report!U422</f>
        <v>106.8</v>
      </c>
      <c r="D254" s="0" t="str">
        <f aca="false">Report!X422</f>
        <v>S/NF COMPRAS - BRINORT - ELLEN</v>
      </c>
    </row>
    <row r="255" customFormat="false" ht="12.75" hidden="false" customHeight="true" outlineLevel="0" collapsed="false">
      <c r="A255" s="14" t="n">
        <f aca="false">Report!C427</f>
        <v>46195</v>
      </c>
      <c r="B255" s="0" t="str">
        <f aca="false">Report!E427</f>
        <v>SOUZA CRUZ LTDA.</v>
      </c>
      <c r="C255" s="15" t="n">
        <f aca="false">Report!U427</f>
        <v>5244.24</v>
      </c>
      <c r="D255" s="0" t="str">
        <f aca="false">Report!X427</f>
        <v>NF 562635 ELLEN</v>
      </c>
    </row>
    <row r="256" customFormat="false" ht="12.75" hidden="false" customHeight="true" outlineLevel="0" collapsed="false">
      <c r="A256" s="14" t="n">
        <f aca="false">Report!C428</f>
        <v>46195</v>
      </c>
      <c r="B256" s="0" t="str">
        <f aca="false">Report!E428</f>
        <v>TAPAJOS COM DE PERFUMARIA COSMETICOS E G</v>
      </c>
      <c r="C256" s="15" t="n">
        <f aca="false">Report!U428</f>
        <v>1095.36</v>
      </c>
      <c r="D256" s="0" t="str">
        <f aca="false">Report!X428</f>
        <v>NF 569925 ELLEN</v>
      </c>
    </row>
    <row r="257" customFormat="false" ht="12.75" hidden="false" customHeight="true" outlineLevel="0" collapsed="false">
      <c r="A257" s="14" t="n">
        <f aca="false">Report!C429</f>
        <v>46196</v>
      </c>
      <c r="B257" s="0" t="str">
        <f aca="false">Report!E429</f>
        <v>ADICSO FABIAN GONZALEZ MONTILLA 70302186</v>
      </c>
      <c r="C257" s="15" t="n">
        <f aca="false">Report!U429</f>
        <v>156</v>
      </c>
      <c r="D257" s="0" t="str">
        <f aca="false">Report!X429</f>
        <v>NF 504 ELLEN</v>
      </c>
    </row>
    <row r="258" customFormat="false" ht="12.75" hidden="false" customHeight="true" outlineLevel="0" collapsed="false">
      <c r="A258" s="14" t="n">
        <f aca="false">Report!C430</f>
        <v>46196</v>
      </c>
      <c r="B258" s="0" t="str">
        <f aca="false">Report!E430</f>
        <v>BF COMERCIO DE ALIMENTOS REPRESENTACAO L</v>
      </c>
      <c r="C258" s="15" t="n">
        <f aca="false">Report!U430</f>
        <v>303.19</v>
      </c>
      <c r="D258" s="0" t="str">
        <f aca="false">Report!X430</f>
        <v>NF 20868 ELLEN</v>
      </c>
    </row>
    <row r="259" customFormat="false" ht="12.75" hidden="false" customHeight="true" outlineLevel="0" collapsed="false">
      <c r="A259" s="14" t="n">
        <f aca="false">Report!C431</f>
        <v>46196</v>
      </c>
      <c r="B259" s="0" t="str">
        <f aca="false">Report!E431</f>
        <v>BONNA VITTA INDUSTRIA E COMERCIO LTDA.</v>
      </c>
      <c r="C259" s="15" t="n">
        <f aca="false">Report!U431</f>
        <v>431.22</v>
      </c>
      <c r="D259" s="0" t="str">
        <f aca="false">Report!X431</f>
        <v>NF 517670 ELLEN</v>
      </c>
    </row>
    <row r="260" customFormat="false" ht="12.75" hidden="false" customHeight="true" outlineLevel="0" collapsed="false">
      <c r="A260" s="14" t="n">
        <f aca="false">Report!C432</f>
        <v>46196</v>
      </c>
      <c r="B260" s="0" t="str">
        <f aca="false">Report!E432</f>
        <v>BONNA VITTA INDUSTRIA E COMERCIO LTDA.</v>
      </c>
      <c r="C260" s="15" t="n">
        <f aca="false">Report!U432</f>
        <v>642.4</v>
      </c>
      <c r="D260" s="0" t="str">
        <f aca="false">Report!X432</f>
        <v>NF 518105 ELLEN</v>
      </c>
    </row>
    <row r="261" customFormat="false" ht="12.75" hidden="false" customHeight="true" outlineLevel="0" collapsed="false">
      <c r="A261" s="14" t="n">
        <f aca="false">Report!C433</f>
        <v>46196</v>
      </c>
      <c r="B261" s="0" t="str">
        <f aca="false">Report!E433</f>
        <v>BRASIL NORTE BEBIDAS S/A</v>
      </c>
      <c r="C261" s="15" t="n">
        <f aca="false">Report!U433</f>
        <v>224.17</v>
      </c>
      <c r="D261" s="0" t="str">
        <f aca="false">Report!X433</f>
        <v>NF 1867172 ELLEN</v>
      </c>
    </row>
    <row r="262" customFormat="false" ht="12.75" hidden="false" customHeight="true" outlineLevel="0" collapsed="false">
      <c r="A262" s="14" t="n">
        <f aca="false">Report!C434</f>
        <v>46196</v>
      </c>
      <c r="B262" s="0" t="str">
        <f aca="false">Report!E434</f>
        <v>BRASIL NORTE BEBIDAS S/A</v>
      </c>
      <c r="C262" s="15" t="n">
        <f aca="false">Report!U434</f>
        <v>1134.74</v>
      </c>
      <c r="D262" s="0" t="str">
        <f aca="false">Report!X434</f>
        <v>NF 1868653 ELLEN</v>
      </c>
    </row>
    <row r="263" customFormat="false" ht="12.75" hidden="false" customHeight="true" outlineLevel="0" collapsed="false">
      <c r="A263" s="14" t="n">
        <f aca="false">Report!C435</f>
        <v>46196</v>
      </c>
      <c r="B263" s="0" t="str">
        <f aca="false">Report!E435</f>
        <v>COMERCIO DE FRIOS MANAUS LTDA</v>
      </c>
      <c r="C263" s="15" t="n">
        <f aca="false">Report!U435</f>
        <v>4757.6</v>
      </c>
      <c r="D263" s="0" t="str">
        <f aca="false">Report!X435</f>
        <v>NF 171507 ELLEN</v>
      </c>
    </row>
    <row r="264" customFormat="false" ht="12.75" hidden="false" customHeight="true" outlineLevel="0" collapsed="false">
      <c r="A264" s="14" t="n">
        <f aca="false">Report!C436</f>
        <v>46196</v>
      </c>
      <c r="B264" s="0" t="str">
        <f aca="false">Report!E436</f>
        <v>FEIRA</v>
      </c>
      <c r="C264" s="15" t="n">
        <f aca="false">Report!U436</f>
        <v>710</v>
      </c>
      <c r="D264" s="0" t="str">
        <f aca="false">Report!X436</f>
        <v>FEIRA SR RENATO -PG P LJ1-MACA/PERA/UVA-SOMAR C NF 2507-ELLEN</v>
      </c>
    </row>
    <row r="265" customFormat="false" ht="12.75" hidden="false" customHeight="true" outlineLevel="0" collapsed="false">
      <c r="A265" s="14" t="n">
        <f aca="false">Report!C438</f>
        <v>46196</v>
      </c>
      <c r="B265" s="0" t="str">
        <f aca="false">Report!E438</f>
        <v>J W N DOS SANTOS</v>
      </c>
      <c r="C265" s="15" t="n">
        <f aca="false">Report!U438</f>
        <v>264</v>
      </c>
      <c r="D265" s="0" t="str">
        <f aca="false">Report!X438</f>
        <v>NF 315 ELLEN</v>
      </c>
    </row>
    <row r="266" customFormat="false" ht="12.75" hidden="false" customHeight="true" outlineLevel="0" collapsed="false">
      <c r="A266" s="14" t="n">
        <f aca="false">Report!C439</f>
        <v>46196</v>
      </c>
      <c r="B266" s="0" t="str">
        <f aca="false">Report!E439</f>
        <v>NATUREZA COMERCIO DE DESCARTAVEIS LTDA</v>
      </c>
      <c r="C266" s="15" t="n">
        <f aca="false">Report!U439</f>
        <v>326.83</v>
      </c>
      <c r="D266" s="0" t="str">
        <f aca="false">Report!X439</f>
        <v>NF 729265 ELLEN</v>
      </c>
    </row>
    <row r="267" customFormat="false" ht="12.75" hidden="false" customHeight="true" outlineLevel="0" collapsed="false">
      <c r="A267" s="14" t="n">
        <f aca="false">Report!C440</f>
        <v>46196</v>
      </c>
      <c r="B267" s="0" t="str">
        <f aca="false">Report!E440</f>
        <v>NEYLIANE S DE OLIVEIRA &amp; CIA LTDA</v>
      </c>
      <c r="C267" s="15" t="n">
        <f aca="false">Report!U440</f>
        <v>2140.44</v>
      </c>
      <c r="D267" s="0" t="str">
        <f aca="false">Report!X440</f>
        <v>FEIRA SR RENATO - PG P LJ1 - ELLEN</v>
      </c>
    </row>
    <row r="268" customFormat="false" ht="12.75" hidden="false" customHeight="true" outlineLevel="0" collapsed="false">
      <c r="A268" s="14" t="n">
        <f aca="false">Report!C441</f>
        <v>46196</v>
      </c>
      <c r="B268" s="0" t="str">
        <f aca="false">Report!E441</f>
        <v>PANIFICADORA E CONFEITARIA REAL MADRI LTDA</v>
      </c>
      <c r="C268" s="15" t="n">
        <f aca="false">Report!U441</f>
        <v>304.75</v>
      </c>
      <c r="D268" s="0" t="str">
        <f aca="false">Report!X441</f>
        <v>NF 669 ELLEN</v>
      </c>
    </row>
    <row r="269" customFormat="false" ht="12.75" hidden="false" customHeight="true" outlineLevel="0" collapsed="false">
      <c r="A269" s="14" t="n">
        <f aca="false">Report!C445</f>
        <v>46197</v>
      </c>
      <c r="B269" s="0" t="str">
        <f aca="false">Report!E445</f>
        <v>66.356.670 FRANCISCO CARLOS FERNANDES COSTA</v>
      </c>
      <c r="C269" s="15" t="n">
        <f aca="false">Report!U445</f>
        <v>120</v>
      </c>
      <c r="D269" s="0" t="str">
        <f aca="false">Report!X445</f>
        <v>NF 37 COMPRAS-BOLO PG NO P 24/6/26 ELLEN</v>
      </c>
    </row>
    <row r="270" customFormat="false" ht="12.75" hidden="false" customHeight="true" outlineLevel="0" collapsed="false">
      <c r="A270" s="14" t="n">
        <f aca="false">Report!C448</f>
        <v>46197</v>
      </c>
      <c r="B270" s="0" t="str">
        <f aca="false">Report!E448</f>
        <v>BONNA VITTA INDUSTRIA E COMERCIO LTDA.</v>
      </c>
      <c r="C270" s="15" t="n">
        <f aca="false">Report!U448</f>
        <v>823.76</v>
      </c>
      <c r="D270" s="0" t="str">
        <f aca="false">Report!X448</f>
        <v>NF 517177 ELLEN</v>
      </c>
    </row>
    <row r="271" customFormat="false" ht="12.75" hidden="false" customHeight="true" outlineLevel="0" collapsed="false">
      <c r="A271" s="14" t="n">
        <f aca="false">Report!C449</f>
        <v>46197</v>
      </c>
      <c r="B271" s="0" t="str">
        <f aca="false">Report!E449</f>
        <v>BRF S A</v>
      </c>
      <c r="C271" s="15" t="n">
        <f aca="false">Report!U449</f>
        <v>1104.14</v>
      </c>
      <c r="D271" s="0" t="str">
        <f aca="false">Report!X449</f>
        <v>NF 1595886 ELLEN</v>
      </c>
    </row>
    <row r="272" customFormat="false" ht="12.75" hidden="false" customHeight="true" outlineLevel="0" collapsed="false">
      <c r="A272" s="14" t="n">
        <f aca="false">Report!C450</f>
        <v>46197</v>
      </c>
      <c r="B272" s="0" t="str">
        <f aca="false">Report!E450</f>
        <v>CRBS S/A</v>
      </c>
      <c r="C272" s="15" t="n">
        <f aca="false">Report!U450</f>
        <v>614.97</v>
      </c>
      <c r="D272" s="0" t="str">
        <f aca="false">Report!X450</f>
        <v>NF 860219 ELLEN</v>
      </c>
    </row>
    <row r="273" customFormat="false" ht="12.75" hidden="false" customHeight="true" outlineLevel="0" collapsed="false">
      <c r="A273" s="14" t="n">
        <f aca="false">Report!C451</f>
        <v>46197</v>
      </c>
      <c r="B273" s="0" t="str">
        <f aca="false">Report!E451</f>
        <v>CRBS S/A</v>
      </c>
      <c r="C273" s="15" t="n">
        <f aca="false">Report!U451</f>
        <v>1.55</v>
      </c>
      <c r="D273" s="0" t="str">
        <f aca="false">Report!X451</f>
        <v>NF 860219 REF TARIFA AMBEV - ELLEN</v>
      </c>
    </row>
    <row r="274" customFormat="false" ht="12.75" hidden="false" customHeight="true" outlineLevel="0" collapsed="false">
      <c r="A274" s="14" t="n">
        <f aca="false">Report!C452</f>
        <v>46197</v>
      </c>
      <c r="B274" s="0" t="str">
        <f aca="false">Report!E452</f>
        <v>FALCAO INDUSTRIA DE ALIMENTOS LTDA</v>
      </c>
      <c r="C274" s="15" t="n">
        <f aca="false">Report!U452</f>
        <v>922.08</v>
      </c>
      <c r="D274" s="0" t="str">
        <f aca="false">Report!X452</f>
        <v>NF 34450 ELLEN</v>
      </c>
    </row>
    <row r="275" customFormat="false" ht="12.75" hidden="false" customHeight="true" outlineLevel="0" collapsed="false">
      <c r="A275" s="14" t="n">
        <f aca="false">Report!C453</f>
        <v>46197</v>
      </c>
      <c r="B275" s="0" t="str">
        <f aca="false">Report!E453</f>
        <v>FALCAO INDUSTRIA DE ALIMENTOS LTDA</v>
      </c>
      <c r="C275" s="15" t="n">
        <f aca="false">Report!U453</f>
        <v>550.99</v>
      </c>
      <c r="D275" s="0" t="str">
        <f aca="false">Report!X453</f>
        <v>NF 30199 ELLEN</v>
      </c>
    </row>
    <row r="276" customFormat="false" ht="12.75" hidden="false" customHeight="true" outlineLevel="0" collapsed="false">
      <c r="A276" s="14" t="n">
        <f aca="false">Report!C454</f>
        <v>46197</v>
      </c>
      <c r="B276" s="0" t="str">
        <f aca="false">Report!E454</f>
        <v>FALCAO INDUSTRIA DE ALIMENTOS LTDA</v>
      </c>
      <c r="C276" s="15" t="n">
        <f aca="false">Report!U454</f>
        <v>551.89</v>
      </c>
      <c r="D276" s="0" t="str">
        <f aca="false">Report!X454</f>
        <v>NF 30415 ELLEN</v>
      </c>
    </row>
    <row r="277" customFormat="false" ht="12.75" hidden="false" customHeight="true" outlineLevel="0" collapsed="false">
      <c r="A277" s="14" t="n">
        <f aca="false">Report!C455</f>
        <v>46197</v>
      </c>
      <c r="B277" s="0" t="str">
        <f aca="false">Report!E455</f>
        <v>H.V.M. XAVIER ALIMENTOS</v>
      </c>
      <c r="C277" s="15" t="n">
        <f aca="false">Report!U455</f>
        <v>194.4</v>
      </c>
      <c r="D277" s="0" t="str">
        <f aca="false">Report!X455</f>
        <v>NF 132836 ELLEN</v>
      </c>
    </row>
    <row r="278" customFormat="false" ht="12.75" hidden="false" customHeight="true" outlineLevel="0" collapsed="false">
      <c r="A278" s="14" t="n">
        <f aca="false">Report!C458</f>
        <v>46197</v>
      </c>
      <c r="B278" s="0" t="str">
        <f aca="false">Report!E458</f>
        <v>J G COMERCIO DE PRODUTOS ALIMENTICIOS LTDA</v>
      </c>
      <c r="C278" s="15" t="n">
        <f aca="false">Report!U458</f>
        <v>737.06</v>
      </c>
      <c r="D278" s="0" t="str">
        <f aca="false">Report!X458</f>
        <v>NF 386175 ELLEN</v>
      </c>
    </row>
    <row r="279" customFormat="false" ht="12.75" hidden="false" customHeight="true" outlineLevel="0" collapsed="false">
      <c r="A279" s="14" t="n">
        <f aca="false">Report!C459</f>
        <v>46197</v>
      </c>
      <c r="B279" s="0" t="str">
        <f aca="false">Report!E459</f>
        <v>OPPORTUNITY ALIMENTOS PARA ANIMAIS LTDA</v>
      </c>
      <c r="C279" s="15" t="n">
        <f aca="false">Report!U459</f>
        <v>938.27</v>
      </c>
      <c r="D279" s="0" t="str">
        <f aca="false">Report!X459</f>
        <v>NF 33745 ELLEN</v>
      </c>
    </row>
    <row r="280" customFormat="false" ht="12.75" hidden="false" customHeight="true" outlineLevel="0" collapsed="false">
      <c r="A280" s="14" t="n">
        <f aca="false">Report!C460</f>
        <v>46197</v>
      </c>
      <c r="B280" s="0" t="str">
        <f aca="false">Report!E460</f>
        <v>OPPORTUNITY ALIMENTOS PARA ANIMAIS LTDA</v>
      </c>
      <c r="C280" s="15" t="n">
        <f aca="false">Report!U460</f>
        <v>2718.34</v>
      </c>
      <c r="D280" s="0" t="str">
        <f aca="false">Report!X460</f>
        <v>NF 33746 ELLEN</v>
      </c>
    </row>
    <row r="281" customFormat="false" ht="12.75" hidden="false" customHeight="true" outlineLevel="0" collapsed="false">
      <c r="A281" s="14" t="n">
        <f aca="false">Report!C461</f>
        <v>46197</v>
      </c>
      <c r="B281" s="0" t="str">
        <f aca="false">Report!E461</f>
        <v>RISADINHA LTDA</v>
      </c>
      <c r="C281" s="15" t="n">
        <f aca="false">Report!U461</f>
        <v>650</v>
      </c>
      <c r="D281" s="0" t="str">
        <f aca="false">Report!X461</f>
        <v>NF 654829 ELLEN</v>
      </c>
    </row>
    <row r="282" customFormat="false" ht="12.75" hidden="false" customHeight="true" outlineLevel="0" collapsed="false">
      <c r="A282" s="14" t="n">
        <f aca="false">Report!C462</f>
        <v>46197</v>
      </c>
      <c r="B282" s="0" t="str">
        <f aca="false">Report!E462</f>
        <v>SAO JOSE COMERCIO DE LATICINIOS E FRIOS</v>
      </c>
      <c r="C282" s="15" t="n">
        <f aca="false">Report!U462</f>
        <v>274.85</v>
      </c>
      <c r="D282" s="0" t="str">
        <f aca="false">Report!X462</f>
        <v>NF 3415 ELLEN</v>
      </c>
    </row>
    <row r="283" customFormat="false" ht="12.75" hidden="false" customHeight="true" outlineLevel="0" collapsed="false">
      <c r="A283" s="14" t="n">
        <f aca="false">Report!C463</f>
        <v>46197</v>
      </c>
      <c r="B283" s="0" t="str">
        <f aca="false">Report!E463</f>
        <v>SB COMERCIO LTDA</v>
      </c>
      <c r="C283" s="15" t="n">
        <f aca="false">Report!U463</f>
        <v>1262.31</v>
      </c>
      <c r="D283" s="0" t="str">
        <f aca="false">Report!X463</f>
        <v>NF 1952417 ELLEN</v>
      </c>
    </row>
    <row r="284" customFormat="false" ht="12.75" hidden="false" customHeight="true" outlineLevel="0" collapsed="false">
      <c r="A284" s="14" t="n">
        <f aca="false">Report!C469</f>
        <v>46197</v>
      </c>
      <c r="B284" s="0" t="str">
        <f aca="false">Report!E469</f>
        <v>TAPAJOS COM DE PERFUMARIA COSMETICOS E G</v>
      </c>
      <c r="C284" s="15" t="n">
        <f aca="false">Report!U469</f>
        <v>635.45</v>
      </c>
      <c r="D284" s="0" t="str">
        <f aca="false">Report!X469</f>
        <v>NF 571363 ELLEN</v>
      </c>
    </row>
    <row r="285" customFormat="false" ht="12.75" hidden="false" customHeight="true" outlineLevel="0" collapsed="false">
      <c r="A285" s="14" t="n">
        <f aca="false">Report!C470</f>
        <v>46197</v>
      </c>
      <c r="B285" s="0" t="str">
        <f aca="false">Report!E470</f>
        <v>TOYA INDUSTRIA E COMERCIO LTDA.</v>
      </c>
      <c r="C285" s="15" t="n">
        <f aca="false">Report!U470</f>
        <v>734.33</v>
      </c>
      <c r="D285" s="0" t="str">
        <f aca="false">Report!X470</f>
        <v>NF 253249 ELLEN</v>
      </c>
    </row>
    <row r="286" customFormat="false" ht="12.75" hidden="false" customHeight="true" outlineLevel="0" collapsed="false">
      <c r="A286" s="14" t="n">
        <f aca="false">Report!C471</f>
        <v>46197</v>
      </c>
      <c r="B286" s="0" t="str">
        <f aca="false">Report!E471</f>
        <v>TRES CORACOES ALIMENTOS S.A.</v>
      </c>
      <c r="C286" s="15" t="n">
        <f aca="false">Report!U471</f>
        <v>877.26</v>
      </c>
      <c r="D286" s="0" t="str">
        <f aca="false">Report!X471</f>
        <v>NF 346452 ELLEN</v>
      </c>
    </row>
    <row r="287" customFormat="false" ht="12.75" hidden="false" customHeight="true" outlineLevel="0" collapsed="false">
      <c r="A287" s="14" t="n">
        <f aca="false">Report!C472</f>
        <v>46198</v>
      </c>
      <c r="B287" s="0" t="str">
        <f aca="false">Report!E472</f>
        <v>66.356.670 FRANCISCO CARLOS FERNANDES COSTA</v>
      </c>
      <c r="C287" s="15" t="n">
        <f aca="false">Report!U472</f>
        <v>180</v>
      </c>
      <c r="D287" s="0" t="str">
        <f aca="false">Report!X472</f>
        <v>NF 44 COMPRAS-BOLO PG NO P 25/6 ELLEN</v>
      </c>
    </row>
    <row r="288" customFormat="false" ht="12.75" hidden="false" customHeight="true" outlineLevel="0" collapsed="false">
      <c r="A288" s="14" t="n">
        <f aca="false">Report!C473</f>
        <v>46198</v>
      </c>
      <c r="B288" s="0" t="str">
        <f aca="false">Report!E473</f>
        <v>ADICSO FABIAN GONZALEZ MONTILLA 70302186</v>
      </c>
      <c r="C288" s="15" t="n">
        <f aca="false">Report!U473</f>
        <v>180</v>
      </c>
      <c r="D288" s="0" t="str">
        <f aca="false">Report!X473</f>
        <v>NF 509 ELLEN</v>
      </c>
    </row>
    <row r="289" customFormat="false" ht="12.75" hidden="false" customHeight="true" outlineLevel="0" collapsed="false">
      <c r="A289" s="14" t="n">
        <f aca="false">Report!C474</f>
        <v>46198</v>
      </c>
      <c r="B289" s="0" t="str">
        <f aca="false">Report!E474</f>
        <v>CB COMERCIO E DISTRIBUIDORA DE ALIMENTOS</v>
      </c>
      <c r="C289" s="15" t="n">
        <f aca="false">Report!U474</f>
        <v>433.35</v>
      </c>
      <c r="D289" s="0" t="str">
        <f aca="false">Report!X474</f>
        <v>NF 843146 ELLEN</v>
      </c>
    </row>
    <row r="290" customFormat="false" ht="12.75" hidden="false" customHeight="true" outlineLevel="0" collapsed="false">
      <c r="A290" s="14" t="n">
        <f aca="false">Report!C475</f>
        <v>46198</v>
      </c>
      <c r="B290" s="0" t="str">
        <f aca="false">Report!E475</f>
        <v>CB COMERCIO E DISTRIBUIDORA DE ALIMENTOS</v>
      </c>
      <c r="C290" s="15" t="n">
        <f aca="false">Report!U475</f>
        <v>844.75</v>
      </c>
      <c r="D290" s="0" t="str">
        <f aca="false">Report!X475</f>
        <v>NF 843147 ELLEN</v>
      </c>
    </row>
    <row r="291" customFormat="false" ht="12.75" hidden="false" customHeight="true" outlineLevel="0" collapsed="false">
      <c r="A291" s="14" t="n">
        <f aca="false">Report!C476</f>
        <v>46198</v>
      </c>
      <c r="B291" s="0" t="str">
        <f aca="false">Report!E476</f>
        <v>DISTRIBUIDORA LOPES LTDA</v>
      </c>
      <c r="C291" s="15" t="n">
        <f aca="false">Report!U476</f>
        <v>464.4</v>
      </c>
      <c r="D291" s="0" t="str">
        <f aca="false">Report!X476</f>
        <v>NF 1663000 ELLEN</v>
      </c>
    </row>
    <row r="292" customFormat="false" ht="12.75" hidden="false" customHeight="true" outlineLevel="0" collapsed="false">
      <c r="A292" s="14" t="n">
        <f aca="false">Report!C477</f>
        <v>46198</v>
      </c>
      <c r="B292" s="0" t="str">
        <f aca="false">Report!E477</f>
        <v>DUNORTE DISTRIBUIDORA DE PRODUTOS DE CONSUMO LTDA</v>
      </c>
      <c r="C292" s="15" t="n">
        <f aca="false">Report!U477</f>
        <v>1104.06</v>
      </c>
      <c r="D292" s="0" t="str">
        <f aca="false">Report!X477</f>
        <v>NF 3201284 ELLEN</v>
      </c>
    </row>
    <row r="293" customFormat="false" ht="12.75" hidden="false" customHeight="true" outlineLevel="0" collapsed="false">
      <c r="A293" s="14" t="n">
        <f aca="false">Report!C478</f>
        <v>46198</v>
      </c>
      <c r="B293" s="0" t="str">
        <f aca="false">Report!E478</f>
        <v>DURAES DISTRIBUIDORA DE ESTIVAS LTDA</v>
      </c>
      <c r="C293" s="15" t="n">
        <f aca="false">Report!U478</f>
        <v>383.46</v>
      </c>
      <c r="D293" s="0" t="str">
        <f aca="false">Report!X478</f>
        <v>NF 645628 ELLEN</v>
      </c>
    </row>
    <row r="294" customFormat="false" ht="12.75" hidden="false" customHeight="true" outlineLevel="0" collapsed="false">
      <c r="A294" s="14" t="n">
        <f aca="false">Report!C480</f>
        <v>46198</v>
      </c>
      <c r="B294" s="0" t="str">
        <f aca="false">Report!E480</f>
        <v>J G COMERCIO DE PRODUTOS ALIMENTICIOS LTDA</v>
      </c>
      <c r="C294" s="15" t="n">
        <f aca="false">Report!U480</f>
        <v>2664.53</v>
      </c>
      <c r="D294" s="0" t="str">
        <f aca="false">Report!X480</f>
        <v>NF 387833 ELLEN</v>
      </c>
    </row>
    <row r="295" customFormat="false" ht="12.75" hidden="false" customHeight="true" outlineLevel="0" collapsed="false">
      <c r="A295" s="14" t="n">
        <f aca="false">Report!C481</f>
        <v>46198</v>
      </c>
      <c r="B295" s="0" t="str">
        <f aca="false">Report!E481</f>
        <v>LIMA E BARANDA COMERCIO DE PRODUTOS REGI</v>
      </c>
      <c r="C295" s="15" t="n">
        <f aca="false">Report!U481</f>
        <v>199</v>
      </c>
      <c r="D295" s="0" t="str">
        <f aca="false">Report!X481</f>
        <v>NF 31025 ELLEN</v>
      </c>
    </row>
    <row r="296" customFormat="false" ht="12.75" hidden="false" customHeight="true" outlineLevel="0" collapsed="false">
      <c r="A296" s="14" t="n">
        <f aca="false">Report!C482</f>
        <v>46198</v>
      </c>
      <c r="B296" s="0" t="str">
        <f aca="false">Report!E482</f>
        <v>MARTINS COM SERV DISTR SA</v>
      </c>
      <c r="C296" s="15" t="n">
        <f aca="false">Report!U482</f>
        <v>613.33</v>
      </c>
      <c r="D296" s="0" t="str">
        <f aca="false">Report!X482</f>
        <v>NF 1771887 ELLEN</v>
      </c>
    </row>
    <row r="297" customFormat="false" ht="12.75" hidden="false" customHeight="true" outlineLevel="0" collapsed="false">
      <c r="A297" s="14" t="n">
        <f aca="false">Report!C483</f>
        <v>46198</v>
      </c>
      <c r="B297" s="0" t="str">
        <f aca="false">Report!E483</f>
        <v>MAXFRI DISTRIUIDORA LTDA</v>
      </c>
      <c r="C297" s="15" t="n">
        <f aca="false">Report!U483</f>
        <v>5018.15</v>
      </c>
      <c r="D297" s="0" t="str">
        <f aca="false">Report!X483</f>
        <v>NF 14505 ELLEN</v>
      </c>
    </row>
    <row r="298" customFormat="false" ht="12.75" hidden="false" customHeight="true" outlineLevel="0" collapsed="false">
      <c r="A298" s="14" t="n">
        <f aca="false">Report!C484</f>
        <v>46198</v>
      </c>
      <c r="B298" s="0" t="str">
        <f aca="false">Report!E484</f>
        <v>NESTLÉ BRASIL LTDA.</v>
      </c>
      <c r="C298" s="15" t="n">
        <f aca="false">Report!U484</f>
        <v>731.24</v>
      </c>
      <c r="D298" s="0" t="str">
        <f aca="false">Report!X484</f>
        <v>NF 1415530 ELLEN</v>
      </c>
    </row>
    <row r="299" customFormat="false" ht="12.75" hidden="false" customHeight="true" outlineLevel="0" collapsed="false">
      <c r="A299" s="14" t="n">
        <f aca="false">Report!C485</f>
        <v>46198</v>
      </c>
      <c r="B299" s="0" t="str">
        <f aca="false">Report!E485</f>
        <v>NESTLÉ BRASIL LTDA.</v>
      </c>
      <c r="C299" s="15" t="n">
        <f aca="false">Report!U485</f>
        <v>1484.52</v>
      </c>
      <c r="D299" s="0" t="str">
        <f aca="false">Report!X485</f>
        <v>NF 1415529 ELLEN</v>
      </c>
    </row>
    <row r="300" customFormat="false" ht="12.75" hidden="false" customHeight="true" outlineLevel="0" collapsed="false">
      <c r="A300" s="14" t="n">
        <f aca="false">Report!C489</f>
        <v>46198</v>
      </c>
      <c r="B300" s="0" t="str">
        <f aca="false">Report!E489</f>
        <v>ORIENTE COM. ATACADISTA E REPRES. LTDA</v>
      </c>
      <c r="C300" s="15" t="n">
        <f aca="false">Report!U489</f>
        <v>1783.9</v>
      </c>
      <c r="D300" s="0" t="str">
        <f aca="false">Report!X489</f>
        <v>NF 1601 ELLEN</v>
      </c>
    </row>
    <row r="301" customFormat="false" ht="12.75" hidden="false" customHeight="true" outlineLevel="0" collapsed="false">
      <c r="A301" s="14" t="n">
        <f aca="false">Report!C490</f>
        <v>46198</v>
      </c>
      <c r="B301" s="0" t="str">
        <f aca="false">Report!E490</f>
        <v>PANIFICADORA E CONFEITARIA REAL MADRI LTDA</v>
      </c>
      <c r="C301" s="15" t="n">
        <f aca="false">Report!U490</f>
        <v>234.8</v>
      </c>
      <c r="D301" s="0" t="str">
        <f aca="false">Report!X490</f>
        <v>NF 678 ELLEN</v>
      </c>
    </row>
    <row r="302" customFormat="false" ht="12.75" hidden="false" customHeight="true" outlineLevel="0" collapsed="false">
      <c r="A302" s="14" t="n">
        <f aca="false">Report!C491</f>
        <v>46198</v>
      </c>
      <c r="B302" s="0" t="str">
        <f aca="false">Report!E491</f>
        <v>R B CARDOSO</v>
      </c>
      <c r="C302" s="15" t="n">
        <f aca="false">Report!U491</f>
        <v>480.78</v>
      </c>
      <c r="D302" s="0" t="str">
        <f aca="false">Report!X491</f>
        <v>NF 721 ELLEN</v>
      </c>
    </row>
    <row r="303" customFormat="false" ht="12.75" hidden="false" customHeight="true" outlineLevel="0" collapsed="false">
      <c r="A303" s="14" t="n">
        <f aca="false">Report!C494</f>
        <v>46199</v>
      </c>
      <c r="B303" s="0" t="str">
        <f aca="false">Report!E494</f>
        <v>BRAGA TABACARIA EIRELI ME</v>
      </c>
      <c r="C303" s="15" t="n">
        <f aca="false">Report!U494</f>
        <v>1433.64</v>
      </c>
      <c r="D303" s="0" t="str">
        <f aca="false">Report!X494</f>
        <v>NF 18762 ELLEN</v>
      </c>
    </row>
    <row r="304" customFormat="false" ht="12.75" hidden="false" customHeight="true" outlineLevel="0" collapsed="false">
      <c r="A304" s="14" t="n">
        <f aca="false">Report!C495</f>
        <v>46199</v>
      </c>
      <c r="B304" s="0" t="str">
        <f aca="false">Report!E495</f>
        <v>BRAGA TABACARIA EIRELI ME</v>
      </c>
      <c r="C304" s="15" t="n">
        <f aca="false">Report!U495</f>
        <v>1037.02</v>
      </c>
      <c r="D304" s="0" t="str">
        <f aca="false">Report!X495</f>
        <v>S/NF - COMPRAS-CACHAÇA/CIGARRO/SKRLOF-ELLEN</v>
      </c>
    </row>
    <row r="305" customFormat="false" ht="12.75" hidden="false" customHeight="true" outlineLevel="0" collapsed="false">
      <c r="A305" s="14" t="n">
        <f aca="false">Report!C496</f>
        <v>46199</v>
      </c>
      <c r="B305" s="0" t="str">
        <f aca="false">Report!E496</f>
        <v>BROTHERS  INDUSTRIA DE ALIMENTOS LTDA</v>
      </c>
      <c r="C305" s="15" t="n">
        <f aca="false">Report!U496</f>
        <v>370.84</v>
      </c>
      <c r="D305" s="0" t="str">
        <f aca="false">Report!X496</f>
        <v>NF 1027913 ELLEN</v>
      </c>
    </row>
    <row r="306" customFormat="false" ht="12.75" hidden="false" customHeight="true" outlineLevel="0" collapsed="false">
      <c r="A306" s="14" t="n">
        <f aca="false">Report!C497</f>
        <v>46199</v>
      </c>
      <c r="B306" s="0" t="str">
        <f aca="false">Report!E497</f>
        <v>DISTRIBUIDORA LOPES LTDA</v>
      </c>
      <c r="C306" s="15" t="n">
        <f aca="false">Report!U497</f>
        <v>334.45</v>
      </c>
      <c r="D306" s="0" t="str">
        <f aca="false">Report!X497</f>
        <v>NF 1676964 ELLEN</v>
      </c>
    </row>
    <row r="307" customFormat="false" ht="12.75" hidden="false" customHeight="true" outlineLevel="0" collapsed="false">
      <c r="A307" s="14" t="n">
        <f aca="false">Report!C499</f>
        <v>46199</v>
      </c>
      <c r="B307" s="0" t="str">
        <f aca="false">Report!E499</f>
        <v>FENNIX BRASIL DISTRIBUIDORA DE PRODUTOS</v>
      </c>
      <c r="C307" s="15" t="n">
        <f aca="false">Report!U499</f>
        <v>392.24</v>
      </c>
      <c r="D307" s="0" t="str">
        <f aca="false">Report!X499</f>
        <v>NF 308379 ELLEN</v>
      </c>
    </row>
    <row r="308" customFormat="false" ht="12.75" hidden="false" customHeight="true" outlineLevel="0" collapsed="false">
      <c r="A308" s="14" t="n">
        <f aca="false">Report!C500</f>
        <v>46199</v>
      </c>
      <c r="B308" s="0" t="str">
        <f aca="false">Report!E500</f>
        <v>FENNIX BRASIL DISTRIBUIDORA DE PRODUTOS</v>
      </c>
      <c r="C308" s="15" t="n">
        <f aca="false">Report!U500</f>
        <v>866.35</v>
      </c>
      <c r="D308" s="0" t="str">
        <f aca="false">Report!X500</f>
        <v>NF 394904 ELLEN</v>
      </c>
    </row>
    <row r="309" customFormat="false" ht="12.75" hidden="false" customHeight="true" outlineLevel="0" collapsed="false">
      <c r="A309" s="14" t="n">
        <f aca="false">Report!C501</f>
        <v>46199</v>
      </c>
      <c r="B309" s="0" t="str">
        <f aca="false">Report!E501</f>
        <v>H. L. DO NASCIMENTO</v>
      </c>
      <c r="C309" s="15" t="n">
        <f aca="false">Report!U501</f>
        <v>306</v>
      </c>
      <c r="D309" s="0" t="str">
        <f aca="false">Report!X501</f>
        <v>NF 5679 ELLEN</v>
      </c>
    </row>
    <row r="310" customFormat="false" ht="12.75" hidden="false" customHeight="true" outlineLevel="0" collapsed="false">
      <c r="A310" s="14" t="n">
        <f aca="false">Report!C504</f>
        <v>46199</v>
      </c>
      <c r="B310" s="0" t="str">
        <f aca="false">Report!E504</f>
        <v>JAB COMERCIO DE PRODUTOS ALIMENTICIOS LT</v>
      </c>
      <c r="C310" s="15" t="n">
        <f aca="false">Report!U504</f>
        <v>110</v>
      </c>
      <c r="D310" s="0" t="str">
        <f aca="false">Report!X504</f>
        <v>NF 3407 ELLEN</v>
      </c>
    </row>
    <row r="311" customFormat="false" ht="12.75" hidden="false" customHeight="true" outlineLevel="0" collapsed="false">
      <c r="A311" s="14" t="n">
        <f aca="false">Report!C505</f>
        <v>46199</v>
      </c>
      <c r="B311" s="0" t="str">
        <f aca="false">Report!E505</f>
        <v>NEYLIANE S DE OLIVEIRA &amp; CIA LTDA</v>
      </c>
      <c r="C311" s="15" t="n">
        <f aca="false">Report!U505</f>
        <v>210</v>
      </c>
      <c r="D311" s="0" t="str">
        <f aca="false">Report!X505</f>
        <v>COMPRAS - 15L AÇAI - PG NO P 26/6 - ELLEN</v>
      </c>
    </row>
    <row r="312" customFormat="false" ht="12.75" hidden="false" customHeight="true" outlineLevel="0" collapsed="false">
      <c r="A312" s="14" t="n">
        <f aca="false">Report!C506</f>
        <v>46199</v>
      </c>
      <c r="B312" s="0" t="str">
        <f aca="false">Report!E506</f>
        <v>NEYLIANE S DE OLIVEIRA &amp; CIA LTDA</v>
      </c>
      <c r="C312" s="15" t="n">
        <f aca="false">Report!U506</f>
        <v>1401.82</v>
      </c>
      <c r="D312" s="0" t="str">
        <f aca="false">Report!X506</f>
        <v>FEIRA SR RENATO - PG POTE MO2 - ELLEN</v>
      </c>
    </row>
    <row r="313" customFormat="false" ht="12.75" hidden="false" customHeight="true" outlineLevel="0" collapsed="false">
      <c r="A313" s="14" t="n">
        <f aca="false">Report!C507</f>
        <v>46199</v>
      </c>
      <c r="B313" s="0" t="str">
        <f aca="false">Report!E507</f>
        <v>PIARARA COMERCIO, IMPORTACAO E EXPORTACAO LTDA</v>
      </c>
      <c r="C313" s="15" t="n">
        <f aca="false">Report!U507</f>
        <v>540.3</v>
      </c>
      <c r="D313" s="0" t="str">
        <f aca="false">Report!X507</f>
        <v>NF 193355 ELLEN</v>
      </c>
    </row>
    <row r="314" customFormat="false" ht="12.75" hidden="false" customHeight="true" outlineLevel="0" collapsed="false">
      <c r="A314" s="14" t="n">
        <f aca="false">Report!C511</f>
        <v>46199</v>
      </c>
      <c r="B314" s="0" t="str">
        <f aca="false">Report!E511</f>
        <v>SEM FORNECEDOR</v>
      </c>
      <c r="C314" s="15" t="n">
        <f aca="false">Report!U511</f>
        <v>130</v>
      </c>
      <c r="D314" s="0" t="str">
        <f aca="false">Report!X511</f>
        <v>queijo colaho / valdirlan</v>
      </c>
    </row>
    <row r="315" customFormat="false" ht="12.75" hidden="false" customHeight="true" outlineLevel="0" collapsed="false">
      <c r="A315" s="14" t="n">
        <f aca="false">Report!C512</f>
        <v>46199</v>
      </c>
      <c r="B315" s="0" t="str">
        <f aca="false">Report!E512</f>
        <v>SEM FORNECEDOR</v>
      </c>
      <c r="C315" s="15" t="n">
        <f aca="false">Report!U512</f>
        <v>75</v>
      </c>
      <c r="D315" s="0" t="str">
        <f aca="false">Report!X512</f>
        <v>compras - pipoca doce</v>
      </c>
    </row>
    <row r="316" customFormat="false" ht="12.75" hidden="false" customHeight="true" outlineLevel="0" collapsed="false">
      <c r="A316" s="14" t="n">
        <f aca="false">Report!C515</f>
        <v>46199</v>
      </c>
      <c r="B316" s="0" t="str">
        <f aca="false">Report!E515</f>
        <v>SOUZA CRUZ LTDA.</v>
      </c>
      <c r="C316" s="15" t="n">
        <f aca="false">Report!U515</f>
        <v>3138.67</v>
      </c>
      <c r="D316" s="0" t="str">
        <f aca="false">Report!X515</f>
        <v>NF 563269 ELLEN</v>
      </c>
    </row>
    <row r="317" customFormat="false" ht="12.75" hidden="false" customHeight="true" outlineLevel="0" collapsed="false">
      <c r="A317" s="14" t="n">
        <f aca="false">Report!C516</f>
        <v>46199</v>
      </c>
      <c r="B317" s="0" t="str">
        <f aca="false">Report!E516</f>
        <v>SUPER CANCUN COMERCIO DE PRODUTOS ALIMEN</v>
      </c>
      <c r="C317" s="15" t="n">
        <f aca="false">Report!U516</f>
        <v>482.36</v>
      </c>
      <c r="D317" s="0" t="str">
        <f aca="false">Report!X516</f>
        <v>NF 260896 ELLEN</v>
      </c>
    </row>
    <row r="318" customFormat="false" ht="12.75" hidden="false" customHeight="true" outlineLevel="0" collapsed="false">
      <c r="A318" s="14" t="n">
        <f aca="false">Report!C517</f>
        <v>46200</v>
      </c>
      <c r="B318" s="0" t="str">
        <f aca="false">Report!E517</f>
        <v>ADRIANO FEITOSA OLIVEIRA LTDA</v>
      </c>
      <c r="C318" s="15" t="n">
        <f aca="false">Report!U517</f>
        <v>260</v>
      </c>
      <c r="D318" s="0" t="str">
        <f aca="false">Report!X517</f>
        <v>NF 313 ELLEN</v>
      </c>
    </row>
    <row r="319" customFormat="false" ht="12.75" hidden="false" customHeight="true" outlineLevel="0" collapsed="false">
      <c r="A319" s="14" t="n">
        <f aca="false">Report!C518</f>
        <v>46200</v>
      </c>
      <c r="B319" s="0" t="str">
        <f aca="false">Report!E518</f>
        <v>BRAGA TABACARIA EIRELI ME</v>
      </c>
      <c r="C319" s="15" t="n">
        <f aca="false">Report!U518</f>
        <v>837.48</v>
      </c>
      <c r="D319" s="0" t="str">
        <f aca="false">Report!X518</f>
        <v>NF 18534 ELLEN</v>
      </c>
    </row>
    <row r="320" customFormat="false" ht="12.75" hidden="false" customHeight="true" outlineLevel="0" collapsed="false">
      <c r="A320" s="14" t="n">
        <f aca="false">Report!C519</f>
        <v>46200</v>
      </c>
      <c r="B320" s="0" t="str">
        <f aca="false">Report!E519</f>
        <v>BRASIL NORTE BEBIDAS S/A</v>
      </c>
      <c r="C320" s="15" t="n">
        <f aca="false">Report!U519</f>
        <v>16.61</v>
      </c>
      <c r="D320" s="0" t="str">
        <f aca="false">Report!X519</f>
        <v>NF 1877756 ELLEN</v>
      </c>
    </row>
    <row r="321" customFormat="false" ht="12.75" hidden="false" customHeight="true" outlineLevel="0" collapsed="false">
      <c r="A321" s="14" t="n">
        <f aca="false">Report!C520</f>
        <v>46200</v>
      </c>
      <c r="B321" s="0" t="str">
        <f aca="false">Report!E520</f>
        <v>BRASIL NORTE BEBIDAS S/A</v>
      </c>
      <c r="C321" s="15" t="n">
        <f aca="false">Report!U520</f>
        <v>192.43</v>
      </c>
      <c r="D321" s="0" t="str">
        <f aca="false">Report!X520</f>
        <v>NF 1159468 ELLEN</v>
      </c>
    </row>
    <row r="322" customFormat="false" ht="12.75" hidden="false" customHeight="true" outlineLevel="0" collapsed="false">
      <c r="A322" s="14" t="n">
        <f aca="false">Report!C521</f>
        <v>46200</v>
      </c>
      <c r="B322" s="0" t="str">
        <f aca="false">Report!E521</f>
        <v>BRASIL NORTE BEBIDAS S/A</v>
      </c>
      <c r="C322" s="15" t="n">
        <f aca="false">Report!U521</f>
        <v>544.32</v>
      </c>
      <c r="D322" s="0" t="str">
        <f aca="false">Report!X521</f>
        <v>NF 1159469 ELLEN</v>
      </c>
    </row>
    <row r="323" customFormat="false" ht="12.75" hidden="false" customHeight="true" outlineLevel="0" collapsed="false">
      <c r="A323" s="14" t="n">
        <f aca="false">Report!C522</f>
        <v>46200</v>
      </c>
      <c r="B323" s="0" t="str">
        <f aca="false">Report!E522</f>
        <v>BRASIL NORTE BEBIDAS S/A</v>
      </c>
      <c r="C323" s="15" t="n">
        <f aca="false">Report!U522</f>
        <v>1081.08</v>
      </c>
      <c r="D323" s="0" t="str">
        <f aca="false">Report!X522</f>
        <v>NF 1877757 ELLEN</v>
      </c>
    </row>
    <row r="324" customFormat="false" ht="12.75" hidden="false" customHeight="true" outlineLevel="0" collapsed="false">
      <c r="A324" s="14" t="n">
        <f aca="false">Report!C523</f>
        <v>46200</v>
      </c>
      <c r="B324" s="0" t="str">
        <f aca="false">Report!E523</f>
        <v>H L M PADARIA E CONFEITARIA LTDA</v>
      </c>
      <c r="C324" s="15" t="n">
        <f aca="false">Report!U523</f>
        <v>120</v>
      </c>
      <c r="D324" s="0" t="str">
        <f aca="false">Report!X523</f>
        <v>NF 15 COMPRAS-BOLO PG NO P 27/6 ELLEN</v>
      </c>
    </row>
    <row r="325" customFormat="false" ht="12.75" hidden="false" customHeight="true" outlineLevel="0" collapsed="false">
      <c r="A325" s="14" t="n">
        <f aca="false">Report!C524</f>
        <v>46200</v>
      </c>
      <c r="B325" s="0" t="str">
        <f aca="false">Report!E524</f>
        <v>MARE DISTRIBUIDORA DE BEBIDAS E DE PRODUTOS ALIMENTICIOS LTDA</v>
      </c>
      <c r="C325" s="15" t="n">
        <f aca="false">Report!U524</f>
        <v>1837.1</v>
      </c>
      <c r="D325" s="0" t="str">
        <f aca="false">Report!X524</f>
        <v>NF 1366479 ELLEN</v>
      </c>
    </row>
    <row r="326" customFormat="false" ht="12.75" hidden="false" customHeight="true" outlineLevel="0" collapsed="false">
      <c r="A326" s="14" t="n">
        <f aca="false">Report!C527</f>
        <v>46200</v>
      </c>
      <c r="B326" s="0" t="str">
        <f aca="false">Report!E527</f>
        <v>SILVA E SANTOS FRIGORIFICO LTDA</v>
      </c>
      <c r="C326" s="15" t="n">
        <f aca="false">Report!U527</f>
        <v>920</v>
      </c>
      <c r="D326" s="0" t="str">
        <f aca="false">Report!X527</f>
        <v>NF 31246 ELLEN</v>
      </c>
    </row>
    <row r="327" customFormat="false" ht="12.75" hidden="false" customHeight="true" outlineLevel="0" collapsed="false">
      <c r="A327" s="14" t="n">
        <f aca="false">Report!C528</f>
        <v>46200</v>
      </c>
      <c r="B327" s="0" t="str">
        <f aca="false">Report!E528</f>
        <v>SILVA E SANTOS FRIGORIFICO LTDA</v>
      </c>
      <c r="C327" s="15" t="n">
        <f aca="false">Report!U528</f>
        <v>1538.7</v>
      </c>
      <c r="D327" s="0" t="str">
        <f aca="false">Report!X528</f>
        <v>NF 31247 ELLEN</v>
      </c>
    </row>
    <row r="328" customFormat="false" ht="12.75" hidden="false" customHeight="true" outlineLevel="0" collapsed="false">
      <c r="A328" s="14" t="n">
        <f aca="false">Report!C529</f>
        <v>46201</v>
      </c>
      <c r="B328" s="0" t="str">
        <f aca="false">Report!E529</f>
        <v>FUNNY PET DISTRIBUIDORA DE ALIMENTOS PAR</v>
      </c>
      <c r="C328" s="15" t="n">
        <f aca="false">Report!U529</f>
        <v>1589.28</v>
      </c>
      <c r="D328" s="0" t="str">
        <f aca="false">Report!X529</f>
        <v>NF 20499 ELLEN</v>
      </c>
    </row>
    <row r="329" customFormat="false" ht="12.75" hidden="false" customHeight="true" outlineLevel="0" collapsed="false">
      <c r="A329" s="14" t="n">
        <f aca="false">Report!C533</f>
        <v>46202</v>
      </c>
      <c r="B329" s="0" t="str">
        <f aca="false">Report!E533</f>
        <v>ADRIANA DISTRIBUIDORA DE PRODUTOS ALIMEN</v>
      </c>
      <c r="C329" s="15" t="n">
        <f aca="false">Report!U533</f>
        <v>791.32</v>
      </c>
      <c r="D329" s="0" t="str">
        <f aca="false">Report!X533</f>
        <v>NF 878392 ELLEN</v>
      </c>
    </row>
    <row r="330" customFormat="false" ht="12.75" hidden="false" customHeight="true" outlineLevel="0" collapsed="false">
      <c r="A330" s="14" t="n">
        <f aca="false">Report!C534</f>
        <v>46202</v>
      </c>
      <c r="B330" s="0" t="str">
        <f aca="false">Report!E534</f>
        <v>CRBS S/A</v>
      </c>
      <c r="C330" s="15" t="n">
        <f aca="false">Report!U534</f>
        <v>1062.39</v>
      </c>
      <c r="D330" s="0" t="str">
        <f aca="false">Report!X534</f>
        <v>NF 869753 ELLEN</v>
      </c>
    </row>
    <row r="331" customFormat="false" ht="12.75" hidden="false" customHeight="true" outlineLevel="0" collapsed="false">
      <c r="A331" s="14" t="n">
        <f aca="false">Report!C535</f>
        <v>46202</v>
      </c>
      <c r="B331" s="0" t="str">
        <f aca="false">Report!E535</f>
        <v>CRBS S/A</v>
      </c>
      <c r="C331" s="15" t="n">
        <f aca="false">Report!U535</f>
        <v>1.55</v>
      </c>
      <c r="D331" s="0" t="str">
        <f aca="false">Report!X535</f>
        <v>NF 869753 REF TARIFA AMBEV - ELLEN</v>
      </c>
    </row>
    <row r="332" customFormat="false" ht="12.75" hidden="false" customHeight="true" outlineLevel="0" collapsed="false">
      <c r="A332" s="14" t="n">
        <f aca="false">Report!C536</f>
        <v>46202</v>
      </c>
      <c r="B332" s="0" t="str">
        <f aca="false">Report!E536</f>
        <v>DUNORTE DISTRIBUIDORA DE PRODUTOS DE CONSUMO LTDA</v>
      </c>
      <c r="C332" s="15" t="n">
        <f aca="false">Report!U536</f>
        <v>641.14</v>
      </c>
      <c r="D332" s="0" t="str">
        <f aca="false">Report!X536</f>
        <v>NF 3202460 ELLEN</v>
      </c>
    </row>
    <row r="333" customFormat="false" ht="12.75" hidden="false" customHeight="true" outlineLevel="0" collapsed="false">
      <c r="A333" s="14" t="n">
        <f aca="false">Report!C537</f>
        <v>46202</v>
      </c>
      <c r="B333" s="0" t="str">
        <f aca="false">Report!E537</f>
        <v>FENNIX BRASIL DISTRIBUIDORA DE PRODUTOS</v>
      </c>
      <c r="C333" s="15" t="n">
        <f aca="false">Report!U537</f>
        <v>675.34</v>
      </c>
      <c r="D333" s="0" t="n">
        <f aca="false">Report!X537</f>
        <v>0</v>
      </c>
    </row>
    <row r="334" customFormat="false" ht="12.75" hidden="false" customHeight="true" outlineLevel="0" collapsed="false">
      <c r="A334" s="14" t="n">
        <f aca="false">Report!C539</f>
        <v>46202</v>
      </c>
      <c r="B334" s="0" t="str">
        <f aca="false">Report!E539</f>
        <v>J W N DOS SANTOS</v>
      </c>
      <c r="C334" s="15" t="n">
        <f aca="false">Report!U539</f>
        <v>212</v>
      </c>
      <c r="D334" s="0" t="str">
        <f aca="false">Report!X539</f>
        <v>NF 305 ELLEN</v>
      </c>
    </row>
    <row r="335" customFormat="false" ht="12.75" hidden="false" customHeight="true" outlineLevel="0" collapsed="false">
      <c r="A335" s="14" t="n">
        <f aca="false">Report!C540</f>
        <v>46202</v>
      </c>
      <c r="B335" s="0" t="str">
        <f aca="false">Report!E540</f>
        <v>L S M COMERCIO DE ALIMENTOS E NAVEGACAO</v>
      </c>
      <c r="C335" s="15" t="n">
        <f aca="false">Report!U540</f>
        <v>1909.5</v>
      </c>
      <c r="D335" s="0" t="str">
        <f aca="false">Report!X540</f>
        <v>NF 303660 ELLEN</v>
      </c>
    </row>
    <row r="336" customFormat="false" ht="12.75" hidden="false" customHeight="true" outlineLevel="0" collapsed="false">
      <c r="A336" s="14" t="n">
        <f aca="false">Report!C541</f>
        <v>46202</v>
      </c>
      <c r="B336" s="0" t="str">
        <f aca="false">Report!E541</f>
        <v>NESTLÉ BRASIL LTDA.</v>
      </c>
      <c r="C336" s="15" t="n">
        <f aca="false">Report!U541</f>
        <v>1537.8</v>
      </c>
      <c r="D336" s="0" t="str">
        <f aca="false">Report!X541</f>
        <v>NF 1416973 ELLEN</v>
      </c>
    </row>
    <row r="337" customFormat="false" ht="12.75" hidden="false" customHeight="true" outlineLevel="0" collapsed="false">
      <c r="A337" s="14" t="n">
        <f aca="false">Report!C542</f>
        <v>46202</v>
      </c>
      <c r="B337" s="0" t="str">
        <f aca="false">Report!E542</f>
        <v>NEYLIANE S DE OLIVEIRA &amp; CIA LTDA</v>
      </c>
      <c r="C337" s="15" t="n">
        <f aca="false">Report!U542</f>
        <v>210</v>
      </c>
      <c r="D337" s="0" t="str">
        <f aca="false">Report!X542</f>
        <v>COMPRAS - 15L DE AÇAI - PG NO P 29/6/26 ELLEN</v>
      </c>
    </row>
    <row r="338" customFormat="false" ht="12.75" hidden="false" customHeight="true" outlineLevel="0" collapsed="false">
      <c r="A338" s="14" t="n">
        <f aca="false">Report!C543</f>
        <v>46202</v>
      </c>
      <c r="B338" s="0" t="str">
        <f aca="false">Report!E543</f>
        <v>NOVA FRIOS COMERCIO ATACADISTA DE LATICINIOS LTDA</v>
      </c>
      <c r="C338" s="15" t="n">
        <f aca="false">Report!U543</f>
        <v>162.56</v>
      </c>
      <c r="D338" s="0" t="str">
        <f aca="false">Report!X543</f>
        <v>NF 3858 ELLEN</v>
      </c>
    </row>
    <row r="339" customFormat="false" ht="12.75" hidden="false" customHeight="true" outlineLevel="0" collapsed="false">
      <c r="A339" s="14" t="n">
        <f aca="false">Report!C544</f>
        <v>46202</v>
      </c>
      <c r="B339" s="0" t="str">
        <f aca="false">Report!E544</f>
        <v>NSB COMERCIO ATACADISTA E VAREJISTA DE P</v>
      </c>
      <c r="C339" s="15" t="n">
        <f aca="false">Report!U544</f>
        <v>383.24</v>
      </c>
      <c r="D339" s="0" t="str">
        <f aca="false">Report!X544</f>
        <v>NF 7725 ELLEN</v>
      </c>
    </row>
    <row r="340" customFormat="false" ht="12.75" hidden="false" customHeight="true" outlineLevel="0" collapsed="false">
      <c r="A340" s="14" t="n">
        <f aca="false">Report!C545</f>
        <v>46202</v>
      </c>
      <c r="B340" s="0" t="str">
        <f aca="false">Report!E545</f>
        <v>PANIFICADORA E CONFEITARIA REAL MADRI LTDA</v>
      </c>
      <c r="C340" s="15" t="n">
        <f aca="false">Report!U545</f>
        <v>307.2</v>
      </c>
      <c r="D340" s="0" t="str">
        <f aca="false">Report!X545</f>
        <v>NF 679 ELLEN</v>
      </c>
    </row>
    <row r="341" customFormat="false" ht="12.75" hidden="false" customHeight="true" outlineLevel="0" collapsed="false">
      <c r="A341" s="14" t="n">
        <f aca="false">Report!C547</f>
        <v>46202</v>
      </c>
      <c r="B341" s="0" t="str">
        <f aca="false">Report!E547</f>
        <v>SAO JOSE COMERCIO DE LATICINIOS E FRIOS</v>
      </c>
      <c r="C341" s="15" t="n">
        <f aca="false">Report!U547</f>
        <v>454.65</v>
      </c>
      <c r="D341" s="0" t="str">
        <f aca="false">Report!X547</f>
        <v>NF 3457 ELLEN</v>
      </c>
    </row>
    <row r="342" customFormat="false" ht="12.75" hidden="false" customHeight="true" outlineLevel="0" collapsed="false">
      <c r="A342" s="14" t="n">
        <f aca="false">Report!C552</f>
        <v>46202</v>
      </c>
      <c r="B342" s="0" t="str">
        <f aca="false">Report!E552</f>
        <v>SOUZA CRUZ LTDA.</v>
      </c>
      <c r="C342" s="15" t="n">
        <f aca="false">Report!U552</f>
        <v>5403.15</v>
      </c>
      <c r="D342" s="0" t="str">
        <f aca="false">Report!X552</f>
        <v>NF 562635 ELLEN</v>
      </c>
    </row>
    <row r="343" customFormat="false" ht="12.75" hidden="false" customHeight="true" outlineLevel="0" collapsed="false">
      <c r="A343" s="14" t="n">
        <f aca="false">Report!C553</f>
        <v>46202</v>
      </c>
      <c r="B343" s="0" t="str">
        <f aca="false">Report!E553</f>
        <v>T. M. L. DA SILVA LTDA</v>
      </c>
      <c r="C343" s="15" t="n">
        <f aca="false">Report!U553</f>
        <v>298.83</v>
      </c>
      <c r="D343" s="0" t="str">
        <f aca="false">Report!X553</f>
        <v>NF 15043 ELLEN</v>
      </c>
    </row>
    <row r="344" customFormat="false" ht="12.75" hidden="false" customHeight="true" outlineLevel="0" collapsed="false">
      <c r="A344" s="14" t="n">
        <f aca="false">Report!C554</f>
        <v>46203</v>
      </c>
      <c r="B344" s="0" t="str">
        <f aca="false">Report!E554</f>
        <v>ADICSO FABIAN GONZALEZ MONTILLA 70302186</v>
      </c>
      <c r="C344" s="15" t="n">
        <f aca="false">Report!U554</f>
        <v>180</v>
      </c>
      <c r="D344" s="0" t="str">
        <f aca="false">Report!X554</f>
        <v>NF 513 ELLEN</v>
      </c>
    </row>
    <row r="345" customFormat="false" ht="12.75" hidden="false" customHeight="true" outlineLevel="0" collapsed="false">
      <c r="A345" s="14" t="n">
        <f aca="false">Report!C555</f>
        <v>46203</v>
      </c>
      <c r="B345" s="0" t="str">
        <f aca="false">Report!E555</f>
        <v>ADRIANO FEITOSA OLIVEIRA LTDA</v>
      </c>
      <c r="C345" s="15" t="n">
        <f aca="false">Report!U555</f>
        <v>899.95</v>
      </c>
      <c r="D345" s="0" t="str">
        <f aca="false">Report!X555</f>
        <v>NF 316 ELLEN</v>
      </c>
    </row>
    <row r="346" customFormat="false" ht="12.75" hidden="false" customHeight="true" outlineLevel="0" collapsed="false">
      <c r="A346" s="14" t="n">
        <f aca="false">Report!C558</f>
        <v>46203</v>
      </c>
      <c r="B346" s="0" t="str">
        <f aca="false">Report!E558</f>
        <v>BF COMERCIO DE ALIMENTOS REPRESENTACAO L</v>
      </c>
      <c r="C346" s="15" t="n">
        <f aca="false">Report!U558</f>
        <v>303.19</v>
      </c>
      <c r="D346" s="0" t="str">
        <f aca="false">Report!X558</f>
        <v>NF 20868 ELLEN</v>
      </c>
    </row>
    <row r="347" customFormat="false" ht="12.75" hidden="false" customHeight="true" outlineLevel="0" collapsed="false">
      <c r="A347" s="14" t="n">
        <f aca="false">Report!C559</f>
        <v>46203</v>
      </c>
      <c r="B347" s="0" t="str">
        <f aca="false">Report!E559</f>
        <v>BONNA VITTA INDUSTRIA E COMERCIO LTDA.</v>
      </c>
      <c r="C347" s="15" t="n">
        <f aca="false">Report!U559</f>
        <v>642.4</v>
      </c>
      <c r="D347" s="0" t="str">
        <f aca="false">Report!X559</f>
        <v>NF 518105 ELLEN</v>
      </c>
    </row>
    <row r="348" customFormat="false" ht="12.75" hidden="false" customHeight="true" outlineLevel="0" collapsed="false">
      <c r="A348" s="14" t="n">
        <f aca="false">Report!C560</f>
        <v>46203</v>
      </c>
      <c r="B348" s="0" t="str">
        <f aca="false">Report!E560</f>
        <v>BRASIL NORTE BEBIDAS S/A</v>
      </c>
      <c r="C348" s="15" t="n">
        <f aca="false">Report!U560</f>
        <v>203.42</v>
      </c>
      <c r="D348" s="0" t="str">
        <f aca="false">Report!X560</f>
        <v>NF 1161723 ELLEN</v>
      </c>
    </row>
    <row r="349" customFormat="false" ht="12.75" hidden="false" customHeight="true" outlineLevel="0" collapsed="false">
      <c r="A349" s="14" t="n">
        <f aca="false">Report!C561</f>
        <v>46203</v>
      </c>
      <c r="B349" s="0" t="str">
        <f aca="false">Report!E561</f>
        <v>BRASIL NORTE BEBIDAS S/A</v>
      </c>
      <c r="C349" s="15" t="n">
        <f aca="false">Report!U561</f>
        <v>639.86</v>
      </c>
      <c r="D349" s="0" t="str">
        <f aca="false">Report!X561</f>
        <v>NF 1162362 ELLEN</v>
      </c>
    </row>
    <row r="350" customFormat="false" ht="12.75" hidden="false" customHeight="true" outlineLevel="0" collapsed="false">
      <c r="A350" s="14" t="n">
        <f aca="false">Report!C562</f>
        <v>46203</v>
      </c>
      <c r="B350" s="0" t="str">
        <f aca="false">Report!E562</f>
        <v>BRASIL NORTE BEBIDAS S/A</v>
      </c>
      <c r="C350" s="15" t="n">
        <f aca="false">Report!U562</f>
        <v>2177.76</v>
      </c>
      <c r="D350" s="0" t="str">
        <f aca="false">Report!X562</f>
        <v>NF 1880950 ELLEN</v>
      </c>
    </row>
    <row r="351" customFormat="false" ht="12.75" hidden="false" customHeight="true" outlineLevel="0" collapsed="false">
      <c r="A351" s="14" t="n">
        <f aca="false">Report!C563</f>
        <v>46203</v>
      </c>
      <c r="B351" s="0" t="str">
        <f aca="false">Report!E563</f>
        <v>BRASIL NORTE BEBIDAS S/A</v>
      </c>
      <c r="C351" s="15" t="n">
        <f aca="false">Report!U563</f>
        <v>1014.01</v>
      </c>
      <c r="D351" s="0" t="str">
        <f aca="false">Report!X563</f>
        <v>NF 1161721 ELLEN</v>
      </c>
    </row>
    <row r="352" customFormat="false" ht="12.75" hidden="false" customHeight="true" outlineLevel="0" collapsed="false">
      <c r="A352" s="14" t="n">
        <f aca="false">Report!C564</f>
        <v>46203</v>
      </c>
      <c r="B352" s="0" t="str">
        <f aca="false">Report!E564</f>
        <v>COMPRAS NA PORTA AVULSO</v>
      </c>
      <c r="C352" s="15" t="n">
        <f aca="false">Report!U564</f>
        <v>961</v>
      </c>
      <c r="D352" s="0" t="str">
        <f aca="false">Report!X564</f>
        <v>COMPRAS NA PORTA S/N 06/26 -KEILA</v>
      </c>
    </row>
    <row r="353" customFormat="false" ht="12.75" hidden="false" customHeight="true" outlineLevel="0" collapsed="false">
      <c r="A353" s="14" t="n">
        <f aca="false">Report!C566</f>
        <v>46203</v>
      </c>
      <c r="B353" s="0" t="str">
        <f aca="false">Report!E566</f>
        <v>E. D. SENA &amp; CIA LTDA</v>
      </c>
      <c r="C353" s="15" t="n">
        <f aca="false">Report!U566</f>
        <v>531.18</v>
      </c>
      <c r="D353" s="0" t="str">
        <f aca="false">Report!X566</f>
        <v>NF 9495 ELLEN</v>
      </c>
    </row>
    <row r="354" customFormat="false" ht="12.75" hidden="false" customHeight="true" outlineLevel="0" collapsed="false">
      <c r="A354" s="14" t="n">
        <f aca="false">Report!C567</f>
        <v>46203</v>
      </c>
      <c r="B354" s="0" t="str">
        <f aca="false">Report!E567</f>
        <v>EDSON AGUIAR DE SOUZA</v>
      </c>
      <c r="C354" s="15" t="n">
        <f aca="false">Report!U567</f>
        <v>190.5</v>
      </c>
      <c r="D354" s="0" t="str">
        <f aca="false">Report!X567</f>
        <v>COMPRAS - CHEIRO-VERDE - ELLEN</v>
      </c>
    </row>
    <row r="355" customFormat="false" ht="12.75" hidden="false" customHeight="true" outlineLevel="0" collapsed="false">
      <c r="A355" s="14" t="n">
        <f aca="false">Report!C568</f>
        <v>46203</v>
      </c>
      <c r="B355" s="0" t="str">
        <f aca="false">Report!E568</f>
        <v>EDSON AGUIAR DE SOUZA</v>
      </c>
      <c r="C355" s="15" t="n">
        <f aca="false">Report!U568</f>
        <v>183</v>
      </c>
      <c r="D355" s="0" t="str">
        <f aca="false">Report!X568</f>
        <v>COMPRAS - CHEIRO-VERDE - ELLEN</v>
      </c>
    </row>
    <row r="356" customFormat="false" ht="12.75" hidden="false" customHeight="true" outlineLevel="0" collapsed="false">
      <c r="A356" s="14" t="n">
        <f aca="false">Report!C569</f>
        <v>46203</v>
      </c>
      <c r="B356" s="0" t="str">
        <f aca="false">Report!E569</f>
        <v>EDSON AGUIAR DE SOUZA</v>
      </c>
      <c r="C356" s="15" t="n">
        <f aca="false">Report!U569</f>
        <v>105</v>
      </c>
      <c r="D356" s="0" t="str">
        <f aca="false">Report!X569</f>
        <v>COMPRAS - CHEIRO-VERDE - ELLEN</v>
      </c>
    </row>
    <row r="357" customFormat="false" ht="12.75" hidden="false" customHeight="true" outlineLevel="0" collapsed="false">
      <c r="A357" s="14" t="n">
        <f aca="false">Report!C570</f>
        <v>46203</v>
      </c>
      <c r="B357" s="0" t="str">
        <f aca="false">Report!E570</f>
        <v>EDSON AGUIAR DE SOUZA</v>
      </c>
      <c r="C357" s="15" t="n">
        <f aca="false">Report!U570</f>
        <v>97</v>
      </c>
      <c r="D357" s="0" t="str">
        <f aca="false">Report!X570</f>
        <v>COMPRAS - CHEIRO-VERDE - ELLEN</v>
      </c>
    </row>
    <row r="358" customFormat="false" ht="12.75" hidden="false" customHeight="true" outlineLevel="0" collapsed="false">
      <c r="A358" s="14" t="n">
        <f aca="false">Report!C571</f>
        <v>46203</v>
      </c>
      <c r="B358" s="0" t="str">
        <f aca="false">Report!E571</f>
        <v>EDSON AGUIAR DE SOUZA</v>
      </c>
      <c r="C358" s="15" t="n">
        <f aca="false">Report!U571</f>
        <v>141</v>
      </c>
      <c r="D358" s="0" t="str">
        <f aca="false">Report!X571</f>
        <v>COMPRAS - CHEIRO-VERDE - ELLEN</v>
      </c>
    </row>
    <row r="359" customFormat="false" ht="12.75" hidden="false" customHeight="true" outlineLevel="0" collapsed="false">
      <c r="A359" s="14" t="n">
        <f aca="false">Report!C572</f>
        <v>46203</v>
      </c>
      <c r="B359" s="0" t="str">
        <f aca="false">Report!E572</f>
        <v>EDSON AGUIAR DE SOUZA</v>
      </c>
      <c r="C359" s="15" t="n">
        <f aca="false">Report!U572</f>
        <v>54</v>
      </c>
      <c r="D359" s="0" t="str">
        <f aca="false">Report!X572</f>
        <v>COMPRAS - CHEIRO-VERDE - ELLEN</v>
      </c>
    </row>
    <row r="360" customFormat="false" ht="12.75" hidden="false" customHeight="true" outlineLevel="0" collapsed="false">
      <c r="A360" s="14" t="n">
        <f aca="false">Report!C573</f>
        <v>46203</v>
      </c>
      <c r="B360" s="0" t="str">
        <f aca="false">Report!E573</f>
        <v>EDSON AGUIAR DE SOUZA</v>
      </c>
      <c r="C360" s="15" t="n">
        <f aca="false">Report!U573</f>
        <v>115.5</v>
      </c>
      <c r="D360" s="0" t="str">
        <f aca="false">Report!X573</f>
        <v>COMPRAS - CHEIRO-VERDE - ELLEN</v>
      </c>
    </row>
    <row r="361" customFormat="false" ht="12.75" hidden="false" customHeight="true" outlineLevel="0" collapsed="false">
      <c r="A361" s="14" t="n">
        <f aca="false">Report!C574</f>
        <v>46203</v>
      </c>
      <c r="B361" s="0" t="str">
        <f aca="false">Report!E574</f>
        <v>EDSON AGUIAR DE SOUZA</v>
      </c>
      <c r="C361" s="15" t="n">
        <f aca="false">Report!U574</f>
        <v>130</v>
      </c>
      <c r="D361" s="0" t="str">
        <f aca="false">Report!X574</f>
        <v>COMPRAS - CHEIRO-VERDE - ELLEN</v>
      </c>
    </row>
    <row r="362" customFormat="false" ht="12.75" hidden="false" customHeight="true" outlineLevel="0" collapsed="false">
      <c r="A362" s="14" t="n">
        <f aca="false">Report!C575</f>
        <v>46203</v>
      </c>
      <c r="B362" s="0" t="str">
        <f aca="false">Report!E575</f>
        <v>FEIRA</v>
      </c>
      <c r="C362" s="15" t="n">
        <f aca="false">Report!U575</f>
        <v>390</v>
      </c>
      <c r="D362" s="0" t="str">
        <f aca="false">Report!X575</f>
        <v>FEIRA SR RENATO-PG P LJ1-ALHO/MACA-SOMAR C NF2517-ELLEN</v>
      </c>
    </row>
    <row r="363" customFormat="false" ht="12.75" hidden="false" customHeight="true" outlineLevel="0" collapsed="false">
      <c r="A363" s="14" t="n">
        <f aca="false">Report!C578</f>
        <v>46203</v>
      </c>
      <c r="B363" s="0" t="str">
        <f aca="false">Report!E578</f>
        <v>H L M PADARIA E CONFEITARIA LTDA</v>
      </c>
      <c r="C363" s="15" t="n">
        <f aca="false">Report!U578</f>
        <v>140</v>
      </c>
      <c r="D363" s="0" t="str">
        <f aca="false">Report!X578</f>
        <v>NF 16 COMPRAS-BOLO PG NO P 30/6 ELLEN</v>
      </c>
    </row>
    <row r="364" customFormat="false" ht="12.75" hidden="false" customHeight="true" outlineLevel="0" collapsed="false">
      <c r="A364" s="14" t="n">
        <f aca="false">Report!C579</f>
        <v>46203</v>
      </c>
      <c r="B364" s="0" t="str">
        <f aca="false">Report!E579</f>
        <v>I. P. DIAS LTDA</v>
      </c>
      <c r="C364" s="15" t="n">
        <f aca="false">Report!U579</f>
        <v>338.79</v>
      </c>
      <c r="D364" s="0" t="str">
        <f aca="false">Report!X579</f>
        <v>NF 847 ELLEN</v>
      </c>
    </row>
    <row r="365" customFormat="false" ht="12.75" hidden="false" customHeight="true" outlineLevel="0" collapsed="false">
      <c r="A365" s="14" t="n">
        <f aca="false">Report!C580</f>
        <v>46203</v>
      </c>
      <c r="B365" s="0" t="str">
        <f aca="false">Report!E580</f>
        <v>INNOVAR DISTRIBUIDORA DE COSMETICOS E MEDICAMENTOS LTDA</v>
      </c>
      <c r="C365" s="15" t="n">
        <f aca="false">Report!U580</f>
        <v>360.24</v>
      </c>
      <c r="D365" s="0" t="str">
        <f aca="false">Report!X580</f>
        <v>NF 102727 ELLEN</v>
      </c>
    </row>
    <row r="366" customFormat="false" ht="12.75" hidden="false" customHeight="true" outlineLevel="0" collapsed="false">
      <c r="A366" s="14" t="n">
        <f aca="false">Report!C581</f>
        <v>46203</v>
      </c>
      <c r="B366" s="0" t="str">
        <f aca="false">Report!E581</f>
        <v>NATUREZA COMERCIO DE DESCARTAVEIS LTDA</v>
      </c>
      <c r="C366" s="15" t="n">
        <f aca="false">Report!U581</f>
        <v>212.4</v>
      </c>
      <c r="D366" s="0" t="str">
        <f aca="false">Report!X581</f>
        <v>NF 27994 ELLEN</v>
      </c>
    </row>
    <row r="367" customFormat="false" ht="12.75" hidden="false" customHeight="true" outlineLevel="0" collapsed="false">
      <c r="A367" s="14" t="n">
        <f aca="false">Report!C582</f>
        <v>46203</v>
      </c>
      <c r="B367" s="0" t="str">
        <f aca="false">Report!E582</f>
        <v>NATUREZA COMERCIO DE DESCARTAVEIS LTDA</v>
      </c>
      <c r="C367" s="15" t="n">
        <f aca="false">Report!U582</f>
        <v>326.83</v>
      </c>
      <c r="D367" s="0" t="str">
        <f aca="false">Report!X582</f>
        <v>NF 729265 ELLEN</v>
      </c>
    </row>
    <row r="368" customFormat="false" ht="12.75" hidden="false" customHeight="true" outlineLevel="0" collapsed="false">
      <c r="A368" s="14" t="n">
        <f aca="false">Report!C583</f>
        <v>46203</v>
      </c>
      <c r="B368" s="0" t="str">
        <f aca="false">Report!E583</f>
        <v>NEYLIANE S DE OLIVEIRA &amp; CIA LTDA</v>
      </c>
      <c r="C368" s="15" t="n">
        <f aca="false">Report!U583</f>
        <v>1748.86</v>
      </c>
      <c r="D368" s="0" t="str">
        <f aca="false">Report!X583</f>
        <v>FEIRA SR RENATO- PG P LJ1 - ELLEN</v>
      </c>
    </row>
    <row r="369" customFormat="false" ht="12.75" hidden="false" customHeight="true" outlineLevel="0" collapsed="false">
      <c r="A369" s="14" t="n">
        <f aca="false">Report!C584</f>
        <v>46203</v>
      </c>
      <c r="B369" s="0" t="str">
        <f aca="false">Report!E584</f>
        <v>ORIENTE COM. ATACADISTA E REPRES. LTDA</v>
      </c>
      <c r="C369" s="15" t="n">
        <f aca="false">Report!U584</f>
        <v>1834</v>
      </c>
      <c r="D369" s="0" t="str">
        <f aca="false">Report!X584</f>
        <v>NF 1773 ELLEN</v>
      </c>
    </row>
    <row r="370" customFormat="false" ht="12.75" hidden="false" customHeight="true" outlineLevel="0" collapsed="false">
      <c r="A370" s="14" t="n">
        <f aca="false">Report!C585</f>
        <v>46203</v>
      </c>
      <c r="B370" s="0" t="str">
        <f aca="false">Report!E585</f>
        <v>SEM FORNECEDOR</v>
      </c>
      <c r="C370" s="15" t="n">
        <f aca="false">Report!U585</f>
        <v>72</v>
      </c>
      <c r="D370" s="0" t="str">
        <f aca="false">Report!X585</f>
        <v>4 cxs de brigadeiro/jose castro</v>
      </c>
    </row>
    <row r="371" customFormat="false" ht="12.75" hidden="false" customHeight="true" outlineLevel="0" collapsed="false">
      <c r="A371" s="14" t="n">
        <f aca="false">Report!C587</f>
        <v>46203</v>
      </c>
      <c r="B371" s="0" t="str">
        <f aca="false">Report!E587</f>
        <v>SEM FORNECEDOR</v>
      </c>
      <c r="C371" s="15" t="n">
        <f aca="false">Report!U587</f>
        <v>90</v>
      </c>
      <c r="D371" s="0" t="str">
        <f aca="false">Report!X587</f>
        <v>compras castanha de caju</v>
      </c>
    </row>
    <row r="372" customFormat="false" ht="12.75" hidden="false" customHeight="true" outlineLevel="0" collapsed="false">
      <c r="A372" s="14" t="n">
        <f aca="false">Report!C592</f>
        <v>46204</v>
      </c>
      <c r="B372" s="0" t="str">
        <f aca="false">Report!E592</f>
        <v>A. CORREA JUNIOR</v>
      </c>
      <c r="C372" s="15" t="n">
        <f aca="false">Report!U592</f>
        <v>1290.17</v>
      </c>
      <c r="D372" s="0" t="str">
        <f aca="false">Report!X592</f>
        <v>NF 1829 CARTÃO DIA 1 PARC 1/3 - ELLEN</v>
      </c>
    </row>
    <row r="373" customFormat="false" ht="12.75" hidden="false" customHeight="true" outlineLevel="0" collapsed="false">
      <c r="A373" s="14" t="n">
        <f aca="false">Report!C593</f>
        <v>46204</v>
      </c>
      <c r="B373" s="0" t="str">
        <f aca="false">Report!E593</f>
        <v>ADRIANA DISTRIBUIDORA DE PRODUTOS ALIMEN</v>
      </c>
      <c r="C373" s="15" t="n">
        <f aca="false">Report!U593</f>
        <v>589.08</v>
      </c>
      <c r="D373" s="0" t="str">
        <f aca="false">Report!X593</f>
        <v>NF 878758 ELLEN</v>
      </c>
    </row>
    <row r="374" customFormat="false" ht="12.75" hidden="false" customHeight="true" outlineLevel="0" collapsed="false">
      <c r="A374" s="14" t="n">
        <f aca="false">Report!C596</f>
        <v>46204</v>
      </c>
      <c r="B374" s="0" t="str">
        <f aca="false">Report!E596</f>
        <v>BRF S A</v>
      </c>
      <c r="C374" s="15" t="n">
        <f aca="false">Report!U596</f>
        <v>1104.14</v>
      </c>
      <c r="D374" s="0" t="str">
        <f aca="false">Report!X596</f>
        <v>NF 1595886 ELLEN</v>
      </c>
    </row>
    <row r="375" customFormat="false" ht="12.75" hidden="false" customHeight="true" outlineLevel="0" collapsed="false">
      <c r="A375" s="14" t="n">
        <f aca="false">Report!C597</f>
        <v>46204</v>
      </c>
      <c r="B375" s="0" t="str">
        <f aca="false">Report!E597</f>
        <v>BRF S A</v>
      </c>
      <c r="C375" s="15" t="n">
        <f aca="false">Report!U597</f>
        <v>671.16</v>
      </c>
      <c r="D375" s="0" t="str">
        <f aca="false">Report!X597</f>
        <v>NF 1598763 ELLEN</v>
      </c>
    </row>
    <row r="376" customFormat="false" ht="12.75" hidden="false" customHeight="true" outlineLevel="0" collapsed="false">
      <c r="A376" s="14" t="n">
        <f aca="false">Report!C600</f>
        <v>46204</v>
      </c>
      <c r="B376" s="0" t="str">
        <f aca="false">Report!E600</f>
        <v>FALCAO INDUSTRIA DE ALIMENTOS LTDA</v>
      </c>
      <c r="C376" s="15" t="n">
        <f aca="false">Report!U600</f>
        <v>922.07</v>
      </c>
      <c r="D376" s="0" t="str">
        <f aca="false">Report!X600</f>
        <v>NF 34450 ELLEN</v>
      </c>
    </row>
    <row r="377" customFormat="false" ht="12.75" hidden="false" customHeight="true" outlineLevel="0" collapsed="false">
      <c r="A377" s="14" t="n">
        <f aca="false">Report!C601</f>
        <v>46204</v>
      </c>
      <c r="B377" s="0" t="str">
        <f aca="false">Report!E601</f>
        <v>FALCAO INDUSTRIA DE ALIMENTOS LTDA</v>
      </c>
      <c r="C377" s="15" t="n">
        <f aca="false">Report!U601</f>
        <v>550.99</v>
      </c>
      <c r="D377" s="0" t="str">
        <f aca="false">Report!X601</f>
        <v>NF 30199 ELLEN</v>
      </c>
    </row>
    <row r="378" customFormat="false" ht="12.75" hidden="false" customHeight="true" outlineLevel="0" collapsed="false">
      <c r="A378" s="14" t="n">
        <f aca="false">Report!C602</f>
        <v>46204</v>
      </c>
      <c r="B378" s="0" t="str">
        <f aca="false">Report!E602</f>
        <v>FALCAO INDUSTRIA DE ALIMENTOS LTDA</v>
      </c>
      <c r="C378" s="15" t="n">
        <f aca="false">Report!U602</f>
        <v>551.88</v>
      </c>
      <c r="D378" s="0" t="str">
        <f aca="false">Report!X602</f>
        <v>NF 30415 ELLEN</v>
      </c>
    </row>
    <row r="379" customFormat="false" ht="12.75" hidden="false" customHeight="true" outlineLevel="0" collapsed="false">
      <c r="A379" s="14" t="n">
        <f aca="false">Report!C603</f>
        <v>46204</v>
      </c>
      <c r="B379" s="0" t="str">
        <f aca="false">Report!E603</f>
        <v>ILTON DA SILVA DOURADO 75418711253</v>
      </c>
      <c r="C379" s="15" t="n">
        <f aca="false">Report!U603</f>
        <v>1195</v>
      </c>
      <c r="D379" s="0" t="str">
        <f aca="false">Report!X603</f>
        <v>NF 2316 CARTÃO DIA 1 - AV - ELLEN</v>
      </c>
    </row>
    <row r="380" customFormat="false" ht="12.75" hidden="false" customHeight="true" outlineLevel="0" collapsed="false">
      <c r="A380" s="14" t="n">
        <f aca="false">Report!C604</f>
        <v>46204</v>
      </c>
      <c r="B380" s="0" t="str">
        <f aca="false">Report!E604</f>
        <v>J G COMERCIO DE PRODUTOS ALIMENTICIOS LTDA</v>
      </c>
      <c r="C380" s="15" t="n">
        <f aca="false">Report!U604</f>
        <v>314.44</v>
      </c>
      <c r="D380" s="0" t="str">
        <f aca="false">Report!X604</f>
        <v>NF 388857 ELLEN</v>
      </c>
    </row>
    <row r="381" customFormat="false" ht="12.75" hidden="false" customHeight="true" outlineLevel="0" collapsed="false">
      <c r="A381" s="14" t="n">
        <f aca="false">Report!C605</f>
        <v>46204</v>
      </c>
      <c r="B381" s="0" t="str">
        <f aca="false">Report!E605</f>
        <v>J W N DOS SANTOS</v>
      </c>
      <c r="C381" s="15" t="n">
        <f aca="false">Report!U605</f>
        <v>310</v>
      </c>
      <c r="D381" s="0" t="str">
        <f aca="false">Report!X605</f>
        <v>NF 325 ELLEN</v>
      </c>
    </row>
    <row r="382" customFormat="false" ht="12.75" hidden="false" customHeight="true" outlineLevel="0" collapsed="false">
      <c r="A382" s="14" t="n">
        <f aca="false">Report!C606</f>
        <v>46204</v>
      </c>
      <c r="B382" s="0" t="str">
        <f aca="false">Report!E606</f>
        <v>JUROS A FORNECEDOR</v>
      </c>
      <c r="C382" s="15" t="n">
        <f aca="false">Report!U606</f>
        <v>70.33</v>
      </c>
      <c r="D382" s="0" t="str">
        <f aca="false">Report!X606</f>
        <v>JUROS FORNEC. MO2</v>
      </c>
    </row>
    <row r="383" customFormat="false" ht="12.75" hidden="false" customHeight="true" outlineLevel="0" collapsed="false">
      <c r="A383" s="14" t="n">
        <f aca="false">Report!C608</f>
        <v>46204</v>
      </c>
      <c r="B383" s="0" t="str">
        <f aca="false">Report!E608</f>
        <v>LINU LOJAS DE VARIEDADES LTDA</v>
      </c>
      <c r="C383" s="15" t="n">
        <f aca="false">Report!U608</f>
        <v>2913</v>
      </c>
      <c r="D383" s="0" t="str">
        <f aca="false">Report!X608</f>
        <v>NF 596 CARTÃO DIA 1 - AV -ELLEN</v>
      </c>
    </row>
    <row r="384" customFormat="false" ht="12.75" hidden="false" customHeight="true" outlineLevel="0" collapsed="false">
      <c r="A384" s="14" t="n">
        <f aca="false">Report!C609</f>
        <v>46204</v>
      </c>
      <c r="B384" s="0" t="str">
        <f aca="false">Report!E609</f>
        <v>LUIS HENRIQUE FROTA MAGALHAES</v>
      </c>
      <c r="C384" s="15" t="n">
        <f aca="false">Report!U609</f>
        <v>351.53</v>
      </c>
      <c r="D384" s="0" t="str">
        <f aca="false">Report!X609</f>
        <v>NF 1948 CARTÃO DIA 1 - PARC 1/2 - ELLEN</v>
      </c>
    </row>
    <row r="385" customFormat="false" ht="12.75" hidden="false" customHeight="true" outlineLevel="0" collapsed="false">
      <c r="A385" s="14" t="n">
        <f aca="false">Report!C612</f>
        <v>46204</v>
      </c>
      <c r="B385" s="0" t="str">
        <f aca="false">Report!E612</f>
        <v>NEYLIANE S DE OLIVEIRA &amp; CIA LTDA</v>
      </c>
      <c r="C385" s="15" t="n">
        <f aca="false">Report!U612</f>
        <v>210</v>
      </c>
      <c r="D385" s="0" t="str">
        <f aca="false">Report!X612</f>
        <v>COMPRAS - 15L DE ACAI - PG NO P 1/7/26 ELLEN</v>
      </c>
    </row>
    <row r="386" customFormat="false" ht="12.75" hidden="false" customHeight="true" outlineLevel="0" collapsed="false">
      <c r="A386" s="14" t="n">
        <f aca="false">Report!C613</f>
        <v>46204</v>
      </c>
      <c r="B386" s="0" t="str">
        <f aca="false">Report!E613</f>
        <v>OESA COMERCIO E REPRESENTACOES S/A</v>
      </c>
      <c r="C386" s="15" t="n">
        <f aca="false">Report!U613</f>
        <v>61.57</v>
      </c>
      <c r="D386" s="0" t="str">
        <f aca="false">Report!X613</f>
        <v>NF 416678 ELLEN</v>
      </c>
    </row>
    <row r="387" customFormat="false" ht="12.75" hidden="false" customHeight="true" outlineLevel="0" collapsed="false">
      <c r="A387" s="14" t="n">
        <f aca="false">Report!C615</f>
        <v>46204</v>
      </c>
      <c r="B387" s="0" t="str">
        <f aca="false">Report!E615</f>
        <v>PANIFICADORA E CONFEITARIA REAL MADRI LTDA</v>
      </c>
      <c r="C387" s="15" t="n">
        <f aca="false">Report!U615</f>
        <v>345.65</v>
      </c>
      <c r="D387" s="0" t="str">
        <f aca="false">Report!X615</f>
        <v>NF 685 ELLEN</v>
      </c>
    </row>
    <row r="388" customFormat="false" ht="12.75" hidden="false" customHeight="true" outlineLevel="0" collapsed="false">
      <c r="A388" s="14" t="n">
        <f aca="false">Report!C619</f>
        <v>46204</v>
      </c>
      <c r="B388" s="0" t="str">
        <f aca="false">Report!E619</f>
        <v>SEM FORNECEDOR</v>
      </c>
      <c r="C388" s="15" t="n">
        <f aca="false">Report!U619</f>
        <v>60</v>
      </c>
      <c r="D388" s="0" t="str">
        <f aca="false">Report!X619</f>
        <v>pipoca gourmet/pop gio</v>
      </c>
    </row>
    <row r="389" customFormat="false" ht="12.75" hidden="false" customHeight="true" outlineLevel="0" collapsed="false">
      <c r="A389" s="14" t="n">
        <f aca="false">Report!C622</f>
        <v>46204</v>
      </c>
      <c r="B389" s="0" t="str">
        <f aca="false">Report!E622</f>
        <v>SHMILY COMERCIO DE ARTIGOS DO VESTUARIO</v>
      </c>
      <c r="C389" s="15" t="n">
        <f aca="false">Report!U622</f>
        <v>1377</v>
      </c>
      <c r="D389" s="0" t="str">
        <f aca="false">Report!X622</f>
        <v>NF 420 CARTÃO DIA - AV - ELLEN</v>
      </c>
    </row>
    <row r="390" customFormat="false" ht="12.75" hidden="false" customHeight="true" outlineLevel="0" collapsed="false">
      <c r="A390" s="14" t="n">
        <f aca="false">Report!C624</f>
        <v>46204</v>
      </c>
      <c r="B390" s="0" t="str">
        <f aca="false">Report!E624</f>
        <v>TRES CORACOES ALIMENTOS S.A.</v>
      </c>
      <c r="C390" s="15" t="n">
        <f aca="false">Report!U624</f>
        <v>877.26</v>
      </c>
      <c r="D390" s="0" t="str">
        <f aca="false">Report!X624</f>
        <v>NF 346452 ELLEN</v>
      </c>
    </row>
    <row r="391" customFormat="false" ht="12.75" hidden="false" customHeight="true" outlineLevel="0" collapsed="false">
      <c r="A391" s="14" t="n">
        <f aca="false">Report!C625</f>
        <v>46204</v>
      </c>
      <c r="B391" s="0" t="str">
        <f aca="false">Report!E625</f>
        <v>XF 10 LOJA DE VARIEDADES LTDA</v>
      </c>
      <c r="C391" s="15" t="n">
        <f aca="false">Report!U625</f>
        <v>683.06</v>
      </c>
      <c r="D391" s="0" t="str">
        <f aca="false">Report!X625</f>
        <v>NF 1006 CARTÃO DIA 1 PARC 1/2 - ELLEN</v>
      </c>
    </row>
    <row r="392" customFormat="false" ht="12.75" hidden="false" customHeight="true" outlineLevel="0" collapsed="false">
      <c r="A392" s="14" t="n">
        <f aca="false">Report!C626</f>
        <v>46205</v>
      </c>
      <c r="B392" s="0" t="str">
        <f aca="false">Report!E626</f>
        <v>ADICSO FABIAN GONZALEZ MONTILLA 70302186</v>
      </c>
      <c r="C392" s="15" t="n">
        <f aca="false">Report!U626</f>
        <v>180</v>
      </c>
      <c r="D392" s="0" t="str">
        <f aca="false">Report!X626</f>
        <v>NF 515 ELLEN</v>
      </c>
    </row>
    <row r="393" customFormat="false" ht="12.75" hidden="false" customHeight="true" outlineLevel="0" collapsed="false">
      <c r="A393" s="14" t="n">
        <f aca="false">Report!C627</f>
        <v>46205</v>
      </c>
      <c r="B393" s="0" t="str">
        <f aca="false">Report!E627</f>
        <v>BRASIL NORTE BEBIDAS S/A</v>
      </c>
      <c r="C393" s="15" t="n">
        <f aca="false">Report!U627</f>
        <v>1579.97</v>
      </c>
      <c r="D393" s="0" t="str">
        <f aca="false">Report!X627</f>
        <v>NF 1887053 ELLEN</v>
      </c>
    </row>
    <row r="394" customFormat="false" ht="12.75" hidden="false" customHeight="true" outlineLevel="0" collapsed="false">
      <c r="A394" s="14" t="n">
        <f aca="false">Report!C628</f>
        <v>46205</v>
      </c>
      <c r="B394" s="0" t="str">
        <f aca="false">Report!E628</f>
        <v>BRASIL NORTE BEBIDAS S/A</v>
      </c>
      <c r="C394" s="15" t="n">
        <f aca="false">Report!U628</f>
        <v>105.91</v>
      </c>
      <c r="D394" s="0" t="str">
        <f aca="false">Report!X628</f>
        <v>NF 1165748 ELLEN</v>
      </c>
    </row>
    <row r="395" customFormat="false" ht="12.75" hidden="false" customHeight="true" outlineLevel="0" collapsed="false">
      <c r="A395" s="14" t="n">
        <f aca="false">Report!C629</f>
        <v>46205</v>
      </c>
      <c r="B395" s="0" t="str">
        <f aca="false">Report!E629</f>
        <v>CB COMERCIO E DISTRIBUIDORA DE ALIMENTOS</v>
      </c>
      <c r="C395" s="15" t="n">
        <f aca="false">Report!U629</f>
        <v>844.74</v>
      </c>
      <c r="D395" s="0" t="str">
        <f aca="false">Report!X629</f>
        <v>NF 843147 ELLEN</v>
      </c>
    </row>
    <row r="396" customFormat="false" ht="12.75" hidden="false" customHeight="true" outlineLevel="0" collapsed="false">
      <c r="A396" s="14" t="n">
        <f aca="false">Report!C630</f>
        <v>46205</v>
      </c>
      <c r="B396" s="0" t="str">
        <f aca="false">Report!E630</f>
        <v>DUNORTE DISTRIBUIDORA DE PRODUTOS DE CONSUMO LTDA</v>
      </c>
      <c r="C396" s="15" t="n">
        <f aca="false">Report!U630</f>
        <v>1105.95</v>
      </c>
      <c r="D396" s="0" t="str">
        <f aca="false">Report!X630</f>
        <v>NF 3201284 ELLEN</v>
      </c>
    </row>
    <row r="397" customFormat="false" ht="12.75" hidden="false" customHeight="true" outlineLevel="0" collapsed="false">
      <c r="A397" s="14" t="n">
        <f aca="false">Report!C631</f>
        <v>46205</v>
      </c>
      <c r="B397" s="0" t="str">
        <f aca="false">Report!E631</f>
        <v>DURAES DISTRIBUIDORA DE ESTIVAS LTDA</v>
      </c>
      <c r="C397" s="15" t="n">
        <f aca="false">Report!U631</f>
        <v>383.47</v>
      </c>
      <c r="D397" s="0" t="str">
        <f aca="false">Report!X631</f>
        <v>NF 645628 ELLEN</v>
      </c>
    </row>
    <row r="398" customFormat="false" ht="12.75" hidden="false" customHeight="true" outlineLevel="0" collapsed="false">
      <c r="A398" s="14" t="n">
        <f aca="false">Report!C632</f>
        <v>46205</v>
      </c>
      <c r="B398" s="0" t="str">
        <f aca="false">Report!E632</f>
        <v>FH DISTRIBUIDORA DE ALIM. E BEBIDAS LTDA</v>
      </c>
      <c r="C398" s="15" t="n">
        <f aca="false">Report!U632</f>
        <v>496.2</v>
      </c>
      <c r="D398" s="0" t="str">
        <f aca="false">Report!X632</f>
        <v>NF 326863 ELLEN</v>
      </c>
    </row>
    <row r="399" customFormat="false" ht="12.75" hidden="false" customHeight="true" outlineLevel="0" collapsed="false">
      <c r="A399" s="14" t="n">
        <f aca="false">Report!C633</f>
        <v>46205</v>
      </c>
      <c r="B399" s="0" t="str">
        <f aca="false">Report!E633</f>
        <v>H L M PADARIA E CONFEITARIA LTDA</v>
      </c>
      <c r="C399" s="15" t="n">
        <f aca="false">Report!U633</f>
        <v>140</v>
      </c>
      <c r="D399" s="0" t="str">
        <f aca="false">Report!X633</f>
        <v>NF 64 COMPRAS-BOLO PG NO P 2/7 ELLEN</v>
      </c>
    </row>
    <row r="400" customFormat="false" ht="12.75" hidden="false" customHeight="true" outlineLevel="0" collapsed="false">
      <c r="A400" s="14" t="n">
        <f aca="false">Report!C640</f>
        <v>46205</v>
      </c>
      <c r="B400" s="0" t="str">
        <f aca="false">Report!E640</f>
        <v>J G COMERCIO DE PRODUTOS ALIMENTICIOS LTDA</v>
      </c>
      <c r="C400" s="15" t="n">
        <f aca="false">Report!U640</f>
        <v>2664.53</v>
      </c>
      <c r="D400" s="0" t="str">
        <f aca="false">Report!X640</f>
        <v>NF 387833 ELLEN</v>
      </c>
    </row>
    <row r="401" customFormat="false" ht="12.75" hidden="false" customHeight="true" outlineLevel="0" collapsed="false">
      <c r="A401" s="14" t="n">
        <f aca="false">Report!C641</f>
        <v>46205</v>
      </c>
      <c r="B401" s="0" t="str">
        <f aca="false">Report!E641</f>
        <v>LIMA E BARANDA COMERCIO DE PRODUTOS REGI</v>
      </c>
      <c r="C401" s="15" t="n">
        <f aca="false">Report!U641</f>
        <v>199</v>
      </c>
      <c r="D401" s="0" t="str">
        <f aca="false">Report!X641</f>
        <v>NF 31144 ELLEN</v>
      </c>
    </row>
    <row r="402" customFormat="false" ht="12.75" hidden="false" customHeight="true" outlineLevel="0" collapsed="false">
      <c r="A402" s="14" t="n">
        <f aca="false">Report!C642</f>
        <v>46205</v>
      </c>
      <c r="B402" s="0" t="str">
        <f aca="false">Report!E642</f>
        <v>MARTINS COM SERV DISTR SA</v>
      </c>
      <c r="C402" s="15" t="n">
        <f aca="false">Report!U642</f>
        <v>613.33</v>
      </c>
      <c r="D402" s="0" t="str">
        <f aca="false">Report!X642</f>
        <v>NF 1771887 ELLEN</v>
      </c>
    </row>
    <row r="403" customFormat="false" ht="12.75" hidden="false" customHeight="true" outlineLevel="0" collapsed="false">
      <c r="A403" s="14" t="n">
        <f aca="false">Report!C643</f>
        <v>46205</v>
      </c>
      <c r="B403" s="0" t="str">
        <f aca="false">Report!E643</f>
        <v>NESTLÉ BRASIL LTDA.</v>
      </c>
      <c r="C403" s="15" t="n">
        <f aca="false">Report!U643</f>
        <v>731.24</v>
      </c>
      <c r="D403" s="0" t="str">
        <f aca="false">Report!X643</f>
        <v>NF 1415530 ELLEN</v>
      </c>
    </row>
    <row r="404" customFormat="false" ht="12.75" hidden="false" customHeight="true" outlineLevel="0" collapsed="false">
      <c r="A404" s="14" t="n">
        <f aca="false">Report!C644</f>
        <v>46205</v>
      </c>
      <c r="B404" s="0" t="str">
        <f aca="false">Report!E644</f>
        <v>NESTLÉ BRASIL LTDA.</v>
      </c>
      <c r="C404" s="15" t="n">
        <f aca="false">Report!U644</f>
        <v>1484.53</v>
      </c>
      <c r="D404" s="0" t="str">
        <f aca="false">Report!X644</f>
        <v>NF 1415529 ELLEN</v>
      </c>
    </row>
    <row r="405" customFormat="false" ht="12.75" hidden="false" customHeight="true" outlineLevel="0" collapsed="false">
      <c r="A405" s="14" t="n">
        <f aca="false">Report!C645</f>
        <v>46205</v>
      </c>
      <c r="B405" s="0" t="str">
        <f aca="false">Report!E645</f>
        <v>REAL BEBIDAS DA AMAZONIA LTDA</v>
      </c>
      <c r="C405" s="15" t="n">
        <f aca="false">Report!U645</f>
        <v>262</v>
      </c>
      <c r="D405" s="0" t="str">
        <f aca="false">Report!X645</f>
        <v>NF 590547 ELLEN</v>
      </c>
    </row>
    <row r="406" customFormat="false" ht="12.75" hidden="false" customHeight="true" outlineLevel="0" collapsed="false">
      <c r="A406" s="14" t="n">
        <f aca="false">Report!C646</f>
        <v>46205</v>
      </c>
      <c r="B406" s="0" t="str">
        <f aca="false">Report!E646</f>
        <v>RISADINHA LTDA</v>
      </c>
      <c r="C406" s="15" t="n">
        <f aca="false">Report!U646</f>
        <v>550.4</v>
      </c>
      <c r="D406" s="0" t="str">
        <f aca="false">Report!X646</f>
        <v>NF 658429 ELLEN</v>
      </c>
    </row>
    <row r="407" customFormat="false" ht="12.75" hidden="false" customHeight="true" outlineLevel="0" collapsed="false">
      <c r="A407" s="14" t="n">
        <f aca="false">Report!C647</f>
        <v>46205</v>
      </c>
      <c r="B407" s="0" t="str">
        <f aca="false">Report!E647</f>
        <v>SEM FORNECEDOR</v>
      </c>
      <c r="C407" s="15" t="n">
        <f aca="false">Report!U647</f>
        <v>193</v>
      </c>
      <c r="D407" s="0" t="str">
        <f aca="false">Report!X647</f>
        <v>queijo coalho/valdirlan</v>
      </c>
    </row>
    <row r="408" customFormat="false" ht="12.75" hidden="false" customHeight="true" outlineLevel="0" collapsed="false">
      <c r="A408" s="14" t="n">
        <f aca="false">Report!C649</f>
        <v>46205</v>
      </c>
      <c r="B408" s="0" t="str">
        <f aca="false">Report!E649</f>
        <v>SL DISTRIBUIDORA COM. DE PROD. ALIMENTIC</v>
      </c>
      <c r="C408" s="15" t="n">
        <f aca="false">Report!U649</f>
        <v>552.38</v>
      </c>
      <c r="D408" s="0" t="str">
        <f aca="false">Report!X649</f>
        <v>NF 10423 ELLEN</v>
      </c>
    </row>
    <row r="409" customFormat="false" ht="12.75" hidden="false" customHeight="true" outlineLevel="0" collapsed="false">
      <c r="A409" s="14" t="n">
        <f aca="false">Report!C650</f>
        <v>46205</v>
      </c>
      <c r="B409" s="0" t="str">
        <f aca="false">Report!E650</f>
        <v>T A DE MATTOS COMIM EIRELI</v>
      </c>
      <c r="C409" s="15" t="n">
        <f aca="false">Report!U650</f>
        <v>228</v>
      </c>
      <c r="D409" s="0" t="str">
        <f aca="false">Report!X650</f>
        <v>NF 10605 ELLEN</v>
      </c>
    </row>
    <row r="410" customFormat="false" ht="12.75" hidden="false" customHeight="true" outlineLevel="0" collapsed="false">
      <c r="A410" s="14" t="n">
        <f aca="false">Report!C653</f>
        <v>46206</v>
      </c>
      <c r="B410" s="0" t="str">
        <f aca="false">Report!E653</f>
        <v>BRAGA TABACARIA EIRELI ME</v>
      </c>
      <c r="C410" s="15" t="n">
        <f aca="false">Report!U653</f>
        <v>1433.64</v>
      </c>
      <c r="D410" s="0" t="str">
        <f aca="false">Report!X653</f>
        <v>NF 18762 ELLEN</v>
      </c>
    </row>
    <row r="411" customFormat="false" ht="12.75" hidden="false" customHeight="true" outlineLevel="0" collapsed="false">
      <c r="A411" s="14" t="n">
        <f aca="false">Report!C654</f>
        <v>46206</v>
      </c>
      <c r="B411" s="0" t="str">
        <f aca="false">Report!E654</f>
        <v>BRAGA TABACARIA EIRELI ME</v>
      </c>
      <c r="C411" s="15" t="n">
        <f aca="false">Report!U654</f>
        <v>796.74</v>
      </c>
      <c r="D411" s="0" t="str">
        <f aca="false">Report!X654</f>
        <v>NF 18889 ELLEN</v>
      </c>
    </row>
    <row r="412" customFormat="false" ht="12.75" hidden="false" customHeight="true" outlineLevel="0" collapsed="false">
      <c r="A412" s="14" t="n">
        <f aca="false">Report!C655</f>
        <v>46206</v>
      </c>
      <c r="B412" s="0" t="str">
        <f aca="false">Report!E655</f>
        <v>BRAGA TABACARIA EIRELI ME</v>
      </c>
      <c r="C412" s="15" t="n">
        <f aca="false">Report!U655</f>
        <v>534.44</v>
      </c>
      <c r="D412" s="0" t="str">
        <f aca="false">Report!X655</f>
        <v>S/NF - CATUABA/COPO/XAROPE-ELLEN</v>
      </c>
    </row>
    <row r="413" customFormat="false" ht="12.75" hidden="false" customHeight="true" outlineLevel="0" collapsed="false">
      <c r="A413" s="14" t="n">
        <f aca="false">Report!C656</f>
        <v>46206</v>
      </c>
      <c r="B413" s="0" t="str">
        <f aca="false">Report!E656</f>
        <v>BROTHERS  INDUSTRIA DE ALIMENTOS LTDA</v>
      </c>
      <c r="C413" s="15" t="n">
        <f aca="false">Report!U656</f>
        <v>305.38</v>
      </c>
      <c r="D413" s="0" t="str">
        <f aca="false">Report!X656</f>
        <v>NF 102906 ELLEN</v>
      </c>
    </row>
    <row r="414" customFormat="false" ht="12.75" hidden="false" customHeight="true" outlineLevel="0" collapsed="false">
      <c r="A414" s="14" t="n">
        <f aca="false">Report!C659</f>
        <v>46206</v>
      </c>
      <c r="B414" s="0" t="str">
        <f aca="false">Report!E659</f>
        <v>CRBS S/A</v>
      </c>
      <c r="C414" s="15" t="n">
        <f aca="false">Report!U659</f>
        <v>2177.83</v>
      </c>
      <c r="D414" s="0" t="str">
        <f aca="false">Report!X659</f>
        <v>NF 877177 ELLEN</v>
      </c>
    </row>
    <row r="415" customFormat="false" ht="12.75" hidden="false" customHeight="true" outlineLevel="0" collapsed="false">
      <c r="A415" s="14" t="n">
        <f aca="false">Report!C660</f>
        <v>46206</v>
      </c>
      <c r="B415" s="0" t="str">
        <f aca="false">Report!E660</f>
        <v>CRBS S/A</v>
      </c>
      <c r="C415" s="15" t="n">
        <f aca="false">Report!U660</f>
        <v>1.55</v>
      </c>
      <c r="D415" s="0" t="str">
        <f aca="false">Report!X660</f>
        <v>NF 877177 REF TARIFA AMBEV - ELLEN</v>
      </c>
    </row>
    <row r="416" customFormat="false" ht="12.75" hidden="false" customHeight="true" outlineLevel="0" collapsed="false">
      <c r="A416" s="14" t="n">
        <f aca="false">Report!C663</f>
        <v>46206</v>
      </c>
      <c r="B416" s="0" t="str">
        <f aca="false">Report!E663</f>
        <v>DISTRIBUIDORA FARIAS LTDA.</v>
      </c>
      <c r="C416" s="15" t="n">
        <f aca="false">Report!U663</f>
        <v>658.25</v>
      </c>
      <c r="D416" s="0" t="str">
        <f aca="false">Report!X663</f>
        <v>NF 674938 ELLEN</v>
      </c>
    </row>
    <row r="417" customFormat="false" ht="12.75" hidden="false" customHeight="true" outlineLevel="0" collapsed="false">
      <c r="A417" s="14" t="n">
        <f aca="false">Report!C664</f>
        <v>46206</v>
      </c>
      <c r="B417" s="0" t="str">
        <f aca="false">Report!E664</f>
        <v>DISTRIBUIDORA FARIAS LTDA.</v>
      </c>
      <c r="C417" s="15" t="n">
        <f aca="false">Report!U664</f>
        <v>1055.34</v>
      </c>
      <c r="D417" s="0" t="str">
        <f aca="false">Report!X664</f>
        <v>NF 674937 ELLEN</v>
      </c>
    </row>
    <row r="418" customFormat="false" ht="12.75" hidden="false" customHeight="true" outlineLevel="0" collapsed="false">
      <c r="A418" s="14" t="n">
        <f aca="false">Report!C665</f>
        <v>46206</v>
      </c>
      <c r="B418" s="0" t="str">
        <f aca="false">Report!E665</f>
        <v>DISTRIBUIDORA LOPES LTDA</v>
      </c>
      <c r="C418" s="15" t="n">
        <f aca="false">Report!U665</f>
        <v>1154.89</v>
      </c>
      <c r="D418" s="0" t="str">
        <f aca="false">Report!X665</f>
        <v>NF 1676804 ELLEN</v>
      </c>
    </row>
    <row r="419" customFormat="false" ht="12.75" hidden="false" customHeight="true" outlineLevel="0" collapsed="false">
      <c r="A419" s="14" t="n">
        <f aca="false">Report!C666</f>
        <v>46206</v>
      </c>
      <c r="B419" s="0" t="str">
        <f aca="false">Report!E666</f>
        <v>DUNORTE DISTRIBUIDORA DE PRODUTOS DE CONSUMO LTDA</v>
      </c>
      <c r="C419" s="15" t="n">
        <f aca="false">Report!U666</f>
        <v>892.08</v>
      </c>
      <c r="D419" s="0" t="str">
        <f aca="false">Report!X666</f>
        <v>NF 3201857 ELLEN</v>
      </c>
    </row>
    <row r="420" customFormat="false" ht="12.75" hidden="false" customHeight="true" outlineLevel="0" collapsed="false">
      <c r="A420" s="14" t="n">
        <f aca="false">Report!C672</f>
        <v>46206</v>
      </c>
      <c r="B420" s="0" t="str">
        <f aca="false">Report!E672</f>
        <v>FEIRA</v>
      </c>
      <c r="C420" s="15" t="n">
        <f aca="false">Report!U672</f>
        <v>280</v>
      </c>
      <c r="D420" s="0" t="str">
        <f aca="false">Report!X672</f>
        <v>FEIRA SR RENATO-PERA/UVA-SOMAR C NF2522-PG POTE LJ2-ELLEN</v>
      </c>
    </row>
    <row r="421" customFormat="false" ht="12.75" hidden="false" customHeight="true" outlineLevel="0" collapsed="false">
      <c r="A421" s="14" t="n">
        <f aca="false">Report!C673</f>
        <v>46206</v>
      </c>
      <c r="B421" s="0" t="str">
        <f aca="false">Report!E673</f>
        <v>FENNIX BRASIL DISTRIBUIDORA DE PRODUTOS</v>
      </c>
      <c r="C421" s="15" t="n">
        <f aca="false">Report!U673</f>
        <v>866.36</v>
      </c>
      <c r="D421" s="0" t="str">
        <f aca="false">Report!X673</f>
        <v>NF 394904 ELLEN</v>
      </c>
    </row>
    <row r="422" customFormat="false" ht="12.75" hidden="false" customHeight="true" outlineLevel="0" collapsed="false">
      <c r="A422" s="14" t="n">
        <f aca="false">Report!C676</f>
        <v>46206</v>
      </c>
      <c r="B422" s="0" t="str">
        <f aca="false">Report!E676</f>
        <v>H L M PADARIA E CONFEITARIA LTDA</v>
      </c>
      <c r="C422" s="15" t="n">
        <f aca="false">Report!U676</f>
        <v>120</v>
      </c>
      <c r="D422" s="0" t="str">
        <f aca="false">Report!X676</f>
        <v>NF 17 COMPRAS-BOLO PG NO P 3/7 ELLEN</v>
      </c>
    </row>
    <row r="423" customFormat="false" ht="12.75" hidden="false" customHeight="true" outlineLevel="0" collapsed="false">
      <c r="A423" s="14" t="n">
        <f aca="false">Report!C679</f>
        <v>46206</v>
      </c>
      <c r="B423" s="0" t="str">
        <f aca="false">Report!E679</f>
        <v>J G COMERCIO DE PRODUTOS ALIMENTICIOS LTDA</v>
      </c>
      <c r="C423" s="15" t="n">
        <f aca="false">Report!U679</f>
        <v>371.88</v>
      </c>
      <c r="D423" s="0" t="str">
        <f aca="false">Report!X679</f>
        <v>NF 389368 ELLEN</v>
      </c>
    </row>
    <row r="424" customFormat="false" ht="12.75" hidden="false" customHeight="true" outlineLevel="0" collapsed="false">
      <c r="A424" s="14" t="n">
        <f aca="false">Report!C680</f>
        <v>46206</v>
      </c>
      <c r="B424" s="0" t="str">
        <f aca="false">Report!E680</f>
        <v>L S M COMERCIO DE ALIMENTOS E NAVEGACAO</v>
      </c>
      <c r="C424" s="15" t="n">
        <f aca="false">Report!U680</f>
        <v>1184.07</v>
      </c>
      <c r="D424" s="0" t="str">
        <f aca="false">Report!X680</f>
        <v>NF 305929 ELLEN</v>
      </c>
    </row>
    <row r="425" customFormat="false" ht="12.75" hidden="false" customHeight="true" outlineLevel="0" collapsed="false">
      <c r="A425" s="14" t="n">
        <f aca="false">Report!C683</f>
        <v>46206</v>
      </c>
      <c r="B425" s="0" t="str">
        <f aca="false">Report!E683</f>
        <v>MAXFRI DISTRIUIDORA LTDA</v>
      </c>
      <c r="C425" s="15" t="n">
        <f aca="false">Report!U683</f>
        <v>1997.03</v>
      </c>
      <c r="D425" s="0" t="str">
        <f aca="false">Report!X683</f>
        <v>NF 14560 ELLEN</v>
      </c>
    </row>
    <row r="426" customFormat="false" ht="12.75" hidden="false" customHeight="true" outlineLevel="0" collapsed="false">
      <c r="A426" s="14" t="n">
        <f aca="false">Report!C684</f>
        <v>46206</v>
      </c>
      <c r="B426" s="0" t="str">
        <f aca="false">Report!E684</f>
        <v>NEYLIANE S DE OLIVEIRA &amp; CIA LTDA</v>
      </c>
      <c r="C426" s="15" t="n">
        <f aca="false">Report!U684</f>
        <v>280</v>
      </c>
      <c r="D426" s="0" t="str">
        <f aca="false">Report!X684</f>
        <v>COMPRAS-20L DE ACAI-PG NO P 3/7/26-ELLEN</v>
      </c>
    </row>
    <row r="427" customFormat="false" ht="12.75" hidden="false" customHeight="true" outlineLevel="0" collapsed="false">
      <c r="A427" s="14" t="n">
        <f aca="false">Report!C685</f>
        <v>46206</v>
      </c>
      <c r="B427" s="0" t="str">
        <f aca="false">Report!E685</f>
        <v>NEYLIANE S DE OLIVEIRA &amp; CIA LTDA</v>
      </c>
      <c r="C427" s="15" t="n">
        <f aca="false">Report!U685</f>
        <v>1082.6</v>
      </c>
      <c r="D427" s="0" t="str">
        <f aca="false">Report!X685</f>
        <v>FEIRA SR RENATO - PG POTE LJ2 - ELLEN</v>
      </c>
    </row>
    <row r="428" customFormat="false" ht="12.75" hidden="false" customHeight="true" outlineLevel="0" collapsed="false">
      <c r="A428" s="14" t="n">
        <f aca="false">Report!C687</f>
        <v>46206</v>
      </c>
      <c r="B428" s="0" t="str">
        <f aca="false">Report!E687</f>
        <v>OESA COMERCIO E REPRESENTACOES S/A</v>
      </c>
      <c r="C428" s="15" t="n">
        <f aca="false">Report!U687</f>
        <v>619.99</v>
      </c>
      <c r="D428" s="0" t="str">
        <f aca="false">Report!X687</f>
        <v>NF 419092 ELLEN</v>
      </c>
    </row>
    <row r="429" customFormat="false" ht="12.75" hidden="false" customHeight="true" outlineLevel="0" collapsed="false">
      <c r="A429" s="14" t="n">
        <f aca="false">Report!C696</f>
        <v>46206</v>
      </c>
      <c r="B429" s="0" t="str">
        <f aca="false">Report!E696</f>
        <v>SOUZA CRUZ LTDA.</v>
      </c>
      <c r="C429" s="15" t="n">
        <f aca="false">Report!U696</f>
        <v>5761.35</v>
      </c>
      <c r="D429" s="0" t="str">
        <f aca="false">Report!X696</f>
        <v>NF 564993 ELLEN</v>
      </c>
    </row>
    <row r="430" customFormat="false" ht="12.75" hidden="false" customHeight="true" outlineLevel="0" collapsed="false">
      <c r="A430" s="14" t="n">
        <f aca="false">Report!C699</f>
        <v>46207</v>
      </c>
      <c r="B430" s="0" t="str">
        <f aca="false">Report!E699</f>
        <v>BRASIL NORTE BEBIDAS S/A</v>
      </c>
      <c r="C430" s="15" t="n">
        <f aca="false">Report!U699</f>
        <v>50.85</v>
      </c>
      <c r="D430" s="0" t="str">
        <f aca="false">Report!X699</f>
        <v>NF 1169404 ELLEN</v>
      </c>
    </row>
    <row r="431" customFormat="false" ht="12.75" hidden="false" customHeight="true" outlineLevel="0" collapsed="false">
      <c r="A431" s="14" t="n">
        <f aca="false">Report!C700</f>
        <v>46207</v>
      </c>
      <c r="B431" s="0" t="str">
        <f aca="false">Report!E700</f>
        <v>BRASIL NORTE BEBIDAS S/A</v>
      </c>
      <c r="C431" s="15" t="n">
        <f aca="false">Report!U700</f>
        <v>467.76</v>
      </c>
      <c r="D431" s="0" t="str">
        <f aca="false">Report!X700</f>
        <v>NF 1890993 ELLEN</v>
      </c>
    </row>
    <row r="432" customFormat="false" ht="12.75" hidden="false" customHeight="true" outlineLevel="0" collapsed="false">
      <c r="A432" s="14" t="n">
        <f aca="false">Report!C701</f>
        <v>46207</v>
      </c>
      <c r="B432" s="0" t="str">
        <f aca="false">Report!E701</f>
        <v>COMERCIO DE FRIOS MANAUS LTDA</v>
      </c>
      <c r="C432" s="15" t="n">
        <f aca="false">Report!U701</f>
        <v>4001</v>
      </c>
      <c r="D432" s="0" t="str">
        <f aca="false">Report!X701</f>
        <v>NF 172089 ELLEN</v>
      </c>
    </row>
    <row r="433" customFormat="false" ht="12.75" hidden="false" customHeight="true" outlineLevel="0" collapsed="false">
      <c r="A433" s="14" t="n">
        <f aca="false">Report!C702</f>
        <v>46207</v>
      </c>
      <c r="B433" s="0" t="str">
        <f aca="false">Report!E702</f>
        <v>H L M PADARIA E CONFEITARIA LTDA</v>
      </c>
      <c r="C433" s="15" t="n">
        <f aca="false">Report!U702</f>
        <v>140</v>
      </c>
      <c r="D433" s="0" t="str">
        <f aca="false">Report!X702</f>
        <v>NF 65 COMPRAS BOLO - PG NO P 4/7 ELLEN</v>
      </c>
    </row>
    <row r="434" customFormat="false" ht="12.75" hidden="false" customHeight="true" outlineLevel="0" collapsed="false">
      <c r="A434" s="14" t="n">
        <f aca="false">Report!C703</f>
        <v>46207</v>
      </c>
      <c r="B434" s="0" t="str">
        <f aca="false">Report!E703</f>
        <v>MAXFRI DISTRIUIDORA LTDA</v>
      </c>
      <c r="C434" s="15" t="n">
        <f aca="false">Report!U703</f>
        <v>2606.5</v>
      </c>
      <c r="D434" s="0" t="str">
        <f aca="false">Report!X703</f>
        <v>NF 14569 ELLEN</v>
      </c>
    </row>
    <row r="435" customFormat="false" ht="12.75" hidden="false" customHeight="true" outlineLevel="0" collapsed="false">
      <c r="A435" s="14" t="n">
        <f aca="false">Report!C704</f>
        <v>46207</v>
      </c>
      <c r="B435" s="0" t="str">
        <f aca="false">Report!E704</f>
        <v>OPPORTUNITY ALIMENTOS PARA ANIMAIS LTDA</v>
      </c>
      <c r="C435" s="15" t="n">
        <f aca="false">Report!U704</f>
        <v>938.27</v>
      </c>
      <c r="D435" s="0" t="str">
        <f aca="false">Report!X704</f>
        <v>NF 33745 ELLEN</v>
      </c>
    </row>
    <row r="436" customFormat="false" ht="12.75" hidden="false" customHeight="true" outlineLevel="0" collapsed="false">
      <c r="A436" s="14" t="n">
        <f aca="false">Report!C712</f>
        <v>46209</v>
      </c>
      <c r="B436" s="0" t="str">
        <f aca="false">Report!E712</f>
        <v>ADRIANA DISTRIBUIDORA DE PRODUTOS ALIMEN</v>
      </c>
      <c r="C436" s="15" t="n">
        <f aca="false">Report!U712</f>
        <v>791.31</v>
      </c>
      <c r="D436" s="0" t="str">
        <f aca="false">Report!X712</f>
        <v>NF 878392 ELLEN</v>
      </c>
    </row>
    <row r="437" customFormat="false" ht="12.75" hidden="false" customHeight="true" outlineLevel="0" collapsed="false">
      <c r="A437" s="14" t="n">
        <f aca="false">Report!C713</f>
        <v>46209</v>
      </c>
      <c r="B437" s="0" t="str">
        <f aca="false">Report!E713</f>
        <v>DUNORTE DISTRIBUIDORA DE PRODUTOS DE CONSUMO LTDA</v>
      </c>
      <c r="C437" s="15" t="n">
        <f aca="false">Report!U713</f>
        <v>643.05</v>
      </c>
      <c r="D437" s="0" t="str">
        <f aca="false">Report!X713</f>
        <v>NF 3202460 ELLEN</v>
      </c>
    </row>
    <row r="438" customFormat="false" ht="12.75" hidden="false" customHeight="true" outlineLevel="0" collapsed="false">
      <c r="A438" s="14" t="n">
        <f aca="false">Report!C714</f>
        <v>46209</v>
      </c>
      <c r="B438" s="0" t="str">
        <f aca="false">Report!E714</f>
        <v>DURAES DISTRIBUIDORA DE ESTIVAS LTDA</v>
      </c>
      <c r="C438" s="15" t="n">
        <f aca="false">Report!U714</f>
        <v>347.17</v>
      </c>
      <c r="D438" s="0" t="str">
        <f aca="false">Report!X714</f>
        <v>NF 646732 ELLEN</v>
      </c>
    </row>
    <row r="439" customFormat="false" ht="12.75" hidden="false" customHeight="true" outlineLevel="0" collapsed="false">
      <c r="A439" s="14" t="n">
        <f aca="false">Report!C716</f>
        <v>46209</v>
      </c>
      <c r="B439" s="0" t="str">
        <f aca="false">Report!E716</f>
        <v>FE COMERCIO DE MATERIAIS DE CONSTRUCAO</v>
      </c>
      <c r="C439" s="15" t="n">
        <f aca="false">Report!U716</f>
        <v>819.53</v>
      </c>
      <c r="D439" s="0" t="str">
        <f aca="false">Report!X716</f>
        <v>NF 4467 ELLEN</v>
      </c>
    </row>
    <row r="440" customFormat="false" ht="12.75" hidden="false" customHeight="true" outlineLevel="0" collapsed="false">
      <c r="A440" s="14" t="n">
        <f aca="false">Report!C717</f>
        <v>46209</v>
      </c>
      <c r="B440" s="0" t="str">
        <f aca="false">Report!E717</f>
        <v>FENNIX BRASIL DISTRIBUIDORA DE PRODUTOS</v>
      </c>
      <c r="C440" s="15" t="n">
        <f aca="false">Report!U717</f>
        <v>675.35</v>
      </c>
      <c r="D440" s="0" t="str">
        <f aca="false">Report!X717</f>
        <v>NF 310316 ELLEN</v>
      </c>
    </row>
    <row r="441" customFormat="false" ht="12.75" hidden="false" customHeight="true" outlineLevel="0" collapsed="false">
      <c r="A441" s="14" t="n">
        <f aca="false">Report!C721</f>
        <v>46209</v>
      </c>
      <c r="B441" s="0" t="str">
        <f aca="false">Report!E721</f>
        <v>J W N DOS SANTOS</v>
      </c>
      <c r="C441" s="15" t="n">
        <f aca="false">Report!U721</f>
        <v>398</v>
      </c>
      <c r="D441" s="0" t="str">
        <f aca="false">Report!X721</f>
        <v>NF 337 ELLEN</v>
      </c>
    </row>
    <row r="442" customFormat="false" ht="12.75" hidden="false" customHeight="true" outlineLevel="0" collapsed="false">
      <c r="A442" s="14" t="n">
        <f aca="false">Report!C722</f>
        <v>46209</v>
      </c>
      <c r="B442" s="0" t="str">
        <f aca="false">Report!E722</f>
        <v>LOURIVAL ALMEIDA DA SILVA 17128784845</v>
      </c>
      <c r="C442" s="15" t="n">
        <f aca="false">Report!U722</f>
        <v>160.32</v>
      </c>
      <c r="D442" s="0" t="str">
        <f aca="false">Report!X722</f>
        <v>NF 512 ELLEN</v>
      </c>
    </row>
    <row r="443" customFormat="false" ht="12.75" hidden="false" customHeight="true" outlineLevel="0" collapsed="false">
      <c r="A443" s="14" t="n">
        <f aca="false">Report!C723</f>
        <v>46209</v>
      </c>
      <c r="B443" s="0" t="str">
        <f aca="false">Report!E723</f>
        <v>NEYLIANE S DE OLIVEIRA &amp; CIA LTDA</v>
      </c>
      <c r="C443" s="15" t="n">
        <f aca="false">Report!U723</f>
        <v>210</v>
      </c>
      <c r="D443" s="0" t="str">
        <f aca="false">Report!X723</f>
        <v>COMPRAS - 15L DE ACAI - PG NO P 6/7/26 ELLEN</v>
      </c>
    </row>
    <row r="444" customFormat="false" ht="12.75" hidden="false" customHeight="true" outlineLevel="0" collapsed="false">
      <c r="A444" s="14" t="n">
        <f aca="false">Report!C724</f>
        <v>46209</v>
      </c>
      <c r="B444" s="0" t="str">
        <f aca="false">Report!E724</f>
        <v>PANIFICADORA E CONFEITARIA REAL MADRI LTDA</v>
      </c>
      <c r="C444" s="15" t="n">
        <f aca="false">Report!U724</f>
        <v>304.75</v>
      </c>
      <c r="D444" s="0" t="str">
        <f aca="false">Report!X724</f>
        <v>NF 690 ELLEN</v>
      </c>
    </row>
    <row r="445" customFormat="false" ht="12.75" hidden="false" customHeight="true" outlineLevel="0" collapsed="false">
      <c r="A445" s="14" t="n">
        <f aca="false">Report!C727</f>
        <v>46209</v>
      </c>
      <c r="B445" s="0" t="str">
        <f aca="false">Report!E727</f>
        <v>ROCHA E PAIVA LTDA</v>
      </c>
      <c r="C445" s="15" t="n">
        <f aca="false">Report!U727</f>
        <v>591.51</v>
      </c>
      <c r="D445" s="0" t="str">
        <f aca="false">Report!X727</f>
        <v>NF 207912 ELLEN</v>
      </c>
    </row>
    <row r="446" customFormat="false" ht="12.75" hidden="false" customHeight="true" outlineLevel="0" collapsed="false">
      <c r="A446" s="14" t="n">
        <f aca="false">Report!C732</f>
        <v>46210</v>
      </c>
      <c r="B446" s="0" t="str">
        <f aca="false">Report!E732</f>
        <v>ADICSO FABIAN GONZALEZ MONTILLA 70302186</v>
      </c>
      <c r="C446" s="15" t="n">
        <f aca="false">Report!U732</f>
        <v>240</v>
      </c>
      <c r="D446" s="0" t="str">
        <f aca="false">Report!X732</f>
        <v>NF 520 ELLEN</v>
      </c>
    </row>
    <row r="447" customFormat="false" ht="12.75" hidden="false" customHeight="true" outlineLevel="0" collapsed="false">
      <c r="A447" s="14" t="n">
        <f aca="false">Report!C733</f>
        <v>46210</v>
      </c>
      <c r="B447" s="0" t="str">
        <f aca="false">Report!E733</f>
        <v>BF COMERCIO DE ALIMENTOS REPRESENTACAO L</v>
      </c>
      <c r="C447" s="15" t="n">
        <f aca="false">Report!U733</f>
        <v>303.19</v>
      </c>
      <c r="D447" s="0" t="str">
        <f aca="false">Report!X733</f>
        <v>NF 20868 ELLEN</v>
      </c>
    </row>
    <row r="448" customFormat="false" ht="12.75" hidden="false" customHeight="true" outlineLevel="0" collapsed="false">
      <c r="A448" s="14" t="n">
        <f aca="false">Report!C734</f>
        <v>46210</v>
      </c>
      <c r="B448" s="0" t="str">
        <f aca="false">Report!E734</f>
        <v>BONNA VITTA INDUSTRIA E COMERCIO LTDA.</v>
      </c>
      <c r="C448" s="15" t="n">
        <f aca="false">Report!U734</f>
        <v>642.4</v>
      </c>
      <c r="D448" s="0" t="str">
        <f aca="false">Report!X734</f>
        <v>NF 518105 ELLEN</v>
      </c>
    </row>
    <row r="449" customFormat="false" ht="12.75" hidden="false" customHeight="true" outlineLevel="0" collapsed="false">
      <c r="A449" s="14" t="n">
        <f aca="false">Report!C735</f>
        <v>46210</v>
      </c>
      <c r="B449" s="0" t="str">
        <f aca="false">Report!E735</f>
        <v>BONNA VITTA INDUSTRIA E COMERCIO LTDA.</v>
      </c>
      <c r="C449" s="15" t="n">
        <f aca="false">Report!U735</f>
        <v>684</v>
      </c>
      <c r="D449" s="0" t="str">
        <f aca="false">Report!X735</f>
        <v>NF 518753 ELLEN</v>
      </c>
    </row>
    <row r="450" customFormat="false" ht="12.75" hidden="false" customHeight="true" outlineLevel="0" collapsed="false">
      <c r="A450" s="14" t="n">
        <f aca="false">Report!C736</f>
        <v>46210</v>
      </c>
      <c r="B450" s="0" t="str">
        <f aca="false">Report!E736</f>
        <v>BRASIL NORTE BEBIDAS S/A</v>
      </c>
      <c r="C450" s="15" t="n">
        <f aca="false">Report!U736</f>
        <v>22.95</v>
      </c>
      <c r="D450" s="0" t="str">
        <f aca="false">Report!X736</f>
        <v>NF 1170564 ELLEN</v>
      </c>
    </row>
    <row r="451" customFormat="false" ht="12.75" hidden="false" customHeight="true" outlineLevel="0" collapsed="false">
      <c r="A451" s="14" t="n">
        <f aca="false">Report!C737</f>
        <v>46210</v>
      </c>
      <c r="B451" s="0" t="str">
        <f aca="false">Report!E737</f>
        <v>BRASIL NORTE BEBIDAS S/A</v>
      </c>
      <c r="C451" s="15" t="n">
        <f aca="false">Report!U737</f>
        <v>840.06</v>
      </c>
      <c r="D451" s="0" t="str">
        <f aca="false">Report!X737</f>
        <v>NF 1893322 ELLEN</v>
      </c>
    </row>
    <row r="452" customFormat="false" ht="12.75" hidden="false" customHeight="true" outlineLevel="0" collapsed="false">
      <c r="A452" s="14" t="n">
        <f aca="false">Report!C738</f>
        <v>46210</v>
      </c>
      <c r="B452" s="0" t="str">
        <f aca="false">Report!E738</f>
        <v>BRASIL NORTE BEBIDAS S/A</v>
      </c>
      <c r="C452" s="15" t="n">
        <f aca="false">Report!U738</f>
        <v>2287.85</v>
      </c>
      <c r="D452" s="0" t="str">
        <f aca="false">Report!X738</f>
        <v>NF 1171501 ELLEN</v>
      </c>
    </row>
    <row r="453" customFormat="false" ht="12.75" hidden="false" customHeight="true" outlineLevel="0" collapsed="false">
      <c r="A453" s="14" t="n">
        <f aca="false">Report!C739</f>
        <v>46210</v>
      </c>
      <c r="B453" s="0" t="str">
        <f aca="false">Report!E739</f>
        <v>BRASIL NORTE BEBIDAS S/A</v>
      </c>
      <c r="C453" s="15" t="n">
        <f aca="false">Report!U739</f>
        <v>97.97</v>
      </c>
      <c r="D453" s="0" t="n">
        <f aca="false">Report!X739</f>
        <v>0</v>
      </c>
    </row>
    <row r="454" customFormat="false" ht="12.75" hidden="false" customHeight="true" outlineLevel="0" collapsed="false">
      <c r="A454" s="14" t="n">
        <f aca="false">Report!C740</f>
        <v>46210</v>
      </c>
      <c r="B454" s="0" t="str">
        <f aca="false">Report!E740</f>
        <v>FEIRA</v>
      </c>
      <c r="C454" s="15" t="n">
        <f aca="false">Report!U740</f>
        <v>220</v>
      </c>
      <c r="D454" s="0" t="str">
        <f aca="false">Report!X740</f>
        <v>FEIRA SR RENATO - MACA/UVA-PG P LJ1 -SOMAR C NF2528-ELLEN</v>
      </c>
    </row>
    <row r="455" customFormat="false" ht="12.75" hidden="false" customHeight="true" outlineLevel="0" collapsed="false">
      <c r="A455" s="14" t="n">
        <f aca="false">Report!C741</f>
        <v>46210</v>
      </c>
      <c r="B455" s="0" t="str">
        <f aca="false">Report!E741</f>
        <v>H L M PADARIA E CONFEITARIA LTDA</v>
      </c>
      <c r="C455" s="15" t="n">
        <f aca="false">Report!U741</f>
        <v>120</v>
      </c>
      <c r="D455" s="0" t="str">
        <f aca="false">Report!X741</f>
        <v>NF 18 COMPRAS-BOLO PG NO P 7/7/26 ELLEN</v>
      </c>
    </row>
    <row r="456" customFormat="false" ht="12.75" hidden="false" customHeight="true" outlineLevel="0" collapsed="false">
      <c r="A456" s="14" t="n">
        <f aca="false">Report!C742</f>
        <v>46210</v>
      </c>
      <c r="B456" s="0" t="str">
        <f aca="false">Report!E742</f>
        <v>H. L. DO NASCIMENTO</v>
      </c>
      <c r="C456" s="15" t="n">
        <f aca="false">Report!U742</f>
        <v>358.65</v>
      </c>
      <c r="D456" s="0" t="str">
        <f aca="false">Report!X742</f>
        <v>NF 5720 ELLEN</v>
      </c>
    </row>
    <row r="457" customFormat="false" ht="12.75" hidden="false" customHeight="true" outlineLevel="0" collapsed="false">
      <c r="A457" s="14" t="n">
        <f aca="false">Report!C743</f>
        <v>46210</v>
      </c>
      <c r="B457" s="0" t="str">
        <f aca="false">Report!E743</f>
        <v>INNOVAR DISTRIBUIDORA DE COSMETICOS E MEDICAMENTOS LTDA</v>
      </c>
      <c r="C457" s="15" t="n">
        <f aca="false">Report!U743</f>
        <v>360.24</v>
      </c>
      <c r="D457" s="0" t="str">
        <f aca="false">Report!X743</f>
        <v>NF 102727 ELLEN</v>
      </c>
    </row>
    <row r="458" customFormat="false" ht="12.75" hidden="false" customHeight="true" outlineLevel="0" collapsed="false">
      <c r="A458" s="14" t="n">
        <f aca="false">Report!C744</f>
        <v>46210</v>
      </c>
      <c r="B458" s="0" t="str">
        <f aca="false">Report!E744</f>
        <v>JAB COMERCIO DE PRODUTOS ALIMENTICIOS LT</v>
      </c>
      <c r="C458" s="15" t="n">
        <f aca="false">Report!U744</f>
        <v>122</v>
      </c>
      <c r="D458" s="0" t="str">
        <f aca="false">Report!X744</f>
        <v>NF 3453 ELLEN</v>
      </c>
    </row>
    <row r="459" customFormat="false" ht="12.75" hidden="false" customHeight="true" outlineLevel="0" collapsed="false">
      <c r="A459" s="14" t="n">
        <f aca="false">Report!C745</f>
        <v>46210</v>
      </c>
      <c r="B459" s="0" t="str">
        <f aca="false">Report!E745</f>
        <v>NATUREZA COMERCIO DE DESCARTAVEIS LTDA</v>
      </c>
      <c r="C459" s="15" t="n">
        <f aca="false">Report!U745</f>
        <v>326.84</v>
      </c>
      <c r="D459" s="0" t="str">
        <f aca="false">Report!X745</f>
        <v>NF 729265 ELLEN</v>
      </c>
    </row>
    <row r="460" customFormat="false" ht="12.75" hidden="false" customHeight="true" outlineLevel="0" collapsed="false">
      <c r="A460" s="14" t="n">
        <f aca="false">Report!C746</f>
        <v>46210</v>
      </c>
      <c r="B460" s="0" t="str">
        <f aca="false">Report!E746</f>
        <v>NESTLÉ BRASIL LTDA.</v>
      </c>
      <c r="C460" s="15" t="n">
        <f aca="false">Report!U746</f>
        <v>418.83</v>
      </c>
      <c r="D460" s="0" t="str">
        <f aca="false">Report!X746</f>
        <v>NF 1420058 ELLEN</v>
      </c>
    </row>
    <row r="461" customFormat="false" ht="12.75" hidden="false" customHeight="true" outlineLevel="0" collapsed="false">
      <c r="A461" s="14" t="n">
        <f aca="false">Report!C747</f>
        <v>46210</v>
      </c>
      <c r="B461" s="0" t="str">
        <f aca="false">Report!E747</f>
        <v>NEYLIANE S DE OLIVEIRA &amp; CIA LTDA</v>
      </c>
      <c r="C461" s="15" t="n">
        <f aca="false">Report!U747</f>
        <v>2024.65</v>
      </c>
      <c r="D461" s="0" t="str">
        <f aca="false">Report!X747</f>
        <v>FEIRA SR RENATO - PG P LJ1 - ELLEN</v>
      </c>
    </row>
    <row r="462" customFormat="false" ht="12.75" hidden="false" customHeight="true" outlineLevel="0" collapsed="false">
      <c r="A462" s="14" t="n">
        <f aca="false">Report!C748</f>
        <v>46210</v>
      </c>
      <c r="B462" s="0" t="str">
        <f aca="false">Report!E748</f>
        <v>NOVA FRIOS COMERCIO ATACADISTA DE LATICINIOS LTDA</v>
      </c>
      <c r="C462" s="15" t="n">
        <f aca="false">Report!U748</f>
        <v>236.18</v>
      </c>
      <c r="D462" s="0" t="str">
        <f aca="false">Report!X748</f>
        <v>NF 3933 ELLEN</v>
      </c>
    </row>
    <row r="463" customFormat="false" ht="12.75" hidden="false" customHeight="true" outlineLevel="0" collapsed="false">
      <c r="A463" s="14" t="n">
        <f aca="false">Report!C751</f>
        <v>46210</v>
      </c>
      <c r="B463" s="0" t="str">
        <f aca="false">Report!E751</f>
        <v>SAO JOSE COMERCIO DE LATICINIOS E FRIOS</v>
      </c>
      <c r="C463" s="15" t="n">
        <f aca="false">Report!U751</f>
        <v>589.5</v>
      </c>
      <c r="D463" s="0" t="str">
        <f aca="false">Report!X751</f>
        <v>NF 3507 ELLEN</v>
      </c>
    </row>
    <row r="464" customFormat="false" ht="12.75" hidden="false" customHeight="true" outlineLevel="0" collapsed="false">
      <c r="A464" s="14" t="n">
        <f aca="false">Report!C755</f>
        <v>46210</v>
      </c>
      <c r="B464" s="0" t="str">
        <f aca="false">Report!E755</f>
        <v>SILVA E SANTOS FRIGORIFICO LTDA</v>
      </c>
      <c r="C464" s="15" t="n">
        <f aca="false">Report!U755</f>
        <v>3140</v>
      </c>
      <c r="D464" s="0" t="str">
        <f aca="false">Report!X755</f>
        <v>NF 31492 ELLEN</v>
      </c>
    </row>
    <row r="465" customFormat="false" ht="12.75" hidden="false" customHeight="true" outlineLevel="0" collapsed="false">
      <c r="A465" s="14" t="n">
        <f aca="false">Report!C756</f>
        <v>46211</v>
      </c>
      <c r="B465" s="0" t="str">
        <f aca="false">Report!E756</f>
        <v>ADRIANA DISTRIBUIDORA DE PRODUTOS ALIMEN</v>
      </c>
      <c r="C465" s="15" t="n">
        <f aca="false">Report!U756</f>
        <v>589.08</v>
      </c>
      <c r="D465" s="0" t="str">
        <f aca="false">Report!X756</f>
        <v>NF 878758 ELLEN</v>
      </c>
    </row>
    <row r="466" customFormat="false" ht="12.75" hidden="false" customHeight="true" outlineLevel="0" collapsed="false">
      <c r="A466" s="14" t="n">
        <f aca="false">Report!C758</f>
        <v>46211</v>
      </c>
      <c r="B466" s="0" t="str">
        <f aca="false">Report!E758</f>
        <v>BRF S A</v>
      </c>
      <c r="C466" s="15" t="n">
        <f aca="false">Report!U758</f>
        <v>671.15</v>
      </c>
      <c r="D466" s="0" t="str">
        <f aca="false">Report!X758</f>
        <v>NF 1598763 ELLEN</v>
      </c>
    </row>
    <row r="467" customFormat="false" ht="12.75" hidden="false" customHeight="true" outlineLevel="0" collapsed="false">
      <c r="A467" s="14" t="n">
        <f aca="false">Report!C759</f>
        <v>46211</v>
      </c>
      <c r="B467" s="0" t="str">
        <f aca="false">Report!E759</f>
        <v>BRF S A</v>
      </c>
      <c r="C467" s="15" t="n">
        <f aca="false">Report!U759</f>
        <v>1881.47</v>
      </c>
      <c r="D467" s="0" t="str">
        <f aca="false">Report!X759</f>
        <v>NF 1600681 ELLEN</v>
      </c>
    </row>
    <row r="468" customFormat="false" ht="12.75" hidden="false" customHeight="true" outlineLevel="0" collapsed="false">
      <c r="A468" s="14" t="n">
        <f aca="false">Report!C760</f>
        <v>46211</v>
      </c>
      <c r="B468" s="0" t="str">
        <f aca="false">Report!E760</f>
        <v>COARI DISTRIBUIDORA DE BEBIDAS LTDA</v>
      </c>
      <c r="C468" s="15" t="n">
        <f aca="false">Report!U760</f>
        <v>324.43</v>
      </c>
      <c r="D468" s="0" t="str">
        <f aca="false">Report!X760</f>
        <v>NF 252 ELLEN</v>
      </c>
    </row>
    <row r="469" customFormat="false" ht="12.75" hidden="false" customHeight="true" outlineLevel="0" collapsed="false">
      <c r="A469" s="14" t="n">
        <f aca="false">Report!C761</f>
        <v>46211</v>
      </c>
      <c r="B469" s="0" t="str">
        <f aca="false">Report!E761</f>
        <v>D DE J SANTOS LTDA</v>
      </c>
      <c r="C469" s="15" t="n">
        <f aca="false">Report!U761</f>
        <v>845</v>
      </c>
      <c r="D469" s="0" t="str">
        <f aca="false">Report!X761</f>
        <v>NF 253 ELLEN</v>
      </c>
    </row>
    <row r="470" customFormat="false" ht="12.75" hidden="false" customHeight="true" outlineLevel="0" collapsed="false">
      <c r="A470" s="14" t="n">
        <f aca="false">Report!C762</f>
        <v>46211</v>
      </c>
      <c r="B470" s="0" t="str">
        <f aca="false">Report!E762</f>
        <v>FUNNY PET DISTRIBUIDORA DE ALIMENTOS PAR</v>
      </c>
      <c r="C470" s="15" t="n">
        <f aca="false">Report!U762</f>
        <v>1589.28</v>
      </c>
      <c r="D470" s="0" t="str">
        <f aca="false">Report!X762</f>
        <v>NF 20499 ELLEN</v>
      </c>
    </row>
    <row r="471" customFormat="false" ht="12.75" hidden="false" customHeight="true" outlineLevel="0" collapsed="false">
      <c r="A471" s="14" t="n">
        <f aca="false">Report!C763</f>
        <v>46211</v>
      </c>
      <c r="B471" s="0" t="str">
        <f aca="false">Report!E763</f>
        <v>J G COMERCIO DE PRODUTOS ALIMENTICIOS LTDA</v>
      </c>
      <c r="C471" s="15" t="n">
        <f aca="false">Report!U763</f>
        <v>314.44</v>
      </c>
      <c r="D471" s="0" t="str">
        <f aca="false">Report!X763</f>
        <v>NF 388857 ELLEN</v>
      </c>
    </row>
    <row r="472" customFormat="false" ht="12.75" hidden="false" customHeight="true" outlineLevel="0" collapsed="false">
      <c r="A472" s="14" t="n">
        <f aca="false">Report!C764</f>
        <v>46211</v>
      </c>
      <c r="B472" s="0" t="str">
        <f aca="false">Report!E764</f>
        <v>L. DOS SANTOS PIMENTEL LTDA</v>
      </c>
      <c r="C472" s="15" t="n">
        <f aca="false">Report!U764</f>
        <v>164.5</v>
      </c>
      <c r="D472" s="0" t="str">
        <f aca="false">Report!X764</f>
        <v>NF 294 COMPRAS-IOGURTE CASEIRO-ELLEN</v>
      </c>
    </row>
    <row r="473" customFormat="false" ht="12.75" hidden="false" customHeight="true" outlineLevel="0" collapsed="false">
      <c r="A473" s="14" t="n">
        <f aca="false">Report!C765</f>
        <v>46211</v>
      </c>
      <c r="B473" s="0" t="str">
        <f aca="false">Report!E765</f>
        <v>NATUREZA COMERCIO DE DESCARTAVEIS LTDA</v>
      </c>
      <c r="C473" s="15" t="n">
        <f aca="false">Report!U765</f>
        <v>381.51</v>
      </c>
      <c r="D473" s="0" t="str">
        <f aca="false">Report!X765</f>
        <v>NF 729799 ELLEN</v>
      </c>
    </row>
    <row r="474" customFormat="false" ht="12.75" hidden="false" customHeight="true" outlineLevel="0" collapsed="false">
      <c r="A474" s="14" t="n">
        <f aca="false">Report!C766</f>
        <v>46211</v>
      </c>
      <c r="B474" s="0" t="str">
        <f aca="false">Report!E766</f>
        <v>OESA COMERCIO E REPRESENTACOES S/A</v>
      </c>
      <c r="C474" s="15" t="n">
        <f aca="false">Report!U766</f>
        <v>61.58</v>
      </c>
      <c r="D474" s="0" t="str">
        <f aca="false">Report!X766</f>
        <v>NF 416678 ELLEN</v>
      </c>
    </row>
    <row r="475" customFormat="false" ht="12.75" hidden="false" customHeight="true" outlineLevel="0" collapsed="false">
      <c r="A475" s="14" t="n">
        <f aca="false">Report!C767</f>
        <v>46211</v>
      </c>
      <c r="B475" s="0" t="str">
        <f aca="false">Report!E767</f>
        <v>ORIENTE COM. ATACADISTA E REPRES. LTDA</v>
      </c>
      <c r="C475" s="15" t="n">
        <f aca="false">Report!U767</f>
        <v>1159.5</v>
      </c>
      <c r="D475" s="0" t="str">
        <f aca="false">Report!X767</f>
        <v>NF 1996 ELLEN</v>
      </c>
    </row>
    <row r="476" customFormat="false" ht="12.75" hidden="false" customHeight="true" outlineLevel="0" collapsed="false">
      <c r="A476" s="14" t="n">
        <f aca="false">Report!C768</f>
        <v>46211</v>
      </c>
      <c r="B476" s="0" t="str">
        <f aca="false">Report!E768</f>
        <v>PANIFICADORA E CONFEITARIA REAL MADRI LTDA</v>
      </c>
      <c r="C476" s="15" t="n">
        <f aca="false">Report!U768</f>
        <v>379.6</v>
      </c>
      <c r="D476" s="0" t="str">
        <f aca="false">Report!X768</f>
        <v>NF 698 ELLEN</v>
      </c>
    </row>
    <row r="477" customFormat="false" ht="12.75" hidden="false" customHeight="true" outlineLevel="0" collapsed="false">
      <c r="A477" s="14" t="n">
        <f aca="false">Report!C771</f>
        <v>46211</v>
      </c>
      <c r="B477" s="0" t="str">
        <f aca="false">Report!E771</f>
        <v>SEM FORNECEDOR</v>
      </c>
      <c r="C477" s="15" t="n">
        <f aca="false">Report!U771</f>
        <v>72</v>
      </c>
      <c r="D477" s="0" t="str">
        <f aca="false">Report!X771</f>
        <v>4 bandejas de brigadeiro/jose</v>
      </c>
    </row>
    <row r="478" customFormat="false" ht="12.75" hidden="false" customHeight="true" outlineLevel="0" collapsed="false">
      <c r="A478" s="14" t="n">
        <f aca="false">Report!C773</f>
        <v>46211</v>
      </c>
      <c r="B478" s="0" t="str">
        <f aca="false">Report!E773</f>
        <v>TRES CORACOES ALIMENTOS S.A.</v>
      </c>
      <c r="C478" s="15" t="n">
        <f aca="false">Report!U773</f>
        <v>877.29</v>
      </c>
      <c r="D478" s="0" t="str">
        <f aca="false">Report!X773</f>
        <v>NF 346452 ELLEN</v>
      </c>
    </row>
    <row r="479" customFormat="false" ht="12.75" hidden="false" customHeight="true" outlineLevel="0" collapsed="false">
      <c r="A479" s="14" t="n">
        <f aca="false">Report!C774</f>
        <v>46212</v>
      </c>
      <c r="B479" s="0" t="str">
        <f aca="false">Report!E774</f>
        <v>ADICSO FABIAN GONZALEZ MONTILLA 70302186</v>
      </c>
      <c r="C479" s="15" t="n">
        <f aca="false">Report!U774</f>
        <v>240</v>
      </c>
      <c r="D479" s="0" t="str">
        <f aca="false">Report!X774</f>
        <v>NF 524 ELLEN</v>
      </c>
    </row>
    <row r="480" customFormat="false" ht="12.75" hidden="false" customHeight="true" outlineLevel="0" collapsed="false">
      <c r="A480" s="14" t="n">
        <f aca="false">Report!C775</f>
        <v>46212</v>
      </c>
      <c r="B480" s="0" t="str">
        <f aca="false">Report!E775</f>
        <v>AMERICANA DISTRIBUIDORA DE BEBIDAS E MERCADORIAS LTDA</v>
      </c>
      <c r="C480" s="15" t="n">
        <f aca="false">Report!U775</f>
        <v>155.16</v>
      </c>
      <c r="D480" s="0" t="str">
        <f aca="false">Report!X775</f>
        <v>NF 77922 ELLEN</v>
      </c>
    </row>
    <row r="481" customFormat="false" ht="12.75" hidden="false" customHeight="true" outlineLevel="0" collapsed="false">
      <c r="A481" s="14" t="n">
        <f aca="false">Report!C776</f>
        <v>46212</v>
      </c>
      <c r="B481" s="0" t="str">
        <f aca="false">Report!E776</f>
        <v>BRAGA TABACARIA EIRELI ME</v>
      </c>
      <c r="C481" s="15" t="n">
        <f aca="false">Report!U776</f>
        <v>1073.2</v>
      </c>
      <c r="D481" s="0" t="str">
        <f aca="false">Report!X776</f>
        <v>NF 18998 ELLEN</v>
      </c>
    </row>
    <row r="482" customFormat="false" ht="12.75" hidden="false" customHeight="true" outlineLevel="0" collapsed="false">
      <c r="A482" s="14" t="n">
        <f aca="false">Report!C777</f>
        <v>46212</v>
      </c>
      <c r="B482" s="0" t="str">
        <f aca="false">Report!E777</f>
        <v>BRASIL NORTE BEBIDAS S/A</v>
      </c>
      <c r="C482" s="15" t="n">
        <f aca="false">Report!U777</f>
        <v>1547.44</v>
      </c>
      <c r="D482" s="0" t="str">
        <f aca="false">Report!X777</f>
        <v>NF 1899276 ELLEN</v>
      </c>
    </row>
    <row r="483" customFormat="false" ht="12.75" hidden="false" customHeight="true" outlineLevel="0" collapsed="false">
      <c r="A483" s="14" t="n">
        <f aca="false">Report!C778</f>
        <v>46212</v>
      </c>
      <c r="B483" s="0" t="str">
        <f aca="false">Report!E778</f>
        <v>BRASIL NORTE BEBIDAS S/A</v>
      </c>
      <c r="C483" s="15" t="n">
        <f aca="false">Report!U778</f>
        <v>124.47</v>
      </c>
      <c r="D483" s="0" t="str">
        <f aca="false">Report!X778</f>
        <v>NF 1175404 ELLEN</v>
      </c>
    </row>
    <row r="484" customFormat="false" ht="12.75" hidden="false" customHeight="true" outlineLevel="0" collapsed="false">
      <c r="A484" s="14" t="n">
        <f aca="false">Report!C779</f>
        <v>46212</v>
      </c>
      <c r="B484" s="0" t="str">
        <f aca="false">Report!E779</f>
        <v>DISTRIBUIDORA LOPES LTDA</v>
      </c>
      <c r="C484" s="15" t="n">
        <f aca="false">Report!U779</f>
        <v>478.8</v>
      </c>
      <c r="D484" s="0" t="str">
        <f aca="false">Report!X779</f>
        <v>NF 1671078 ELLEN</v>
      </c>
    </row>
    <row r="485" customFormat="false" ht="12.75" hidden="false" customHeight="true" outlineLevel="0" collapsed="false">
      <c r="A485" s="14" t="n">
        <f aca="false">Report!C780</f>
        <v>46212</v>
      </c>
      <c r="B485" s="0" t="str">
        <f aca="false">Report!E780</f>
        <v>DUNORTE DISTRIBUIDORA DE PRODUTOS DE CONSUMO LTDA</v>
      </c>
      <c r="C485" s="15" t="n">
        <f aca="false">Report!U780</f>
        <v>1105.95</v>
      </c>
      <c r="D485" s="0" t="str">
        <f aca="false">Report!X780</f>
        <v>NF 3201284 ELLEN</v>
      </c>
    </row>
    <row r="486" customFormat="false" ht="12.75" hidden="false" customHeight="true" outlineLevel="0" collapsed="false">
      <c r="A486" s="14" t="n">
        <f aca="false">Report!C781</f>
        <v>46212</v>
      </c>
      <c r="B486" s="0" t="str">
        <f aca="false">Report!E781</f>
        <v>DURAES DISTRIBUIDORA DE ESTIVAS LTDA</v>
      </c>
      <c r="C486" s="15" t="n">
        <f aca="false">Report!U781</f>
        <v>383.47</v>
      </c>
      <c r="D486" s="0" t="str">
        <f aca="false">Report!X781</f>
        <v>NF 645628 ELLEN</v>
      </c>
    </row>
    <row r="487" customFormat="false" ht="12.75" hidden="false" customHeight="true" outlineLevel="0" collapsed="false">
      <c r="A487" s="14" t="n">
        <f aca="false">Report!C782</f>
        <v>46212</v>
      </c>
      <c r="B487" s="0" t="str">
        <f aca="false">Report!E782</f>
        <v>FH DISTRIBUIDORA DE ALIM. E BEBIDAS LTDA</v>
      </c>
      <c r="C487" s="15" t="n">
        <f aca="false">Report!U782</f>
        <v>496.2</v>
      </c>
      <c r="D487" s="0" t="str">
        <f aca="false">Report!X782</f>
        <v>NF 326863 ELLEN</v>
      </c>
    </row>
    <row r="488" customFormat="false" ht="12.75" hidden="false" customHeight="true" outlineLevel="0" collapsed="false">
      <c r="A488" s="14" t="n">
        <f aca="false">Report!C783</f>
        <v>46212</v>
      </c>
      <c r="B488" s="0" t="str">
        <f aca="false">Report!E783</f>
        <v>J G COMERCIO DE PRODUTOS ALIMENTICIOS LTDA</v>
      </c>
      <c r="C488" s="15" t="n">
        <f aca="false">Report!U783</f>
        <v>2664.54</v>
      </c>
      <c r="D488" s="0" t="str">
        <f aca="false">Report!X783</f>
        <v>NF 387833 ELLEN</v>
      </c>
    </row>
    <row r="489" customFormat="false" ht="12.75" hidden="false" customHeight="true" outlineLevel="0" collapsed="false">
      <c r="A489" s="14" t="n">
        <f aca="false">Report!C784</f>
        <v>46212</v>
      </c>
      <c r="B489" s="0" t="str">
        <f aca="false">Report!E784</f>
        <v>J G COMERCIO DE PRODUTOS ALIMENTICIOS LTDA</v>
      </c>
      <c r="C489" s="15" t="n">
        <f aca="false">Report!U784</f>
        <v>2005.45</v>
      </c>
      <c r="D489" s="0" t="str">
        <f aca="false">Report!X784</f>
        <v>NF 390211 ELLEN</v>
      </c>
    </row>
    <row r="490" customFormat="false" ht="12.75" hidden="false" customHeight="true" outlineLevel="0" collapsed="false">
      <c r="A490" s="14" t="n">
        <f aca="false">Report!C785</f>
        <v>46212</v>
      </c>
      <c r="B490" s="0" t="str">
        <f aca="false">Report!E785</f>
        <v>MARTINS COM SERV DISTR SA</v>
      </c>
      <c r="C490" s="15" t="n">
        <f aca="false">Report!U785</f>
        <v>613.33</v>
      </c>
      <c r="D490" s="0" t="str">
        <f aca="false">Report!X785</f>
        <v>NF 1771887 ELLEN</v>
      </c>
    </row>
    <row r="491" customFormat="false" ht="12.75" hidden="false" customHeight="true" outlineLevel="0" collapsed="false">
      <c r="A491" s="14" t="n">
        <f aca="false">Report!C786</f>
        <v>46212</v>
      </c>
      <c r="B491" s="0" t="str">
        <f aca="false">Report!E786</f>
        <v>NEYLIANE S DE OLIVEIRA &amp; CIA LTDA</v>
      </c>
      <c r="C491" s="15" t="n">
        <f aca="false">Report!U786</f>
        <v>210</v>
      </c>
      <c r="D491" s="0" t="str">
        <f aca="false">Report!X786</f>
        <v>COMPRAS - 15L ACAI - PG NO P 9/7/26-ELLEN</v>
      </c>
    </row>
    <row r="492" customFormat="false" ht="12.75" hidden="false" customHeight="true" outlineLevel="0" collapsed="false">
      <c r="A492" s="14" t="n">
        <f aca="false">Report!C787</f>
        <v>46212</v>
      </c>
      <c r="B492" s="0" t="str">
        <f aca="false">Report!E787</f>
        <v>RISADINHA LTDA</v>
      </c>
      <c r="C492" s="15" t="n">
        <f aca="false">Report!U787</f>
        <v>550.4</v>
      </c>
      <c r="D492" s="0" t="str">
        <f aca="false">Report!X787</f>
        <v>NF 658429 ELLEN</v>
      </c>
    </row>
    <row r="493" customFormat="false" ht="12.75" hidden="false" customHeight="true" outlineLevel="0" collapsed="false">
      <c r="A493" s="14" t="n">
        <f aca="false">Report!C788</f>
        <v>46212</v>
      </c>
      <c r="B493" s="0" t="str">
        <f aca="false">Report!E788</f>
        <v>SB COMERCIO LTDA</v>
      </c>
      <c r="C493" s="15" t="n">
        <f aca="false">Report!U788</f>
        <v>653.65</v>
      </c>
      <c r="D493" s="0" t="str">
        <f aca="false">Report!X788</f>
        <v>NF 1959276 ELLEN</v>
      </c>
    </row>
    <row r="494" customFormat="false" ht="12.75" hidden="false" customHeight="true" outlineLevel="0" collapsed="false">
      <c r="A494" s="14" t="n">
        <f aca="false">Report!C790</f>
        <v>46212</v>
      </c>
      <c r="B494" s="0" t="str">
        <f aca="false">Report!E790</f>
        <v>SEM FORNECEDOR</v>
      </c>
      <c r="C494" s="15" t="n">
        <f aca="false">Report!U790</f>
        <v>192</v>
      </c>
      <c r="D494" s="0" t="str">
        <f aca="false">Report!X790</f>
        <v>queijo coalho/valdirlan</v>
      </c>
    </row>
    <row r="495" customFormat="false" ht="12.75" hidden="false" customHeight="true" outlineLevel="0" collapsed="false">
      <c r="A495" s="14" t="n">
        <f aca="false">Report!C792</f>
        <v>46212</v>
      </c>
      <c r="B495" s="0" t="str">
        <f aca="false">Report!E792</f>
        <v>SEM FORNECEDOR</v>
      </c>
      <c r="C495" s="15" t="n">
        <f aca="false">Report!U792</f>
        <v>200</v>
      </c>
      <c r="D495" s="0" t="str">
        <f aca="false">Report!X792</f>
        <v>compras-trufas</v>
      </c>
    </row>
    <row r="496" customFormat="false" ht="12.75" hidden="false" customHeight="true" outlineLevel="0" collapsed="false">
      <c r="A496" s="14" t="n">
        <f aca="false">Report!C794</f>
        <v>46212</v>
      </c>
      <c r="B496" s="0" t="str">
        <f aca="false">Report!E794</f>
        <v>SL DISTRIBUIDORA COM. DE PROD. ALIMENTIC</v>
      </c>
      <c r="C496" s="15" t="n">
        <f aca="false">Report!U794</f>
        <v>552.37</v>
      </c>
      <c r="D496" s="0" t="str">
        <f aca="false">Report!X794</f>
        <v>NF 10423 ELLEN</v>
      </c>
    </row>
    <row r="497" customFormat="false" ht="12.75" hidden="false" customHeight="true" outlineLevel="0" collapsed="false">
      <c r="A497" s="14" t="n">
        <f aca="false">Report!C795</f>
        <v>46212</v>
      </c>
      <c r="B497" s="0" t="str">
        <f aca="false">Report!E795</f>
        <v>VIA CERTA INDUSTRIA E COMERCIO DE SANEANTES LTDA</v>
      </c>
      <c r="C497" s="15" t="n">
        <f aca="false">Report!U795</f>
        <v>1222.04</v>
      </c>
      <c r="D497" s="0" t="str">
        <f aca="false">Report!X795</f>
        <v>NF 41243 ELLEN</v>
      </c>
    </row>
    <row r="498" customFormat="false" ht="12.75" hidden="false" customHeight="true" outlineLevel="0" collapsed="false">
      <c r="A498" s="14" t="n">
        <f aca="false">Report!C797</f>
        <v>46213</v>
      </c>
      <c r="B498" s="0" t="str">
        <f aca="false">Report!E797</f>
        <v>AGM COMERCIO E DISTRIBUIDORA DE MATERIAS DE PERFUMARIA E LIMPEZA LTDA</v>
      </c>
      <c r="C498" s="15" t="n">
        <f aca="false">Report!U797</f>
        <v>592.5</v>
      </c>
      <c r="D498" s="0" t="str">
        <f aca="false">Report!X797</f>
        <v>NF 161137 ELLEN</v>
      </c>
    </row>
    <row r="499" customFormat="false" ht="12.75" hidden="false" customHeight="true" outlineLevel="0" collapsed="false">
      <c r="A499" s="14" t="n">
        <f aca="false">Report!C798</f>
        <v>46213</v>
      </c>
      <c r="B499" s="0" t="str">
        <f aca="false">Report!E798</f>
        <v>AGM INDUSTRIA COMERCIO E REPRESENTACAO LTDA</v>
      </c>
      <c r="C499" s="15" t="n">
        <f aca="false">Report!U798</f>
        <v>603.5</v>
      </c>
      <c r="D499" s="0" t="str">
        <f aca="false">Report!X798</f>
        <v>NF 47502 ELLEN</v>
      </c>
    </row>
    <row r="500" customFormat="false" ht="12.75" hidden="false" customHeight="true" outlineLevel="0" collapsed="false">
      <c r="A500" s="14" t="n">
        <f aca="false">Report!C799</f>
        <v>46213</v>
      </c>
      <c r="B500" s="0" t="str">
        <f aca="false">Report!E799</f>
        <v>BRAGA TABACARIA EIRELI ME</v>
      </c>
      <c r="C500" s="15" t="n">
        <f aca="false">Report!U799</f>
        <v>1433.64</v>
      </c>
      <c r="D500" s="0" t="str">
        <f aca="false">Report!X799</f>
        <v>NF 18762 ELLEN</v>
      </c>
    </row>
    <row r="501" customFormat="false" ht="12.75" hidden="false" customHeight="true" outlineLevel="0" collapsed="false">
      <c r="A501" s="14" t="n">
        <f aca="false">Report!C800</f>
        <v>46213</v>
      </c>
      <c r="B501" s="0" t="str">
        <f aca="false">Report!E800</f>
        <v>BRAGA TABACARIA EIRELI ME</v>
      </c>
      <c r="C501" s="15" t="n">
        <f aca="false">Report!U800</f>
        <v>148.2</v>
      </c>
      <c r="D501" s="0" t="str">
        <f aca="false">Report!X800</f>
        <v>S/NF - COMPRAS-CACHACA/SKARLOFF - ELLEN</v>
      </c>
    </row>
    <row r="502" customFormat="false" ht="12.75" hidden="false" customHeight="true" outlineLevel="0" collapsed="false">
      <c r="A502" s="14" t="n">
        <f aca="false">Report!C801</f>
        <v>46213</v>
      </c>
      <c r="B502" s="0" t="str">
        <f aca="false">Report!E801</f>
        <v>BROTHERS  INDUSTRIA DE ALIMENTOS LTDA</v>
      </c>
      <c r="C502" s="15" t="n">
        <f aca="false">Report!U801</f>
        <v>279.82</v>
      </c>
      <c r="D502" s="0" t="str">
        <f aca="false">Report!X801</f>
        <v>NF 1030058 ELLEN</v>
      </c>
    </row>
    <row r="503" customFormat="false" ht="12.75" hidden="false" customHeight="true" outlineLevel="0" collapsed="false">
      <c r="A503" s="14" t="n">
        <f aca="false">Report!C805</f>
        <v>46213</v>
      </c>
      <c r="B503" s="0" t="str">
        <f aca="false">Report!E805</f>
        <v>CRBS S/A</v>
      </c>
      <c r="C503" s="15" t="n">
        <f aca="false">Report!U805</f>
        <v>2293.67</v>
      </c>
      <c r="D503" s="0" t="str">
        <f aca="false">Report!X805</f>
        <v>NF 888702 ELLEN</v>
      </c>
    </row>
    <row r="504" customFormat="false" ht="12.75" hidden="false" customHeight="true" outlineLevel="0" collapsed="false">
      <c r="A504" s="14" t="n">
        <f aca="false">Report!C806</f>
        <v>46213</v>
      </c>
      <c r="B504" s="0" t="str">
        <f aca="false">Report!E806</f>
        <v>CRBS S/A</v>
      </c>
      <c r="C504" s="15" t="n">
        <f aca="false">Report!U806</f>
        <v>1.55</v>
      </c>
      <c r="D504" s="0" t="str">
        <f aca="false">Report!X806</f>
        <v>NF 888702 REF TARIFA AMBEV - ELLEN</v>
      </c>
    </row>
    <row r="505" customFormat="false" ht="12.75" hidden="false" customHeight="true" outlineLevel="0" collapsed="false">
      <c r="A505" s="14" t="n">
        <f aca="false">Report!C807</f>
        <v>46213</v>
      </c>
      <c r="B505" s="0" t="str">
        <f aca="false">Report!E807</f>
        <v>DISTRIBUIDORA FARIAS LTDA.</v>
      </c>
      <c r="C505" s="15" t="n">
        <f aca="false">Report!U807</f>
        <v>1055.34</v>
      </c>
      <c r="D505" s="0" t="str">
        <f aca="false">Report!X807</f>
        <v>NF 674937 ELLEN</v>
      </c>
    </row>
    <row r="506" customFormat="false" ht="12.75" hidden="false" customHeight="true" outlineLevel="0" collapsed="false">
      <c r="A506" s="14" t="n">
        <f aca="false">Report!C808</f>
        <v>46213</v>
      </c>
      <c r="B506" s="0" t="str">
        <f aca="false">Report!E808</f>
        <v>DISTRIBUIDORA LOPES LTDA</v>
      </c>
      <c r="C506" s="15" t="n">
        <f aca="false">Report!U808</f>
        <v>1154.88</v>
      </c>
      <c r="D506" s="0" t="str">
        <f aca="false">Report!X808</f>
        <v>NF 1676804 ELLEN</v>
      </c>
    </row>
    <row r="507" customFormat="false" ht="12.75" hidden="false" customHeight="true" outlineLevel="0" collapsed="false">
      <c r="A507" s="14" t="n">
        <f aca="false">Report!C809</f>
        <v>46213</v>
      </c>
      <c r="B507" s="0" t="str">
        <f aca="false">Report!E809</f>
        <v>E. D. SENA &amp; CIA LTDA</v>
      </c>
      <c r="C507" s="15" t="n">
        <f aca="false">Report!U809</f>
        <v>531.2</v>
      </c>
      <c r="D507" s="0" t="str">
        <f aca="false">Report!X809</f>
        <v>NF 9495 ELLEN</v>
      </c>
    </row>
    <row r="508" customFormat="false" ht="12.75" hidden="false" customHeight="true" outlineLevel="0" collapsed="false">
      <c r="A508" s="14" t="n">
        <f aca="false">Report!C810</f>
        <v>46213</v>
      </c>
      <c r="B508" s="0" t="str">
        <f aca="false">Report!E810</f>
        <v>FRUTAL INDUSTRIA E COMERCIO LTDA</v>
      </c>
      <c r="C508" s="15" t="n">
        <f aca="false">Report!U810</f>
        <v>393.86</v>
      </c>
      <c r="D508" s="0" t="str">
        <f aca="false">Report!X810</f>
        <v>NF 225160 ELLEN</v>
      </c>
    </row>
    <row r="509" customFormat="false" ht="12.75" hidden="false" customHeight="true" outlineLevel="0" collapsed="false">
      <c r="A509" s="14" t="n">
        <f aca="false">Report!C811</f>
        <v>46213</v>
      </c>
      <c r="B509" s="0" t="str">
        <f aca="false">Report!E811</f>
        <v>G A COMERCIO DE PRODUTOS HOSPITALARES LTDA</v>
      </c>
      <c r="C509" s="15" t="n">
        <f aca="false">Report!U811</f>
        <v>368.4</v>
      </c>
      <c r="D509" s="0" t="str">
        <f aca="false">Report!X811</f>
        <v>NF 890 ELLEN</v>
      </c>
    </row>
    <row r="510" customFormat="false" ht="12.75" hidden="false" customHeight="true" outlineLevel="0" collapsed="false">
      <c r="A510" s="14" t="n">
        <f aca="false">Report!C813</f>
        <v>46213</v>
      </c>
      <c r="B510" s="0" t="str">
        <f aca="false">Report!E813</f>
        <v>H L M PADARIA E CONFEITARIA LTDA</v>
      </c>
      <c r="C510" s="15" t="n">
        <f aca="false">Report!U813</f>
        <v>200</v>
      </c>
      <c r="D510" s="0" t="str">
        <f aca="false">Report!X813</f>
        <v>NF 20 COMPRAS-BOLO PG NO P 10/7/26 ELLEN</v>
      </c>
    </row>
    <row r="511" customFormat="false" ht="12.75" hidden="false" customHeight="true" outlineLevel="0" collapsed="false">
      <c r="A511" s="14" t="n">
        <f aca="false">Report!C814</f>
        <v>46213</v>
      </c>
      <c r="B511" s="0" t="str">
        <f aca="false">Report!E814</f>
        <v>H. L. DO NASCIMENTO</v>
      </c>
      <c r="C511" s="15" t="n">
        <f aca="false">Report!U814</f>
        <v>430.3</v>
      </c>
      <c r="D511" s="0" t="str">
        <f aca="false">Report!X814</f>
        <v>NF 5765 ELLEN</v>
      </c>
    </row>
    <row r="512" customFormat="false" ht="12.75" hidden="false" customHeight="true" outlineLevel="0" collapsed="false">
      <c r="A512" s="14" t="n">
        <f aca="false">Report!C815</f>
        <v>46213</v>
      </c>
      <c r="B512" s="0" t="str">
        <f aca="false">Report!E815</f>
        <v>J G COMERCIO DE PRODUTOS ALIMENTICIOS LTDA</v>
      </c>
      <c r="C512" s="15" t="n">
        <f aca="false">Report!U815</f>
        <v>371.88</v>
      </c>
      <c r="D512" s="0" t="n">
        <f aca="false">Report!X815</f>
        <v>0</v>
      </c>
    </row>
    <row r="513" customFormat="false" ht="12.75" hidden="false" customHeight="true" outlineLevel="0" collapsed="false">
      <c r="A513" s="14" t="n">
        <f aca="false">Report!C816</f>
        <v>46213</v>
      </c>
      <c r="B513" s="0" t="str">
        <f aca="false">Report!E816</f>
        <v>L S M COMERCIO DE ALIMENTOS E NAVEGACAO</v>
      </c>
      <c r="C513" s="15" t="n">
        <f aca="false">Report!U816</f>
        <v>1184.07</v>
      </c>
      <c r="D513" s="0" t="str">
        <f aca="false">Report!X816</f>
        <v>NF 305929 ELLEN</v>
      </c>
    </row>
    <row r="514" customFormat="false" ht="12.75" hidden="false" customHeight="true" outlineLevel="0" collapsed="false">
      <c r="A514" s="14" t="n">
        <f aca="false">Report!C817</f>
        <v>46213</v>
      </c>
      <c r="B514" s="0" t="str">
        <f aca="false">Report!E817</f>
        <v>MAXFRI DISTRIUIDORA LTDA</v>
      </c>
      <c r="C514" s="15" t="n">
        <f aca="false">Report!U817</f>
        <v>5738.21</v>
      </c>
      <c r="D514" s="0" t="str">
        <f aca="false">Report!X817</f>
        <v>NF 14615 ELLEN</v>
      </c>
    </row>
    <row r="515" customFormat="false" ht="12.75" hidden="false" customHeight="true" outlineLevel="0" collapsed="false">
      <c r="A515" s="14" t="n">
        <f aca="false">Report!C819</f>
        <v>46213</v>
      </c>
      <c r="B515" s="0" t="str">
        <f aca="false">Report!E819</f>
        <v>NEYLIANE S DE OLIVEIRA &amp; CIA LTDA</v>
      </c>
      <c r="C515" s="15" t="n">
        <f aca="false">Report!U819</f>
        <v>1838.6</v>
      </c>
      <c r="D515" s="0" t="str">
        <f aca="false">Report!X819</f>
        <v>FEIRA SR RENATO - PG P LJ1 - ELLEN</v>
      </c>
    </row>
    <row r="516" customFormat="false" ht="12.75" hidden="false" customHeight="true" outlineLevel="0" collapsed="false">
      <c r="A516" s="14" t="n">
        <f aca="false">Report!C820</f>
        <v>46213</v>
      </c>
      <c r="B516" s="0" t="str">
        <f aca="false">Report!E820</f>
        <v>NORTELAC DISTRIBUIDORA DE FRIOS LTDA</v>
      </c>
      <c r="C516" s="15" t="n">
        <f aca="false">Report!U820</f>
        <v>460</v>
      </c>
      <c r="D516" s="0" t="str">
        <f aca="false">Report!X820</f>
        <v>NF 42910 ELLEN</v>
      </c>
    </row>
    <row r="517" customFormat="false" ht="12.75" hidden="false" customHeight="true" outlineLevel="0" collapsed="false">
      <c r="A517" s="14" t="n">
        <f aca="false">Report!C821</f>
        <v>46213</v>
      </c>
      <c r="B517" s="0" t="str">
        <f aca="false">Report!E821</f>
        <v>OESA COMERCIO E REPRESENTACOES S/A</v>
      </c>
      <c r="C517" s="15" t="n">
        <f aca="false">Report!U821</f>
        <v>620</v>
      </c>
      <c r="D517" s="0" t="str">
        <f aca="false">Report!X821</f>
        <v>NF 419092 ELLEN</v>
      </c>
    </row>
    <row r="518" customFormat="false" ht="12.75" hidden="false" customHeight="true" outlineLevel="0" collapsed="false">
      <c r="A518" s="14" t="n">
        <f aca="false">Report!C826</f>
        <v>46213</v>
      </c>
      <c r="B518" s="0" t="str">
        <f aca="false">Report!E826</f>
        <v>SOUZA CRUZ LTDA.</v>
      </c>
      <c r="C518" s="15" t="n">
        <f aca="false">Report!U826</f>
        <v>5621.36</v>
      </c>
      <c r="D518" s="0" t="str">
        <f aca="false">Report!X826</f>
        <v>NF 564993 ELLEN</v>
      </c>
    </row>
    <row r="519" customFormat="false" ht="12.75" hidden="false" customHeight="true" outlineLevel="0" collapsed="false">
      <c r="A519" s="14" t="n">
        <f aca="false">Report!C827</f>
        <v>46214</v>
      </c>
      <c r="B519" s="0" t="str">
        <f aca="false">Report!E827</f>
        <v>DISTRIBUIDORA LOPES LTDA</v>
      </c>
      <c r="C519" s="15" t="n">
        <f aca="false">Report!U827</f>
        <v>832.51</v>
      </c>
      <c r="D519" s="0" t="str">
        <f aca="false">Report!X827</f>
        <v>NF 1686081 ELLEN</v>
      </c>
    </row>
    <row r="520" customFormat="false" ht="12.75" hidden="false" customHeight="true" outlineLevel="0" collapsed="false">
      <c r="A520" s="14" t="n">
        <f aca="false">Report!C828</f>
        <v>46214</v>
      </c>
      <c r="B520" s="0" t="str">
        <f aca="false">Report!E828</f>
        <v>MARE DISTRIBUIDORA DE BEBIDAS E DE PRODUTOS ALIMENTICIOS LTDA</v>
      </c>
      <c r="C520" s="15" t="n">
        <f aca="false">Report!U828</f>
        <v>1831.6</v>
      </c>
      <c r="D520" s="0" t="str">
        <f aca="false">Report!X828</f>
        <v>NF 1378386 ELLEN</v>
      </c>
    </row>
    <row r="521" customFormat="false" ht="12.75" hidden="false" customHeight="true" outlineLevel="0" collapsed="false">
      <c r="A521" s="14" t="n">
        <f aca="false">Report!C833</f>
        <v>46215</v>
      </c>
      <c r="B521" s="0" t="str">
        <f aca="false">Report!E833</f>
        <v>PRIME PET DISTRIBUIDORA LTDA</v>
      </c>
      <c r="C521" s="15" t="n">
        <f aca="false">Report!U833</f>
        <v>1361.81</v>
      </c>
      <c r="D521" s="0" t="str">
        <f aca="false">Report!X833</f>
        <v>NF 10860 ELLEN</v>
      </c>
    </row>
    <row r="522" customFormat="false" ht="12.75" hidden="false" customHeight="true" outlineLevel="0" collapsed="false">
      <c r="A522" s="14" t="n">
        <f aca="false">Report!C837</f>
        <v>46216</v>
      </c>
      <c r="B522" s="0" t="str">
        <f aca="false">Report!E837</f>
        <v>ADRIANA DISTRIBUIDORA DE PRODUTOS ALIMEN</v>
      </c>
      <c r="C522" s="15" t="n">
        <f aca="false">Report!U837</f>
        <v>791.31</v>
      </c>
      <c r="D522" s="0" t="str">
        <f aca="false">Report!X837</f>
        <v>NF 878392 ELLEN</v>
      </c>
    </row>
    <row r="523" customFormat="false" ht="12.75" hidden="false" customHeight="true" outlineLevel="0" collapsed="false">
      <c r="A523" s="14" t="n">
        <f aca="false">Report!C838</f>
        <v>46216</v>
      </c>
      <c r="B523" s="0" t="str">
        <f aca="false">Report!E838</f>
        <v>ADRIANO FEITOSA OLIVEIRA LTDA</v>
      </c>
      <c r="C523" s="15" t="n">
        <f aca="false">Report!U838</f>
        <v>2388.97</v>
      </c>
      <c r="D523" s="0" t="str">
        <f aca="false">Report!X838</f>
        <v>NF 322 ELLEN</v>
      </c>
    </row>
    <row r="524" customFormat="false" ht="12.75" hidden="false" customHeight="true" outlineLevel="0" collapsed="false">
      <c r="A524" s="14" t="n">
        <f aca="false">Report!C839</f>
        <v>46216</v>
      </c>
      <c r="B524" s="0" t="str">
        <f aca="false">Report!E839</f>
        <v>ATACADAO S.A.</v>
      </c>
      <c r="C524" s="15" t="n">
        <f aca="false">Report!U839</f>
        <v>671.67</v>
      </c>
      <c r="D524" s="0" t="str">
        <f aca="false">Report!X839</f>
        <v>NF 1894392 ELLEN</v>
      </c>
    </row>
    <row r="525" customFormat="false" ht="12.75" hidden="false" customHeight="true" outlineLevel="0" collapsed="false">
      <c r="A525" s="14" t="n">
        <f aca="false">Report!C840</f>
        <v>46216</v>
      </c>
      <c r="B525" s="0" t="str">
        <f aca="false">Report!E840</f>
        <v>DUNORTE DISTRIBUIDORA DE PRODUTOS DE CONSUMO LTDA</v>
      </c>
      <c r="C525" s="15" t="n">
        <f aca="false">Report!U840</f>
        <v>643.05</v>
      </c>
      <c r="D525" s="0" t="str">
        <f aca="false">Report!X840</f>
        <v>NF 3202460 ELLEN</v>
      </c>
    </row>
    <row r="526" customFormat="false" ht="12.75" hidden="false" customHeight="true" outlineLevel="0" collapsed="false">
      <c r="A526" s="14" t="n">
        <f aca="false">Report!C841</f>
        <v>46216</v>
      </c>
      <c r="B526" s="0" t="str">
        <f aca="false">Report!E841</f>
        <v>DURAES DISTRIBUIDORA DE ESTIVAS LTDA</v>
      </c>
      <c r="C526" s="15" t="n">
        <f aca="false">Report!U841</f>
        <v>347.18</v>
      </c>
      <c r="D526" s="0" t="str">
        <f aca="false">Report!X841</f>
        <v>NF 646732 ELLEN</v>
      </c>
    </row>
    <row r="527" customFormat="false" ht="12.75" hidden="false" customHeight="true" outlineLevel="0" collapsed="false">
      <c r="A527" s="14" t="n">
        <f aca="false">Report!C843</f>
        <v>46216</v>
      </c>
      <c r="B527" s="0" t="str">
        <f aca="false">Report!E843</f>
        <v>FENNIX BRASIL DISTRIBUIDORA DE PRODUTOS</v>
      </c>
      <c r="C527" s="15" t="n">
        <f aca="false">Report!U843</f>
        <v>675.35</v>
      </c>
      <c r="D527" s="0" t="str">
        <f aca="false">Report!X843</f>
        <v>NF 310316 ELLEN</v>
      </c>
    </row>
    <row r="528" customFormat="false" ht="12.75" hidden="false" customHeight="true" outlineLevel="0" collapsed="false">
      <c r="A528" s="14" t="n">
        <f aca="false">Report!C844</f>
        <v>46216</v>
      </c>
      <c r="B528" s="0" t="str">
        <f aca="false">Report!E844</f>
        <v>H L M PADARIA E CONFEITARIA LTDA</v>
      </c>
      <c r="C528" s="15" t="n">
        <f aca="false">Report!U844</f>
        <v>120</v>
      </c>
      <c r="D528" s="0" t="str">
        <f aca="false">Report!X844</f>
        <v>NF 19 COMPRAS-BOLO PG NO P 13/7/26 ELLEN</v>
      </c>
    </row>
    <row r="529" customFormat="false" ht="12.75" hidden="false" customHeight="true" outlineLevel="0" collapsed="false">
      <c r="A529" s="14" t="n">
        <f aca="false">Report!C845</f>
        <v>46216</v>
      </c>
      <c r="B529" s="0" t="str">
        <f aca="false">Report!E845</f>
        <v>J W N DOS SANTOS</v>
      </c>
      <c r="C529" s="15" t="n">
        <f aca="false">Report!U845</f>
        <v>225</v>
      </c>
      <c r="D529" s="0" t="str">
        <f aca="false">Report!X845</f>
        <v>NF 351 ELLEN</v>
      </c>
    </row>
    <row r="530" customFormat="false" ht="12.75" hidden="false" customHeight="true" outlineLevel="0" collapsed="false">
      <c r="A530" s="14" t="n">
        <f aca="false">Report!C846</f>
        <v>46216</v>
      </c>
      <c r="B530" s="0" t="str">
        <f aca="false">Report!E846</f>
        <v>JAB COMERCIO DE PRODUTOS ALIMENTICIOS LT</v>
      </c>
      <c r="C530" s="15" t="n">
        <f aca="false">Report!U846</f>
        <v>142</v>
      </c>
      <c r="D530" s="0" t="str">
        <f aca="false">Report!X846</f>
        <v>NF 3500 ELLEN</v>
      </c>
    </row>
    <row r="531" customFormat="false" ht="12.75" hidden="false" customHeight="true" outlineLevel="0" collapsed="false">
      <c r="A531" s="14" t="n">
        <f aca="false">Report!C847</f>
        <v>46216</v>
      </c>
      <c r="B531" s="0" t="str">
        <f aca="false">Report!E847</f>
        <v>NEYLIANE S DE OLIVEIRA &amp; CIA LTDA</v>
      </c>
      <c r="C531" s="15" t="n">
        <f aca="false">Report!U847</f>
        <v>560</v>
      </c>
      <c r="D531" s="0" t="str">
        <f aca="false">Report!X847</f>
        <v>COMPRAS - FARINHA DAGUA DE FEIRA - ELLEN</v>
      </c>
    </row>
    <row r="532" customFormat="false" ht="12.75" hidden="false" customHeight="true" outlineLevel="0" collapsed="false">
      <c r="A532" s="14" t="n">
        <f aca="false">Report!C848</f>
        <v>46216</v>
      </c>
      <c r="B532" s="0" t="str">
        <f aca="false">Report!E848</f>
        <v>NEYLIANE S DE OLIVEIRA &amp; CIA LTDA</v>
      </c>
      <c r="C532" s="15" t="n">
        <f aca="false">Report!U848</f>
        <v>210</v>
      </c>
      <c r="D532" s="0" t="str">
        <f aca="false">Report!X848</f>
        <v>COMPRAS 15L DE AÇAI - PG NO P 11/7/26 ELLEN</v>
      </c>
    </row>
    <row r="533" customFormat="false" ht="12.75" hidden="false" customHeight="true" outlineLevel="0" collapsed="false">
      <c r="A533" s="14" t="n">
        <f aca="false">Report!C849</f>
        <v>46216</v>
      </c>
      <c r="B533" s="0" t="str">
        <f aca="false">Report!E849</f>
        <v>NOVA FRIOS COMERCIO ATACADISTA DE LATICINIOS LTDA</v>
      </c>
      <c r="C533" s="15" t="n">
        <f aca="false">Report!U849</f>
        <v>194.08</v>
      </c>
      <c r="D533" s="0" t="str">
        <f aca="false">Report!X849</f>
        <v>NF 3993 ELLEN</v>
      </c>
    </row>
    <row r="534" customFormat="false" ht="12.75" hidden="false" customHeight="true" outlineLevel="0" collapsed="false">
      <c r="A534" s="14" t="n">
        <f aca="false">Report!C850</f>
        <v>46216</v>
      </c>
      <c r="B534" s="0" t="str">
        <f aca="false">Report!E850</f>
        <v>PANIFICADORA E CONFEITARIA REAL MADRI LTDA</v>
      </c>
      <c r="C534" s="15" t="n">
        <f aca="false">Report!U850</f>
        <v>259.75</v>
      </c>
      <c r="D534" s="0" t="str">
        <f aca="false">Report!X850</f>
        <v>NF 704 ELLEN</v>
      </c>
    </row>
    <row r="535" customFormat="false" ht="12.75" hidden="false" customHeight="true" outlineLevel="0" collapsed="false">
      <c r="A535" s="14" t="n">
        <f aca="false">Report!C851</f>
        <v>46216</v>
      </c>
      <c r="B535" s="0" t="str">
        <f aca="false">Report!E851</f>
        <v>ROCHA E PAIVA LTDA</v>
      </c>
      <c r="C535" s="15" t="n">
        <f aca="false">Report!U851</f>
        <v>591.52</v>
      </c>
      <c r="D535" s="0" t="str">
        <f aca="false">Report!X851</f>
        <v>NF 207912 ELLEN</v>
      </c>
    </row>
    <row r="536" customFormat="false" ht="12.75" hidden="false" customHeight="true" outlineLevel="0" collapsed="false">
      <c r="A536" s="14" t="n">
        <f aca="false">Report!C855</f>
        <v>46217</v>
      </c>
      <c r="B536" s="0" t="str">
        <f aca="false">Report!E855</f>
        <v>ADICSO FABIAN GONZALEZ MONTILLA 70302186</v>
      </c>
      <c r="C536" s="15" t="n">
        <f aca="false">Report!U855</f>
        <v>180</v>
      </c>
      <c r="D536" s="0" t="str">
        <f aca="false">Report!X855</f>
        <v>NF 527 ELLEN</v>
      </c>
    </row>
    <row r="537" customFormat="false" ht="12.75" hidden="false" customHeight="true" outlineLevel="0" collapsed="false">
      <c r="A537" s="14" t="n">
        <f aca="false">Report!C857</f>
        <v>46217</v>
      </c>
      <c r="B537" s="0" t="str">
        <f aca="false">Report!E857</f>
        <v>BONNA VITTA INDUSTRIA E COMERCIO LTDA.</v>
      </c>
      <c r="C537" s="15" t="n">
        <f aca="false">Report!U857</f>
        <v>304.45</v>
      </c>
      <c r="D537" s="0" t="str">
        <f aca="false">Report!X857</f>
        <v>NF 519349 ELLEN</v>
      </c>
    </row>
    <row r="538" customFormat="false" ht="12.75" hidden="false" customHeight="true" outlineLevel="0" collapsed="false">
      <c r="A538" s="14" t="n">
        <f aca="false">Report!C858</f>
        <v>46217</v>
      </c>
      <c r="B538" s="0" t="str">
        <f aca="false">Report!E858</f>
        <v>BRASIL NORTE BEBIDAS S/A</v>
      </c>
      <c r="C538" s="15" t="n">
        <f aca="false">Report!U858</f>
        <v>29.3</v>
      </c>
      <c r="D538" s="0" t="str">
        <f aca="false">Report!X858</f>
        <v>NF 1180339 ELLEN</v>
      </c>
    </row>
    <row r="539" customFormat="false" ht="12.75" hidden="false" customHeight="true" outlineLevel="0" collapsed="false">
      <c r="A539" s="14" t="n">
        <f aca="false">Report!C859</f>
        <v>46217</v>
      </c>
      <c r="B539" s="0" t="str">
        <f aca="false">Report!E859</f>
        <v>BRASIL NORTE BEBIDAS S/A</v>
      </c>
      <c r="C539" s="15" t="n">
        <f aca="false">Report!U859</f>
        <v>156.29</v>
      </c>
      <c r="D539" s="0" t="str">
        <f aca="false">Report!X859</f>
        <v>NF 1906318 ELLEN</v>
      </c>
    </row>
    <row r="540" customFormat="false" ht="12.75" hidden="false" customHeight="true" outlineLevel="0" collapsed="false">
      <c r="A540" s="14" t="n">
        <f aca="false">Report!C860</f>
        <v>46217</v>
      </c>
      <c r="B540" s="0" t="str">
        <f aca="false">Report!E860</f>
        <v>BRASIL NORTE BEBIDAS S/A</v>
      </c>
      <c r="C540" s="15" t="n">
        <f aca="false">Report!U860</f>
        <v>974.53</v>
      </c>
      <c r="D540" s="0" t="str">
        <f aca="false">Report!X860</f>
        <v>NF 1906109 ELLEN</v>
      </c>
    </row>
    <row r="541" customFormat="false" ht="12.75" hidden="false" customHeight="true" outlineLevel="0" collapsed="false">
      <c r="A541" s="14" t="n">
        <f aca="false">Report!C861</f>
        <v>46217</v>
      </c>
      <c r="B541" s="0" t="str">
        <f aca="false">Report!E861</f>
        <v>BROTHERS  INDUSTRIA DE ALIMENTOS LTDA</v>
      </c>
      <c r="C541" s="15" t="n">
        <f aca="false">Report!U861</f>
        <v>248.78</v>
      </c>
      <c r="D541" s="0" t="str">
        <f aca="false">Report!X861</f>
        <v>NF 1030653 ELLEN</v>
      </c>
    </row>
    <row r="542" customFormat="false" ht="12.75" hidden="false" customHeight="true" outlineLevel="0" collapsed="false">
      <c r="A542" s="14" t="n">
        <f aca="false">Report!C862</f>
        <v>46217</v>
      </c>
      <c r="B542" s="0" t="str">
        <f aca="false">Report!E862</f>
        <v>COMERCIO DE FRIOS MANAUS LTDA</v>
      </c>
      <c r="C542" s="15" t="n">
        <f aca="false">Report!U862</f>
        <v>2243.2</v>
      </c>
      <c r="D542" s="0" t="str">
        <f aca="false">Report!X862</f>
        <v>NF 172659 ELLEN</v>
      </c>
    </row>
    <row r="543" customFormat="false" ht="12.75" hidden="false" customHeight="true" outlineLevel="0" collapsed="false">
      <c r="A543" s="14" t="n">
        <f aca="false">Report!C863</f>
        <v>46217</v>
      </c>
      <c r="B543" s="0" t="str">
        <f aca="false">Report!E863</f>
        <v>FEIRA</v>
      </c>
      <c r="C543" s="15" t="n">
        <f aca="false">Report!U863</f>
        <v>770</v>
      </c>
      <c r="D543" s="0" t="str">
        <f aca="false">Report!X863</f>
        <v>FEIRA SR RENATO-PG P LJ1-ALHO/MAÇA/UVA-SOMAR C NF2542-ELLEN</v>
      </c>
    </row>
    <row r="544" customFormat="false" ht="12.75" hidden="false" customHeight="true" outlineLevel="0" collapsed="false">
      <c r="A544" s="14" t="n">
        <f aca="false">Report!C865</f>
        <v>46217</v>
      </c>
      <c r="B544" s="0" t="str">
        <f aca="false">Report!E865</f>
        <v>MARTINS COM SERV DISTR SA</v>
      </c>
      <c r="C544" s="15" t="n">
        <f aca="false">Report!U865</f>
        <v>542.11</v>
      </c>
      <c r="D544" s="0" t="str">
        <f aca="false">Report!X865</f>
        <v>NF 1777487 ELLEN</v>
      </c>
    </row>
    <row r="545" customFormat="false" ht="12.75" hidden="false" customHeight="true" outlineLevel="0" collapsed="false">
      <c r="A545" s="14" t="n">
        <f aca="false">Report!C866</f>
        <v>46217</v>
      </c>
      <c r="B545" s="0" t="str">
        <f aca="false">Report!E866</f>
        <v>NEYLIANE S DE OLIVEIRA &amp; CIA LTDA</v>
      </c>
      <c r="C545" s="15" t="n">
        <f aca="false">Report!U866</f>
        <v>1046</v>
      </c>
      <c r="D545" s="0" t="str">
        <f aca="false">Report!X866</f>
        <v>COMPRAS - FARINHA CRUZEIRO - ELLEN</v>
      </c>
    </row>
    <row r="546" customFormat="false" ht="12.75" hidden="false" customHeight="true" outlineLevel="0" collapsed="false">
      <c r="A546" s="14" t="n">
        <f aca="false">Report!C867</f>
        <v>46217</v>
      </c>
      <c r="B546" s="0" t="str">
        <f aca="false">Report!E867</f>
        <v>NEYLIANE S DE OLIVEIRA &amp; CIA LTDA</v>
      </c>
      <c r="C546" s="15" t="n">
        <f aca="false">Report!U867</f>
        <v>290</v>
      </c>
      <c r="D546" s="0" t="str">
        <f aca="false">Report!X867</f>
        <v>COMPRAS - VISCERAS (BOLETO) ELLEN</v>
      </c>
    </row>
    <row r="547" customFormat="false" ht="12.75" hidden="false" customHeight="true" outlineLevel="0" collapsed="false">
      <c r="A547" s="14" t="n">
        <f aca="false">Report!C868</f>
        <v>46217</v>
      </c>
      <c r="B547" s="0" t="str">
        <f aca="false">Report!E868</f>
        <v>NEYLIANE S DE OLIVEIRA &amp; CIA LTDA</v>
      </c>
      <c r="C547" s="15" t="n">
        <f aca="false">Report!U868</f>
        <v>1946.36</v>
      </c>
      <c r="D547" s="0" t="str">
        <f aca="false">Report!X868</f>
        <v>FEIRA SR RENATO - PG P LJ1 - ELLEN</v>
      </c>
    </row>
    <row r="548" customFormat="false" ht="12.75" hidden="false" customHeight="true" outlineLevel="0" collapsed="false">
      <c r="A548" s="14" t="n">
        <f aca="false">Report!C869</f>
        <v>46217</v>
      </c>
      <c r="B548" s="0" t="str">
        <f aca="false">Report!E869</f>
        <v>NEYLIANE S DE OLIVEIRA &amp; CIA LTDA</v>
      </c>
      <c r="C548" s="15" t="n">
        <f aca="false">Report!U869</f>
        <v>182</v>
      </c>
      <c r="D548" s="0" t="str">
        <f aca="false">Report!X869</f>
        <v>COMPRAS - 13L DE AÇAI- PG NO P 14/7/26 ELLEN</v>
      </c>
    </row>
    <row r="549" customFormat="false" ht="12.75" hidden="false" customHeight="true" outlineLevel="0" collapsed="false">
      <c r="A549" s="14" t="n">
        <f aca="false">Report!C870</f>
        <v>46217</v>
      </c>
      <c r="B549" s="0" t="str">
        <f aca="false">Report!E870</f>
        <v>NSB COMERCIO ATACADISTA E VAREJISTA DE P</v>
      </c>
      <c r="C549" s="15" t="n">
        <f aca="false">Report!U870</f>
        <v>378.89</v>
      </c>
      <c r="D549" s="0" t="str">
        <f aca="false">Report!X870</f>
        <v>NF 7874 ELLEN</v>
      </c>
    </row>
    <row r="550" customFormat="false" ht="12.75" hidden="false" customHeight="true" outlineLevel="0" collapsed="false">
      <c r="A550" s="14" t="n">
        <f aca="false">Report!C872</f>
        <v>46217</v>
      </c>
      <c r="B550" s="0" t="str">
        <f aca="false">Report!E872</f>
        <v>PANIFICADORA E CONFEITARIA REAL MADRI LTDA</v>
      </c>
      <c r="C550" s="15" t="n">
        <f aca="false">Report!U872</f>
        <v>307.11</v>
      </c>
      <c r="D550" s="0" t="str">
        <f aca="false">Report!X872</f>
        <v>NF 708 ELLEN</v>
      </c>
    </row>
    <row r="551" customFormat="false" ht="12.75" hidden="false" customHeight="true" outlineLevel="0" collapsed="false">
      <c r="A551" s="14" t="n">
        <f aca="false">Report!C879</f>
        <v>46217</v>
      </c>
      <c r="B551" s="0" t="str">
        <f aca="false">Report!E879</f>
        <v>SILVA E SANTOS FRIGORIFICO LTDA</v>
      </c>
      <c r="C551" s="15" t="n">
        <f aca="false">Report!U879</f>
        <v>1411.05</v>
      </c>
      <c r="D551" s="0" t="str">
        <f aca="false">Report!X879</f>
        <v>NF 31674 ELLEN</v>
      </c>
    </row>
    <row r="552" customFormat="false" ht="12.75" hidden="false" customHeight="true" outlineLevel="0" collapsed="false">
      <c r="A552" s="14" t="n">
        <f aca="false">Report!C881</f>
        <v>46218</v>
      </c>
      <c r="B552" s="0" t="str">
        <f aca="false">Report!E881</f>
        <v>ADRIANA DISTRIBUIDORA DE PRODUTOS ALIMEN</v>
      </c>
      <c r="C552" s="15" t="n">
        <f aca="false">Report!U881</f>
        <v>589.08</v>
      </c>
      <c r="D552" s="0" t="str">
        <f aca="false">Report!X881</f>
        <v>NF 878758 ELLEN</v>
      </c>
    </row>
    <row r="553" customFormat="false" ht="12.75" hidden="false" customHeight="true" outlineLevel="0" collapsed="false">
      <c r="A553" s="14" t="n">
        <f aca="false">Report!C882</f>
        <v>46218</v>
      </c>
      <c r="B553" s="0" t="str">
        <f aca="false">Report!E882</f>
        <v>ADRIANO FEITOSA OLIVEIRA LTDA</v>
      </c>
      <c r="C553" s="15" t="n">
        <f aca="false">Report!U882</f>
        <v>915</v>
      </c>
      <c r="D553" s="0" t="str">
        <f aca="false">Report!X882</f>
        <v>NF 331 ELLEN</v>
      </c>
    </row>
    <row r="554" customFormat="false" ht="12.75" hidden="false" customHeight="true" outlineLevel="0" collapsed="false">
      <c r="A554" s="14" t="n">
        <f aca="false">Report!C883</f>
        <v>46218</v>
      </c>
      <c r="B554" s="0" t="str">
        <f aca="false">Report!E883</f>
        <v>BRF S A</v>
      </c>
      <c r="C554" s="15" t="n">
        <f aca="false">Report!U883</f>
        <v>1881.46</v>
      </c>
      <c r="D554" s="0" t="str">
        <f aca="false">Report!X883</f>
        <v>NF 1600681 ELLEN</v>
      </c>
    </row>
    <row r="555" customFormat="false" ht="12.75" hidden="false" customHeight="true" outlineLevel="0" collapsed="false">
      <c r="A555" s="14" t="n">
        <f aca="false">Report!C884</f>
        <v>46218</v>
      </c>
      <c r="B555" s="0" t="str">
        <f aca="false">Report!E884</f>
        <v>EDSON AGUIAR DE SOUZA</v>
      </c>
      <c r="C555" s="15" t="n">
        <f aca="false">Report!U884</f>
        <v>123</v>
      </c>
      <c r="D555" s="0" t="str">
        <f aca="false">Report!X884</f>
        <v>COMPRAS - CHEIRO-VERDE - ELLEN</v>
      </c>
    </row>
    <row r="556" customFormat="false" ht="12.75" hidden="false" customHeight="true" outlineLevel="0" collapsed="false">
      <c r="A556" s="14" t="n">
        <f aca="false">Report!C885</f>
        <v>46218</v>
      </c>
      <c r="B556" s="0" t="str">
        <f aca="false">Report!E885</f>
        <v>EDSON AGUIAR DE SOUZA</v>
      </c>
      <c r="C556" s="15" t="n">
        <f aca="false">Report!U885</f>
        <v>89.5</v>
      </c>
      <c r="D556" s="0" t="str">
        <f aca="false">Report!X885</f>
        <v>COMPRAS - CHEIRO-VERDE - ELLEN</v>
      </c>
    </row>
    <row r="557" customFormat="false" ht="12.75" hidden="false" customHeight="true" outlineLevel="0" collapsed="false">
      <c r="A557" s="14" t="n">
        <f aca="false">Report!C886</f>
        <v>46218</v>
      </c>
      <c r="B557" s="0" t="str">
        <f aca="false">Report!E886</f>
        <v>EDSON AGUIAR DE SOUZA</v>
      </c>
      <c r="C557" s="15" t="n">
        <f aca="false">Report!U886</f>
        <v>140</v>
      </c>
      <c r="D557" s="0" t="str">
        <f aca="false">Report!X886</f>
        <v>COMPRAS - CHEIRO-VERDE - ELLEN</v>
      </c>
    </row>
    <row r="558" customFormat="false" ht="12.75" hidden="false" customHeight="true" outlineLevel="0" collapsed="false">
      <c r="A558" s="14" t="n">
        <f aca="false">Report!C887</f>
        <v>46218</v>
      </c>
      <c r="B558" s="0" t="str">
        <f aca="false">Report!E887</f>
        <v>EDSON AGUIAR DE SOUZA</v>
      </c>
      <c r="C558" s="15" t="n">
        <f aca="false">Report!U887</f>
        <v>130</v>
      </c>
      <c r="D558" s="0" t="str">
        <f aca="false">Report!X887</f>
        <v>COMPRAS - CHEIRO-VERDE - ELLEN</v>
      </c>
    </row>
    <row r="559" customFormat="false" ht="12.75" hidden="false" customHeight="true" outlineLevel="0" collapsed="false">
      <c r="A559" s="14" t="n">
        <f aca="false">Report!C888</f>
        <v>46218</v>
      </c>
      <c r="B559" s="0" t="str">
        <f aca="false">Report!E888</f>
        <v>EDSON AGUIAR DE SOUZA</v>
      </c>
      <c r="C559" s="15" t="n">
        <f aca="false">Report!U888</f>
        <v>129.5</v>
      </c>
      <c r="D559" s="0" t="str">
        <f aca="false">Report!X888</f>
        <v>COMPRAS - CHEIRO-VERDE - ELLEN</v>
      </c>
    </row>
    <row r="560" customFormat="false" ht="12.75" hidden="false" customHeight="true" outlineLevel="0" collapsed="false">
      <c r="A560" s="14" t="n">
        <f aca="false">Report!C889</f>
        <v>46218</v>
      </c>
      <c r="B560" s="0" t="str">
        <f aca="false">Report!E889</f>
        <v>EDSON AGUIAR DE SOUZA</v>
      </c>
      <c r="C560" s="15" t="n">
        <f aca="false">Report!U889</f>
        <v>61.5</v>
      </c>
      <c r="D560" s="0" t="str">
        <f aca="false">Report!X889</f>
        <v>COMPRAS - CHEIRO-VERDE - ELLEN</v>
      </c>
    </row>
    <row r="561" customFormat="false" ht="12.75" hidden="false" customHeight="true" outlineLevel="0" collapsed="false">
      <c r="A561" s="14" t="n">
        <f aca="false">Report!C890</f>
        <v>46218</v>
      </c>
      <c r="B561" s="0" t="str">
        <f aca="false">Report!E890</f>
        <v>EDSON AGUIAR DE SOUZA</v>
      </c>
      <c r="C561" s="15" t="n">
        <f aca="false">Report!U890</f>
        <v>174</v>
      </c>
      <c r="D561" s="0" t="str">
        <f aca="false">Report!X890</f>
        <v>COMPRAS - CHEIRO-VERDE - ELLEN</v>
      </c>
    </row>
    <row r="562" customFormat="false" ht="12.75" hidden="false" customHeight="true" outlineLevel="0" collapsed="false">
      <c r="A562" s="14" t="n">
        <f aca="false">Report!C891</f>
        <v>46218</v>
      </c>
      <c r="B562" s="0" t="str">
        <f aca="false">Report!E891</f>
        <v>EDSON AGUIAR DE SOUZA</v>
      </c>
      <c r="C562" s="15" t="n">
        <f aca="false">Report!U891</f>
        <v>117</v>
      </c>
      <c r="D562" s="0" t="str">
        <f aca="false">Report!X891</f>
        <v>COMPRAS - CHEIRO-VERDE - ELLEN</v>
      </c>
    </row>
    <row r="563" customFormat="false" ht="12.75" hidden="false" customHeight="true" outlineLevel="0" collapsed="false">
      <c r="A563" s="14" t="n">
        <f aca="false">Report!C892</f>
        <v>46218</v>
      </c>
      <c r="B563" s="0" t="str">
        <f aca="false">Report!E892</f>
        <v>EDSON AGUIAR DE SOUZA</v>
      </c>
      <c r="C563" s="15" t="n">
        <f aca="false">Report!U892</f>
        <v>76.5</v>
      </c>
      <c r="D563" s="0" t="str">
        <f aca="false">Report!X892</f>
        <v>COMPRAS - CHEIRO-VERDE - ELLEN</v>
      </c>
    </row>
    <row r="564" customFormat="false" ht="12.75" hidden="false" customHeight="true" outlineLevel="0" collapsed="false">
      <c r="A564" s="14" t="n">
        <f aca="false">Report!C893</f>
        <v>46218</v>
      </c>
      <c r="B564" s="0" t="str">
        <f aca="false">Report!E893</f>
        <v>FEMAR IND E COM DE BEBIDAS LTDA</v>
      </c>
      <c r="C564" s="15" t="n">
        <f aca="false">Report!U893</f>
        <v>316.08</v>
      </c>
      <c r="D564" s="0" t="str">
        <f aca="false">Report!X893</f>
        <v>NF 53410 ELLEN</v>
      </c>
    </row>
    <row r="565" customFormat="false" ht="12.75" hidden="false" customHeight="true" outlineLevel="0" collapsed="false">
      <c r="A565" s="14" t="n">
        <f aca="false">Report!C894</f>
        <v>46218</v>
      </c>
      <c r="B565" s="0" t="str">
        <f aca="false">Report!E894</f>
        <v>H L M PADARIA E CONFEITARIA LTDA</v>
      </c>
      <c r="C565" s="15" t="n">
        <f aca="false">Report!U894</f>
        <v>140</v>
      </c>
      <c r="D565" s="0" t="str">
        <f aca="false">Report!X894</f>
        <v>NF 22 COMPRAS-BOLO PG NO P 15/7/26 ELLEN</v>
      </c>
    </row>
    <row r="566" customFormat="false" ht="12.75" hidden="false" customHeight="true" outlineLevel="0" collapsed="false">
      <c r="A566" s="14" t="n">
        <f aca="false">Report!C895</f>
        <v>46218</v>
      </c>
      <c r="B566" s="0" t="str">
        <f aca="false">Report!E895</f>
        <v>LIMA E BARANDA COMERCIO DE PRODUTOS REGI</v>
      </c>
      <c r="C566" s="15" t="n">
        <f aca="false">Report!U895</f>
        <v>329</v>
      </c>
      <c r="D566" s="0" t="str">
        <f aca="false">Report!X895</f>
        <v>NF 31344 ELLEN</v>
      </c>
    </row>
    <row r="567" customFormat="false" ht="12.75" hidden="false" customHeight="true" outlineLevel="0" collapsed="false">
      <c r="A567" s="14" t="n">
        <f aca="false">Report!C896</f>
        <v>46218</v>
      </c>
      <c r="B567" s="0" t="str">
        <f aca="false">Report!E896</f>
        <v>OESA COMERCIO E REPRESENTACOES S/A</v>
      </c>
      <c r="C567" s="15" t="n">
        <f aca="false">Report!U896</f>
        <v>61.58</v>
      </c>
      <c r="D567" s="0" t="str">
        <f aca="false">Report!X896</f>
        <v>NF 416678 ELLEN</v>
      </c>
    </row>
    <row r="568" customFormat="false" ht="12.75" hidden="false" customHeight="true" outlineLevel="0" collapsed="false">
      <c r="A568" s="14" t="n">
        <f aca="false">Report!C898</f>
        <v>46218</v>
      </c>
      <c r="B568" s="0" t="str">
        <f aca="false">Report!E898</f>
        <v>SAO JOSE COMERCIO DE LATICINIOS E FRIOS</v>
      </c>
      <c r="C568" s="15" t="n">
        <f aca="false">Report!U898</f>
        <v>505.5</v>
      </c>
      <c r="D568" s="0" t="str">
        <f aca="false">Report!X898</f>
        <v>NF 3570 ELLEN</v>
      </c>
    </row>
    <row r="569" customFormat="false" ht="12.75" hidden="false" customHeight="true" outlineLevel="0" collapsed="false">
      <c r="A569" s="14" t="n">
        <f aca="false">Report!C904</f>
        <v>46218</v>
      </c>
      <c r="B569" s="0" t="str">
        <f aca="false">Report!E904</f>
        <v>TAPAJOS COM DE PERFUMARIA COSMETICOS E G</v>
      </c>
      <c r="C569" s="15" t="n">
        <f aca="false">Report!U904</f>
        <v>296</v>
      </c>
      <c r="D569" s="0" t="str">
        <f aca="false">Report!X904</f>
        <v>NF 576435 ELLEN</v>
      </c>
    </row>
    <row r="570" customFormat="false" ht="12.75" hidden="false" customHeight="true" outlineLevel="0" collapsed="false">
      <c r="A570" s="14" t="n">
        <f aca="false">Report!C905</f>
        <v>46218</v>
      </c>
      <c r="B570" s="0" t="str">
        <f aca="false">Report!E905</f>
        <v>TOYA INDUSTRIA E COMERCIO LTDA.</v>
      </c>
      <c r="C570" s="15" t="n">
        <f aca="false">Report!U905</f>
        <v>868.37</v>
      </c>
      <c r="D570" s="0" t="str">
        <f aca="false">Report!X905</f>
        <v>NF 254582 ELLEN</v>
      </c>
    </row>
    <row r="571" customFormat="false" ht="12.75" hidden="false" customHeight="true" outlineLevel="0" collapsed="false">
      <c r="A571" s="14" t="n">
        <f aca="false">Report!C906</f>
        <v>46219</v>
      </c>
      <c r="B571" s="0" t="str">
        <f aca="false">Report!E906</f>
        <v>64.225.624 ROBERTO REIS AROUCHE</v>
      </c>
      <c r="C571" s="15" t="n">
        <f aca="false">Report!U906</f>
        <v>432</v>
      </c>
      <c r="D571" s="0" t="str">
        <f aca="false">Report!X906</f>
        <v>NF 66 ELLEN</v>
      </c>
    </row>
    <row r="572" customFormat="false" ht="12.75" hidden="false" customHeight="true" outlineLevel="0" collapsed="false">
      <c r="A572" s="14" t="n">
        <f aca="false">Report!C907</f>
        <v>46219</v>
      </c>
      <c r="B572" s="0" t="str">
        <f aca="false">Report!E907</f>
        <v>BRAGA TABACARIA EIRELI ME</v>
      </c>
      <c r="C572" s="15" t="n">
        <f aca="false">Report!U907</f>
        <v>1073.2</v>
      </c>
      <c r="D572" s="0" t="str">
        <f aca="false">Report!X907</f>
        <v>NF 18998 ELLEN</v>
      </c>
    </row>
    <row r="573" customFormat="false" ht="12.75" hidden="false" customHeight="true" outlineLevel="0" collapsed="false">
      <c r="A573" s="14" t="n">
        <f aca="false">Report!C908</f>
        <v>46219</v>
      </c>
      <c r="B573" s="0" t="str">
        <f aca="false">Report!E908</f>
        <v>CHERRYS SEMI JOIAS LTDA</v>
      </c>
      <c r="C573" s="15" t="n">
        <f aca="false">Report!U908</f>
        <v>435</v>
      </c>
      <c r="D573" s="0" t="str">
        <f aca="false">Report!X908</f>
        <v>NF 462 ELLEN</v>
      </c>
    </row>
    <row r="574" customFormat="false" ht="12.75" hidden="false" customHeight="true" outlineLevel="0" collapsed="false">
      <c r="A574" s="14" t="n">
        <f aca="false">Report!C909</f>
        <v>46219</v>
      </c>
      <c r="B574" s="0" t="str">
        <f aca="false">Report!E909</f>
        <v>DA FRUTA DISTRIBUIDORA LTDA</v>
      </c>
      <c r="C574" s="15" t="n">
        <f aca="false">Report!U909</f>
        <v>652.4</v>
      </c>
      <c r="D574" s="0" t="str">
        <f aca="false">Report!X909</f>
        <v>NF 196323 ELLEN</v>
      </c>
    </row>
    <row r="575" customFormat="false" ht="12.75" hidden="false" customHeight="true" outlineLevel="0" collapsed="false">
      <c r="A575" s="14" t="n">
        <f aca="false">Report!C910</f>
        <v>46219</v>
      </c>
      <c r="B575" s="0" t="str">
        <f aca="false">Report!E910</f>
        <v>DISTRIBUIDORA LOPES LTDA</v>
      </c>
      <c r="C575" s="15" t="n">
        <f aca="false">Report!U910</f>
        <v>197.37</v>
      </c>
      <c r="D575" s="0" t="str">
        <f aca="false">Report!X910</f>
        <v>NF 1688844 ELLEN</v>
      </c>
    </row>
    <row r="576" customFormat="false" ht="12.75" hidden="false" customHeight="true" outlineLevel="0" collapsed="false">
      <c r="A576" s="14" t="n">
        <f aca="false">Report!C911</f>
        <v>46219</v>
      </c>
      <c r="B576" s="0" t="str">
        <f aca="false">Report!E911</f>
        <v>FE COMERCIO DE MATERIAIS DE CONSTRUCAO</v>
      </c>
      <c r="C576" s="15" t="n">
        <f aca="false">Report!U911</f>
        <v>819.52</v>
      </c>
      <c r="D576" s="0" t="str">
        <f aca="false">Report!X911</f>
        <v>NF 4467 ELLEN</v>
      </c>
    </row>
    <row r="577" customFormat="false" ht="12.75" hidden="false" customHeight="true" outlineLevel="0" collapsed="false">
      <c r="A577" s="14" t="n">
        <f aca="false">Report!C912</f>
        <v>46219</v>
      </c>
      <c r="B577" s="0" t="str">
        <f aca="false">Report!E912</f>
        <v>J G COMERCIO DE PRODUTOS ALIMENTICIOS LTDA</v>
      </c>
      <c r="C577" s="15" t="n">
        <f aca="false">Report!U912</f>
        <v>2005.45</v>
      </c>
      <c r="D577" s="0" t="str">
        <f aca="false">Report!X912</f>
        <v>NF 390211 ELLEN</v>
      </c>
    </row>
    <row r="578" customFormat="false" ht="12.75" hidden="false" customHeight="true" outlineLevel="0" collapsed="false">
      <c r="A578" s="14" t="n">
        <f aca="false">Report!C913</f>
        <v>46219</v>
      </c>
      <c r="B578" s="0" t="str">
        <f aca="false">Report!E913</f>
        <v>REAL BEBIDAS DA AMAZONIA LTDA</v>
      </c>
      <c r="C578" s="15" t="n">
        <f aca="false">Report!U913</f>
        <v>280</v>
      </c>
      <c r="D578" s="0" t="str">
        <f aca="false">Report!X913</f>
        <v>NF 599833 ELLEN</v>
      </c>
    </row>
    <row r="579" customFormat="false" ht="12.75" hidden="false" customHeight="true" outlineLevel="0" collapsed="false">
      <c r="A579" s="14" t="n">
        <f aca="false">Report!C914</f>
        <v>46219</v>
      </c>
      <c r="B579" s="0" t="str">
        <f aca="false">Report!E914</f>
        <v>RISADINHA LTDA</v>
      </c>
      <c r="C579" s="15" t="n">
        <f aca="false">Report!U914</f>
        <v>550.4</v>
      </c>
      <c r="D579" s="0" t="str">
        <f aca="false">Report!X914</f>
        <v>NF 658429 ELLEN</v>
      </c>
    </row>
    <row r="580" customFormat="false" ht="12.75" hidden="false" customHeight="true" outlineLevel="0" collapsed="false">
      <c r="A580" s="14" t="n">
        <f aca="false">Report!C915</f>
        <v>46219</v>
      </c>
      <c r="B580" s="0" t="str">
        <f aca="false">Report!E915</f>
        <v>SB COMERCIO LTDA</v>
      </c>
      <c r="C580" s="15" t="n">
        <f aca="false">Report!U915</f>
        <v>653.65</v>
      </c>
      <c r="D580" s="0" t="str">
        <f aca="false">Report!X915</f>
        <v>NF 1959276 ELLEN</v>
      </c>
    </row>
    <row r="581" customFormat="false" ht="12.75" hidden="false" customHeight="true" outlineLevel="0" collapsed="false">
      <c r="A581" s="14" t="n">
        <f aca="false">Report!C916</f>
        <v>46219</v>
      </c>
      <c r="B581" s="0" t="str">
        <f aca="false">Report!E916</f>
        <v>SEM FORNECEDOR</v>
      </c>
      <c r="C581" s="15" t="n">
        <f aca="false">Report!U916</f>
        <v>204</v>
      </c>
      <c r="D581" s="0" t="str">
        <f aca="false">Report!X916</f>
        <v>queijo coalho/valdirlan</v>
      </c>
    </row>
    <row r="582" customFormat="false" ht="12.75" hidden="false" customHeight="true" outlineLevel="0" collapsed="false">
      <c r="A582" s="14" t="n">
        <f aca="false">Report!C917</f>
        <v>46219</v>
      </c>
      <c r="B582" s="0" t="str">
        <f aca="false">Report!E917</f>
        <v>SEM FORNECEDOR</v>
      </c>
      <c r="C582" s="15" t="n">
        <f aca="false">Report!U917</f>
        <v>72</v>
      </c>
      <c r="D582" s="0" t="str">
        <f aca="false">Report!X917</f>
        <v>4 cxs brigadeiro/jose cast</v>
      </c>
    </row>
    <row r="583" customFormat="false" ht="12.75" hidden="false" customHeight="true" outlineLevel="0" collapsed="false">
      <c r="A583" s="14" t="n">
        <f aca="false">Report!C919</f>
        <v>46219</v>
      </c>
      <c r="B583" s="0" t="str">
        <f aca="false">Report!E919</f>
        <v>SILVA E SANTOS FRIGORIFICO LTDA</v>
      </c>
      <c r="C583" s="15" t="n">
        <f aca="false">Report!U919</f>
        <v>3640</v>
      </c>
      <c r="D583" s="0" t="str">
        <f aca="false">Report!X919</f>
        <v>NF 31703 ELLEN</v>
      </c>
    </row>
    <row r="584" customFormat="false" ht="12.75" hidden="false" customHeight="true" outlineLevel="0" collapsed="false">
      <c r="A584" s="14" t="n">
        <f aca="false">Report!C920</f>
        <v>46220</v>
      </c>
      <c r="B584" s="0" t="str">
        <f aca="false">Report!E920</f>
        <v>ADRIANO FEITOSA OLIVEIRA LTDA</v>
      </c>
      <c r="C584" s="15" t="n">
        <f aca="false">Report!U920</f>
        <v>1171.37</v>
      </c>
      <c r="D584" s="0" t="str">
        <f aca="false">Report!X920</f>
        <v>NF 333 ELLEN</v>
      </c>
    </row>
    <row r="585" customFormat="false" ht="12.75" hidden="false" customHeight="true" outlineLevel="0" collapsed="false">
      <c r="A585" s="14" t="n">
        <f aca="false">Report!C921</f>
        <v>46220</v>
      </c>
      <c r="B585" s="0" t="str">
        <f aca="false">Report!E921</f>
        <v>BRF S A</v>
      </c>
      <c r="C585" s="15" t="n">
        <f aca="false">Report!U921</f>
        <v>1031.78</v>
      </c>
      <c r="D585" s="0" t="str">
        <f aca="false">Report!X921</f>
        <v>NF 1604119 ELLEN</v>
      </c>
    </row>
    <row r="586" customFormat="false" ht="12.75" hidden="false" customHeight="true" outlineLevel="0" collapsed="false">
      <c r="A586" s="14" t="n">
        <f aca="false">Report!C922</f>
        <v>46220</v>
      </c>
      <c r="B586" s="0" t="str">
        <f aca="false">Report!E922</f>
        <v>BROTHERS  INDUSTRIA DE ALIMENTOS LTDA</v>
      </c>
      <c r="C586" s="15" t="n">
        <f aca="false">Report!U922</f>
        <v>250.08</v>
      </c>
      <c r="D586" s="0" t="str">
        <f aca="false">Report!X922</f>
        <v>NF 1031214 ELLEN</v>
      </c>
    </row>
    <row r="587" customFormat="false" ht="12.75" hidden="false" customHeight="true" outlineLevel="0" collapsed="false">
      <c r="A587" s="14" t="n">
        <f aca="false">Report!C923</f>
        <v>46220</v>
      </c>
      <c r="B587" s="0" t="str">
        <f aca="false">Report!E923</f>
        <v>DISTRIBUIDORA FARIAS LTDA.</v>
      </c>
      <c r="C587" s="15" t="n">
        <f aca="false">Report!U923</f>
        <v>1055.33</v>
      </c>
      <c r="D587" s="0" t="str">
        <f aca="false">Report!X923</f>
        <v>NF 674937 ELLEN</v>
      </c>
    </row>
    <row r="588" customFormat="false" ht="12.75" hidden="false" customHeight="true" outlineLevel="0" collapsed="false">
      <c r="A588" s="14" t="n">
        <f aca="false">Report!C924</f>
        <v>46220</v>
      </c>
      <c r="B588" s="0" t="str">
        <f aca="false">Report!E924</f>
        <v>DISTRIBUIDORA LOPES LTDA</v>
      </c>
      <c r="C588" s="15" t="n">
        <f aca="false">Report!U924</f>
        <v>1154.88</v>
      </c>
      <c r="D588" s="0" t="str">
        <f aca="false">Report!X924</f>
        <v>NF 1676804 ELLEN</v>
      </c>
    </row>
    <row r="589" customFormat="false" ht="12.75" hidden="false" customHeight="true" outlineLevel="0" collapsed="false">
      <c r="A589" s="14" t="n">
        <f aca="false">Report!C926</f>
        <v>46220</v>
      </c>
      <c r="B589" s="0" t="str">
        <f aca="false">Report!E926</f>
        <v>G A COMERCIO DE PRODUTOS HOSPITALARES LTDA</v>
      </c>
      <c r="C589" s="15" t="n">
        <f aca="false">Report!U926</f>
        <v>368.4</v>
      </c>
      <c r="D589" s="0" t="str">
        <f aca="false">Report!X926</f>
        <v>NF 890 ELLEN</v>
      </c>
    </row>
    <row r="590" customFormat="false" ht="12.75" hidden="false" customHeight="true" outlineLevel="0" collapsed="false">
      <c r="A590" s="14" t="n">
        <f aca="false">Report!C927</f>
        <v>46220</v>
      </c>
      <c r="B590" s="0" t="str">
        <f aca="false">Report!E927</f>
        <v>H L M PADARIA E CONFEITARIA LTDA</v>
      </c>
      <c r="C590" s="15" t="n">
        <f aca="false">Report!U927</f>
        <v>140</v>
      </c>
      <c r="D590" s="0" t="str">
        <f aca="false">Report!X927</f>
        <v>NF 23 COMPRAS-BOLO PG NO P 17/7/26 ELLEN</v>
      </c>
    </row>
    <row r="591" customFormat="false" ht="12.75" hidden="false" customHeight="true" outlineLevel="0" collapsed="false">
      <c r="A591" s="14" t="n">
        <f aca="false">Report!C928</f>
        <v>46220</v>
      </c>
      <c r="B591" s="0" t="str">
        <f aca="false">Report!E928</f>
        <v>H. L. DO NASCIMENTO</v>
      </c>
      <c r="C591" s="15" t="n">
        <f aca="false">Report!U928</f>
        <v>519.65</v>
      </c>
      <c r="D591" s="0" t="str">
        <f aca="false">Report!X928</f>
        <v>NF 5786 ELLEN</v>
      </c>
    </row>
    <row r="592" customFormat="false" ht="12.75" hidden="false" customHeight="true" outlineLevel="0" collapsed="false">
      <c r="A592" s="14" t="n">
        <f aca="false">Report!C929</f>
        <v>46220</v>
      </c>
      <c r="B592" s="0" t="str">
        <f aca="false">Report!E929</f>
        <v>J. S. MOREIRA ALVES LTDA</v>
      </c>
      <c r="C592" s="15" t="n">
        <f aca="false">Report!U929</f>
        <v>150</v>
      </c>
      <c r="D592" s="0" t="str">
        <f aca="false">Report!X929</f>
        <v>NF 2635 ELLEN</v>
      </c>
    </row>
    <row r="593" customFormat="false" ht="12.75" hidden="false" customHeight="true" outlineLevel="0" collapsed="false">
      <c r="A593" s="14" t="n">
        <f aca="false">Report!C930</f>
        <v>46220</v>
      </c>
      <c r="B593" s="0" t="str">
        <f aca="false">Report!E930</f>
        <v>L S M COMERCIO DE ALIMENTOS E NAVEGACAO</v>
      </c>
      <c r="C593" s="15" t="n">
        <f aca="false">Report!U930</f>
        <v>1184.06</v>
      </c>
      <c r="D593" s="0" t="str">
        <f aca="false">Report!X930</f>
        <v>NF 305929 ELLEN</v>
      </c>
    </row>
    <row r="594" customFormat="false" ht="12.75" hidden="false" customHeight="true" outlineLevel="0" collapsed="false">
      <c r="A594" s="14" t="n">
        <f aca="false">Report!C931</f>
        <v>46220</v>
      </c>
      <c r="B594" s="0" t="str">
        <f aca="false">Report!E931</f>
        <v>NEYLIANE S DE OLIVEIRA &amp; CIA LTDA</v>
      </c>
      <c r="C594" s="15" t="n">
        <f aca="false">Report!U931</f>
        <v>280</v>
      </c>
      <c r="D594" s="0" t="str">
        <f aca="false">Report!X931</f>
        <v>COMPRAS - 20L DE AÇAI - PG NO P 17/7/26 - ELLEN</v>
      </c>
    </row>
    <row r="595" customFormat="false" ht="12.75" hidden="false" customHeight="true" outlineLevel="0" collapsed="false">
      <c r="A595" s="14" t="n">
        <f aca="false">Report!C932</f>
        <v>46220</v>
      </c>
      <c r="B595" s="0" t="str">
        <f aca="false">Report!E932</f>
        <v>NEYLIANE S DE OLIVEIRA &amp; CIA LTDA</v>
      </c>
      <c r="C595" s="15" t="n">
        <f aca="false">Report!U932</f>
        <v>1392.72</v>
      </c>
      <c r="D595" s="0" t="str">
        <f aca="false">Report!X932</f>
        <v>FEIRA SR RENATO - PG P LJ1 - ELLEN</v>
      </c>
    </row>
    <row r="596" customFormat="false" ht="12.75" hidden="false" customHeight="true" outlineLevel="0" collapsed="false">
      <c r="A596" s="14" t="n">
        <f aca="false">Report!C933</f>
        <v>46220</v>
      </c>
      <c r="B596" s="0" t="str">
        <f aca="false">Report!E933</f>
        <v>OESA COMERCIO E REPRESENTACOES S/A</v>
      </c>
      <c r="C596" s="15" t="n">
        <f aca="false">Report!U933</f>
        <v>620</v>
      </c>
      <c r="D596" s="0" t="str">
        <f aca="false">Report!X933</f>
        <v>NF 419092 ELLEN</v>
      </c>
    </row>
    <row r="597" customFormat="false" ht="12.75" hidden="false" customHeight="true" outlineLevel="0" collapsed="false">
      <c r="A597" s="14" t="n">
        <f aca="false">Report!C934</f>
        <v>46220</v>
      </c>
      <c r="B597" s="0" t="str">
        <f aca="false">Report!E934</f>
        <v>PANIFICADORA E CONFEITARIA REAL MADRI LTDA</v>
      </c>
      <c r="C597" s="15" t="n">
        <f aca="false">Report!U934</f>
        <v>135</v>
      </c>
      <c r="D597" s="0" t="str">
        <f aca="false">Report!X934</f>
        <v>NF 711 ELLEN</v>
      </c>
    </row>
    <row r="598" customFormat="false" ht="12.75" hidden="false" customHeight="true" outlineLevel="0" collapsed="false">
      <c r="A598" s="14" t="n">
        <f aca="false">Report!C940</f>
        <v>46220</v>
      </c>
      <c r="B598" s="0" t="str">
        <f aca="false">Report!E940</f>
        <v>SOUZA CRUZ LTDA.</v>
      </c>
      <c r="C598" s="15" t="n">
        <f aca="false">Report!U940</f>
        <v>5791.7</v>
      </c>
      <c r="D598" s="0" t="str">
        <f aca="false">Report!X940</f>
        <v>NF 564993 ELLEN</v>
      </c>
    </row>
    <row r="599" customFormat="false" ht="12.75" hidden="false" customHeight="true" outlineLevel="0" collapsed="false">
      <c r="A599" s="14" t="n">
        <f aca="false">Report!C941</f>
        <v>46220</v>
      </c>
      <c r="B599" s="0" t="str">
        <f aca="false">Report!E941</f>
        <v>SOUZA CRUZ LTDA.</v>
      </c>
      <c r="C599" s="15" t="n">
        <f aca="false">Report!U941</f>
        <v>4572.86</v>
      </c>
      <c r="D599" s="0" t="str">
        <f aca="false">Report!X941</f>
        <v>NF 566541 ELLEN</v>
      </c>
    </row>
    <row r="600" customFormat="false" ht="12.75" hidden="false" customHeight="true" outlineLevel="0" collapsed="false">
      <c r="A600" s="14" t="n">
        <f aca="false">Report!C942</f>
        <v>46221</v>
      </c>
      <c r="B600" s="0" t="str">
        <f aca="false">Report!E942</f>
        <v>FORTVET DISTRIBUIDORA LTDA</v>
      </c>
      <c r="C600" s="15" t="n">
        <f aca="false">Report!U942</f>
        <v>660</v>
      </c>
      <c r="D600" s="0" t="str">
        <f aca="false">Report!X942</f>
        <v>NF 2495 ELLEN</v>
      </c>
    </row>
    <row r="601" customFormat="false" ht="12.75" hidden="false" customHeight="true" outlineLevel="0" collapsed="false">
      <c r="A601" s="14" t="n">
        <f aca="false">Report!C943</f>
        <v>46221</v>
      </c>
      <c r="B601" s="0" t="str">
        <f aca="false">Report!E943</f>
        <v>FUNNY PET DISTRIBUIDORA DE ALIMENTOS PAR</v>
      </c>
      <c r="C601" s="15" t="n">
        <f aca="false">Report!U943</f>
        <v>1589.28</v>
      </c>
      <c r="D601" s="0" t="str">
        <f aca="false">Report!X943</f>
        <v>NF 20499 ELLEN</v>
      </c>
    </row>
    <row r="602" customFormat="false" ht="12.75" hidden="false" customHeight="true" outlineLevel="0" collapsed="false">
      <c r="A602" s="14" t="n">
        <f aca="false">Report!C944</f>
        <v>46221</v>
      </c>
      <c r="B602" s="0" t="str">
        <f aca="false">Report!E944</f>
        <v>H L M PADARIA E CONFEITARIA LTDA</v>
      </c>
      <c r="C602" s="15" t="n">
        <f aca="false">Report!U944</f>
        <v>120</v>
      </c>
      <c r="D602" s="0" t="str">
        <f aca="false">Report!X944</f>
        <v>NF 35 COMPRAS-BOLO PG NO P 18/7/26 ELLEN</v>
      </c>
    </row>
    <row r="603" customFormat="false" ht="12.75" hidden="false" customHeight="true" outlineLevel="0" collapsed="false">
      <c r="A603" s="14" t="n">
        <f aca="false">Report!C945</f>
        <v>46221</v>
      </c>
      <c r="B603" s="0" t="str">
        <f aca="false">Report!E945</f>
        <v>MAXFRI DISTRIUIDORA LTDA</v>
      </c>
      <c r="C603" s="15" t="n">
        <f aca="false">Report!U945</f>
        <v>4043.8</v>
      </c>
      <c r="D603" s="0" t="str">
        <f aca="false">Report!X945</f>
        <v>NF 14685 ELLEN</v>
      </c>
    </row>
    <row r="604" customFormat="false" ht="12.75" hidden="false" customHeight="true" outlineLevel="0" collapsed="false">
      <c r="A604" s="14" t="n">
        <f aca="false">Report!C950</f>
        <v>46222</v>
      </c>
      <c r="B604" s="0" t="str">
        <f aca="false">Report!E950</f>
        <v>ADF DISTRIBUIDORA DE BEBIDAS LTDA</v>
      </c>
      <c r="C604" s="15" t="n">
        <f aca="false">Report!U950</f>
        <v>277.6</v>
      </c>
      <c r="D604" s="0" t="str">
        <f aca="false">Report!X950</f>
        <v>NF 473151 ELLEN</v>
      </c>
    </row>
    <row r="605" customFormat="false" ht="12.75" hidden="false" customHeight="true" outlineLevel="0" collapsed="false">
      <c r="A605" s="14" t="n">
        <f aca="false">Report!C951</f>
        <v>46222</v>
      </c>
      <c r="B605" s="0" t="str">
        <f aca="false">Report!E951</f>
        <v>MAXPEL COMERCIAL LTDA</v>
      </c>
      <c r="C605" s="15" t="n">
        <f aca="false">Report!U951</f>
        <v>1996.2</v>
      </c>
      <c r="D605" s="0" t="str">
        <f aca="false">Report!X951</f>
        <v>NF 316130 ELLEN</v>
      </c>
    </row>
    <row r="606" customFormat="false" ht="12.75" hidden="false" customHeight="true" outlineLevel="0" collapsed="false">
      <c r="A606" s="14" t="n">
        <f aca="false">Report!C955</f>
        <v>46223</v>
      </c>
      <c r="B606" s="0" t="str">
        <f aca="false">Report!E955</f>
        <v>CRBS S/A</v>
      </c>
      <c r="C606" s="15" t="n">
        <f aca="false">Report!U955</f>
        <v>661.73</v>
      </c>
      <c r="D606" s="0" t="str">
        <f aca="false">Report!X955</f>
        <v>NF 899238 ELLEN</v>
      </c>
    </row>
    <row r="607" customFormat="false" ht="12.75" hidden="false" customHeight="true" outlineLevel="0" collapsed="false">
      <c r="A607" s="14" t="n">
        <f aca="false">Report!C959</f>
        <v>46223</v>
      </c>
      <c r="B607" s="0" t="str">
        <f aca="false">Report!E959</f>
        <v>E. D. SENA &amp; CIA LTDA</v>
      </c>
      <c r="C607" s="15" t="n">
        <f aca="false">Report!U959</f>
        <v>531.18</v>
      </c>
      <c r="D607" s="0" t="str">
        <f aca="false">Report!X959</f>
        <v>NF 9495 ELLEN</v>
      </c>
    </row>
    <row r="608" customFormat="false" ht="12.75" hidden="false" customHeight="true" outlineLevel="0" collapsed="false">
      <c r="A608" s="14" t="n">
        <f aca="false">Report!C962</f>
        <v>46223</v>
      </c>
      <c r="B608" s="0" t="str">
        <f aca="false">Report!E962</f>
        <v>FENNIX BRASIL DISTRIBUIDORA DE PRODUTOS</v>
      </c>
      <c r="C608" s="15" t="n">
        <f aca="false">Report!U962</f>
        <v>368.05</v>
      </c>
      <c r="D608" s="0" t="str">
        <f aca="false">Report!X962</f>
        <v>NF 312916 ELLEN</v>
      </c>
    </row>
    <row r="609" customFormat="false" ht="12.75" hidden="false" customHeight="true" outlineLevel="0" collapsed="false">
      <c r="A609" s="14" t="n">
        <f aca="false">Report!C963</f>
        <v>46223</v>
      </c>
      <c r="B609" s="0" t="str">
        <f aca="false">Report!E963</f>
        <v>J W N DOS SANTOS</v>
      </c>
      <c r="C609" s="15" t="n">
        <f aca="false">Report!U963</f>
        <v>228</v>
      </c>
      <c r="D609" s="0" t="str">
        <f aca="false">Report!X963</f>
        <v>NF 364 ELLEN</v>
      </c>
    </row>
    <row r="610" customFormat="false" ht="12.75" hidden="false" customHeight="true" outlineLevel="0" collapsed="false">
      <c r="A610" s="14" t="n">
        <f aca="false">Report!C964</f>
        <v>46223</v>
      </c>
      <c r="B610" s="0" t="str">
        <f aca="false">Report!E964</f>
        <v>KAROLINY RODRIGUES SOUZA VENANCIO 915783</v>
      </c>
      <c r="C610" s="15" t="n">
        <f aca="false">Report!U964</f>
        <v>250</v>
      </c>
      <c r="D610" s="0" t="str">
        <f aca="false">Report!X964</f>
        <v>NF 1791 ELLEN</v>
      </c>
    </row>
    <row r="611" customFormat="false" ht="12.75" hidden="false" customHeight="true" outlineLevel="0" collapsed="false">
      <c r="A611" s="14" t="n">
        <f aca="false">Report!C965</f>
        <v>46223</v>
      </c>
      <c r="B611" s="0" t="str">
        <f aca="false">Report!E965</f>
        <v>NEXUS DISTRIBUIDORA</v>
      </c>
      <c r="C611" s="15" t="n">
        <f aca="false">Report!U965</f>
        <v>374.1</v>
      </c>
      <c r="D611" s="0" t="str">
        <f aca="false">Report!X965</f>
        <v>NF 102073 ELLEN</v>
      </c>
    </row>
    <row r="612" customFormat="false" ht="12.75" hidden="false" customHeight="true" outlineLevel="0" collapsed="false">
      <c r="A612" s="14" t="n">
        <f aca="false">Report!C966</f>
        <v>46223</v>
      </c>
      <c r="B612" s="0" t="str">
        <f aca="false">Report!E966</f>
        <v>NEYLIANE S DE OLIVEIRA &amp; CIA LTDA</v>
      </c>
      <c r="C612" s="15" t="n">
        <f aca="false">Report!U966</f>
        <v>210</v>
      </c>
      <c r="D612" s="0" t="str">
        <f aca="false">Report!X966</f>
        <v>COMPRAS - 15L DE AÇAI - PG NO P 20/7/26 ELLEN</v>
      </c>
    </row>
    <row r="613" customFormat="false" ht="12.75" hidden="false" customHeight="true" outlineLevel="0" collapsed="false">
      <c r="A613" s="14" t="n">
        <f aca="false">Report!C968</f>
        <v>46223</v>
      </c>
      <c r="B613" s="0" t="str">
        <f aca="false">Report!E968</f>
        <v>NOVA FRIOS COMERCIO ATACADISTA DE LATICINIOS LTDA</v>
      </c>
      <c r="C613" s="15" t="n">
        <f aca="false">Report!U968</f>
        <v>216.75</v>
      </c>
      <c r="D613" s="0" t="str">
        <f aca="false">Report!X968</f>
        <v>NF 4058 ELLEN</v>
      </c>
    </row>
    <row r="614" customFormat="false" ht="12.75" hidden="false" customHeight="true" outlineLevel="0" collapsed="false">
      <c r="A614" s="14" t="n">
        <f aca="false">Report!C970</f>
        <v>46223</v>
      </c>
      <c r="B614" s="0" t="str">
        <f aca="false">Report!E970</f>
        <v>ROCHA E PAIVA LTDA</v>
      </c>
      <c r="C614" s="15" t="n">
        <f aca="false">Report!U970</f>
        <v>591.52</v>
      </c>
      <c r="D614" s="0" t="str">
        <f aca="false">Report!X970</f>
        <v>NF 207912 ELLEN</v>
      </c>
    </row>
    <row r="615" customFormat="false" ht="12.75" hidden="false" customHeight="true" outlineLevel="0" collapsed="false">
      <c r="A615" s="14" t="n">
        <f aca="false">Report!C975</f>
        <v>46223</v>
      </c>
      <c r="B615" s="0" t="str">
        <f aca="false">Report!E975</f>
        <v>T. M. L. DA SILVA LTDA</v>
      </c>
      <c r="C615" s="15" t="n">
        <f aca="false">Report!U975</f>
        <v>361.6</v>
      </c>
      <c r="D615" s="0" t="str">
        <f aca="false">Report!X975</f>
        <v>NF 15127 ELLEN</v>
      </c>
    </row>
    <row r="616" customFormat="false" ht="12.75" hidden="false" customHeight="true" outlineLevel="0" collapsed="false">
      <c r="A616" s="14" t="n">
        <f aca="false">Report!C976</f>
        <v>46224</v>
      </c>
      <c r="B616" s="0" t="str">
        <f aca="false">Report!E976</f>
        <v>ADICSO FABIAN GONZALEZ MONTILLA 70302186</v>
      </c>
      <c r="C616" s="15" t="n">
        <f aca="false">Report!U976</f>
        <v>180</v>
      </c>
      <c r="D616" s="0" t="str">
        <f aca="false">Report!X976</f>
        <v>NF 535 ELLEN</v>
      </c>
    </row>
    <row r="617" customFormat="false" ht="12.75" hidden="false" customHeight="true" outlineLevel="0" collapsed="false">
      <c r="A617" s="14" t="n">
        <f aca="false">Report!C977</f>
        <v>46224</v>
      </c>
      <c r="B617" s="0" t="str">
        <f aca="false">Report!E977</f>
        <v>BRASIL NORTE BEBIDAS S/A</v>
      </c>
      <c r="C617" s="15" t="n">
        <f aca="false">Report!U977</f>
        <v>205.13</v>
      </c>
      <c r="D617" s="0" t="str">
        <f aca="false">Report!X977</f>
        <v>NF 1917880 ELLEN</v>
      </c>
    </row>
    <row r="618" customFormat="false" ht="12.75" hidden="false" customHeight="true" outlineLevel="0" collapsed="false">
      <c r="A618" s="14" t="n">
        <f aca="false">Report!C978</f>
        <v>46224</v>
      </c>
      <c r="B618" s="0" t="str">
        <f aca="false">Report!E978</f>
        <v>BRASIL NORTE BEBIDAS S/A</v>
      </c>
      <c r="C618" s="15" t="n">
        <f aca="false">Report!U978</f>
        <v>63.37</v>
      </c>
      <c r="D618" s="0" t="str">
        <f aca="false">Report!X978</f>
        <v>NF 1187912 ELLEN</v>
      </c>
    </row>
    <row r="619" customFormat="false" ht="12.75" hidden="false" customHeight="true" outlineLevel="0" collapsed="false">
      <c r="A619" s="14" t="n">
        <f aca="false">Report!C979</f>
        <v>46224</v>
      </c>
      <c r="B619" s="0" t="str">
        <f aca="false">Report!E979</f>
        <v>BRASIL NORTE BEBIDAS S/A</v>
      </c>
      <c r="C619" s="15" t="n">
        <f aca="false">Report!U979</f>
        <v>767.32</v>
      </c>
      <c r="D619" s="0" t="str">
        <f aca="false">Report!X979</f>
        <v>NF 1187910 ELLEN</v>
      </c>
    </row>
    <row r="620" customFormat="false" ht="12.75" hidden="false" customHeight="true" outlineLevel="0" collapsed="false">
      <c r="A620" s="14" t="n">
        <f aca="false">Report!C980</f>
        <v>46224</v>
      </c>
      <c r="B620" s="0" t="str">
        <f aca="false">Report!E980</f>
        <v>BRASIL NORTE BEBIDAS S/A</v>
      </c>
      <c r="C620" s="15" t="n">
        <f aca="false">Report!U980</f>
        <v>3649.01</v>
      </c>
      <c r="D620" s="0" t="str">
        <f aca="false">Report!X980</f>
        <v>NF 1917854 ELLEN</v>
      </c>
    </row>
    <row r="621" customFormat="false" ht="12.75" hidden="false" customHeight="true" outlineLevel="0" collapsed="false">
      <c r="A621" s="14" t="n">
        <f aca="false">Report!C981</f>
        <v>46224</v>
      </c>
      <c r="B621" s="0" t="str">
        <f aca="false">Report!E981</f>
        <v>BROTHERS  INDUSTRIA DE ALIMENTOS LTDA</v>
      </c>
      <c r="C621" s="15" t="n">
        <f aca="false">Report!U981</f>
        <v>261.92</v>
      </c>
      <c r="D621" s="0" t="str">
        <f aca="false">Report!X981</f>
        <v>NF 1031749 ELLEN</v>
      </c>
    </row>
    <row r="622" customFormat="false" ht="12.75" hidden="false" customHeight="true" outlineLevel="0" collapsed="false">
      <c r="A622" s="14" t="n">
        <f aca="false">Report!C983</f>
        <v>46224</v>
      </c>
      <c r="B622" s="0" t="str">
        <f aca="false">Report!E983</f>
        <v>DISTRIBUIDORA LOPES LTDA</v>
      </c>
      <c r="C622" s="15" t="n">
        <f aca="false">Report!U983</f>
        <v>724</v>
      </c>
      <c r="D622" s="0" t="str">
        <f aca="false">Report!X983</f>
        <v>NF 1678138 ELLEN</v>
      </c>
    </row>
    <row r="623" customFormat="false" ht="12.75" hidden="false" customHeight="true" outlineLevel="0" collapsed="false">
      <c r="A623" s="14" t="n">
        <f aca="false">Report!C984</f>
        <v>46224</v>
      </c>
      <c r="B623" s="0" t="str">
        <f aca="false">Report!E984</f>
        <v>FEIRA</v>
      </c>
      <c r="C623" s="15" t="n">
        <f aca="false">Report!U984</f>
        <v>190</v>
      </c>
      <c r="D623" s="0" t="str">
        <f aca="false">Report!X984</f>
        <v>FEIRA SR RENATO - PG P LJ1 (MAÇA) SOMAR C NF2554-ELLEN</v>
      </c>
    </row>
    <row r="624" customFormat="false" ht="12.75" hidden="false" customHeight="true" outlineLevel="0" collapsed="false">
      <c r="A624" s="14" t="n">
        <f aca="false">Report!C986</f>
        <v>46224</v>
      </c>
      <c r="B624" s="0" t="str">
        <f aca="false">Report!E986</f>
        <v>MARE DISTRIBUIDORA DE BEBIDAS E DE PRODUTOS ALIMENTICIOS LTDA</v>
      </c>
      <c r="C624" s="15" t="n">
        <f aca="false">Report!U986</f>
        <v>1209.4</v>
      </c>
      <c r="D624" s="0" t="str">
        <f aca="false">Report!X986</f>
        <v>NF 1385251 ELLEN</v>
      </c>
    </row>
    <row r="625" customFormat="false" ht="12.75" hidden="false" customHeight="true" outlineLevel="0" collapsed="false">
      <c r="A625" s="14" t="n">
        <f aca="false">Report!C987</f>
        <v>46224</v>
      </c>
      <c r="B625" s="0" t="str">
        <f aca="false">Report!E987</f>
        <v>MARTINS COM SERV DISTR SA</v>
      </c>
      <c r="C625" s="15" t="n">
        <f aca="false">Report!U987</f>
        <v>542.11</v>
      </c>
      <c r="D625" s="0" t="str">
        <f aca="false">Report!X987</f>
        <v>NF 1777487 ELLEN</v>
      </c>
    </row>
    <row r="626" customFormat="false" ht="12.75" hidden="false" customHeight="true" outlineLevel="0" collapsed="false">
      <c r="A626" s="14" t="n">
        <f aca="false">Report!C988</f>
        <v>46224</v>
      </c>
      <c r="B626" s="0" t="str">
        <f aca="false">Report!E988</f>
        <v>NESTLÉ BRASIL LTDA.</v>
      </c>
      <c r="C626" s="15" t="n">
        <f aca="false">Report!U988</f>
        <v>712.57</v>
      </c>
      <c r="D626" s="0" t="str">
        <f aca="false">Report!X988</f>
        <v>NF 1427668 ELLEN</v>
      </c>
    </row>
    <row r="627" customFormat="false" ht="12.75" hidden="false" customHeight="true" outlineLevel="0" collapsed="false">
      <c r="A627" s="14" t="n">
        <f aca="false">Report!C989</f>
        <v>46224</v>
      </c>
      <c r="B627" s="0" t="str">
        <f aca="false">Report!E989</f>
        <v>NEYLIANE S DE OLIVEIRA &amp; CIA LTDA</v>
      </c>
      <c r="C627" s="15" t="n">
        <f aca="false">Report!U989</f>
        <v>1446.94</v>
      </c>
      <c r="D627" s="0" t="str">
        <f aca="false">Report!X989</f>
        <v>FEIRA SR RENATO - PG P LJ 1 - ELLEN</v>
      </c>
    </row>
    <row r="628" customFormat="false" ht="12.75" hidden="false" customHeight="true" outlineLevel="0" collapsed="false">
      <c r="A628" s="14" t="n">
        <f aca="false">Report!C990</f>
        <v>46224</v>
      </c>
      <c r="B628" s="0" t="str">
        <f aca="false">Report!E990</f>
        <v>NEYLIANE S DE OLIVEIRA &amp; CIA LTDA</v>
      </c>
      <c r="C628" s="15" t="n">
        <f aca="false">Report!U990</f>
        <v>55</v>
      </c>
      <c r="D628" s="0" t="str">
        <f aca="false">Report!X990</f>
        <v>FEIRA SR RENATO (1 SC LIMÃO) PG P LJ1 - ELLEN</v>
      </c>
    </row>
    <row r="629" customFormat="false" ht="12.75" hidden="false" customHeight="true" outlineLevel="0" collapsed="false">
      <c r="A629" s="14" t="n">
        <f aca="false">Report!C991</f>
        <v>46224</v>
      </c>
      <c r="B629" s="0" t="str">
        <f aca="false">Report!E991</f>
        <v>NEYLIANE S DE OLIVEIRA &amp; CIA LTDA</v>
      </c>
      <c r="C629" s="15" t="n">
        <f aca="false">Report!U991</f>
        <v>210</v>
      </c>
      <c r="D629" s="0" t="str">
        <f aca="false">Report!X991</f>
        <v>COMPRAS - 15L DE AÇAI - PG NO P 21/7/26 ELLEN</v>
      </c>
    </row>
    <row r="630" customFormat="false" ht="12.75" hidden="false" customHeight="true" outlineLevel="0" collapsed="false">
      <c r="A630" s="14" t="n">
        <f aca="false">Report!C992</f>
        <v>46224</v>
      </c>
      <c r="B630" s="0" t="str">
        <f aca="false">Report!E992</f>
        <v>NSB COMERCIO ATACADISTA E VAREJISTA DE P</v>
      </c>
      <c r="C630" s="15" t="n">
        <f aca="false">Report!U992</f>
        <v>378.88</v>
      </c>
      <c r="D630" s="0" t="str">
        <f aca="false">Report!X992</f>
        <v>NF 7874 ELLEN</v>
      </c>
    </row>
    <row r="631" customFormat="false" ht="12.75" hidden="false" customHeight="true" outlineLevel="0" collapsed="false">
      <c r="A631" s="14" t="n">
        <f aca="false">Report!C993</f>
        <v>46224</v>
      </c>
      <c r="B631" s="0" t="str">
        <f aca="false">Report!E993</f>
        <v>PANIFICADORA E CONFEITARIA REAL MADRI LTDA</v>
      </c>
      <c r="C631" s="15" t="n">
        <f aca="false">Report!U993</f>
        <v>184.9</v>
      </c>
      <c r="D631" s="0" t="str">
        <f aca="false">Report!X993</f>
        <v>NF 719 ELLEN</v>
      </c>
    </row>
    <row r="632" customFormat="false" ht="12.75" hidden="false" customHeight="true" outlineLevel="0" collapsed="false">
      <c r="A632" s="14" t="n">
        <f aca="false">Report!C998</f>
        <v>46225</v>
      </c>
      <c r="B632" s="0" t="str">
        <f aca="false">Report!E998</f>
        <v>BRF S A</v>
      </c>
      <c r="C632" s="15" t="n">
        <f aca="false">Report!U998</f>
        <v>1025.07</v>
      </c>
      <c r="D632" s="0" t="str">
        <f aca="false">Report!X998</f>
        <v>NF 1605936 ELLEN</v>
      </c>
    </row>
    <row r="633" customFormat="false" ht="12.75" hidden="false" customHeight="true" outlineLevel="0" collapsed="false">
      <c r="A633" s="14" t="n">
        <f aca="false">Report!C999</f>
        <v>46225</v>
      </c>
      <c r="B633" s="0" t="str">
        <f aca="false">Report!E999</f>
        <v>H L M PADARIA E CONFEITARIA LTDA</v>
      </c>
      <c r="C633" s="15" t="n">
        <f aca="false">Report!U999</f>
        <v>120</v>
      </c>
      <c r="D633" s="0" t="str">
        <f aca="false">Report!X999</f>
        <v>NF 21 COMPRAS-BOLO PG NO P 22/7 ELLEN</v>
      </c>
    </row>
    <row r="634" customFormat="false" ht="12.75" hidden="false" customHeight="true" outlineLevel="0" collapsed="false">
      <c r="A634" s="14" t="n">
        <f aca="false">Report!C1000</f>
        <v>46225</v>
      </c>
      <c r="B634" s="0" t="str">
        <f aca="false">Report!E1000</f>
        <v>J G COMERCIO DE PRODUTOS ALIMENTICIOS LTDA</v>
      </c>
      <c r="C634" s="15" t="n">
        <f aca="false">Report!U1000</f>
        <v>2806.49</v>
      </c>
      <c r="D634" s="0" t="str">
        <f aca="false">Report!X1000</f>
        <v>NF 392537 ELLEN</v>
      </c>
    </row>
    <row r="635" customFormat="false" ht="12.75" hidden="false" customHeight="true" outlineLevel="0" collapsed="false">
      <c r="A635" s="14" t="n">
        <f aca="false">Report!C1001</f>
        <v>46225</v>
      </c>
      <c r="B635" s="0" t="str">
        <f aca="false">Report!E1001</f>
        <v>L S M COMERCIO DE ALIMENTOS E NAVEGACAO</v>
      </c>
      <c r="C635" s="15" t="n">
        <f aca="false">Report!U1001</f>
        <v>1021.83</v>
      </c>
      <c r="D635" s="0" t="str">
        <f aca="false">Report!X1001</f>
        <v>NF 307804 ELLEN</v>
      </c>
    </row>
    <row r="636" customFormat="false" ht="12.75" hidden="false" customHeight="true" outlineLevel="0" collapsed="false">
      <c r="A636" s="14" t="n">
        <f aca="false">Report!C1002</f>
        <v>46225</v>
      </c>
      <c r="B636" s="0" t="str">
        <f aca="false">Report!E1002</f>
        <v>LELE FABRICACAO DE MASSAS LTDA</v>
      </c>
      <c r="C636" s="15" t="n">
        <f aca="false">Report!U1002</f>
        <v>200</v>
      </c>
      <c r="D636" s="0" t="str">
        <f aca="false">Report!X1002</f>
        <v>NF 16645 ELLEN</v>
      </c>
    </row>
    <row r="637" customFormat="false" ht="12.75" hidden="false" customHeight="true" outlineLevel="0" collapsed="false">
      <c r="A637" s="14" t="n">
        <f aca="false">Report!C1003</f>
        <v>46225</v>
      </c>
      <c r="B637" s="0" t="str">
        <f aca="false">Report!E1003</f>
        <v>MAXFRI DISTRIUIDORA LTDA</v>
      </c>
      <c r="C637" s="15" t="n">
        <f aca="false">Report!U1003</f>
        <v>4093.4</v>
      </c>
      <c r="D637" s="0" t="str">
        <f aca="false">Report!X1003</f>
        <v>NF 14718 ELLEN</v>
      </c>
    </row>
    <row r="638" customFormat="false" ht="12.75" hidden="false" customHeight="true" outlineLevel="0" collapsed="false">
      <c r="A638" s="14" t="n">
        <f aca="false">Report!C1004</f>
        <v>46225</v>
      </c>
      <c r="B638" s="0" t="str">
        <f aca="false">Report!E1004</f>
        <v>NEYLIANE S DE OLIVEIRA &amp; CIA LTDA</v>
      </c>
      <c r="C638" s="15" t="n">
        <f aca="false">Report!U1004</f>
        <v>210</v>
      </c>
      <c r="D638" s="0" t="str">
        <f aca="false">Report!X1004</f>
        <v>COMPRAS - 15L DE AÇAI - PG NO P 22/7/26 ELLEN</v>
      </c>
    </row>
    <row r="639" customFormat="false" ht="12.75" hidden="false" customHeight="true" outlineLevel="0" collapsed="false">
      <c r="A639" s="14" t="n">
        <f aca="false">Report!C1005</f>
        <v>46225</v>
      </c>
      <c r="B639" s="0" t="str">
        <f aca="false">Report!E1005</f>
        <v>OPPORTUNITY ALIMENTOS PARA ANIMAIS LTDA</v>
      </c>
      <c r="C639" s="15" t="n">
        <f aca="false">Report!U1005</f>
        <v>1185.3</v>
      </c>
      <c r="D639" s="0" t="str">
        <f aca="false">Report!X1005</f>
        <v>NF 34213 ELLEN</v>
      </c>
    </row>
    <row r="640" customFormat="false" ht="12.75" hidden="false" customHeight="true" outlineLevel="0" collapsed="false">
      <c r="A640" s="14" t="n">
        <f aca="false">Report!C1006</f>
        <v>46225</v>
      </c>
      <c r="B640" s="0" t="str">
        <f aca="false">Report!E1006</f>
        <v>PRIME PET DISTRIBUIDORA LTDA</v>
      </c>
      <c r="C640" s="15" t="n">
        <f aca="false">Report!U1006</f>
        <v>1361.81</v>
      </c>
      <c r="D640" s="0" t="str">
        <f aca="false">Report!X1006</f>
        <v>NF 10860 ELLEN</v>
      </c>
    </row>
    <row r="641" customFormat="false" ht="12.75" hidden="false" customHeight="true" outlineLevel="0" collapsed="false">
      <c r="A641" s="14" t="n">
        <f aca="false">Report!C1013</f>
        <v>46226</v>
      </c>
      <c r="B641" s="0" t="str">
        <f aca="false">Report!E1013</f>
        <v>ADRIANO FEITOSA OLIVEIRA LTDA</v>
      </c>
      <c r="C641" s="15" t="n">
        <f aca="false">Report!U1013</f>
        <v>925</v>
      </c>
      <c r="D641" s="0" t="str">
        <f aca="false">Report!X1013</f>
        <v>NF 337 ELLEN</v>
      </c>
    </row>
    <row r="642" customFormat="false" ht="12.75" hidden="false" customHeight="true" outlineLevel="0" collapsed="false">
      <c r="A642" s="14" t="n">
        <f aca="false">Report!C1015</f>
        <v>46226</v>
      </c>
      <c r="B642" s="0" t="str">
        <f aca="false">Report!E1015</f>
        <v>BRASIL NORTE BEBIDAS S/A</v>
      </c>
      <c r="C642" s="15" t="n">
        <f aca="false">Report!U1015</f>
        <v>636.39</v>
      </c>
      <c r="D642" s="0" t="str">
        <f aca="false">Report!X1015</f>
        <v>NF 1193391 ELLEN</v>
      </c>
    </row>
    <row r="643" customFormat="false" ht="12.75" hidden="false" customHeight="true" outlineLevel="0" collapsed="false">
      <c r="A643" s="14" t="n">
        <f aca="false">Report!C1016</f>
        <v>46226</v>
      </c>
      <c r="B643" s="0" t="str">
        <f aca="false">Report!E1016</f>
        <v>BRASIL NORTE BEBIDAS S/A</v>
      </c>
      <c r="C643" s="15" t="n">
        <f aca="false">Report!U1016</f>
        <v>636.39</v>
      </c>
      <c r="D643" s="0" t="str">
        <f aca="false">Report!X1016</f>
        <v>NF 1193333 ELLEN</v>
      </c>
    </row>
    <row r="644" customFormat="false" ht="12.75" hidden="false" customHeight="true" outlineLevel="0" collapsed="false">
      <c r="A644" s="14" t="n">
        <f aca="false">Report!C1017</f>
        <v>46226</v>
      </c>
      <c r="B644" s="0" t="str">
        <f aca="false">Report!E1017</f>
        <v>BRASIL NORTE BEBIDAS S/A</v>
      </c>
      <c r="C644" s="15" t="n">
        <f aca="false">Report!U1017</f>
        <v>76.19</v>
      </c>
      <c r="D644" s="0" t="str">
        <f aca="false">Report!X1017</f>
        <v>NF 1923967 ELLEN</v>
      </c>
    </row>
    <row r="645" customFormat="false" ht="12.75" hidden="false" customHeight="true" outlineLevel="0" collapsed="false">
      <c r="A645" s="14" t="n">
        <f aca="false">Report!C1018</f>
        <v>46226</v>
      </c>
      <c r="B645" s="0" t="str">
        <f aca="false">Report!E1018</f>
        <v>BRASIL NORTE BEBIDAS S/A</v>
      </c>
      <c r="C645" s="15" t="n">
        <f aca="false">Report!U1018</f>
        <v>225.5</v>
      </c>
      <c r="D645" s="0" t="str">
        <f aca="false">Report!X1018</f>
        <v>NF 1923963 ELLEN</v>
      </c>
    </row>
    <row r="646" customFormat="false" ht="12.75" hidden="false" customHeight="true" outlineLevel="0" collapsed="false">
      <c r="A646" s="14" t="n">
        <f aca="false">Report!C1019</f>
        <v>46226</v>
      </c>
      <c r="B646" s="0" t="str">
        <f aca="false">Report!E1019</f>
        <v>BRASIL NORTE BEBIDAS S/A</v>
      </c>
      <c r="C646" s="15" t="n">
        <f aca="false">Report!U1019</f>
        <v>221</v>
      </c>
      <c r="D646" s="0" t="str">
        <f aca="false">Report!X1019</f>
        <v>NF 1923964 ELLEN</v>
      </c>
    </row>
    <row r="647" customFormat="false" ht="12.75" hidden="false" customHeight="true" outlineLevel="0" collapsed="false">
      <c r="A647" s="14" t="n">
        <f aca="false">Report!C1020</f>
        <v>46226</v>
      </c>
      <c r="B647" s="0" t="str">
        <f aca="false">Report!E1020</f>
        <v>BRASIL NORTE BEBIDAS S/A</v>
      </c>
      <c r="C647" s="15" t="n">
        <f aca="false">Report!U1020</f>
        <v>104.51</v>
      </c>
      <c r="D647" s="0" t="str">
        <f aca="false">Report!X1020</f>
        <v>NF 1193336 ELLEN</v>
      </c>
    </row>
    <row r="648" customFormat="false" ht="12.75" hidden="false" customHeight="true" outlineLevel="0" collapsed="false">
      <c r="A648" s="14" t="n">
        <f aca="false">Report!C1021</f>
        <v>46226</v>
      </c>
      <c r="B648" s="0" t="str">
        <f aca="false">Report!E1021</f>
        <v>CB COMERCIO E DISTRIBUIDORA DE ALIMENTOS</v>
      </c>
      <c r="C648" s="15" t="n">
        <f aca="false">Report!U1021</f>
        <v>426.95</v>
      </c>
      <c r="D648" s="0" t="str">
        <f aca="false">Report!X1021</f>
        <v>NF 851821 ELLEN</v>
      </c>
    </row>
    <row r="649" customFormat="false" ht="12.75" hidden="false" customHeight="true" outlineLevel="0" collapsed="false">
      <c r="A649" s="14" t="n">
        <f aca="false">Report!C1022</f>
        <v>46226</v>
      </c>
      <c r="B649" s="0" t="str">
        <f aca="false">Report!E1022</f>
        <v>DISTRIBUIDORA LOPES LTDA</v>
      </c>
      <c r="C649" s="15" t="n">
        <f aca="false">Report!U1022</f>
        <v>1383</v>
      </c>
      <c r="D649" s="0" t="str">
        <f aca="false">Report!X1022</f>
        <v>NF 1680694 ELLEN</v>
      </c>
    </row>
    <row r="650" customFormat="false" ht="12.75" hidden="false" customHeight="true" outlineLevel="0" collapsed="false">
      <c r="A650" s="14" t="n">
        <f aca="false">Report!C1023</f>
        <v>46226</v>
      </c>
      <c r="B650" s="0" t="str">
        <f aca="false">Report!E1023</f>
        <v>DISTRIBUIDORA LOPES LTDA</v>
      </c>
      <c r="C650" s="15" t="n">
        <f aca="false">Report!U1023</f>
        <v>281.82</v>
      </c>
      <c r="D650" s="0" t="str">
        <f aca="false">Report!X1023</f>
        <v>NF 1693414 ELLEN</v>
      </c>
    </row>
    <row r="651" customFormat="false" ht="12.75" hidden="false" customHeight="true" outlineLevel="0" collapsed="false">
      <c r="A651" s="14" t="n">
        <f aca="false">Report!C1025</f>
        <v>46226</v>
      </c>
      <c r="B651" s="0" t="str">
        <f aca="false">Report!E1025</f>
        <v>EMPRESA BRASILEIRA DE DISTRIBUICAO LTDA</v>
      </c>
      <c r="C651" s="15" t="n">
        <f aca="false">Report!U1025</f>
        <v>658.61</v>
      </c>
      <c r="D651" s="0" t="str">
        <f aca="false">Report!X1025</f>
        <v>NF 2299705 ELLEN</v>
      </c>
    </row>
    <row r="652" customFormat="false" ht="12.75" hidden="false" customHeight="true" outlineLevel="0" collapsed="false">
      <c r="A652" s="14" t="n">
        <f aca="false">Report!C1026</f>
        <v>46226</v>
      </c>
      <c r="B652" s="0" t="str">
        <f aca="false">Report!E1026</f>
        <v>EMPRESA BRASILEIRA DE DISTRIBUICAO LTDA</v>
      </c>
      <c r="C652" s="15" t="n">
        <f aca="false">Report!U1026</f>
        <v>377.45</v>
      </c>
      <c r="D652" s="0" t="str">
        <f aca="false">Report!X1026</f>
        <v>NF 2299703 ELLEN</v>
      </c>
    </row>
    <row r="653" customFormat="false" ht="12.75" hidden="false" customHeight="true" outlineLevel="0" collapsed="false">
      <c r="A653" s="14" t="n">
        <f aca="false">Report!C1027</f>
        <v>46226</v>
      </c>
      <c r="B653" s="0" t="str">
        <f aca="false">Report!E1027</f>
        <v>FENNIX BRASIL DISTRIBUIDORA DE PRODUTOS</v>
      </c>
      <c r="C653" s="15" t="n">
        <f aca="false">Report!U1027</f>
        <v>321.76</v>
      </c>
      <c r="D653" s="0" t="str">
        <f aca="false">Report!X1027</f>
        <v>NF 396261 ELLEN</v>
      </c>
    </row>
    <row r="654" customFormat="false" ht="12.75" hidden="false" customHeight="true" outlineLevel="0" collapsed="false">
      <c r="A654" s="14" t="n">
        <f aca="false">Report!C1028</f>
        <v>46226</v>
      </c>
      <c r="B654" s="0" t="str">
        <f aca="false">Report!E1028</f>
        <v>J G COMERCIO DE PRODUTOS ALIMENTICIOS LTDA</v>
      </c>
      <c r="C654" s="15" t="n">
        <f aca="false">Report!U1028</f>
        <v>2005.44</v>
      </c>
      <c r="D654" s="0" t="str">
        <f aca="false">Report!X1028</f>
        <v>NF 390211 ELLEN</v>
      </c>
    </row>
    <row r="655" customFormat="false" ht="12.75" hidden="false" customHeight="true" outlineLevel="0" collapsed="false">
      <c r="A655" s="14" t="n">
        <f aca="false">Report!C1029</f>
        <v>46226</v>
      </c>
      <c r="B655" s="0" t="str">
        <f aca="false">Report!E1029</f>
        <v>JAB COMERCIO DE PRODUTOS ALIMENTICIOS LT</v>
      </c>
      <c r="C655" s="15" t="n">
        <f aca="false">Report!U1029</f>
        <v>125</v>
      </c>
      <c r="D655" s="0" t="str">
        <f aca="false">Report!X1029</f>
        <v>NF 3554 ELLEN</v>
      </c>
    </row>
    <row r="656" customFormat="false" ht="12.75" hidden="false" customHeight="true" outlineLevel="0" collapsed="false">
      <c r="A656" s="14" t="n">
        <f aca="false">Report!C1030</f>
        <v>46226</v>
      </c>
      <c r="B656" s="0" t="str">
        <f aca="false">Report!E1030</f>
        <v>MAXFRI DISTRIUIDORA LTDA</v>
      </c>
      <c r="C656" s="15" t="n">
        <f aca="false">Report!U1030</f>
        <v>1269.94</v>
      </c>
      <c r="D656" s="0" t="str">
        <f aca="false">Report!X1030</f>
        <v>NF 14728 ELLEN</v>
      </c>
    </row>
    <row r="657" customFormat="false" ht="12.75" hidden="false" customHeight="true" outlineLevel="0" collapsed="false">
      <c r="A657" s="14" t="n">
        <f aca="false">Report!C1031</f>
        <v>46226</v>
      </c>
      <c r="B657" s="0" t="str">
        <f aca="false">Report!E1031</f>
        <v>OCIDENTAL COMERCIO DE FRIOS LTDA</v>
      </c>
      <c r="C657" s="15" t="n">
        <f aca="false">Report!U1031</f>
        <v>335.35</v>
      </c>
      <c r="D657" s="0" t="str">
        <f aca="false">Report!X1031</f>
        <v>NF 1245696 ELLEN</v>
      </c>
    </row>
    <row r="658" customFormat="false" ht="12.75" hidden="false" customHeight="true" outlineLevel="0" collapsed="false">
      <c r="A658" s="14" t="n">
        <f aca="false">Report!C1032</f>
        <v>46226</v>
      </c>
      <c r="B658" s="0" t="str">
        <f aca="false">Report!E1032</f>
        <v>OCIDENTAL COMERCIO DE FRIOS LTDA</v>
      </c>
      <c r="C658" s="15" t="n">
        <f aca="false">Report!U1032</f>
        <v>593.78</v>
      </c>
      <c r="D658" s="0" t="str">
        <f aca="false">Report!X1032</f>
        <v>NF 1248471 ELLEN</v>
      </c>
    </row>
    <row r="659" customFormat="false" ht="12.75" hidden="false" customHeight="true" outlineLevel="0" collapsed="false">
      <c r="A659" s="14" t="n">
        <f aca="false">Report!C1033</f>
        <v>46226</v>
      </c>
      <c r="B659" s="0" t="str">
        <f aca="false">Report!E1033</f>
        <v>OESA COMERCIO E REPRESENTACOES S/A</v>
      </c>
      <c r="C659" s="15" t="n">
        <f aca="false">Report!U1033</f>
        <v>682.64</v>
      </c>
      <c r="D659" s="0" t="str">
        <f aca="false">Report!X1033</f>
        <v>NF 426652 ELLEN</v>
      </c>
    </row>
    <row r="660" customFormat="false" ht="12.75" hidden="false" customHeight="true" outlineLevel="0" collapsed="false">
      <c r="A660" s="14" t="n">
        <f aca="false">Report!C1034</f>
        <v>46226</v>
      </c>
      <c r="B660" s="0" t="str">
        <f aca="false">Report!E1034</f>
        <v>RISADINHA LTDA</v>
      </c>
      <c r="C660" s="15" t="n">
        <f aca="false">Report!U1034</f>
        <v>550.4</v>
      </c>
      <c r="D660" s="0" t="str">
        <f aca="false">Report!X1034</f>
        <v>NF 658429 ELLEN</v>
      </c>
    </row>
    <row r="661" customFormat="false" ht="12.75" hidden="false" customHeight="true" outlineLevel="0" collapsed="false">
      <c r="A661" s="14" t="n">
        <f aca="false">Report!C1035</f>
        <v>46226</v>
      </c>
      <c r="B661" s="0" t="str">
        <f aca="false">Report!E1035</f>
        <v>SAO JOSE COMERCIO DE LATICINIOS E FRIOS</v>
      </c>
      <c r="C661" s="15" t="n">
        <f aca="false">Report!U1035</f>
        <v>533.5</v>
      </c>
      <c r="D661" s="0" t="str">
        <f aca="false">Report!X1035</f>
        <v>NF 3627 ELLEN</v>
      </c>
    </row>
    <row r="662" customFormat="false" ht="12.75" hidden="false" customHeight="true" outlineLevel="0" collapsed="false">
      <c r="A662" s="14" t="n">
        <f aca="false">Report!C1036</f>
        <v>46226</v>
      </c>
      <c r="B662" s="0" t="str">
        <f aca="false">Report!E1036</f>
        <v>SB COMERCIO LTDA</v>
      </c>
      <c r="C662" s="15" t="n">
        <f aca="false">Report!U1036</f>
        <v>653.86</v>
      </c>
      <c r="D662" s="0" t="str">
        <f aca="false">Report!X1036</f>
        <v>NF 1959276 ELLEN</v>
      </c>
    </row>
    <row r="663" customFormat="false" ht="12.75" hidden="false" customHeight="true" outlineLevel="0" collapsed="false">
      <c r="A663" s="14" t="n">
        <f aca="false">Report!C1040</f>
        <v>46226</v>
      </c>
      <c r="B663" s="0" t="str">
        <f aca="false">Report!E1040</f>
        <v>TOYA INDUSTRIA E COMERCIO LTDA.</v>
      </c>
      <c r="C663" s="15" t="n">
        <f aca="false">Report!U1040</f>
        <v>771.01</v>
      </c>
      <c r="D663" s="0" t="str">
        <f aca="false">Report!X1040</f>
        <v>NF 255191 ELLEN</v>
      </c>
    </row>
    <row r="664" customFormat="false" ht="12.75" hidden="false" customHeight="true" outlineLevel="0" collapsed="false">
      <c r="A664" s="14" t="n">
        <f aca="false">Report!C1041</f>
        <v>46227</v>
      </c>
      <c r="B664" s="0" t="str">
        <f aca="false">Report!E1041</f>
        <v>BRASIL NORTE BEBIDAS S/A</v>
      </c>
      <c r="C664" s="15" t="n">
        <f aca="false">Report!U1041</f>
        <v>659.34</v>
      </c>
      <c r="D664" s="0" t="str">
        <f aca="false">Report!X1041</f>
        <v>NF 1194626 ELLEN</v>
      </c>
    </row>
    <row r="665" customFormat="false" ht="12.75" hidden="false" customHeight="true" outlineLevel="0" collapsed="false">
      <c r="A665" s="14" t="n">
        <f aca="false">Report!C1042</f>
        <v>46227</v>
      </c>
      <c r="B665" s="0" t="str">
        <f aca="false">Report!E1042</f>
        <v>BRASIL NORTE BEBIDAS S/A</v>
      </c>
      <c r="C665" s="15" t="n">
        <f aca="false">Report!U1042</f>
        <v>190.48</v>
      </c>
      <c r="D665" s="0" t="str">
        <f aca="false">Report!X1042</f>
        <v>NF 1926959 ELLEN</v>
      </c>
    </row>
    <row r="666" customFormat="false" ht="12.75" hidden="false" customHeight="true" outlineLevel="0" collapsed="false">
      <c r="A666" s="14" t="n">
        <f aca="false">Report!C1043</f>
        <v>46227</v>
      </c>
      <c r="B666" s="0" t="str">
        <f aca="false">Report!E1043</f>
        <v>BRASIL NORTE BEBIDAS S/A</v>
      </c>
      <c r="C666" s="15" t="n">
        <f aca="false">Report!U1043</f>
        <v>156.88</v>
      </c>
      <c r="D666" s="0" t="str">
        <f aca="false">Report!X1043</f>
        <v>NF 1194625 ELLEN</v>
      </c>
    </row>
    <row r="667" customFormat="false" ht="12.75" hidden="false" customHeight="true" outlineLevel="0" collapsed="false">
      <c r="A667" s="14" t="n">
        <f aca="false">Report!C1044</f>
        <v>46227</v>
      </c>
      <c r="B667" s="0" t="str">
        <f aca="false">Report!E1044</f>
        <v>BRF S A</v>
      </c>
      <c r="C667" s="15" t="n">
        <f aca="false">Report!U1044</f>
        <v>1031.77</v>
      </c>
      <c r="D667" s="0" t="str">
        <f aca="false">Report!X1044</f>
        <v>NF 1604119 ELLEN</v>
      </c>
    </row>
    <row r="668" customFormat="false" ht="12.75" hidden="false" customHeight="true" outlineLevel="0" collapsed="false">
      <c r="A668" s="14" t="n">
        <f aca="false">Report!C1045</f>
        <v>46227</v>
      </c>
      <c r="B668" s="0" t="str">
        <f aca="false">Report!E1045</f>
        <v>BROTHERS  INDUSTRIA DE ALIMENTOS LTDA</v>
      </c>
      <c r="C668" s="15" t="n">
        <f aca="false">Report!U1045</f>
        <v>254.6</v>
      </c>
      <c r="D668" s="0" t="str">
        <f aca="false">Report!X1045</f>
        <v>NF 1032250 ELLEN</v>
      </c>
    </row>
    <row r="669" customFormat="false" ht="12.75" hidden="false" customHeight="true" outlineLevel="0" collapsed="false">
      <c r="A669" s="14" t="n">
        <f aca="false">Report!C1046</f>
        <v>46227</v>
      </c>
      <c r="B669" s="0" t="str">
        <f aca="false">Report!E1046</f>
        <v>DISTRIBUIDORA FARIAS LTDA.</v>
      </c>
      <c r="C669" s="15" t="n">
        <f aca="false">Report!U1046</f>
        <v>509.25</v>
      </c>
      <c r="D669" s="0" t="str">
        <f aca="false">Report!X1046</f>
        <v>NF 681127 ELLEN</v>
      </c>
    </row>
    <row r="670" customFormat="false" ht="12.75" hidden="false" customHeight="true" outlineLevel="0" collapsed="false">
      <c r="A670" s="14" t="n">
        <f aca="false">Report!C1047</f>
        <v>46227</v>
      </c>
      <c r="B670" s="0" t="str">
        <f aca="false">Report!E1047</f>
        <v>FEIRA</v>
      </c>
      <c r="C670" s="15" t="n">
        <f aca="false">Report!U1047</f>
        <v>325</v>
      </c>
      <c r="D670" s="0" t="str">
        <f aca="false">Report!X1047</f>
        <v>FEIRA SR RENATO-PG P LJ1 (ALHO/PERA) SOMAR C NF2560-ELLEN</v>
      </c>
    </row>
    <row r="671" customFormat="false" ht="12.75" hidden="false" customHeight="true" outlineLevel="0" collapsed="false">
      <c r="A671" s="14" t="n">
        <f aca="false">Report!C1049</f>
        <v>46227</v>
      </c>
      <c r="B671" s="0" t="str">
        <f aca="false">Report!E1049</f>
        <v>MARQUES &amp; MELO LTDA - FILIAL</v>
      </c>
      <c r="C671" s="15" t="n">
        <f aca="false">Report!U1049</f>
        <v>2113</v>
      </c>
      <c r="D671" s="0" t="str">
        <f aca="false">Report!X1049</f>
        <v>NF 501201 ELLEN</v>
      </c>
    </row>
    <row r="672" customFormat="false" ht="12.75" hidden="false" customHeight="true" outlineLevel="0" collapsed="false">
      <c r="A672" s="14" t="n">
        <f aca="false">Report!C1050</f>
        <v>46227</v>
      </c>
      <c r="B672" s="0" t="str">
        <f aca="false">Report!E1050</f>
        <v>MARTINS COM SERV DISTR SA</v>
      </c>
      <c r="C672" s="15" t="n">
        <f aca="false">Report!U1050</f>
        <v>278.28</v>
      </c>
      <c r="D672" s="0" t="str">
        <f aca="false">Report!X1050</f>
        <v>NF'S 1781169/1781170 - ELLEN</v>
      </c>
    </row>
    <row r="673" customFormat="false" ht="12.75" hidden="false" customHeight="true" outlineLevel="0" collapsed="false">
      <c r="A673" s="14" t="n">
        <f aca="false">Report!C1051</f>
        <v>46227</v>
      </c>
      <c r="B673" s="0" t="str">
        <f aca="false">Report!E1051</f>
        <v>NEYLIANE S DE OLIVEIRA &amp; CIA LTDA</v>
      </c>
      <c r="C673" s="15" t="n">
        <f aca="false">Report!U1051</f>
        <v>1919.18</v>
      </c>
      <c r="D673" s="0" t="str">
        <f aca="false">Report!X1051</f>
        <v>FEIRA SR RENATO - PG P LJ1 - ELLEN</v>
      </c>
    </row>
    <row r="674" customFormat="false" ht="12.75" hidden="false" customHeight="true" outlineLevel="0" collapsed="false">
      <c r="A674" s="14" t="n">
        <f aca="false">Report!C1052</f>
        <v>46227</v>
      </c>
      <c r="B674" s="0" t="str">
        <f aca="false">Report!E1052</f>
        <v>NEYLIANE S DE OLIVEIRA &amp; CIA LTDA</v>
      </c>
      <c r="C674" s="15" t="n">
        <f aca="false">Report!U1052</f>
        <v>280</v>
      </c>
      <c r="D674" s="0" t="str">
        <f aca="false">Report!X1052</f>
        <v>COMPRAS-20L DE AÇAI-PG NO P 24/7 ELLEN</v>
      </c>
    </row>
    <row r="675" customFormat="false" ht="12.75" hidden="false" customHeight="true" outlineLevel="0" collapsed="false">
      <c r="A675" s="14" t="n">
        <f aca="false">Report!C1053</f>
        <v>46227</v>
      </c>
      <c r="B675" s="0" t="str">
        <f aca="false">Report!E1053</f>
        <v>PANIFICADORA E CONFEITARIA REAL MADRI LTDA</v>
      </c>
      <c r="C675" s="15" t="n">
        <f aca="false">Report!U1053</f>
        <v>182.36</v>
      </c>
      <c r="D675" s="0" t="str">
        <f aca="false">Report!X1053</f>
        <v>NF 724 ELLEN</v>
      </c>
    </row>
    <row r="676" customFormat="false" ht="12.75" hidden="false" customHeight="true" outlineLevel="0" collapsed="false">
      <c r="A676" s="14" t="n">
        <f aca="false">Report!C1054</f>
        <v>46227</v>
      </c>
      <c r="B676" s="0" t="str">
        <f aca="false">Report!E1054</f>
        <v>REAL BEBIDAS DA AMAZONIA LTDA</v>
      </c>
      <c r="C676" s="15" t="n">
        <f aca="false">Report!U1054</f>
        <v>189</v>
      </c>
      <c r="D676" s="0" t="str">
        <f aca="false">Report!X1054</f>
        <v>NF 605020 ELLEN</v>
      </c>
    </row>
    <row r="677" customFormat="false" ht="12.75" hidden="false" customHeight="true" outlineLevel="0" collapsed="false">
      <c r="A677" s="14" t="n">
        <f aca="false">Report!C1056</f>
        <v>46227</v>
      </c>
      <c r="B677" s="0" t="str">
        <f aca="false">Report!E1056</f>
        <v>SEM FORNECEDOR</v>
      </c>
      <c r="C677" s="15" t="n">
        <f aca="false">Report!U1056</f>
        <v>72</v>
      </c>
      <c r="D677" s="0" t="str">
        <f aca="false">Report!X1056</f>
        <v>4 cxs brigadeiro/jose</v>
      </c>
    </row>
    <row r="678" customFormat="false" ht="12.75" hidden="false" customHeight="true" outlineLevel="0" collapsed="false">
      <c r="A678" s="14" t="n">
        <f aca="false">Report!C1059</f>
        <v>46227</v>
      </c>
      <c r="B678" s="0" t="str">
        <f aca="false">Report!E1059</f>
        <v>SOUZA CRUZ LTDA.</v>
      </c>
      <c r="C678" s="15" t="n">
        <f aca="false">Report!U1059</f>
        <v>4572.86</v>
      </c>
      <c r="D678" s="0" t="str">
        <f aca="false">Report!X1059</f>
        <v>NF 566541 ELLEN</v>
      </c>
    </row>
    <row r="679" customFormat="false" ht="12.75" hidden="false" customHeight="true" outlineLevel="0" collapsed="false">
      <c r="A679" s="14" t="n">
        <f aca="false">Report!C1060</f>
        <v>46228</v>
      </c>
      <c r="B679" s="0" t="str">
        <f aca="false">Report!E1060</f>
        <v>H L M PADARIA E CONFEITARIA LTDA</v>
      </c>
      <c r="C679" s="15" t="n">
        <f aca="false">Report!U1060</f>
        <v>140</v>
      </c>
      <c r="D679" s="0" t="str">
        <f aca="false">Report!X1060</f>
        <v>NF 81 COMPRAS-BOLO PG NO P 25/7 ELLEN</v>
      </c>
    </row>
    <row r="680" customFormat="false" ht="12.75" hidden="false" customHeight="true" outlineLevel="0" collapsed="false">
      <c r="A680" s="14" t="n">
        <f aca="false">Report!C1061</f>
        <v>46228</v>
      </c>
      <c r="B680" s="0" t="str">
        <f aca="false">Report!E1061</f>
        <v>MAXFRI DISTRIUIDORA LTDA</v>
      </c>
      <c r="C680" s="15" t="n">
        <f aca="false">Report!U1061</f>
        <v>3804</v>
      </c>
      <c r="D680" s="0" t="str">
        <f aca="false">Report!X1061</f>
        <v>NF 14751 ELLEN</v>
      </c>
    </row>
    <row r="681" customFormat="false" ht="12.75" hidden="false" customHeight="true" outlineLevel="0" collapsed="false">
      <c r="A681" s="14" t="n">
        <f aca="false">Report!C1062</f>
        <v>46228</v>
      </c>
      <c r="B681" s="0" t="str">
        <f aca="false">Report!E1062</f>
        <v>NEYLIANE S DE OLIVEIRA &amp; CIA LTDA</v>
      </c>
      <c r="C681" s="15" t="n">
        <f aca="false">Report!U1062</f>
        <v>200</v>
      </c>
      <c r="D681" s="0" t="str">
        <f aca="false">Report!X1062</f>
        <v>COMPRAS-10KG PITAYA -PG NO P 25/7 - ELLEN</v>
      </c>
    </row>
    <row r="682" customFormat="false" ht="12.75" hidden="false" customHeight="true" outlineLevel="0" collapsed="false">
      <c r="A682" s="14" t="n">
        <f aca="false">Report!C1066</f>
        <v>46228</v>
      </c>
      <c r="B682" s="0" t="str">
        <f aca="false">Report!E1066</f>
        <v>SEM FORNECEDOR</v>
      </c>
      <c r="C682" s="15" t="n">
        <f aca="false">Report!U1066</f>
        <v>200</v>
      </c>
      <c r="D682" s="0" t="str">
        <f aca="false">Report!X1066</f>
        <v>recibo-compras-trufas/angelo</v>
      </c>
    </row>
    <row r="683" customFormat="false" ht="12.75" hidden="false" customHeight="true" outlineLevel="0" collapsed="false">
      <c r="A683" s="14" t="n">
        <f aca="false">Report!C1071</f>
        <v>46229</v>
      </c>
      <c r="B683" s="0" t="str">
        <f aca="false">Report!E1071</f>
        <v>FE COMERCIO DE MATERIAIS DE CONSTRUCAO</v>
      </c>
      <c r="C683" s="15" t="n">
        <f aca="false">Report!U1071</f>
        <v>819.53</v>
      </c>
      <c r="D683" s="0" t="str">
        <f aca="false">Report!X1071</f>
        <v>NF 4467 ELLEN</v>
      </c>
    </row>
    <row r="684" customFormat="false" ht="12.75" hidden="false" customHeight="true" outlineLevel="0" collapsed="false">
      <c r="A684" s="14" t="n">
        <f aca="false">Report!C1076</f>
        <v>46230</v>
      </c>
      <c r="B684" s="0" t="str">
        <f aca="false">Report!E1076</f>
        <v>DUNORTE DISTRIBUIDORA DE PRODUTOS DE CONSUMO LTDA</v>
      </c>
      <c r="C684" s="15" t="n">
        <f aca="false">Report!U1076</f>
        <v>1313.59</v>
      </c>
      <c r="D684" s="0" t="n">
        <f aca="false">Report!X1076</f>
        <v>0</v>
      </c>
    </row>
    <row r="685" customFormat="false" ht="12.75" hidden="false" customHeight="true" outlineLevel="0" collapsed="false">
      <c r="A685" s="14" t="n">
        <f aca="false">Report!C1077</f>
        <v>46230</v>
      </c>
      <c r="B685" s="0" t="str">
        <f aca="false">Report!E1077</f>
        <v>DUNORTE DISTRIBUIDORA DE PRODUTOS DE CONSUMO LTDA</v>
      </c>
      <c r="C685" s="15" t="n">
        <f aca="false">Report!U1077</f>
        <v>1385.14</v>
      </c>
      <c r="D685" s="0" t="str">
        <f aca="false">Report!X1077</f>
        <v>NF 3218198 ELLEN</v>
      </c>
    </row>
    <row r="686" customFormat="false" ht="12.75" hidden="false" customHeight="true" outlineLevel="0" collapsed="false">
      <c r="A686" s="14" t="n">
        <f aca="false">Report!C1078</f>
        <v>46230</v>
      </c>
      <c r="B686" s="0" t="str">
        <f aca="false">Report!E1078</f>
        <v>DUNORTE DISTRIBUIDORA DE PRODUTOS DE CONSUMO LTDA</v>
      </c>
      <c r="C686" s="15" t="n">
        <f aca="false">Report!U1078</f>
        <v>918.23</v>
      </c>
      <c r="D686" s="0" t="str">
        <f aca="false">Report!X1078</f>
        <v>NF 3218197 ELLEN</v>
      </c>
    </row>
    <row r="687" customFormat="false" ht="12.75" hidden="false" customHeight="true" outlineLevel="0" collapsed="false">
      <c r="A687" s="14" t="n">
        <f aca="false">Report!C1079</f>
        <v>46230</v>
      </c>
      <c r="B687" s="0" t="str">
        <f aca="false">Report!E1079</f>
        <v>FENNIX BRASIL DISTRIBUIDORA DE PRODUTOS</v>
      </c>
      <c r="C687" s="15" t="n">
        <f aca="false">Report!U1079</f>
        <v>368.06</v>
      </c>
      <c r="D687" s="0" t="str">
        <f aca="false">Report!X1079</f>
        <v>NF 312916 ELLEN</v>
      </c>
    </row>
    <row r="688" customFormat="false" ht="12.75" hidden="false" customHeight="true" outlineLevel="0" collapsed="false">
      <c r="A688" s="14" t="n">
        <f aca="false">Report!C1084</f>
        <v>46230</v>
      </c>
      <c r="B688" s="0" t="str">
        <f aca="false">Report!E1084</f>
        <v>J W N DOS SANTOS</v>
      </c>
      <c r="C688" s="15" t="n">
        <f aca="false">Report!U1084</f>
        <v>270</v>
      </c>
      <c r="D688" s="0" t="str">
        <f aca="false">Report!X1084</f>
        <v>NF 375 COMPRAS-CARVAO - ELLEN</v>
      </c>
    </row>
    <row r="689" customFormat="false" ht="12.75" hidden="false" customHeight="true" outlineLevel="0" collapsed="false">
      <c r="A689" s="14" t="n">
        <f aca="false">Report!C1085</f>
        <v>46230</v>
      </c>
      <c r="B689" s="0" t="str">
        <f aca="false">Report!E1085</f>
        <v>JAB COMERCIO DE PRODUTOS ALIMENTICIOS LT</v>
      </c>
      <c r="C689" s="15" t="n">
        <f aca="false">Report!U1085</f>
        <v>179</v>
      </c>
      <c r="D689" s="0" t="str">
        <f aca="false">Report!X1085</f>
        <v>NF 3579 ELLEN</v>
      </c>
    </row>
    <row r="690" customFormat="false" ht="12.75" hidden="false" customHeight="true" outlineLevel="0" collapsed="false">
      <c r="A690" s="14" t="n">
        <f aca="false">Report!C1086</f>
        <v>46230</v>
      </c>
      <c r="B690" s="0" t="str">
        <f aca="false">Report!E1086</f>
        <v>LIMA E BARANDA COMERCIO DE PRODUTOS REGI</v>
      </c>
      <c r="C690" s="15" t="n">
        <f aca="false">Report!U1086</f>
        <v>199</v>
      </c>
      <c r="D690" s="0" t="str">
        <f aca="false">Report!X1086</f>
        <v>NF 31515 ELLEN</v>
      </c>
    </row>
    <row r="691" customFormat="false" ht="12.75" hidden="false" customHeight="true" outlineLevel="0" collapsed="false">
      <c r="A691" s="14" t="n">
        <f aca="false">Report!C1087</f>
        <v>46230</v>
      </c>
      <c r="B691" s="0" t="str">
        <f aca="false">Report!E1087</f>
        <v>NEYLIANE S DE OLIVEIRA &amp; CIA LTDA</v>
      </c>
      <c r="C691" s="15" t="n">
        <f aca="false">Report!U1087</f>
        <v>949</v>
      </c>
      <c r="D691" s="0" t="str">
        <f aca="false">Report!X1087</f>
        <v>COMPRAS - FARINHA CRUZEIRO - ELLEN</v>
      </c>
    </row>
    <row r="692" customFormat="false" ht="12.75" hidden="false" customHeight="true" outlineLevel="0" collapsed="false">
      <c r="A692" s="14" t="n">
        <f aca="false">Report!C1088</f>
        <v>46230</v>
      </c>
      <c r="B692" s="0" t="str">
        <f aca="false">Report!E1088</f>
        <v>NEYLIANE S DE OLIVEIRA &amp; CIA LTDA</v>
      </c>
      <c r="C692" s="15" t="n">
        <f aca="false">Report!U1088</f>
        <v>210</v>
      </c>
      <c r="D692" s="0" t="str">
        <f aca="false">Report!X1088</f>
        <v>COMPRAS - 15L DE AÇAI - PG NO P 27/7/26-ELLEN</v>
      </c>
    </row>
    <row r="693" customFormat="false" ht="12.75" hidden="false" customHeight="true" outlineLevel="0" collapsed="false">
      <c r="A693" s="14" t="n">
        <f aca="false">Report!C1090</f>
        <v>46230</v>
      </c>
      <c r="B693" s="0" t="str">
        <f aca="false">Report!E1090</f>
        <v>NOVA FRIOS COMERCIO ATACADISTA DE LATICINIOS LTDA</v>
      </c>
      <c r="C693" s="15" t="n">
        <f aca="false">Report!U1090</f>
        <v>232.05</v>
      </c>
      <c r="D693" s="0" t="str">
        <f aca="false">Report!X1090</f>
        <v>NF 4132 ELLEN</v>
      </c>
    </row>
    <row r="694" customFormat="false" ht="12.75" hidden="false" customHeight="true" outlineLevel="0" collapsed="false">
      <c r="A694" s="14" t="n">
        <f aca="false">Report!C1091</f>
        <v>46230</v>
      </c>
      <c r="B694" s="0" t="str">
        <f aca="false">Report!E1091</f>
        <v>PANIFICADORA E CONFEITARIA REAL MADRI LTDA</v>
      </c>
      <c r="C694" s="15" t="n">
        <f aca="false">Report!U1091</f>
        <v>247.23</v>
      </c>
      <c r="D694" s="0" t="str">
        <f aca="false">Report!X1091</f>
        <v>NF 728 ELLEN</v>
      </c>
    </row>
    <row r="695" customFormat="false" ht="12.75" hidden="false" customHeight="true" outlineLevel="0" collapsed="false">
      <c r="A695" s="14" t="n">
        <f aca="false">Report!C1095</f>
        <v>46231</v>
      </c>
      <c r="B695" s="0" t="str">
        <f aca="false">Report!E1095</f>
        <v>ADICSO FABIAN GONZALEZ MONTILLA 70302186</v>
      </c>
      <c r="C695" s="15" t="n">
        <f aca="false">Report!U1095</f>
        <v>168</v>
      </c>
      <c r="D695" s="0" t="str">
        <f aca="false">Report!X1095</f>
        <v>NF 544 ELLEN</v>
      </c>
    </row>
    <row r="696" customFormat="false" ht="12.75" hidden="false" customHeight="true" outlineLevel="0" collapsed="false">
      <c r="A696" s="14" t="n">
        <f aca="false">Report!C1096</f>
        <v>46231</v>
      </c>
      <c r="B696" s="0" t="str">
        <f aca="false">Report!E1096</f>
        <v>BRASIL NORTE BEBIDAS S/A</v>
      </c>
      <c r="C696" s="15" t="n">
        <f aca="false">Report!U1096</f>
        <v>419.67</v>
      </c>
      <c r="D696" s="0" t="str">
        <f aca="false">Report!X1096</f>
        <v>NF 1931230 ELLEN</v>
      </c>
    </row>
    <row r="697" customFormat="false" ht="12.75" hidden="false" customHeight="true" outlineLevel="0" collapsed="false">
      <c r="A697" s="14" t="n">
        <f aca="false">Report!C1097</f>
        <v>46231</v>
      </c>
      <c r="B697" s="0" t="str">
        <f aca="false">Report!E1097</f>
        <v>BRASIL NORTE BEBIDAS S/A</v>
      </c>
      <c r="C697" s="15" t="n">
        <f aca="false">Report!U1097</f>
        <v>203.41</v>
      </c>
      <c r="D697" s="0" t="str">
        <f aca="false">Report!X1097</f>
        <v>NF 1199257 ELLEN</v>
      </c>
    </row>
    <row r="698" customFormat="false" ht="12.75" hidden="false" customHeight="true" outlineLevel="0" collapsed="false">
      <c r="A698" s="14" t="n">
        <f aca="false">Report!C1098</f>
        <v>46231</v>
      </c>
      <c r="B698" s="0" t="str">
        <f aca="false">Report!E1098</f>
        <v>BRASIL NORTE BEBIDAS S/A</v>
      </c>
      <c r="C698" s="15" t="n">
        <f aca="false">Report!U1098</f>
        <v>106.21</v>
      </c>
      <c r="D698" s="0" t="str">
        <f aca="false">Report!X1098</f>
        <v>NF 1199243 ELLEN</v>
      </c>
    </row>
    <row r="699" customFormat="false" ht="12.75" hidden="false" customHeight="true" outlineLevel="0" collapsed="false">
      <c r="A699" s="14" t="n">
        <f aca="false">Report!C1101</f>
        <v>46231</v>
      </c>
      <c r="B699" s="0" t="str">
        <f aca="false">Report!E1101</f>
        <v>FEIRA</v>
      </c>
      <c r="C699" s="15" t="n">
        <f aca="false">Report!U1101</f>
        <v>140</v>
      </c>
      <c r="D699" s="0" t="str">
        <f aca="false">Report!X1101</f>
        <v>FEIRA SR RENATO - PG P LJ1 (MACA) SOMAR C NF 2568-ELLEN</v>
      </c>
    </row>
    <row r="700" customFormat="false" ht="12.75" hidden="false" customHeight="true" outlineLevel="0" collapsed="false">
      <c r="A700" s="14" t="n">
        <f aca="false">Report!C1102</f>
        <v>46231</v>
      </c>
      <c r="B700" s="0" t="str">
        <f aca="false">Report!E1102</f>
        <v>FUNNY PET DISTRIBUIDORA DE ALIMENTOS PAR</v>
      </c>
      <c r="C700" s="15" t="n">
        <f aca="false">Report!U1102</f>
        <v>1589.28</v>
      </c>
      <c r="D700" s="0" t="str">
        <f aca="false">Report!X1102</f>
        <v>NF 20499 ELLEN</v>
      </c>
    </row>
    <row r="701" customFormat="false" ht="12.75" hidden="false" customHeight="true" outlineLevel="0" collapsed="false">
      <c r="A701" s="14" t="n">
        <f aca="false">Report!C1103</f>
        <v>46231</v>
      </c>
      <c r="B701" s="0" t="str">
        <f aca="false">Report!E1103</f>
        <v>MARTINS COM SERV DISTR SA</v>
      </c>
      <c r="C701" s="15" t="n">
        <f aca="false">Report!U1103</f>
        <v>542.11</v>
      </c>
      <c r="D701" s="0" t="str">
        <f aca="false">Report!X1103</f>
        <v>NF 1777487 ELLEN</v>
      </c>
    </row>
    <row r="702" customFormat="false" ht="12.75" hidden="false" customHeight="true" outlineLevel="0" collapsed="false">
      <c r="A702" s="14" t="n">
        <f aca="false">Report!C1104</f>
        <v>46231</v>
      </c>
      <c r="B702" s="0" t="str">
        <f aca="false">Report!E1104</f>
        <v>NESTLÉ BRASIL LTDA.</v>
      </c>
      <c r="C702" s="15" t="n">
        <f aca="false">Report!U1104</f>
        <v>691.61</v>
      </c>
      <c r="D702" s="0" t="str">
        <f aca="false">Report!X1104</f>
        <v>NF 1427668 ELLEN</v>
      </c>
    </row>
    <row r="703" customFormat="false" ht="12.75" hidden="false" customHeight="true" outlineLevel="0" collapsed="false">
      <c r="A703" s="14" t="n">
        <f aca="false">Report!C1105</f>
        <v>46231</v>
      </c>
      <c r="B703" s="0" t="str">
        <f aca="false">Report!E1105</f>
        <v>NEYLIANE S DE OLIVEIRA &amp; CIA LTDA</v>
      </c>
      <c r="C703" s="15" t="n">
        <f aca="false">Report!U1105</f>
        <v>1389.41</v>
      </c>
      <c r="D703" s="0" t="str">
        <f aca="false">Report!X1105</f>
        <v>FEIRA SR RENATO - PG P LJ1 - ELLEN</v>
      </c>
    </row>
    <row r="704" customFormat="false" ht="12.75" hidden="false" customHeight="true" outlineLevel="0" collapsed="false">
      <c r="A704" s="14" t="n">
        <f aca="false">Report!C1106</f>
        <v>46231</v>
      </c>
      <c r="B704" s="0" t="str">
        <f aca="false">Report!E1106</f>
        <v>NSB COMERCIO ATACADISTA E VAREJISTA DE P</v>
      </c>
      <c r="C704" s="15" t="n">
        <f aca="false">Report!U1106</f>
        <v>378.88</v>
      </c>
      <c r="D704" s="0" t="str">
        <f aca="false">Report!X1106</f>
        <v>NF 7874 ELLEN</v>
      </c>
    </row>
    <row r="705" customFormat="false" ht="12.75" hidden="false" customHeight="true" outlineLevel="0" collapsed="false">
      <c r="A705" s="14" t="n">
        <f aca="false">Report!C1107</f>
        <v>46231</v>
      </c>
      <c r="B705" s="0" t="str">
        <f aca="false">Report!E1107</f>
        <v>ORIENTE COM. ATACADISTA E REPRES. LTDA</v>
      </c>
      <c r="C705" s="15" t="n">
        <f aca="false">Report!U1107</f>
        <v>1501.2</v>
      </c>
      <c r="D705" s="0" t="str">
        <f aca="false">Report!X1107</f>
        <v>NF 2624 ELLEN</v>
      </c>
    </row>
    <row r="706" customFormat="false" ht="12.75" hidden="false" customHeight="true" outlineLevel="0" collapsed="false">
      <c r="A706" s="14" t="n">
        <f aca="false">Report!C1108</f>
        <v>46231</v>
      </c>
      <c r="B706" s="0" t="str">
        <f aca="false">Report!E1108</f>
        <v>PANIFICADORA E CONFEITARIA REAL MADRI LTDA</v>
      </c>
      <c r="C706" s="15" t="n">
        <f aca="false">Report!U1108</f>
        <v>239.7</v>
      </c>
      <c r="D706" s="0" t="str">
        <f aca="false">Report!X1108</f>
        <v>NF 731 ELLEN</v>
      </c>
    </row>
    <row r="707" customFormat="false" ht="12.75" hidden="false" customHeight="true" outlineLevel="0" collapsed="false">
      <c r="A707" s="14" t="n">
        <f aca="false">Report!C1115</f>
        <v>46231</v>
      </c>
      <c r="B707" s="0" t="str">
        <f aca="false">Report!E1115</f>
        <v>SEM FORNECEDOR</v>
      </c>
      <c r="C707" s="15" t="n">
        <f aca="false">Report!U1115</f>
        <v>120</v>
      </c>
      <c r="D707" s="0" t="str">
        <f aca="false">Report!X1115</f>
        <v>recibo-compras-pipoca caramelizada-iracelio-Ellen</v>
      </c>
    </row>
    <row r="708" customFormat="false" ht="12.75" hidden="false" customHeight="true" outlineLevel="0" collapsed="false">
      <c r="A708" s="14" t="n">
        <f aca="false">Report!C1117</f>
        <v>46231</v>
      </c>
      <c r="B708" s="0" t="str">
        <f aca="false">Report!E1117</f>
        <v>SL DISTRIBUIDORA COM. DE PROD. ALIMENTIC</v>
      </c>
      <c r="C708" s="15" t="n">
        <f aca="false">Report!U1117</f>
        <v>505.57</v>
      </c>
      <c r="D708" s="0" t="str">
        <f aca="false">Report!X1117</f>
        <v>NF 10807 ELLEN</v>
      </c>
    </row>
    <row r="709" customFormat="false" ht="12.75" hidden="false" customHeight="true" outlineLevel="0" collapsed="false">
      <c r="A709" s="14" t="n">
        <f aca="false">Report!C1118</f>
        <v>46231</v>
      </c>
      <c r="B709" s="0" t="str">
        <f aca="false">Report!E1118</f>
        <v>TALIAN COMERCIO DE COSMETICOS LTDA</v>
      </c>
      <c r="C709" s="15" t="n">
        <f aca="false">Report!U1118</f>
        <v>406.11</v>
      </c>
      <c r="D709" s="0" t="str">
        <f aca="false">Report!X1118</f>
        <v>NF 30429 ELLEN</v>
      </c>
    </row>
    <row r="710" customFormat="false" ht="12.75" hidden="false" customHeight="true" outlineLevel="0" collapsed="false">
      <c r="A710" s="14" t="n">
        <f aca="false">Report!C1119</f>
        <v>46232</v>
      </c>
      <c r="B710" s="0" t="str">
        <f aca="false">Report!E1119</f>
        <v>BF COMERCIO DE ALIMENTOS REPRESENTACAO L</v>
      </c>
      <c r="C710" s="15" t="n">
        <f aca="false">Report!U1119</f>
        <v>1213.69</v>
      </c>
      <c r="D710" s="0" t="str">
        <f aca="false">Report!X1119</f>
        <v>NF 21032 ELLEN</v>
      </c>
    </row>
    <row r="711" customFormat="false" ht="12.75" hidden="false" customHeight="true" outlineLevel="0" collapsed="false">
      <c r="A711" s="14" t="n">
        <f aca="false">Report!C1120</f>
        <v>46232</v>
      </c>
      <c r="B711" s="0" t="str">
        <f aca="false">Report!E1120</f>
        <v>BRF S A</v>
      </c>
      <c r="C711" s="15" t="n">
        <f aca="false">Report!U1120</f>
        <v>1025.06</v>
      </c>
      <c r="D711" s="0" t="str">
        <f aca="false">Report!X1120</f>
        <v>NF 1605936 ELLEN</v>
      </c>
    </row>
    <row r="712" customFormat="false" ht="12.75" hidden="false" customHeight="true" outlineLevel="0" collapsed="false">
      <c r="A712" s="14" t="n">
        <f aca="false">Report!C1121</f>
        <v>46232</v>
      </c>
      <c r="B712" s="0" t="str">
        <f aca="false">Report!E1121</f>
        <v>BRF S A</v>
      </c>
      <c r="C712" s="15" t="n">
        <f aca="false">Report!U1121</f>
        <v>512.49</v>
      </c>
      <c r="D712" s="0" t="str">
        <f aca="false">Report!X1121</f>
        <v>NF 1608670 ELLEN</v>
      </c>
    </row>
    <row r="713" customFormat="false" ht="12.75" hidden="false" customHeight="true" outlineLevel="0" collapsed="false">
      <c r="A713" s="14" t="n">
        <f aca="false">Report!C1122</f>
        <v>46232</v>
      </c>
      <c r="B713" s="0" t="str">
        <f aca="false">Report!E1122</f>
        <v>DISTRIBUIDORA LOPES LTDA</v>
      </c>
      <c r="C713" s="15" t="n">
        <f aca="false">Report!U1122</f>
        <v>1207.29</v>
      </c>
      <c r="D713" s="0" t="str">
        <f aca="false">Report!X1122</f>
        <v>NF 1692730 ELLEN</v>
      </c>
    </row>
    <row r="714" customFormat="false" ht="12.75" hidden="false" customHeight="true" outlineLevel="0" collapsed="false">
      <c r="A714" s="14" t="n">
        <f aca="false">Report!C1123</f>
        <v>46232</v>
      </c>
      <c r="B714" s="0" t="str">
        <f aca="false">Report!E1123</f>
        <v>DURAES DISTRIBUIDORA DE ESTIVAS LTDA</v>
      </c>
      <c r="C714" s="15" t="n">
        <f aca="false">Report!U1123</f>
        <v>607.57</v>
      </c>
      <c r="D714" s="0" t="str">
        <f aca="false">Report!X1123</f>
        <v>NF 650221 ELLEN</v>
      </c>
    </row>
    <row r="715" customFormat="false" ht="12.75" hidden="false" customHeight="true" outlineLevel="0" collapsed="false">
      <c r="A715" s="14" t="n">
        <f aca="false">Report!C1124</f>
        <v>46232</v>
      </c>
      <c r="B715" s="0" t="str">
        <f aca="false">Report!E1124</f>
        <v>FENNIX BRASIL DISTRIBUIDORA DE PRODUTOS</v>
      </c>
      <c r="C715" s="15" t="n">
        <f aca="false">Report!U1124</f>
        <v>560.56</v>
      </c>
      <c r="D715" s="0" t="str">
        <f aca="false">Report!X1124</f>
        <v>NF 396500 ELLEN</v>
      </c>
    </row>
    <row r="716" customFormat="false" ht="12.75" hidden="false" customHeight="true" outlineLevel="0" collapsed="false">
      <c r="A716" s="14" t="n">
        <f aca="false">Report!C1125</f>
        <v>46232</v>
      </c>
      <c r="B716" s="0" t="str">
        <f aca="false">Report!E1125</f>
        <v>H. L. DO NASCIMENTO</v>
      </c>
      <c r="C716" s="15" t="n">
        <f aca="false">Report!U1125</f>
        <v>409.65</v>
      </c>
      <c r="D716" s="0" t="str">
        <f aca="false">Report!X1125</f>
        <v>NF 5844 ELLEN</v>
      </c>
    </row>
    <row r="717" customFormat="false" ht="12.75" hidden="false" customHeight="true" outlineLevel="0" collapsed="false">
      <c r="A717" s="14" t="n">
        <f aca="false">Report!C1126</f>
        <v>46232</v>
      </c>
      <c r="B717" s="0" t="str">
        <f aca="false">Report!E1126</f>
        <v>J G COMERCIO DE PRODUTOS ALIMENTICIOS LTDA</v>
      </c>
      <c r="C717" s="15" t="n">
        <f aca="false">Report!U1126</f>
        <v>2806.49</v>
      </c>
      <c r="D717" s="0" t="str">
        <f aca="false">Report!X1126</f>
        <v>NF 392537 ELLEN</v>
      </c>
    </row>
    <row r="718" customFormat="false" ht="12.75" hidden="false" customHeight="true" outlineLevel="0" collapsed="false">
      <c r="A718" s="14" t="n">
        <f aca="false">Report!C1127</f>
        <v>46232</v>
      </c>
      <c r="B718" s="0" t="str">
        <f aca="false">Report!E1127</f>
        <v>J G COMERCIO DE PRODUTOS ALIMENTICIOS LTDA</v>
      </c>
      <c r="C718" s="15" t="n">
        <f aca="false">Report!U1127</f>
        <v>1164.4</v>
      </c>
      <c r="D718" s="0" t="str">
        <f aca="false">Report!X1127</f>
        <v>NF 393890 ELLEN</v>
      </c>
    </row>
    <row r="719" customFormat="false" ht="12.75" hidden="false" customHeight="true" outlineLevel="0" collapsed="false">
      <c r="A719" s="14" t="n">
        <f aca="false">Report!C1128</f>
        <v>46232</v>
      </c>
      <c r="B719" s="0" t="str">
        <f aca="false">Report!E1128</f>
        <v>L S M COMERCIO DE ALIMENTOS E NAVEGACAO</v>
      </c>
      <c r="C719" s="15" t="n">
        <f aca="false">Report!U1128</f>
        <v>1021.83</v>
      </c>
      <c r="D719" s="0" t="str">
        <f aca="false">Report!X1128</f>
        <v>NF 307804 ELLEN</v>
      </c>
    </row>
    <row r="720" customFormat="false" ht="12.75" hidden="false" customHeight="true" outlineLevel="0" collapsed="false">
      <c r="A720" s="14" t="n">
        <f aca="false">Report!C1129</f>
        <v>46232</v>
      </c>
      <c r="B720" s="0" t="str">
        <f aca="false">Report!E1129</f>
        <v>LAYS MORETTI DA SILVA 01310766207</v>
      </c>
      <c r="C720" s="15" t="n">
        <f aca="false">Report!U1129</f>
        <v>139</v>
      </c>
      <c r="D720" s="0" t="str">
        <f aca="false">Report!X1129</f>
        <v>NF 1295 - CARVAO BRIQUETE - ELLEN</v>
      </c>
    </row>
    <row r="721" customFormat="false" ht="12.75" hidden="false" customHeight="true" outlineLevel="0" collapsed="false">
      <c r="A721" s="14" t="n">
        <f aca="false">Report!C1131</f>
        <v>46232</v>
      </c>
      <c r="B721" s="0" t="str">
        <f aca="false">Report!E1131</f>
        <v>SB COMERCIO LTDA</v>
      </c>
      <c r="C721" s="15" t="n">
        <f aca="false">Report!U1131</f>
        <v>1504.05</v>
      </c>
      <c r="D721" s="0" t="str">
        <f aca="false">Report!X1131</f>
        <v>NF 1962669 ELLEN</v>
      </c>
    </row>
    <row r="722" customFormat="false" ht="12.75" hidden="false" customHeight="true" outlineLevel="0" collapsed="false">
      <c r="A722" s="14" t="n">
        <f aca="false">Report!C1136</f>
        <v>46233</v>
      </c>
      <c r="B722" s="0" t="str">
        <f aca="false">Report!E1136</f>
        <v>BRASIL NORTE BEBIDAS S/A</v>
      </c>
      <c r="C722" s="15" t="n">
        <f aca="false">Report!U1136</f>
        <v>2028.67</v>
      </c>
      <c r="D722" s="0" t="str">
        <f aca="false">Report!X1136</f>
        <v>NF 1936058 ELLEN</v>
      </c>
    </row>
    <row r="723" customFormat="false" ht="12.75" hidden="false" customHeight="true" outlineLevel="0" collapsed="false">
      <c r="A723" s="14" t="n">
        <f aca="false">Report!C1137</f>
        <v>46233</v>
      </c>
      <c r="B723" s="0" t="str">
        <f aca="false">Report!E1137</f>
        <v>BRASIL NORTE BEBIDAS S/A</v>
      </c>
      <c r="C723" s="15" t="n">
        <f aca="false">Report!U1137</f>
        <v>1194.17</v>
      </c>
      <c r="D723" s="0" t="str">
        <f aca="false">Report!X1137</f>
        <v>NF 1936058 ELLEN</v>
      </c>
    </row>
    <row r="724" customFormat="false" ht="12.75" hidden="false" customHeight="true" outlineLevel="0" collapsed="false">
      <c r="A724" s="14" t="n">
        <f aca="false">Report!C1138</f>
        <v>46233</v>
      </c>
      <c r="B724" s="0" t="str">
        <f aca="false">Report!E1138</f>
        <v>DISTRIBUIDORA FARIAS LTDA.</v>
      </c>
      <c r="C724" s="15" t="n">
        <f aca="false">Report!U1138</f>
        <v>580.89</v>
      </c>
      <c r="D724" s="0" t="str">
        <f aca="false">Report!X1138</f>
        <v>NF 682520 ELLEN</v>
      </c>
    </row>
    <row r="725" customFormat="false" ht="12.75" hidden="false" customHeight="true" outlineLevel="0" collapsed="false">
      <c r="A725" s="14" t="n">
        <f aca="false">Report!C1139</f>
        <v>46233</v>
      </c>
      <c r="B725" s="0" t="str">
        <f aca="false">Report!E1139</f>
        <v>E. D. SENA &amp; CIA LTDA</v>
      </c>
      <c r="C725" s="15" t="n">
        <f aca="false">Report!U1139</f>
        <v>531.18</v>
      </c>
      <c r="D725" s="0" t="str">
        <f aca="false">Report!X1139</f>
        <v>NF 9495 ELLEN</v>
      </c>
    </row>
    <row r="726" customFormat="false" ht="12.75" hidden="false" customHeight="true" outlineLevel="0" collapsed="false">
      <c r="A726" s="14" t="n">
        <f aca="false">Report!C1140</f>
        <v>46233</v>
      </c>
      <c r="B726" s="0" t="str">
        <f aca="false">Report!E1140</f>
        <v>EMPRESA BRASILEIRA DE DISTRIBUICAO LTDA</v>
      </c>
      <c r="C726" s="15" t="n">
        <f aca="false">Report!U1140</f>
        <v>658.6</v>
      </c>
      <c r="D726" s="0" t="str">
        <f aca="false">Report!X1140</f>
        <v>NF 2299705 ELLEN</v>
      </c>
    </row>
    <row r="727" customFormat="false" ht="12.75" hidden="false" customHeight="true" outlineLevel="0" collapsed="false">
      <c r="A727" s="14" t="n">
        <f aca="false">Report!C1141</f>
        <v>46233</v>
      </c>
      <c r="B727" s="0" t="str">
        <f aca="false">Report!E1141</f>
        <v>EMPRESA BRASILEIRA DE DISTRIBUICAO LTDA</v>
      </c>
      <c r="C727" s="15" t="n">
        <f aca="false">Report!U1141</f>
        <v>377.46</v>
      </c>
      <c r="D727" s="0" t="str">
        <f aca="false">Report!X1141</f>
        <v>NF 2299703 ELLEN</v>
      </c>
    </row>
    <row r="728" customFormat="false" ht="12.75" hidden="false" customHeight="true" outlineLevel="0" collapsed="false">
      <c r="A728" s="14" t="n">
        <f aca="false">Report!C1142</f>
        <v>46233</v>
      </c>
      <c r="B728" s="0" t="str">
        <f aca="false">Report!E1142</f>
        <v>FENNIX BRASIL DISTRIBUIDORA DE PRODUTOS</v>
      </c>
      <c r="C728" s="15" t="n">
        <f aca="false">Report!U1142</f>
        <v>321.77</v>
      </c>
      <c r="D728" s="0" t="str">
        <f aca="false">Report!X1142</f>
        <v>NF 396261 ELLEN</v>
      </c>
    </row>
    <row r="729" customFormat="false" ht="12.75" hidden="false" customHeight="true" outlineLevel="0" collapsed="false">
      <c r="A729" s="14" t="n">
        <f aca="false">Report!C1145</f>
        <v>46233</v>
      </c>
      <c r="B729" s="0" t="str">
        <f aca="false">Report!E1145</f>
        <v>LOURIVAL ALMEIDA DA SILVA 17128784845</v>
      </c>
      <c r="C729" s="15" t="n">
        <f aca="false">Report!U1145</f>
        <v>160.32</v>
      </c>
      <c r="D729" s="0" t="str">
        <f aca="false">Report!X1145</f>
        <v>NF 523 COMPRAS-MARSHMALOW - ELLEN</v>
      </c>
    </row>
    <row r="730" customFormat="false" ht="12.75" hidden="false" customHeight="true" outlineLevel="0" collapsed="false">
      <c r="A730" s="14" t="n">
        <f aca="false">Report!C1146</f>
        <v>46233</v>
      </c>
      <c r="B730" s="0" t="str">
        <f aca="false">Report!E1146</f>
        <v>NEYLIANE S DE OLIVEIRA &amp; CIA LTDA</v>
      </c>
      <c r="C730" s="15" t="n">
        <f aca="false">Report!U1146</f>
        <v>196</v>
      </c>
      <c r="D730" s="0" t="str">
        <f aca="false">Report!X1146</f>
        <v>COMPRAS - 14L AÇAI - PG NO P 29/7/26 - ELLEN</v>
      </c>
    </row>
    <row r="731" customFormat="false" ht="12.75" hidden="false" customHeight="true" outlineLevel="0" collapsed="false">
      <c r="A731" s="14" t="n">
        <f aca="false">Report!C1147</f>
        <v>46233</v>
      </c>
      <c r="B731" s="0" t="str">
        <f aca="false">Report!E1147</f>
        <v>NEYLIANE S DE OLIVEIRA &amp; CIA LTDA</v>
      </c>
      <c r="C731" s="15" t="n">
        <f aca="false">Report!U1147</f>
        <v>210</v>
      </c>
      <c r="D731" s="0" t="str">
        <f aca="false">Report!X1147</f>
        <v>COMPRAS - 15L DE AÇAI - PG NO P 30/7/26-ELLEN</v>
      </c>
    </row>
    <row r="732" customFormat="false" ht="12.75" hidden="false" customHeight="true" outlineLevel="0" collapsed="false">
      <c r="A732" s="14" t="n">
        <f aca="false">Report!C1148</f>
        <v>46233</v>
      </c>
      <c r="B732" s="0" t="str">
        <f aca="false">Report!E1148</f>
        <v>OESA COMERCIO E REPRESENTACOES S/A</v>
      </c>
      <c r="C732" s="15" t="n">
        <f aca="false">Report!U1148</f>
        <v>682.63</v>
      </c>
      <c r="D732" s="0" t="str">
        <f aca="false">Report!X1148</f>
        <v>NF 426652 ELLEN</v>
      </c>
    </row>
    <row r="733" customFormat="false" ht="12.75" hidden="false" customHeight="true" outlineLevel="0" collapsed="false">
      <c r="A733" s="14" t="n">
        <f aca="false">Report!C1149</f>
        <v>46233</v>
      </c>
      <c r="B733" s="0" t="str">
        <f aca="false">Report!E1149</f>
        <v>REAL BEBIDAS DA AMAZONIA LTDA</v>
      </c>
      <c r="C733" s="15" t="n">
        <f aca="false">Report!U1149</f>
        <v>305</v>
      </c>
      <c r="D733" s="0" t="str">
        <f aca="false">Report!X1149</f>
        <v>NF 608657 ELLEN</v>
      </c>
    </row>
    <row r="734" customFormat="false" ht="12.75" hidden="false" customHeight="true" outlineLevel="0" collapsed="false">
      <c r="A734" s="14" t="n">
        <f aca="false">Report!C1159</f>
        <v>46234</v>
      </c>
      <c r="B734" s="0" t="str">
        <f aca="false">Report!E1159</f>
        <v>ADRIANO FEITOSA OLIVEIRA LTDA</v>
      </c>
      <c r="C734" s="15" t="n">
        <f aca="false">Report!U1159</f>
        <v>950</v>
      </c>
      <c r="D734" s="0" t="str">
        <f aca="false">Report!X1159</f>
        <v>NF 345 ELLEN</v>
      </c>
    </row>
    <row r="735" customFormat="false" ht="12.75" hidden="false" customHeight="true" outlineLevel="0" collapsed="false">
      <c r="A735" s="14" t="n">
        <f aca="false">Report!C1160</f>
        <v>46234</v>
      </c>
      <c r="B735" s="0" t="str">
        <f aca="false">Report!E1160</f>
        <v>BROTHERS  INDUSTRIA DE ALIMENTOS LTDA</v>
      </c>
      <c r="C735" s="15" t="n">
        <f aca="false">Report!U1160</f>
        <v>254</v>
      </c>
      <c r="D735" s="0" t="str">
        <f aca="false">Report!X1160</f>
        <v>NF 1033458 ELLEN</v>
      </c>
    </row>
    <row r="736" customFormat="false" ht="12.75" hidden="false" customHeight="true" outlineLevel="0" collapsed="false">
      <c r="A736" s="14" t="n">
        <f aca="false">Report!C1161</f>
        <v>46234</v>
      </c>
      <c r="B736" s="0" t="str">
        <f aca="false">Report!E1161</f>
        <v>BROTHERS  INDUSTRIA DE ALIMENTOS LTDA</v>
      </c>
      <c r="C736" s="15" t="n">
        <f aca="false">Report!U1161</f>
        <v>296.49</v>
      </c>
      <c r="D736" s="0" t="str">
        <f aca="false">Report!X1161</f>
        <v>NF 1032720 - BOLETO PAGO FORA DA DATA DE VENCIMENTO - ELLEN</v>
      </c>
    </row>
    <row r="737" customFormat="false" ht="12.75" hidden="false" customHeight="true" outlineLevel="0" collapsed="false">
      <c r="A737" s="14" t="n">
        <f aca="false">Report!C1162</f>
        <v>46234</v>
      </c>
      <c r="B737" s="0" t="str">
        <f aca="false">Report!E1162</f>
        <v>DISTRIBUIDORA FARIAS LTDA.</v>
      </c>
      <c r="C737" s="15" t="n">
        <f aca="false">Report!U1162</f>
        <v>509.25</v>
      </c>
      <c r="D737" s="0" t="str">
        <f aca="false">Report!X1162</f>
        <v>NF 681127 ELLEN</v>
      </c>
    </row>
    <row r="738" customFormat="false" ht="12.75" hidden="false" customHeight="true" outlineLevel="0" collapsed="false">
      <c r="A738" s="14" t="n">
        <f aca="false">Report!C1163</f>
        <v>46234</v>
      </c>
      <c r="B738" s="0" t="str">
        <f aca="false">Report!E1163</f>
        <v>DISTRIBUIDORA LOPES LTDA</v>
      </c>
      <c r="C738" s="15" t="n">
        <f aca="false">Report!U1163</f>
        <v>590.09</v>
      </c>
      <c r="D738" s="0" t="str">
        <f aca="false">Report!X1163</f>
        <v>NF 1698937 ELLEN</v>
      </c>
    </row>
    <row r="739" customFormat="false" ht="12.75" hidden="false" customHeight="true" outlineLevel="0" collapsed="false">
      <c r="A739" s="14" t="n">
        <f aca="false">Report!C1164</f>
        <v>46234</v>
      </c>
      <c r="B739" s="0" t="str">
        <f aca="false">Report!E1164</f>
        <v>DUNORTE DISTRIBUIDORA DE PRODUTOS DE CONSUMO LTDA</v>
      </c>
      <c r="C739" s="15" t="n">
        <f aca="false">Report!U1164</f>
        <v>159.4</v>
      </c>
      <c r="D739" s="0" t="str">
        <f aca="false">Report!X1164</f>
        <v>NF 3221212 ELLEN</v>
      </c>
    </row>
    <row r="740" customFormat="false" ht="12.75" hidden="false" customHeight="true" outlineLevel="0" collapsed="false">
      <c r="A740" s="14" t="n">
        <f aca="false">Report!C1165</f>
        <v>46234</v>
      </c>
      <c r="B740" s="0" t="str">
        <f aca="false">Report!E1165</f>
        <v>EDSON AGUIAR DE SOUZA</v>
      </c>
      <c r="C740" s="15" t="n">
        <f aca="false">Report!U1165</f>
        <v>97.5</v>
      </c>
      <c r="D740" s="0" t="str">
        <f aca="false">Report!X1165</f>
        <v>NF 1649285 COMPRAS-CHEIRO-VERDE - ELLEN</v>
      </c>
    </row>
    <row r="741" customFormat="false" ht="12.75" hidden="false" customHeight="true" outlineLevel="0" collapsed="false">
      <c r="A741" s="14" t="n">
        <f aca="false">Report!C1166</f>
        <v>46234</v>
      </c>
      <c r="B741" s="0" t="str">
        <f aca="false">Report!E1166</f>
        <v>EDSON AGUIAR DE SOUZA</v>
      </c>
      <c r="C741" s="15" t="n">
        <f aca="false">Report!U1166</f>
        <v>137</v>
      </c>
      <c r="D741" s="0" t="str">
        <f aca="false">Report!X1166</f>
        <v>NF 1649501 COMPRAS-CHEIRO-VERDE - ELLEN</v>
      </c>
    </row>
    <row r="742" customFormat="false" ht="12.75" hidden="false" customHeight="true" outlineLevel="0" collapsed="false">
      <c r="A742" s="14" t="n">
        <f aca="false">Report!C1167</f>
        <v>46234</v>
      </c>
      <c r="B742" s="0" t="str">
        <f aca="false">Report!E1167</f>
        <v>EDSON AGUIAR DE SOUZA</v>
      </c>
      <c r="C742" s="15" t="n">
        <f aca="false">Report!U1167</f>
        <v>151</v>
      </c>
      <c r="D742" s="0" t="str">
        <f aca="false">Report!X1167</f>
        <v>NF 1649880 CHEIRO-VERDE - ELLEN</v>
      </c>
    </row>
    <row r="743" customFormat="false" ht="12.75" hidden="false" customHeight="true" outlineLevel="0" collapsed="false">
      <c r="A743" s="14" t="n">
        <f aca="false">Report!C1168</f>
        <v>46234</v>
      </c>
      <c r="B743" s="0" t="str">
        <f aca="false">Report!E1168</f>
        <v>EDSON AGUIAR DE SOUZA</v>
      </c>
      <c r="C743" s="15" t="n">
        <f aca="false">Report!U1168</f>
        <v>130.5</v>
      </c>
      <c r="D743" s="0" t="str">
        <f aca="false">Report!X1168</f>
        <v>COMPRAS - CHEIRO-VERDE - ELLEN</v>
      </c>
    </row>
    <row r="744" customFormat="false" ht="12.75" hidden="false" customHeight="true" outlineLevel="0" collapsed="false">
      <c r="A744" s="14" t="n">
        <f aca="false">Report!C1169</f>
        <v>46234</v>
      </c>
      <c r="B744" s="0" t="str">
        <f aca="false">Report!E1169</f>
        <v>EDSON AGUIAR DE SOUZA</v>
      </c>
      <c r="C744" s="15" t="n">
        <f aca="false">Report!U1169</f>
        <v>71.5</v>
      </c>
      <c r="D744" s="0" t="str">
        <f aca="false">Report!X1169</f>
        <v>COMPRAS - CHEIRO-VERDE - ELLEN</v>
      </c>
    </row>
    <row r="745" customFormat="false" ht="12.75" hidden="false" customHeight="true" outlineLevel="0" collapsed="false">
      <c r="A745" s="14" t="n">
        <f aca="false">Report!C1170</f>
        <v>46234</v>
      </c>
      <c r="B745" s="0" t="str">
        <f aca="false">Report!E1170</f>
        <v>EDSON AGUIAR DE SOUZA</v>
      </c>
      <c r="C745" s="15" t="n">
        <f aca="false">Report!U1170</f>
        <v>158</v>
      </c>
      <c r="D745" s="0" t="str">
        <f aca="false">Report!X1170</f>
        <v>COMPRAS - CHEIRO-VERDE - ELLEN</v>
      </c>
    </row>
    <row r="746" customFormat="false" ht="12.75" hidden="false" customHeight="true" outlineLevel="0" collapsed="false">
      <c r="A746" s="14" t="n">
        <f aca="false">Report!C1171</f>
        <v>46234</v>
      </c>
      <c r="B746" s="0" t="str">
        <f aca="false">Report!E1171</f>
        <v>EDSON AGUIAR DE SOUZA</v>
      </c>
      <c r="C746" s="15" t="n">
        <f aca="false">Report!U1171</f>
        <v>54</v>
      </c>
      <c r="D746" s="0" t="str">
        <f aca="false">Report!X1171</f>
        <v>COMPRAS - CHEIRO-VERDE - ELLEN</v>
      </c>
    </row>
    <row r="747" customFormat="false" ht="12.75" hidden="false" customHeight="true" outlineLevel="0" collapsed="false">
      <c r="A747" s="14" t="n">
        <f aca="false">Report!C1172</f>
        <v>46234</v>
      </c>
      <c r="B747" s="0" t="str">
        <f aca="false">Report!E1172</f>
        <v>EDSON AGUIAR DE SOUZA</v>
      </c>
      <c r="C747" s="15" t="n">
        <f aca="false">Report!U1172</f>
        <v>129.5</v>
      </c>
      <c r="D747" s="0" t="str">
        <f aca="false">Report!X1172</f>
        <v>COMPRAS - CHEIRO-VERDE - ELLEN</v>
      </c>
    </row>
    <row r="748" customFormat="false" ht="12.75" hidden="false" customHeight="true" outlineLevel="0" collapsed="false">
      <c r="A748" s="14" t="n">
        <f aca="false">Report!C1173</f>
        <v>46234</v>
      </c>
      <c r="B748" s="0" t="str">
        <f aca="false">Report!E1173</f>
        <v>EDSON AGUIAR DE SOUZA</v>
      </c>
      <c r="C748" s="15" t="n">
        <f aca="false">Report!U1173</f>
        <v>125</v>
      </c>
      <c r="D748" s="0" t="str">
        <f aca="false">Report!X1173</f>
        <v>COMPRAS - CHEIRO-VERDE - ELLEN</v>
      </c>
    </row>
    <row r="749" customFormat="false" ht="12.75" hidden="false" customHeight="true" outlineLevel="0" collapsed="false">
      <c r="A749" s="14" t="n">
        <f aca="false">Report!C1174</f>
        <v>46234</v>
      </c>
      <c r="B749" s="0" t="str">
        <f aca="false">Report!E1174</f>
        <v>FEIRA</v>
      </c>
      <c r="C749" s="15" t="n">
        <f aca="false">Report!U1174</f>
        <v>370</v>
      </c>
      <c r="D749" s="0" t="str">
        <f aca="false">Report!X1174</f>
        <v>FEIRA SR RENATO - PG P LJ1 (UVA) SOMAR C NF2578 -ELLEN</v>
      </c>
    </row>
    <row r="750" customFormat="false" ht="12.75" hidden="false" customHeight="true" outlineLevel="0" collapsed="false">
      <c r="A750" s="14" t="n">
        <f aca="false">Report!C1175</f>
        <v>46234</v>
      </c>
      <c r="B750" s="0" t="str">
        <f aca="false">Report!E1175</f>
        <v>H L M PADARIA E CONFEITARIA LTDA</v>
      </c>
      <c r="C750" s="15" t="n">
        <f aca="false">Report!U1175</f>
        <v>140</v>
      </c>
      <c r="D750" s="0" t="str">
        <f aca="false">Report!X1175</f>
        <v>NF 102 COMPRAS-BOLO PG NO P 31/7 ELLEN</v>
      </c>
    </row>
    <row r="751" customFormat="false" ht="12.75" hidden="false" customHeight="true" outlineLevel="0" collapsed="false">
      <c r="A751" s="14" t="n">
        <f aca="false">Report!C1177</f>
        <v>46234</v>
      </c>
      <c r="B751" s="0" t="str">
        <f aca="false">Report!E1177</f>
        <v>JUROS A FORNECEDOR</v>
      </c>
      <c r="C751" s="15" t="n">
        <f aca="false">Report!U1177</f>
        <v>2.94</v>
      </c>
      <c r="D751" s="0" t="str">
        <f aca="false">Report!X1177</f>
        <v>PAG JUROS NF 103272-1 BOLETO BROTHERS - KEILA</v>
      </c>
    </row>
    <row r="752" customFormat="false" ht="12.75" hidden="false" customHeight="true" outlineLevel="0" collapsed="false">
      <c r="A752" s="14" t="n">
        <f aca="false">Report!C1178</f>
        <v>46234</v>
      </c>
      <c r="B752" s="0" t="str">
        <f aca="false">Report!E1178</f>
        <v>MARQUES &amp; MELO LTDA - FILIAL</v>
      </c>
      <c r="C752" s="15" t="n">
        <f aca="false">Report!U1178</f>
        <v>2112.99</v>
      </c>
      <c r="D752" s="0" t="str">
        <f aca="false">Report!X1178</f>
        <v>NF 501201 ELLEN</v>
      </c>
    </row>
    <row r="753" customFormat="false" ht="12.75" hidden="false" customHeight="true" outlineLevel="0" collapsed="false">
      <c r="A753" s="14" t="n">
        <f aca="false">Report!C1179</f>
        <v>46234</v>
      </c>
      <c r="B753" s="0" t="str">
        <f aca="false">Report!E1179</f>
        <v>MARQUES &amp; MELO LTDA - FILIAL</v>
      </c>
      <c r="C753" s="15" t="n">
        <f aca="false">Report!U1179</f>
        <v>308.88</v>
      </c>
      <c r="D753" s="0" t="str">
        <f aca="false">Report!X1179</f>
        <v>NF 502367 ELLEN</v>
      </c>
    </row>
    <row r="754" customFormat="false" ht="12.75" hidden="false" customHeight="true" outlineLevel="0" collapsed="false">
      <c r="A754" s="14" t="n">
        <f aca="false">Report!C1180</f>
        <v>46234</v>
      </c>
      <c r="B754" s="0" t="str">
        <f aca="false">Report!E1180</f>
        <v>MARTINS COM SERV DISTR SA</v>
      </c>
      <c r="C754" s="15" t="n">
        <f aca="false">Report!U1180</f>
        <v>278.28</v>
      </c>
      <c r="D754" s="0" t="str">
        <f aca="false">Report!X1180</f>
        <v>NF'S 1781169/1781170 ELLEN</v>
      </c>
    </row>
    <row r="755" customFormat="false" ht="12.75" hidden="false" customHeight="true" outlineLevel="0" collapsed="false">
      <c r="A755" s="14" t="n">
        <f aca="false">Report!C1181</f>
        <v>46234</v>
      </c>
      <c r="B755" s="0" t="str">
        <f aca="false">Report!E1181</f>
        <v>NEYLIANE S DE OLIVEIRA &amp; CIA LTDA</v>
      </c>
      <c r="C755" s="15" t="n">
        <f aca="false">Report!U1181</f>
        <v>1612.25</v>
      </c>
      <c r="D755" s="0" t="str">
        <f aca="false">Report!X1181</f>
        <v>FEIRA SR RENATO - PG P LJ1 - ELLEN</v>
      </c>
    </row>
    <row r="756" customFormat="false" ht="12.75" hidden="false" customHeight="true" outlineLevel="0" collapsed="false">
      <c r="A756" s="14" t="n">
        <f aca="false">Report!C1183</f>
        <v>46234</v>
      </c>
      <c r="B756" s="0" t="str">
        <f aca="false">Report!E1183</f>
        <v>SEM FORNECEDOR</v>
      </c>
      <c r="C756" s="15" t="n">
        <f aca="false">Report!U1183</f>
        <v>108</v>
      </c>
      <c r="D756" s="0" t="str">
        <f aca="false">Report!X1183</f>
        <v>6 cartelas de brigadeiro/jose</v>
      </c>
    </row>
    <row r="757" customFormat="false" ht="12.75" hidden="false" customHeight="true" outlineLevel="0" collapsed="false">
      <c r="A757" s="14" t="n">
        <f aca="false">Report!C1187</f>
        <v>46234</v>
      </c>
      <c r="B757" s="0" t="str">
        <f aca="false">Report!E1187</f>
        <v>SOUZA CRUZ LTDA.</v>
      </c>
      <c r="C757" s="15" t="n">
        <f aca="false">Report!U1187</f>
        <v>6361.07</v>
      </c>
      <c r="D757" s="0" t="str">
        <f aca="false">Report!X1187</f>
        <v>NF 568309 ELLEN</v>
      </c>
    </row>
    <row r="758" customFormat="false" ht="12.75" hidden="false" customHeight="true" outlineLevel="0" collapsed="false">
      <c r="A758" s="14" t="n">
        <f aca="false">Report!C1188</f>
        <v>46234</v>
      </c>
      <c r="B758" s="0" t="str">
        <f aca="false">Report!E1188</f>
        <v>SUPER CANCUN COMERCIO DE PRODUTOS ALIMEN</v>
      </c>
      <c r="C758" s="15" t="n">
        <f aca="false">Report!U1188</f>
        <v>1123.86</v>
      </c>
      <c r="D758" s="0" t="str">
        <f aca="false">Report!X1188</f>
        <v>NF 262932 ELLEN</v>
      </c>
    </row>
    <row r="759" customFormat="false" ht="12.75" hidden="false" customHeight="true" outlineLevel="0" collapsed="false">
      <c r="A759" s="14" t="n">
        <f aca="false">Report!C1189</f>
        <v>46235</v>
      </c>
      <c r="B759" s="0" t="str">
        <f aca="false">Report!E1189</f>
        <v>A. CORREA JUNIOR</v>
      </c>
      <c r="C759" s="15" t="n">
        <f aca="false">Report!U1189</f>
        <v>1290.17</v>
      </c>
      <c r="D759" s="0" t="str">
        <f aca="false">Report!X1189</f>
        <v>NF 1829 CARTÃO DIA 1 PARC 2/3 - ELLEN</v>
      </c>
    </row>
    <row r="760" customFormat="false" ht="12.75" hidden="false" customHeight="true" outlineLevel="0" collapsed="false">
      <c r="A760" s="14" t="n">
        <f aca="false">Report!C1190</f>
        <v>46235</v>
      </c>
      <c r="B760" s="0" t="str">
        <f aca="false">Report!E1190</f>
        <v>COMERCIO DE FRIOS MANAUS LTDA</v>
      </c>
      <c r="C760" s="15" t="n">
        <f aca="false">Report!U1190</f>
        <v>3811.4</v>
      </c>
      <c r="D760" s="0" t="str">
        <f aca="false">Report!X1190</f>
        <v>NF 173594 ELLEN</v>
      </c>
    </row>
    <row r="761" customFormat="false" ht="12.75" hidden="false" customHeight="true" outlineLevel="0" collapsed="false">
      <c r="A761" s="14" t="n">
        <f aca="false">Report!C1193</f>
        <v>46235</v>
      </c>
      <c r="B761" s="0" t="str">
        <f aca="false">Report!E1193</f>
        <v>LUIS HENRIQUE FROTA MAGALHAES</v>
      </c>
      <c r="C761" s="15" t="n">
        <f aca="false">Report!U1193</f>
        <v>351.53</v>
      </c>
      <c r="D761" s="0" t="str">
        <f aca="false">Report!X1193</f>
        <v>NF 1948 CARTÃO DIA 1 - PARC 2/2 - ELLEN</v>
      </c>
    </row>
    <row r="762" customFormat="false" ht="12.75" hidden="false" customHeight="true" outlineLevel="0" collapsed="false">
      <c r="A762" s="14" t="n">
        <f aca="false">Report!C1194</f>
        <v>46235</v>
      </c>
      <c r="B762" s="0" t="str">
        <f aca="false">Report!E1194</f>
        <v>MAXFRI DISTRIUIDORA LTDA</v>
      </c>
      <c r="C762" s="15" t="n">
        <f aca="false">Report!U1194</f>
        <v>4958.1</v>
      </c>
      <c r="D762" s="0" t="str">
        <f aca="false">Report!X1194</f>
        <v>NF 14816 ELLEN</v>
      </c>
    </row>
    <row r="763" customFormat="false" ht="12.75" hidden="false" customHeight="true" outlineLevel="0" collapsed="false">
      <c r="A763" s="14" t="n">
        <f aca="false">Report!C1196</f>
        <v>46235</v>
      </c>
      <c r="B763" s="0" t="str">
        <f aca="false">Report!E1196</f>
        <v>PRIME PET DISTRIBUIDORA LTDA</v>
      </c>
      <c r="C763" s="15" t="n">
        <f aca="false">Report!U1196</f>
        <v>1361.81</v>
      </c>
      <c r="D763" s="0" t="str">
        <f aca="false">Report!X1196</f>
        <v>NF 10860 ELLEN</v>
      </c>
    </row>
    <row r="764" customFormat="false" ht="12.75" hidden="false" customHeight="true" outlineLevel="0" collapsed="false">
      <c r="A764" s="14" t="n">
        <f aca="false">Report!C1200</f>
        <v>46235</v>
      </c>
      <c r="B764" s="0" t="str">
        <f aca="false">Report!E1200</f>
        <v>SILVA E SANTOS FRIGORIFICO LTDA</v>
      </c>
      <c r="C764" s="15" t="n">
        <f aca="false">Report!U1200</f>
        <v>528</v>
      </c>
      <c r="D764" s="0" t="str">
        <f aca="false">Report!X1200</f>
        <v>NF 32052 ELLEN</v>
      </c>
    </row>
    <row r="765" customFormat="false" ht="12.75" hidden="false" customHeight="true" outlineLevel="0" collapsed="false">
      <c r="A765" s="14" t="n">
        <f aca="false">Report!C1202</f>
        <v>46235</v>
      </c>
      <c r="B765" s="0" t="str">
        <f aca="false">Report!E1202</f>
        <v>XF 10 LOJA DE VARIEDADES LTDA</v>
      </c>
      <c r="C765" s="15" t="n">
        <f aca="false">Report!U1202</f>
        <v>683.06</v>
      </c>
      <c r="D765" s="0" t="str">
        <f aca="false">Report!X1202</f>
        <v>NF 1006 CARTÃO DIA 1 PARC 2/2 - ELLEN</v>
      </c>
    </row>
    <row r="766" customFormat="false" ht="12.75" hidden="false" customHeight="true" outlineLevel="0" collapsed="false">
      <c r="A766" s="14" t="n">
        <f aca="false">Report!C1206</f>
        <v>46237</v>
      </c>
      <c r="B766" s="0" t="str">
        <f aca="false">Report!E1206</f>
        <v>ADICSO FABIAN GONZALEZ MONTILLA 70302186</v>
      </c>
      <c r="C766" s="15" t="n">
        <f aca="false">Report!U1206</f>
        <v>180</v>
      </c>
      <c r="D766" s="0" t="str">
        <f aca="false">Report!X1206</f>
        <v>NF 562 ELLEN</v>
      </c>
    </row>
    <row r="767" customFormat="false" ht="12.75" hidden="false" customHeight="true" outlineLevel="0" collapsed="false">
      <c r="A767" s="14" t="n">
        <f aca="false">Report!C1207</f>
        <v>46237</v>
      </c>
      <c r="B767" s="0" t="str">
        <f aca="false">Report!E1207</f>
        <v>CB COMERCIO E DISTRIBUIDORA DE ALIMENTOS</v>
      </c>
      <c r="C767" s="15" t="n">
        <f aca="false">Report!U1207</f>
        <v>676.97</v>
      </c>
      <c r="D767" s="0" t="str">
        <f aca="false">Report!X1207</f>
        <v>NF 854967 ELLEN</v>
      </c>
    </row>
    <row r="768" customFormat="false" ht="12.75" hidden="false" customHeight="true" outlineLevel="0" collapsed="false">
      <c r="A768" s="14" t="n">
        <f aca="false">Report!C1208</f>
        <v>46237</v>
      </c>
      <c r="B768" s="0" t="str">
        <f aca="false">Report!E1208</f>
        <v>DINÂMICA SOLUÇÕES EM SUPRIMENTOS E GESTÃ</v>
      </c>
      <c r="C768" s="15" t="n">
        <f aca="false">Report!U1208</f>
        <v>778</v>
      </c>
      <c r="D768" s="0" t="str">
        <f aca="false">Report!X1208</f>
        <v>NF 749 ELLEN</v>
      </c>
    </row>
    <row r="769" customFormat="false" ht="12.75" hidden="false" customHeight="true" outlineLevel="0" collapsed="false">
      <c r="A769" s="14" t="n">
        <f aca="false">Report!C1209</f>
        <v>46237</v>
      </c>
      <c r="B769" s="0" t="str">
        <f aca="false">Report!E1209</f>
        <v>DUNORTE DISTRIBUIDORA DE PRODUTOS DE CONSUMO LTDA</v>
      </c>
      <c r="C769" s="15" t="n">
        <f aca="false">Report!U1209</f>
        <v>1315.48</v>
      </c>
      <c r="D769" s="0" t="str">
        <f aca="false">Report!X1209</f>
        <v>NF 3218196 ELLEN</v>
      </c>
    </row>
    <row r="770" customFormat="false" ht="12.75" hidden="false" customHeight="true" outlineLevel="0" collapsed="false">
      <c r="A770" s="14" t="n">
        <f aca="false">Report!C1210</f>
        <v>46237</v>
      </c>
      <c r="B770" s="0" t="str">
        <f aca="false">Report!E1210</f>
        <v>DUNORTE DISTRIBUIDORA DE PRODUTOS DE CONSUMO LTDA</v>
      </c>
      <c r="C770" s="15" t="n">
        <f aca="false">Report!U1210</f>
        <v>1387.05</v>
      </c>
      <c r="D770" s="0" t="str">
        <f aca="false">Report!X1210</f>
        <v>NF 3218198 ELLEN</v>
      </c>
    </row>
    <row r="771" customFormat="false" ht="12.75" hidden="false" customHeight="true" outlineLevel="0" collapsed="false">
      <c r="A771" s="14" t="n">
        <f aca="false">Report!C1211</f>
        <v>46237</v>
      </c>
      <c r="B771" s="0" t="str">
        <f aca="false">Report!E1211</f>
        <v>DUNORTE DISTRIBUIDORA DE PRODUTOS DE CONSUMO LTDA</v>
      </c>
      <c r="C771" s="15" t="n">
        <f aca="false">Report!U1211</f>
        <v>920.12</v>
      </c>
      <c r="D771" s="0" t="str">
        <f aca="false">Report!X1211</f>
        <v>NF 3218197 ELLEN</v>
      </c>
    </row>
    <row r="772" customFormat="false" ht="12.75" hidden="false" customHeight="true" outlineLevel="0" collapsed="false">
      <c r="A772" s="14" t="n">
        <f aca="false">Report!C1212</f>
        <v>46237</v>
      </c>
      <c r="B772" s="0" t="str">
        <f aca="false">Report!E1212</f>
        <v>EMPRESA BRASILEIRA DE DISTRIBUICAO LTDA</v>
      </c>
      <c r="C772" s="15" t="n">
        <f aca="false">Report!U1212</f>
        <v>550.37</v>
      </c>
      <c r="D772" s="0" t="str">
        <f aca="false">Report!X1212</f>
        <v>NF 2300746 ELLEN</v>
      </c>
    </row>
    <row r="773" customFormat="false" ht="12.75" hidden="false" customHeight="true" outlineLevel="0" collapsed="false">
      <c r="A773" s="14" t="n">
        <f aca="false">Report!C1213</f>
        <v>46237</v>
      </c>
      <c r="B773" s="0" t="str">
        <f aca="false">Report!E1213</f>
        <v>FENNIX BRASIL DISTRIBUIDORA DE PRODUTOS</v>
      </c>
      <c r="C773" s="15" t="n">
        <f aca="false">Report!U1213</f>
        <v>368.06</v>
      </c>
      <c r="D773" s="0" t="str">
        <f aca="false">Report!X1213</f>
        <v>NF 312916 ELLEN</v>
      </c>
    </row>
    <row r="774" customFormat="false" ht="12.75" hidden="false" customHeight="true" outlineLevel="0" collapsed="false">
      <c r="A774" s="14" t="n">
        <f aca="false">Report!C1214</f>
        <v>46237</v>
      </c>
      <c r="B774" s="0" t="str">
        <f aca="false">Report!E1214</f>
        <v>J W N DOS SANTOS</v>
      </c>
      <c r="C774" s="15" t="n">
        <f aca="false">Report!U1214</f>
        <v>228</v>
      </c>
      <c r="D774" s="0" t="str">
        <f aca="false">Report!X1214</f>
        <v>NF 389 COMPRAS-CARVÃO - ELLEN</v>
      </c>
    </row>
    <row r="775" customFormat="false" ht="12.75" hidden="false" customHeight="true" outlineLevel="0" collapsed="false">
      <c r="A775" s="14" t="n">
        <f aca="false">Report!C1215</f>
        <v>46237</v>
      </c>
      <c r="B775" s="0" t="str">
        <f aca="false">Report!E1215</f>
        <v>JAB COMERCIO DE PRODUTOS ALIMENTICIOS LT</v>
      </c>
      <c r="C775" s="15" t="n">
        <f aca="false">Report!U1215</f>
        <v>125</v>
      </c>
      <c r="D775" s="0" t="str">
        <f aca="false">Report!X1215</f>
        <v>NF 3618 ELLEN</v>
      </c>
    </row>
    <row r="776" customFormat="false" ht="12.75" hidden="false" customHeight="true" outlineLevel="0" collapsed="false">
      <c r="A776" s="14" t="n">
        <f aca="false">Report!C1216</f>
        <v>46237</v>
      </c>
      <c r="B776" s="0" t="str">
        <f aca="false">Report!E1216</f>
        <v>NEYLIANE S DE OLIVEIRA &amp; CIA LTDA</v>
      </c>
      <c r="C776" s="15" t="n">
        <f aca="false">Report!U1216</f>
        <v>280</v>
      </c>
      <c r="D776" s="0" t="str">
        <f aca="false">Report!X1216</f>
        <v>COMPRAS - 20L DE AÇAI - PG NO P 1/8/26-ELLEN</v>
      </c>
    </row>
    <row r="777" customFormat="false" ht="12.75" hidden="false" customHeight="true" outlineLevel="0" collapsed="false">
      <c r="A777" s="14" t="n">
        <f aca="false">Report!C1217</f>
        <v>46237</v>
      </c>
      <c r="B777" s="0" t="str">
        <f aca="false">Report!E1217</f>
        <v>NEYLIANE S DE OLIVEIRA &amp; CIA LTDA</v>
      </c>
      <c r="C777" s="15" t="n">
        <f aca="false">Report!U1217</f>
        <v>210</v>
      </c>
      <c r="D777" s="0" t="str">
        <f aca="false">Report!X1217</f>
        <v>COMPRAS-15L DE AÇAI-PG NO P 3/8/26-ELLEN</v>
      </c>
    </row>
    <row r="778" customFormat="false" ht="12.75" hidden="false" customHeight="true" outlineLevel="0" collapsed="false">
      <c r="A778" s="14" t="n">
        <f aca="false">Report!C1218</f>
        <v>46237</v>
      </c>
      <c r="B778" s="0" t="str">
        <f aca="false">Report!E1218</f>
        <v>NOVA FRIOS COMERCIO ATACADISTA DE LATICINIOS LTDA</v>
      </c>
      <c r="C778" s="15" t="n">
        <f aca="false">Report!U1218</f>
        <v>244</v>
      </c>
      <c r="D778" s="0" t="str">
        <f aca="false">Report!X1218</f>
        <v>NF 4207 ELLEN</v>
      </c>
    </row>
    <row r="779" customFormat="false" ht="12.75" hidden="false" customHeight="true" outlineLevel="0" collapsed="false">
      <c r="A779" s="14" t="n">
        <f aca="false">Report!C1219</f>
        <v>46237</v>
      </c>
      <c r="B779" s="0" t="str">
        <f aca="false">Report!E1219</f>
        <v>PANIFICADORA E CONFEITARIA REAL MADRI LTDA</v>
      </c>
      <c r="C779" s="15" t="n">
        <f aca="false">Report!U1219</f>
        <v>284.7</v>
      </c>
      <c r="D779" s="0" t="str">
        <f aca="false">Report!X1219</f>
        <v>NF 737 ELLEN</v>
      </c>
    </row>
    <row r="780" customFormat="false" ht="12.75" hidden="false" customHeight="true" outlineLevel="0" collapsed="false">
      <c r="A780" s="14" t="n">
        <f aca="false">Report!C1222</f>
        <v>46237</v>
      </c>
      <c r="B780" s="0" t="str">
        <f aca="false">Report!E1222</f>
        <v>SAO JOSE COMERCIO DE LATICINIOS E FRIOS</v>
      </c>
      <c r="C780" s="15" t="n">
        <f aca="false">Report!U1222</f>
        <v>505.5</v>
      </c>
      <c r="D780" s="0" t="str">
        <f aca="false">Report!X1222</f>
        <v>NF 3718 ELLEN</v>
      </c>
    </row>
    <row r="781" customFormat="false" ht="12.75" hidden="false" customHeight="true" outlineLevel="0" collapsed="false">
      <c r="A781" s="14" t="n">
        <f aca="false">Report!C1227</f>
        <v>46237</v>
      </c>
      <c r="B781" s="0" t="str">
        <f aca="false">Report!E1227</f>
        <v>T. M. L. DA SILVA LTDA</v>
      </c>
      <c r="C781" s="15" t="n">
        <f aca="false">Report!U1227</f>
        <v>272.52</v>
      </c>
      <c r="D781" s="0" t="str">
        <f aca="false">Report!X1227</f>
        <v>NF 15180 ELLEN</v>
      </c>
    </row>
    <row r="782" customFormat="false" ht="12.75" hidden="false" customHeight="true" outlineLevel="0" collapsed="false">
      <c r="A782" s="14" t="n">
        <f aca="false">Report!C1229</f>
        <v>46238</v>
      </c>
      <c r="B782" s="0" t="str">
        <f aca="false">Report!E1229</f>
        <v>ADICSO FABIAN GONZALEZ MONTILLA 70302186</v>
      </c>
      <c r="C782" s="15" t="n">
        <f aca="false">Report!U1229</f>
        <v>180</v>
      </c>
      <c r="D782" s="0" t="str">
        <f aca="false">Report!X1229</f>
        <v>NF 569 ELLEN</v>
      </c>
    </row>
    <row r="783" customFormat="false" ht="12.75" hidden="false" customHeight="true" outlineLevel="0" collapsed="false">
      <c r="A783" s="14" t="n">
        <f aca="false">Report!C1231</f>
        <v>46238</v>
      </c>
      <c r="B783" s="0" t="str">
        <f aca="false">Report!E1231</f>
        <v>ATACADAO S.A.</v>
      </c>
      <c r="C783" s="15" t="n">
        <f aca="false">Report!U1231</f>
        <v>479.64</v>
      </c>
      <c r="D783" s="0" t="str">
        <f aca="false">Report!X1231</f>
        <v>NF 1905831 ELLEN</v>
      </c>
    </row>
    <row r="784" customFormat="false" ht="12.75" hidden="false" customHeight="true" outlineLevel="0" collapsed="false">
      <c r="A784" s="14" t="n">
        <f aca="false">Report!C1232</f>
        <v>46238</v>
      </c>
      <c r="B784" s="0" t="str">
        <f aca="false">Report!E1232</f>
        <v>BRASIL NORTE BEBIDAS S/A</v>
      </c>
      <c r="C784" s="15" t="n">
        <f aca="false">Report!U1232</f>
        <v>53.95</v>
      </c>
      <c r="D784" s="0" t="str">
        <f aca="false">Report!X1232</f>
        <v>NF 1210020 ELLEN</v>
      </c>
    </row>
    <row r="785" customFormat="false" ht="12.75" hidden="false" customHeight="true" outlineLevel="0" collapsed="false">
      <c r="A785" s="14" t="n">
        <f aca="false">Report!C1233</f>
        <v>46238</v>
      </c>
      <c r="B785" s="0" t="str">
        <f aca="false">Report!E1233</f>
        <v>BRASIL NORTE BEBIDAS S/A</v>
      </c>
      <c r="C785" s="15" t="n">
        <f aca="false">Report!U1233</f>
        <v>637.11</v>
      </c>
      <c r="D785" s="0" t="str">
        <f aca="false">Report!X1233</f>
        <v>NF 1943423 ELLEN</v>
      </c>
    </row>
    <row r="786" customFormat="false" ht="12.75" hidden="false" customHeight="true" outlineLevel="0" collapsed="false">
      <c r="A786" s="14" t="n">
        <f aca="false">Report!C1234</f>
        <v>46238</v>
      </c>
      <c r="B786" s="0" t="str">
        <f aca="false">Report!E1234</f>
        <v>BROTHERS  INDUSTRIA DE ALIMENTOS LTDA</v>
      </c>
      <c r="C786" s="15" t="n">
        <f aca="false">Report!U1234</f>
        <v>355.62</v>
      </c>
      <c r="D786" s="0" t="str">
        <f aca="false">Report!X1234</f>
        <v>NF 1033945 ELLEN</v>
      </c>
    </row>
    <row r="787" customFormat="false" ht="12.75" hidden="false" customHeight="true" outlineLevel="0" collapsed="false">
      <c r="A787" s="14" t="n">
        <f aca="false">Report!C1235</f>
        <v>46238</v>
      </c>
      <c r="B787" s="0" t="str">
        <f aca="false">Report!E1235</f>
        <v>DISTRIBUIDORA LOPES LTDA</v>
      </c>
      <c r="C787" s="15" t="n">
        <f aca="false">Report!U1235</f>
        <v>554.4</v>
      </c>
      <c r="D787" s="0" t="str">
        <f aca="false">Report!X1235</f>
        <v>NF 1695862 ELLEN</v>
      </c>
    </row>
    <row r="788" customFormat="false" ht="12.75" hidden="false" customHeight="true" outlineLevel="0" collapsed="false">
      <c r="A788" s="14" t="n">
        <f aca="false">Report!C1236</f>
        <v>46238</v>
      </c>
      <c r="B788" s="0" t="str">
        <f aca="false">Report!E1236</f>
        <v>FEIRA</v>
      </c>
      <c r="C788" s="15" t="n">
        <f aca="false">Report!U1236</f>
        <v>380</v>
      </c>
      <c r="D788" s="0" t="str">
        <f aca="false">Report!X1236</f>
        <v>FEIRA -TRANS C6BANK-RENATO(ALHO/MACA) SOMAR C NF 2585-ELLEN</v>
      </c>
    </row>
    <row r="789" customFormat="false" ht="12.75" hidden="false" customHeight="true" outlineLevel="0" collapsed="false">
      <c r="A789" s="14" t="n">
        <f aca="false">Report!C1243</f>
        <v>46238</v>
      </c>
      <c r="B789" s="0" t="str">
        <f aca="false">Report!E1243</f>
        <v>NESTLÉ BRASIL LTDA.</v>
      </c>
      <c r="C789" s="15" t="n">
        <f aca="false">Report!U1243</f>
        <v>691.62</v>
      </c>
      <c r="D789" s="0" t="str">
        <f aca="false">Report!X1243</f>
        <v>NF 1427668 ELLEN</v>
      </c>
    </row>
    <row r="790" customFormat="false" ht="12.75" hidden="false" customHeight="true" outlineLevel="0" collapsed="false">
      <c r="A790" s="14" t="n">
        <f aca="false">Report!C1244</f>
        <v>46238</v>
      </c>
      <c r="B790" s="0" t="str">
        <f aca="false">Report!E1244</f>
        <v>NEYLIANE S DE OLIVEIRA &amp; CIA LTDA</v>
      </c>
      <c r="C790" s="15" t="n">
        <f aca="false">Report!U1244</f>
        <v>1910</v>
      </c>
      <c r="D790" s="0" t="str">
        <f aca="false">Report!X1244</f>
        <v>FEIRA - TRANSF P/ C6BANK-RENATO-ELLEN</v>
      </c>
    </row>
    <row r="791" customFormat="false" ht="12.75" hidden="false" customHeight="true" outlineLevel="0" collapsed="false">
      <c r="A791" s="14" t="n">
        <f aca="false">Report!C1246</f>
        <v>46238</v>
      </c>
      <c r="B791" s="0" t="str">
        <f aca="false">Report!E1246</f>
        <v>NSB COMERCIO ATACADISTA E VAREJISTA DE P</v>
      </c>
      <c r="C791" s="15" t="n">
        <f aca="false">Report!U1246</f>
        <v>378.88</v>
      </c>
      <c r="D791" s="0" t="str">
        <f aca="false">Report!X1246</f>
        <v>NF 7874 ELLEN</v>
      </c>
    </row>
    <row r="792" customFormat="false" ht="12.75" hidden="false" customHeight="true" outlineLevel="0" collapsed="false">
      <c r="A792" s="14" t="n">
        <f aca="false">Report!C1250</f>
        <v>46238</v>
      </c>
      <c r="B792" s="0" t="str">
        <f aca="false">Report!E1250</f>
        <v>SL DISTRIBUIDORA COM. DE PROD. ALIMENTIC</v>
      </c>
      <c r="C792" s="15" t="n">
        <f aca="false">Report!U1250</f>
        <v>505.58</v>
      </c>
      <c r="D792" s="0" t="str">
        <f aca="false">Report!X1250</f>
        <v>NF 10807 ELLEN</v>
      </c>
    </row>
    <row r="793" customFormat="false" ht="12.75" hidden="false" customHeight="true" outlineLevel="0" collapsed="false">
      <c r="A793" s="14" t="n">
        <f aca="false">Report!C1253</f>
        <v>46239</v>
      </c>
      <c r="B793" s="0" t="str">
        <f aca="false">Report!E1253</f>
        <v>BONNA VITTA INDUSTRIA E COMERCIO LTDA.</v>
      </c>
      <c r="C793" s="15" t="n">
        <f aca="false">Report!U1253</f>
        <v>109.52</v>
      </c>
      <c r="D793" s="0" t="str">
        <f aca="false">Report!X1253</f>
        <v>NF 1625 ELLEN</v>
      </c>
    </row>
    <row r="794" customFormat="false" ht="12.75" hidden="false" customHeight="true" outlineLevel="0" collapsed="false">
      <c r="A794" s="14" t="n">
        <f aca="false">Report!C1254</f>
        <v>46239</v>
      </c>
      <c r="B794" s="0" t="str">
        <f aca="false">Report!E1254</f>
        <v>BRF S A</v>
      </c>
      <c r="C794" s="15" t="n">
        <f aca="false">Report!U1254</f>
        <v>512.49</v>
      </c>
      <c r="D794" s="0" t="str">
        <f aca="false">Report!X1254</f>
        <v>NF 1608670 ELLEN</v>
      </c>
    </row>
    <row r="795" customFormat="false" ht="12.75" hidden="false" customHeight="true" outlineLevel="0" collapsed="false">
      <c r="A795" s="14" t="n">
        <f aca="false">Report!C1255</f>
        <v>46239</v>
      </c>
      <c r="B795" s="0" t="str">
        <f aca="false">Report!E1255</f>
        <v>BRF S A</v>
      </c>
      <c r="C795" s="15" t="n">
        <f aca="false">Report!U1255</f>
        <v>395.62</v>
      </c>
      <c r="D795" s="0" t="str">
        <f aca="false">Report!X1255</f>
        <v>NF 1611346 ELLEN</v>
      </c>
    </row>
    <row r="796" customFormat="false" ht="12.75" hidden="false" customHeight="true" outlineLevel="0" collapsed="false">
      <c r="A796" s="14" t="n">
        <f aca="false">Report!C1258</f>
        <v>46239</v>
      </c>
      <c r="B796" s="0" t="str">
        <f aca="false">Report!E1258</f>
        <v>DISTRIBUIDORA LOPES LTDA</v>
      </c>
      <c r="C796" s="15" t="n">
        <f aca="false">Report!U1258</f>
        <v>1207.28</v>
      </c>
      <c r="D796" s="0" t="str">
        <f aca="false">Report!X1258</f>
        <v>NF 1692730 ELLEN</v>
      </c>
    </row>
    <row r="797" customFormat="false" ht="12.75" hidden="false" customHeight="true" outlineLevel="0" collapsed="false">
      <c r="A797" s="14" t="n">
        <f aca="false">Report!C1259</f>
        <v>46239</v>
      </c>
      <c r="B797" s="0" t="str">
        <f aca="false">Report!E1259</f>
        <v>DURAES DISTRIBUIDORA DE ESTIVAS LTDA</v>
      </c>
      <c r="C797" s="15" t="n">
        <f aca="false">Report!U1259</f>
        <v>607.58</v>
      </c>
      <c r="D797" s="0" t="str">
        <f aca="false">Report!X1259</f>
        <v>NF 650221 ELLEN</v>
      </c>
    </row>
    <row r="798" customFormat="false" ht="12.75" hidden="false" customHeight="true" outlineLevel="0" collapsed="false">
      <c r="A798" s="14" t="n">
        <f aca="false">Report!C1263</f>
        <v>46239</v>
      </c>
      <c r="B798" s="0" t="str">
        <f aca="false">Report!E1263</f>
        <v>FE COMERCIO DE MATERIAIS DE CONSTRUCAO</v>
      </c>
      <c r="C798" s="15" t="n">
        <f aca="false">Report!U1263</f>
        <v>819.53</v>
      </c>
      <c r="D798" s="0" t="str">
        <f aca="false">Report!X1263</f>
        <v>NF 4467 ELLEN</v>
      </c>
    </row>
    <row r="799" customFormat="false" ht="12.75" hidden="false" customHeight="true" outlineLevel="0" collapsed="false">
      <c r="A799" s="14" t="n">
        <f aca="false">Report!C1267</f>
        <v>46239</v>
      </c>
      <c r="B799" s="0" t="str">
        <f aca="false">Report!E1267</f>
        <v>H L M PADARIA E CONFEITARIA LTDA</v>
      </c>
      <c r="C799" s="15" t="n">
        <f aca="false">Report!U1267</f>
        <v>200</v>
      </c>
      <c r="D799" s="0" t="str">
        <f aca="false">Report!X1267</f>
        <v>NF 123 COMPRAS-BOLO PG NO P 5/8/26 - ELLEN</v>
      </c>
    </row>
    <row r="800" customFormat="false" ht="12.75" hidden="false" customHeight="true" outlineLevel="0" collapsed="false">
      <c r="A800" s="14" t="n">
        <f aca="false">Report!C1270</f>
        <v>46239</v>
      </c>
      <c r="B800" s="0" t="str">
        <f aca="false">Report!E1270</f>
        <v>J G COMERCIO DE PRODUTOS ALIMENTICIOS LTDA</v>
      </c>
      <c r="C800" s="15" t="n">
        <f aca="false">Report!U1270</f>
        <v>2806.5</v>
      </c>
      <c r="D800" s="0" t="str">
        <f aca="false">Report!X1270</f>
        <v>NF 392537 ELLEN</v>
      </c>
    </row>
    <row r="801" customFormat="false" ht="12.75" hidden="false" customHeight="true" outlineLevel="0" collapsed="false">
      <c r="A801" s="14" t="n">
        <f aca="false">Report!C1271</f>
        <v>46239</v>
      </c>
      <c r="B801" s="0" t="str">
        <f aca="false">Report!E1271</f>
        <v>J G COMERCIO DE PRODUTOS ALIMENTICIOS LTDA</v>
      </c>
      <c r="C801" s="15" t="n">
        <f aca="false">Report!U1271</f>
        <v>1164.4</v>
      </c>
      <c r="D801" s="0" t="str">
        <f aca="false">Report!X1271</f>
        <v>NF 393890 ELLEN</v>
      </c>
    </row>
    <row r="802" customFormat="false" ht="12.75" hidden="false" customHeight="true" outlineLevel="0" collapsed="false">
      <c r="A802" s="14" t="n">
        <f aca="false">Report!C1272</f>
        <v>46239</v>
      </c>
      <c r="B802" s="0" t="str">
        <f aca="false">Report!E1272</f>
        <v>L S M COMERCIO DE ALIMENTOS E NAVEGACAO</v>
      </c>
      <c r="C802" s="15" t="n">
        <f aca="false">Report!U1272</f>
        <v>1021.84</v>
      </c>
      <c r="D802" s="0" t="str">
        <f aca="false">Report!X1272</f>
        <v>NF 307804 ELLEN</v>
      </c>
    </row>
    <row r="803" customFormat="false" ht="12.75" hidden="false" customHeight="true" outlineLevel="0" collapsed="false">
      <c r="A803" s="14" t="n">
        <f aca="false">Report!C1273</f>
        <v>46239</v>
      </c>
      <c r="B803" s="0" t="str">
        <f aca="false">Report!E1273</f>
        <v>LIMA E BARANDA COMERCIO DE PRODUTOS REGI</v>
      </c>
      <c r="C803" s="15" t="n">
        <f aca="false">Report!U1273</f>
        <v>266</v>
      </c>
      <c r="D803" s="0" t="str">
        <f aca="false">Report!X1273</f>
        <v>NF 31668 ELLEN</v>
      </c>
    </row>
    <row r="804" customFormat="false" ht="12.75" hidden="false" customHeight="true" outlineLevel="0" collapsed="false">
      <c r="A804" s="14" t="n">
        <f aca="false">Report!C1277</f>
        <v>46239</v>
      </c>
      <c r="B804" s="0" t="str">
        <f aca="false">Report!E1277</f>
        <v>MAXFRI DISTRIUIDORA LTDA</v>
      </c>
      <c r="C804" s="15" t="n">
        <f aca="false">Report!U1277</f>
        <v>3840</v>
      </c>
      <c r="D804" s="0" t="str">
        <f aca="false">Report!X1277</f>
        <v>NF 14864 ELLEN</v>
      </c>
    </row>
    <row r="805" customFormat="false" ht="12.75" hidden="false" customHeight="true" outlineLevel="0" collapsed="false">
      <c r="A805" s="14" t="n">
        <f aca="false">Report!C1278</f>
        <v>46239</v>
      </c>
      <c r="B805" s="0" t="str">
        <f aca="false">Report!E1278</f>
        <v>NEYLIANE S DE OLIVEIRA &amp; CIA LTDA</v>
      </c>
      <c r="C805" s="15" t="n">
        <f aca="false">Report!U1278</f>
        <v>210</v>
      </c>
      <c r="D805" s="0" t="str">
        <f aca="false">Report!X1278</f>
        <v>COMPRAS - 15L DE AÇAI - PG NO P 4/8/26-ELLEN</v>
      </c>
    </row>
    <row r="806" customFormat="false" ht="12.75" hidden="false" customHeight="true" outlineLevel="0" collapsed="false">
      <c r="A806" s="14" t="n">
        <f aca="false">Report!C1283</f>
        <v>46239</v>
      </c>
      <c r="B806" s="0" t="str">
        <f aca="false">Report!E1283</f>
        <v>SB COMERCIO LTDA</v>
      </c>
      <c r="C806" s="15" t="n">
        <f aca="false">Report!U1283</f>
        <v>1504.05</v>
      </c>
      <c r="D806" s="0" t="str">
        <f aca="false">Report!X1283</f>
        <v>NF 1962669 ELLEN</v>
      </c>
    </row>
    <row r="807" customFormat="false" ht="12.75" hidden="false" customHeight="true" outlineLevel="0" collapsed="false">
      <c r="A807" s="14" t="n">
        <f aca="false">Report!C1289</f>
        <v>46239</v>
      </c>
      <c r="B807" s="0" t="str">
        <f aca="false">Report!E1289</f>
        <v>VIA CERTA IMPORTACAO E DISTRIBUICAO DE A</v>
      </c>
      <c r="C807" s="15" t="n">
        <f aca="false">Report!U1289</f>
        <v>665.28</v>
      </c>
      <c r="D807" s="0" t="str">
        <f aca="false">Report!X1289</f>
        <v>NF 51899 ELLEN</v>
      </c>
    </row>
    <row r="808" customFormat="false" ht="12.75" hidden="false" customHeight="true" outlineLevel="0" collapsed="false">
      <c r="A808" s="14" t="n">
        <f aca="false">Report!C1290</f>
        <v>46239</v>
      </c>
      <c r="B808" s="0" t="str">
        <f aca="false">Report!E1290</f>
        <v>VIA CERTA INDUSTRIA E COMERCIO DE SANEANTES LTDA</v>
      </c>
      <c r="C808" s="15" t="n">
        <f aca="false">Report!U1290</f>
        <v>306.48</v>
      </c>
      <c r="D808" s="0" t="str">
        <f aca="false">Report!X1290</f>
        <v>NF 42898 ELLEN</v>
      </c>
    </row>
    <row r="809" customFormat="false" ht="12.75" hidden="false" customHeight="true" outlineLevel="0" collapsed="false">
      <c r="A809" s="14" t="n">
        <f aca="false">Report!C1291</f>
        <v>46240</v>
      </c>
      <c r="B809" s="0" t="str">
        <f aca="false">Report!E1291</f>
        <v>ADICSO FABIAN GONZALEZ MONTILLA 70302186</v>
      </c>
      <c r="C809" s="15" t="n">
        <f aca="false">Report!U1291</f>
        <v>180</v>
      </c>
      <c r="D809" s="0" t="str">
        <f aca="false">Report!X1291</f>
        <v>NF 577 ELLEN</v>
      </c>
    </row>
    <row r="810" customFormat="false" ht="12.75" hidden="false" customHeight="true" outlineLevel="0" collapsed="false">
      <c r="A810" s="14" t="n">
        <f aca="false">Report!C1292</f>
        <v>46240</v>
      </c>
      <c r="B810" s="0" t="str">
        <f aca="false">Report!E1292</f>
        <v>ADRIANO FEITOSA OLIVEIRA LTDA</v>
      </c>
      <c r="C810" s="15" t="n">
        <f aca="false">Report!U1292</f>
        <v>733.78</v>
      </c>
      <c r="D810" s="0" t="str">
        <f aca="false">Report!X1292</f>
        <v>NF 351 ELLEN</v>
      </c>
    </row>
    <row r="811" customFormat="false" ht="12.75" hidden="false" customHeight="true" outlineLevel="0" collapsed="false">
      <c r="A811" s="14" t="n">
        <f aca="false">Report!C1293</f>
        <v>46240</v>
      </c>
      <c r="B811" s="0" t="str">
        <f aca="false">Report!E1293</f>
        <v>BRASIL NORTE BEBIDAS S/A</v>
      </c>
      <c r="C811" s="15" t="n">
        <f aca="false">Report!U1293</f>
        <v>1717.19</v>
      </c>
      <c r="D811" s="0" t="str">
        <f aca="false">Report!X1293</f>
        <v>NF 1949480 ELLEN</v>
      </c>
    </row>
    <row r="812" customFormat="false" ht="12.75" hidden="false" customHeight="true" outlineLevel="0" collapsed="false">
      <c r="A812" s="14" t="n">
        <f aca="false">Report!C1294</f>
        <v>46240</v>
      </c>
      <c r="B812" s="0" t="str">
        <f aca="false">Report!E1294</f>
        <v>BRASIL NORTE BEBIDAS S/A</v>
      </c>
      <c r="C812" s="15" t="n">
        <f aca="false">Report!U1294</f>
        <v>203.42</v>
      </c>
      <c r="D812" s="0" t="str">
        <f aca="false">Report!X1294</f>
        <v>NF 1215300 ELLEN</v>
      </c>
    </row>
    <row r="813" customFormat="false" ht="12.75" hidden="false" customHeight="true" outlineLevel="0" collapsed="false">
      <c r="A813" s="14" t="n">
        <f aca="false">Report!C1295</f>
        <v>46240</v>
      </c>
      <c r="B813" s="0" t="str">
        <f aca="false">Report!E1295</f>
        <v>CRBS S/A</v>
      </c>
      <c r="C813" s="15" t="n">
        <f aca="false">Report!U1295</f>
        <v>305.98</v>
      </c>
      <c r="D813" s="0" t="str">
        <f aca="false">Report!X1295</f>
        <v>NF 924535 ELLEN</v>
      </c>
    </row>
    <row r="814" customFormat="false" ht="12.75" hidden="false" customHeight="true" outlineLevel="0" collapsed="false">
      <c r="A814" s="14" t="n">
        <f aca="false">Report!C1296</f>
        <v>46240</v>
      </c>
      <c r="B814" s="0" t="str">
        <f aca="false">Report!E1296</f>
        <v>D DE J SANTOS LTDA</v>
      </c>
      <c r="C814" s="15" t="n">
        <f aca="false">Report!U1296</f>
        <v>1040</v>
      </c>
      <c r="D814" s="0" t="str">
        <f aca="false">Report!X1296</f>
        <v>NF 261 ELLEN</v>
      </c>
    </row>
    <row r="815" customFormat="false" ht="12.75" hidden="false" customHeight="true" outlineLevel="0" collapsed="false">
      <c r="A815" s="14" t="n">
        <f aca="false">Report!C1297</f>
        <v>46240</v>
      </c>
      <c r="B815" s="0" t="str">
        <f aca="false">Report!E1297</f>
        <v>DISTRIBUIDORA FARIAS LTDA.</v>
      </c>
      <c r="C815" s="15" t="n">
        <f aca="false">Report!U1297</f>
        <v>580.89</v>
      </c>
      <c r="D815" s="0" t="str">
        <f aca="false">Report!X1297</f>
        <v>NF 682520 ELLEN</v>
      </c>
    </row>
    <row r="816" customFormat="false" ht="12.75" hidden="false" customHeight="true" outlineLevel="0" collapsed="false">
      <c r="A816" s="14" t="n">
        <f aca="false">Report!C1298</f>
        <v>46240</v>
      </c>
      <c r="B816" s="0" t="str">
        <f aca="false">Report!E1298</f>
        <v>EMPRESA BRASILEIRA DE DISTRIBUICAO LTDA</v>
      </c>
      <c r="C816" s="15" t="n">
        <f aca="false">Report!U1298</f>
        <v>658.6</v>
      </c>
      <c r="D816" s="0" t="str">
        <f aca="false">Report!X1298</f>
        <v>NF 2299705 ELLEN</v>
      </c>
    </row>
    <row r="817" customFormat="false" ht="12.75" hidden="false" customHeight="true" outlineLevel="0" collapsed="false">
      <c r="A817" s="14" t="n">
        <f aca="false">Report!C1299</f>
        <v>46240</v>
      </c>
      <c r="B817" s="0" t="str">
        <f aca="false">Report!E1299</f>
        <v>EMPRESA BRASILEIRA DE DISTRIBUICAO LTDA</v>
      </c>
      <c r="C817" s="15" t="n">
        <f aca="false">Report!U1299</f>
        <v>377.46</v>
      </c>
      <c r="D817" s="0" t="str">
        <f aca="false">Report!X1299</f>
        <v>NF 2299703 ELLEN</v>
      </c>
    </row>
    <row r="818" customFormat="false" ht="12.75" hidden="false" customHeight="true" outlineLevel="0" collapsed="false">
      <c r="A818" s="14" t="n">
        <f aca="false">Report!C1300</f>
        <v>46240</v>
      </c>
      <c r="B818" s="0" t="str">
        <f aca="false">Report!E1300</f>
        <v>H. L. DO NASCIMENTO</v>
      </c>
      <c r="C818" s="15" t="n">
        <f aca="false">Report!U1300</f>
        <v>524.65</v>
      </c>
      <c r="D818" s="0" t="str">
        <f aca="false">Report!X1300</f>
        <v>NF 5889 ELLEN</v>
      </c>
    </row>
    <row r="819" customFormat="false" ht="12.75" hidden="false" customHeight="true" outlineLevel="0" collapsed="false">
      <c r="A819" s="14" t="n">
        <f aca="false">Report!C1301</f>
        <v>46240</v>
      </c>
      <c r="B819" s="0" t="str">
        <f aca="false">Report!E1301</f>
        <v>L. DOS SANTOS PIMENTEL LTDA</v>
      </c>
      <c r="C819" s="15" t="n">
        <f aca="false">Report!U1301</f>
        <v>136.5</v>
      </c>
      <c r="D819" s="0" t="str">
        <f aca="false">Report!X1301</f>
        <v>NF 306 COMPRAS-IOGURTE CASEIRO PG NO P 6/8/26 - ELLEN</v>
      </c>
    </row>
    <row r="820" customFormat="false" ht="12.75" hidden="false" customHeight="true" outlineLevel="0" collapsed="false">
      <c r="A820" s="14" t="n">
        <f aca="false">Report!C1302</f>
        <v>46240</v>
      </c>
      <c r="B820" s="0" t="str">
        <f aca="false">Report!E1302</f>
        <v>NEYLIANE S DE OLIVEIRA &amp; CIA LTDA</v>
      </c>
      <c r="C820" s="15" t="n">
        <f aca="false">Report!U1302</f>
        <v>300</v>
      </c>
      <c r="D820" s="0" t="str">
        <f aca="false">Report!X1302</f>
        <v>COMPRAS - 20L DE AÇAI - PG NO P 6/8/26-ELLEN</v>
      </c>
    </row>
    <row r="821" customFormat="false" ht="12.75" hidden="false" customHeight="true" outlineLevel="0" collapsed="false">
      <c r="A821" s="14" t="n">
        <f aca="false">Report!C1303</f>
        <v>46240</v>
      </c>
      <c r="B821" s="0" t="str">
        <f aca="false">Report!E1303</f>
        <v>OESA COMERCIO E REPRESENTACOES S/A</v>
      </c>
      <c r="C821" s="15" t="n">
        <f aca="false">Report!U1303</f>
        <v>682.63</v>
      </c>
      <c r="D821" s="0" t="str">
        <f aca="false">Report!X1303</f>
        <v>NF 426652 ELLEN</v>
      </c>
    </row>
    <row r="822" customFormat="false" ht="12.75" hidden="false" customHeight="true" outlineLevel="0" collapsed="false">
      <c r="A822" s="14" t="n">
        <f aca="false">Report!C1304</f>
        <v>46240</v>
      </c>
      <c r="B822" s="0" t="str">
        <f aca="false">Report!E1304</f>
        <v>PANIFICADORA E CONFEITARIA REAL MADRI LTDA</v>
      </c>
      <c r="C822" s="15" t="n">
        <f aca="false">Report!U1304</f>
        <v>357.1</v>
      </c>
      <c r="D822" s="0" t="str">
        <f aca="false">Report!X1304</f>
        <v>NF 740 ELLEN</v>
      </c>
    </row>
    <row r="823" customFormat="false" ht="12.75" hidden="false" customHeight="true" outlineLevel="0" collapsed="false">
      <c r="A823" s="14" t="n">
        <f aca="false">Report!C1305</f>
        <v>46240</v>
      </c>
      <c r="B823" s="0" t="str">
        <f aca="false">Report!E1305</f>
        <v>RISADINHA LTDA</v>
      </c>
      <c r="C823" s="15" t="n">
        <f aca="false">Report!U1305</f>
        <v>381</v>
      </c>
      <c r="D823" s="0" t="str">
        <f aca="false">Report!X1305</f>
        <v>NF 664184 ELLEN</v>
      </c>
    </row>
    <row r="824" customFormat="false" ht="12.75" hidden="false" customHeight="true" outlineLevel="0" collapsed="false">
      <c r="A824" s="14" t="n">
        <f aca="false">Report!C1306</f>
        <v>46240</v>
      </c>
      <c r="B824" s="0" t="str">
        <f aca="false">Report!E1306</f>
        <v>SABIA COMERCIO DE COSMETICOS LTDA</v>
      </c>
      <c r="C824" s="15" t="n">
        <f aca="false">Report!U1306</f>
        <v>306.18</v>
      </c>
      <c r="D824" s="0" t="str">
        <f aca="false">Report!X1306</f>
        <v>NF 253576 ELLEN</v>
      </c>
    </row>
    <row r="825" customFormat="false" ht="12.75" hidden="false" customHeight="true" outlineLevel="0" collapsed="false">
      <c r="A825" s="14" t="n">
        <f aca="false">Report!C1311</f>
        <v>46241</v>
      </c>
      <c r="B825" s="0" t="str">
        <f aca="false">Report!E1311</f>
        <v>BONNA VITTA INDUSTRIA E COMERCIO LTDA.</v>
      </c>
      <c r="C825" s="15" t="n">
        <f aca="false">Report!U1311</f>
        <v>740.52</v>
      </c>
      <c r="D825" s="0" t="str">
        <f aca="false">Report!X1311</f>
        <v>NF 1842 ELLEN</v>
      </c>
    </row>
    <row r="826" customFormat="false" ht="12.75" hidden="false" customHeight="true" outlineLevel="0" collapsed="false">
      <c r="A826" s="14" t="n">
        <f aca="false">Report!C1312</f>
        <v>46241</v>
      </c>
      <c r="B826" s="0" t="str">
        <f aca="false">Report!E1312</f>
        <v>COMERCIO DE FRIOS MANAUS LTDA</v>
      </c>
      <c r="C826" s="15" t="n">
        <f aca="false">Report!U1312</f>
        <v>1262.8</v>
      </c>
      <c r="D826" s="0" t="str">
        <f aca="false">Report!X1312</f>
        <v>NF 173885 ELLEN</v>
      </c>
    </row>
    <row r="827" customFormat="false" ht="12.75" hidden="false" customHeight="true" outlineLevel="0" collapsed="false">
      <c r="A827" s="14" t="n">
        <f aca="false">Report!C1313</f>
        <v>46241</v>
      </c>
      <c r="B827" s="0" t="str">
        <f aca="false">Report!E1313</f>
        <v>DISTRIBUIDORA FARIAS LTDA.</v>
      </c>
      <c r="C827" s="15" t="n">
        <f aca="false">Report!U1313</f>
        <v>509.25</v>
      </c>
      <c r="D827" s="0" t="str">
        <f aca="false">Report!X1313</f>
        <v>NF 681127 ELLEN</v>
      </c>
    </row>
    <row r="828" customFormat="false" ht="12.75" hidden="false" customHeight="true" outlineLevel="0" collapsed="false">
      <c r="A828" s="14" t="n">
        <f aca="false">Report!C1314</f>
        <v>46241</v>
      </c>
      <c r="B828" s="0" t="str">
        <f aca="false">Report!E1314</f>
        <v>DISTRIBUIDORA LOPES LTDA</v>
      </c>
      <c r="C828" s="15" t="n">
        <f aca="false">Report!U1314</f>
        <v>328.14</v>
      </c>
      <c r="D828" s="0" t="str">
        <f aca="false">Report!X1314</f>
        <v>NF 1702357 ELLEN</v>
      </c>
    </row>
    <row r="829" customFormat="false" ht="12.75" hidden="false" customHeight="true" outlineLevel="0" collapsed="false">
      <c r="A829" s="14" t="n">
        <f aca="false">Report!C1315</f>
        <v>46241</v>
      </c>
      <c r="B829" s="0" t="str">
        <f aca="false">Report!E1315</f>
        <v>FEIRA</v>
      </c>
      <c r="C829" s="15" t="n">
        <f aca="false">Report!U1315</f>
        <v>320</v>
      </c>
      <c r="D829" s="0" t="str">
        <f aca="false">Report!X1315</f>
        <v>FEIRA - TRANF P/ C6-BANK-RENATO (MAÇA/PERA) ELLEN</v>
      </c>
    </row>
    <row r="830" customFormat="false" ht="12.75" hidden="false" customHeight="true" outlineLevel="0" collapsed="false">
      <c r="A830" s="14" t="n">
        <f aca="false">Report!C1316</f>
        <v>46241</v>
      </c>
      <c r="B830" s="0" t="str">
        <f aca="false">Report!E1316</f>
        <v>MARTINS COM SERV DISTR SA</v>
      </c>
      <c r="C830" s="15" t="n">
        <f aca="false">Report!U1316</f>
        <v>278.28</v>
      </c>
      <c r="D830" s="0" t="str">
        <f aca="false">Report!X1316</f>
        <v>NF'S 1781169/1781170 ELLEN</v>
      </c>
    </row>
    <row r="831" customFormat="false" ht="12.75" hidden="false" customHeight="true" outlineLevel="0" collapsed="false">
      <c r="A831" s="14" t="n">
        <f aca="false">Report!C1317</f>
        <v>46241</v>
      </c>
      <c r="B831" s="0" t="str">
        <f aca="false">Report!E1317</f>
        <v>MIKITOS IND.COM.DE GEN. ALIM. DO AM. LTD</v>
      </c>
      <c r="C831" s="15" t="n">
        <f aca="false">Report!U1317</f>
        <v>690</v>
      </c>
      <c r="D831" s="0" t="str">
        <f aca="false">Report!X1317</f>
        <v>NF 294640 ELLEN</v>
      </c>
    </row>
    <row r="832" customFormat="false" ht="12.75" hidden="false" customHeight="true" outlineLevel="0" collapsed="false">
      <c r="A832" s="14" t="n">
        <f aca="false">Report!C1318</f>
        <v>46241</v>
      </c>
      <c r="B832" s="0" t="str">
        <f aca="false">Report!E1318</f>
        <v>NEYLIANE S DE OLIVEIRA &amp; CIA LTDA</v>
      </c>
      <c r="C832" s="15" t="n">
        <f aca="false">Report!U1318</f>
        <v>300</v>
      </c>
      <c r="D832" s="0" t="str">
        <f aca="false">Report!X1318</f>
        <v>COMPRAS - 1 FD FARINHA FEIRA - PG NO P 7/8/26 - ELLEN</v>
      </c>
    </row>
    <row r="833" customFormat="false" ht="12.75" hidden="false" customHeight="true" outlineLevel="0" collapsed="false">
      <c r="A833" s="14" t="n">
        <f aca="false">Report!C1319</f>
        <v>46241</v>
      </c>
      <c r="B833" s="0" t="str">
        <f aca="false">Report!E1319</f>
        <v>NEYLIANE S DE OLIVEIRA &amp; CIA LTDA</v>
      </c>
      <c r="C833" s="15" t="n">
        <f aca="false">Report!U1319</f>
        <v>175</v>
      </c>
      <c r="D833" s="0" t="str">
        <f aca="false">Report!X1319</f>
        <v>FEIRA - PACOVA/LIMAO-PIX P CNPJ 67.144.863/0001-03- ELLEN</v>
      </c>
    </row>
    <row r="834" customFormat="false" ht="12.75" hidden="false" customHeight="true" outlineLevel="0" collapsed="false">
      <c r="A834" s="14" t="n">
        <f aca="false">Report!C1320</f>
        <v>46241</v>
      </c>
      <c r="B834" s="0" t="str">
        <f aca="false">Report!E1320</f>
        <v>NEYLIANE S DE OLIVEIRA &amp; CIA LTDA</v>
      </c>
      <c r="C834" s="15" t="n">
        <f aca="false">Report!U1320</f>
        <v>1848.86</v>
      </c>
      <c r="D834" s="0" t="str">
        <f aca="false">Report!X1320</f>
        <v>FEIRA - TRANF P/ C6-BANK-RENATO- ELLEN</v>
      </c>
    </row>
    <row r="835" customFormat="false" ht="12.75" hidden="false" customHeight="true" outlineLevel="0" collapsed="false">
      <c r="A835" s="14" t="n">
        <f aca="false">Report!C1326</f>
        <v>46241</v>
      </c>
      <c r="B835" s="0" t="str">
        <f aca="false">Report!E1326</f>
        <v>SOUZA CRUZ LTDA.</v>
      </c>
      <c r="C835" s="15" t="n">
        <f aca="false">Report!U1326</f>
        <v>6221.08</v>
      </c>
      <c r="D835" s="0" t="str">
        <f aca="false">Report!X1326</f>
        <v>NF 568309 ELLEN</v>
      </c>
    </row>
    <row r="836" customFormat="false" ht="12.75" hidden="false" customHeight="true" outlineLevel="0" collapsed="false">
      <c r="A836" s="14" t="n">
        <f aca="false">Report!C1327</f>
        <v>46241</v>
      </c>
      <c r="B836" s="0" t="str">
        <f aca="false">Report!E1327</f>
        <v>T A DE MATTOS COMIM EIRELI</v>
      </c>
      <c r="C836" s="15" t="n">
        <f aca="false">Report!U1327</f>
        <v>228</v>
      </c>
      <c r="D836" s="0" t="str">
        <f aca="false">Report!X1327</f>
        <v>NF 10760 ELLEN</v>
      </c>
    </row>
    <row r="837" customFormat="false" ht="12.75" hidden="false" customHeight="true" outlineLevel="0" collapsed="false">
      <c r="A837" s="14" t="n">
        <f aca="false">Report!C1329</f>
        <v>46242</v>
      </c>
      <c r="B837" s="0" t="str">
        <f aca="false">Report!E1329</f>
        <v>ADRIANA DISTRIBUIDORA DE PRODUTOS ALIMEN</v>
      </c>
      <c r="C837" s="15" t="n">
        <f aca="false">Report!U1329</f>
        <v>1006.04</v>
      </c>
      <c r="D837" s="0" t="str">
        <f aca="false">Report!X1329</f>
        <v>NF 886799 ELLEN</v>
      </c>
    </row>
    <row r="838" customFormat="false" ht="12.75" hidden="false" customHeight="true" outlineLevel="0" collapsed="false">
      <c r="A838" s="14" t="n">
        <f aca="false">Report!C1330</f>
        <v>46242</v>
      </c>
      <c r="B838" s="0" t="str">
        <f aca="false">Report!E1330</f>
        <v>BRAGA TABACARIA EIRELI ME</v>
      </c>
      <c r="C838" s="15" t="n">
        <f aca="false">Report!U1330</f>
        <v>1563.41</v>
      </c>
      <c r="D838" s="0" t="str">
        <f aca="false">Report!X1330</f>
        <v>NF 19579 ELLEN</v>
      </c>
    </row>
    <row r="839" customFormat="false" ht="12.75" hidden="false" customHeight="true" outlineLevel="0" collapsed="false">
      <c r="A839" s="14" t="n">
        <f aca="false">Report!C1331</f>
        <v>46242</v>
      </c>
      <c r="B839" s="0" t="str">
        <f aca="false">Report!E1331</f>
        <v>H L M PADARIA E CONFEITARIA LTDA</v>
      </c>
      <c r="C839" s="15" t="n">
        <f aca="false">Report!U1331</f>
        <v>200</v>
      </c>
      <c r="D839" s="0" t="str">
        <f aca="false">Report!X1331</f>
        <v>NF 138 COMPRAS - BOLO PG NO P 8/8/26 ELLEN</v>
      </c>
    </row>
    <row r="840" customFormat="false" ht="12.75" hidden="false" customHeight="true" outlineLevel="0" collapsed="false">
      <c r="A840" s="14" t="n">
        <f aca="false">Report!C1332</f>
        <v>46242</v>
      </c>
      <c r="B840" s="0" t="str">
        <f aca="false">Report!E1332</f>
        <v>J G COMERCIO DE PRODUTOS ALIMENTICIOS LTDA</v>
      </c>
      <c r="C840" s="15" t="n">
        <f aca="false">Report!U1332</f>
        <v>439.5</v>
      </c>
      <c r="D840" s="0" t="str">
        <f aca="false">Report!X1332</f>
        <v>NF 395656 ELLEN</v>
      </c>
    </row>
    <row r="841" customFormat="false" ht="12.75" hidden="false" customHeight="true" outlineLevel="0" collapsed="false">
      <c r="A841" s="14" t="n">
        <f aca="false">Report!C1333</f>
        <v>46242</v>
      </c>
      <c r="B841" s="0" t="str">
        <f aca="false">Report!E1333</f>
        <v>MARE DISTRIBUIDORA DE BEBIDAS E DE PRODUTOS ALIMENTICIOS LTDA</v>
      </c>
      <c r="C841" s="15" t="n">
        <f aca="false">Report!U1333</f>
        <v>1821.1</v>
      </c>
      <c r="D841" s="0" t="str">
        <f aca="false">Report!X1333</f>
        <v>NF 1401844 ELLEN</v>
      </c>
    </row>
    <row r="842" customFormat="false" ht="12.75" hidden="false" customHeight="true" outlineLevel="0" collapsed="false">
      <c r="A842" s="14" t="n">
        <f aca="false">Report!C1337</f>
        <v>46242</v>
      </c>
      <c r="B842" s="0" t="str">
        <f aca="false">Report!E1337</f>
        <v>SILVA E SANTOS FRIGORIFICO LTDA</v>
      </c>
      <c r="C842" s="15" t="n">
        <f aca="false">Report!U1337</f>
        <v>3277.5</v>
      </c>
      <c r="D842" s="0" t="str">
        <f aca="false">Report!X1337</f>
        <v>NF 32186 ELLEN</v>
      </c>
    </row>
    <row r="843" customFormat="false" ht="12.75" hidden="false" customHeight="true" outlineLevel="0" collapsed="false">
      <c r="A843" s="14" t="n">
        <f aca="false">Report!C1344</f>
        <v>46244</v>
      </c>
      <c r="B843" s="0" t="str">
        <f aca="false">Report!E1344</f>
        <v>ADICSO FABIAN GONZALEZ MONTILLA 70302186</v>
      </c>
      <c r="C843" s="15" t="n">
        <f aca="false">Report!U1344</f>
        <v>420</v>
      </c>
      <c r="D843" s="0" t="str">
        <f aca="false">Report!X1344</f>
        <v>NF 579 ELLEN</v>
      </c>
    </row>
    <row r="844" customFormat="false" ht="12.75" hidden="false" customHeight="true" outlineLevel="0" collapsed="false">
      <c r="A844" s="14" t="n">
        <f aca="false">Report!C1346</f>
        <v>46244</v>
      </c>
      <c r="B844" s="0" t="str">
        <f aca="false">Report!E1346</f>
        <v>BRAGA TABACARIA EIRELI ME</v>
      </c>
      <c r="C844" s="15" t="n">
        <f aca="false">Report!U1346</f>
        <v>795.6</v>
      </c>
      <c r="D844" s="0" t="str">
        <f aca="false">Report!X1346</f>
        <v>RECIBO 55379- COMPRAS-CIGARROS/COPO DESC- ELLEN</v>
      </c>
    </row>
    <row r="845" customFormat="false" ht="12.75" hidden="false" customHeight="true" outlineLevel="0" collapsed="false">
      <c r="A845" s="14" t="n">
        <f aca="false">Report!C1349</f>
        <v>46244</v>
      </c>
      <c r="B845" s="0" t="str">
        <f aca="false">Report!E1349</f>
        <v>CB COMERCIO E DISTRIBUIDORA DE ALIMENTOS</v>
      </c>
      <c r="C845" s="15" t="n">
        <f aca="false">Report!U1349</f>
        <v>676.97</v>
      </c>
      <c r="D845" s="0" t="str">
        <f aca="false">Report!X1349</f>
        <v>NF 854967 ELLEN</v>
      </c>
    </row>
    <row r="846" customFormat="false" ht="12.75" hidden="false" customHeight="true" outlineLevel="0" collapsed="false">
      <c r="A846" s="14" t="n">
        <f aca="false">Report!C1351</f>
        <v>46244</v>
      </c>
      <c r="B846" s="0" t="str">
        <f aca="false">Report!E1351</f>
        <v>COMERCIO DE FRIOS MANAUS LTDA</v>
      </c>
      <c r="C846" s="15" t="n">
        <f aca="false">Report!U1351</f>
        <v>1349.7</v>
      </c>
      <c r="D846" s="0" t="str">
        <f aca="false">Report!X1351</f>
        <v>NF 174094 ELLEN</v>
      </c>
    </row>
    <row r="847" customFormat="false" ht="12.75" hidden="false" customHeight="true" outlineLevel="0" collapsed="false">
      <c r="A847" s="14" t="n">
        <f aca="false">Report!C1352</f>
        <v>46244</v>
      </c>
      <c r="B847" s="0" t="str">
        <f aca="false">Report!E1352</f>
        <v>CRBS S/A</v>
      </c>
      <c r="C847" s="15" t="n">
        <f aca="false">Report!U1352</f>
        <v>315.97</v>
      </c>
      <c r="D847" s="0" t="str">
        <f aca="false">Report!X1352</f>
        <v>NF 932576 ELLEN</v>
      </c>
    </row>
    <row r="848" customFormat="false" ht="12.75" hidden="false" customHeight="true" outlineLevel="0" collapsed="false">
      <c r="A848" s="14" t="n">
        <f aca="false">Report!C1353</f>
        <v>46244</v>
      </c>
      <c r="B848" s="0" t="str">
        <f aca="false">Report!E1353</f>
        <v>DUNORTE DISTRIBUIDORA DE PRODUTOS DE CONSUMO LTDA</v>
      </c>
      <c r="C848" s="15" t="n">
        <f aca="false">Report!U1353</f>
        <v>1315.48</v>
      </c>
      <c r="D848" s="0" t="str">
        <f aca="false">Report!X1353</f>
        <v>NF 3218196 ELLEN</v>
      </c>
    </row>
    <row r="849" customFormat="false" ht="12.75" hidden="false" customHeight="true" outlineLevel="0" collapsed="false">
      <c r="A849" s="14" t="n">
        <f aca="false">Report!C1354</f>
        <v>46244</v>
      </c>
      <c r="B849" s="0" t="str">
        <f aca="false">Report!E1354</f>
        <v>DUNORTE DISTRIBUIDORA DE PRODUTOS DE CONSUMO LTDA</v>
      </c>
      <c r="C849" s="15" t="n">
        <f aca="false">Report!U1354</f>
        <v>1387.05</v>
      </c>
      <c r="D849" s="0" t="str">
        <f aca="false">Report!X1354</f>
        <v>NF 3218198 ELLEN</v>
      </c>
    </row>
    <row r="850" customFormat="false" ht="12.75" hidden="false" customHeight="true" outlineLevel="0" collapsed="false">
      <c r="A850" s="14" t="n">
        <f aca="false">Report!C1355</f>
        <v>46244</v>
      </c>
      <c r="B850" s="0" t="str">
        <f aca="false">Report!E1355</f>
        <v>DUNORTE DISTRIBUIDORA DE PRODUTOS DE CONSUMO LTDA</v>
      </c>
      <c r="C850" s="15" t="n">
        <f aca="false">Report!U1355</f>
        <v>920.12</v>
      </c>
      <c r="D850" s="0" t="str">
        <f aca="false">Report!X1355</f>
        <v>NF 3218197 ELLEN</v>
      </c>
    </row>
    <row r="851" customFormat="false" ht="12.75" hidden="false" customHeight="true" outlineLevel="0" collapsed="false">
      <c r="A851" s="14" t="n">
        <f aca="false">Report!C1356</f>
        <v>46244</v>
      </c>
      <c r="B851" s="0" t="str">
        <f aca="false">Report!E1356</f>
        <v>E. D. SENA &amp; CIA LTDA</v>
      </c>
      <c r="C851" s="15" t="n">
        <f aca="false">Report!U1356</f>
        <v>531.18</v>
      </c>
      <c r="D851" s="0" t="str">
        <f aca="false">Report!X1356</f>
        <v>NF 9495 ELLEN</v>
      </c>
    </row>
    <row r="852" customFormat="false" ht="12.75" hidden="false" customHeight="true" outlineLevel="0" collapsed="false">
      <c r="A852" s="14" t="n">
        <f aca="false">Report!C1357</f>
        <v>46244</v>
      </c>
      <c r="B852" s="0" t="str">
        <f aca="false">Report!E1357</f>
        <v>FENNIX BRASIL DISTRIBUIDORA DE PRODUTOS</v>
      </c>
      <c r="C852" s="15" t="n">
        <f aca="false">Report!U1357</f>
        <v>416.64</v>
      </c>
      <c r="D852" s="0" t="str">
        <f aca="false">Report!X1357</f>
        <v>NF 315892 ELLEN</v>
      </c>
    </row>
    <row r="853" customFormat="false" ht="12.75" hidden="false" customHeight="true" outlineLevel="0" collapsed="false">
      <c r="A853" s="14" t="n">
        <f aca="false">Report!C1358</f>
        <v>46244</v>
      </c>
      <c r="B853" s="0" t="str">
        <f aca="false">Report!E1358</f>
        <v>J W N DOS SANTOS</v>
      </c>
      <c r="C853" s="15" t="n">
        <f aca="false">Report!U1358</f>
        <v>183</v>
      </c>
      <c r="D853" s="0" t="str">
        <f aca="false">Report!X1358</f>
        <v>NF 395 ELLEN</v>
      </c>
    </row>
    <row r="854" customFormat="false" ht="12.75" hidden="false" customHeight="true" outlineLevel="0" collapsed="false">
      <c r="A854" s="14" t="n">
        <f aca="false">Report!C1359</f>
        <v>46244</v>
      </c>
      <c r="B854" s="0" t="str">
        <f aca="false">Report!E1359</f>
        <v>M. J. M. DE S. ALMEIDA LTDA</v>
      </c>
      <c r="C854" s="15" t="n">
        <f aca="false">Report!U1359</f>
        <v>390</v>
      </c>
      <c r="D854" s="0" t="str">
        <f aca="false">Report!X1359</f>
        <v>NF 367 BISCOITOS BOM GOSTO - ELLEN</v>
      </c>
    </row>
    <row r="855" customFormat="false" ht="12.75" hidden="false" customHeight="true" outlineLevel="0" collapsed="false">
      <c r="A855" s="14" t="n">
        <f aca="false">Report!C1361</f>
        <v>46244</v>
      </c>
      <c r="B855" s="0" t="str">
        <f aca="false">Report!E1361</f>
        <v>NEYLIANE S DE OLIVEIRA &amp; CIA LTDA</v>
      </c>
      <c r="C855" s="15" t="n">
        <f aca="false">Report!U1361</f>
        <v>375</v>
      </c>
      <c r="D855" s="0" t="str">
        <f aca="false">Report!X1361</f>
        <v>COMPRAS-25L DE AÇAI- PG NO P 8/8/26-ELLEN</v>
      </c>
    </row>
    <row r="856" customFormat="false" ht="12.75" hidden="false" customHeight="true" outlineLevel="0" collapsed="false">
      <c r="A856" s="14" t="n">
        <f aca="false">Report!C1362</f>
        <v>46244</v>
      </c>
      <c r="B856" s="0" t="str">
        <f aca="false">Report!E1362</f>
        <v>NOVA FRIOS COMERCIO ATACADISTA DE LATICINIOS LTDA</v>
      </c>
      <c r="C856" s="15" t="n">
        <f aca="false">Report!U1362</f>
        <v>219.3</v>
      </c>
      <c r="D856" s="0" t="str">
        <f aca="false">Report!X1362</f>
        <v>NF 4280 ELLEN</v>
      </c>
    </row>
    <row r="857" customFormat="false" ht="12.75" hidden="false" customHeight="true" outlineLevel="0" collapsed="false">
      <c r="A857" s="14" t="n">
        <f aca="false">Report!C1363</f>
        <v>46244</v>
      </c>
      <c r="B857" s="0" t="str">
        <f aca="false">Report!E1363</f>
        <v>PANIFICADORA E CONFEITARIA REAL MADRI LTDA</v>
      </c>
      <c r="C857" s="15" t="n">
        <f aca="false">Report!U1363</f>
        <v>312.1</v>
      </c>
      <c r="D857" s="0" t="str">
        <f aca="false">Report!X1363</f>
        <v>NF 747 ELLEN</v>
      </c>
    </row>
    <row r="858" customFormat="false" ht="12.75" hidden="false" customHeight="true" outlineLevel="0" collapsed="false">
      <c r="A858" s="14" t="n">
        <f aca="false">Report!C1364</f>
        <v>46244</v>
      </c>
      <c r="B858" s="0" t="str">
        <f aca="false">Report!E1364</f>
        <v>PANIFICADORA E CONFEITARIA REAL MADRI LTDA</v>
      </c>
      <c r="C858" s="15" t="n">
        <f aca="false">Report!U1364</f>
        <v>374.7</v>
      </c>
      <c r="D858" s="0" t="str">
        <f aca="false">Report!X1364</f>
        <v>NF 752 ELLEN</v>
      </c>
    </row>
    <row r="859" customFormat="false" ht="12.75" hidden="false" customHeight="true" outlineLevel="0" collapsed="false">
      <c r="A859" s="14" t="n">
        <f aca="false">Report!C1366</f>
        <v>46244</v>
      </c>
      <c r="B859" s="0" t="str">
        <f aca="false">Report!E1366</f>
        <v>PRIME PET DISTRIBUIDORA LTDA</v>
      </c>
      <c r="C859" s="15" t="n">
        <f aca="false">Report!U1366</f>
        <v>446.28</v>
      </c>
      <c r="D859" s="0" t="str">
        <f aca="false">Report!X1366</f>
        <v>NF 11173 ELLEN</v>
      </c>
    </row>
    <row r="860" customFormat="false" ht="12.75" hidden="false" customHeight="true" outlineLevel="0" collapsed="false">
      <c r="A860" s="14" t="n">
        <f aca="false">Report!C1371</f>
        <v>46244</v>
      </c>
      <c r="B860" s="0" t="str">
        <f aca="false">Report!E1371</f>
        <v>TAPAJOS COM DE PERFUMARIA COSMETICOS E G</v>
      </c>
      <c r="C860" s="15" t="n">
        <f aca="false">Report!U1371</f>
        <v>823.61</v>
      </c>
      <c r="D860" s="0" t="str">
        <f aca="false">Report!X1371</f>
        <v>NF 580865 ELLEN</v>
      </c>
    </row>
    <row r="861" customFormat="false" ht="12.75" hidden="false" customHeight="true" outlineLevel="0" collapsed="false">
      <c r="A861" s="14" t="n">
        <f aca="false">Report!C1372</f>
        <v>46244</v>
      </c>
      <c r="B861" s="0" t="str">
        <f aca="false">Report!E1372</f>
        <v>TAPAJOS COM DE PERFUMARIA COSMETICOS E G</v>
      </c>
      <c r="C861" s="15" t="n">
        <f aca="false">Report!U1372</f>
        <v>1472.09</v>
      </c>
      <c r="D861" s="0" t="str">
        <f aca="false">Report!X1372</f>
        <v>NF 580864 ELLEN</v>
      </c>
    </row>
    <row r="862" customFormat="false" ht="12.75" hidden="false" customHeight="true" outlineLevel="0" collapsed="false">
      <c r="A862" s="14" t="n">
        <f aca="false">Report!C1373</f>
        <v>46244</v>
      </c>
      <c r="B862" s="0" t="str">
        <f aca="false">Report!E1373</f>
        <v>TAPAJOS COM DE PERFUMARIA COSMETICOS E G</v>
      </c>
      <c r="C862" s="15" t="n">
        <f aca="false">Report!U1373</f>
        <v>1413.72</v>
      </c>
      <c r="D862" s="0" t="str">
        <f aca="false">Report!X1373</f>
        <v>NF 580863 ELLEN</v>
      </c>
    </row>
    <row r="863" customFormat="false" ht="12.75" hidden="false" customHeight="true" outlineLevel="0" collapsed="false">
      <c r="A863" s="14" t="n">
        <f aca="false">Report!C1374</f>
        <v>46244</v>
      </c>
      <c r="B863" s="0" t="str">
        <f aca="false">Report!E1374</f>
        <v>TAPAJOS COM DE PERFUMARIA COSMETICOS E G</v>
      </c>
      <c r="C863" s="15" t="n">
        <f aca="false">Report!U1374</f>
        <v>1142.36</v>
      </c>
      <c r="D863" s="0" t="str">
        <f aca="false">Report!X1374</f>
        <v>NF 580861 ELLEN</v>
      </c>
    </row>
    <row r="864" customFormat="false" ht="12.75" hidden="false" customHeight="true" outlineLevel="0" collapsed="false">
      <c r="A864" s="14" t="n">
        <f aca="false">Report!C1375</f>
        <v>46245</v>
      </c>
      <c r="B864" s="0" t="str">
        <f aca="false">Report!E1375</f>
        <v>ATACADAO S.A.</v>
      </c>
      <c r="C864" s="15" t="n">
        <f aca="false">Report!U1375</f>
        <v>639.52</v>
      </c>
      <c r="D864" s="0" t="str">
        <f aca="false">Report!X1375</f>
        <v>NF 1905832 ELLEN</v>
      </c>
    </row>
    <row r="865" customFormat="false" ht="12.75" hidden="false" customHeight="true" outlineLevel="0" collapsed="false">
      <c r="A865" s="14" t="n">
        <f aca="false">Report!C1376</f>
        <v>46245</v>
      </c>
      <c r="B865" s="0" t="str">
        <f aca="false">Report!E1376</f>
        <v>BONNA VITTA INDUSTRIA E COMERCIO LTDA.</v>
      </c>
      <c r="C865" s="15" t="n">
        <f aca="false">Report!U1376</f>
        <v>926.71</v>
      </c>
      <c r="D865" s="0" t="str">
        <f aca="false">Report!X1376</f>
        <v>NF 2078 ELLEN</v>
      </c>
    </row>
    <row r="866" customFormat="false" ht="12.75" hidden="false" customHeight="true" outlineLevel="0" collapsed="false">
      <c r="A866" s="14" t="n">
        <f aca="false">Report!C1377</f>
        <v>46245</v>
      </c>
      <c r="B866" s="0" t="str">
        <f aca="false">Report!E1377</f>
        <v>BRASIL NORTE BEBIDAS S/A</v>
      </c>
      <c r="C866" s="15" t="n">
        <f aca="false">Report!U1377</f>
        <v>868.27</v>
      </c>
      <c r="D866" s="0" t="str">
        <f aca="false">Report!X1377</f>
        <v>NF 1955856 ELLEN</v>
      </c>
    </row>
    <row r="867" customFormat="false" ht="12.75" hidden="false" customHeight="true" outlineLevel="0" collapsed="false">
      <c r="A867" s="14" t="n">
        <f aca="false">Report!C1378</f>
        <v>46245</v>
      </c>
      <c r="B867" s="0" t="str">
        <f aca="false">Report!E1378</f>
        <v>BRASIL NORTE BEBIDAS S/A</v>
      </c>
      <c r="C867" s="15" t="n">
        <f aca="false">Report!U1378</f>
        <v>659.74</v>
      </c>
      <c r="D867" s="0" t="str">
        <f aca="false">Report!X1378</f>
        <v>NF 1221623 ELLEN</v>
      </c>
    </row>
    <row r="868" customFormat="false" ht="12.75" hidden="false" customHeight="true" outlineLevel="0" collapsed="false">
      <c r="A868" s="14" t="n">
        <f aca="false">Report!C1379</f>
        <v>46245</v>
      </c>
      <c r="B868" s="0" t="str">
        <f aca="false">Report!E1379</f>
        <v>FEIRA</v>
      </c>
      <c r="C868" s="15" t="n">
        <f aca="false">Report!U1379</f>
        <v>550</v>
      </c>
      <c r="D868" s="0" t="str">
        <f aca="false">Report!X1379</f>
        <v>FEIRA - PG P/ C6-BANK/RENATO (UVA/KIWI) SOMAR C NF 2600-ELLEN</v>
      </c>
    </row>
    <row r="869" customFormat="false" ht="12.75" hidden="false" customHeight="true" outlineLevel="0" collapsed="false">
      <c r="A869" s="14" t="n">
        <f aca="false">Report!C1380</f>
        <v>46245</v>
      </c>
      <c r="B869" s="0" t="str">
        <f aca="false">Report!E1380</f>
        <v>FRUTAL INDUSTRIA E COMERCIO LTDA</v>
      </c>
      <c r="C869" s="15" t="n">
        <f aca="false">Report!U1380</f>
        <v>362.06</v>
      </c>
      <c r="D869" s="0" t="str">
        <f aca="false">Report!X1380</f>
        <v>NF 227803 ELLEN</v>
      </c>
    </row>
    <row r="870" customFormat="false" ht="12.75" hidden="false" customHeight="true" outlineLevel="0" collapsed="false">
      <c r="A870" s="14" t="n">
        <f aca="false">Report!C1381</f>
        <v>46245</v>
      </c>
      <c r="B870" s="0" t="str">
        <f aca="false">Report!E1381</f>
        <v>JAB COMERCIO DE PRODUTOS ALIMENTICIOS LT</v>
      </c>
      <c r="C870" s="15" t="n">
        <f aca="false">Report!U1381</f>
        <v>166</v>
      </c>
      <c r="D870" s="0" t="str">
        <f aca="false">Report!X1381</f>
        <v>NF 3674 ELLEN</v>
      </c>
    </row>
    <row r="871" customFormat="false" ht="12.75" hidden="false" customHeight="true" outlineLevel="0" collapsed="false">
      <c r="A871" s="14" t="n">
        <f aca="false">Report!C1382</f>
        <v>46245</v>
      </c>
      <c r="B871" s="0" t="str">
        <f aca="false">Report!E1382</f>
        <v>MARCLEY MACHADO CHAVES</v>
      </c>
      <c r="C871" s="15" t="n">
        <f aca="false">Report!U1382</f>
        <v>1009.92</v>
      </c>
      <c r="D871" s="0" t="str">
        <f aca="false">Report!X1382</f>
        <v>NF 3551 ELLEN</v>
      </c>
    </row>
    <row r="872" customFormat="false" ht="12.75" hidden="false" customHeight="true" outlineLevel="0" collapsed="false">
      <c r="A872" s="14" t="n">
        <f aca="false">Report!C1384</f>
        <v>46245</v>
      </c>
      <c r="B872" s="0" t="str">
        <f aca="false">Report!E1384</f>
        <v>NEYLIANE S DE OLIVEIRA &amp; CIA LTDA</v>
      </c>
      <c r="C872" s="15" t="n">
        <f aca="false">Report!U1384</f>
        <v>175</v>
      </c>
      <c r="D872" s="0" t="str">
        <f aca="false">Report!X1384</f>
        <v>COMPRAS-PACOVA/LIMAO-PIX CNPJ 67144863/0001-03-ELLEN</v>
      </c>
    </row>
    <row r="873" customFormat="false" ht="12.75" hidden="false" customHeight="true" outlineLevel="0" collapsed="false">
      <c r="A873" s="14" t="n">
        <f aca="false">Report!C1385</f>
        <v>46245</v>
      </c>
      <c r="B873" s="0" t="str">
        <f aca="false">Report!E1385</f>
        <v>NEYLIANE S DE OLIVEIRA &amp; CIA LTDA</v>
      </c>
      <c r="C873" s="15" t="n">
        <f aca="false">Report!U1385</f>
        <v>1838.25</v>
      </c>
      <c r="D873" s="0" t="str">
        <f aca="false">Report!X1385</f>
        <v>FEIRA - PG P/ C6-BANK/RENATO - ELLEN</v>
      </c>
    </row>
    <row r="874" customFormat="false" ht="12.75" hidden="false" customHeight="true" outlineLevel="0" collapsed="false">
      <c r="A874" s="14" t="n">
        <f aca="false">Report!C1386</f>
        <v>46245</v>
      </c>
      <c r="B874" s="0" t="str">
        <f aca="false">Report!E1386</f>
        <v>PRIME PET DISTRIBUIDORA LTDA</v>
      </c>
      <c r="C874" s="15" t="n">
        <f aca="false">Report!U1386</f>
        <v>1361.81</v>
      </c>
      <c r="D874" s="0" t="str">
        <f aca="false">Report!X1386</f>
        <v>NF 10860 ELLEN</v>
      </c>
    </row>
    <row r="875" customFormat="false" ht="12.75" hidden="false" customHeight="true" outlineLevel="0" collapsed="false">
      <c r="A875" s="14" t="n">
        <f aca="false">Report!C1388</f>
        <v>46245</v>
      </c>
      <c r="B875" s="0" t="str">
        <f aca="false">Report!E1388</f>
        <v>RV TECNOLOGIA E SISTEMAS S.A</v>
      </c>
      <c r="C875" s="15" t="n">
        <f aca="false">Report!U1388</f>
        <v>640</v>
      </c>
      <c r="D875" s="0" t="str">
        <f aca="false">Report!X1388</f>
        <v>RECARGA DE CELULAR MO2 - KEILA</v>
      </c>
    </row>
    <row r="876" customFormat="false" ht="12.75" hidden="false" customHeight="true" outlineLevel="0" collapsed="false">
      <c r="A876" s="14" t="n">
        <f aca="false">Report!C1391</f>
        <v>46245</v>
      </c>
      <c r="B876" s="0" t="str">
        <f aca="false">Report!E1391</f>
        <v>SEM FORNECEDOR</v>
      </c>
      <c r="C876" s="15" t="n">
        <f aca="false">Report!U1391</f>
        <v>72</v>
      </c>
      <c r="D876" s="0" t="str">
        <f aca="false">Report!X1391</f>
        <v>recibo - 4 cxs brigadeiros caseiro/jose - Ellen</v>
      </c>
    </row>
    <row r="877" customFormat="false" ht="12.75" hidden="false" customHeight="true" outlineLevel="0" collapsed="false">
      <c r="A877" s="14" t="n">
        <f aca="false">Report!C1392</f>
        <v>46245</v>
      </c>
      <c r="B877" s="0" t="str">
        <f aca="false">Report!E1392</f>
        <v>SEM FORNECEDOR</v>
      </c>
      <c r="C877" s="15" t="n">
        <f aca="false">Report!U1392</f>
        <v>200</v>
      </c>
      <c r="D877" s="0" t="str">
        <f aca="false">Report!X1392</f>
        <v>recibo - trufas / genio - Ellen</v>
      </c>
    </row>
    <row r="878" customFormat="false" ht="12.75" hidden="false" customHeight="true" outlineLevel="0" collapsed="false">
      <c r="A878" s="14" t="n">
        <f aca="false">Report!C1395</f>
        <v>46246</v>
      </c>
      <c r="B878" s="0" t="str">
        <f aca="false">Report!E1395</f>
        <v>BONNA VITTA INDUSTRIA E COMERCIO LTDA.</v>
      </c>
      <c r="C878" s="15" t="n">
        <f aca="false">Report!U1395</f>
        <v>109.51</v>
      </c>
      <c r="D878" s="0" t="str">
        <f aca="false">Report!X1395</f>
        <v>NF 1625 ELLEN</v>
      </c>
    </row>
    <row r="879" customFormat="false" ht="12.75" hidden="false" customHeight="true" outlineLevel="0" collapsed="false">
      <c r="A879" s="14" t="n">
        <f aca="false">Report!C1396</f>
        <v>46246</v>
      </c>
      <c r="B879" s="0" t="str">
        <f aca="false">Report!E1396</f>
        <v>BRF S A</v>
      </c>
      <c r="C879" s="15" t="n">
        <f aca="false">Report!U1396</f>
        <v>395.62</v>
      </c>
      <c r="D879" s="0" t="str">
        <f aca="false">Report!X1396</f>
        <v>NF 1611346 ELLEN</v>
      </c>
    </row>
    <row r="880" customFormat="false" ht="12.75" hidden="false" customHeight="true" outlineLevel="0" collapsed="false">
      <c r="A880" s="14" t="n">
        <f aca="false">Report!C1397</f>
        <v>46246</v>
      </c>
      <c r="B880" s="0" t="str">
        <f aca="false">Report!E1397</f>
        <v>BRF S A</v>
      </c>
      <c r="C880" s="15" t="n">
        <f aca="false">Report!U1397</f>
        <v>1190.19</v>
      </c>
      <c r="D880" s="0" t="str">
        <f aca="false">Report!X1397</f>
        <v>NF 1614426 ELLEN</v>
      </c>
    </row>
    <row r="881" customFormat="false" ht="12.75" hidden="false" customHeight="true" outlineLevel="0" collapsed="false">
      <c r="A881" s="14" t="n">
        <f aca="false">Report!C1398</f>
        <v>46246</v>
      </c>
      <c r="B881" s="0" t="str">
        <f aca="false">Report!E1398</f>
        <v>DISTRIBUIDORA LOPES LTDA</v>
      </c>
      <c r="C881" s="15" t="n">
        <f aca="false">Report!U1398</f>
        <v>1207.28</v>
      </c>
      <c r="D881" s="0" t="str">
        <f aca="false">Report!X1398</f>
        <v>NF 1692730 ELLEN</v>
      </c>
    </row>
    <row r="882" customFormat="false" ht="12.75" hidden="false" customHeight="true" outlineLevel="0" collapsed="false">
      <c r="A882" s="14" t="n">
        <f aca="false">Report!C1399</f>
        <v>46246</v>
      </c>
      <c r="B882" s="0" t="str">
        <f aca="false">Report!E1399</f>
        <v>DISTRIBUIDORA LOPES LTDA</v>
      </c>
      <c r="C882" s="15" t="n">
        <f aca="false">Report!U1399</f>
        <v>1188</v>
      </c>
      <c r="D882" s="0" t="str">
        <f aca="false">Report!X1399</f>
        <v>NF 1697796 ELLEN</v>
      </c>
    </row>
    <row r="883" customFormat="false" ht="12.75" hidden="false" customHeight="true" outlineLevel="0" collapsed="false">
      <c r="A883" s="14" t="n">
        <f aca="false">Report!C1400</f>
        <v>46246</v>
      </c>
      <c r="B883" s="0" t="str">
        <f aca="false">Report!E1400</f>
        <v>DURAES DISTRIBUIDORA DE ESTIVAS LTDA</v>
      </c>
      <c r="C883" s="15" t="n">
        <f aca="false">Report!U1400</f>
        <v>607.58</v>
      </c>
      <c r="D883" s="0" t="str">
        <f aca="false">Report!X1400</f>
        <v>NF 650221 ELLEN</v>
      </c>
    </row>
    <row r="884" customFormat="false" ht="12.75" hidden="false" customHeight="true" outlineLevel="0" collapsed="false">
      <c r="A884" s="14" t="n">
        <f aca="false">Report!C1401</f>
        <v>46246</v>
      </c>
      <c r="B884" s="0" t="str">
        <f aca="false">Report!E1401</f>
        <v>FUNNY PET DISTRIBUIDORA DE ALIMENTOS PAR</v>
      </c>
      <c r="C884" s="15" t="n">
        <f aca="false">Report!U1401</f>
        <v>1501.36</v>
      </c>
      <c r="D884" s="0" t="str">
        <f aca="false">Report!X1401</f>
        <v>NF 21189 ELLEN</v>
      </c>
    </row>
    <row r="885" customFormat="false" ht="12.75" hidden="false" customHeight="true" outlineLevel="0" collapsed="false">
      <c r="A885" s="14" t="n">
        <f aca="false">Report!C1402</f>
        <v>46246</v>
      </c>
      <c r="B885" s="0" t="str">
        <f aca="false">Report!E1402</f>
        <v>H L M PADARIA E CONFEITARIA LTDA</v>
      </c>
      <c r="C885" s="15" t="n">
        <f aca="false">Report!U1402</f>
        <v>140</v>
      </c>
      <c r="D885" s="0" t="str">
        <f aca="false">Report!X1402</f>
        <v>NF 153 COMPRAS-BOLO PG NO P 12/8/26 ELLEN</v>
      </c>
    </row>
    <row r="886" customFormat="false" ht="12.75" hidden="false" customHeight="true" outlineLevel="0" collapsed="false">
      <c r="A886" s="14" t="n">
        <f aca="false">Report!C1404</f>
        <v>46246</v>
      </c>
      <c r="B886" s="0" t="str">
        <f aca="false">Report!E1404</f>
        <v>J G COMERCIO DE PRODUTOS ALIMENTICIOS LTDA</v>
      </c>
      <c r="C886" s="15" t="n">
        <f aca="false">Report!U1404</f>
        <v>1164.4</v>
      </c>
      <c r="D886" s="0" t="str">
        <f aca="false">Report!X1404</f>
        <v>NF 393890 ELLEN</v>
      </c>
    </row>
    <row r="887" customFormat="false" ht="12.75" hidden="false" customHeight="true" outlineLevel="0" collapsed="false">
      <c r="A887" s="14" t="n">
        <f aca="false">Report!C1405</f>
        <v>46246</v>
      </c>
      <c r="B887" s="0" t="str">
        <f aca="false">Report!E1405</f>
        <v>NORTELAC DISTRIBUIDORA DE FRIOS LTDA</v>
      </c>
      <c r="C887" s="15" t="n">
        <f aca="false">Report!U1405</f>
        <v>460</v>
      </c>
      <c r="D887" s="0" t="str">
        <f aca="false">Report!X1405</f>
        <v>NF 45441 ELLEN</v>
      </c>
    </row>
    <row r="888" customFormat="false" ht="12.75" hidden="false" customHeight="true" outlineLevel="0" collapsed="false">
      <c r="A888" s="14" t="n">
        <f aca="false">Report!C1406</f>
        <v>46246</v>
      </c>
      <c r="B888" s="0" t="str">
        <f aca="false">Report!E1406</f>
        <v>OPPORTUNITY ALIMENTOS PARA ANIMAIS LTDA</v>
      </c>
      <c r="C888" s="15" t="n">
        <f aca="false">Report!U1406</f>
        <v>591.06</v>
      </c>
      <c r="D888" s="0" t="str">
        <f aca="false">Report!X1406</f>
        <v>NF 34738 ELLEN</v>
      </c>
    </row>
    <row r="889" customFormat="false" ht="12.75" hidden="false" customHeight="true" outlineLevel="0" collapsed="false">
      <c r="A889" s="14" t="n">
        <f aca="false">Report!C1407</f>
        <v>46246</v>
      </c>
      <c r="B889" s="0" t="str">
        <f aca="false">Report!E1407</f>
        <v>P. A. P. CAVALCANTE LTDA</v>
      </c>
      <c r="C889" s="15" t="n">
        <f aca="false">Report!U1407</f>
        <v>370.49</v>
      </c>
      <c r="D889" s="0" t="str">
        <f aca="false">Report!X1407</f>
        <v>NF 394 COMPRAS-LEITE DOBON/POMAROLA - ELLEN</v>
      </c>
    </row>
    <row r="890" customFormat="false" ht="12.75" hidden="false" customHeight="true" outlineLevel="0" collapsed="false">
      <c r="A890" s="14" t="n">
        <f aca="false">Report!C1408</f>
        <v>46246</v>
      </c>
      <c r="B890" s="0" t="str">
        <f aca="false">Report!E1408</f>
        <v>P. A. P. CAVALCANTE LTDA</v>
      </c>
      <c r="C890" s="15" t="n">
        <f aca="false">Report!U1408</f>
        <v>346</v>
      </c>
      <c r="D890" s="0" t="str">
        <f aca="false">Report!X1408</f>
        <v>NF 399 COMPRAS-SKARLOF/FLOCAO - ELLEN</v>
      </c>
    </row>
    <row r="891" customFormat="false" ht="12.75" hidden="false" customHeight="true" outlineLevel="0" collapsed="false">
      <c r="A891" s="14" t="n">
        <f aca="false">Report!C1409</f>
        <v>46246</v>
      </c>
      <c r="B891" s="0" t="str">
        <f aca="false">Report!E1409</f>
        <v>P. A. P. CAVALCANTE LTDA</v>
      </c>
      <c r="C891" s="15" t="n">
        <f aca="false">Report!U1409</f>
        <v>710</v>
      </c>
      <c r="D891" s="0" t="str">
        <f aca="false">Report!X1409</f>
        <v>RECIBO - COMPRAS - ITAIPAVA - ELLEN</v>
      </c>
    </row>
    <row r="892" customFormat="false" ht="12.75" hidden="false" customHeight="true" outlineLevel="0" collapsed="false">
      <c r="A892" s="14" t="n">
        <f aca="false">Report!C1410</f>
        <v>46246</v>
      </c>
      <c r="B892" s="0" t="str">
        <f aca="false">Report!E1410</f>
        <v>SB COMERCIO LTDA</v>
      </c>
      <c r="C892" s="15" t="n">
        <f aca="false">Report!U1410</f>
        <v>1504.05</v>
      </c>
      <c r="D892" s="0" t="str">
        <f aca="false">Report!X1410</f>
        <v>NF 1962669 ELLEN</v>
      </c>
    </row>
    <row r="893" customFormat="false" ht="12.75" hidden="false" customHeight="true" outlineLevel="0" collapsed="false">
      <c r="A893" s="14" t="n">
        <f aca="false">Report!C1414</f>
        <v>46246</v>
      </c>
      <c r="B893" s="0" t="str">
        <f aca="false">Report!E1414</f>
        <v>TOYA INDUSTRIA E COMERCIO LTDA.</v>
      </c>
      <c r="C893" s="15" t="n">
        <f aca="false">Report!U1414</f>
        <v>894.16</v>
      </c>
      <c r="D893" s="0" t="str">
        <f aca="false">Report!X1414</f>
        <v>NF 256582 ELLEN</v>
      </c>
    </row>
    <row r="894" customFormat="false" ht="12.75" hidden="false" customHeight="true" outlineLevel="0" collapsed="false">
      <c r="A894" s="14" t="n">
        <f aca="false">Report!C1415</f>
        <v>46247</v>
      </c>
      <c r="B894" s="0" t="str">
        <f aca="false">Report!E1415</f>
        <v>ADRIANO FEITOSA OLIVEIRA LTDA</v>
      </c>
      <c r="C894" s="15" t="n">
        <f aca="false">Report!U1415</f>
        <v>899.5</v>
      </c>
      <c r="D894" s="0" t="str">
        <f aca="false">Report!X1415</f>
        <v>NF 355 ELLEN</v>
      </c>
    </row>
    <row r="895" customFormat="false" ht="12.75" hidden="false" customHeight="true" outlineLevel="0" collapsed="false">
      <c r="A895" s="14" t="n">
        <f aca="false">Report!C1417</f>
        <v>46247</v>
      </c>
      <c r="B895" s="0" t="str">
        <f aca="false">Report!E1417</f>
        <v>DA FRUTA DISTRIBUIDORA LTDA</v>
      </c>
      <c r="C895" s="15" t="n">
        <f aca="false">Report!U1417</f>
        <v>830.88</v>
      </c>
      <c r="D895" s="0" t="str">
        <f aca="false">Report!X1417</f>
        <v>NF 197070 ELLEN</v>
      </c>
    </row>
    <row r="896" customFormat="false" ht="12.75" hidden="false" customHeight="true" outlineLevel="0" collapsed="false">
      <c r="A896" s="14" t="n">
        <f aca="false">Report!C1418</f>
        <v>46247</v>
      </c>
      <c r="B896" s="0" t="str">
        <f aca="false">Report!E1418</f>
        <v>DISTRIBUIDORA FARIAS LTDA.</v>
      </c>
      <c r="C896" s="15" t="n">
        <f aca="false">Report!U1418</f>
        <v>580.9</v>
      </c>
      <c r="D896" s="0" t="str">
        <f aca="false">Report!X1418</f>
        <v>NF 682520 ELLEN</v>
      </c>
    </row>
    <row r="897" customFormat="false" ht="12.75" hidden="false" customHeight="true" outlineLevel="0" collapsed="false">
      <c r="A897" s="14" t="n">
        <f aca="false">Report!C1419</f>
        <v>46247</v>
      </c>
      <c r="B897" s="0" t="str">
        <f aca="false">Report!E1419</f>
        <v>DURAES DISTRIBUIDORA DE ESTIVAS LTDA</v>
      </c>
      <c r="C897" s="15" t="n">
        <f aca="false">Report!U1419</f>
        <v>727.23</v>
      </c>
      <c r="D897" s="0" t="str">
        <f aca="false">Report!X1419</f>
        <v>NF 651350 ELLEN</v>
      </c>
    </row>
    <row r="898" customFormat="false" ht="12.75" hidden="false" customHeight="true" outlineLevel="0" collapsed="false">
      <c r="A898" s="14" t="n">
        <f aca="false">Report!C1422</f>
        <v>46247</v>
      </c>
      <c r="B898" s="0" t="str">
        <f aca="false">Report!E1422</f>
        <v>H L M PADARIA E CONFEITARIA LTDA</v>
      </c>
      <c r="C898" s="15" t="n">
        <f aca="false">Report!U1422</f>
        <v>120</v>
      </c>
      <c r="D898" s="0" t="str">
        <f aca="false">Report!X1422</f>
        <v>NF 158 COMPRAS-BOLO PG NO P 13/8/26 ELLEN</v>
      </c>
    </row>
    <row r="899" customFormat="false" ht="12.75" hidden="false" customHeight="true" outlineLevel="0" collapsed="false">
      <c r="A899" s="14" t="n">
        <f aca="false">Report!C1423</f>
        <v>46247</v>
      </c>
      <c r="B899" s="0" t="str">
        <f aca="false">Report!E1423</f>
        <v>J G COMERCIO DE PRODUTOS ALIMENTICIOS LTDA</v>
      </c>
      <c r="C899" s="15" t="n">
        <f aca="false">Report!U1423</f>
        <v>628.2</v>
      </c>
      <c r="D899" s="0" t="str">
        <f aca="false">Report!X1423</f>
        <v>NF 396443 ELLEN</v>
      </c>
    </row>
    <row r="900" customFormat="false" ht="12.75" hidden="false" customHeight="true" outlineLevel="0" collapsed="false">
      <c r="A900" s="14" t="n">
        <f aca="false">Report!C1425</f>
        <v>46247</v>
      </c>
      <c r="B900" s="0" t="str">
        <f aca="false">Report!E1425</f>
        <v>MAXFRI DISTRIUIDORA LTDA</v>
      </c>
      <c r="C900" s="15" t="n">
        <f aca="false">Report!U1425</f>
        <v>4131.7</v>
      </c>
      <c r="D900" s="0" t="str">
        <f aca="false">Report!X1425</f>
        <v>NF 14956 ELLEN</v>
      </c>
    </row>
    <row r="901" customFormat="false" ht="12.75" hidden="false" customHeight="true" outlineLevel="0" collapsed="false">
      <c r="A901" s="14" t="n">
        <f aca="false">Report!C1426</f>
        <v>46247</v>
      </c>
      <c r="B901" s="0" t="str">
        <f aca="false">Report!E1426</f>
        <v>NEYLIANE S DE OLIVEIRA &amp; CIA LTDA</v>
      </c>
      <c r="C901" s="15" t="n">
        <f aca="false">Report!U1426</f>
        <v>1900</v>
      </c>
      <c r="D901" s="0" t="str">
        <f aca="false">Report!X1426</f>
        <v>COMPRAS - FARINHA - 3 IRMÃOS - ELLEN</v>
      </c>
    </row>
    <row r="902" customFormat="false" ht="12.75" hidden="false" customHeight="true" outlineLevel="0" collapsed="false">
      <c r="A902" s="14" t="n">
        <f aca="false">Report!C1427</f>
        <v>46247</v>
      </c>
      <c r="B902" s="0" t="str">
        <f aca="false">Report!E1427</f>
        <v>OCIDENTAL COMERCIO DE FRIOS LTDA</v>
      </c>
      <c r="C902" s="15" t="n">
        <f aca="false">Report!U1427</f>
        <v>459.25</v>
      </c>
      <c r="D902" s="0" t="str">
        <f aca="false">Report!X1427</f>
        <v>NF 1253268 ELLEN</v>
      </c>
    </row>
    <row r="903" customFormat="false" ht="12.75" hidden="false" customHeight="true" outlineLevel="0" collapsed="false">
      <c r="A903" s="14" t="n">
        <f aca="false">Report!C1428</f>
        <v>46247</v>
      </c>
      <c r="B903" s="0" t="str">
        <f aca="false">Report!E1428</f>
        <v>REAL BEBIDAS DA AMAZONIA LTDA</v>
      </c>
      <c r="C903" s="15" t="n">
        <f aca="false">Report!U1428</f>
        <v>485</v>
      </c>
      <c r="D903" s="0" t="str">
        <f aca="false">Report!X1428</f>
        <v>NF 616330 ELLEN</v>
      </c>
    </row>
    <row r="904" customFormat="false" ht="12.75" hidden="false" customHeight="true" outlineLevel="0" collapsed="false">
      <c r="A904" s="14" t="n">
        <f aca="false">Report!C1429</f>
        <v>46247</v>
      </c>
      <c r="B904" s="0" t="str">
        <f aca="false">Report!E1429</f>
        <v>RISADINHA LTDA</v>
      </c>
      <c r="C904" s="15" t="n">
        <f aca="false">Report!U1429</f>
        <v>381</v>
      </c>
      <c r="D904" s="0" t="str">
        <f aca="false">Report!X1429</f>
        <v>NF 664184 ELLEN</v>
      </c>
    </row>
    <row r="905" customFormat="false" ht="12.75" hidden="false" customHeight="true" outlineLevel="0" collapsed="false">
      <c r="A905" s="14" t="n">
        <f aca="false">Report!C1431</f>
        <v>46247</v>
      </c>
      <c r="B905" s="0" t="str">
        <f aca="false">Report!E1431</f>
        <v>SAO JOSE COMERCIO DE LATICINIOS E FRIOS</v>
      </c>
      <c r="C905" s="15" t="n">
        <f aca="false">Report!U1431</f>
        <v>589.5</v>
      </c>
      <c r="D905" s="0" t="str">
        <f aca="false">Report!X1431</f>
        <v>NF 3785 ELLEN</v>
      </c>
    </row>
    <row r="906" customFormat="false" ht="12.75" hidden="false" customHeight="true" outlineLevel="0" collapsed="false">
      <c r="A906" s="14" t="n">
        <f aca="false">Report!C1438</f>
        <v>46248</v>
      </c>
      <c r="B906" s="0" t="str">
        <f aca="false">Report!E1438</f>
        <v>ADICSO FABIAN GONZALEZ MONTILLA 70302186</v>
      </c>
      <c r="C906" s="15" t="n">
        <f aca="false">Report!U1438</f>
        <v>240</v>
      </c>
      <c r="D906" s="0" t="str">
        <f aca="false">Report!X1438</f>
        <v>NF 598 ELLEN</v>
      </c>
    </row>
    <row r="907" customFormat="false" ht="12.75" hidden="false" customHeight="true" outlineLevel="0" collapsed="false">
      <c r="A907" s="14" t="n">
        <f aca="false">Report!C1439</f>
        <v>46248</v>
      </c>
      <c r="B907" s="0" t="str">
        <f aca="false">Report!E1439</f>
        <v>BF COMERCIO DE ALIMENTOS REPRESENTACAO L</v>
      </c>
      <c r="C907" s="15" t="n">
        <f aca="false">Report!U1439</f>
        <v>581.65</v>
      </c>
      <c r="D907" s="0" t="str">
        <f aca="false">Report!X1439</f>
        <v>NF 21130 ELLEN</v>
      </c>
    </row>
    <row r="908" customFormat="false" ht="12.75" hidden="false" customHeight="true" outlineLevel="0" collapsed="false">
      <c r="A908" s="14" t="n">
        <f aca="false">Report!C1440</f>
        <v>46248</v>
      </c>
      <c r="B908" s="0" t="str">
        <f aca="false">Report!E1440</f>
        <v>BONNA VITTA INDUSTRIA E COMERCIO LTDA.</v>
      </c>
      <c r="C908" s="15" t="n">
        <f aca="false">Report!U1440</f>
        <v>740.52</v>
      </c>
      <c r="D908" s="0" t="str">
        <f aca="false">Report!X1440</f>
        <v>NF 1842 ELLEN</v>
      </c>
    </row>
    <row r="909" customFormat="false" ht="12.75" hidden="false" customHeight="true" outlineLevel="0" collapsed="false">
      <c r="A909" s="14" t="n">
        <f aca="false">Report!C1441</f>
        <v>46248</v>
      </c>
      <c r="B909" s="0" t="str">
        <f aca="false">Report!E1441</f>
        <v>BROTHERS  INDUSTRIA DE ALIMENTOS LTDA</v>
      </c>
      <c r="C909" s="15" t="n">
        <f aca="false">Report!U1441</f>
        <v>497.91</v>
      </c>
      <c r="D909" s="0" t="str">
        <f aca="false">Report!X1441</f>
        <v>NF 1035731 ELLEN</v>
      </c>
    </row>
    <row r="910" customFormat="false" ht="12.75" hidden="false" customHeight="true" outlineLevel="0" collapsed="false">
      <c r="A910" s="14" t="n">
        <f aca="false">Report!C1442</f>
        <v>46248</v>
      </c>
      <c r="B910" s="0" t="str">
        <f aca="false">Report!E1442</f>
        <v>COMERCIO DE FRIOS MANAUS LTDA</v>
      </c>
      <c r="C910" s="15" t="n">
        <f aca="false">Report!U1442</f>
        <v>2347.2</v>
      </c>
      <c r="D910" s="0" t="str">
        <f aca="false">Report!X1442</f>
        <v>NF 174275 ELLEN</v>
      </c>
    </row>
    <row r="911" customFormat="false" ht="12.75" hidden="false" customHeight="true" outlineLevel="0" collapsed="false">
      <c r="A911" s="14" t="n">
        <f aca="false">Report!C1443</f>
        <v>46248</v>
      </c>
      <c r="B911" s="0" t="str">
        <f aca="false">Report!E1443</f>
        <v>DISTRIBUIDORA LOPES LTDA</v>
      </c>
      <c r="C911" s="15" t="n">
        <f aca="false">Report!U1443</f>
        <v>1111.12</v>
      </c>
      <c r="D911" s="0" t="str">
        <f aca="false">Report!X1443</f>
        <v>NF 1698151 ELLEN</v>
      </c>
    </row>
    <row r="912" customFormat="false" ht="12.75" hidden="false" customHeight="true" outlineLevel="0" collapsed="false">
      <c r="A912" s="14" t="n">
        <f aca="false">Report!C1444</f>
        <v>46248</v>
      </c>
      <c r="B912" s="0" t="str">
        <f aca="false">Report!E1444</f>
        <v>EDSON AGUIAR DE SOUZA</v>
      </c>
      <c r="C912" s="15" t="n">
        <f aca="false">Report!U1444</f>
        <v>120</v>
      </c>
      <c r="D912" s="0" t="str">
        <f aca="false">Report!X1444</f>
        <v>COMPRAS - CHEIRO-VERDE - ELLEN</v>
      </c>
    </row>
    <row r="913" customFormat="false" ht="12.75" hidden="false" customHeight="true" outlineLevel="0" collapsed="false">
      <c r="A913" s="14" t="n">
        <f aca="false">Report!C1445</f>
        <v>46248</v>
      </c>
      <c r="B913" s="0" t="str">
        <f aca="false">Report!E1445</f>
        <v>EDSON AGUIAR DE SOUZA</v>
      </c>
      <c r="C913" s="15" t="n">
        <f aca="false">Report!U1445</f>
        <v>144.5</v>
      </c>
      <c r="D913" s="0" t="str">
        <f aca="false">Report!X1445</f>
        <v>COMPRAS - CHEIRO-VERDE - ELLEN</v>
      </c>
    </row>
    <row r="914" customFormat="false" ht="12.75" hidden="false" customHeight="true" outlineLevel="0" collapsed="false">
      <c r="A914" s="14" t="n">
        <f aca="false">Report!C1446</f>
        <v>46248</v>
      </c>
      <c r="B914" s="0" t="str">
        <f aca="false">Report!E1446</f>
        <v>EDSON AGUIAR DE SOUZA</v>
      </c>
      <c r="C914" s="15" t="n">
        <f aca="false">Report!U1446</f>
        <v>184</v>
      </c>
      <c r="D914" s="0" t="str">
        <f aca="false">Report!X1446</f>
        <v>COMPRAS - CHEIRO-VERDE - ELLEN</v>
      </c>
    </row>
    <row r="915" customFormat="false" ht="12.75" hidden="false" customHeight="true" outlineLevel="0" collapsed="false">
      <c r="A915" s="14" t="n">
        <f aca="false">Report!C1447</f>
        <v>46248</v>
      </c>
      <c r="B915" s="0" t="str">
        <f aca="false">Report!E1447</f>
        <v>EDSON AGUIAR DE SOUZA</v>
      </c>
      <c r="C915" s="15" t="n">
        <f aca="false">Report!U1447</f>
        <v>216.5</v>
      </c>
      <c r="D915" s="0" t="str">
        <f aca="false">Report!X1447</f>
        <v>COMPRAS - CHEIRO-VERDE - ELLEN</v>
      </c>
    </row>
    <row r="916" customFormat="false" ht="12.75" hidden="false" customHeight="true" outlineLevel="0" collapsed="false">
      <c r="A916" s="14" t="n">
        <f aca="false">Report!C1448</f>
        <v>46248</v>
      </c>
      <c r="B916" s="0" t="str">
        <f aca="false">Report!E1448</f>
        <v>EDSON AGUIAR DE SOUZA</v>
      </c>
      <c r="C916" s="15" t="n">
        <f aca="false">Report!U1448</f>
        <v>136</v>
      </c>
      <c r="D916" s="0" t="str">
        <f aca="false">Report!X1448</f>
        <v>COMPRAS - CHEIRO-VERDE - ELLEN</v>
      </c>
    </row>
    <row r="917" customFormat="false" ht="12.75" hidden="false" customHeight="true" outlineLevel="0" collapsed="false">
      <c r="A917" s="14" t="n">
        <f aca="false">Report!C1449</f>
        <v>46248</v>
      </c>
      <c r="B917" s="0" t="str">
        <f aca="false">Report!E1449</f>
        <v>EDSON AGUIAR DE SOUZA</v>
      </c>
      <c r="C917" s="15" t="n">
        <f aca="false">Report!U1449</f>
        <v>117</v>
      </c>
      <c r="D917" s="0" t="str">
        <f aca="false">Report!X1449</f>
        <v>COMPRAS - CHEIRO-VERDE - ELLEN</v>
      </c>
    </row>
    <row r="918" customFormat="false" ht="12.75" hidden="false" customHeight="true" outlineLevel="0" collapsed="false">
      <c r="A918" s="14" t="n">
        <f aca="false">Report!C1450</f>
        <v>46248</v>
      </c>
      <c r="B918" s="0" t="str">
        <f aca="false">Report!E1450</f>
        <v>EDSON AGUIAR DE SOUZA</v>
      </c>
      <c r="C918" s="15" t="n">
        <f aca="false">Report!U1450</f>
        <v>79</v>
      </c>
      <c r="D918" s="0" t="str">
        <f aca="false">Report!X1450</f>
        <v>COMPRAS - CHEIRO-VERDE - ELLEN</v>
      </c>
    </row>
    <row r="919" customFormat="false" ht="12.75" hidden="false" customHeight="true" outlineLevel="0" collapsed="false">
      <c r="A919" s="14" t="n">
        <f aca="false">Report!C1451</f>
        <v>46248</v>
      </c>
      <c r="B919" s="0" t="str">
        <f aca="false">Report!E1451</f>
        <v>FALCAO INDUSTRIA DE ALIMENTOS LTDA</v>
      </c>
      <c r="C919" s="15" t="n">
        <f aca="false">Report!U1451</f>
        <v>1023.98</v>
      </c>
      <c r="D919" s="0" t="str">
        <f aca="false">Report!X1451</f>
        <v>NF 32318 ELLEN</v>
      </c>
    </row>
    <row r="920" customFormat="false" ht="12.75" hidden="false" customHeight="true" outlineLevel="0" collapsed="false">
      <c r="A920" s="14" t="n">
        <f aca="false">Report!C1452</f>
        <v>46248</v>
      </c>
      <c r="B920" s="0" t="str">
        <f aca="false">Report!E1452</f>
        <v>FEIRA</v>
      </c>
      <c r="C920" s="15" t="n">
        <f aca="false">Report!U1452</f>
        <v>399</v>
      </c>
      <c r="D920" s="0" t="str">
        <f aca="false">Report!X1452</f>
        <v>FEIRA - PIX P C6-BANK-RENATO (ALHO/UVA) ELLEN</v>
      </c>
    </row>
    <row r="921" customFormat="false" ht="12.75" hidden="false" customHeight="true" outlineLevel="0" collapsed="false">
      <c r="A921" s="14" t="n">
        <f aca="false">Report!C1453</f>
        <v>46248</v>
      </c>
      <c r="B921" s="0" t="str">
        <f aca="false">Report!E1453</f>
        <v>KAROLINY RODRIGUES SOUZA VENANCIO 915783</v>
      </c>
      <c r="C921" s="15" t="n">
        <f aca="false">Report!U1453</f>
        <v>250</v>
      </c>
      <c r="D921" s="0" t="str">
        <f aca="false">Report!X1453</f>
        <v>NF 1978 ELLEN</v>
      </c>
    </row>
    <row r="922" customFormat="false" ht="12.75" hidden="false" customHeight="true" outlineLevel="0" collapsed="false">
      <c r="A922" s="14" t="n">
        <f aca="false">Report!C1454</f>
        <v>46248</v>
      </c>
      <c r="B922" s="0" t="str">
        <f aca="false">Report!E1454</f>
        <v>MIKITOS IND.COM.DE GEN. ALIM. DO AM. LTD</v>
      </c>
      <c r="C922" s="15" t="n">
        <f aca="false">Report!U1454</f>
        <v>690</v>
      </c>
      <c r="D922" s="0" t="str">
        <f aca="false">Report!X1454</f>
        <v>NF 294640 ELLEN</v>
      </c>
    </row>
    <row r="923" customFormat="false" ht="12.75" hidden="false" customHeight="true" outlineLevel="0" collapsed="false">
      <c r="A923" s="14" t="n">
        <f aca="false">Report!C1455</f>
        <v>46248</v>
      </c>
      <c r="B923" s="0" t="str">
        <f aca="false">Report!E1455</f>
        <v>NEYLIANE S DE OLIVEIRA &amp; CIA LTDA</v>
      </c>
      <c r="C923" s="15" t="n">
        <f aca="false">Report!U1455</f>
        <v>225</v>
      </c>
      <c r="D923" s="0" t="str">
        <f aca="false">Report!X1455</f>
        <v>COMPRAS - 15L DE AÇAI - PG NO P 13/8/26 ELLEN</v>
      </c>
    </row>
    <row r="924" customFormat="false" ht="12.75" hidden="false" customHeight="true" outlineLevel="0" collapsed="false">
      <c r="A924" s="14" t="n">
        <f aca="false">Report!C1456</f>
        <v>46248</v>
      </c>
      <c r="B924" s="0" t="str">
        <f aca="false">Report!E1456</f>
        <v>NEYLIANE S DE OLIVEIRA &amp; CIA LTDA</v>
      </c>
      <c r="C924" s="15" t="n">
        <f aca="false">Report!U1456</f>
        <v>115</v>
      </c>
      <c r="D924" s="0" t="str">
        <f aca="false">Report!X1456</f>
        <v>COMPRAS-PACOVA-PIX P CNPJ 67.144.863/0001-03 - ELLEN</v>
      </c>
    </row>
    <row r="925" customFormat="false" ht="12.75" hidden="false" customHeight="true" outlineLevel="0" collapsed="false">
      <c r="A925" s="14" t="n">
        <f aca="false">Report!C1457</f>
        <v>46248</v>
      </c>
      <c r="B925" s="0" t="str">
        <f aca="false">Report!E1457</f>
        <v>NEYLIANE S DE OLIVEIRA &amp; CIA LTDA</v>
      </c>
      <c r="C925" s="15" t="n">
        <f aca="false">Report!U1457</f>
        <v>1899.7</v>
      </c>
      <c r="D925" s="0" t="str">
        <f aca="false">Report!X1457</f>
        <v>FEIRA - PIX P C6-BANK-RENATO - ELLEN</v>
      </c>
    </row>
    <row r="926" customFormat="false" ht="12.75" hidden="false" customHeight="true" outlineLevel="0" collapsed="false">
      <c r="A926" s="14" t="n">
        <f aca="false">Report!C1459</f>
        <v>46248</v>
      </c>
      <c r="B926" s="0" t="str">
        <f aca="false">Report!E1459</f>
        <v>ORIENTE COM. ATACADISTA E REPRES. LTDA</v>
      </c>
      <c r="C926" s="15" t="n">
        <f aca="false">Report!U1459</f>
        <v>2975.9</v>
      </c>
      <c r="D926" s="0" t="str">
        <f aca="false">Report!X1459</f>
        <v>NF 3040 ELLEN</v>
      </c>
    </row>
    <row r="927" customFormat="false" ht="12.75" hidden="false" customHeight="true" outlineLevel="0" collapsed="false">
      <c r="A927" s="14" t="n">
        <f aca="false">Report!C1460</f>
        <v>46248</v>
      </c>
      <c r="B927" s="0" t="str">
        <f aca="false">Report!E1460</f>
        <v>RV TECNOLOGIA E SISTEMAS S.A</v>
      </c>
      <c r="C927" s="15" t="n">
        <f aca="false">Report!U1460</f>
        <v>585</v>
      </c>
      <c r="D927" s="0" t="str">
        <f aca="false">Report!X1460</f>
        <v>RECARGA CELULAR CHIP  MO2 - KEILA</v>
      </c>
    </row>
    <row r="928" customFormat="false" ht="12.75" hidden="false" customHeight="true" outlineLevel="0" collapsed="false">
      <c r="A928" s="14" t="n">
        <f aca="false">Report!C1461</f>
        <v>46248</v>
      </c>
      <c r="B928" s="0" t="str">
        <f aca="false">Report!E1461</f>
        <v>SB COMERCIO LTDA</v>
      </c>
      <c r="C928" s="15" t="n">
        <f aca="false">Report!U1461</f>
        <v>945.12</v>
      </c>
      <c r="D928" s="0" t="str">
        <f aca="false">Report!X1461</f>
        <v>NF 1964289 ELLEN</v>
      </c>
    </row>
    <row r="929" customFormat="false" ht="12.75" hidden="false" customHeight="true" outlineLevel="0" collapsed="false">
      <c r="A929" s="14" t="n">
        <f aca="false">Report!C1465</f>
        <v>46248</v>
      </c>
      <c r="B929" s="0" t="str">
        <f aca="false">Report!E1465</f>
        <v>SOUZA CRUZ LTDA.</v>
      </c>
      <c r="C929" s="15" t="n">
        <f aca="false">Report!U1465</f>
        <v>6409.6</v>
      </c>
      <c r="D929" s="0" t="str">
        <f aca="false">Report!X1465</f>
        <v>NF 568309 ELLEN</v>
      </c>
    </row>
    <row r="930" customFormat="false" ht="12.75" hidden="false" customHeight="true" outlineLevel="0" collapsed="false">
      <c r="A930" s="14" t="n">
        <f aca="false">Report!C1466</f>
        <v>46248</v>
      </c>
      <c r="B930" s="0" t="str">
        <f aca="false">Report!E1466</f>
        <v>SOUZA CRUZ LTDA.</v>
      </c>
      <c r="C930" s="15" t="n">
        <f aca="false">Report!U1466</f>
        <v>4470.03</v>
      </c>
      <c r="D930" s="0" t="str">
        <f aca="false">Report!X1466</f>
        <v>NF 569335 ELLEN</v>
      </c>
    </row>
    <row r="931" customFormat="false" ht="12.75" hidden="false" customHeight="true" outlineLevel="0" collapsed="false">
      <c r="A931" s="14" t="n">
        <f aca="false">Report!C1467</f>
        <v>46249</v>
      </c>
      <c r="B931" s="0" t="str">
        <f aca="false">Report!E1467</f>
        <v>ADRIANA DISTRIBUIDORA DE PRODUTOS ALIMEN</v>
      </c>
      <c r="C931" s="15" t="n">
        <f aca="false">Report!U1467</f>
        <v>1006.03</v>
      </c>
      <c r="D931" s="0" t="str">
        <f aca="false">Report!X1467</f>
        <v>NF 886799 ELLEN</v>
      </c>
    </row>
    <row r="932" customFormat="false" ht="12.75" hidden="false" customHeight="true" outlineLevel="0" collapsed="false">
      <c r="A932" s="14" t="n">
        <f aca="false">Report!C1468</f>
        <v>46249</v>
      </c>
      <c r="B932" s="0" t="str">
        <f aca="false">Report!E1468</f>
        <v>BRAGA TABACARIA EIRELI ME</v>
      </c>
      <c r="C932" s="15" t="n">
        <f aca="false">Report!U1468</f>
        <v>1563.41</v>
      </c>
      <c r="D932" s="0" t="str">
        <f aca="false">Report!X1468</f>
        <v>NF 19579 ELLEN</v>
      </c>
    </row>
    <row r="933" customFormat="false" ht="12.75" hidden="false" customHeight="true" outlineLevel="0" collapsed="false">
      <c r="A933" s="14" t="n">
        <f aca="false">Report!C1469</f>
        <v>46249</v>
      </c>
      <c r="B933" s="0" t="str">
        <f aca="false">Report!E1469</f>
        <v>BRAGA TABACARIA EIRELI ME</v>
      </c>
      <c r="C933" s="15" t="n">
        <f aca="false">Report!U1469</f>
        <v>718.8</v>
      </c>
      <c r="D933" s="0" t="str">
        <f aca="false">Report!X1469</f>
        <v>PAG COMPRAS NO DIA 15/08 RENATO P MO2 - KEILA</v>
      </c>
    </row>
    <row r="934" customFormat="false" ht="12.75" hidden="false" customHeight="true" outlineLevel="0" collapsed="false">
      <c r="A934" s="14" t="n">
        <f aca="false">Report!C1470</f>
        <v>46249</v>
      </c>
      <c r="B934" s="0" t="str">
        <f aca="false">Report!E1470</f>
        <v>BRASIL NORTE BEBIDAS S/A</v>
      </c>
      <c r="C934" s="15" t="n">
        <f aca="false">Report!U1470</f>
        <v>2636.73</v>
      </c>
      <c r="D934" s="0" t="str">
        <f aca="false">Report!X1470</f>
        <v>NF 1964129 ELLEN</v>
      </c>
    </row>
    <row r="935" customFormat="false" ht="12.75" hidden="false" customHeight="true" outlineLevel="0" collapsed="false">
      <c r="A935" s="14" t="n">
        <f aca="false">Report!C1471</f>
        <v>46249</v>
      </c>
      <c r="B935" s="0" t="str">
        <f aca="false">Report!E1471</f>
        <v>BRASIL NORTE BEBIDAS S/A</v>
      </c>
      <c r="C935" s="15" t="n">
        <f aca="false">Report!U1471</f>
        <v>45.18</v>
      </c>
      <c r="D935" s="0" t="str">
        <f aca="false">Report!X1471</f>
        <v>NF 1964130 ELLEN</v>
      </c>
    </row>
    <row r="936" customFormat="false" ht="12.75" hidden="false" customHeight="true" outlineLevel="0" collapsed="false">
      <c r="A936" s="14" t="n">
        <f aca="false">Report!C1472</f>
        <v>46249</v>
      </c>
      <c r="B936" s="0" t="str">
        <f aca="false">Report!E1472</f>
        <v>BRASIL NORTE BEBIDAS S/A</v>
      </c>
      <c r="C936" s="15" t="n">
        <f aca="false">Report!U1472</f>
        <v>327.46</v>
      </c>
      <c r="D936" s="0" t="str">
        <f aca="false">Report!X1472</f>
        <v>NF 1228756 ELLEN</v>
      </c>
    </row>
    <row r="937" customFormat="false" ht="12.75" hidden="false" customHeight="true" outlineLevel="0" collapsed="false">
      <c r="A937" s="14" t="n">
        <f aca="false">Report!C1473</f>
        <v>46249</v>
      </c>
      <c r="B937" s="0" t="str">
        <f aca="false">Report!E1473</f>
        <v>BRASIL NORTE BEBIDAS S/A</v>
      </c>
      <c r="C937" s="15" t="n">
        <f aca="false">Report!U1473</f>
        <v>190.71</v>
      </c>
      <c r="D937" s="0" t="str">
        <f aca="false">Report!X1473</f>
        <v>NF 1228757 ELLEN</v>
      </c>
    </row>
    <row r="938" customFormat="false" ht="12.75" hidden="false" customHeight="true" outlineLevel="0" collapsed="false">
      <c r="A938" s="14" t="n">
        <f aca="false">Report!C1474</f>
        <v>46249</v>
      </c>
      <c r="B938" s="0" t="str">
        <f aca="false">Report!E1474</f>
        <v>BRASIL NORTE BEBIDAS S/A</v>
      </c>
      <c r="C938" s="15" t="n">
        <f aca="false">Report!U1474</f>
        <v>538.46</v>
      </c>
      <c r="D938" s="0" t="str">
        <f aca="false">Report!X1474</f>
        <v>NF 1964124 NOTA C/ BONIFICAÇÃO/DESCONTO - ELLEN</v>
      </c>
    </row>
    <row r="939" customFormat="false" ht="12.75" hidden="false" customHeight="true" outlineLevel="0" collapsed="false">
      <c r="A939" s="14" t="n">
        <f aca="false">Report!C1475</f>
        <v>46249</v>
      </c>
      <c r="B939" s="0" t="str">
        <f aca="false">Report!E1475</f>
        <v>FE COMERCIO DE MATERIAIS DE CONSTRUCAO</v>
      </c>
      <c r="C939" s="15" t="n">
        <f aca="false">Report!U1475</f>
        <v>819.53</v>
      </c>
      <c r="D939" s="0" t="str">
        <f aca="false">Report!X1475</f>
        <v>NF 4467 ELLEN</v>
      </c>
    </row>
    <row r="940" customFormat="false" ht="12.75" hidden="false" customHeight="true" outlineLevel="0" collapsed="false">
      <c r="A940" s="14" t="n">
        <f aca="false">Report!C1476</f>
        <v>46249</v>
      </c>
      <c r="B940" s="0" t="str">
        <f aca="false">Report!E1476</f>
        <v>H L M PADARIA E CONFEITARIA LTDA</v>
      </c>
      <c r="C940" s="15" t="n">
        <f aca="false">Report!U1476</f>
        <v>200</v>
      </c>
      <c r="D940" s="0" t="str">
        <f aca="false">Report!X1476</f>
        <v>NF 174 COMPRAS-BOLO PG NO P 15/8/26-ELLEN</v>
      </c>
    </row>
    <row r="941" customFormat="false" ht="12.75" hidden="false" customHeight="true" outlineLevel="0" collapsed="false">
      <c r="A941" s="14" t="n">
        <f aca="false">Report!C1477</f>
        <v>46249</v>
      </c>
      <c r="B941" s="0" t="str">
        <f aca="false">Report!E1477</f>
        <v>MAXFRI DISTRIUIDORA LTDA</v>
      </c>
      <c r="C941" s="15" t="n">
        <f aca="false">Report!U1477</f>
        <v>4599.9</v>
      </c>
      <c r="D941" s="0" t="str">
        <f aca="false">Report!X1477</f>
        <v>NF 14993 ELLEN</v>
      </c>
    </row>
    <row r="942" customFormat="false" ht="12.75" hidden="false" customHeight="true" outlineLevel="0" collapsed="false">
      <c r="A942" s="14" t="n">
        <f aca="false">Report!C1478</f>
        <v>46249</v>
      </c>
      <c r="B942" s="0" t="str">
        <f aca="false">Report!E1478</f>
        <v>NEYLIANE S DE OLIVEIRA &amp; CIA LTDA</v>
      </c>
      <c r="C942" s="15" t="n">
        <f aca="false">Report!U1478</f>
        <v>270</v>
      </c>
      <c r="D942" s="0" t="str">
        <f aca="false">Report!X1478</f>
        <v>COMPRAS - 18L DE ACAI - PG NO P 15/8/26 - ELLEN</v>
      </c>
    </row>
    <row r="943" customFormat="false" ht="12.75" hidden="false" customHeight="true" outlineLevel="0" collapsed="false">
      <c r="A943" s="14" t="n">
        <f aca="false">Report!C1484</f>
        <v>46249</v>
      </c>
      <c r="B943" s="0" t="str">
        <f aca="false">Report!E1484</f>
        <v>SILVA E SANTOS FRIGORIFICO LTDA</v>
      </c>
      <c r="C943" s="15" t="n">
        <f aca="false">Report!U1484</f>
        <v>2918.55</v>
      </c>
      <c r="D943" s="0" t="str">
        <f aca="false">Report!X1484</f>
        <v>NF 32337 ELLEN</v>
      </c>
    </row>
    <row r="944" customFormat="false" ht="12.75" hidden="false" customHeight="true" outlineLevel="0" collapsed="false">
      <c r="A944" s="14" t="n">
        <f aca="false">Report!C1489</f>
        <v>46251</v>
      </c>
      <c r="B944" s="0" t="str">
        <f aca="false">Report!E1489</f>
        <v>BRASIL NORTE BEBIDAS S/A</v>
      </c>
      <c r="C944" s="15" t="n">
        <f aca="false">Report!U1489</f>
        <v>114.61</v>
      </c>
      <c r="D944" s="0" t="str">
        <f aca="false">Report!X1489</f>
        <v>NF 1210021 ELLEN</v>
      </c>
    </row>
    <row r="945" customFormat="false" ht="12.75" hidden="false" customHeight="true" outlineLevel="0" collapsed="false">
      <c r="A945" s="14" t="n">
        <f aca="false">Report!C1490</f>
        <v>46251</v>
      </c>
      <c r="B945" s="0" t="str">
        <f aca="false">Report!E1490</f>
        <v>CB COMERCIO E DISTRIBUIDORA DE ALIMENTOS</v>
      </c>
      <c r="C945" s="15" t="n">
        <f aca="false">Report!U1490</f>
        <v>676.98</v>
      </c>
      <c r="D945" s="0" t="str">
        <f aca="false">Report!X1490</f>
        <v>NF 854967 ELLEN</v>
      </c>
    </row>
    <row r="946" customFormat="false" ht="12.75" hidden="false" customHeight="true" outlineLevel="0" collapsed="false">
      <c r="A946" s="14" t="n">
        <f aca="false">Report!C1491</f>
        <v>46251</v>
      </c>
      <c r="B946" s="0" t="str">
        <f aca="false">Report!E1491</f>
        <v>CRBS S/A</v>
      </c>
      <c r="C946" s="15" t="n">
        <f aca="false">Report!U1491</f>
        <v>2448.61</v>
      </c>
      <c r="D946" s="0" t="str">
        <f aca="false">Report!X1491</f>
        <v>NF 940437 ELLEN</v>
      </c>
    </row>
    <row r="947" customFormat="false" ht="12.75" hidden="false" customHeight="true" outlineLevel="0" collapsed="false">
      <c r="A947" s="14" t="n">
        <f aca="false">Report!C1492</f>
        <v>46251</v>
      </c>
      <c r="B947" s="0" t="str">
        <f aca="false">Report!E1492</f>
        <v>CRBS S/A</v>
      </c>
      <c r="C947" s="15" t="n">
        <f aca="false">Report!U1492</f>
        <v>1125.94</v>
      </c>
      <c r="D947" s="0" t="str">
        <f aca="false">Report!X1492</f>
        <v>NF 948218 ELLEN</v>
      </c>
    </row>
    <row r="948" customFormat="false" ht="12.75" hidden="false" customHeight="true" outlineLevel="0" collapsed="false">
      <c r="A948" s="14" t="n">
        <f aca="false">Report!C1493</f>
        <v>46251</v>
      </c>
      <c r="B948" s="0" t="str">
        <f aca="false">Report!E1493</f>
        <v>FEMAR IND E COM DE BEBIDAS LTDA</v>
      </c>
      <c r="C948" s="15" t="n">
        <f aca="false">Report!U1493</f>
        <v>304.02</v>
      </c>
      <c r="D948" s="0" t="str">
        <f aca="false">Report!X1493</f>
        <v>NF 55971 ELLEN</v>
      </c>
    </row>
    <row r="949" customFormat="false" ht="12.75" hidden="false" customHeight="true" outlineLevel="0" collapsed="false">
      <c r="A949" s="14" t="n">
        <f aca="false">Report!C1494</f>
        <v>46251</v>
      </c>
      <c r="B949" s="0" t="str">
        <f aca="false">Report!E1494</f>
        <v>FENNIX BRASIL DISTRIBUIDORA DE PRODUTOS</v>
      </c>
      <c r="C949" s="15" t="n">
        <f aca="false">Report!U1494</f>
        <v>416.64</v>
      </c>
      <c r="D949" s="0" t="str">
        <f aca="false">Report!X1494</f>
        <v>NF 315892 ELLEN</v>
      </c>
    </row>
    <row r="950" customFormat="false" ht="12.75" hidden="false" customHeight="true" outlineLevel="0" collapsed="false">
      <c r="A950" s="14" t="n">
        <f aca="false">Report!C1495</f>
        <v>46251</v>
      </c>
      <c r="B950" s="0" t="str">
        <f aca="false">Report!E1495</f>
        <v>H L M PADARIA E CONFEITARIA LTDA</v>
      </c>
      <c r="C950" s="15" t="n">
        <f aca="false">Report!U1495</f>
        <v>140</v>
      </c>
      <c r="D950" s="0" t="str">
        <f aca="false">Report!X1495</f>
        <v>NF 181 COMPRAS-BOLO PG NO P 17/8/26 ELLEN</v>
      </c>
    </row>
    <row r="951" customFormat="false" ht="12.75" hidden="false" customHeight="true" outlineLevel="0" collapsed="false">
      <c r="A951" s="14" t="n">
        <f aca="false">Report!C1496</f>
        <v>46251</v>
      </c>
      <c r="B951" s="0" t="str">
        <f aca="false">Report!E1496</f>
        <v>J W N DOS SANTOS</v>
      </c>
      <c r="C951" s="15" t="n">
        <f aca="false">Report!U1496</f>
        <v>183</v>
      </c>
      <c r="D951" s="0" t="str">
        <f aca="false">Report!X1496</f>
        <v>NF 401 - ELLEN</v>
      </c>
    </row>
    <row r="952" customFormat="false" ht="12.75" hidden="false" customHeight="true" outlineLevel="0" collapsed="false">
      <c r="A952" s="14" t="n">
        <f aca="false">Report!C1497</f>
        <v>46251</v>
      </c>
      <c r="B952" s="0" t="str">
        <f aca="false">Report!E1497</f>
        <v>LIMA E BARANDA COMERCIO DE PRODUTOS REGI</v>
      </c>
      <c r="C952" s="15" t="n">
        <f aca="false">Report!U1497</f>
        <v>138</v>
      </c>
      <c r="D952" s="0" t="str">
        <f aca="false">Report!X1497</f>
        <v>NF 31847 ELLEN</v>
      </c>
    </row>
    <row r="953" customFormat="false" ht="12.75" hidden="false" customHeight="true" outlineLevel="0" collapsed="false">
      <c r="A953" s="14" t="n">
        <f aca="false">Report!C1498</f>
        <v>46251</v>
      </c>
      <c r="B953" s="0" t="str">
        <f aca="false">Report!E1498</f>
        <v>NEYLIANE S DE OLIVEIRA &amp; CIA LTDA</v>
      </c>
      <c r="C953" s="15" t="n">
        <f aca="false">Report!U1498</f>
        <v>225</v>
      </c>
      <c r="D953" s="0" t="str">
        <f aca="false">Report!X1498</f>
        <v>COMPRAS - 15L DE ACAI - PG NO P 17/8/26 - ELLEN</v>
      </c>
    </row>
    <row r="954" customFormat="false" ht="12.75" hidden="false" customHeight="true" outlineLevel="0" collapsed="false">
      <c r="A954" s="14" t="n">
        <f aca="false">Report!C1499</f>
        <v>46251</v>
      </c>
      <c r="B954" s="0" t="str">
        <f aca="false">Report!E1499</f>
        <v>NOVA FRIOS COMERCIO ATACADISTA DE LATICINIOS LTDA</v>
      </c>
      <c r="C954" s="15" t="n">
        <f aca="false">Report!U1499</f>
        <v>279.65</v>
      </c>
      <c r="D954" s="0" t="str">
        <f aca="false">Report!X1499</f>
        <v>NF 4340 ELLEN</v>
      </c>
    </row>
    <row r="955" customFormat="false" ht="12.75" hidden="false" customHeight="true" outlineLevel="0" collapsed="false">
      <c r="A955" s="14" t="n">
        <f aca="false">Report!C1500</f>
        <v>46251</v>
      </c>
      <c r="B955" s="0" t="str">
        <f aca="false">Report!E1500</f>
        <v>OCIDENTAL COMERCIO DE FRIOS LTDA</v>
      </c>
      <c r="C955" s="15" t="n">
        <f aca="false">Report!U1500</f>
        <v>364.47</v>
      </c>
      <c r="D955" s="0" t="str">
        <f aca="false">Report!X1500</f>
        <v>NF 1257279 ELLEN</v>
      </c>
    </row>
    <row r="956" customFormat="false" ht="12.75" hidden="false" customHeight="true" outlineLevel="0" collapsed="false">
      <c r="A956" s="14" t="n">
        <f aca="false">Report!C1501</f>
        <v>46251</v>
      </c>
      <c r="B956" s="0" t="str">
        <f aca="false">Report!E1501</f>
        <v>PANIFICADORA E CONFEITARIA REAL MADRI LTDA</v>
      </c>
      <c r="C956" s="15" t="n">
        <f aca="false">Report!U1501</f>
        <v>317.18</v>
      </c>
      <c r="D956" s="0" t="str">
        <f aca="false">Report!X1501</f>
        <v>NF 760 ELLEN</v>
      </c>
    </row>
    <row r="957" customFormat="false" ht="12.75" hidden="false" customHeight="true" outlineLevel="0" collapsed="false">
      <c r="A957" s="14" t="n">
        <f aca="false">Report!C1506</f>
        <v>46251</v>
      </c>
      <c r="B957" s="0" t="str">
        <f aca="false">Report!E1506</f>
        <v>T. M. L. DA SILVA LTDA</v>
      </c>
      <c r="C957" s="15" t="n">
        <f aca="false">Report!U1506</f>
        <v>284.93</v>
      </c>
      <c r="D957" s="0" t="str">
        <f aca="false">Report!X1506</f>
        <v>NF 15234 ELLEN</v>
      </c>
    </row>
    <row r="958" customFormat="false" ht="12.75" hidden="false" customHeight="true" outlineLevel="0" collapsed="false">
      <c r="A958" s="14" t="n">
        <f aca="false">Report!C1507</f>
        <v>46251</v>
      </c>
      <c r="B958" s="0" t="str">
        <f aca="false">Report!E1507</f>
        <v>TAPAJOS COM DE PERFUMARIA COSMETICOS E G</v>
      </c>
      <c r="C958" s="15" t="n">
        <f aca="false">Report!U1507</f>
        <v>1415.72</v>
      </c>
      <c r="D958" s="0" t="str">
        <f aca="false">Report!X1507</f>
        <v>NF 580863 ELLEN</v>
      </c>
    </row>
    <row r="959" customFormat="false" ht="12.75" hidden="false" customHeight="true" outlineLevel="0" collapsed="false">
      <c r="A959" s="14" t="n">
        <f aca="false">Report!C1508</f>
        <v>46251</v>
      </c>
      <c r="B959" s="0" t="str">
        <f aca="false">Report!E1508</f>
        <v>TAPAJOS COM DE PERFUMARIA COSMETICOS E G</v>
      </c>
      <c r="C959" s="15" t="n">
        <f aca="false">Report!U1508</f>
        <v>1144.36</v>
      </c>
      <c r="D959" s="0" t="str">
        <f aca="false">Report!X1508</f>
        <v>NF 580861 ELLEN</v>
      </c>
    </row>
    <row r="960" customFormat="false" ht="12.75" hidden="false" customHeight="true" outlineLevel="0" collapsed="false">
      <c r="A960" s="14" t="n">
        <f aca="false">Report!C1509</f>
        <v>46252</v>
      </c>
      <c r="B960" s="0" t="str">
        <f aca="false">Report!E1509</f>
        <v>ATACADAO S.A.</v>
      </c>
      <c r="C960" s="15" t="n">
        <f aca="false">Report!U1509</f>
        <v>479.64</v>
      </c>
      <c r="D960" s="0" t="str">
        <f aca="false">Report!X1509</f>
        <v>NF 1905833 ELLEN</v>
      </c>
    </row>
    <row r="961" customFormat="false" ht="12.75" hidden="false" customHeight="true" outlineLevel="0" collapsed="false">
      <c r="A961" s="14" t="n">
        <f aca="false">Report!C1510</f>
        <v>46252</v>
      </c>
      <c r="B961" s="0" t="str">
        <f aca="false">Report!E1510</f>
        <v>FEIRA</v>
      </c>
      <c r="C961" s="15" t="n">
        <f aca="false">Report!U1510</f>
        <v>190</v>
      </c>
      <c r="D961" s="0" t="str">
        <f aca="false">Report!X1510</f>
        <v>FEIRA-PG P/ C6-BANK-RENATO (MAÇA) - ELLEN</v>
      </c>
    </row>
    <row r="962" customFormat="false" ht="12.75" hidden="false" customHeight="true" outlineLevel="0" collapsed="false">
      <c r="A962" s="14" t="n">
        <f aca="false">Report!C1511</f>
        <v>46252</v>
      </c>
      <c r="B962" s="0" t="str">
        <f aca="false">Report!E1511</f>
        <v>NEYLIANE S DE OLIVEIRA &amp; CIA LTDA</v>
      </c>
      <c r="C962" s="15" t="n">
        <f aca="false">Report!U1511</f>
        <v>200</v>
      </c>
      <c r="D962" s="0" t="str">
        <f aca="false">Report!X1511</f>
        <v>FEIRA-PACOVA/LIMAO-PG P/ CNPJ:67144863/001-03-ELLEN</v>
      </c>
    </row>
    <row r="963" customFormat="false" ht="12.75" hidden="false" customHeight="true" outlineLevel="0" collapsed="false">
      <c r="A963" s="14" t="n">
        <f aca="false">Report!C1512</f>
        <v>46252</v>
      </c>
      <c r="B963" s="0" t="str">
        <f aca="false">Report!E1512</f>
        <v>NEYLIANE S DE OLIVEIRA &amp; CIA LTDA</v>
      </c>
      <c r="C963" s="15" t="n">
        <f aca="false">Report!U1512</f>
        <v>1404</v>
      </c>
      <c r="D963" s="0" t="str">
        <f aca="false">Report!X1512</f>
        <v>FEIRA - PG P/ C6-BANK/RENATO - ELLEN</v>
      </c>
    </row>
    <row r="964" customFormat="false" ht="12.75" hidden="false" customHeight="true" outlineLevel="0" collapsed="false">
      <c r="A964" s="14" t="n">
        <f aca="false">Report!C1517</f>
        <v>46253</v>
      </c>
      <c r="B964" s="0" t="str">
        <f aca="false">Report!E1517</f>
        <v>ADRIANA DISTRIBUIDORA DE PRODUTOS ALIMEN</v>
      </c>
      <c r="C964" s="15" t="n">
        <f aca="false">Report!U1517</f>
        <v>349</v>
      </c>
      <c r="D964" s="0" t="str">
        <f aca="false">Report!X1517</f>
        <v>NF 889827 ELLEN</v>
      </c>
    </row>
    <row r="965" customFormat="false" ht="12.75" hidden="false" customHeight="true" outlineLevel="0" collapsed="false">
      <c r="A965" s="14" t="n">
        <f aca="false">Report!C1518</f>
        <v>46253</v>
      </c>
      <c r="B965" s="0" t="str">
        <f aca="false">Report!E1518</f>
        <v>ADRIANO FEITOSA OLIVEIRA LTDA</v>
      </c>
      <c r="C965" s="15" t="n">
        <f aca="false">Report!U1518</f>
        <v>899.5</v>
      </c>
      <c r="D965" s="0" t="str">
        <f aca="false">Report!X1518</f>
        <v>NF 360 ELLEN</v>
      </c>
    </row>
    <row r="966" customFormat="false" ht="12.75" hidden="false" customHeight="true" outlineLevel="0" collapsed="false">
      <c r="A966" s="14" t="n">
        <f aca="false">Report!C1519</f>
        <v>46253</v>
      </c>
      <c r="B966" s="0" t="str">
        <f aca="false">Report!E1519</f>
        <v>BONNA VITTA INDUSTRIA E COMERCIO LTDA.</v>
      </c>
      <c r="C966" s="15" t="n">
        <f aca="false">Report!U1519</f>
        <v>109.51</v>
      </c>
      <c r="D966" s="0" t="str">
        <f aca="false">Report!X1519</f>
        <v>NF 1625 ELLEN</v>
      </c>
    </row>
    <row r="967" customFormat="false" ht="12.75" hidden="false" customHeight="true" outlineLevel="0" collapsed="false">
      <c r="A967" s="14" t="n">
        <f aca="false">Report!C1520</f>
        <v>46253</v>
      </c>
      <c r="B967" s="0" t="str">
        <f aca="false">Report!E1520</f>
        <v>BONNA VITTA INDUSTRIA E COMERCIO LTDA.</v>
      </c>
      <c r="C967" s="15" t="n">
        <f aca="false">Report!U1520</f>
        <v>491.46</v>
      </c>
      <c r="D967" s="0" t="str">
        <f aca="false">Report!X1520</f>
        <v>NF 2658 ELLEN</v>
      </c>
    </row>
    <row r="968" customFormat="false" ht="12.75" hidden="false" customHeight="true" outlineLevel="0" collapsed="false">
      <c r="A968" s="14" t="n">
        <f aca="false">Report!C1521</f>
        <v>46253</v>
      </c>
      <c r="B968" s="0" t="str">
        <f aca="false">Report!E1521</f>
        <v>BRF S A</v>
      </c>
      <c r="C968" s="15" t="n">
        <f aca="false">Report!U1521</f>
        <v>1190.19</v>
      </c>
      <c r="D968" s="0" t="str">
        <f aca="false">Report!X1521</f>
        <v>NF 1614426 ELLEN</v>
      </c>
    </row>
    <row r="969" customFormat="false" ht="12.75" hidden="false" customHeight="true" outlineLevel="0" collapsed="false">
      <c r="A969" s="14" t="n">
        <f aca="false">Report!C1522</f>
        <v>46253</v>
      </c>
      <c r="B969" s="0" t="str">
        <f aca="false">Report!E1522</f>
        <v>BRF S A</v>
      </c>
      <c r="C969" s="15" t="n">
        <f aca="false">Report!U1522</f>
        <v>1275.54</v>
      </c>
      <c r="D969" s="0" t="str">
        <f aca="false">Report!X1522</f>
        <v>NF 1616567 ELLEN</v>
      </c>
    </row>
    <row r="970" customFormat="false" ht="12.75" hidden="false" customHeight="true" outlineLevel="0" collapsed="false">
      <c r="A970" s="14" t="n">
        <f aca="false">Report!C1523</f>
        <v>46253</v>
      </c>
      <c r="B970" s="0" t="str">
        <f aca="false">Report!E1523</f>
        <v>NEYLIANE S DE OLIVEIRA &amp; CIA LTDA</v>
      </c>
      <c r="C970" s="15" t="n">
        <f aca="false">Report!U1523</f>
        <v>225</v>
      </c>
      <c r="D970" s="0" t="str">
        <f aca="false">Report!X1523</f>
        <v>COMPRAS - 15L DE AÇAI- PG NO P 19/8/26 - ELLEN</v>
      </c>
    </row>
    <row r="971" customFormat="false" ht="12.75" hidden="false" customHeight="true" outlineLevel="0" collapsed="false">
      <c r="A971" s="14" t="n">
        <f aca="false">Report!C1524</f>
        <v>46253</v>
      </c>
      <c r="B971" s="0" t="str">
        <f aca="false">Report!E1524</f>
        <v>SB COMERCIO LTDA</v>
      </c>
      <c r="C971" s="15" t="n">
        <f aca="false">Report!U1524</f>
        <v>1504.06</v>
      </c>
      <c r="D971" s="0" t="str">
        <f aca="false">Report!X1524</f>
        <v>NF 1962669 ELLEN</v>
      </c>
    </row>
    <row r="972" customFormat="false" ht="12.75" hidden="false" customHeight="true" outlineLevel="0" collapsed="false">
      <c r="A972" s="14" t="n">
        <f aca="false">Report!C1527</f>
        <v>46253</v>
      </c>
      <c r="B972" s="0" t="str">
        <f aca="false">Report!E1527</f>
        <v>SEM FORNECEDOR</v>
      </c>
      <c r="C972" s="15" t="n">
        <f aca="false">Report!U1527</f>
        <v>30</v>
      </c>
      <c r="D972" s="0" t="str">
        <f aca="false">Report!X1527</f>
        <v>rest pg de sexta-feira ceara da verdura</v>
      </c>
    </row>
    <row r="973" customFormat="false" ht="12.75" hidden="false" customHeight="true" outlineLevel="0" collapsed="false">
      <c r="A973" s="14" t="n">
        <f aca="false">Report!C1529</f>
        <v>46254</v>
      </c>
      <c r="B973" s="0" t="str">
        <f aca="false">Report!E1529</f>
        <v>ADICSO FABIAN GONZALEZ MONTILLA 70302186</v>
      </c>
      <c r="C973" s="15" t="n">
        <f aca="false">Report!U1529</f>
        <v>204</v>
      </c>
      <c r="D973" s="0" t="str">
        <f aca="false">Report!X1529</f>
        <v>NF 605 ELLEN</v>
      </c>
    </row>
    <row r="974" customFormat="false" ht="12.75" hidden="false" customHeight="true" outlineLevel="0" collapsed="false">
      <c r="A974" s="14" t="n">
        <f aca="false">Report!C1533</f>
        <v>46254</v>
      </c>
      <c r="B974" s="0" t="str">
        <f aca="false">Report!E1533</f>
        <v>EDMARA COMERCIO DE HIGIENE PESSOAL LTDA</v>
      </c>
      <c r="C974" s="15" t="n">
        <f aca="false">Report!U1533</f>
        <v>382.62</v>
      </c>
      <c r="D974" s="0" t="str">
        <f aca="false">Report!X1533</f>
        <v>NF 8582 ELLEN</v>
      </c>
    </row>
    <row r="975" customFormat="false" ht="12.75" hidden="false" customHeight="true" outlineLevel="0" collapsed="false">
      <c r="A975" s="14" t="n">
        <f aca="false">Report!C1537</f>
        <v>46254</v>
      </c>
      <c r="B975" s="0" t="str">
        <f aca="false">Report!E1537</f>
        <v>H. L. DO NASCIMENTO</v>
      </c>
      <c r="C975" s="15" t="n">
        <f aca="false">Report!U1537</f>
        <v>597.4</v>
      </c>
      <c r="D975" s="0" t="str">
        <f aca="false">Report!X1537</f>
        <v>NF 5971 ELLEN</v>
      </c>
    </row>
    <row r="976" customFormat="false" ht="12.75" hidden="false" customHeight="true" outlineLevel="0" collapsed="false">
      <c r="A976" s="14" t="n">
        <f aca="false">Report!C1538</f>
        <v>46254</v>
      </c>
      <c r="B976" s="0" t="str">
        <f aca="false">Report!E1538</f>
        <v>J G COMERCIO DE PRODUTOS ALIMENTICIOS LTDA</v>
      </c>
      <c r="C976" s="15" t="n">
        <f aca="false">Report!U1538</f>
        <v>628.2</v>
      </c>
      <c r="D976" s="0" t="str">
        <f aca="false">Report!X1538</f>
        <v>NF 396443 ELLEN</v>
      </c>
    </row>
    <row r="977" customFormat="false" ht="12.75" hidden="false" customHeight="true" outlineLevel="0" collapsed="false">
      <c r="A977" s="14" t="n">
        <f aca="false">Report!C1540</f>
        <v>46254</v>
      </c>
      <c r="B977" s="0" t="str">
        <f aca="false">Report!E1540</f>
        <v>PRIME PET DISTRIBUIDORA LTDA</v>
      </c>
      <c r="C977" s="15" t="n">
        <f aca="false">Report!U1540</f>
        <v>446.28</v>
      </c>
      <c r="D977" s="0" t="str">
        <f aca="false">Report!X1540</f>
        <v>NF 11173 ELLEN</v>
      </c>
    </row>
    <row r="978" customFormat="false" ht="12.75" hidden="false" customHeight="true" outlineLevel="0" collapsed="false">
      <c r="A978" s="14" t="n">
        <f aca="false">Report!C1541</f>
        <v>46254</v>
      </c>
      <c r="B978" s="0" t="str">
        <f aca="false">Report!E1541</f>
        <v>REAL BEBIDAS DA AMAZONIA LTDA</v>
      </c>
      <c r="C978" s="15" t="n">
        <f aca="false">Report!U1541</f>
        <v>149</v>
      </c>
      <c r="D978" s="0" t="str">
        <f aca="false">Report!X1541</f>
        <v>NF 321794 ELLEN</v>
      </c>
    </row>
    <row r="979" customFormat="false" ht="12.75" hidden="false" customHeight="true" outlineLevel="0" collapsed="false">
      <c r="A979" s="14" t="n">
        <f aca="false">Report!C1544</f>
        <v>46254</v>
      </c>
      <c r="B979" s="0" t="str">
        <f aca="false">Report!E1544</f>
        <v>RISADINHA LTDA</v>
      </c>
      <c r="C979" s="15" t="n">
        <f aca="false">Report!U1544</f>
        <v>381</v>
      </c>
      <c r="D979" s="0" t="str">
        <f aca="false">Report!X1544</f>
        <v>NF 664184 ELLEN</v>
      </c>
    </row>
    <row r="980" customFormat="false" ht="12.75" hidden="false" customHeight="true" outlineLevel="0" collapsed="false">
      <c r="A980" s="14" t="n">
        <f aca="false">Report!C1545</f>
        <v>46254</v>
      </c>
      <c r="B980" s="0" t="str">
        <f aca="false">Report!E1545</f>
        <v>SEM FORNECEDOR</v>
      </c>
      <c r="C980" s="15" t="n">
        <f aca="false">Report!U1545</f>
        <v>72</v>
      </c>
      <c r="D980" s="0" t="str">
        <f aca="false">Report!X1545</f>
        <v>recibo-compras 4 cxs brigadeiro-jose castro</v>
      </c>
    </row>
    <row r="981" customFormat="false" ht="12.75" hidden="false" customHeight="true" outlineLevel="0" collapsed="false">
      <c r="A981" s="14" t="n">
        <f aca="false">Report!C1548</f>
        <v>46255</v>
      </c>
      <c r="B981" s="0" t="str">
        <f aca="false">Report!E1548</f>
        <v>BRASIL NORTE BEBIDAS S/A</v>
      </c>
      <c r="C981" s="15" t="n">
        <f aca="false">Report!U1548</f>
        <v>540.41</v>
      </c>
      <c r="D981" s="0" t="str">
        <f aca="false">Report!X1548</f>
        <v>NF 1237147 ELLEN</v>
      </c>
    </row>
    <row r="982" customFormat="false" ht="12.75" hidden="false" customHeight="true" outlineLevel="0" collapsed="false">
      <c r="A982" s="14" t="n">
        <f aca="false">Report!C1549</f>
        <v>46255</v>
      </c>
      <c r="B982" s="0" t="str">
        <f aca="false">Report!E1549</f>
        <v>BRASIL NORTE BEBIDAS S/A</v>
      </c>
      <c r="C982" s="15" t="n">
        <f aca="false">Report!U1549</f>
        <v>3289.2</v>
      </c>
      <c r="D982" s="0" t="str">
        <f aca="false">Report!X1549</f>
        <v>NF 1973888 ELLEN</v>
      </c>
    </row>
    <row r="983" customFormat="false" ht="12.75" hidden="false" customHeight="true" outlineLevel="0" collapsed="false">
      <c r="A983" s="14" t="n">
        <f aca="false">Report!C1550</f>
        <v>46255</v>
      </c>
      <c r="B983" s="0" t="str">
        <f aca="false">Report!E1550</f>
        <v>BRASIL NORTE BEBIDAS S/A</v>
      </c>
      <c r="C983" s="15" t="n">
        <f aca="false">Report!U1550</f>
        <v>201.65</v>
      </c>
      <c r="D983" s="0" t="str">
        <f aca="false">Report!X1550</f>
        <v>NF 1236446 ELLEN</v>
      </c>
    </row>
    <row r="984" customFormat="false" ht="12.75" hidden="false" customHeight="true" outlineLevel="0" collapsed="false">
      <c r="A984" s="14" t="n">
        <f aca="false">Report!C1551</f>
        <v>46255</v>
      </c>
      <c r="B984" s="0" t="str">
        <f aca="false">Report!E1551</f>
        <v>D DE J SANTOS LTDA</v>
      </c>
      <c r="C984" s="15" t="n">
        <f aca="false">Report!U1551</f>
        <v>1045</v>
      </c>
      <c r="D984" s="0" t="str">
        <f aca="false">Report!X1551</f>
        <v>NF 269 ELLEN</v>
      </c>
    </row>
    <row r="985" customFormat="false" ht="12.75" hidden="false" customHeight="true" outlineLevel="0" collapsed="false">
      <c r="A985" s="14" t="n">
        <f aca="false">Report!C1552</f>
        <v>46255</v>
      </c>
      <c r="B985" s="0" t="str">
        <f aca="false">Report!E1552</f>
        <v>DISTRIBUIDORA LOPES LTDA</v>
      </c>
      <c r="C985" s="15" t="n">
        <f aca="false">Report!U1552</f>
        <v>877.23</v>
      </c>
      <c r="D985" s="0" t="str">
        <f aca="false">Report!X1552</f>
        <v>NF 1711525 ELLEN</v>
      </c>
    </row>
    <row r="986" customFormat="false" ht="12.75" hidden="false" customHeight="true" outlineLevel="0" collapsed="false">
      <c r="A986" s="14" t="n">
        <f aca="false">Report!C1553</f>
        <v>46255</v>
      </c>
      <c r="B986" s="0" t="str">
        <f aca="false">Report!E1553</f>
        <v>FALCAO INDUSTRIA DE ALIMENTOS LTDA</v>
      </c>
      <c r="C986" s="15" t="n">
        <f aca="false">Report!U1553</f>
        <v>1023.97</v>
      </c>
      <c r="D986" s="0" t="str">
        <f aca="false">Report!X1553</f>
        <v>NF 32318 ELLEN</v>
      </c>
    </row>
    <row r="987" customFormat="false" ht="12.75" hidden="false" customHeight="true" outlineLevel="0" collapsed="false">
      <c r="A987" s="14" t="n">
        <f aca="false">Report!C1554</f>
        <v>46255</v>
      </c>
      <c r="B987" s="0" t="str">
        <f aca="false">Report!E1554</f>
        <v>FRUTAL INDUSTRIA E COMERCIO LTDA</v>
      </c>
      <c r="C987" s="15" t="n">
        <f aca="false">Report!U1554</f>
        <v>571.73</v>
      </c>
      <c r="D987" s="0" t="str">
        <f aca="false">Report!X1554</f>
        <v>NF 228832 ELLEN</v>
      </c>
    </row>
    <row r="988" customFormat="false" ht="12.75" hidden="false" customHeight="true" outlineLevel="0" collapsed="false">
      <c r="A988" s="14" t="n">
        <f aca="false">Report!C1555</f>
        <v>46255</v>
      </c>
      <c r="B988" s="0" t="str">
        <f aca="false">Report!E1555</f>
        <v>H L M PADARIA E CONFEITARIA LTDA</v>
      </c>
      <c r="C988" s="15" t="n">
        <f aca="false">Report!U1555</f>
        <v>200</v>
      </c>
      <c r="D988" s="0" t="str">
        <f aca="false">Report!X1555</f>
        <v>NF 189 COMPRAS-BOLO PG NO P 21/8/26 ELLEN</v>
      </c>
    </row>
    <row r="989" customFormat="false" ht="12.75" hidden="false" customHeight="true" outlineLevel="0" collapsed="false">
      <c r="A989" s="14" t="n">
        <f aca="false">Report!C1556</f>
        <v>46255</v>
      </c>
      <c r="B989" s="0" t="str">
        <f aca="false">Report!E1556</f>
        <v>JAB COMERCIO DE PRODUTOS ALIMENTICIOS LT</v>
      </c>
      <c r="C989" s="15" t="n">
        <f aca="false">Report!U1556</f>
        <v>142</v>
      </c>
      <c r="D989" s="0" t="str">
        <f aca="false">Report!X1556</f>
        <v>NF 3728 ELLEN</v>
      </c>
    </row>
    <row r="990" customFormat="false" ht="12.75" hidden="false" customHeight="true" outlineLevel="0" collapsed="false">
      <c r="A990" s="14" t="n">
        <f aca="false">Report!C1557</f>
        <v>46255</v>
      </c>
      <c r="B990" s="0" t="str">
        <f aca="false">Report!E1557</f>
        <v>LIMA E BARANDA COMERCIO DE PRODUTOS REGI</v>
      </c>
      <c r="C990" s="15" t="n">
        <f aca="false">Report!U1557</f>
        <v>195</v>
      </c>
      <c r="D990" s="0" t="str">
        <f aca="false">Report!X1557</f>
        <v>NF 31936 ELLEN</v>
      </c>
    </row>
    <row r="991" customFormat="false" ht="12.75" hidden="false" customHeight="true" outlineLevel="0" collapsed="false">
      <c r="A991" s="14" t="n">
        <f aca="false">Report!C1558</f>
        <v>46255</v>
      </c>
      <c r="B991" s="0" t="str">
        <f aca="false">Report!E1558</f>
        <v>MIKITOS IND.COM.DE GEN. ALIM. DO AM. LTD</v>
      </c>
      <c r="C991" s="15" t="n">
        <f aca="false">Report!U1558</f>
        <v>690</v>
      </c>
      <c r="D991" s="0" t="str">
        <f aca="false">Report!X1558</f>
        <v>NF 294640 ELLEN</v>
      </c>
    </row>
    <row r="992" customFormat="false" ht="12.75" hidden="false" customHeight="true" outlineLevel="0" collapsed="false">
      <c r="A992" s="14" t="n">
        <f aca="false">Report!C1560</f>
        <v>46255</v>
      </c>
      <c r="B992" s="0" t="str">
        <f aca="false">Report!E1560</f>
        <v>NEYLIANE S DE OLIVEIRA &amp; CIA LTDA</v>
      </c>
      <c r="C992" s="15" t="n">
        <f aca="false">Report!U1560</f>
        <v>300</v>
      </c>
      <c r="D992" s="0" t="str">
        <f aca="false">Report!X1560</f>
        <v>COMPRAS - 20L DE AÇAI - PG NO P 21/8/26- ELLEN</v>
      </c>
    </row>
    <row r="993" customFormat="false" ht="12.75" hidden="false" customHeight="true" outlineLevel="0" collapsed="false">
      <c r="A993" s="14" t="n">
        <f aca="false">Report!C1561</f>
        <v>46255</v>
      </c>
      <c r="B993" s="0" t="str">
        <f aca="false">Report!E1561</f>
        <v>NEYLIANE S DE OLIVEIRA &amp; CIA LTDA</v>
      </c>
      <c r="C993" s="15" t="n">
        <f aca="false">Report!U1561</f>
        <v>200</v>
      </c>
      <c r="D993" s="0" t="str">
        <f aca="false">Report!X1561</f>
        <v>COMPRAS-PACOVA/LIMAO-PG P/ CNPJ:67144863/0001-03-ELLEN</v>
      </c>
    </row>
    <row r="994" customFormat="false" ht="12.75" hidden="false" customHeight="true" outlineLevel="0" collapsed="false">
      <c r="A994" s="14" t="n">
        <f aca="false">Report!C1562</f>
        <v>46255</v>
      </c>
      <c r="B994" s="0" t="str">
        <f aca="false">Report!E1562</f>
        <v>NORTELAC DISTRIBUIDORA DE FRIOS LTDA</v>
      </c>
      <c r="C994" s="15" t="n">
        <f aca="false">Report!U1562</f>
        <v>460</v>
      </c>
      <c r="D994" s="0" t="str">
        <f aca="false">Report!X1562</f>
        <v>NF 46106 ELLEN</v>
      </c>
    </row>
    <row r="995" customFormat="false" ht="12.75" hidden="false" customHeight="true" outlineLevel="0" collapsed="false">
      <c r="A995" s="14" t="n">
        <f aca="false">Report!C1563</f>
        <v>46255</v>
      </c>
      <c r="B995" s="0" t="str">
        <f aca="false">Report!E1563</f>
        <v>PANIFICADORA E CONFEITARIA REAL MADRI LTDA</v>
      </c>
      <c r="C995" s="15" t="n">
        <f aca="false">Report!U1563</f>
        <v>237.74</v>
      </c>
      <c r="D995" s="0" t="str">
        <f aca="false">Report!X1563</f>
        <v>NF 767 ELLEN</v>
      </c>
    </row>
    <row r="996" customFormat="false" ht="12.75" hidden="false" customHeight="true" outlineLevel="0" collapsed="false">
      <c r="A996" s="14" t="n">
        <f aca="false">Report!C1564</f>
        <v>46255</v>
      </c>
      <c r="B996" s="0" t="str">
        <f aca="false">Report!E1564</f>
        <v>PRIME PET DISTRIBUIDORA LTDA</v>
      </c>
      <c r="C996" s="15" t="n">
        <f aca="false">Report!U1564</f>
        <v>1361.81</v>
      </c>
      <c r="D996" s="0" t="str">
        <f aca="false">Report!X1564</f>
        <v>NF 10860 ELLEN</v>
      </c>
    </row>
    <row r="997" customFormat="false" ht="12.75" hidden="false" customHeight="true" outlineLevel="0" collapsed="false">
      <c r="A997" s="14" t="n">
        <f aca="false">Report!C1570</f>
        <v>46255</v>
      </c>
      <c r="B997" s="0" t="str">
        <f aca="false">Report!E1570</f>
        <v>SOUZA CRUZ LTDA.</v>
      </c>
      <c r="C997" s="15" t="n">
        <f aca="false">Report!U1570</f>
        <v>4470.03</v>
      </c>
      <c r="D997" s="0" t="str">
        <f aca="false">Report!X1570</f>
        <v>NF 569335 ELLEN</v>
      </c>
    </row>
    <row r="998" customFormat="false" ht="12.75" hidden="false" customHeight="true" outlineLevel="0" collapsed="false">
      <c r="A998" s="14" t="n">
        <f aca="false">Report!C1571</f>
        <v>46256</v>
      </c>
      <c r="B998" s="0" t="str">
        <f aca="false">Report!E1571</f>
        <v>ADRIANA DISTRIBUIDORA DE PRODUTOS ALIMEN</v>
      </c>
      <c r="C998" s="15" t="n">
        <f aca="false">Report!U1571</f>
        <v>1006.03</v>
      </c>
      <c r="D998" s="0" t="str">
        <f aca="false">Report!X1571</f>
        <v>NF 886799 ELLEN</v>
      </c>
    </row>
    <row r="999" customFormat="false" ht="12.75" hidden="false" customHeight="true" outlineLevel="0" collapsed="false">
      <c r="A999" s="14" t="n">
        <f aca="false">Report!C1572</f>
        <v>46256</v>
      </c>
      <c r="B999" s="0" t="str">
        <f aca="false">Report!E1572</f>
        <v>BRAGA TABACARIA EIRELI ME</v>
      </c>
      <c r="C999" s="15" t="n">
        <f aca="false">Report!U1572</f>
        <v>1563.4</v>
      </c>
      <c r="D999" s="0" t="str">
        <f aca="false">Report!X1572</f>
        <v>NF 19579 ELLEN</v>
      </c>
    </row>
    <row r="1000" customFormat="false" ht="12.75" hidden="false" customHeight="true" outlineLevel="0" collapsed="false">
      <c r="A1000" s="14" t="n">
        <f aca="false">Report!C1573</f>
        <v>46256</v>
      </c>
      <c r="B1000" s="0" t="str">
        <f aca="false">Report!E1573</f>
        <v>FUNNY PET DISTRIBUIDORA DE ALIMENTOS PAR</v>
      </c>
      <c r="C1000" s="15" t="n">
        <f aca="false">Report!U1573</f>
        <v>1501.38</v>
      </c>
      <c r="D1000" s="0" t="str">
        <f aca="false">Report!X1573</f>
        <v>NF 21189 ELLEN</v>
      </c>
    </row>
    <row r="1001" customFormat="false" ht="12.75" hidden="false" customHeight="true" outlineLevel="0" collapsed="false">
      <c r="A1001" s="14" t="n">
        <f aca="false">Report!C1574</f>
        <v>46256</v>
      </c>
      <c r="B1001" s="0" t="str">
        <f aca="false">Report!E1574</f>
        <v>J G COMERCIO DE PRODUTOS ALIMENTICIOS LTDA</v>
      </c>
      <c r="C1001" s="15" t="n">
        <f aca="false">Report!U1574</f>
        <v>511.98</v>
      </c>
      <c r="D1001" s="0" t="str">
        <f aca="false">Report!X1574</f>
        <v>NF 398015 ELLEN</v>
      </c>
    </row>
    <row r="1002" customFormat="false" ht="12.75" hidden="false" customHeight="true" outlineLevel="0" collapsed="false">
      <c r="A1002" s="14" t="n">
        <f aca="false">Report!C1575</f>
        <v>46256</v>
      </c>
      <c r="B1002" s="0" t="str">
        <f aca="false">Report!E1575</f>
        <v>MARE DISTRIBUIDORA DE BEBIDAS E DE PRODUTOS ALIMENTICIOS LTDA</v>
      </c>
      <c r="C1002" s="15" t="n">
        <f aca="false">Report!U1575</f>
        <v>2852.4</v>
      </c>
      <c r="D1002" s="0" t="str">
        <f aca="false">Report!X1575</f>
        <v>NF 1414620 ELLEN</v>
      </c>
    </row>
    <row r="1003" customFormat="false" ht="12.75" hidden="false" customHeight="true" outlineLevel="0" collapsed="false">
      <c r="A1003" s="14" t="n">
        <f aca="false">Report!C1576</f>
        <v>46256</v>
      </c>
      <c r="B1003" s="0" t="str">
        <f aca="false">Report!E1576</f>
        <v>MAXFRI DISTRIUIDORA LTDA</v>
      </c>
      <c r="C1003" s="15" t="n">
        <f aca="false">Report!U1576</f>
        <v>3472.5</v>
      </c>
      <c r="D1003" s="0" t="str">
        <f aca="false">Report!X1576</f>
        <v>NF 15061 ELLEN</v>
      </c>
    </row>
    <row r="1004" customFormat="false" ht="12.75" hidden="false" customHeight="true" outlineLevel="0" collapsed="false">
      <c r="A1004" s="14" t="n">
        <f aca="false">Report!C1577</f>
        <v>46256</v>
      </c>
      <c r="B1004" s="0" t="str">
        <f aca="false">Report!E1577</f>
        <v>OPPORTUNITY ALIMENTOS PARA ANIMAIS LTDA</v>
      </c>
      <c r="C1004" s="15" t="n">
        <f aca="false">Report!U1577</f>
        <v>591.07</v>
      </c>
      <c r="D1004" s="0" t="str">
        <f aca="false">Report!X1577</f>
        <v>NF 34738 ELLEN</v>
      </c>
    </row>
    <row r="1005" customFormat="false" ht="12.75" hidden="false" customHeight="true" outlineLevel="0" collapsed="false">
      <c r="A1005" s="14" t="n">
        <f aca="false">Report!C1582</f>
        <v>46257</v>
      </c>
      <c r="B1005" s="0" t="str">
        <f aca="false">Report!E1582</f>
        <v>COMERCIO DE FRIOS MANAUS LTDA</v>
      </c>
      <c r="C1005" s="15" t="n">
        <f aca="false">Report!U1582</f>
        <v>3814.8</v>
      </c>
      <c r="D1005" s="0" t="str">
        <f aca="false">Report!X1582</f>
        <v>NF 174797 ELLEN</v>
      </c>
    </row>
    <row r="1006" customFormat="false" ht="12.75" hidden="false" customHeight="true" outlineLevel="0" collapsed="false">
      <c r="A1006" s="14" t="n">
        <f aca="false">Report!C1589</f>
        <v>46258</v>
      </c>
      <c r="B1006" s="0" t="str">
        <f aca="false">Report!E1589</f>
        <v>ATACADAO S.A.</v>
      </c>
      <c r="C1006" s="15" t="n">
        <f aca="false">Report!U1589</f>
        <v>1184.7</v>
      </c>
      <c r="D1006" s="0" t="str">
        <f aca="false">Report!X1589</f>
        <v>NF 1915874 ELLEN</v>
      </c>
    </row>
    <row r="1007" customFormat="false" ht="12.75" hidden="false" customHeight="true" outlineLevel="0" collapsed="false">
      <c r="A1007" s="14" t="n">
        <f aca="false">Report!C1590</f>
        <v>46258</v>
      </c>
      <c r="B1007" s="0" t="str">
        <f aca="false">Report!E1590</f>
        <v>BRASIL NORTE BEBIDAS S/A</v>
      </c>
      <c r="C1007" s="15" t="n">
        <f aca="false">Report!U1590</f>
        <v>268.07</v>
      </c>
      <c r="D1007" s="0" t="str">
        <f aca="false">Report!X1590</f>
        <v>NF 1236941 ELLEN</v>
      </c>
    </row>
    <row r="1008" customFormat="false" ht="12.75" hidden="false" customHeight="true" outlineLevel="0" collapsed="false">
      <c r="A1008" s="14" t="n">
        <f aca="false">Report!C1591</f>
        <v>46258</v>
      </c>
      <c r="B1008" s="0" t="str">
        <f aca="false">Report!E1591</f>
        <v>BRASIL NORTE BEBIDAS S/A</v>
      </c>
      <c r="C1008" s="15" t="n">
        <f aca="false">Report!U1591</f>
        <v>360.51</v>
      </c>
      <c r="D1008" s="0" t="str">
        <f aca="false">Report!X1591</f>
        <v>NF 1973404 ELLEN</v>
      </c>
    </row>
    <row r="1009" customFormat="false" ht="12.75" hidden="false" customHeight="true" outlineLevel="0" collapsed="false">
      <c r="A1009" s="14" t="n">
        <f aca="false">Report!C1592</f>
        <v>46258</v>
      </c>
      <c r="B1009" s="0" t="str">
        <f aca="false">Report!E1592</f>
        <v>CRBS S/A</v>
      </c>
      <c r="C1009" s="15" t="n">
        <f aca="false">Report!U1592</f>
        <v>3733.25</v>
      </c>
      <c r="D1009" s="0" t="str">
        <f aca="false">Report!X1592</f>
        <v>NF 957093 ELLEN</v>
      </c>
    </row>
    <row r="1010" customFormat="false" ht="12.75" hidden="false" customHeight="true" outlineLevel="0" collapsed="false">
      <c r="A1010" s="14" t="n">
        <f aca="false">Report!C1593</f>
        <v>46258</v>
      </c>
      <c r="B1010" s="0" t="str">
        <f aca="false">Report!E1593</f>
        <v>FEIRA</v>
      </c>
      <c r="C1010" s="15" t="n">
        <f aca="false">Report!U1593</f>
        <v>460</v>
      </c>
      <c r="D1010" s="0" t="str">
        <f aca="false">Report!X1593</f>
        <v>FEIRA-PG P C6-BANK/RENATO (MAÇA/PERA) SOMAR C NF 2623- ELLEN</v>
      </c>
    </row>
    <row r="1011" customFormat="false" ht="12.75" hidden="false" customHeight="true" outlineLevel="0" collapsed="false">
      <c r="A1011" s="14" t="n">
        <f aca="false">Report!C1594</f>
        <v>46258</v>
      </c>
      <c r="B1011" s="0" t="str">
        <f aca="false">Report!E1594</f>
        <v>FENNIX BRASIL DISTRIBUIDORA DE PRODUTOS</v>
      </c>
      <c r="C1011" s="15" t="n">
        <f aca="false">Report!U1594</f>
        <v>416.64</v>
      </c>
      <c r="D1011" s="0" t="str">
        <f aca="false">Report!X1594</f>
        <v>NF 315892 ELLEN</v>
      </c>
    </row>
    <row r="1012" customFormat="false" ht="12.75" hidden="false" customHeight="true" outlineLevel="0" collapsed="false">
      <c r="A1012" s="14" t="n">
        <f aca="false">Report!C1595</f>
        <v>46258</v>
      </c>
      <c r="B1012" s="0" t="str">
        <f aca="false">Report!E1595</f>
        <v>H L M PADARIA E CONFEITARIA LTDA</v>
      </c>
      <c r="C1012" s="15" t="n">
        <f aca="false">Report!U1595</f>
        <v>140</v>
      </c>
      <c r="D1012" s="0" t="str">
        <f aca="false">Report!X1595</f>
        <v>NF 201 COMPRAS-BOLO PG NO P 24/8/26 ELLEN</v>
      </c>
    </row>
    <row r="1013" customFormat="false" ht="12.75" hidden="false" customHeight="true" outlineLevel="0" collapsed="false">
      <c r="A1013" s="14" t="n">
        <f aca="false">Report!C1598</f>
        <v>46258</v>
      </c>
      <c r="B1013" s="0" t="str">
        <f aca="false">Report!E1598</f>
        <v>J W N DOS SANTOS</v>
      </c>
      <c r="C1013" s="15" t="n">
        <f aca="false">Report!U1598</f>
        <v>183</v>
      </c>
      <c r="D1013" s="0" t="str">
        <f aca="false">Report!X1598</f>
        <v>NF 398 ELLEN</v>
      </c>
    </row>
    <row r="1014" customFormat="false" ht="12.75" hidden="false" customHeight="true" outlineLevel="0" collapsed="false">
      <c r="A1014" s="14" t="n">
        <f aca="false">Report!C1599</f>
        <v>46258</v>
      </c>
      <c r="B1014" s="0" t="str">
        <f aca="false">Report!E1599</f>
        <v>NEYLIANE S DE OLIVEIRA &amp; CIA LTDA</v>
      </c>
      <c r="C1014" s="15" t="n">
        <f aca="false">Report!U1599</f>
        <v>1863.5</v>
      </c>
      <c r="D1014" s="0" t="str">
        <f aca="false">Report!X1599</f>
        <v>FEIRA - PG P C6-BANK-RENATO - ELLEN</v>
      </c>
    </row>
    <row r="1015" customFormat="false" ht="12.75" hidden="false" customHeight="true" outlineLevel="0" collapsed="false">
      <c r="A1015" s="14" t="n">
        <f aca="false">Report!C1600</f>
        <v>46258</v>
      </c>
      <c r="B1015" s="0" t="str">
        <f aca="false">Report!E1600</f>
        <v>NEYLIANE S DE OLIVEIRA &amp; CIA LTDA</v>
      </c>
      <c r="C1015" s="15" t="n">
        <f aca="false">Report!U1600</f>
        <v>225</v>
      </c>
      <c r="D1015" s="0" t="str">
        <f aca="false">Report!X1600</f>
        <v>COMPRAS - 15L DE AÇAI- PG NO P 24/8/26 - ELLEN</v>
      </c>
    </row>
    <row r="1016" customFormat="false" ht="12.75" hidden="false" customHeight="true" outlineLevel="0" collapsed="false">
      <c r="A1016" s="14" t="n">
        <f aca="false">Report!C1601</f>
        <v>46258</v>
      </c>
      <c r="B1016" s="0" t="str">
        <f aca="false">Report!E1601</f>
        <v>NOVA FRIOS COMERCIO ATACADISTA DE LATICINIOS LTDA</v>
      </c>
      <c r="C1016" s="15" t="n">
        <f aca="false">Report!U1601</f>
        <v>301.95</v>
      </c>
      <c r="D1016" s="0" t="str">
        <f aca="false">Report!X1601</f>
        <v>NF 4402 ELLEN</v>
      </c>
    </row>
    <row r="1017" customFormat="false" ht="12.75" hidden="false" customHeight="true" outlineLevel="0" collapsed="false">
      <c r="A1017" s="14" t="n">
        <f aca="false">Report!C1605</f>
        <v>46259</v>
      </c>
      <c r="B1017" s="0" t="str">
        <f aca="false">Report!E1605</f>
        <v>ADICSO FABIAN GONZALEZ MONTILLA 70302186</v>
      </c>
      <c r="C1017" s="15" t="n">
        <f aca="false">Report!U1605</f>
        <v>240</v>
      </c>
      <c r="D1017" s="0" t="str">
        <f aca="false">Report!X1605</f>
        <v>NF 613 ELLEN</v>
      </c>
    </row>
    <row r="1018" customFormat="false" ht="12.75" hidden="false" customHeight="true" outlineLevel="0" collapsed="false">
      <c r="A1018" s="14" t="n">
        <f aca="false">Report!C1606</f>
        <v>46259</v>
      </c>
      <c r="B1018" s="0" t="str">
        <f aca="false">Report!E1606</f>
        <v>BROTHERS  INDUSTRIA DE ALIMENTOS LTDA</v>
      </c>
      <c r="C1018" s="15" t="n">
        <f aca="false">Report!U1606</f>
        <v>512.38</v>
      </c>
      <c r="D1018" s="0" t="str">
        <f aca="false">Report!X1606</f>
        <v>NF 1037278 ELLEN</v>
      </c>
    </row>
    <row r="1019" customFormat="false" ht="12.75" hidden="false" customHeight="true" outlineLevel="0" collapsed="false">
      <c r="A1019" s="14" t="n">
        <f aca="false">Report!C1608</f>
        <v>46259</v>
      </c>
      <c r="B1019" s="0" t="str">
        <f aca="false">Report!E1608</f>
        <v>FE COMERCIO DE MATERIAIS DE CONSTRUCAO</v>
      </c>
      <c r="C1019" s="15" t="n">
        <f aca="false">Report!U1608</f>
        <v>818.55</v>
      </c>
      <c r="D1019" s="0" t="str">
        <f aca="false">Report!X1608</f>
        <v>NF 4467 ELLEN</v>
      </c>
    </row>
    <row r="1020" customFormat="false" ht="12.75" hidden="false" customHeight="true" outlineLevel="0" collapsed="false">
      <c r="A1020" s="14" t="n">
        <f aca="false">Report!C1609</f>
        <v>46259</v>
      </c>
      <c r="B1020" s="0" t="str">
        <f aca="false">Report!E1609</f>
        <v>FEIRA</v>
      </c>
      <c r="C1020" s="15" t="n">
        <f aca="false">Report!U1609</f>
        <v>290</v>
      </c>
      <c r="D1020" s="0" t="str">
        <f aca="false">Report!X1609</f>
        <v>FEIRA -PG P BANCO-C6/RENATO- UVA/QUEIJO-SOMAR C NF 2629-ELLEN</v>
      </c>
    </row>
    <row r="1021" customFormat="false" ht="12.75" hidden="false" customHeight="true" outlineLevel="0" collapsed="false">
      <c r="A1021" s="14" t="n">
        <f aca="false">Report!C1611</f>
        <v>46259</v>
      </c>
      <c r="B1021" s="0" t="str">
        <f aca="false">Report!E1611</f>
        <v>J W N DOS SANTOS</v>
      </c>
      <c r="C1021" s="15" t="n">
        <f aca="false">Report!U1611</f>
        <v>183</v>
      </c>
      <c r="D1021" s="0" t="str">
        <f aca="false">Report!X1611</f>
        <v>NF 408 ELLEN</v>
      </c>
    </row>
    <row r="1022" customFormat="false" ht="12.75" hidden="false" customHeight="true" outlineLevel="0" collapsed="false">
      <c r="A1022" s="14" t="n">
        <f aca="false">Report!C1612</f>
        <v>46259</v>
      </c>
      <c r="B1022" s="0" t="str">
        <f aca="false">Report!E1612</f>
        <v>NEYLIANE S DE OLIVEIRA &amp; CIA LTDA</v>
      </c>
      <c r="C1022" s="15" t="n">
        <f aca="false">Report!U1612</f>
        <v>200</v>
      </c>
      <c r="D1022" s="0" t="str">
        <f aca="false">Report!X1612</f>
        <v>COMPRAS-PACOVA/LIMAO- PG P CNPJ: 67144863/0001-03- ELLEN</v>
      </c>
    </row>
    <row r="1023" customFormat="false" ht="12.75" hidden="false" customHeight="true" outlineLevel="0" collapsed="false">
      <c r="A1023" s="14" t="n">
        <f aca="false">Report!C1613</f>
        <v>46259</v>
      </c>
      <c r="B1023" s="0" t="str">
        <f aca="false">Report!E1613</f>
        <v>NEYLIANE S DE OLIVEIRA &amp; CIA LTDA</v>
      </c>
      <c r="C1023" s="15" t="n">
        <f aca="false">Report!U1613</f>
        <v>1352</v>
      </c>
      <c r="D1023" s="0" t="str">
        <f aca="false">Report!X1613</f>
        <v>FEIRA- PG P/ BANCO-C6-RENATO - ELLEN</v>
      </c>
    </row>
    <row r="1024" customFormat="false" ht="12.75" hidden="false" customHeight="true" outlineLevel="0" collapsed="false">
      <c r="A1024" s="14" t="n">
        <f aca="false">Report!C1621</f>
        <v>46260</v>
      </c>
      <c r="B1024" s="0" t="str">
        <f aca="false">Report!E1621</f>
        <v>ADRIANA DISTRIBUIDORA DE PRODUTOS ALIMEN</v>
      </c>
      <c r="C1024" s="15" t="n">
        <f aca="false">Report!U1621</f>
        <v>349</v>
      </c>
      <c r="D1024" s="0" t="str">
        <f aca="false">Report!X1621</f>
        <v>NF 889827 ELLEN</v>
      </c>
    </row>
    <row r="1025" customFormat="false" ht="12.75" hidden="false" customHeight="true" outlineLevel="0" collapsed="false">
      <c r="A1025" s="14" t="n">
        <f aca="false">Report!C1622</f>
        <v>46260</v>
      </c>
      <c r="B1025" s="0" t="str">
        <f aca="false">Report!E1622</f>
        <v>BONNA VITTA INDUSTRIA E COMERCIO LTDA.</v>
      </c>
      <c r="C1025" s="15" t="n">
        <f aca="false">Report!U1622</f>
        <v>600</v>
      </c>
      <c r="D1025" s="0" t="str">
        <f aca="false">Report!X1622</f>
        <v>NF 3231 ELLEN</v>
      </c>
    </row>
    <row r="1026" customFormat="false" ht="12.75" hidden="false" customHeight="true" outlineLevel="0" collapsed="false">
      <c r="A1026" s="14" t="n">
        <f aca="false">Report!C1623</f>
        <v>46260</v>
      </c>
      <c r="B1026" s="0" t="str">
        <f aca="false">Report!E1623</f>
        <v>BRF S A</v>
      </c>
      <c r="C1026" s="15" t="n">
        <f aca="false">Report!U1623</f>
        <v>1275.53</v>
      </c>
      <c r="D1026" s="0" t="str">
        <f aca="false">Report!X1623</f>
        <v>NF 1616567 ELLEN</v>
      </c>
    </row>
    <row r="1027" customFormat="false" ht="12.75" hidden="false" customHeight="true" outlineLevel="0" collapsed="false">
      <c r="A1027" s="14" t="n">
        <f aca="false">Report!C1624</f>
        <v>46260</v>
      </c>
      <c r="B1027" s="0" t="str">
        <f aca="false">Report!E1624</f>
        <v>BRF S A</v>
      </c>
      <c r="C1027" s="15" t="n">
        <f aca="false">Report!U1624</f>
        <v>1164.76</v>
      </c>
      <c r="D1027" s="0" t="str">
        <f aca="false">Report!X1624</f>
        <v>NF 1619132 ELLEN</v>
      </c>
    </row>
    <row r="1028" customFormat="false" ht="12.75" hidden="false" customHeight="true" outlineLevel="0" collapsed="false">
      <c r="A1028" s="14" t="n">
        <f aca="false">Report!C1625</f>
        <v>46260</v>
      </c>
      <c r="B1028" s="0" t="str">
        <f aca="false">Report!E1625</f>
        <v>DISTRIBUIDORA LOPES LTDA</v>
      </c>
      <c r="C1028" s="15" t="n">
        <f aca="false">Report!U1625</f>
        <v>1279.58</v>
      </c>
      <c r="D1028" s="0" t="str">
        <f aca="false">Report!X1625</f>
        <v>NF 1709601 ELLEN</v>
      </c>
    </row>
    <row r="1029" customFormat="false" ht="12.75" hidden="false" customHeight="true" outlineLevel="0" collapsed="false">
      <c r="A1029" s="14" t="n">
        <f aca="false">Report!C1626</f>
        <v>46260</v>
      </c>
      <c r="B1029" s="0" t="str">
        <f aca="false">Report!E1626</f>
        <v>FH DISTRIBUIDORA DE ALIM. E BEBIDAS LTDA</v>
      </c>
      <c r="C1029" s="15" t="n">
        <f aca="false">Report!U1626</f>
        <v>700.7</v>
      </c>
      <c r="D1029" s="0" t="str">
        <f aca="false">Report!X1626</f>
        <v>NF 330057 ELLEN</v>
      </c>
    </row>
    <row r="1030" customFormat="false" ht="12.75" hidden="false" customHeight="true" outlineLevel="0" collapsed="false">
      <c r="A1030" s="14" t="n">
        <f aca="false">Report!C1629</f>
        <v>46260</v>
      </c>
      <c r="B1030" s="0" t="str">
        <f aca="false">Report!E1629</f>
        <v>NEYLIANE S DE OLIVEIRA &amp; CIA LTDA</v>
      </c>
      <c r="C1030" s="15" t="n">
        <f aca="false">Report!U1629</f>
        <v>300</v>
      </c>
      <c r="D1030" s="0" t="str">
        <f aca="false">Report!X1629</f>
        <v>COMPRAS - VISCERAS (BOLETO) - ELLEN</v>
      </c>
    </row>
    <row r="1031" customFormat="false" ht="12.75" hidden="false" customHeight="true" outlineLevel="0" collapsed="false">
      <c r="A1031" s="14" t="n">
        <f aca="false">Report!C1630</f>
        <v>46260</v>
      </c>
      <c r="B1031" s="0" t="str">
        <f aca="false">Report!E1630</f>
        <v>NEYLIANE S DE OLIVEIRA &amp; CIA LTDA</v>
      </c>
      <c r="C1031" s="15" t="n">
        <f aca="false">Report!U1630</f>
        <v>225</v>
      </c>
      <c r="D1031" s="0" t="str">
        <f aca="false">Report!X1630</f>
        <v>COMPRAS - 15L DE AÇAI - PG NO P 26/8/26 - ELLEN</v>
      </c>
    </row>
    <row r="1032" customFormat="false" ht="12.75" hidden="false" customHeight="true" outlineLevel="0" collapsed="false">
      <c r="A1032" s="14" t="n">
        <f aca="false">Report!C1631</f>
        <v>46260</v>
      </c>
      <c r="B1032" s="0" t="str">
        <f aca="false">Report!E1631</f>
        <v>PANIFICADORA E CONFEITARIA REAL MADRI LTDA</v>
      </c>
      <c r="C1032" s="15" t="n">
        <f aca="false">Report!U1631</f>
        <v>265.81</v>
      </c>
      <c r="D1032" s="0" t="str">
        <f aca="false">Report!X1631</f>
        <v>NF 772 ELLEN</v>
      </c>
    </row>
    <row r="1033" customFormat="false" ht="12.75" hidden="false" customHeight="true" outlineLevel="0" collapsed="false">
      <c r="A1033" s="14" t="n">
        <f aca="false">Report!C1635</f>
        <v>46260</v>
      </c>
      <c r="B1033" s="0" t="str">
        <f aca="false">Report!E1635</f>
        <v>SILVA E SANTOS FRIGORIFICO LTDA</v>
      </c>
      <c r="C1033" s="15" t="n">
        <f aca="false">Report!U1635</f>
        <v>1293.6</v>
      </c>
      <c r="D1033" s="0" t="str">
        <f aca="false">Report!X1635</f>
        <v>NF 32564 ELLEN</v>
      </c>
    </row>
    <row r="1034" customFormat="false" ht="12.75" hidden="false" customHeight="true" outlineLevel="0" collapsed="false">
      <c r="A1034" s="14" t="n">
        <f aca="false">Report!C1636</f>
        <v>46260</v>
      </c>
      <c r="B1034" s="0" t="str">
        <f aca="false">Report!E1636</f>
        <v>TOYA INDUSTRIA E COMERCIO LTDA.</v>
      </c>
      <c r="C1034" s="15" t="n">
        <f aca="false">Report!U1636</f>
        <v>1050.07</v>
      </c>
      <c r="D1034" s="0" t="str">
        <f aca="false">Report!X1636</f>
        <v>NF 257600 ELLEN</v>
      </c>
    </row>
    <row r="1035" customFormat="false" ht="12.75" hidden="false" customHeight="true" outlineLevel="0" collapsed="false">
      <c r="A1035" s="14" t="n">
        <f aca="false">Report!C1637</f>
        <v>46261</v>
      </c>
      <c r="B1035" s="0" t="str">
        <f aca="false">Report!E1637</f>
        <v>ADICSO FABIAN GONZALEZ MONTILLA 70302186</v>
      </c>
      <c r="C1035" s="15" t="n">
        <f aca="false">Report!U1637</f>
        <v>240</v>
      </c>
      <c r="D1035" s="0" t="str">
        <f aca="false">Report!X1637</f>
        <v>NF 621 ELLEN</v>
      </c>
    </row>
    <row r="1036" customFormat="false" ht="12.75" hidden="false" customHeight="true" outlineLevel="0" collapsed="false">
      <c r="A1036" s="14" t="n">
        <f aca="false">Report!C1638</f>
        <v>46261</v>
      </c>
      <c r="B1036" s="0" t="str">
        <f aca="false">Report!E1638</f>
        <v>ADRIANO FEITOSA OLIVEIRA LTDA</v>
      </c>
      <c r="C1036" s="15" t="n">
        <f aca="false">Report!U1638</f>
        <v>1734.8</v>
      </c>
      <c r="D1036" s="0" t="str">
        <f aca="false">Report!X1638</f>
        <v>NF 368 ELLEN</v>
      </c>
    </row>
    <row r="1037" customFormat="false" ht="12.75" hidden="false" customHeight="true" outlineLevel="0" collapsed="false">
      <c r="A1037" s="14" t="n">
        <f aca="false">Report!C1639</f>
        <v>46261</v>
      </c>
      <c r="B1037" s="0" t="str">
        <f aca="false">Report!E1639</f>
        <v>BRAGA TABACARIA EIRELI ME</v>
      </c>
      <c r="C1037" s="15" t="n">
        <f aca="false">Report!U1639</f>
        <v>610.06</v>
      </c>
      <c r="D1037" s="0" t="str">
        <f aca="false">Report!X1639</f>
        <v>RECIBO - 55927 - COMPRAS- CACHAÇA/VINHOD BOSCO- ELLEN</v>
      </c>
    </row>
    <row r="1038" customFormat="false" ht="12.75" hidden="false" customHeight="true" outlineLevel="0" collapsed="false">
      <c r="A1038" s="14" t="n">
        <f aca="false">Report!C1640</f>
        <v>46261</v>
      </c>
      <c r="B1038" s="0" t="str">
        <f aca="false">Report!E1640</f>
        <v>CB COMERCIO E DISTRIBUIDORA DE ALIMENTOS</v>
      </c>
      <c r="C1038" s="15" t="n">
        <f aca="false">Report!U1640</f>
        <v>436.02</v>
      </c>
      <c r="D1038" s="0" t="str">
        <f aca="false">Report!X1640</f>
        <v>NF 862791 ELLEN</v>
      </c>
    </row>
    <row r="1039" customFormat="false" ht="12.75" hidden="false" customHeight="true" outlineLevel="0" collapsed="false">
      <c r="A1039" s="14" t="n">
        <f aca="false">Report!C1641</f>
        <v>46261</v>
      </c>
      <c r="B1039" s="0" t="str">
        <f aca="false">Report!E1641</f>
        <v>DISTRIBUIDORA LOPES LTDA</v>
      </c>
      <c r="C1039" s="15" t="n">
        <f aca="false">Report!U1641</f>
        <v>692.26</v>
      </c>
      <c r="D1039" s="0" t="str">
        <f aca="false">Report!X1641</f>
        <v>NF 1710665 ELLEN</v>
      </c>
    </row>
    <row r="1040" customFormat="false" ht="12.75" hidden="false" customHeight="true" outlineLevel="0" collapsed="false">
      <c r="A1040" s="14" t="n">
        <f aca="false">Report!C1642</f>
        <v>46261</v>
      </c>
      <c r="B1040" s="0" t="str">
        <f aca="false">Report!E1642</f>
        <v>EDMARA COMERCIO DE HIGIENE PESSOAL LTDA</v>
      </c>
      <c r="C1040" s="15" t="n">
        <f aca="false">Report!U1642</f>
        <v>382.62</v>
      </c>
      <c r="D1040" s="0" t="str">
        <f aca="false">Report!X1642</f>
        <v>NF 8582 ELLEN</v>
      </c>
    </row>
    <row r="1041" customFormat="false" ht="12.75" hidden="false" customHeight="true" outlineLevel="0" collapsed="false">
      <c r="A1041" s="14" t="n">
        <f aca="false">Report!C1644</f>
        <v>46261</v>
      </c>
      <c r="B1041" s="0" t="str">
        <f aca="false">Report!E1644</f>
        <v>FENNIX BRASIL DISTRIBUIDORA DE PRODUTOS</v>
      </c>
      <c r="C1041" s="15" t="n">
        <f aca="false">Report!U1644</f>
        <v>668.77</v>
      </c>
      <c r="D1041" s="0" t="str">
        <f aca="false">Report!X1644</f>
        <v>NF 398227 ELLEN</v>
      </c>
    </row>
    <row r="1042" customFormat="false" ht="12.75" hidden="false" customHeight="true" outlineLevel="0" collapsed="false">
      <c r="A1042" s="14" t="n">
        <f aca="false">Report!C1645</f>
        <v>46261</v>
      </c>
      <c r="B1042" s="0" t="str">
        <f aca="false">Report!E1645</f>
        <v>H L M PADARIA E CONFEITARIA LTDA</v>
      </c>
      <c r="C1042" s="15" t="n">
        <f aca="false">Report!U1645</f>
        <v>140</v>
      </c>
      <c r="D1042" s="0" t="str">
        <f aca="false">Report!X1645</f>
        <v>NF 213 COMPRAS - BOLO PG NO P 27/8/26 ELLEN</v>
      </c>
    </row>
    <row r="1043" customFormat="false" ht="12.75" hidden="false" customHeight="true" outlineLevel="0" collapsed="false">
      <c r="A1043" s="14" t="n">
        <f aca="false">Report!C1646</f>
        <v>46261</v>
      </c>
      <c r="B1043" s="0" t="str">
        <f aca="false">Report!E1646</f>
        <v>J G COMERCIO DE PRODUTOS ALIMENTICIOS LTDA</v>
      </c>
      <c r="C1043" s="15" t="n">
        <f aca="false">Report!U1646</f>
        <v>628.19</v>
      </c>
      <c r="D1043" s="0" t="str">
        <f aca="false">Report!X1646</f>
        <v>NF 396443 ELLEN</v>
      </c>
    </row>
    <row r="1044" customFormat="false" ht="12.75" hidden="false" customHeight="true" outlineLevel="0" collapsed="false">
      <c r="A1044" s="14" t="n">
        <f aca="false">Report!C1647</f>
        <v>46261</v>
      </c>
      <c r="B1044" s="0" t="str">
        <f aca="false">Report!E1647</f>
        <v>NEYLIANE S DE OLIVEIRA &amp; CIA LTDA</v>
      </c>
      <c r="C1044" s="15" t="n">
        <f aca="false">Report!U1647</f>
        <v>225</v>
      </c>
      <c r="D1044" s="0" t="str">
        <f aca="false">Report!X1647</f>
        <v>COMPRAS - 15L DE AÇAI - PG NO P 27/8/26-ELLEN</v>
      </c>
    </row>
    <row r="1045" customFormat="false" ht="12.75" hidden="false" customHeight="true" outlineLevel="0" collapsed="false">
      <c r="A1045" s="14" t="n">
        <f aca="false">Report!C1648</f>
        <v>46261</v>
      </c>
      <c r="B1045" s="0" t="str">
        <f aca="false">Report!E1648</f>
        <v>OCIDENTAL COMERCIO DE FRIOS LTDA</v>
      </c>
      <c r="C1045" s="15" t="n">
        <f aca="false">Report!U1648</f>
        <v>386.74</v>
      </c>
      <c r="D1045" s="0" t="str">
        <f aca="false">Report!X1648</f>
        <v>NF 1258801 ELLEN</v>
      </c>
    </row>
    <row r="1046" customFormat="false" ht="12.75" hidden="false" customHeight="true" outlineLevel="0" collapsed="false">
      <c r="A1046" s="14" t="n">
        <f aca="false">Report!C1654</f>
        <v>46261</v>
      </c>
      <c r="B1046" s="0" t="str">
        <f aca="false">Report!E1654</f>
        <v>TAPAJOS COM DE PERFUMARIA COSMETICOS E G</v>
      </c>
      <c r="C1046" s="15" t="n">
        <f aca="false">Report!U1654</f>
        <v>793.82</v>
      </c>
      <c r="D1046" s="0" t="str">
        <f aca="false">Report!X1654</f>
        <v>NF 586415 ELLEN</v>
      </c>
    </row>
    <row r="1047" customFormat="false" ht="12.75" hidden="false" customHeight="true" outlineLevel="0" collapsed="false">
      <c r="A1047" s="14" t="n">
        <f aca="false">Report!C1655</f>
        <v>46261</v>
      </c>
      <c r="B1047" s="0" t="str">
        <f aca="false">Report!E1655</f>
        <v>VICTORIA COMERCIO INTERNACIONAL DE ALIME</v>
      </c>
      <c r="C1047" s="15" t="n">
        <f aca="false">Report!U1655</f>
        <v>855.99</v>
      </c>
      <c r="D1047" s="0" t="str">
        <f aca="false">Report!X1655</f>
        <v>NF 12793 ELLEN</v>
      </c>
    </row>
    <row r="1048" customFormat="false" ht="12.75" hidden="false" customHeight="true" outlineLevel="0" collapsed="false">
      <c r="A1048" s="14" t="n">
        <f aca="false">Report!C1656</f>
        <v>46262</v>
      </c>
      <c r="B1048" s="0" t="str">
        <f aca="false">Report!E1656</f>
        <v>BRASIL NORTE BEBIDAS S/A</v>
      </c>
      <c r="C1048" s="15" t="n">
        <f aca="false">Report!U1656</f>
        <v>50.85</v>
      </c>
      <c r="D1048" s="0" t="str">
        <f aca="false">Report!X1656</f>
        <v>NF 1246872 ELLEN</v>
      </c>
    </row>
    <row r="1049" customFormat="false" ht="12.75" hidden="false" customHeight="true" outlineLevel="0" collapsed="false">
      <c r="A1049" s="14" t="n">
        <f aca="false">Report!C1657</f>
        <v>46262</v>
      </c>
      <c r="B1049" s="0" t="str">
        <f aca="false">Report!E1657</f>
        <v>BRASIL NORTE BEBIDAS S/A</v>
      </c>
      <c r="C1049" s="15" t="n">
        <f aca="false">Report!U1657</f>
        <v>620.26</v>
      </c>
      <c r="D1049" s="0" t="str">
        <f aca="false">Report!X1657</f>
        <v>NF 1246873 ELLEN</v>
      </c>
    </row>
    <row r="1050" customFormat="false" ht="12.75" hidden="false" customHeight="true" outlineLevel="0" collapsed="false">
      <c r="A1050" s="14" t="n">
        <f aca="false">Report!C1658</f>
        <v>46262</v>
      </c>
      <c r="B1050" s="0" t="str">
        <f aca="false">Report!E1658</f>
        <v>BRASIL NORTE BEBIDAS S/A</v>
      </c>
      <c r="C1050" s="15" t="n">
        <f aca="false">Report!U1658</f>
        <v>2148.12</v>
      </c>
      <c r="D1050" s="0" t="str">
        <f aca="false">Report!X1658</f>
        <v>NF 1986776 ELLEN</v>
      </c>
    </row>
    <row r="1051" customFormat="false" ht="12.75" hidden="false" customHeight="true" outlineLevel="0" collapsed="false">
      <c r="A1051" s="14" t="n">
        <f aca="false">Report!C1659</f>
        <v>46262</v>
      </c>
      <c r="B1051" s="0" t="str">
        <f aca="false">Report!E1659</f>
        <v>COMERCIO DE FRIOS MANAUS LTDA</v>
      </c>
      <c r="C1051" s="15" t="n">
        <f aca="false">Report!U1659</f>
        <v>2334.75</v>
      </c>
      <c r="D1051" s="0" t="str">
        <f aca="false">Report!X1659</f>
        <v>NF 175038 ELLEN</v>
      </c>
    </row>
    <row r="1052" customFormat="false" ht="12.75" hidden="false" customHeight="true" outlineLevel="0" collapsed="false">
      <c r="A1052" s="14" t="n">
        <f aca="false">Report!C1660</f>
        <v>46262</v>
      </c>
      <c r="B1052" s="0" t="str">
        <f aca="false">Report!E1660</f>
        <v>FEIRA</v>
      </c>
      <c r="C1052" s="15" t="n">
        <f aca="false">Report!U1660</f>
        <v>380</v>
      </c>
      <c r="D1052" s="0" t="str">
        <f aca="false">Report!X1660</f>
        <v>FEIRA -PG C6-BANK/RENATO-KIWI/UVA/MORAN-SOMAR C NF2637-ELLEN</v>
      </c>
    </row>
    <row r="1053" customFormat="false" ht="12.75" hidden="false" customHeight="true" outlineLevel="0" collapsed="false">
      <c r="A1053" s="14" t="n">
        <f aca="false">Report!C1662</f>
        <v>46262</v>
      </c>
      <c r="B1053" s="0" t="str">
        <f aca="false">Report!E1662</f>
        <v>L S M COMERCIO DE ALIMENTOS E NAVEGACAO</v>
      </c>
      <c r="C1053" s="15" t="n">
        <f aca="false">Report!U1662</f>
        <v>474.75</v>
      </c>
      <c r="D1053" s="0" t="str">
        <f aca="false">Report!X1662</f>
        <v>NF 311351 ELLEN</v>
      </c>
    </row>
    <row r="1054" customFormat="false" ht="12.75" hidden="false" customHeight="true" outlineLevel="0" collapsed="false">
      <c r="A1054" s="14" t="n">
        <f aca="false">Report!C1663</f>
        <v>46262</v>
      </c>
      <c r="B1054" s="0" t="str">
        <f aca="false">Report!E1663</f>
        <v>LOURIVAL ALMEIDA DA SILVA 17128784845</v>
      </c>
      <c r="C1054" s="15" t="n">
        <f aca="false">Report!U1663</f>
        <v>160.32</v>
      </c>
      <c r="D1054" s="0" t="str">
        <f aca="false">Report!X1663</f>
        <v>NF 532 COMPRAS-MARSHMALOW-ELLEN</v>
      </c>
    </row>
    <row r="1055" customFormat="false" ht="12.75" hidden="false" customHeight="true" outlineLevel="0" collapsed="false">
      <c r="A1055" s="14" t="n">
        <f aca="false">Report!C1664</f>
        <v>46262</v>
      </c>
      <c r="B1055" s="0" t="str">
        <f aca="false">Report!E1664</f>
        <v>NEYLIANE S DE OLIVEIRA &amp; CIA LTDA</v>
      </c>
      <c r="C1055" s="15" t="n">
        <f aca="false">Report!U1664</f>
        <v>1383</v>
      </c>
      <c r="D1055" s="0" t="str">
        <f aca="false">Report!X1664</f>
        <v>COMPRAS - FARINHA CRUZEIRO - ELLEN</v>
      </c>
    </row>
    <row r="1056" customFormat="false" ht="12.75" hidden="false" customHeight="true" outlineLevel="0" collapsed="false">
      <c r="A1056" s="14" t="n">
        <f aca="false">Report!C1665</f>
        <v>46262</v>
      </c>
      <c r="B1056" s="0" t="str">
        <f aca="false">Report!E1665</f>
        <v>NEYLIANE S DE OLIVEIRA &amp; CIA LTDA</v>
      </c>
      <c r="C1056" s="15" t="n">
        <f aca="false">Report!U1665</f>
        <v>200</v>
      </c>
      <c r="D1056" s="0" t="str">
        <f aca="false">Report!X1665</f>
        <v>COMPRAS -PACOVA/LIMAO PG PIX CNPJ 67144863/0001-03-ELLEN</v>
      </c>
    </row>
    <row r="1057" customFormat="false" ht="12.75" hidden="false" customHeight="true" outlineLevel="0" collapsed="false">
      <c r="A1057" s="14" t="n">
        <f aca="false">Report!C1666</f>
        <v>46262</v>
      </c>
      <c r="B1057" s="0" t="str">
        <f aca="false">Report!E1666</f>
        <v>NEYLIANE S DE OLIVEIRA &amp; CIA LTDA</v>
      </c>
      <c r="C1057" s="15" t="n">
        <f aca="false">Report!U1666</f>
        <v>1457.5</v>
      </c>
      <c r="D1057" s="0" t="str">
        <f aca="false">Report!X1666</f>
        <v>FEIRA - PG P/ C6-BANK-RENATO - ELLEN</v>
      </c>
    </row>
    <row r="1058" customFormat="false" ht="12.75" hidden="false" customHeight="true" outlineLevel="0" collapsed="false">
      <c r="A1058" s="14" t="n">
        <f aca="false">Report!C1667</f>
        <v>46262</v>
      </c>
      <c r="B1058" s="0" t="str">
        <f aca="false">Report!E1667</f>
        <v>SAO JOSE COMERCIO DE LATICINIOS E FRIOS</v>
      </c>
      <c r="C1058" s="15" t="n">
        <f aca="false">Report!U1667</f>
        <v>814.25</v>
      </c>
      <c r="D1058" s="0" t="str">
        <f aca="false">Report!X1667</f>
        <v>NF 3877 ELLEN</v>
      </c>
    </row>
    <row r="1059" customFormat="false" ht="12.75" hidden="false" customHeight="true" outlineLevel="0" collapsed="false">
      <c r="A1059" s="14" t="n">
        <f aca="false">Report!C1673</f>
        <v>46262</v>
      </c>
      <c r="B1059" s="0" t="str">
        <f aca="false">Report!E1673</f>
        <v>SOUZA CRUZ LTDA.</v>
      </c>
      <c r="C1059" s="15" t="n">
        <f aca="false">Report!U1673</f>
        <v>4605.48</v>
      </c>
      <c r="D1059" s="0" t="str">
        <f aca="false">Report!X1673</f>
        <v>NF 569335 ELLEN</v>
      </c>
    </row>
    <row r="1060" customFormat="false" ht="12.75" hidden="false" customHeight="true" outlineLevel="0" collapsed="false">
      <c r="A1060" s="14" t="n">
        <f aca="false">Report!C1674</f>
        <v>46262</v>
      </c>
      <c r="B1060" s="0" t="str">
        <f aca="false">Report!E1674</f>
        <v>SOUZA CRUZ LTDA.</v>
      </c>
      <c r="C1060" s="15" t="n">
        <f aca="false">Report!U1674</f>
        <v>5860.74</v>
      </c>
      <c r="D1060" s="0" t="str">
        <f aca="false">Report!X1674</f>
        <v>NF 570907 ELLEN</v>
      </c>
    </row>
    <row r="1061" customFormat="false" ht="12.75" hidden="false" customHeight="true" outlineLevel="0" collapsed="false">
      <c r="A1061" s="14" t="n">
        <f aca="false">Report!C1675</f>
        <v>46263</v>
      </c>
      <c r="B1061" s="0" t="str">
        <f aca="false">Report!E1675</f>
        <v>DISTRIBUIDORA FARIAS LTDA.</v>
      </c>
      <c r="C1061" s="15" t="n">
        <f aca="false">Report!U1675</f>
        <v>706.56</v>
      </c>
      <c r="D1061" s="0" t="str">
        <f aca="false">Report!X1675</f>
        <v>NF 689222 ELLEN</v>
      </c>
    </row>
    <row r="1062" customFormat="false" ht="12.75" hidden="false" customHeight="true" outlineLevel="0" collapsed="false">
      <c r="A1062" s="14" t="n">
        <f aca="false">Report!C1676</f>
        <v>46263</v>
      </c>
      <c r="B1062" s="0" t="str">
        <f aca="false">Report!E1676</f>
        <v>DISTRIBUIDORA FARIAS LTDA.</v>
      </c>
      <c r="C1062" s="15" t="n">
        <f aca="false">Report!U1676</f>
        <v>1422.67</v>
      </c>
      <c r="D1062" s="0" t="str">
        <f aca="false">Report!X1676</f>
        <v>NF 689224 ELLEN</v>
      </c>
    </row>
    <row r="1063" customFormat="false" ht="12.75" hidden="false" customHeight="true" outlineLevel="0" collapsed="false">
      <c r="A1063" s="14" t="n">
        <f aca="false">Report!C1677</f>
        <v>46263</v>
      </c>
      <c r="B1063" s="0" t="str">
        <f aca="false">Report!E1677</f>
        <v>H L M PADARIA E CONFEITARIA LTDA</v>
      </c>
      <c r="C1063" s="15" t="n">
        <f aca="false">Report!U1677</f>
        <v>140</v>
      </c>
      <c r="D1063" s="0" t="str">
        <f aca="false">Report!X1677</f>
        <v>NF 218 COMPRAS-BOLO PG NO P 29/8/26 ELLEN</v>
      </c>
    </row>
    <row r="1064" customFormat="false" ht="12.75" hidden="false" customHeight="true" outlineLevel="0" collapsed="false">
      <c r="A1064" s="14" t="n">
        <f aca="false">Report!C1678</f>
        <v>46263</v>
      </c>
      <c r="B1064" s="0" t="str">
        <f aca="false">Report!E1678</f>
        <v>MAXFRI DISTRIUIDORA LTDA</v>
      </c>
      <c r="C1064" s="15" t="n">
        <f aca="false">Report!U1678</f>
        <v>4164.18</v>
      </c>
      <c r="D1064" s="0" t="str">
        <f aca="false">Report!X1678</f>
        <v>NF 15127 ELLEN</v>
      </c>
    </row>
    <row r="1065" customFormat="false" ht="12.75" hidden="false" customHeight="true" outlineLevel="0" collapsed="false">
      <c r="A1065" s="14" t="n">
        <f aca="false">Report!C1679</f>
        <v>46263</v>
      </c>
      <c r="B1065" s="0" t="str">
        <f aca="false">Report!E1679</f>
        <v>NEYLIANE S DE OLIVEIRA &amp; CIA LTDA</v>
      </c>
      <c r="C1065" s="15" t="n">
        <f aca="false">Report!U1679</f>
        <v>300</v>
      </c>
      <c r="D1065" s="0" t="str">
        <f aca="false">Report!X1679</f>
        <v>COMPRAS - 20L DE AÇAI - PG NO P 29/8/26</v>
      </c>
    </row>
    <row r="1066" customFormat="false" ht="12.75" hidden="false" customHeight="true" outlineLevel="0" collapsed="false">
      <c r="A1066" s="14" t="n">
        <f aca="false">Report!C1683</f>
        <v>46263</v>
      </c>
      <c r="B1066" s="0" t="str">
        <f aca="false">Report!E1683</f>
        <v>SEM FORNECEDOR</v>
      </c>
      <c r="C1066" s="15" t="n">
        <f aca="false">Report!U1683</f>
        <v>200</v>
      </c>
      <c r="D1066" s="0" t="str">
        <f aca="false">Report!X1683</f>
        <v>recibo-compras-trufas-genio</v>
      </c>
    </row>
    <row r="1067" customFormat="false" ht="12.75" hidden="false" customHeight="true" outlineLevel="0" collapsed="false">
      <c r="A1067" s="14" t="n">
        <f aca="false">Report!C1684</f>
        <v>46263</v>
      </c>
      <c r="B1067" s="0" t="str">
        <f aca="false">Report!E1684</f>
        <v>SEM FORNECEDOR</v>
      </c>
      <c r="C1067" s="15" t="n">
        <f aca="false">Report!U1684</f>
        <v>72</v>
      </c>
      <c r="D1067" s="0" t="str">
        <f aca="false">Report!X1684</f>
        <v>recibo-compras-4 cxs brigadeiro-jose</v>
      </c>
    </row>
    <row r="1068" customFormat="false" ht="12.75" hidden="false" customHeight="true" outlineLevel="0" collapsed="false">
      <c r="A1068" s="14" t="n">
        <f aca="false">Report!C1688</f>
        <v>46264</v>
      </c>
      <c r="B1068" s="0" t="str">
        <f aca="false">Report!E1688</f>
        <v>AMAZON DISTRIBUIDORA DE PRODUTOS ALIMENT</v>
      </c>
      <c r="C1068" s="15" t="n">
        <f aca="false">Report!U1688</f>
        <v>618.65</v>
      </c>
      <c r="D1068" s="0" t="str">
        <f aca="false">Report!X1688</f>
        <v>NF 91661 ELLEN</v>
      </c>
    </row>
    <row r="1069" customFormat="false" ht="12.75" hidden="false" customHeight="true" outlineLevel="0" collapsed="false">
      <c r="A1069" s="14" t="n">
        <f aca="false">Report!C1689</f>
        <v>46264</v>
      </c>
      <c r="B1069" s="0" t="str">
        <f aca="false">Report!E1689</f>
        <v>COMERCIO DE FRIOS MANAUS LTDA</v>
      </c>
      <c r="C1069" s="15" t="n">
        <f aca="false">Report!U1689</f>
        <v>3809.5</v>
      </c>
      <c r="D1069" s="0" t="str">
        <f aca="false">Report!X1689</f>
        <v>NF 175169 ELLEN</v>
      </c>
    </row>
    <row r="1070" customFormat="false" ht="12.75" hidden="false" customHeight="true" outlineLevel="0" collapsed="false">
      <c r="A1070" s="14" t="n">
        <f aca="false">Report!C1691</f>
        <v>46264</v>
      </c>
      <c r="B1070" s="0" t="str">
        <f aca="false">Report!E1691</f>
        <v>PRIME PET DISTRIBUIDORA LTDA</v>
      </c>
      <c r="C1070" s="15" t="n">
        <f aca="false">Report!U1691</f>
        <v>446.28</v>
      </c>
      <c r="D1070" s="0" t="str">
        <f aca="false">Report!X1691</f>
        <v>NF 11173 ELLEN</v>
      </c>
    </row>
    <row r="1071" customFormat="false" ht="12.75" hidden="false" customHeight="true" outlineLevel="0" collapsed="false">
      <c r="A1071" s="14" t="n">
        <f aca="false">Report!C1697</f>
        <v>46265</v>
      </c>
      <c r="B1071" s="0" t="str">
        <f aca="false">Report!E1697</f>
        <v>ATACADAO S.A.</v>
      </c>
      <c r="C1071" s="15" t="n">
        <f aca="false">Report!U1697</f>
        <v>1220.6</v>
      </c>
      <c r="D1071" s="0" t="str">
        <f aca="false">Report!X1697</f>
        <v>NF 1915875 ELLEN</v>
      </c>
    </row>
    <row r="1072" customFormat="false" ht="12.75" hidden="false" customHeight="true" outlineLevel="0" collapsed="false">
      <c r="A1072" s="14" t="n">
        <f aca="false">Report!C1699</f>
        <v>46265</v>
      </c>
      <c r="B1072" s="0" t="str">
        <f aca="false">Report!E1699</f>
        <v>DURAES DISTRIBUIDORA DE ESTIVAS LTDA</v>
      </c>
      <c r="C1072" s="15" t="n">
        <f aca="false">Report!U1699</f>
        <v>431.3</v>
      </c>
      <c r="D1072" s="0" t="str">
        <f aca="false">Report!X1699</f>
        <v>NF 654908 ELLEN</v>
      </c>
    </row>
    <row r="1073" customFormat="false" ht="12.75" hidden="false" customHeight="true" outlineLevel="0" collapsed="false">
      <c r="A1073" s="14" t="n">
        <f aca="false">Report!C1700</f>
        <v>46265</v>
      </c>
      <c r="B1073" s="0" t="str">
        <f aca="false">Report!E1700</f>
        <v>DURAES DISTRIBUIDORA DE ESTIVAS LTDA</v>
      </c>
      <c r="C1073" s="15" t="n">
        <f aca="false">Report!U1700</f>
        <v>606.55</v>
      </c>
      <c r="D1073" s="0" t="str">
        <f aca="false">Report!X1700</f>
        <v>NF 654907 ELLEN</v>
      </c>
    </row>
    <row r="1074" customFormat="false" ht="12.75" hidden="false" customHeight="true" outlineLevel="0" collapsed="false">
      <c r="A1074" s="14" t="n">
        <f aca="false">Report!C1701</f>
        <v>46265</v>
      </c>
      <c r="B1074" s="0" t="str">
        <f aca="false">Report!E1701</f>
        <v>EDSON AGUIAR DE SOUZA</v>
      </c>
      <c r="C1074" s="15" t="n">
        <f aca="false">Report!U1701</f>
        <v>97.5</v>
      </c>
      <c r="D1074" s="0" t="str">
        <f aca="false">Report!X1701</f>
        <v>COMPRAS - CHEIRO-VERDE - ELLEN</v>
      </c>
    </row>
    <row r="1075" customFormat="false" ht="12.75" hidden="false" customHeight="true" outlineLevel="0" collapsed="false">
      <c r="A1075" s="14" t="n">
        <f aca="false">Report!C1702</f>
        <v>46265</v>
      </c>
      <c r="B1075" s="0" t="str">
        <f aca="false">Report!E1702</f>
        <v>EDSON AGUIAR DE SOUZA</v>
      </c>
      <c r="C1075" s="15" t="n">
        <f aca="false">Report!U1702</f>
        <v>151</v>
      </c>
      <c r="D1075" s="0" t="str">
        <f aca="false">Report!X1702</f>
        <v>COMPRAS - CHEIRO-VERDE - ELLEN</v>
      </c>
    </row>
    <row r="1076" customFormat="false" ht="12.75" hidden="false" customHeight="true" outlineLevel="0" collapsed="false">
      <c r="A1076" s="14" t="n">
        <f aca="false">Report!C1703</f>
        <v>46265</v>
      </c>
      <c r="B1076" s="0" t="str">
        <f aca="false">Report!E1703</f>
        <v>EDSON AGUIAR DE SOUZA</v>
      </c>
      <c r="C1076" s="15" t="n">
        <f aca="false">Report!U1703</f>
        <v>156</v>
      </c>
      <c r="D1076" s="0" t="str">
        <f aca="false">Report!X1703</f>
        <v>COMPRAS - CHEIRO-VERDE - ELLEN</v>
      </c>
    </row>
    <row r="1077" customFormat="false" ht="12.75" hidden="false" customHeight="true" outlineLevel="0" collapsed="false">
      <c r="A1077" s="14" t="n">
        <f aca="false">Report!C1704</f>
        <v>46265</v>
      </c>
      <c r="B1077" s="0" t="str">
        <f aca="false">Report!E1704</f>
        <v>EDSON AGUIAR DE SOUZA</v>
      </c>
      <c r="C1077" s="15" t="n">
        <f aca="false">Report!U1704</f>
        <v>100.5</v>
      </c>
      <c r="D1077" s="0" t="str">
        <f aca="false">Report!X1704</f>
        <v>COMPRAS - CHEIRO-VERDE - ELLEN</v>
      </c>
    </row>
    <row r="1078" customFormat="false" ht="12.75" hidden="false" customHeight="true" outlineLevel="0" collapsed="false">
      <c r="A1078" s="14" t="n">
        <f aca="false">Report!C1705</f>
        <v>46265</v>
      </c>
      <c r="B1078" s="0" t="str">
        <f aca="false">Report!E1705</f>
        <v>EDSON AGUIAR DE SOUZA</v>
      </c>
      <c r="C1078" s="15" t="n">
        <f aca="false">Report!U1705</f>
        <v>140</v>
      </c>
      <c r="D1078" s="0" t="str">
        <f aca="false">Report!X1705</f>
        <v>COMPRAS - CHEIRO-VERDE - ELLEN</v>
      </c>
    </row>
    <row r="1079" customFormat="false" ht="12.75" hidden="false" customHeight="true" outlineLevel="0" collapsed="false">
      <c r="A1079" s="14" t="n">
        <f aca="false">Report!C1706</f>
        <v>46265</v>
      </c>
      <c r="B1079" s="0" t="str">
        <f aca="false">Report!E1706</f>
        <v>EDSON AGUIAR DE SOUZA</v>
      </c>
      <c r="C1079" s="15" t="n">
        <f aca="false">Report!U1706</f>
        <v>126</v>
      </c>
      <c r="D1079" s="0" t="str">
        <f aca="false">Report!X1706</f>
        <v>COMPRAS - CHEIRO-VERDE - ELLEN</v>
      </c>
    </row>
    <row r="1080" customFormat="false" ht="12.75" hidden="false" customHeight="true" outlineLevel="0" collapsed="false">
      <c r="A1080" s="14" t="n">
        <f aca="false">Report!C1707</f>
        <v>46265</v>
      </c>
      <c r="B1080" s="0" t="str">
        <f aca="false">Report!E1707</f>
        <v>EDSON AGUIAR DE SOUZA</v>
      </c>
      <c r="C1080" s="15" t="n">
        <f aca="false">Report!U1707</f>
        <v>137</v>
      </c>
      <c r="D1080" s="0" t="str">
        <f aca="false">Report!X1707</f>
        <v>COMPRAS - CHEIRO-VERDE - ELLEN</v>
      </c>
    </row>
    <row r="1081" customFormat="false" ht="12.75" hidden="false" customHeight="true" outlineLevel="0" collapsed="false">
      <c r="A1081" s="14" t="n">
        <f aca="false">Report!C1708</f>
        <v>46265</v>
      </c>
      <c r="B1081" s="0" t="str">
        <f aca="false">Report!E1708</f>
        <v>EDSON AGUIAR DE SOUZA</v>
      </c>
      <c r="C1081" s="15" t="n">
        <f aca="false">Report!U1708</f>
        <v>192</v>
      </c>
      <c r="D1081" s="0" t="str">
        <f aca="false">Report!X1708</f>
        <v>COMPRAS - CHEIRO-VERDE - ELLEN</v>
      </c>
    </row>
    <row r="1082" customFormat="false" ht="12.75" hidden="false" customHeight="true" outlineLevel="0" collapsed="false">
      <c r="A1082" s="14" t="n">
        <f aca="false">Report!C1709</f>
        <v>46265</v>
      </c>
      <c r="B1082" s="0" t="str">
        <f aca="false">Report!E1709</f>
        <v>EDSON AGUIAR DE SOUZA</v>
      </c>
      <c r="C1082" s="15" t="n">
        <f aca="false">Report!U1709</f>
        <v>148.5</v>
      </c>
      <c r="D1082" s="0" t="str">
        <f aca="false">Report!X1709</f>
        <v>COMPRAS - CHEIRO-VERDE - ELLEN</v>
      </c>
    </row>
    <row r="1083" customFormat="false" ht="12.75" hidden="false" customHeight="true" outlineLevel="0" collapsed="false">
      <c r="A1083" s="14" t="n">
        <f aca="false">Report!C1710</f>
        <v>46265</v>
      </c>
      <c r="B1083" s="0" t="str">
        <f aca="false">Report!E1710</f>
        <v>EDSON AGUIAR DE SOUZA</v>
      </c>
      <c r="C1083" s="15" t="n">
        <f aca="false">Report!U1710</f>
        <v>150</v>
      </c>
      <c r="D1083" s="0" t="str">
        <f aca="false">Report!X1710</f>
        <v>COMPRAS-CHEIRO-VERDE - ELLEN</v>
      </c>
    </row>
    <row r="1084" customFormat="false" ht="12.75" hidden="false" customHeight="true" outlineLevel="0" collapsed="false">
      <c r="A1084" s="14" t="n">
        <f aca="false">Report!C1712</f>
        <v>46265</v>
      </c>
      <c r="B1084" s="0" t="str">
        <f aca="false">Report!E1712</f>
        <v>J W N DOS SANTOS</v>
      </c>
      <c r="C1084" s="15" t="n">
        <f aca="false">Report!U1712</f>
        <v>214.5</v>
      </c>
      <c r="D1084" s="0" t="str">
        <f aca="false">Report!X1712</f>
        <v>NF 421 COMPRAS-CARVAO - ELLEN</v>
      </c>
    </row>
    <row r="1085" customFormat="false" ht="12.75" hidden="false" customHeight="true" outlineLevel="0" collapsed="false">
      <c r="A1085" s="14" t="n">
        <f aca="false">Report!C1713</f>
        <v>46265</v>
      </c>
      <c r="B1085" s="0" t="str">
        <f aca="false">Report!E1713</f>
        <v>L S M COMERCIO DE ALIMENTOS E NAVEGACAO</v>
      </c>
      <c r="C1085" s="15" t="n">
        <f aca="false">Report!U1713</f>
        <v>658.8</v>
      </c>
      <c r="D1085" s="0" t="str">
        <f aca="false">Report!X1713</f>
        <v>NF 311270 ELLEN</v>
      </c>
    </row>
    <row r="1086" customFormat="false" ht="12.75" hidden="false" customHeight="true" outlineLevel="0" collapsed="false">
      <c r="A1086" s="14" t="n">
        <f aca="false">Report!C1714</f>
        <v>46265</v>
      </c>
      <c r="B1086" s="0" t="str">
        <f aca="false">Report!E1714</f>
        <v>L S M COMERCIO DE ALIMENTOS E NAVEGACAO</v>
      </c>
      <c r="C1086" s="15" t="n">
        <f aca="false">Report!U1714</f>
        <v>658.8</v>
      </c>
      <c r="D1086" s="0" t="str">
        <f aca="false">Report!X1714</f>
        <v>NF 311270 (BOLETO PG C/ ATRASO-VENCEU DIA 24/8/26) - ELLEN</v>
      </c>
    </row>
    <row r="1087" customFormat="false" ht="12.75" hidden="false" customHeight="true" outlineLevel="0" collapsed="false">
      <c r="A1087" s="14" t="n">
        <f aca="false">Report!C1715</f>
        <v>46265</v>
      </c>
      <c r="B1087" s="0" t="str">
        <f aca="false">Report!E1715</f>
        <v>MARQUES &amp; MELO LTDA - FILIAL</v>
      </c>
      <c r="C1087" s="15" t="n">
        <f aca="false">Report!U1715</f>
        <v>470.34</v>
      </c>
      <c r="D1087" s="0" t="str">
        <f aca="false">Report!X1715</f>
        <v>NF 508442 ELLEN</v>
      </c>
    </row>
    <row r="1088" customFormat="false" ht="12.75" hidden="false" customHeight="true" outlineLevel="0" collapsed="false">
      <c r="A1088" s="14" t="n">
        <f aca="false">Report!C1716</f>
        <v>46265</v>
      </c>
      <c r="B1088" s="0" t="str">
        <f aca="false">Report!E1716</f>
        <v>NEYLIANE S DE OLIVEIRA &amp; CIA LTDA</v>
      </c>
      <c r="C1088" s="15" t="n">
        <f aca="false">Report!U1716</f>
        <v>300</v>
      </c>
      <c r="D1088" s="0" t="str">
        <f aca="false">Report!X1716</f>
        <v>COMPRAS- 20L DE AÇAI - PG NO P 31/8/26 - ELLEN</v>
      </c>
    </row>
    <row r="1089" customFormat="false" ht="12.75" hidden="false" customHeight="true" outlineLevel="0" collapsed="false">
      <c r="A1089" s="14" t="n">
        <f aca="false">Report!C1717</f>
        <v>46265</v>
      </c>
      <c r="B1089" s="0" t="str">
        <f aca="false">Report!E1717</f>
        <v>NORTELAC DISTRIBUIDORA DE FRIOS LTDA</v>
      </c>
      <c r="C1089" s="15" t="n">
        <f aca="false">Report!U1717</f>
        <v>460</v>
      </c>
      <c r="D1089" s="0" t="str">
        <f aca="false">Report!X1717</f>
        <v>NF 46622 ELLEN</v>
      </c>
    </row>
    <row r="1090" customFormat="false" ht="12.75" hidden="false" customHeight="true" outlineLevel="0" collapsed="false">
      <c r="A1090" s="14" t="n">
        <f aca="false">Report!C1718</f>
        <v>46265</v>
      </c>
      <c r="B1090" s="0" t="str">
        <f aca="false">Report!E1718</f>
        <v>NOVA FRIOS COMERCIO ATACADISTA DE LATICINIOS LTDA</v>
      </c>
      <c r="C1090" s="15" t="n">
        <f aca="false">Report!U1718</f>
        <v>215.9</v>
      </c>
      <c r="D1090" s="0" t="str">
        <f aca="false">Report!X1718</f>
        <v>NF 4446 ELLEN</v>
      </c>
    </row>
    <row r="1091" customFormat="false" ht="12.75" hidden="false" customHeight="true" outlineLevel="0" collapsed="false">
      <c r="A1091" s="14" t="n">
        <f aca="false">Report!C1727</f>
        <v>46266</v>
      </c>
      <c r="B1091" s="0" t="str">
        <f aca="false">Report!E1727</f>
        <v>A. CORREA JUNIOR</v>
      </c>
      <c r="C1091" s="15" t="n">
        <f aca="false">Report!U1727</f>
        <v>1290.16</v>
      </c>
      <c r="D1091" s="0" t="str">
        <f aca="false">Report!X1727</f>
        <v>NF 1829 CARTÃO DIA 1 PARC 3/3 - ELLEN</v>
      </c>
    </row>
    <row r="1092" customFormat="false" ht="12.75" hidden="false" customHeight="true" outlineLevel="0" collapsed="false">
      <c r="A1092" s="14" t="n">
        <f aca="false">Report!C1728</f>
        <v>46266</v>
      </c>
      <c r="B1092" s="0" t="str">
        <f aca="false">Report!E1728</f>
        <v>A. CORREA JUNIOR</v>
      </c>
      <c r="C1092" s="15" t="n">
        <f aca="false">Report!U1728</f>
        <v>638.75</v>
      </c>
      <c r="D1092" s="0" t="str">
        <f aca="false">Report!X1728</f>
        <v>NF 1898 CT DIA 1 - PARC 1/2 - ELLEN</v>
      </c>
    </row>
    <row r="1093" customFormat="false" ht="12.75" hidden="false" customHeight="true" outlineLevel="0" collapsed="false">
      <c r="A1093" s="14" t="n">
        <f aca="false">Report!C1729</f>
        <v>46266</v>
      </c>
      <c r="B1093" s="0" t="str">
        <f aca="false">Report!E1729</f>
        <v>ADICSO FABIAN GONZALEZ MONTILLA 70302186</v>
      </c>
      <c r="C1093" s="15" t="n">
        <f aca="false">Report!U1729</f>
        <v>240</v>
      </c>
      <c r="D1093" s="0" t="str">
        <f aca="false">Report!X1729</f>
        <v>NF 627 ELLEN</v>
      </c>
    </row>
    <row r="1094" customFormat="false" ht="12.75" hidden="false" customHeight="true" outlineLevel="0" collapsed="false">
      <c r="A1094" s="14" t="n">
        <f aca="false">Report!C1732</f>
        <v>46266</v>
      </c>
      <c r="B1094" s="0" t="str">
        <f aca="false">Report!E1732</f>
        <v>BONNA VITTA INDUSTRIA E COMERCIO LTDA.</v>
      </c>
      <c r="C1094" s="15" t="n">
        <f aca="false">Report!U1732</f>
        <v>1276.2</v>
      </c>
      <c r="D1094" s="0" t="str">
        <f aca="false">Report!X1732</f>
        <v>NF 3745 ELLEN</v>
      </c>
    </row>
    <row r="1095" customFormat="false" ht="12.75" hidden="false" customHeight="true" outlineLevel="0" collapsed="false">
      <c r="A1095" s="14" t="n">
        <f aca="false">Report!C1733</f>
        <v>46266</v>
      </c>
      <c r="B1095" s="0" t="str">
        <f aca="false">Report!E1733</f>
        <v>BRASIL NORTE BEBIDAS S/A</v>
      </c>
      <c r="C1095" s="15" t="n">
        <f aca="false">Report!U1733</f>
        <v>2351.65</v>
      </c>
      <c r="D1095" s="0" t="str">
        <f aca="false">Report!X1733</f>
        <v>NF 1993231 ELLEN</v>
      </c>
    </row>
    <row r="1096" customFormat="false" ht="12.75" hidden="false" customHeight="true" outlineLevel="0" collapsed="false">
      <c r="A1096" s="14" t="n">
        <f aca="false">Report!C1734</f>
        <v>46266</v>
      </c>
      <c r="B1096" s="0" t="str">
        <f aca="false">Report!E1734</f>
        <v>BROTHERS  INDUSTRIA DE ALIMENTOS LTDA</v>
      </c>
      <c r="C1096" s="15" t="n">
        <f aca="false">Report!U1734</f>
        <v>437.2</v>
      </c>
      <c r="D1096" s="0" t="str">
        <f aca="false">Report!X1734</f>
        <v>NF 1038558 ELLEN</v>
      </c>
    </row>
    <row r="1097" customFormat="false" ht="12.75" hidden="false" customHeight="true" outlineLevel="0" collapsed="false">
      <c r="A1097" s="14" t="n">
        <f aca="false">Report!C1736</f>
        <v>46266</v>
      </c>
      <c r="B1097" s="0" t="str">
        <f aca="false">Report!E1736</f>
        <v>FEIRA</v>
      </c>
      <c r="C1097" s="15" t="n">
        <f aca="false">Report!U1736</f>
        <v>930</v>
      </c>
      <c r="D1097" s="0" t="str">
        <f aca="false">Report!X1736</f>
        <v>FEIRA SR RENATO -PG P/ LJ1-ALHO/MACA/UVA-SOMAR C NF2650- ELLEN</v>
      </c>
    </row>
    <row r="1098" customFormat="false" ht="12.75" hidden="false" customHeight="true" outlineLevel="0" collapsed="false">
      <c r="A1098" s="14" t="n">
        <f aca="false">Report!C1737</f>
        <v>46266</v>
      </c>
      <c r="B1098" s="0" t="str">
        <f aca="false">Report!E1737</f>
        <v>FRUTAL INDUSTRIA E COMERCIO LTDA</v>
      </c>
      <c r="C1098" s="15" t="n">
        <f aca="false">Report!U1737</f>
        <v>363.97</v>
      </c>
      <c r="D1098" s="0" t="str">
        <f aca="false">Report!X1737</f>
        <v>NF 229698 ELLEN</v>
      </c>
    </row>
    <row r="1099" customFormat="false" ht="12.75" hidden="false" customHeight="true" outlineLevel="0" collapsed="false">
      <c r="A1099" s="14" t="n">
        <f aca="false">Report!C1738</f>
        <v>46266</v>
      </c>
      <c r="B1099" s="0" t="str">
        <f aca="false">Report!E1738</f>
        <v>FUNNY PET DISTRIBUIDORA DE ALIMENTOS PAR</v>
      </c>
      <c r="C1099" s="15" t="n">
        <f aca="false">Report!U1738</f>
        <v>1501.38</v>
      </c>
      <c r="D1099" s="0" t="str">
        <f aca="false">Report!X1738</f>
        <v>NF 21189 ELLEN</v>
      </c>
    </row>
    <row r="1100" customFormat="false" ht="12.75" hidden="false" customHeight="true" outlineLevel="0" collapsed="false">
      <c r="A1100" s="14" t="n">
        <f aca="false">Report!C1739</f>
        <v>46266</v>
      </c>
      <c r="B1100" s="0" t="str">
        <f aca="false">Report!E1739</f>
        <v>J. A. F. DE LIMA</v>
      </c>
      <c r="C1100" s="15" t="n">
        <f aca="false">Report!U1739</f>
        <v>645.72</v>
      </c>
      <c r="D1100" s="0" t="str">
        <f aca="false">Report!X1739</f>
        <v>NF 160332 ELLEN</v>
      </c>
    </row>
    <row r="1101" customFormat="false" ht="12.75" hidden="false" customHeight="true" outlineLevel="0" collapsed="false">
      <c r="A1101" s="14" t="n">
        <f aca="false">Report!C1741</f>
        <v>46266</v>
      </c>
      <c r="B1101" s="0" t="str">
        <f aca="false">Report!E1741</f>
        <v>L. J. DA SILVA LTDA</v>
      </c>
      <c r="C1101" s="15" t="n">
        <f aca="false">Report!U1741</f>
        <v>424</v>
      </c>
      <c r="D1101" s="0" t="str">
        <f aca="false">Report!X1741</f>
        <v>NF 37213 ELLEN</v>
      </c>
    </row>
    <row r="1102" customFormat="false" ht="12.75" hidden="false" customHeight="true" outlineLevel="0" collapsed="false">
      <c r="A1102" s="14" t="n">
        <f aca="false">Report!C1742</f>
        <v>46266</v>
      </c>
      <c r="B1102" s="0" t="str">
        <f aca="false">Report!E1742</f>
        <v>MAXFRI DISTRIUIDORA LTDA</v>
      </c>
      <c r="C1102" s="15" t="n">
        <f aca="false">Report!U1742</f>
        <v>3363.75</v>
      </c>
      <c r="D1102" s="0" t="str">
        <f aca="false">Report!X1742</f>
        <v>NF 15150 ELLEN</v>
      </c>
    </row>
    <row r="1103" customFormat="false" ht="12.75" hidden="false" customHeight="true" outlineLevel="0" collapsed="false">
      <c r="A1103" s="14" t="n">
        <f aca="false">Report!C1743</f>
        <v>46266</v>
      </c>
      <c r="B1103" s="0" t="str">
        <f aca="false">Report!E1743</f>
        <v>NEYLIANE S DE OLIVEIRA &amp; CIA LTDA</v>
      </c>
      <c r="C1103" s="15" t="n">
        <f aca="false">Report!U1743</f>
        <v>315</v>
      </c>
      <c r="D1103" s="0" t="str">
        <f aca="false">Report!X1743</f>
        <v>COMPRAS - PACOVA/LIMAO-PG P/ CNPJ:67144863/0001-03-ELLEN</v>
      </c>
    </row>
    <row r="1104" customFormat="false" ht="12.75" hidden="false" customHeight="true" outlineLevel="0" collapsed="false">
      <c r="A1104" s="14" t="n">
        <f aca="false">Report!C1744</f>
        <v>46266</v>
      </c>
      <c r="B1104" s="0" t="str">
        <f aca="false">Report!E1744</f>
        <v>NEYLIANE S DE OLIVEIRA &amp; CIA LTDA</v>
      </c>
      <c r="C1104" s="15" t="n">
        <f aca="false">Report!U1744</f>
        <v>1440</v>
      </c>
      <c r="D1104" s="0" t="str">
        <f aca="false">Report!X1744</f>
        <v>FEIRA SR RENATO - PG P LJ 1 -ELLEN</v>
      </c>
    </row>
    <row r="1105" customFormat="false" ht="12.75" hidden="false" customHeight="true" outlineLevel="0" collapsed="false">
      <c r="A1105" s="14" t="n">
        <f aca="false">Report!C1745</f>
        <v>46266</v>
      </c>
      <c r="B1105" s="0" t="str">
        <f aca="false">Report!E1745</f>
        <v>OCIDENTAL COMERCIO DE FRIOS LTDA</v>
      </c>
      <c r="C1105" s="15" t="n">
        <f aca="false">Report!U1745</f>
        <v>2372.5</v>
      </c>
      <c r="D1105" s="0" t="str">
        <f aca="false">Report!X1745</f>
        <v>NF 1262474 ELLEN</v>
      </c>
    </row>
    <row r="1106" customFormat="false" ht="12.75" hidden="false" customHeight="true" outlineLevel="0" collapsed="false">
      <c r="A1106" s="14" t="n">
        <f aca="false">Report!C1746</f>
        <v>46266</v>
      </c>
      <c r="B1106" s="0" t="str">
        <f aca="false">Report!E1746</f>
        <v>OPPORTUNITY ALIMENTOS PARA ANIMAIS LTDA</v>
      </c>
      <c r="C1106" s="15" t="n">
        <f aca="false">Report!U1746</f>
        <v>591.07</v>
      </c>
      <c r="D1106" s="0" t="str">
        <f aca="false">Report!X1746</f>
        <v>NF 34738 ELLEN</v>
      </c>
    </row>
    <row r="1107" customFormat="false" ht="12.75" hidden="false" customHeight="true" outlineLevel="0" collapsed="false">
      <c r="A1107" s="14" t="n">
        <f aca="false">Report!C1748</f>
        <v>46266</v>
      </c>
      <c r="B1107" s="0" t="str">
        <f aca="false">Report!E1748</f>
        <v>PIARARA COMERCIO, IMPORTACAO E EXPORTACAO LTDA</v>
      </c>
      <c r="C1107" s="15" t="n">
        <f aca="false">Report!U1748</f>
        <v>599.85</v>
      </c>
      <c r="D1107" s="0" t="str">
        <f aca="false">Report!X1748</f>
        <v>NF 195597 ELLEN</v>
      </c>
    </row>
    <row r="1108" customFormat="false" ht="12.75" hidden="false" customHeight="true" outlineLevel="0" collapsed="false">
      <c r="A1108" s="14" t="n">
        <f aca="false">Report!C1749</f>
        <v>46266</v>
      </c>
      <c r="B1108" s="0" t="str">
        <f aca="false">Report!E1749</f>
        <v>ROCHA E PAIVA LTDA</v>
      </c>
      <c r="C1108" s="15" t="n">
        <f aca="false">Report!U1749</f>
        <v>584.64</v>
      </c>
      <c r="D1108" s="0" t="str">
        <f aca="false">Report!X1749</f>
        <v>NF 211355 ELLEN</v>
      </c>
    </row>
    <row r="1109" customFormat="false" ht="12.75" hidden="false" customHeight="true" outlineLevel="0" collapsed="false">
      <c r="A1109" s="14" t="n">
        <f aca="false">Report!C1757</f>
        <v>46266</v>
      </c>
      <c r="B1109" s="0" t="str">
        <f aca="false">Report!E1757</f>
        <v>SUPER CANCUN COMERCIO DE PRODUTOS ALIMEN</v>
      </c>
      <c r="C1109" s="15" t="n">
        <f aca="false">Report!U1757</f>
        <v>548.18</v>
      </c>
      <c r="D1109" s="0" t="str">
        <f aca="false">Report!X1757</f>
        <v>NF 265359 ELLEN</v>
      </c>
    </row>
    <row r="1110" customFormat="false" ht="12.75" hidden="false" customHeight="true" outlineLevel="0" collapsed="false">
      <c r="A1110" s="14" t="n">
        <f aca="false">Report!C1759</f>
        <v>46267</v>
      </c>
      <c r="B1110" s="0" t="str">
        <f aca="false">Report!E1759</f>
        <v>BRF S A</v>
      </c>
      <c r="C1110" s="15" t="n">
        <f aca="false">Report!U1759</f>
        <v>1164.76</v>
      </c>
      <c r="D1110" s="0" t="str">
        <f aca="false">Report!X1759</f>
        <v>NF 1619132 ELLEN</v>
      </c>
    </row>
    <row r="1111" customFormat="false" ht="12.75" hidden="false" customHeight="true" outlineLevel="0" collapsed="false">
      <c r="A1111" s="14" t="n">
        <f aca="false">Report!C1760</f>
        <v>46267</v>
      </c>
      <c r="B1111" s="0" t="str">
        <f aca="false">Report!E1760</f>
        <v>DISTRIBUIDORA LOPES LTDA</v>
      </c>
      <c r="C1111" s="15" t="n">
        <f aca="false">Report!U1760</f>
        <v>1279.58</v>
      </c>
      <c r="D1111" s="0" t="str">
        <f aca="false">Report!X1760</f>
        <v>NF 1709601 ELLEN</v>
      </c>
    </row>
    <row r="1112" customFormat="false" ht="12.75" hidden="false" customHeight="true" outlineLevel="0" collapsed="false">
      <c r="A1112" s="14" t="n">
        <f aca="false">Report!C1761</f>
        <v>46267</v>
      </c>
      <c r="B1112" s="0" t="str">
        <f aca="false">Report!E1761</f>
        <v>DUNORTE DISTRIBUIDORA DE PRODUTOS DE CONSUMO LTDA</v>
      </c>
      <c r="C1112" s="15" t="n">
        <f aca="false">Report!U1761</f>
        <v>731.86</v>
      </c>
      <c r="D1112" s="0" t="str">
        <f aca="false">Report!X1761</f>
        <v>NF 3242273 ELLEN</v>
      </c>
    </row>
    <row r="1113" customFormat="false" ht="12.75" hidden="false" customHeight="true" outlineLevel="0" collapsed="false">
      <c r="A1113" s="14" t="n">
        <f aca="false">Report!C1762</f>
        <v>46267</v>
      </c>
      <c r="B1113" s="0" t="str">
        <f aca="false">Report!E1762</f>
        <v>EMPRESA BRASILEIRA DE DISTRIBUICAO LTDA</v>
      </c>
      <c r="C1113" s="15" t="n">
        <f aca="false">Report!U1762</f>
        <v>1154.64</v>
      </c>
      <c r="D1113" s="0" t="str">
        <f aca="false">Report!X1762</f>
        <v>NF 2310769 ELLEN</v>
      </c>
    </row>
    <row r="1114" customFormat="false" ht="12.75" hidden="false" customHeight="true" outlineLevel="0" collapsed="false">
      <c r="A1114" s="14" t="n">
        <f aca="false">Report!C1763</f>
        <v>46267</v>
      </c>
      <c r="B1114" s="0" t="str">
        <f aca="false">Report!E1763</f>
        <v>FALCAO INDUSTRIA DE ALIMENTOS LTDA</v>
      </c>
      <c r="C1114" s="15" t="n">
        <f aca="false">Report!U1763</f>
        <v>2752.16</v>
      </c>
      <c r="D1114" s="0" t="str">
        <f aca="false">Report!X1763</f>
        <v>NF 33028 ELLEN</v>
      </c>
    </row>
    <row r="1115" customFormat="false" ht="12.75" hidden="false" customHeight="true" outlineLevel="0" collapsed="false">
      <c r="A1115" s="14" t="n">
        <f aca="false">Report!C1764</f>
        <v>46267</v>
      </c>
      <c r="B1115" s="0" t="str">
        <f aca="false">Report!E1764</f>
        <v>FENNIX BRASIL DISTRIBUIDORA DE PRODUTOS</v>
      </c>
      <c r="C1115" s="15" t="n">
        <f aca="false">Report!U1764</f>
        <v>679.17</v>
      </c>
      <c r="D1115" s="0" t="str">
        <f aca="false">Report!X1764</f>
        <v>NF 319020 ELLEN</v>
      </c>
    </row>
    <row r="1116" customFormat="false" ht="12.75" hidden="false" customHeight="true" outlineLevel="0" collapsed="false">
      <c r="A1116" s="14" t="n">
        <f aca="false">Report!C1765</f>
        <v>46267</v>
      </c>
      <c r="B1116" s="0" t="str">
        <f aca="false">Report!E1765</f>
        <v>FH DISTRIBUIDORA DE ALIM. E BEBIDAS LTDA</v>
      </c>
      <c r="C1116" s="15" t="n">
        <f aca="false">Report!U1765</f>
        <v>700.7</v>
      </c>
      <c r="D1116" s="0" t="str">
        <f aca="false">Report!X1765</f>
        <v>NF 330057 ELLEN</v>
      </c>
    </row>
    <row r="1117" customFormat="false" ht="12.75" hidden="false" customHeight="true" outlineLevel="0" collapsed="false">
      <c r="A1117" s="14" t="n">
        <f aca="false">Report!C1766</f>
        <v>46267</v>
      </c>
      <c r="B1117" s="0" t="str">
        <f aca="false">Report!E1766</f>
        <v>H. L. DO NASCIMENTO</v>
      </c>
      <c r="C1117" s="15" t="n">
        <f aca="false">Report!U1766</f>
        <v>741.3</v>
      </c>
      <c r="D1117" s="0" t="str">
        <f aca="false">Report!X1766</f>
        <v>NF 6042 ELLEN</v>
      </c>
    </row>
    <row r="1118" customFormat="false" ht="12.75" hidden="false" customHeight="true" outlineLevel="0" collapsed="false">
      <c r="A1118" s="14" t="n">
        <f aca="false">Report!C1773</f>
        <v>46267</v>
      </c>
      <c r="B1118" s="0" t="str">
        <f aca="false">Report!E1773</f>
        <v>NEYLIANE S DE OLIVEIRA &amp; CIA LTDA</v>
      </c>
      <c r="C1118" s="15" t="n">
        <f aca="false">Report!U1773</f>
        <v>300</v>
      </c>
      <c r="D1118" s="0" t="str">
        <f aca="false">Report!X1773</f>
        <v>COMPRAS - 20L DE AÇAI - PG NO P 2/9/26 - ELLEN</v>
      </c>
    </row>
    <row r="1119" customFormat="false" ht="12.75" hidden="false" customHeight="true" outlineLevel="0" collapsed="false">
      <c r="A1119" s="14" t="n">
        <f aca="false">Report!C1774</f>
        <v>46267</v>
      </c>
      <c r="B1119" s="0" t="str">
        <f aca="false">Report!E1774</f>
        <v>RISADINHA LTDA</v>
      </c>
      <c r="C1119" s="15" t="n">
        <f aca="false">Report!U1774</f>
        <v>830.14</v>
      </c>
      <c r="D1119" s="0" t="str">
        <f aca="false">Report!X1774</f>
        <v>NF 668739 ELLEN</v>
      </c>
    </row>
    <row r="1120" customFormat="false" ht="12.75" hidden="false" customHeight="true" outlineLevel="0" collapsed="false">
      <c r="A1120" s="14" t="n">
        <f aca="false">Report!C1781</f>
        <v>46267</v>
      </c>
      <c r="B1120" s="0" t="str">
        <f aca="false">Report!E1781</f>
        <v>SILVA E SANTOS FRIGORIFICO LTDA</v>
      </c>
      <c r="C1120" s="15" t="n">
        <f aca="false">Report!U1781</f>
        <v>1069.2</v>
      </c>
      <c r="D1120" s="0" t="str">
        <f aca="false">Report!X1781</f>
        <v>NF 32719 ELLEN</v>
      </c>
    </row>
    <row r="1121" customFormat="false" ht="12.75" hidden="false" customHeight="true" outlineLevel="0" collapsed="false">
      <c r="A1121" s="14" t="n">
        <f aca="false">Report!C1782</f>
        <v>46267</v>
      </c>
      <c r="B1121" s="0" t="str">
        <f aca="false">Report!E1782</f>
        <v>VIA CERTA INDUSTRIA E COMERCIO DE SANEANTES LTDA</v>
      </c>
      <c r="C1121" s="15" t="n">
        <f aca="false">Report!U1782</f>
        <v>205.44</v>
      </c>
      <c r="D1121" s="0" t="str">
        <f aca="false">Report!X1782</f>
        <v>NF 44054 ELLEN</v>
      </c>
    </row>
    <row r="1122" customFormat="false" ht="12.75" hidden="false" customHeight="true" outlineLevel="0" collapsed="false">
      <c r="A1122" s="14" t="n">
        <f aca="false">Report!C1783</f>
        <v>46268</v>
      </c>
      <c r="B1122" s="0" t="str">
        <f aca="false">Report!E1783</f>
        <v>ADICSO FABIAN GONZALEZ MONTILLA 70302186</v>
      </c>
      <c r="C1122" s="15" t="n">
        <f aca="false">Report!U1783</f>
        <v>180</v>
      </c>
      <c r="D1122" s="0" t="str">
        <f aca="false">Report!X1783</f>
        <v>NF 633 ELLEN</v>
      </c>
    </row>
    <row r="1123" customFormat="false" ht="12.75" hidden="false" customHeight="true" outlineLevel="0" collapsed="false">
      <c r="A1123" s="14" t="n">
        <f aca="false">Report!C1784</f>
        <v>46268</v>
      </c>
      <c r="B1123" s="0" t="str">
        <f aca="false">Report!E1784</f>
        <v>ADRIANO FEITOSA OLIVEIRA LTDA</v>
      </c>
      <c r="C1123" s="15" t="n">
        <f aca="false">Report!U1784</f>
        <v>895</v>
      </c>
      <c r="D1123" s="0" t="str">
        <f aca="false">Report!X1784</f>
        <v>NF 374 ELLEN</v>
      </c>
    </row>
    <row r="1124" customFormat="false" ht="12.75" hidden="false" customHeight="true" outlineLevel="0" collapsed="false">
      <c r="A1124" s="14" t="n">
        <f aca="false">Report!C1785</f>
        <v>46268</v>
      </c>
      <c r="B1124" s="0" t="str">
        <f aca="false">Report!E1785</f>
        <v>AGM INDUSTRIA COMERCIO E REPRESENTACAO LTDA</v>
      </c>
      <c r="C1124" s="15" t="n">
        <f aca="false">Report!U1785</f>
        <v>1130.5</v>
      </c>
      <c r="D1124" s="0" t="str">
        <f aca="false">Report!X1785</f>
        <v>NF 48205 ELLEN</v>
      </c>
    </row>
    <row r="1125" customFormat="false" ht="12.75" hidden="false" customHeight="true" outlineLevel="0" collapsed="false">
      <c r="A1125" s="14" t="n">
        <f aca="false">Report!C1786</f>
        <v>46268</v>
      </c>
      <c r="B1125" s="0" t="str">
        <f aca="false">Report!E1786</f>
        <v>ALEXSANDRO BEZERRA DA SILVA</v>
      </c>
      <c r="C1125" s="15" t="n">
        <f aca="false">Report!U1786</f>
        <v>1012.44</v>
      </c>
      <c r="D1125" s="0" t="str">
        <f aca="false">Report!X1786</f>
        <v>NF 299 ELLEN</v>
      </c>
    </row>
    <row r="1126" customFormat="false" ht="12.75" hidden="false" customHeight="true" outlineLevel="0" collapsed="false">
      <c r="A1126" s="14" t="n">
        <f aca="false">Report!C1787</f>
        <v>46268</v>
      </c>
      <c r="B1126" s="0" t="str">
        <f aca="false">Report!E1787</f>
        <v>BRAGA TABACARIA EIRELI ME</v>
      </c>
      <c r="C1126" s="15" t="n">
        <f aca="false">Report!U1787</f>
        <v>1063.84</v>
      </c>
      <c r="D1126" s="0" t="str">
        <f aca="false">Report!X1787</f>
        <v>NF 20104 ELLEN</v>
      </c>
    </row>
    <row r="1127" customFormat="false" ht="12.75" hidden="false" customHeight="true" outlineLevel="0" collapsed="false">
      <c r="A1127" s="14" t="n">
        <f aca="false">Report!C1788</f>
        <v>46268</v>
      </c>
      <c r="B1127" s="0" t="str">
        <f aca="false">Report!E1788</f>
        <v>BRAGA TABACARIA EIRELI ME</v>
      </c>
      <c r="C1127" s="15" t="n">
        <f aca="false">Report!U1788</f>
        <v>1150.13</v>
      </c>
      <c r="D1127" s="0" t="str">
        <f aca="false">Report!X1788</f>
        <v>RECIBO-57762-COMPRAS-CACHAÇA/CIGARRO/COPO/SKARLOF-ELLEN</v>
      </c>
    </row>
    <row r="1128" customFormat="false" ht="12.75" hidden="false" customHeight="true" outlineLevel="0" collapsed="false">
      <c r="A1128" s="14" t="n">
        <f aca="false">Report!C1789</f>
        <v>46268</v>
      </c>
      <c r="B1128" s="0" t="str">
        <f aca="false">Report!E1789</f>
        <v>BRASIL NORTE BEBIDAS S/A</v>
      </c>
      <c r="C1128" s="15" t="n">
        <f aca="false">Report!U1789</f>
        <v>77.62</v>
      </c>
      <c r="D1128" s="0" t="str">
        <f aca="false">Report!X1789</f>
        <v>NF 1236492 ELLEN</v>
      </c>
    </row>
    <row r="1129" customFormat="false" ht="12.75" hidden="false" customHeight="true" outlineLevel="0" collapsed="false">
      <c r="A1129" s="14" t="n">
        <f aca="false">Report!C1790</f>
        <v>46268</v>
      </c>
      <c r="B1129" s="0" t="str">
        <f aca="false">Report!E1790</f>
        <v>DISTRIBUIDORA LOPES LTDA</v>
      </c>
      <c r="C1129" s="15" t="n">
        <f aca="false">Report!U1790</f>
        <v>692.26</v>
      </c>
      <c r="D1129" s="0" t="str">
        <f aca="false">Report!X1790</f>
        <v>NF 1710665 ELLEN</v>
      </c>
    </row>
    <row r="1130" customFormat="false" ht="12.75" hidden="false" customHeight="true" outlineLevel="0" collapsed="false">
      <c r="A1130" s="14" t="n">
        <f aca="false">Report!C1791</f>
        <v>46268</v>
      </c>
      <c r="B1130" s="0" t="str">
        <f aca="false">Report!E1791</f>
        <v>DISTRIBUIDORA LOPES LTDA</v>
      </c>
      <c r="C1130" s="15" t="n">
        <f aca="false">Report!U1791</f>
        <v>774.74</v>
      </c>
      <c r="D1130" s="0" t="str">
        <f aca="false">Report!X1791</f>
        <v>NF 1719576 ELLEN</v>
      </c>
    </row>
    <row r="1131" customFormat="false" ht="12.75" hidden="false" customHeight="true" outlineLevel="0" collapsed="false">
      <c r="A1131" s="14" t="n">
        <f aca="false">Report!C1793</f>
        <v>46268</v>
      </c>
      <c r="B1131" s="0" t="str">
        <f aca="false">Report!E1793</f>
        <v>FENNIX BRASIL DISTRIBUIDORA DE PRODUTOS</v>
      </c>
      <c r="C1131" s="15" t="n">
        <f aca="false">Report!U1793</f>
        <v>668.78</v>
      </c>
      <c r="D1131" s="0" t="str">
        <f aca="false">Report!X1793</f>
        <v>NF 398227 ELLEN</v>
      </c>
    </row>
    <row r="1132" customFormat="false" ht="12.75" hidden="false" customHeight="true" outlineLevel="0" collapsed="false">
      <c r="A1132" s="14" t="n">
        <f aca="false">Report!C1794</f>
        <v>46268</v>
      </c>
      <c r="B1132" s="0" t="str">
        <f aca="false">Report!E1794</f>
        <v>FRIOTRANS COMERCIO E TRANSPORTES DE CARGAS LTDA</v>
      </c>
      <c r="C1132" s="15" t="n">
        <f aca="false">Report!U1794</f>
        <v>2055.66</v>
      </c>
      <c r="D1132" s="0" t="str">
        <f aca="false">Report!X1794</f>
        <v>NF 39521 ELLEN</v>
      </c>
    </row>
    <row r="1133" customFormat="false" ht="12.75" hidden="false" customHeight="true" outlineLevel="0" collapsed="false">
      <c r="A1133" s="14" t="n">
        <f aca="false">Report!C1795</f>
        <v>46268</v>
      </c>
      <c r="B1133" s="0" t="str">
        <f aca="false">Report!E1795</f>
        <v>IRMÃOS LIMA  ATACADO  DE ALIMENTOS LTDA</v>
      </c>
      <c r="C1133" s="15" t="n">
        <f aca="false">Report!U1795</f>
        <v>1120.76</v>
      </c>
      <c r="D1133" s="0" t="str">
        <f aca="false">Report!X1795</f>
        <v>NF 297321 ELLEN</v>
      </c>
    </row>
    <row r="1134" customFormat="false" ht="12.75" hidden="false" customHeight="true" outlineLevel="0" collapsed="false">
      <c r="A1134" s="14" t="n">
        <f aca="false">Report!C1796</f>
        <v>46268</v>
      </c>
      <c r="B1134" s="0" t="str">
        <f aca="false">Report!E1796</f>
        <v>PANIFICADORA E CONFEITARIA REAL MADRI LTDA</v>
      </c>
      <c r="C1134" s="15" t="n">
        <f aca="false">Report!U1796</f>
        <v>180.22</v>
      </c>
      <c r="D1134" s="0" t="str">
        <f aca="false">Report!X1796</f>
        <v>NF 780 ELLEN</v>
      </c>
    </row>
    <row r="1135" customFormat="false" ht="12.75" hidden="false" customHeight="true" outlineLevel="0" collapsed="false">
      <c r="A1135" s="14" t="n">
        <f aca="false">Report!C1801</f>
        <v>46268</v>
      </c>
      <c r="B1135" s="0" t="str">
        <f aca="false">Report!E1801</f>
        <v>TAPAJOS COM DE PERFUMARIA COSMETICOS E G</v>
      </c>
      <c r="C1135" s="15" t="n">
        <f aca="false">Report!U1801</f>
        <v>795.81</v>
      </c>
      <c r="D1135" s="0" t="str">
        <f aca="false">Report!X1801</f>
        <v>NF 586415 ELLEN</v>
      </c>
    </row>
    <row r="1136" customFormat="false" ht="12.75" hidden="false" customHeight="true" outlineLevel="0" collapsed="false">
      <c r="A1136" s="14" t="n">
        <f aca="false">Report!C1802</f>
        <v>46268</v>
      </c>
      <c r="B1136" s="0" t="str">
        <f aca="false">Report!E1802</f>
        <v>TRES CORACOES ALIMENTOS S.A.</v>
      </c>
      <c r="C1136" s="15" t="n">
        <f aca="false">Report!U1802</f>
        <v>182.8</v>
      </c>
      <c r="D1136" s="0" t="str">
        <f aca="false">Report!X1802</f>
        <v>NF 357892 ELLEN</v>
      </c>
    </row>
    <row r="1137" customFormat="false" ht="12.75" hidden="false" customHeight="true" outlineLevel="0" collapsed="false">
      <c r="A1137" s="14" t="n">
        <f aca="false">Report!C1810</f>
        <v>46269</v>
      </c>
      <c r="B1137" s="0" t="str">
        <f aca="false">Report!E1810</f>
        <v>DUNORTE DISTRIBUIDORA DE PRODUTOS DE CONSUMO LTDA</v>
      </c>
      <c r="C1137" s="15" t="n">
        <f aca="false">Report!U1810</f>
        <v>748.32</v>
      </c>
      <c r="D1137" s="0" t="str">
        <f aca="false">Report!X1810</f>
        <v>NF 3237036 ELLEN</v>
      </c>
    </row>
    <row r="1138" customFormat="false" ht="12.75" hidden="false" customHeight="true" outlineLevel="0" collapsed="false">
      <c r="A1138" s="14" t="n">
        <f aca="false">Report!C1815</f>
        <v>46269</v>
      </c>
      <c r="B1138" s="0" t="str">
        <f aca="false">Report!E1815</f>
        <v>FEIRA</v>
      </c>
      <c r="C1138" s="15" t="n">
        <f aca="false">Report!U1815</f>
        <v>200</v>
      </c>
      <c r="D1138" s="0" t="str">
        <f aca="false">Report!X1815</f>
        <v>FEIRA-PG P C6-BANK/RENATO (UVA) SOMAR C NF 2657-ELLEN</v>
      </c>
    </row>
    <row r="1139" customFormat="false" ht="12.75" hidden="false" customHeight="true" outlineLevel="0" collapsed="false">
      <c r="A1139" s="14" t="n">
        <f aca="false">Report!C1820</f>
        <v>46269</v>
      </c>
      <c r="B1139" s="0" t="str">
        <f aca="false">Report!E1820</f>
        <v>L S M COMERCIO DE ALIMENTOS E NAVEGACAO</v>
      </c>
      <c r="C1139" s="15" t="n">
        <f aca="false">Report!U1820</f>
        <v>474.75</v>
      </c>
      <c r="D1139" s="0" t="str">
        <f aca="false">Report!X1820</f>
        <v>NF 311351 ELLEN</v>
      </c>
    </row>
    <row r="1140" customFormat="false" ht="12.75" hidden="false" customHeight="true" outlineLevel="0" collapsed="false">
      <c r="A1140" s="14" t="n">
        <f aca="false">Report!C1821</f>
        <v>46269</v>
      </c>
      <c r="B1140" s="0" t="str">
        <f aca="false">Report!E1821</f>
        <v>LIMA E BARANDA COMERCIO DE PRODUTOS REGI</v>
      </c>
      <c r="C1140" s="15" t="n">
        <f aca="false">Report!U1821</f>
        <v>264</v>
      </c>
      <c r="D1140" s="0" t="str">
        <f aca="false">Report!X1821</f>
        <v>NF 32154 ELLEN</v>
      </c>
    </row>
    <row r="1141" customFormat="false" ht="12.75" hidden="false" customHeight="true" outlineLevel="0" collapsed="false">
      <c r="A1141" s="14" t="n">
        <f aca="false">Report!C1824</f>
        <v>46269</v>
      </c>
      <c r="B1141" s="0" t="str">
        <f aca="false">Report!E1824</f>
        <v>MAXFRI DISTRIUIDORA LTDA</v>
      </c>
      <c r="C1141" s="15" t="n">
        <f aca="false">Report!U1824</f>
        <v>2771.2</v>
      </c>
      <c r="D1141" s="0" t="str">
        <f aca="false">Report!X1824</f>
        <v>NF 15192 ELLEN</v>
      </c>
    </row>
    <row r="1142" customFormat="false" ht="12.75" hidden="false" customHeight="true" outlineLevel="0" collapsed="false">
      <c r="A1142" s="14" t="n">
        <f aca="false">Report!C1825</f>
        <v>46269</v>
      </c>
      <c r="B1142" s="0" t="str">
        <f aca="false">Report!E1825</f>
        <v>NEYLIANE S DE OLIVEIRA &amp; CIA LTDA</v>
      </c>
      <c r="C1142" s="15" t="n">
        <f aca="false">Report!U1825</f>
        <v>300</v>
      </c>
      <c r="D1142" s="0" t="str">
        <f aca="false">Report!X1825</f>
        <v>20L DE AÇAI - PG NO P 4/9/26 - ELLEN</v>
      </c>
    </row>
    <row r="1143" customFormat="false" ht="12.75" hidden="false" customHeight="true" outlineLevel="0" collapsed="false">
      <c r="A1143" s="14" t="n">
        <f aca="false">Report!C1827</f>
        <v>46269</v>
      </c>
      <c r="B1143" s="0" t="str">
        <f aca="false">Report!E1827</f>
        <v>NEYLIANE S DE OLIVEIRA &amp; CIA LTDA</v>
      </c>
      <c r="C1143" s="15" t="n">
        <f aca="false">Report!U1827</f>
        <v>340</v>
      </c>
      <c r="D1143" s="0" t="str">
        <f aca="false">Report!X1827</f>
        <v>COMPRAS - PACOVA/LIMAO-PG P/ CNPJ:67144863/0001-03-ELLEN</v>
      </c>
    </row>
    <row r="1144" customFormat="false" ht="12.75" hidden="false" customHeight="true" outlineLevel="0" collapsed="false">
      <c r="A1144" s="14" t="n">
        <f aca="false">Report!C1828</f>
        <v>46269</v>
      </c>
      <c r="B1144" s="0" t="str">
        <f aca="false">Report!E1828</f>
        <v>NEYLIANE S DE OLIVEIRA &amp; CIA LTDA</v>
      </c>
      <c r="C1144" s="15" t="n">
        <f aca="false">Report!U1828</f>
        <v>1972</v>
      </c>
      <c r="D1144" s="0" t="str">
        <f aca="false">Report!X1828</f>
        <v>FEIRA-PG P C6-BANK/RENATO - ELLEN</v>
      </c>
    </row>
    <row r="1145" customFormat="false" ht="12.75" hidden="false" customHeight="true" outlineLevel="0" collapsed="false">
      <c r="A1145" s="14" t="n">
        <f aca="false">Report!C1830</f>
        <v>46269</v>
      </c>
      <c r="B1145" s="0" t="str">
        <f aca="false">Report!E1830</f>
        <v>NOVA FRIOS COMERCIO ATACADISTA DE LATICINIOS LTDA</v>
      </c>
      <c r="C1145" s="15" t="n">
        <f aca="false">Report!U1830</f>
        <v>300</v>
      </c>
      <c r="D1145" s="0" t="str">
        <f aca="false">Report!X1830</f>
        <v>NF 4492 ELLEN</v>
      </c>
    </row>
    <row r="1146" customFormat="false" ht="12.75" hidden="false" customHeight="true" outlineLevel="0" collapsed="false">
      <c r="A1146" s="14" t="n">
        <f aca="false">Report!C1831</f>
        <v>46269</v>
      </c>
      <c r="B1146" s="0" t="str">
        <f aca="false">Report!E1831</f>
        <v>PANIFICADORA E CONFEITARIA REAL MADRI LTDA</v>
      </c>
      <c r="C1146" s="15" t="n">
        <f aca="false">Report!U1831</f>
        <v>90</v>
      </c>
      <c r="D1146" s="0" t="str">
        <f aca="false">Report!X1831</f>
        <v>NF 782 ELLEN</v>
      </c>
    </row>
    <row r="1147" customFormat="false" ht="12.75" hidden="false" customHeight="true" outlineLevel="0" collapsed="false">
      <c r="A1147" s="14" t="n">
        <f aca="false">Report!C1840</f>
        <v>46269</v>
      </c>
      <c r="B1147" s="0" t="str">
        <f aca="false">Report!E1840</f>
        <v>SOUZA CRUZ LTDA.</v>
      </c>
      <c r="C1147" s="15" t="n">
        <f aca="false">Report!U1840</f>
        <v>5720.74</v>
      </c>
      <c r="D1147" s="0" t="str">
        <f aca="false">Report!X1840</f>
        <v>NF 570907 ELLEN</v>
      </c>
    </row>
    <row r="1148" customFormat="false" ht="12.75" hidden="false" customHeight="true" outlineLevel="0" collapsed="false">
      <c r="A1148" s="14" t="n">
        <f aca="false">Report!C1842</f>
        <v>46269</v>
      </c>
      <c r="B1148" s="0" t="str">
        <f aca="false">Report!E1842</f>
        <v>VIA CERTA IMPORTACAO E DISTRIBUICAO DE A</v>
      </c>
      <c r="C1148" s="15" t="n">
        <f aca="false">Report!U1842</f>
        <v>1393.49</v>
      </c>
      <c r="D1148" s="0" t="str">
        <f aca="false">Report!X1842</f>
        <v>NF 53859 ELLEN</v>
      </c>
    </row>
    <row r="1149" customFormat="false" ht="12.75" hidden="false" customHeight="true" outlineLevel="0" collapsed="false">
      <c r="A1149" s="14" t="n">
        <f aca="false">Report!C1843</f>
        <v>46270</v>
      </c>
      <c r="B1149" s="0" t="str">
        <f aca="false">Report!E1843</f>
        <v>DISTRIBUIDORA FARIAS LTDA.</v>
      </c>
      <c r="C1149" s="15" t="n">
        <f aca="false">Report!U1843</f>
        <v>706.56</v>
      </c>
      <c r="D1149" s="0" t="str">
        <f aca="false">Report!X1843</f>
        <v>NF 689222 ELLEN</v>
      </c>
    </row>
    <row r="1150" customFormat="false" ht="12.75" hidden="false" customHeight="true" outlineLevel="0" collapsed="false">
      <c r="A1150" s="14" t="n">
        <f aca="false">Report!C1844</f>
        <v>46270</v>
      </c>
      <c r="B1150" s="0" t="str">
        <f aca="false">Report!E1844</f>
        <v>DISTRIBUIDORA FARIAS LTDA.</v>
      </c>
      <c r="C1150" s="15" t="n">
        <f aca="false">Report!U1844</f>
        <v>1422.67</v>
      </c>
      <c r="D1150" s="0" t="str">
        <f aca="false">Report!X1844</f>
        <v>NF 689224 ELLEN</v>
      </c>
    </row>
    <row r="1151" customFormat="false" ht="12.75" hidden="false" customHeight="true" outlineLevel="0" collapsed="false">
      <c r="A1151" s="14" t="n">
        <f aca="false">Report!C1846</f>
        <v>46270</v>
      </c>
      <c r="B1151" s="0" t="str">
        <f aca="false">Report!E1846</f>
        <v>H L M PADARIA E CONFEITARIA LTDA</v>
      </c>
      <c r="C1151" s="15" t="n">
        <f aca="false">Report!U1846</f>
        <v>200</v>
      </c>
      <c r="D1151" s="0" t="str">
        <f aca="false">Report!X1846</f>
        <v>NF 256 COMPRAS-BOLO PG NO P 5/9/26 ELLEN</v>
      </c>
    </row>
    <row r="1152" customFormat="false" ht="12.75" hidden="false" customHeight="true" outlineLevel="0" collapsed="false">
      <c r="A1152" s="14" t="n">
        <f aca="false">Report!C1847</f>
        <v>46270</v>
      </c>
      <c r="B1152" s="0" t="str">
        <f aca="false">Report!E1847</f>
        <v>JAB COMERCIO DE PRODUTOS ALIMENTICIOS LT</v>
      </c>
      <c r="C1152" s="15" t="n">
        <f aca="false">Report!U1847</f>
        <v>125</v>
      </c>
      <c r="D1152" s="0" t="str">
        <f aca="false">Report!X1847</f>
        <v>NF 3829 ELLEN</v>
      </c>
    </row>
    <row r="1153" customFormat="false" ht="12.75" hidden="false" customHeight="true" outlineLevel="0" collapsed="false">
      <c r="A1153" s="14" t="n">
        <f aca="false">Report!C1849</f>
        <v>46270</v>
      </c>
      <c r="B1153" s="0" t="str">
        <f aca="false">Report!E1849</f>
        <v>MAXFRI DISTRIUIDORA LTDA</v>
      </c>
      <c r="C1153" s="15" t="n">
        <f aca="false">Report!U1849</f>
        <v>1557.6</v>
      </c>
      <c r="D1153" s="0" t="str">
        <f aca="false">Report!X1849</f>
        <v>NF 15213 ELLEN</v>
      </c>
    </row>
    <row r="1154" customFormat="false" ht="12.75" hidden="false" customHeight="true" outlineLevel="0" collapsed="false">
      <c r="A1154" s="14" t="n">
        <f aca="false">Report!C1862</f>
        <v>46272</v>
      </c>
      <c r="B1154" s="0" t="str">
        <f aca="false">Report!E1862</f>
        <v>BF COMERCIO DE ALIMENTOS REPRESENTACAO L</v>
      </c>
      <c r="C1154" s="15" t="n">
        <f aca="false">Report!U1862</f>
        <v>691.91</v>
      </c>
      <c r="D1154" s="0" t="str">
        <f aca="false">Report!X1862</f>
        <v>NF 21279 ELLEN</v>
      </c>
    </row>
    <row r="1155" customFormat="false" ht="12.75" hidden="false" customHeight="true" outlineLevel="0" collapsed="false">
      <c r="A1155" s="14" t="n">
        <f aca="false">Report!C1863</f>
        <v>46272</v>
      </c>
      <c r="B1155" s="0" t="str">
        <f aca="false">Report!E1863</f>
        <v>DUNORTE DISTRIBUIDORA DE PRODUTOS DE CONSUMO LTDA</v>
      </c>
      <c r="C1155" s="15" t="n">
        <f aca="false">Report!U1863</f>
        <v>1352.12</v>
      </c>
      <c r="D1155" s="0" t="str">
        <f aca="false">Report!X1863</f>
        <v>NF 3237634 ELLEN</v>
      </c>
    </row>
    <row r="1156" customFormat="false" ht="12.75" hidden="false" customHeight="true" outlineLevel="0" collapsed="false">
      <c r="A1156" s="14" t="n">
        <f aca="false">Report!C1864</f>
        <v>46272</v>
      </c>
      <c r="B1156" s="0" t="str">
        <f aca="false">Report!E1864</f>
        <v>DURAES DISTRIBUIDORA DE ESTIVAS LTDA</v>
      </c>
      <c r="C1156" s="15" t="n">
        <f aca="false">Report!U1864</f>
        <v>606.56</v>
      </c>
      <c r="D1156" s="0" t="str">
        <f aca="false">Report!X1864</f>
        <v>NF 654907 ELLEN</v>
      </c>
    </row>
    <row r="1157" customFormat="false" ht="12.75" hidden="false" customHeight="true" outlineLevel="0" collapsed="false">
      <c r="A1157" s="14" t="n">
        <f aca="false">Report!C1865</f>
        <v>46272</v>
      </c>
      <c r="B1157" s="0" t="str">
        <f aca="false">Report!E1865</f>
        <v>MAXPEL COMERCIAL LTDA</v>
      </c>
      <c r="C1157" s="15" t="n">
        <f aca="false">Report!U1865</f>
        <v>983.76</v>
      </c>
      <c r="D1157" s="0" t="str">
        <f aca="false">Report!X1865</f>
        <v>NFS 319296/319297 - ELLEN</v>
      </c>
    </row>
    <row r="1158" customFormat="false" ht="12.75" hidden="false" customHeight="true" outlineLevel="0" collapsed="false">
      <c r="A1158" s="14" t="n">
        <f aca="false">Report!C1866</f>
        <v>46272</v>
      </c>
      <c r="B1158" s="0" t="str">
        <f aca="false">Report!E1866</f>
        <v>NATUREZA COMERCIO DE DESCARTAVEIS LTDA</v>
      </c>
      <c r="C1158" s="15" t="n">
        <f aca="false">Report!U1866</f>
        <v>509.85</v>
      </c>
      <c r="D1158" s="0" t="str">
        <f aca="false">Report!X1866</f>
        <v>NF 747704 ELLEN</v>
      </c>
    </row>
    <row r="1159" customFormat="false" ht="12.75" hidden="false" customHeight="true" outlineLevel="0" collapsed="false">
      <c r="A1159" s="14" t="n">
        <f aca="false">Report!C1868</f>
        <v>46272</v>
      </c>
      <c r="B1159" s="0" t="str">
        <f aca="false">Report!E1868</f>
        <v>PANIFICADORA E CONFEITARIA REAL MADRI LTDA</v>
      </c>
      <c r="C1159" s="15" t="n">
        <f aca="false">Report!U1868</f>
        <v>204.77</v>
      </c>
      <c r="D1159" s="0" t="str">
        <f aca="false">Report!X1868</f>
        <v>NF 790 ELLEN</v>
      </c>
    </row>
    <row r="1160" customFormat="false" ht="12.75" hidden="false" customHeight="true" outlineLevel="0" collapsed="false">
      <c r="A1160" s="14" t="n">
        <f aca="false">Report!C1869</f>
        <v>46272</v>
      </c>
      <c r="B1160" s="0" t="str">
        <f aca="false">Report!E1869</f>
        <v>SB COMERCIO LTDA</v>
      </c>
      <c r="C1160" s="15" t="n">
        <f aca="false">Report!U1869</f>
        <v>521.58</v>
      </c>
      <c r="D1160" s="0" t="str">
        <f aca="false">Report!X1869</f>
        <v>NF 1966312 ELLEN</v>
      </c>
    </row>
    <row r="1161" customFormat="false" ht="12.75" hidden="false" customHeight="true" outlineLevel="0" collapsed="false">
      <c r="A1161" s="14" t="n">
        <f aca="false">Report!C1875</f>
        <v>46272</v>
      </c>
      <c r="B1161" s="0" t="str">
        <f aca="false">Report!E1875</f>
        <v>TAPAJOS COM DE PERFUMARIA COSMETICOS E G</v>
      </c>
      <c r="C1161" s="15" t="n">
        <f aca="false">Report!U1875</f>
        <v>271.2</v>
      </c>
      <c r="D1161" s="0" t="str">
        <f aca="false">Report!X1875</f>
        <v>NF 586317 ELLEN</v>
      </c>
    </row>
    <row r="1162" customFormat="false" ht="12.75" hidden="false" customHeight="true" outlineLevel="0" collapsed="false">
      <c r="A1162" s="14" t="n">
        <f aca="false">Report!C1876</f>
        <v>46273</v>
      </c>
      <c r="B1162" s="0" t="str">
        <f aca="false">Report!E1876</f>
        <v>ADICSO FABIAN GONZALEZ MONTILLA 70302186</v>
      </c>
      <c r="C1162" s="15" t="n">
        <f aca="false">Report!U1876</f>
        <v>132</v>
      </c>
      <c r="D1162" s="0" t="str">
        <f aca="false">Report!X1876</f>
        <v>NF 644 ELLEN</v>
      </c>
    </row>
    <row r="1163" customFormat="false" ht="12.75" hidden="false" customHeight="true" outlineLevel="0" collapsed="false">
      <c r="A1163" s="14" t="n">
        <f aca="false">Report!C1877</f>
        <v>46273</v>
      </c>
      <c r="B1163" s="0" t="str">
        <f aca="false">Report!E1877</f>
        <v>ATACADAO S.A.</v>
      </c>
      <c r="C1163" s="15" t="n">
        <f aca="false">Report!U1877</f>
        <v>1184.7</v>
      </c>
      <c r="D1163" s="0" t="str">
        <f aca="false">Report!X1877</f>
        <v>NF 1915876 ELLEN</v>
      </c>
    </row>
    <row r="1164" customFormat="false" ht="12.75" hidden="false" customHeight="true" outlineLevel="0" collapsed="false">
      <c r="A1164" s="14" t="n">
        <f aca="false">Report!C1878</f>
        <v>46273</v>
      </c>
      <c r="B1164" s="0" t="str">
        <f aca="false">Report!E1878</f>
        <v>BRASIL NORTE BEBIDAS S/A</v>
      </c>
      <c r="C1164" s="15" t="n">
        <f aca="false">Report!U1878</f>
        <v>639.05</v>
      </c>
      <c r="D1164" s="0" t="str">
        <f aca="false">Report!X1878</f>
        <v>NF 1262093 ELLEN</v>
      </c>
    </row>
    <row r="1165" customFormat="false" ht="12.75" hidden="false" customHeight="true" outlineLevel="0" collapsed="false">
      <c r="A1165" s="14" t="n">
        <f aca="false">Report!C1879</f>
        <v>46273</v>
      </c>
      <c r="B1165" s="0" t="str">
        <f aca="false">Report!E1879</f>
        <v>BRASIL NORTE BEBIDAS S/A</v>
      </c>
      <c r="C1165" s="15" t="n">
        <f aca="false">Report!U1879</f>
        <v>3064.41</v>
      </c>
      <c r="D1165" s="0" t="str">
        <f aca="false">Report!X1879</f>
        <v>NF 2004983 ELLEN</v>
      </c>
    </row>
    <row r="1166" customFormat="false" ht="12.75" hidden="false" customHeight="true" outlineLevel="0" collapsed="false">
      <c r="A1166" s="14" t="n">
        <f aca="false">Report!C1880</f>
        <v>46273</v>
      </c>
      <c r="B1166" s="0" t="str">
        <f aca="false">Report!E1880</f>
        <v>BROTHERS  INDUSTRIA DE ALIMENTOS LTDA</v>
      </c>
      <c r="C1166" s="15" t="n">
        <f aca="false">Report!U1880</f>
        <v>492.29</v>
      </c>
      <c r="D1166" s="0" t="str">
        <f aca="false">Report!X1880</f>
        <v>NF 1039683 ELLEN</v>
      </c>
    </row>
    <row r="1167" customFormat="false" ht="12.75" hidden="false" customHeight="true" outlineLevel="0" collapsed="false">
      <c r="A1167" s="14" t="n">
        <f aca="false">Report!C1881</f>
        <v>46273</v>
      </c>
      <c r="B1167" s="0" t="str">
        <f aca="false">Report!E1881</f>
        <v>CB COMERCIO E DISTRIBUIDORA DE ALIMENTOS</v>
      </c>
      <c r="C1167" s="15" t="n">
        <f aca="false">Report!U1881</f>
        <v>843.65</v>
      </c>
      <c r="D1167" s="0" t="str">
        <f aca="false">Report!X1881</f>
        <v>NF 866347 ELLEN</v>
      </c>
    </row>
    <row r="1168" customFormat="false" ht="12.75" hidden="false" customHeight="true" outlineLevel="0" collapsed="false">
      <c r="A1168" s="14" t="n">
        <f aca="false">Report!C1882</f>
        <v>46273</v>
      </c>
      <c r="B1168" s="0" t="str">
        <f aca="false">Report!E1882</f>
        <v>CRBS S/A</v>
      </c>
      <c r="C1168" s="15" t="n">
        <f aca="false">Report!U1882</f>
        <v>1825.37</v>
      </c>
      <c r="D1168" s="0" t="str">
        <f aca="false">Report!X1882</f>
        <v>NF 982558 ELLEN</v>
      </c>
    </row>
    <row r="1169" customFormat="false" ht="12.75" hidden="false" customHeight="true" outlineLevel="0" collapsed="false">
      <c r="A1169" s="14" t="n">
        <f aca="false">Report!C1883</f>
        <v>46273</v>
      </c>
      <c r="B1169" s="0" t="str">
        <f aca="false">Report!E1883</f>
        <v>EDMARA COMERCIO DE HIGIENE PESSOAL LTDA</v>
      </c>
      <c r="C1169" s="15" t="n">
        <f aca="false">Report!U1883</f>
        <v>873.08</v>
      </c>
      <c r="D1169" s="0" t="str">
        <f aca="false">Report!X1883</f>
        <v>NF 8744 ELLEN</v>
      </c>
    </row>
    <row r="1170" customFormat="false" ht="12.75" hidden="false" customHeight="true" outlineLevel="0" collapsed="false">
      <c r="A1170" s="14" t="n">
        <f aca="false">Report!C1884</f>
        <v>46273</v>
      </c>
      <c r="B1170" s="0" t="str">
        <f aca="false">Report!E1884</f>
        <v>FEIRA</v>
      </c>
      <c r="C1170" s="15" t="n">
        <f aca="false">Report!U1884</f>
        <v>340</v>
      </c>
      <c r="D1170" s="0" t="str">
        <f aca="false">Report!X1884</f>
        <v>FEIRA - PG P C6-BANK/RENATO (QUEIJO/MAÇA) SOMAR C NF 2661-ELLEN</v>
      </c>
    </row>
    <row r="1171" customFormat="false" ht="12.75" hidden="false" customHeight="true" outlineLevel="0" collapsed="false">
      <c r="A1171" s="14" t="n">
        <f aca="false">Report!C1886</f>
        <v>46273</v>
      </c>
      <c r="B1171" s="0" t="str">
        <f aca="false">Report!E1886</f>
        <v>J W N DOS SANTOS</v>
      </c>
      <c r="C1171" s="15" t="n">
        <f aca="false">Report!U1886</f>
        <v>177.5</v>
      </c>
      <c r="D1171" s="0" t="str">
        <f aca="false">Report!X1886</f>
        <v>NF 427 ELLEN</v>
      </c>
    </row>
    <row r="1172" customFormat="false" ht="12.75" hidden="false" customHeight="true" outlineLevel="0" collapsed="false">
      <c r="A1172" s="14" t="n">
        <f aca="false">Report!C1887</f>
        <v>46273</v>
      </c>
      <c r="B1172" s="0" t="str">
        <f aca="false">Report!E1887</f>
        <v>J. A. F. DE LIMA</v>
      </c>
      <c r="C1172" s="15" t="n">
        <f aca="false">Report!U1887</f>
        <v>645.71</v>
      </c>
      <c r="D1172" s="0" t="str">
        <f aca="false">Report!X1887</f>
        <v>NF 160332 ELLEN</v>
      </c>
    </row>
    <row r="1173" customFormat="false" ht="12.75" hidden="false" customHeight="true" outlineLevel="0" collapsed="false">
      <c r="A1173" s="14" t="n">
        <f aca="false">Report!C1888</f>
        <v>46273</v>
      </c>
      <c r="B1173" s="0" t="str">
        <f aca="false">Report!E1888</f>
        <v>KAROLINY RODRIGUES SOUZA VENANCIO 915783</v>
      </c>
      <c r="C1173" s="15" t="n">
        <f aca="false">Report!U1888</f>
        <v>250</v>
      </c>
      <c r="D1173" s="0" t="str">
        <f aca="false">Report!X1888</f>
        <v>NF 2142 ELLEN</v>
      </c>
    </row>
    <row r="1174" customFormat="false" ht="12.75" hidden="false" customHeight="true" outlineLevel="0" collapsed="false">
      <c r="A1174" s="14" t="n">
        <f aca="false">Report!C1889</f>
        <v>46273</v>
      </c>
      <c r="B1174" s="0" t="str">
        <f aca="false">Report!E1889</f>
        <v>L S M COMERCIO DE ALIMENTOS E NAVEGACAO</v>
      </c>
      <c r="C1174" s="15" t="n">
        <f aca="false">Report!U1889</f>
        <v>658.8</v>
      </c>
      <c r="D1174" s="0" t="str">
        <f aca="false">Report!X1889</f>
        <v>NF 311270 ELLEN</v>
      </c>
    </row>
    <row r="1175" customFormat="false" ht="12.75" hidden="false" customHeight="true" outlineLevel="0" collapsed="false">
      <c r="A1175" s="14" t="n">
        <f aca="false">Report!C1890</f>
        <v>46273</v>
      </c>
      <c r="B1175" s="0" t="str">
        <f aca="false">Report!E1890</f>
        <v>L. J. DA SILVA LTDA</v>
      </c>
      <c r="C1175" s="15" t="n">
        <f aca="false">Report!U1890</f>
        <v>424</v>
      </c>
      <c r="D1175" s="0" t="str">
        <f aca="false">Report!X1890</f>
        <v>NF 37213 ELLEN</v>
      </c>
    </row>
    <row r="1176" customFormat="false" ht="12.75" hidden="false" customHeight="true" outlineLevel="0" collapsed="false">
      <c r="A1176" s="14" t="n">
        <f aca="false">Report!C1891</f>
        <v>46273</v>
      </c>
      <c r="B1176" s="0" t="str">
        <f aca="false">Report!E1891</f>
        <v>MAXFRI DISTRIUIDORA LTDA</v>
      </c>
      <c r="C1176" s="15" t="n">
        <f aca="false">Report!U1891</f>
        <v>4886.4</v>
      </c>
      <c r="D1176" s="0" t="str">
        <f aca="false">Report!X1891</f>
        <v>NF 15237 ELLEN</v>
      </c>
    </row>
    <row r="1177" customFormat="false" ht="12.75" hidden="false" customHeight="true" outlineLevel="0" collapsed="false">
      <c r="A1177" s="14" t="n">
        <f aca="false">Report!C1892</f>
        <v>46273</v>
      </c>
      <c r="B1177" s="0" t="str">
        <f aca="false">Report!E1892</f>
        <v>NESTLÉ BRASIL LTDA.</v>
      </c>
      <c r="C1177" s="15" t="n">
        <f aca="false">Report!U1892</f>
        <v>1509.12</v>
      </c>
      <c r="D1177" s="0" t="str">
        <f aca="false">Report!X1892</f>
        <v>NF 1442202 ELLEN</v>
      </c>
    </row>
    <row r="1178" customFormat="false" ht="12.75" hidden="false" customHeight="true" outlineLevel="0" collapsed="false">
      <c r="A1178" s="14" t="n">
        <f aca="false">Report!C1893</f>
        <v>46273</v>
      </c>
      <c r="B1178" s="0" t="str">
        <f aca="false">Report!E1893</f>
        <v>NESTLÉ BRASIL LTDA.</v>
      </c>
      <c r="C1178" s="15" t="n">
        <f aca="false">Report!U1893</f>
        <v>202.95</v>
      </c>
      <c r="D1178" s="0" t="str">
        <f aca="false">Report!X1893</f>
        <v>NF 1441732 ELLEN</v>
      </c>
    </row>
    <row r="1179" customFormat="false" ht="12.75" hidden="false" customHeight="true" outlineLevel="0" collapsed="false">
      <c r="A1179" s="14" t="n">
        <f aca="false">Report!C1894</f>
        <v>46273</v>
      </c>
      <c r="B1179" s="0" t="str">
        <f aca="false">Report!E1894</f>
        <v>NEYLIANE S DE OLIVEIRA &amp; CIA LTDA</v>
      </c>
      <c r="C1179" s="15" t="n">
        <f aca="false">Report!U1894</f>
        <v>300</v>
      </c>
      <c r="D1179" s="0" t="str">
        <f aca="false">Report!X1894</f>
        <v>COMPRAS - 20L DE AÇAI - PG NO P 8/9/26 ELLEN</v>
      </c>
    </row>
    <row r="1180" customFormat="false" ht="12.75" hidden="false" customHeight="true" outlineLevel="0" collapsed="false">
      <c r="A1180" s="14" t="n">
        <f aca="false">Report!C1895</f>
        <v>46273</v>
      </c>
      <c r="B1180" s="0" t="str">
        <f aca="false">Report!E1895</f>
        <v>NEYLIANE S DE OLIVEIRA &amp; CIA LTDA</v>
      </c>
      <c r="C1180" s="15" t="n">
        <f aca="false">Report!U1895</f>
        <v>1637</v>
      </c>
      <c r="D1180" s="0" t="str">
        <f aca="false">Report!X1895</f>
        <v>FEIRA - PG P/ C6-BANK/RENATO - ELLEN</v>
      </c>
    </row>
    <row r="1181" customFormat="false" ht="12.75" hidden="false" customHeight="true" outlineLevel="0" collapsed="false">
      <c r="A1181" s="14" t="n">
        <f aca="false">Report!C1896</f>
        <v>46273</v>
      </c>
      <c r="B1181" s="0" t="str">
        <f aca="false">Report!E1896</f>
        <v>NOVA FRIOS COMERCIO ATACADISTA DE LATICINIOS LTDA</v>
      </c>
      <c r="C1181" s="15" t="n">
        <f aca="false">Report!U1896</f>
        <v>133.5</v>
      </c>
      <c r="D1181" s="0" t="str">
        <f aca="false">Report!X1896</f>
        <v>NF 4523 ELLEN</v>
      </c>
    </row>
    <row r="1182" customFormat="false" ht="12.75" hidden="false" customHeight="true" outlineLevel="0" collapsed="false">
      <c r="A1182" s="14" t="n">
        <f aca="false">Report!C1897</f>
        <v>46273</v>
      </c>
      <c r="B1182" s="0" t="str">
        <f aca="false">Report!E1897</f>
        <v>PIARARA COMERCIO, IMPORTACAO E EXPORTACAO LTDA</v>
      </c>
      <c r="C1182" s="15" t="n">
        <f aca="false">Report!U1897</f>
        <v>599.85</v>
      </c>
      <c r="D1182" s="0" t="str">
        <f aca="false">Report!X1897</f>
        <v>NF 195597 ELLEN</v>
      </c>
    </row>
    <row r="1183" customFormat="false" ht="12.75" hidden="false" customHeight="true" outlineLevel="0" collapsed="false">
      <c r="A1183" s="14" t="n">
        <f aca="false">Report!C1900</f>
        <v>46273</v>
      </c>
      <c r="B1183" s="0" t="str">
        <f aca="false">Report!E1900</f>
        <v>ROCHA E PAIVA LTDA</v>
      </c>
      <c r="C1183" s="15" t="n">
        <f aca="false">Report!U1900</f>
        <v>584.64</v>
      </c>
      <c r="D1183" s="0" t="str">
        <f aca="false">Report!X1900</f>
        <v>NF 211355 ELLEN</v>
      </c>
    </row>
    <row r="1184" customFormat="false" ht="12.75" hidden="false" customHeight="true" outlineLevel="0" collapsed="false">
      <c r="A1184" s="14" t="n">
        <f aca="false">Report!C1901</f>
        <v>46273</v>
      </c>
      <c r="B1184" s="0" t="str">
        <f aca="false">Report!E1901</f>
        <v>RV TECNOLOGIA E SISTEMAS S.A</v>
      </c>
      <c r="C1184" s="15" t="n">
        <f aca="false">Report!U1901</f>
        <v>504</v>
      </c>
      <c r="D1184" s="0" t="str">
        <f aca="false">Report!X1901</f>
        <v>RV RECARGA CELULAR -CHIP ANDREZA</v>
      </c>
    </row>
    <row r="1185" customFormat="false" ht="12.75" hidden="false" customHeight="true" outlineLevel="0" collapsed="false">
      <c r="A1185" s="14" t="n">
        <f aca="false">Report!C1908</f>
        <v>46273</v>
      </c>
      <c r="B1185" s="0" t="str">
        <f aca="false">Report!E1908</f>
        <v>SUPER CANCUN COMERCIO DE PRODUTOS ALIMEN</v>
      </c>
      <c r="C1185" s="15" t="n">
        <f aca="false">Report!U1908</f>
        <v>548.18</v>
      </c>
      <c r="D1185" s="0" t="str">
        <f aca="false">Report!X1908</f>
        <v>NF 265359 ELLEN</v>
      </c>
    </row>
    <row r="1186" customFormat="false" ht="12.75" hidden="false" customHeight="true" outlineLevel="0" collapsed="false">
      <c r="A1186" s="14" t="n">
        <f aca="false">Report!C1909</f>
        <v>46273</v>
      </c>
      <c r="B1186" s="0" t="str">
        <f aca="false">Report!E1909</f>
        <v>VICTORIA COMERCIO INTERNACIONAL DE ALIME</v>
      </c>
      <c r="C1186" s="15" t="n">
        <f aca="false">Report!U1909</f>
        <v>410</v>
      </c>
      <c r="D1186" s="0" t="str">
        <f aca="false">Report!X1909</f>
        <v>NF 13095 ELLEN</v>
      </c>
    </row>
    <row r="1187" customFormat="false" ht="12.75" hidden="false" customHeight="true" outlineLevel="0" collapsed="false">
      <c r="A1187" s="14" t="n">
        <f aca="false">Report!C1910</f>
        <v>46274</v>
      </c>
      <c r="B1187" s="0" t="str">
        <f aca="false">Report!E1910</f>
        <v>ADF DISTRIBUIDORA DE BEBIDAS LTDA</v>
      </c>
      <c r="C1187" s="15" t="n">
        <f aca="false">Report!U1910</f>
        <v>229.85</v>
      </c>
      <c r="D1187" s="0" t="str">
        <f aca="false">Report!X1910</f>
        <v>NF 491629 ELLEN</v>
      </c>
    </row>
    <row r="1188" customFormat="false" ht="12.75" hidden="false" customHeight="true" outlineLevel="0" collapsed="false">
      <c r="A1188" s="14" t="n">
        <f aca="false">Report!C1911</f>
        <v>46274</v>
      </c>
      <c r="B1188" s="0" t="str">
        <f aca="false">Report!E1911</f>
        <v>BONNA VITTA INDUSTRIA E COMERCIO LTDA.</v>
      </c>
      <c r="C1188" s="15" t="n">
        <f aca="false">Report!U1911</f>
        <v>938.06</v>
      </c>
      <c r="D1188" s="0" t="str">
        <f aca="false">Report!X1911</f>
        <v>NF 4363 ELLEN</v>
      </c>
    </row>
    <row r="1189" customFormat="false" ht="12.75" hidden="false" customHeight="true" outlineLevel="0" collapsed="false">
      <c r="A1189" s="14" t="n">
        <f aca="false">Report!C1912</f>
        <v>46274</v>
      </c>
      <c r="B1189" s="0" t="str">
        <f aca="false">Report!E1912</f>
        <v>BRASIL NORTE BEBIDAS S/A</v>
      </c>
      <c r="C1189" s="15" t="n">
        <f aca="false">Report!U1912</f>
        <v>264.36</v>
      </c>
      <c r="D1189" s="0" t="str">
        <f aca="false">Report!X1912</f>
        <v>NF 1263938 ELLEN</v>
      </c>
    </row>
    <row r="1190" customFormat="false" ht="12.75" hidden="false" customHeight="true" outlineLevel="0" collapsed="false">
      <c r="A1190" s="14" t="n">
        <f aca="false">Report!C1913</f>
        <v>46274</v>
      </c>
      <c r="B1190" s="0" t="str">
        <f aca="false">Report!E1913</f>
        <v>BRASIL NORTE BEBIDAS S/A</v>
      </c>
      <c r="C1190" s="15" t="n">
        <f aca="false">Report!U1913</f>
        <v>3257.14</v>
      </c>
      <c r="D1190" s="0" t="str">
        <f aca="false">Report!X1913</f>
        <v>NF 2007955 ELLEN</v>
      </c>
    </row>
    <row r="1191" customFormat="false" ht="12.75" hidden="false" customHeight="true" outlineLevel="0" collapsed="false">
      <c r="A1191" s="14" t="n">
        <f aca="false">Report!C1914</f>
        <v>46274</v>
      </c>
      <c r="B1191" s="0" t="str">
        <f aca="false">Report!E1914</f>
        <v>DISTRIBUIDORA LOPES LTDA</v>
      </c>
      <c r="C1191" s="15" t="n">
        <f aca="false">Report!U1914</f>
        <v>1279.58</v>
      </c>
      <c r="D1191" s="0" t="str">
        <f aca="false">Report!X1914</f>
        <v>NF 1709601 ELLEN</v>
      </c>
    </row>
    <row r="1192" customFormat="false" ht="12.75" hidden="false" customHeight="true" outlineLevel="0" collapsed="false">
      <c r="A1192" s="14" t="n">
        <f aca="false">Report!C1915</f>
        <v>46274</v>
      </c>
      <c r="B1192" s="0" t="str">
        <f aca="false">Report!E1915</f>
        <v>DUNORTE DISTRIBUIDORA DE PRODUTOS DE CONSUMO LTDA</v>
      </c>
      <c r="C1192" s="15" t="n">
        <f aca="false">Report!U1915</f>
        <v>733.77</v>
      </c>
      <c r="D1192" s="0" t="str">
        <f aca="false">Report!X1915</f>
        <v>NF 3242273 ELLEN</v>
      </c>
    </row>
    <row r="1193" customFormat="false" ht="12.75" hidden="false" customHeight="true" outlineLevel="0" collapsed="false">
      <c r="A1193" s="14" t="n">
        <f aca="false">Report!C1916</f>
        <v>46274</v>
      </c>
      <c r="B1193" s="0" t="str">
        <f aca="false">Report!E1916</f>
        <v>EMPRESA BRASILEIRA DE DISTRIBUICAO LTDA</v>
      </c>
      <c r="C1193" s="15" t="n">
        <f aca="false">Report!U1916</f>
        <v>1154.65</v>
      </c>
      <c r="D1193" s="0" t="str">
        <f aca="false">Report!X1916</f>
        <v>NF 2310769 ELLEN</v>
      </c>
    </row>
    <row r="1194" customFormat="false" ht="12.75" hidden="false" customHeight="true" outlineLevel="0" collapsed="false">
      <c r="A1194" s="14" t="n">
        <f aca="false">Report!C1917</f>
        <v>46274</v>
      </c>
      <c r="B1194" s="0" t="str">
        <f aca="false">Report!E1917</f>
        <v>FALCAO INDUSTRIA DE ALIMENTOS LTDA</v>
      </c>
      <c r="C1194" s="15" t="n">
        <f aca="false">Report!U1917</f>
        <v>2752.16</v>
      </c>
      <c r="D1194" s="0" t="str">
        <f aca="false">Report!X1917</f>
        <v>NF 33028 ELLEN</v>
      </c>
    </row>
    <row r="1195" customFormat="false" ht="12.75" hidden="false" customHeight="true" outlineLevel="0" collapsed="false">
      <c r="A1195" s="14" t="n">
        <f aca="false">Report!C1918</f>
        <v>46274</v>
      </c>
      <c r="B1195" s="0" t="str">
        <f aca="false">Report!E1918</f>
        <v>FENNIX BRASIL DISTRIBUIDORA DE PRODUTOS</v>
      </c>
      <c r="C1195" s="15" t="n">
        <f aca="false">Report!U1918</f>
        <v>679.16</v>
      </c>
      <c r="D1195" s="0" t="str">
        <f aca="false">Report!X1918</f>
        <v>NF 319020 ELLEN</v>
      </c>
    </row>
    <row r="1196" customFormat="false" ht="12.75" hidden="false" customHeight="true" outlineLevel="0" collapsed="false">
      <c r="A1196" s="14" t="n">
        <f aca="false">Report!C1919</f>
        <v>46274</v>
      </c>
      <c r="B1196" s="0" t="str">
        <f aca="false">Report!E1919</f>
        <v>H L M PADARIA E CONFEITARIA LTDA</v>
      </c>
      <c r="C1196" s="15" t="n">
        <f aca="false">Report!U1919</f>
        <v>140</v>
      </c>
      <c r="D1196" s="0" t="str">
        <f aca="false">Report!X1919</f>
        <v>NF 268 COMPRAS-BOLO PG NO P 9/9/26</v>
      </c>
    </row>
    <row r="1197" customFormat="false" ht="12.75" hidden="false" customHeight="true" outlineLevel="0" collapsed="false">
      <c r="A1197" s="14" t="n">
        <f aca="false">Report!C1920</f>
        <v>46274</v>
      </c>
      <c r="B1197" s="0" t="str">
        <f aca="false">Report!E1920</f>
        <v>LOURIVAL ALMEIDA DA SILVA 17128784845</v>
      </c>
      <c r="C1197" s="15" t="n">
        <f aca="false">Report!U1920</f>
        <v>160.32</v>
      </c>
      <c r="D1197" s="0" t="str">
        <f aca="false">Report!X1920</f>
        <v>NF 536 COMPRAS-MARSHMALOW - PG NO P 9/9/26 - ELLEN</v>
      </c>
    </row>
    <row r="1198" customFormat="false" ht="12.75" hidden="false" customHeight="true" outlineLevel="0" collapsed="false">
      <c r="A1198" s="14" t="n">
        <f aca="false">Report!C1921</f>
        <v>46274</v>
      </c>
      <c r="B1198" s="0" t="str">
        <f aca="false">Report!E1921</f>
        <v>NEYLIANE S DE OLIVEIRA &amp; CIA LTDA</v>
      </c>
      <c r="C1198" s="15" t="n">
        <f aca="false">Report!U1921</f>
        <v>180</v>
      </c>
      <c r="D1198" s="0" t="str">
        <f aca="false">Report!X1921</f>
        <v>COMPRAS - 10KG PITAYA - PG NO P 9/9/26- ELLEN</v>
      </c>
    </row>
    <row r="1199" customFormat="false" ht="12.75" hidden="false" customHeight="true" outlineLevel="0" collapsed="false">
      <c r="A1199" s="14" t="n">
        <f aca="false">Report!C1922</f>
        <v>46274</v>
      </c>
      <c r="B1199" s="0" t="str">
        <f aca="false">Report!E1922</f>
        <v>NSB COMERCIO ATACADISTA E VAREJISTA DE P</v>
      </c>
      <c r="C1199" s="15" t="n">
        <f aca="false">Report!U1922</f>
        <v>314</v>
      </c>
      <c r="D1199" s="0" t="str">
        <f aca="false">Report!X1922</f>
        <v>NF 8180 ELLEN</v>
      </c>
    </row>
    <row r="1200" customFormat="false" ht="12.75" hidden="false" customHeight="true" outlineLevel="0" collapsed="false">
      <c r="A1200" s="14" t="n">
        <f aca="false">Report!C1923</f>
        <v>46274</v>
      </c>
      <c r="B1200" s="0" t="str">
        <f aca="false">Report!E1923</f>
        <v>OESA COMERCIO E REPRESENTACOES S/A</v>
      </c>
      <c r="C1200" s="15" t="n">
        <f aca="false">Report!U1923</f>
        <v>1510.33</v>
      </c>
      <c r="D1200" s="0" t="str">
        <f aca="false">Report!X1923</f>
        <v>NF 447609 ELLEN</v>
      </c>
    </row>
    <row r="1201" customFormat="false" ht="12.75" hidden="false" customHeight="true" outlineLevel="0" collapsed="false">
      <c r="A1201" s="14" t="n">
        <f aca="false">Report!C1924</f>
        <v>46274</v>
      </c>
      <c r="B1201" s="0" t="str">
        <f aca="false">Report!E1924</f>
        <v>PRIME PET DISTRIBUIDORA LTDA</v>
      </c>
      <c r="C1201" s="15" t="n">
        <f aca="false">Report!U1924</f>
        <v>446.29</v>
      </c>
      <c r="D1201" s="0" t="str">
        <f aca="false">Report!X1924</f>
        <v>NF 11173 ELLEN</v>
      </c>
    </row>
    <row r="1202" customFormat="false" ht="12.75" hidden="false" customHeight="true" outlineLevel="0" collapsed="false">
      <c r="A1202" s="14" t="n">
        <f aca="false">Report!C1925</f>
        <v>46274</v>
      </c>
      <c r="B1202" s="0" t="str">
        <f aca="false">Report!E1925</f>
        <v>RISADINHA LTDA</v>
      </c>
      <c r="C1202" s="15" t="n">
        <f aca="false">Report!U1925</f>
        <v>830.13</v>
      </c>
      <c r="D1202" s="0" t="str">
        <f aca="false">Report!X1925</f>
        <v>NF 668739 ELLEN</v>
      </c>
    </row>
    <row r="1203" customFormat="false" ht="12.75" hidden="false" customHeight="true" outlineLevel="0" collapsed="false">
      <c r="A1203" s="14" t="n">
        <f aca="false">Report!C1928</f>
        <v>46274</v>
      </c>
      <c r="B1203" s="0" t="str">
        <f aca="false">Report!E1928</f>
        <v>SEM FORNECEDOR</v>
      </c>
      <c r="C1203" s="15" t="n">
        <f aca="false">Report!U1928</f>
        <v>145</v>
      </c>
      <c r="D1203" s="0" t="str">
        <f aca="false">Report!X1928</f>
        <v>compras-recibo-pipocas gourmet/giovana</v>
      </c>
    </row>
    <row r="1204" customFormat="false" ht="12.75" hidden="false" customHeight="true" outlineLevel="0" collapsed="false">
      <c r="A1204" s="14" t="n">
        <f aca="false">Report!C1935</f>
        <v>46275</v>
      </c>
      <c r="B1204" s="0" t="str">
        <f aca="false">Report!E1935</f>
        <v>ADRIANO FEITOSA OLIVEIRA LTDA</v>
      </c>
      <c r="C1204" s="15" t="n">
        <f aca="false">Report!U1935</f>
        <v>1045</v>
      </c>
      <c r="D1204" s="0" t="str">
        <f aca="false">Report!X1935</f>
        <v>NF 378 ELLEN</v>
      </c>
    </row>
    <row r="1205" customFormat="false" ht="12.75" hidden="false" customHeight="true" outlineLevel="0" collapsed="false">
      <c r="A1205" s="14" t="n">
        <f aca="false">Report!C1937</f>
        <v>46275</v>
      </c>
      <c r="B1205" s="0" t="str">
        <f aca="false">Report!E1937</f>
        <v>AGM COMERCIO E DISTRIBUIDORA DE MATERIAS DE PERFUMARIA E LIMPEZA LTDA</v>
      </c>
      <c r="C1205" s="15" t="n">
        <f aca="false">Report!U1937</f>
        <v>2153.25</v>
      </c>
      <c r="D1205" s="0" t="str">
        <f aca="false">Report!X1937</f>
        <v>NF 163912 ELLEN</v>
      </c>
    </row>
    <row r="1206" customFormat="false" ht="12.75" hidden="false" customHeight="true" outlineLevel="0" collapsed="false">
      <c r="A1206" s="14" t="n">
        <f aca="false">Report!C1938</f>
        <v>46275</v>
      </c>
      <c r="B1206" s="0" t="str">
        <f aca="false">Report!E1938</f>
        <v>ALEXSANDRO BEZERRA DA SILVA</v>
      </c>
      <c r="C1206" s="15" t="n">
        <f aca="false">Report!U1938</f>
        <v>1012.43</v>
      </c>
      <c r="D1206" s="0" t="str">
        <f aca="false">Report!X1938</f>
        <v>NF 299 ELLEN</v>
      </c>
    </row>
    <row r="1207" customFormat="false" ht="12.75" hidden="false" customHeight="true" outlineLevel="0" collapsed="false">
      <c r="A1207" s="14" t="n">
        <f aca="false">Report!C1939</f>
        <v>46275</v>
      </c>
      <c r="B1207" s="0" t="str">
        <f aca="false">Report!E1939</f>
        <v>AMAZON MILK IND. E COMERCIO LTDA</v>
      </c>
      <c r="C1207" s="15" t="n">
        <f aca="false">Report!U1939</f>
        <v>805.4</v>
      </c>
      <c r="D1207" s="0" t="str">
        <f aca="false">Report!X1939</f>
        <v>NF 206697 ELLEN</v>
      </c>
    </row>
    <row r="1208" customFormat="false" ht="12.75" hidden="false" customHeight="true" outlineLevel="0" collapsed="false">
      <c r="A1208" s="14" t="n">
        <f aca="false">Report!C1940</f>
        <v>46275</v>
      </c>
      <c r="B1208" s="0" t="str">
        <f aca="false">Report!E1940</f>
        <v>ATACADAO S.A.</v>
      </c>
      <c r="C1208" s="15" t="n">
        <f aca="false">Report!U1940</f>
        <v>561.84</v>
      </c>
      <c r="D1208" s="0" t="str">
        <f aca="false">Report!X1940</f>
        <v>NF 1919900 ELLEN</v>
      </c>
    </row>
    <row r="1209" customFormat="false" ht="12.75" hidden="false" customHeight="true" outlineLevel="0" collapsed="false">
      <c r="A1209" s="14" t="n">
        <f aca="false">Report!C1941</f>
        <v>46275</v>
      </c>
      <c r="B1209" s="0" t="str">
        <f aca="false">Report!E1941</f>
        <v>BRAGA TABACARIA EIRELI ME</v>
      </c>
      <c r="C1209" s="15" t="n">
        <f aca="false">Report!U1941</f>
        <v>1063.84</v>
      </c>
      <c r="D1209" s="0" t="str">
        <f aca="false">Report!X1941</f>
        <v>NF 20104 ELLEN</v>
      </c>
    </row>
    <row r="1210" customFormat="false" ht="12.75" hidden="false" customHeight="true" outlineLevel="0" collapsed="false">
      <c r="A1210" s="14" t="n">
        <f aca="false">Report!C1944</f>
        <v>46275</v>
      </c>
      <c r="B1210" s="0" t="str">
        <f aca="false">Report!E1944</f>
        <v>DISTRIBUIDORA LOPES LTDA</v>
      </c>
      <c r="C1210" s="15" t="n">
        <f aca="false">Report!U1944</f>
        <v>692.26</v>
      </c>
      <c r="D1210" s="0" t="str">
        <f aca="false">Report!X1944</f>
        <v>NF 1710665 ELLEN</v>
      </c>
    </row>
    <row r="1211" customFormat="false" ht="12.75" hidden="false" customHeight="true" outlineLevel="0" collapsed="false">
      <c r="A1211" s="14" t="n">
        <f aca="false">Report!C1945</f>
        <v>46275</v>
      </c>
      <c r="B1211" s="0" t="str">
        <f aca="false">Report!E1945</f>
        <v>FUNNY PET DISTRIBUIDORA DE ALIMENTOS PAR</v>
      </c>
      <c r="C1211" s="15" t="n">
        <f aca="false">Report!U1945</f>
        <v>128.85</v>
      </c>
      <c r="D1211" s="0" t="str">
        <f aca="false">Report!X1945</f>
        <v>NF 20440 ELLEN</v>
      </c>
    </row>
    <row r="1212" customFormat="false" ht="12.75" hidden="false" customHeight="true" outlineLevel="0" collapsed="false">
      <c r="A1212" s="14" t="n">
        <f aca="false">Report!C1946</f>
        <v>46275</v>
      </c>
      <c r="B1212" s="0" t="str">
        <f aca="false">Report!E1946</f>
        <v>J. S. MOREIRA ALVES LTDA</v>
      </c>
      <c r="C1212" s="15" t="n">
        <f aca="false">Report!U1946</f>
        <v>190</v>
      </c>
      <c r="D1212" s="0" t="str">
        <f aca="false">Report!X1946</f>
        <v>NF 2859 ELLEN</v>
      </c>
    </row>
    <row r="1213" customFormat="false" ht="12.75" hidden="false" customHeight="true" outlineLevel="0" collapsed="false">
      <c r="A1213" s="14" t="n">
        <f aca="false">Report!C1947</f>
        <v>46275</v>
      </c>
      <c r="B1213" s="0" t="str">
        <f aca="false">Report!E1947</f>
        <v>JAB COMERCIO DE PRODUTOS ALIMENTICIOS LT</v>
      </c>
      <c r="C1213" s="15" t="n">
        <f aca="false">Report!U1947</f>
        <v>125</v>
      </c>
      <c r="D1213" s="0" t="str">
        <f aca="false">Report!X1947</f>
        <v>NF 3867 ELLEN</v>
      </c>
    </row>
    <row r="1214" customFormat="false" ht="12.75" hidden="false" customHeight="true" outlineLevel="0" collapsed="false">
      <c r="A1214" s="14" t="n">
        <f aca="false">Report!C1949</f>
        <v>46275</v>
      </c>
      <c r="B1214" s="0" t="str">
        <f aca="false">Report!E1949</f>
        <v>MARE DISTRIBUIDORA DE BEBIDAS E DE PRODUTOS ALIMENTICIOS LTDA</v>
      </c>
      <c r="C1214" s="15" t="n">
        <f aca="false">Report!U1949</f>
        <v>1515.2</v>
      </c>
      <c r="D1214" s="0" t="str">
        <f aca="false">Report!X1949</f>
        <v>NF 1430146 ELLEN</v>
      </c>
    </row>
    <row r="1215" customFormat="false" ht="12.75" hidden="false" customHeight="true" outlineLevel="0" collapsed="false">
      <c r="A1215" s="14" t="n">
        <f aca="false">Report!C1950</f>
        <v>46275</v>
      </c>
      <c r="B1215" s="0" t="str">
        <f aca="false">Report!E1950</f>
        <v>MAXFRI DISTRIUIDORA LTDA</v>
      </c>
      <c r="C1215" s="15" t="n">
        <f aca="false">Report!U1950</f>
        <v>4057.6</v>
      </c>
      <c r="D1215" s="0" t="str">
        <f aca="false">Report!X1950</f>
        <v>NF 15256 ELLEN</v>
      </c>
    </row>
    <row r="1216" customFormat="false" ht="12.75" hidden="false" customHeight="true" outlineLevel="0" collapsed="false">
      <c r="A1216" s="14" t="n">
        <f aca="false">Report!C1952</f>
        <v>46275</v>
      </c>
      <c r="B1216" s="0" t="str">
        <f aca="false">Report!E1952</f>
        <v>NEYLIANE S DE OLIVEIRA &amp; CIA LTDA</v>
      </c>
      <c r="C1216" s="15" t="n">
        <f aca="false">Report!U1952</f>
        <v>300</v>
      </c>
      <c r="D1216" s="0" t="str">
        <f aca="false">Report!X1952</f>
        <v>COMPRAS - 20L AÇAI - PG NO P 10/9/26 - ELLEN</v>
      </c>
    </row>
    <row r="1217" customFormat="false" ht="12.75" hidden="false" customHeight="true" outlineLevel="0" collapsed="false">
      <c r="A1217" s="14" t="n">
        <f aca="false">Report!C1956</f>
        <v>46275</v>
      </c>
      <c r="B1217" s="0" t="str">
        <f aca="false">Report!E1956</f>
        <v>SEM FORNECEDOR</v>
      </c>
      <c r="C1217" s="15" t="n">
        <f aca="false">Report!U1956</f>
        <v>72</v>
      </c>
      <c r="D1217" s="0" t="str">
        <f aca="false">Report!X1956</f>
        <v>compras-recibo-4 cxs brigadeiros/jose</v>
      </c>
    </row>
    <row r="1218" customFormat="false" ht="12.75" hidden="false" customHeight="true" outlineLevel="0" collapsed="false">
      <c r="A1218" s="14" t="n">
        <f aca="false">Report!C1961</f>
        <v>46275</v>
      </c>
      <c r="B1218" s="0" t="str">
        <f aca="false">Report!E1961</f>
        <v>T A DE MATTOS COMIM EIRELI</v>
      </c>
      <c r="C1218" s="15" t="n">
        <f aca="false">Report!U1961</f>
        <v>228</v>
      </c>
      <c r="D1218" s="0" t="str">
        <f aca="false">Report!X1961</f>
        <v>NF 10951 ELLEN</v>
      </c>
    </row>
    <row r="1219" customFormat="false" ht="12.75" hidden="false" customHeight="true" outlineLevel="0" collapsed="false">
      <c r="A1219" s="14" t="n">
        <f aca="false">Report!C1962</f>
        <v>46275</v>
      </c>
      <c r="B1219" s="0" t="str">
        <f aca="false">Report!E1962</f>
        <v>TAPAJOS COM DE PERFUMARIA COSMETICOS E G</v>
      </c>
      <c r="C1219" s="15" t="n">
        <f aca="false">Report!U1962</f>
        <v>795.81</v>
      </c>
      <c r="D1219" s="0" t="str">
        <f aca="false">Report!X1962</f>
        <v>NF 586415 ELLEN</v>
      </c>
    </row>
    <row r="1220" customFormat="false" ht="12.75" hidden="false" customHeight="true" outlineLevel="0" collapsed="false">
      <c r="A1220" s="14" t="n">
        <f aca="false">Report!C1963</f>
        <v>46275</v>
      </c>
      <c r="B1220" s="0" t="str">
        <f aca="false">Report!E1963</f>
        <v>TRES CORACOES ALIMENTOS S.A.</v>
      </c>
      <c r="C1220" s="15" t="n">
        <f aca="false">Report!U1963</f>
        <v>182.8</v>
      </c>
      <c r="D1220" s="0" t="str">
        <f aca="false">Report!X1963</f>
        <v>NF 357892 ELLEN</v>
      </c>
    </row>
    <row r="1221" customFormat="false" ht="12.75" hidden="false" customHeight="true" outlineLevel="0" collapsed="false">
      <c r="A1221" s="14" t="n">
        <f aca="false">Report!C1964</f>
        <v>46276</v>
      </c>
      <c r="B1221" s="0" t="str">
        <f aca="false">Report!E1964</f>
        <v>BRAGA TABACARIA EIRELI ME</v>
      </c>
      <c r="C1221" s="15" t="n">
        <f aca="false">Report!U1964</f>
        <v>860.51</v>
      </c>
      <c r="D1221" s="0" t="str">
        <f aca="false">Report!X1964</f>
        <v>NF 20278 ELLEN</v>
      </c>
    </row>
    <row r="1222" customFormat="false" ht="12.75" hidden="false" customHeight="true" outlineLevel="0" collapsed="false">
      <c r="A1222" s="14" t="n">
        <f aca="false">Report!C1965</f>
        <v>46276</v>
      </c>
      <c r="B1222" s="0" t="str">
        <f aca="false">Report!E1965</f>
        <v>DA FRUTA DISTRIBUIDORA LTDA</v>
      </c>
      <c r="C1222" s="15" t="n">
        <f aca="false">Report!U1965</f>
        <v>624.41</v>
      </c>
      <c r="D1222" s="0" t="str">
        <f aca="false">Report!X1965</f>
        <v>NF 197945 ELLEN</v>
      </c>
    </row>
    <row r="1223" customFormat="false" ht="12.75" hidden="false" customHeight="true" outlineLevel="0" collapsed="false">
      <c r="A1223" s="14" t="n">
        <f aca="false">Report!C1966</f>
        <v>46276</v>
      </c>
      <c r="B1223" s="0" t="str">
        <f aca="false">Report!E1966</f>
        <v>DISTRIBUIDORA LOPES LTDA</v>
      </c>
      <c r="C1223" s="15" t="n">
        <f aca="false">Report!U1966</f>
        <v>832.2</v>
      </c>
      <c r="D1223" s="0" t="str">
        <f aca="false">Report!X1966</f>
        <v>NF 1724730 ELLEN</v>
      </c>
    </row>
    <row r="1224" customFormat="false" ht="12.75" hidden="false" customHeight="true" outlineLevel="0" collapsed="false">
      <c r="A1224" s="14" t="n">
        <f aca="false">Report!C1967</f>
        <v>46276</v>
      </c>
      <c r="B1224" s="0" t="str">
        <f aca="false">Report!E1967</f>
        <v>DURAES DISTRIBUIDORA DE ESTIVAS LTDA</v>
      </c>
      <c r="C1224" s="15" t="n">
        <f aca="false">Report!U1967</f>
        <v>610.2</v>
      </c>
      <c r="D1224" s="0" t="str">
        <f aca="false">Report!X1967</f>
        <v>NF 656817 ELLEN</v>
      </c>
    </row>
    <row r="1225" customFormat="false" ht="12.75" hidden="false" customHeight="true" outlineLevel="0" collapsed="false">
      <c r="A1225" s="14" t="n">
        <f aca="false">Report!C1968</f>
        <v>46276</v>
      </c>
      <c r="B1225" s="0" t="str">
        <f aca="false">Report!E1968</f>
        <v>FEIRA</v>
      </c>
      <c r="C1225" s="15" t="n">
        <f aca="false">Report!U1968</f>
        <v>300</v>
      </c>
      <c r="D1225" s="0" t="str">
        <f aca="false">Report!X1968</f>
        <v>FEIRA-PG P C6-BANK/RENATO (PERA/UVA) SOMAR C NF2669-ELLEN</v>
      </c>
    </row>
    <row r="1226" customFormat="false" ht="12.75" hidden="false" customHeight="true" outlineLevel="0" collapsed="false">
      <c r="A1226" s="14" t="n">
        <f aca="false">Report!C1969</f>
        <v>46276</v>
      </c>
      <c r="B1226" s="0" t="str">
        <f aca="false">Report!E1969</f>
        <v>FEMAR IND E COM DE BEBIDAS LTDA</v>
      </c>
      <c r="C1226" s="15" t="n">
        <f aca="false">Report!U1969</f>
        <v>247.55</v>
      </c>
      <c r="D1226" s="0" t="str">
        <f aca="false">Report!X1969</f>
        <v>NF 58376 ELLEN</v>
      </c>
    </row>
    <row r="1227" customFormat="false" ht="12.75" hidden="false" customHeight="true" outlineLevel="0" collapsed="false">
      <c r="A1227" s="14" t="n">
        <f aca="false">Report!C1970</f>
        <v>46276</v>
      </c>
      <c r="B1227" s="0" t="str">
        <f aca="false">Report!E1970</f>
        <v>H L M PADARIA E CONFEITARIA LTDA</v>
      </c>
      <c r="C1227" s="15" t="n">
        <f aca="false">Report!U1970</f>
        <v>200</v>
      </c>
      <c r="D1227" s="0" t="str">
        <f aca="false">Report!X1970</f>
        <v>NF 278 COMPRAS-BOLO PG NO P 11/9/26-ELLEN</v>
      </c>
    </row>
    <row r="1228" customFormat="false" ht="12.75" hidden="false" customHeight="true" outlineLevel="0" collapsed="false">
      <c r="A1228" s="14" t="n">
        <f aca="false">Report!C1971</f>
        <v>46276</v>
      </c>
      <c r="B1228" s="0" t="str">
        <f aca="false">Report!E1971</f>
        <v>J G COMERCIO DE PRODUTOS ALIMENTICIOS LTDA</v>
      </c>
      <c r="C1228" s="15" t="n">
        <f aca="false">Report!U1971</f>
        <v>474.45</v>
      </c>
      <c r="D1228" s="0" t="str">
        <f aca="false">Report!X1971</f>
        <v>NF 401423 ELLEN</v>
      </c>
    </row>
    <row r="1229" customFormat="false" ht="12.75" hidden="false" customHeight="true" outlineLevel="0" collapsed="false">
      <c r="A1229" s="14" t="n">
        <f aca="false">Report!C1972</f>
        <v>46276</v>
      </c>
      <c r="B1229" s="0" t="str">
        <f aca="false">Report!E1972</f>
        <v>NEYLIANE S DE OLIVEIRA &amp; CIA LTDA</v>
      </c>
      <c r="C1229" s="15" t="n">
        <f aca="false">Report!U1972</f>
        <v>260</v>
      </c>
      <c r="D1229" s="0" t="str">
        <f aca="false">Report!X1972</f>
        <v>COMPRAS - PACOVA/LIMAO-PG P CNPJ:67144863/0001-03-ELLEN</v>
      </c>
    </row>
    <row r="1230" customFormat="false" ht="12.75" hidden="false" customHeight="true" outlineLevel="0" collapsed="false">
      <c r="A1230" s="14" t="n">
        <f aca="false">Report!C1973</f>
        <v>46276</v>
      </c>
      <c r="B1230" s="0" t="str">
        <f aca="false">Report!E1973</f>
        <v>NEYLIANE S DE OLIVEIRA &amp; CIA LTDA</v>
      </c>
      <c r="C1230" s="15" t="n">
        <f aca="false">Report!U1973</f>
        <v>2174</v>
      </c>
      <c r="D1230" s="0" t="str">
        <f aca="false">Report!X1973</f>
        <v>FEIRA- PG P C6-BANK/RENATO - ELLEN</v>
      </c>
    </row>
    <row r="1231" customFormat="false" ht="12.75" hidden="false" customHeight="true" outlineLevel="0" collapsed="false">
      <c r="A1231" s="14" t="n">
        <f aca="false">Report!C1974</f>
        <v>46276</v>
      </c>
      <c r="B1231" s="0" t="str">
        <f aca="false">Report!E1974</f>
        <v>PANIFICADORA E CONFEITARIA REAL MADRI LTDA</v>
      </c>
      <c r="C1231" s="15" t="n">
        <f aca="false">Report!U1974</f>
        <v>135</v>
      </c>
      <c r="D1231" s="0" t="str">
        <f aca="false">Report!X1974</f>
        <v>NF 797 ELLEN</v>
      </c>
    </row>
    <row r="1232" customFormat="false" ht="12.75" hidden="false" customHeight="true" outlineLevel="0" collapsed="false">
      <c r="A1232" s="14" t="n">
        <f aca="false">Report!C1980</f>
        <v>46276</v>
      </c>
      <c r="B1232" s="0" t="str">
        <f aca="false">Report!E1980</f>
        <v>SOUZA CRUZ LTDA.</v>
      </c>
      <c r="C1232" s="15" t="n">
        <f aca="false">Report!U1980</f>
        <v>5894.1</v>
      </c>
      <c r="D1232" s="0" t="str">
        <f aca="false">Report!X1980</f>
        <v>NF 570907 ELLEN</v>
      </c>
    </row>
    <row r="1233" customFormat="false" ht="12.75" hidden="false" customHeight="true" outlineLevel="0" collapsed="false">
      <c r="A1233" s="14" t="n">
        <f aca="false">Report!C1981</f>
        <v>46277</v>
      </c>
      <c r="B1233" s="0" t="str">
        <f aca="false">Report!E1981</f>
        <v>ADRIANA DISTRIBUIDORA DE PRODUTOS ALIMEN</v>
      </c>
      <c r="C1233" s="15" t="n">
        <f aca="false">Report!U1981</f>
        <v>365</v>
      </c>
      <c r="D1233" s="0" t="str">
        <f aca="false">Report!X1981</f>
        <v>NF 894544 ELLEN</v>
      </c>
    </row>
    <row r="1234" customFormat="false" ht="12.75" hidden="false" customHeight="true" outlineLevel="0" collapsed="false">
      <c r="A1234" s="14" t="n">
        <f aca="false">Report!C1982</f>
        <v>46277</v>
      </c>
      <c r="B1234" s="0" t="str">
        <f aca="false">Report!E1982</f>
        <v>DISTRIBUIDORA FARIAS LTDA.</v>
      </c>
      <c r="C1234" s="15" t="n">
        <f aca="false">Report!U1982</f>
        <v>706.55</v>
      </c>
      <c r="D1234" s="0" t="str">
        <f aca="false">Report!X1982</f>
        <v>NF 689222 ELLEN</v>
      </c>
    </row>
    <row r="1235" customFormat="false" ht="12.75" hidden="false" customHeight="true" outlineLevel="0" collapsed="false">
      <c r="A1235" s="14" t="n">
        <f aca="false">Report!C1983</f>
        <v>46277</v>
      </c>
      <c r="B1235" s="0" t="str">
        <f aca="false">Report!E1983</f>
        <v>DISTRIBUIDORA FARIAS LTDA.</v>
      </c>
      <c r="C1235" s="15" t="n">
        <f aca="false">Report!U1983</f>
        <v>1422.68</v>
      </c>
      <c r="D1235" s="0" t="str">
        <f aca="false">Report!X1983</f>
        <v>NF 689224 ELLEN</v>
      </c>
    </row>
    <row r="1236" customFormat="false" ht="12.75" hidden="false" customHeight="true" outlineLevel="0" collapsed="false">
      <c r="A1236" s="14" t="n">
        <f aca="false">Report!C1984</f>
        <v>46277</v>
      </c>
      <c r="B1236" s="0" t="str">
        <f aca="false">Report!E1984</f>
        <v>FALCAO INDUSTRIA DE ALIMENTOS LTDA</v>
      </c>
      <c r="C1236" s="15" t="n">
        <f aca="false">Report!U1984</f>
        <v>309.71</v>
      </c>
      <c r="D1236" s="0" t="str">
        <f aca="false">Report!X1984</f>
        <v>NF 33408 ELLEN</v>
      </c>
    </row>
    <row r="1237" customFormat="false" ht="12.75" hidden="false" customHeight="true" outlineLevel="0" collapsed="false">
      <c r="A1237" s="14" t="n">
        <f aca="false">Report!C1992</f>
        <v>46277</v>
      </c>
      <c r="B1237" s="0" t="str">
        <f aca="false">Report!E1992</f>
        <v>TAPAJOS COM DE PERFUMARIA COSMETICOS E G</v>
      </c>
      <c r="C1237" s="15" t="n">
        <f aca="false">Report!U1992</f>
        <v>271.46</v>
      </c>
      <c r="D1237" s="0" t="str">
        <f aca="false">Report!X1992</f>
        <v>NF 588254 ELLEN</v>
      </c>
    </row>
    <row r="1238" customFormat="false" ht="12.75" hidden="false" customHeight="true" outlineLevel="0" collapsed="false">
      <c r="A1238" s="14" t="n">
        <f aca="false">Report!C1993</f>
        <v>46278</v>
      </c>
      <c r="B1238" s="0" t="str">
        <f aca="false">Report!E1993</f>
        <v>CHERRYS SEMI JOIAS LTDA</v>
      </c>
      <c r="C1238" s="15" t="n">
        <f aca="false">Report!U1993</f>
        <v>660</v>
      </c>
      <c r="D1238" s="0" t="str">
        <f aca="false">Report!X1993</f>
        <v>NF 502 ELLEN</v>
      </c>
    </row>
    <row r="1239" customFormat="false" ht="12.75" hidden="false" customHeight="true" outlineLevel="0" collapsed="false">
      <c r="A1239" s="14" t="n">
        <f aca="false">Report!C1999</f>
        <v>46279</v>
      </c>
      <c r="B1239" s="0" t="str">
        <f aca="false">Report!E1999</f>
        <v>CRBS S/A</v>
      </c>
      <c r="C1239" s="15" t="n">
        <f aca="false">Report!U1999</f>
        <v>489.74</v>
      </c>
      <c r="D1239" s="0" t="str">
        <f aca="false">Report!X1999</f>
        <v>NF 993555 ELLEN</v>
      </c>
    </row>
    <row r="1240" customFormat="false" ht="12.75" hidden="false" customHeight="true" outlineLevel="0" collapsed="false">
      <c r="A1240" s="14" t="n">
        <f aca="false">Report!C2003</f>
        <v>46279</v>
      </c>
      <c r="B1240" s="0" t="str">
        <f aca="false">Report!E2003</f>
        <v>H L M PADARIA E CONFEITARIA LTDA</v>
      </c>
      <c r="C1240" s="15" t="n">
        <f aca="false">Report!U2003</f>
        <v>140</v>
      </c>
      <c r="D1240" s="0" t="str">
        <f aca="false">Report!X2003</f>
        <v>NF 286 COMPRAS-BOLO PG NO P 14/9/26 - ELLEN</v>
      </c>
    </row>
    <row r="1241" customFormat="false" ht="12.75" hidden="false" customHeight="true" outlineLevel="0" collapsed="false">
      <c r="A1241" s="14" t="n">
        <f aca="false">Report!C2004</f>
        <v>46279</v>
      </c>
      <c r="B1241" s="0" t="str">
        <f aca="false">Report!E2004</f>
        <v>J W N DOS SANTOS</v>
      </c>
      <c r="C1241" s="15" t="n">
        <f aca="false">Report!U2004</f>
        <v>286</v>
      </c>
      <c r="D1241" s="0" t="str">
        <f aca="false">Report!X2004</f>
        <v>NF 440 ELLEN</v>
      </c>
    </row>
    <row r="1242" customFormat="false" ht="12.75" hidden="false" customHeight="true" outlineLevel="0" collapsed="false">
      <c r="A1242" s="14" t="n">
        <f aca="false">Report!C2006</f>
        <v>46279</v>
      </c>
      <c r="B1242" s="0" t="str">
        <f aca="false">Report!E2006</f>
        <v>MARTINS COM SERV DISTR SA</v>
      </c>
      <c r="C1242" s="15" t="n">
        <f aca="false">Report!U2006</f>
        <v>176.58</v>
      </c>
      <c r="D1242" s="0" t="str">
        <f aca="false">Report!X2006</f>
        <v>NF'S 1796899/1796900 ELLEN</v>
      </c>
    </row>
    <row r="1243" customFormat="false" ht="12.75" hidden="false" customHeight="true" outlineLevel="0" collapsed="false">
      <c r="A1243" s="14" t="n">
        <f aca="false">Report!C2007</f>
        <v>46279</v>
      </c>
      <c r="B1243" s="0" t="str">
        <f aca="false">Report!E2007</f>
        <v>MAXPEL COMERCIAL LTDA</v>
      </c>
      <c r="C1243" s="15" t="n">
        <f aca="false">Report!U2007</f>
        <v>983.77</v>
      </c>
      <c r="D1243" s="0" t="str">
        <f aca="false">Report!X2007</f>
        <v>NFS 319296/319297 - ELLEN</v>
      </c>
    </row>
    <row r="1244" customFormat="false" ht="12.75" hidden="false" customHeight="true" outlineLevel="0" collapsed="false">
      <c r="A1244" s="14" t="n">
        <f aca="false">Report!C2008</f>
        <v>46279</v>
      </c>
      <c r="B1244" s="0" t="str">
        <f aca="false">Report!E2008</f>
        <v>NESTLÉ BRASIL LTDA.</v>
      </c>
      <c r="C1244" s="15" t="n">
        <f aca="false">Report!U2008</f>
        <v>1268.78</v>
      </c>
      <c r="D1244" s="0" t="str">
        <f aca="false">Report!X2008</f>
        <v>NF 1442200 ELLEN</v>
      </c>
    </row>
    <row r="1245" customFormat="false" ht="12.75" hidden="false" customHeight="true" outlineLevel="0" collapsed="false">
      <c r="A1245" s="14" t="n">
        <f aca="false">Report!C2009</f>
        <v>46279</v>
      </c>
      <c r="B1245" s="0" t="str">
        <f aca="false">Report!E2009</f>
        <v>NESTLÉ BRASIL LTDA.</v>
      </c>
      <c r="C1245" s="15" t="n">
        <f aca="false">Report!U2009</f>
        <v>2477.62</v>
      </c>
      <c r="D1245" s="0" t="str">
        <f aca="false">Report!X2009</f>
        <v>NF 1442668 ELLEN</v>
      </c>
    </row>
    <row r="1246" customFormat="false" ht="12.75" hidden="false" customHeight="true" outlineLevel="0" collapsed="false">
      <c r="A1246" s="14" t="n">
        <f aca="false">Report!C2010</f>
        <v>46279</v>
      </c>
      <c r="B1246" s="0" t="str">
        <f aca="false">Report!E2010</f>
        <v>NEYLIANE S DE OLIVEIRA &amp; CIA LTDA</v>
      </c>
      <c r="C1246" s="15" t="n">
        <f aca="false">Report!U2010</f>
        <v>225</v>
      </c>
      <c r="D1246" s="0" t="str">
        <f aca="false">Report!X2010</f>
        <v>COMPRAS - 15L DE AÇAI - PG NO P 12/9/26</v>
      </c>
    </row>
    <row r="1247" customFormat="false" ht="12.75" hidden="false" customHeight="true" outlineLevel="0" collapsed="false">
      <c r="A1247" s="14" t="n">
        <f aca="false">Report!C2011</f>
        <v>46279</v>
      </c>
      <c r="B1247" s="0" t="str">
        <f aca="false">Report!E2011</f>
        <v>NEYLIANE S DE OLIVEIRA &amp; CIA LTDA</v>
      </c>
      <c r="C1247" s="15" t="n">
        <f aca="false">Report!U2011</f>
        <v>300</v>
      </c>
      <c r="D1247" s="0" t="str">
        <f aca="false">Report!X2011</f>
        <v>COMPRAS - 20L DE AÇAI - PG NO P 14/9/26 - ELLEN</v>
      </c>
    </row>
    <row r="1248" customFormat="false" ht="12.75" hidden="false" customHeight="true" outlineLevel="0" collapsed="false">
      <c r="A1248" s="14" t="n">
        <f aca="false">Report!C2012</f>
        <v>46279</v>
      </c>
      <c r="B1248" s="0" t="str">
        <f aca="false">Report!E2012</f>
        <v>NOVA FRIOS COMERCIO ATACADISTA DE LATICINIOS LTDA</v>
      </c>
      <c r="C1248" s="15" t="n">
        <f aca="false">Report!U2012</f>
        <v>258.2</v>
      </c>
      <c r="D1248" s="0" t="str">
        <f aca="false">Report!X2012</f>
        <v>NF 4564 ELLEN</v>
      </c>
    </row>
    <row r="1249" customFormat="false" ht="12.75" hidden="false" customHeight="true" outlineLevel="0" collapsed="false">
      <c r="A1249" s="14" t="n">
        <f aca="false">Report!C2013</f>
        <v>46279</v>
      </c>
      <c r="B1249" s="0" t="str">
        <f aca="false">Report!E2013</f>
        <v>PANIFICADORA E CONFEITARIA REAL MADRI LTDA</v>
      </c>
      <c r="C1249" s="15" t="n">
        <f aca="false">Report!U2013</f>
        <v>259.75</v>
      </c>
      <c r="D1249" s="0" t="str">
        <f aca="false">Report!X2013</f>
        <v>NF 802 ELLEN</v>
      </c>
    </row>
    <row r="1250" customFormat="false" ht="12.75" hidden="false" customHeight="true" outlineLevel="0" collapsed="false">
      <c r="A1250" s="14" t="n">
        <f aca="false">Report!C2015</f>
        <v>46279</v>
      </c>
      <c r="B1250" s="0" t="str">
        <f aca="false">Report!E2015</f>
        <v>SB COMERCIO LTDA</v>
      </c>
      <c r="C1250" s="15" t="n">
        <f aca="false">Report!U2015</f>
        <v>521.58</v>
      </c>
      <c r="D1250" s="0" t="str">
        <f aca="false">Report!X2015</f>
        <v>NF 1966312 ELLEN</v>
      </c>
    </row>
    <row r="1251" customFormat="false" ht="12.75" hidden="false" customHeight="true" outlineLevel="0" collapsed="false">
      <c r="A1251" s="14" t="n">
        <f aca="false">Report!C2023</f>
        <v>46279</v>
      </c>
      <c r="B1251" s="0" t="str">
        <f aca="false">Report!E2023</f>
        <v>VICTORIA COMERCIO INTERNACIONAL DE ALIME</v>
      </c>
      <c r="C1251" s="15" t="n">
        <f aca="false">Report!U2023</f>
        <v>1213.95</v>
      </c>
      <c r="D1251" s="0" t="str">
        <f aca="false">Report!X2023</f>
        <v>NF 13070 ELLEN</v>
      </c>
    </row>
    <row r="1252" customFormat="false" ht="12.75" hidden="false" customHeight="true" outlineLevel="0" collapsed="false">
      <c r="A1252" s="14" t="n">
        <f aca="false">Report!C2024</f>
        <v>46280</v>
      </c>
      <c r="B1252" s="0" t="str">
        <f aca="false">Report!E2024</f>
        <v>64.225.624 ROBERTO REIS AROUCHE</v>
      </c>
      <c r="C1252" s="15" t="n">
        <f aca="false">Report!U2024</f>
        <v>144</v>
      </c>
      <c r="D1252" s="0" t="str">
        <f aca="false">Report!X2024</f>
        <v>NF 95 ELLEN</v>
      </c>
    </row>
    <row r="1253" customFormat="false" ht="12.75" hidden="false" customHeight="true" outlineLevel="0" collapsed="false">
      <c r="A1253" s="14" t="n">
        <f aca="false">Report!C2025</f>
        <v>46280</v>
      </c>
      <c r="B1253" s="0" t="str">
        <f aca="false">Report!E2025</f>
        <v>ADICSO FABIAN GONZALEZ MONTILLA 70302186</v>
      </c>
      <c r="C1253" s="15" t="n">
        <f aca="false">Report!U2025</f>
        <v>180</v>
      </c>
      <c r="D1253" s="0" t="str">
        <f aca="false">Report!X2025</f>
        <v>NF 654 ELLEN</v>
      </c>
    </row>
    <row r="1254" customFormat="false" ht="12.75" hidden="false" customHeight="true" outlineLevel="0" collapsed="false">
      <c r="A1254" s="14" t="n">
        <f aca="false">Report!C2026</f>
        <v>46280</v>
      </c>
      <c r="B1254" s="0" t="str">
        <f aca="false">Report!E2026</f>
        <v>ATACADAO S.A.</v>
      </c>
      <c r="C1254" s="15" t="n">
        <f aca="false">Report!U2026</f>
        <v>974.55</v>
      </c>
      <c r="D1254" s="0" t="str">
        <f aca="false">Report!X2026</f>
        <v>NF 1925382 ELLEN</v>
      </c>
    </row>
    <row r="1255" customFormat="false" ht="12.75" hidden="false" customHeight="true" outlineLevel="0" collapsed="false">
      <c r="A1255" s="14" t="n">
        <f aca="false">Report!C2027</f>
        <v>46280</v>
      </c>
      <c r="B1255" s="0" t="str">
        <f aca="false">Report!E2027</f>
        <v>BF COMERCIO DE ALIMENTOS REPRESENTACAO L</v>
      </c>
      <c r="C1255" s="15" t="n">
        <f aca="false">Report!U2027</f>
        <v>540.99</v>
      </c>
      <c r="D1255" s="0" t="str">
        <f aca="false">Report!X2027</f>
        <v>NF 21345 ELLEN</v>
      </c>
    </row>
    <row r="1256" customFormat="false" ht="12.75" hidden="false" customHeight="true" outlineLevel="0" collapsed="false">
      <c r="A1256" s="14" t="n">
        <f aca="false">Report!C2028</f>
        <v>46280</v>
      </c>
      <c r="B1256" s="0" t="str">
        <f aca="false">Report!E2028</f>
        <v>BRASIL NORTE BEBIDAS S/A</v>
      </c>
      <c r="C1256" s="15" t="n">
        <f aca="false">Report!U2028</f>
        <v>1139.35</v>
      </c>
      <c r="D1256" s="0" t="str">
        <f aca="false">Report!X2028</f>
        <v>NF 1272321 ELLEN</v>
      </c>
    </row>
    <row r="1257" customFormat="false" ht="12.75" hidden="false" customHeight="true" outlineLevel="0" collapsed="false">
      <c r="A1257" s="14" t="n">
        <f aca="false">Report!C2029</f>
        <v>46280</v>
      </c>
      <c r="B1257" s="0" t="str">
        <f aca="false">Report!E2029</f>
        <v>CB COMERCIO E DISTRIBUIDORA DE ALIMENTOS</v>
      </c>
      <c r="C1257" s="15" t="n">
        <f aca="false">Report!U2029</f>
        <v>843.65</v>
      </c>
      <c r="D1257" s="0" t="str">
        <f aca="false">Report!X2029</f>
        <v>NF 866347 ELLEN</v>
      </c>
    </row>
    <row r="1258" customFormat="false" ht="12.75" hidden="false" customHeight="true" outlineLevel="0" collapsed="false">
      <c r="A1258" s="14" t="n">
        <f aca="false">Report!C2030</f>
        <v>46280</v>
      </c>
      <c r="B1258" s="0" t="str">
        <f aca="false">Report!E2030</f>
        <v>CRBS S/A</v>
      </c>
      <c r="C1258" s="15" t="n">
        <f aca="false">Report!U2030</f>
        <v>2142.27</v>
      </c>
      <c r="D1258" s="0" t="str">
        <f aca="false">Report!X2030</f>
        <v>NF 996851 ELLEN</v>
      </c>
    </row>
    <row r="1259" customFormat="false" ht="12.75" hidden="false" customHeight="true" outlineLevel="0" collapsed="false">
      <c r="A1259" s="14" t="n">
        <f aca="false">Report!C2031</f>
        <v>46280</v>
      </c>
      <c r="B1259" s="0" t="str">
        <f aca="false">Report!E2031</f>
        <v>EDMARA COMERCIO DE HIGIENE PESSOAL LTDA</v>
      </c>
      <c r="C1259" s="15" t="n">
        <f aca="false">Report!U2031</f>
        <v>873.08</v>
      </c>
      <c r="D1259" s="0" t="str">
        <f aca="false">Report!X2031</f>
        <v>NF 8744 ELLEN</v>
      </c>
    </row>
    <row r="1260" customFormat="false" ht="12.75" hidden="false" customHeight="true" outlineLevel="0" collapsed="false">
      <c r="A1260" s="14" t="n">
        <f aca="false">Report!C2032</f>
        <v>46280</v>
      </c>
      <c r="B1260" s="0" t="str">
        <f aca="false">Report!E2032</f>
        <v>EDSON AGUIAR DE SOUZA</v>
      </c>
      <c r="C1260" s="15" t="n">
        <f aca="false">Report!U2032</f>
        <v>96</v>
      </c>
      <c r="D1260" s="0" t="str">
        <f aca="false">Report!X2032</f>
        <v>COMPRAS - CHEIRO-VERDE - ELLEN</v>
      </c>
    </row>
    <row r="1261" customFormat="false" ht="12.75" hidden="false" customHeight="true" outlineLevel="0" collapsed="false">
      <c r="A1261" s="14" t="n">
        <f aca="false">Report!C2033</f>
        <v>46280</v>
      </c>
      <c r="B1261" s="0" t="str">
        <f aca="false">Report!E2033</f>
        <v>EDSON AGUIAR DE SOUZA</v>
      </c>
      <c r="C1261" s="15" t="n">
        <f aca="false">Report!U2033</f>
        <v>166.5</v>
      </c>
      <c r="D1261" s="0" t="str">
        <f aca="false">Report!X2033</f>
        <v>COMPRAS - CHEIRO-VERDE - ELLEN</v>
      </c>
    </row>
    <row r="1262" customFormat="false" ht="12.75" hidden="false" customHeight="true" outlineLevel="0" collapsed="false">
      <c r="A1262" s="14" t="n">
        <f aca="false">Report!C2034</f>
        <v>46280</v>
      </c>
      <c r="B1262" s="0" t="str">
        <f aca="false">Report!E2034</f>
        <v>EDSON AGUIAR DE SOUZA</v>
      </c>
      <c r="C1262" s="15" t="n">
        <f aca="false">Report!U2034</f>
        <v>115.5</v>
      </c>
      <c r="D1262" s="0" t="str">
        <f aca="false">Report!X2034</f>
        <v>COMPRAS - CHEIRO-VERDE - ELLEN</v>
      </c>
    </row>
    <row r="1263" customFormat="false" ht="12.75" hidden="false" customHeight="true" outlineLevel="0" collapsed="false">
      <c r="A1263" s="14" t="n">
        <f aca="false">Report!C2035</f>
        <v>46280</v>
      </c>
      <c r="B1263" s="0" t="str">
        <f aca="false">Report!E2035</f>
        <v>EDSON AGUIAR DE SOUZA</v>
      </c>
      <c r="C1263" s="15" t="n">
        <f aca="false">Report!U2035</f>
        <v>147</v>
      </c>
      <c r="D1263" s="0" t="str">
        <f aca="false">Report!X2035</f>
        <v>COMPRAS - CHEIRO-VERDE - ELLEN</v>
      </c>
    </row>
    <row r="1264" customFormat="false" ht="12.75" hidden="false" customHeight="true" outlineLevel="0" collapsed="false">
      <c r="A1264" s="14" t="n">
        <f aca="false">Report!C2036</f>
        <v>46280</v>
      </c>
      <c r="B1264" s="0" t="str">
        <f aca="false">Report!E2036</f>
        <v>EDSON AGUIAR DE SOUZA</v>
      </c>
      <c r="C1264" s="15" t="n">
        <f aca="false">Report!U2036</f>
        <v>178.5</v>
      </c>
      <c r="D1264" s="0" t="str">
        <f aca="false">Report!X2036</f>
        <v>COMPRAS - CHEIRO-VERDE - ELLEN</v>
      </c>
    </row>
    <row r="1265" customFormat="false" ht="12.75" hidden="false" customHeight="true" outlineLevel="0" collapsed="false">
      <c r="A1265" s="14" t="n">
        <f aca="false">Report!C2037</f>
        <v>46280</v>
      </c>
      <c r="B1265" s="0" t="str">
        <f aca="false">Report!E2037</f>
        <v>EDSON AGUIAR DE SOUZA</v>
      </c>
      <c r="C1265" s="15" t="n">
        <f aca="false">Report!U2037</f>
        <v>81</v>
      </c>
      <c r="D1265" s="0" t="str">
        <f aca="false">Report!X2037</f>
        <v>COMPRAS - CHEIRO-VERDE- ELLEN</v>
      </c>
    </row>
    <row r="1266" customFormat="false" ht="12.75" hidden="false" customHeight="true" outlineLevel="0" collapsed="false">
      <c r="A1266" s="14" t="n">
        <f aca="false">Report!C2038</f>
        <v>46280</v>
      </c>
      <c r="B1266" s="0" t="str">
        <f aca="false">Report!E2038</f>
        <v>EDSON AGUIAR DE SOUZA</v>
      </c>
      <c r="C1266" s="15" t="n">
        <f aca="false">Report!U2038</f>
        <v>127.5</v>
      </c>
      <c r="D1266" s="0" t="str">
        <f aca="false">Report!X2038</f>
        <v>COMPRAS - CHEIRO-VERDE - ELLEN</v>
      </c>
    </row>
    <row r="1267" customFormat="false" ht="12.75" hidden="false" customHeight="true" outlineLevel="0" collapsed="false">
      <c r="A1267" s="14" t="n">
        <f aca="false">Report!C2039</f>
        <v>46280</v>
      </c>
      <c r="B1267" s="0" t="str">
        <f aca="false">Report!E2039</f>
        <v>EDSON AGUIAR DE SOUZA</v>
      </c>
      <c r="C1267" s="15" t="n">
        <f aca="false">Report!U2039</f>
        <v>165</v>
      </c>
      <c r="D1267" s="0" t="str">
        <f aca="false">Report!X2039</f>
        <v>COMPRAS - CHEIRO-VERDE - ELLEN</v>
      </c>
    </row>
    <row r="1268" customFormat="false" ht="12.75" hidden="false" customHeight="true" outlineLevel="0" collapsed="false">
      <c r="A1268" s="14" t="n">
        <f aca="false">Report!C2040</f>
        <v>46280</v>
      </c>
      <c r="B1268" s="0" t="str">
        <f aca="false">Report!E2040</f>
        <v>FEIRA</v>
      </c>
      <c r="C1268" s="15" t="n">
        <f aca="false">Report!U2040</f>
        <v>699</v>
      </c>
      <c r="D1268" s="0" t="str">
        <f aca="false">Report!X2040</f>
        <v>FEIRA - PG P C6-BANK/RENATO (MACA/UVA)SOMAR C NF2676 - ELLEN</v>
      </c>
    </row>
    <row r="1269" customFormat="false" ht="12.75" hidden="false" customHeight="true" outlineLevel="0" collapsed="false">
      <c r="A1269" s="14" t="n">
        <f aca="false">Report!C2042</f>
        <v>46280</v>
      </c>
      <c r="B1269" s="0" t="str">
        <f aca="false">Report!E2042</f>
        <v>J W N DOS SANTOS</v>
      </c>
      <c r="C1269" s="15" t="n">
        <f aca="false">Report!U2042</f>
        <v>362</v>
      </c>
      <c r="D1269" s="0" t="str">
        <f aca="false">Report!X2042</f>
        <v>NF 437 ELLEN</v>
      </c>
    </row>
    <row r="1270" customFormat="false" ht="12.75" hidden="false" customHeight="true" outlineLevel="0" collapsed="false">
      <c r="A1270" s="14" t="n">
        <f aca="false">Report!C2043</f>
        <v>46280</v>
      </c>
      <c r="B1270" s="0" t="str">
        <f aca="false">Report!E2043</f>
        <v>J. A. F. DE LIMA</v>
      </c>
      <c r="C1270" s="15" t="n">
        <f aca="false">Report!U2043</f>
        <v>645.71</v>
      </c>
      <c r="D1270" s="0" t="str">
        <f aca="false">Report!X2043</f>
        <v>NF 160332 ELLEN</v>
      </c>
    </row>
    <row r="1271" customFormat="false" ht="12.75" hidden="false" customHeight="true" outlineLevel="0" collapsed="false">
      <c r="A1271" s="14" t="n">
        <f aca="false">Report!C2044</f>
        <v>46280</v>
      </c>
      <c r="B1271" s="0" t="str">
        <f aca="false">Report!E2044</f>
        <v>LIMA E BARANDA COMERCIO DE PRODUTOS REGI</v>
      </c>
      <c r="C1271" s="15" t="n">
        <f aca="false">Report!U2044</f>
        <v>199</v>
      </c>
      <c r="D1271" s="0" t="str">
        <f aca="false">Report!X2044</f>
        <v>NF 32268 ELLEN</v>
      </c>
    </row>
    <row r="1272" customFormat="false" ht="12.75" hidden="false" customHeight="true" outlineLevel="0" collapsed="false">
      <c r="A1272" s="14" t="n">
        <f aca="false">Report!C2045</f>
        <v>46280</v>
      </c>
      <c r="B1272" s="0" t="str">
        <f aca="false">Report!E2045</f>
        <v>NEYLIANE S DE OLIVEIRA &amp; CIA LTDA</v>
      </c>
      <c r="C1272" s="15" t="n">
        <f aca="false">Report!U2045</f>
        <v>570</v>
      </c>
      <c r="D1272" s="0" t="str">
        <f aca="false">Report!X2045</f>
        <v>COMPRAS - PACOVA/LIMAO-PG P CNPJ:67144863/0001-03-ELLEN</v>
      </c>
    </row>
    <row r="1273" customFormat="false" ht="12.75" hidden="false" customHeight="true" outlineLevel="0" collapsed="false">
      <c r="A1273" s="14" t="n">
        <f aca="false">Report!C2046</f>
        <v>46280</v>
      </c>
      <c r="B1273" s="0" t="str">
        <f aca="false">Report!E2046</f>
        <v>NEYLIANE S DE OLIVEIRA &amp; CIA LTDA</v>
      </c>
      <c r="C1273" s="15" t="n">
        <f aca="false">Report!U2046</f>
        <v>1758</v>
      </c>
      <c r="D1273" s="0" t="str">
        <f aca="false">Report!X2046</f>
        <v>FEIRA - PG P C6-BANK/RENATO-ELLEN</v>
      </c>
    </row>
    <row r="1274" customFormat="false" ht="12.75" hidden="false" customHeight="true" outlineLevel="0" collapsed="false">
      <c r="A1274" s="14" t="n">
        <f aca="false">Report!C2048</f>
        <v>46280</v>
      </c>
      <c r="B1274" s="0" t="str">
        <f aca="false">Report!E2048</f>
        <v>ROCHA E PAIVA LTDA</v>
      </c>
      <c r="C1274" s="15" t="n">
        <f aca="false">Report!U2048</f>
        <v>584.64</v>
      </c>
      <c r="D1274" s="0" t="str">
        <f aca="false">Report!X2048</f>
        <v>NF 211355 ELLEN</v>
      </c>
    </row>
    <row r="1275" customFormat="false" ht="12.75" hidden="false" customHeight="true" outlineLevel="0" collapsed="false">
      <c r="A1275" s="14" t="n">
        <f aca="false">Report!C2049</f>
        <v>46280</v>
      </c>
      <c r="B1275" s="0" t="str">
        <f aca="false">Report!E2049</f>
        <v>SAO JOSE COMERCIO DE LATICINIOS E FRIOS</v>
      </c>
      <c r="C1275" s="15" t="n">
        <f aca="false">Report!U2049</f>
        <v>589.5</v>
      </c>
      <c r="D1275" s="0" t="str">
        <f aca="false">Report!X2049</f>
        <v>NF 4007 ELLEN</v>
      </c>
    </row>
    <row r="1276" customFormat="false" ht="12.75" hidden="false" customHeight="true" outlineLevel="0" collapsed="false">
      <c r="A1276" s="14" t="n">
        <f aca="false">Report!C2057</f>
        <v>46280</v>
      </c>
      <c r="B1276" s="0" t="str">
        <f aca="false">Report!E2057</f>
        <v>SEM FORNECEDOR</v>
      </c>
      <c r="C1276" s="15" t="n">
        <f aca="false">Report!U2057</f>
        <v>72</v>
      </c>
      <c r="D1276" s="0" t="str">
        <f aca="false">Report!X2057</f>
        <v>recibo-compras-brigadeiro/jose</v>
      </c>
    </row>
    <row r="1277" customFormat="false" ht="12.75" hidden="false" customHeight="true" outlineLevel="0" collapsed="false">
      <c r="A1277" s="14" t="n">
        <f aca="false">Report!C2061</f>
        <v>46280</v>
      </c>
      <c r="B1277" s="0" t="str">
        <f aca="false">Report!E2061</f>
        <v>SUPER CANCUN COMERCIO DE PRODUTOS ALIMEN</v>
      </c>
      <c r="C1277" s="15" t="n">
        <f aca="false">Report!U2061</f>
        <v>548.18</v>
      </c>
      <c r="D1277" s="0" t="str">
        <f aca="false">Report!X2061</f>
        <v>NF 265359 ELLEN</v>
      </c>
    </row>
    <row r="1278" customFormat="false" ht="12.75" hidden="false" customHeight="true" outlineLevel="0" collapsed="false">
      <c r="A1278" s="14" t="n">
        <f aca="false">Report!C2062</f>
        <v>46280</v>
      </c>
      <c r="B1278" s="0" t="str">
        <f aca="false">Report!E2062</f>
        <v>VICTORIA COMERCIO INTERNACIONAL DE ALIME</v>
      </c>
      <c r="C1278" s="15" t="n">
        <f aca="false">Report!U2062</f>
        <v>410</v>
      </c>
      <c r="D1278" s="0" t="str">
        <f aca="false">Report!X2062</f>
        <v>NF 13095 ELLEN</v>
      </c>
    </row>
    <row r="1279" customFormat="false" ht="12.75" hidden="false" customHeight="true" outlineLevel="0" collapsed="false">
      <c r="A1279" s="14" t="n">
        <f aca="false">Report!C2063</f>
        <v>46281</v>
      </c>
      <c r="B1279" s="0" t="str">
        <f aca="false">Report!E2063</f>
        <v>BONNA VITTA INDUSTRIA E COMERCIO LTDA.</v>
      </c>
      <c r="C1279" s="15" t="n">
        <f aca="false">Report!U2063</f>
        <v>278.1</v>
      </c>
      <c r="D1279" s="0" t="str">
        <f aca="false">Report!X2063</f>
        <v>NF 4884 ELLEN</v>
      </c>
    </row>
    <row r="1280" customFormat="false" ht="12.75" hidden="false" customHeight="true" outlineLevel="0" collapsed="false">
      <c r="A1280" s="14" t="n">
        <f aca="false">Report!C2064</f>
        <v>46281</v>
      </c>
      <c r="B1280" s="0" t="str">
        <f aca="false">Report!E2064</f>
        <v>BRF S A</v>
      </c>
      <c r="C1280" s="15" t="n">
        <f aca="false">Report!U2064</f>
        <v>2296</v>
      </c>
      <c r="D1280" s="0" t="str">
        <f aca="false">Report!X2064</f>
        <v>NF 1627324 ELLEN</v>
      </c>
    </row>
    <row r="1281" customFormat="false" ht="12.75" hidden="false" customHeight="true" outlineLevel="0" collapsed="false">
      <c r="A1281" s="14" t="n">
        <f aca="false">Report!C2065</f>
        <v>46281</v>
      </c>
      <c r="B1281" s="0" t="str">
        <f aca="false">Report!E2065</f>
        <v>DISTRIBUIDORA LOPES LTDA</v>
      </c>
      <c r="C1281" s="15" t="n">
        <f aca="false">Report!U2065</f>
        <v>684.65</v>
      </c>
      <c r="D1281" s="0" t="str">
        <f aca="false">Report!X2065</f>
        <v>NF 1726308 ELLEN</v>
      </c>
    </row>
    <row r="1282" customFormat="false" ht="12.75" hidden="false" customHeight="true" outlineLevel="0" collapsed="false">
      <c r="A1282" s="14" t="n">
        <f aca="false">Report!C2066</f>
        <v>46281</v>
      </c>
      <c r="B1282" s="0" t="str">
        <f aca="false">Report!E2066</f>
        <v>DUNORTE DISTRIBUIDORA DE PRODUTOS DE CONSUMO LTDA</v>
      </c>
      <c r="C1282" s="15" t="n">
        <f aca="false">Report!U2066</f>
        <v>733.77</v>
      </c>
      <c r="D1282" s="0" t="str">
        <f aca="false">Report!X2066</f>
        <v>NF 3242273 ELLEN</v>
      </c>
    </row>
    <row r="1283" customFormat="false" ht="12.75" hidden="false" customHeight="true" outlineLevel="0" collapsed="false">
      <c r="A1283" s="14" t="n">
        <f aca="false">Report!C2067</f>
        <v>46281</v>
      </c>
      <c r="B1283" s="0" t="str">
        <f aca="false">Report!E2067</f>
        <v>EMPRESA BRASILEIRA DE DISTRIBUICAO LTDA</v>
      </c>
      <c r="C1283" s="15" t="n">
        <f aca="false">Report!U2067</f>
        <v>1154.65</v>
      </c>
      <c r="D1283" s="0" t="str">
        <f aca="false">Report!X2067</f>
        <v>NF 2310769 ELLEN</v>
      </c>
    </row>
    <row r="1284" customFormat="false" ht="12.75" hidden="false" customHeight="true" outlineLevel="0" collapsed="false">
      <c r="A1284" s="14" t="n">
        <f aca="false">Report!C2068</f>
        <v>46281</v>
      </c>
      <c r="B1284" s="0" t="str">
        <f aca="false">Report!E2068</f>
        <v>FALCAO INDUSTRIA DE ALIMENTOS LTDA</v>
      </c>
      <c r="C1284" s="15" t="n">
        <f aca="false">Report!U2068</f>
        <v>2170.64</v>
      </c>
      <c r="D1284" s="0" t="str">
        <f aca="false">Report!X2068</f>
        <v>NF 33492 ELLEN</v>
      </c>
    </row>
    <row r="1285" customFormat="false" ht="12.75" hidden="false" customHeight="true" outlineLevel="0" collapsed="false">
      <c r="A1285" s="14" t="n">
        <f aca="false">Report!C2069</f>
        <v>46281</v>
      </c>
      <c r="B1285" s="0" t="str">
        <f aca="false">Report!E2069</f>
        <v>FALCAO INDUSTRIA DE ALIMENTOS LTDA</v>
      </c>
      <c r="C1285" s="15" t="n">
        <f aca="false">Report!U2069</f>
        <v>432.76</v>
      </c>
      <c r="D1285" s="0" t="str">
        <f aca="false">Report!X2069</f>
        <v>NF 38204 ELLEN</v>
      </c>
    </row>
    <row r="1286" customFormat="false" ht="12.75" hidden="false" customHeight="true" outlineLevel="0" collapsed="false">
      <c r="A1286" s="14" t="n">
        <f aca="false">Report!C2070</f>
        <v>46281</v>
      </c>
      <c r="B1286" s="0" t="str">
        <f aca="false">Report!E2070</f>
        <v>FENNIX BRASIL DISTRIBUIDORA DE PRODUTOS</v>
      </c>
      <c r="C1286" s="15" t="n">
        <f aca="false">Report!U2070</f>
        <v>679.16</v>
      </c>
      <c r="D1286" s="0" t="str">
        <f aca="false">Report!X2070</f>
        <v>NF 319020 ELLEN</v>
      </c>
    </row>
    <row r="1287" customFormat="false" ht="12.75" hidden="false" customHeight="true" outlineLevel="0" collapsed="false">
      <c r="A1287" s="14" t="n">
        <f aca="false">Report!C2071</f>
        <v>46281</v>
      </c>
      <c r="B1287" s="0" t="str">
        <f aca="false">Report!E2071</f>
        <v>FUNNY PET DISTRIBUIDORA DE ALIMENTOS PAR</v>
      </c>
      <c r="C1287" s="15" t="n">
        <f aca="false">Report!U2071</f>
        <v>1501.38</v>
      </c>
      <c r="D1287" s="0" t="str">
        <f aca="false">Report!X2071</f>
        <v>NF 21189 ELLEN</v>
      </c>
    </row>
    <row r="1288" customFormat="false" ht="12.75" hidden="false" customHeight="true" outlineLevel="0" collapsed="false">
      <c r="A1288" s="14" t="n">
        <f aca="false">Report!C2072</f>
        <v>46281</v>
      </c>
      <c r="B1288" s="0" t="str">
        <f aca="false">Report!E2072</f>
        <v>JAB COMERCIO DE PRODUTOS ALIMENTICIOS LT</v>
      </c>
      <c r="C1288" s="15" t="n">
        <f aca="false">Report!U2072</f>
        <v>149</v>
      </c>
      <c r="D1288" s="0" t="str">
        <f aca="false">Report!X2072</f>
        <v>NF 3898 ELLEN</v>
      </c>
    </row>
    <row r="1289" customFormat="false" ht="12.75" hidden="false" customHeight="true" outlineLevel="0" collapsed="false">
      <c r="A1289" s="14" t="n">
        <f aca="false">Report!C2073</f>
        <v>46281</v>
      </c>
      <c r="B1289" s="0" t="str">
        <f aca="false">Report!E2073</f>
        <v>MAXFRI DISTRIUIDORA LTDA</v>
      </c>
      <c r="C1289" s="15" t="n">
        <f aca="false">Report!U2073</f>
        <v>4070</v>
      </c>
      <c r="D1289" s="0" t="str">
        <f aca="false">Report!X2073</f>
        <v>NF 15323 ELLEN</v>
      </c>
    </row>
    <row r="1290" customFormat="false" ht="12.75" hidden="false" customHeight="true" outlineLevel="0" collapsed="false">
      <c r="A1290" s="14" t="n">
        <f aca="false">Report!C2074</f>
        <v>46281</v>
      </c>
      <c r="B1290" s="0" t="str">
        <f aca="false">Report!E2074</f>
        <v>NEYLIANE S DE OLIVEIRA &amp; CIA LTDA</v>
      </c>
      <c r="C1290" s="15" t="n">
        <f aca="false">Report!U2074</f>
        <v>300</v>
      </c>
      <c r="D1290" s="0" t="str">
        <f aca="false">Report!X2074</f>
        <v>COMPRAS - 20L DE AÇAI - PG NO P 16/9/26-ELLEN</v>
      </c>
    </row>
    <row r="1291" customFormat="false" ht="12.75" hidden="false" customHeight="true" outlineLevel="0" collapsed="false">
      <c r="A1291" s="14" t="n">
        <f aca="false">Report!C2076</f>
        <v>46281</v>
      </c>
      <c r="B1291" s="0" t="str">
        <f aca="false">Report!E2076</f>
        <v>OESA COMERCIO E REPRESENTACOES S/A</v>
      </c>
      <c r="C1291" s="15" t="n">
        <f aca="false">Report!U2076</f>
        <v>1510.34</v>
      </c>
      <c r="D1291" s="0" t="str">
        <f aca="false">Report!X2076</f>
        <v>NF 447609 ELLEN</v>
      </c>
    </row>
    <row r="1292" customFormat="false" ht="12.75" hidden="false" customHeight="true" outlineLevel="0" collapsed="false">
      <c r="A1292" s="14" t="n">
        <f aca="false">Report!C2077</f>
        <v>46281</v>
      </c>
      <c r="B1292" s="0" t="str">
        <f aca="false">Report!E2077</f>
        <v>RENATO DE O AZEVEDO E CIA LTDA - EPP</v>
      </c>
      <c r="C1292" s="15" t="n">
        <f aca="false">Report!U2077</f>
        <v>781.39</v>
      </c>
      <c r="D1292" s="0" t="str">
        <f aca="false">Report!X2077</f>
        <v>NF 5642 ELLEN</v>
      </c>
    </row>
    <row r="1293" customFormat="false" ht="12.75" hidden="false" customHeight="true" outlineLevel="0" collapsed="false">
      <c r="A1293" s="14" t="n">
        <f aca="false">Report!C2078</f>
        <v>46281</v>
      </c>
      <c r="B1293" s="0" t="str">
        <f aca="false">Report!E2078</f>
        <v>RISADINHA LTDA</v>
      </c>
      <c r="C1293" s="15" t="n">
        <f aca="false">Report!U2078</f>
        <v>830.13</v>
      </c>
      <c r="D1293" s="0" t="str">
        <f aca="false">Report!X2078</f>
        <v>NF 668739 ELLEN</v>
      </c>
    </row>
    <row r="1294" customFormat="false" ht="12.75" hidden="false" customHeight="true" outlineLevel="0" collapsed="false">
      <c r="A1294" s="14" t="n">
        <f aca="false">Report!C2083</f>
        <v>46281</v>
      </c>
      <c r="B1294" s="0" t="str">
        <f aca="false">Report!E2083</f>
        <v>T. M. L. DA SILVA LTDA</v>
      </c>
      <c r="C1294" s="15" t="n">
        <f aca="false">Report!U2083</f>
        <v>388.68</v>
      </c>
      <c r="D1294" s="0" t="str">
        <f aca="false">Report!X2083</f>
        <v>NF 15352 ELLEN</v>
      </c>
    </row>
    <row r="1295" customFormat="false" ht="12.75" hidden="false" customHeight="true" outlineLevel="0" collapsed="false">
      <c r="A1295" s="14" t="n">
        <f aca="false">Report!C2084</f>
        <v>46282</v>
      </c>
      <c r="B1295" s="0" t="str">
        <f aca="false">Report!E2084</f>
        <v>AMAZON MILK IND. E COMERCIO LTDA</v>
      </c>
      <c r="C1295" s="15" t="n">
        <f aca="false">Report!U2084</f>
        <v>805.4</v>
      </c>
      <c r="D1295" s="0" t="str">
        <f aca="false">Report!X2084</f>
        <v>NF 206697 ELLEN</v>
      </c>
    </row>
    <row r="1296" customFormat="false" ht="12.75" hidden="false" customHeight="true" outlineLevel="0" collapsed="false">
      <c r="A1296" s="14" t="n">
        <f aca="false">Report!C2085</f>
        <v>46282</v>
      </c>
      <c r="B1296" s="0" t="str">
        <f aca="false">Report!E2085</f>
        <v>BRAGA TABACARIA EIRELI ME</v>
      </c>
      <c r="C1296" s="15" t="n">
        <f aca="false">Report!U2085</f>
        <v>1063.84</v>
      </c>
      <c r="D1296" s="0" t="str">
        <f aca="false">Report!X2085</f>
        <v>NF 20104 ELLEN</v>
      </c>
    </row>
    <row r="1297" customFormat="false" ht="12.75" hidden="false" customHeight="true" outlineLevel="0" collapsed="false">
      <c r="A1297" s="14" t="n">
        <f aca="false">Report!C2086</f>
        <v>46282</v>
      </c>
      <c r="B1297" s="0" t="str">
        <f aca="false">Report!E2086</f>
        <v>DISTRIBUIDORA LOPES LTDA</v>
      </c>
      <c r="C1297" s="15" t="n">
        <f aca="false">Report!U2086</f>
        <v>318.78</v>
      </c>
      <c r="D1297" s="0" t="str">
        <f aca="false">Report!X2086</f>
        <v>NF 1726860 ELLEN</v>
      </c>
    </row>
    <row r="1298" customFormat="false" ht="12.75" hidden="false" customHeight="true" outlineLevel="0" collapsed="false">
      <c r="A1298" s="14" t="n">
        <f aca="false">Report!C2087</f>
        <v>46282</v>
      </c>
      <c r="B1298" s="0" t="str">
        <f aca="false">Report!E2087</f>
        <v>E. D. SENA &amp; CIA LTDA</v>
      </c>
      <c r="C1298" s="15" t="n">
        <f aca="false">Report!U2087</f>
        <v>803.5</v>
      </c>
      <c r="D1298" s="0" t="str">
        <f aca="false">Report!X2087</f>
        <v>NF 11105 ELLEN</v>
      </c>
    </row>
    <row r="1299" customFormat="false" ht="12.75" hidden="false" customHeight="true" outlineLevel="0" collapsed="false">
      <c r="A1299" s="14" t="n">
        <f aca="false">Report!C2088</f>
        <v>46282</v>
      </c>
      <c r="B1299" s="0" t="str">
        <f aca="false">Report!E2088</f>
        <v>H L M PADARIA E CONFEITARIA LTDA</v>
      </c>
      <c r="C1299" s="15" t="n">
        <f aca="false">Report!U2088</f>
        <v>200</v>
      </c>
      <c r="D1299" s="0" t="str">
        <f aca="false">Report!X2088</f>
        <v>NF 304 COMPRAS-BOLO PG NO P 17/9/26-ELLEN</v>
      </c>
    </row>
    <row r="1300" customFormat="false" ht="12.75" hidden="false" customHeight="true" outlineLevel="0" collapsed="false">
      <c r="A1300" s="14" t="n">
        <f aca="false">Report!C2089</f>
        <v>46282</v>
      </c>
      <c r="B1300" s="0" t="str">
        <f aca="false">Report!E2089</f>
        <v>H.V.M. XAVIER ALIMENTOS</v>
      </c>
      <c r="C1300" s="15" t="n">
        <f aca="false">Report!U2089</f>
        <v>243</v>
      </c>
      <c r="D1300" s="0" t="str">
        <f aca="false">Report!X2089</f>
        <v>NF 138039 ELLEN</v>
      </c>
    </row>
    <row r="1301" customFormat="false" ht="12.75" hidden="false" customHeight="true" outlineLevel="0" collapsed="false">
      <c r="A1301" s="14" t="n">
        <f aca="false">Report!C2090</f>
        <v>46282</v>
      </c>
      <c r="B1301" s="0" t="str">
        <f aca="false">Report!E2090</f>
        <v>I. P. DIAS LTDA</v>
      </c>
      <c r="C1301" s="15" t="n">
        <f aca="false">Report!U2090</f>
        <v>571.91</v>
      </c>
      <c r="D1301" s="0" t="str">
        <f aca="false">Report!X2090</f>
        <v>NF 994 ELLEN</v>
      </c>
    </row>
    <row r="1302" customFormat="false" ht="12.75" hidden="false" customHeight="true" outlineLevel="0" collapsed="false">
      <c r="A1302" s="14" t="n">
        <f aca="false">Report!C2091</f>
        <v>46282</v>
      </c>
      <c r="B1302" s="0" t="str">
        <f aca="false">Report!E2091</f>
        <v>NOVA FRIOS COMERCIO ATACADISTA DE LATICINIOS LTDA</v>
      </c>
      <c r="C1302" s="15" t="n">
        <f aca="false">Report!U2091</f>
        <v>212.1</v>
      </c>
      <c r="D1302" s="0" t="str">
        <f aca="false">Report!X2091</f>
        <v>NF 4614 ELLEN</v>
      </c>
    </row>
    <row r="1303" customFormat="false" ht="12.75" hidden="false" customHeight="true" outlineLevel="0" collapsed="false">
      <c r="A1303" s="14" t="n">
        <f aca="false">Report!C2092</f>
        <v>46282</v>
      </c>
      <c r="B1303" s="0" t="str">
        <f aca="false">Report!E2092</f>
        <v>OPPORTUNITY ALIMENTOS PARA ANIMAIS LTDA</v>
      </c>
      <c r="C1303" s="15" t="n">
        <f aca="false">Report!U2092</f>
        <v>685.15</v>
      </c>
      <c r="D1303" s="0" t="str">
        <f aca="false">Report!X2092</f>
        <v>NF 35161 ELLEN</v>
      </c>
    </row>
    <row r="1304" customFormat="false" ht="12.75" hidden="false" customHeight="true" outlineLevel="0" collapsed="false">
      <c r="A1304" s="14" t="n">
        <f aca="false">Report!C2093</f>
        <v>46282</v>
      </c>
      <c r="B1304" s="0" t="str">
        <f aca="false">Report!E2093</f>
        <v>REAL BEBIDAS DA AMAZONIA LTDA</v>
      </c>
      <c r="C1304" s="15" t="n">
        <f aca="false">Report!U2093</f>
        <v>362</v>
      </c>
      <c r="D1304" s="0" t="str">
        <f aca="false">Report!X2093</f>
        <v>NF 639283 ELLEN</v>
      </c>
    </row>
    <row r="1305" customFormat="false" ht="12.75" hidden="false" customHeight="true" outlineLevel="0" collapsed="false">
      <c r="A1305" s="14" t="n">
        <f aca="false">Report!C2099</f>
        <v>46282</v>
      </c>
      <c r="B1305" s="0" t="str">
        <f aca="false">Report!E2099</f>
        <v>SEM FORNECEDOR</v>
      </c>
      <c r="C1305" s="15" t="n">
        <f aca="false">Report!U2099</f>
        <v>200</v>
      </c>
      <c r="D1305" s="0" t="str">
        <f aca="false">Report!X2099</f>
        <v>compra trufa / genio</v>
      </c>
    </row>
    <row r="1306" customFormat="false" ht="12.75" hidden="false" customHeight="true" outlineLevel="0" collapsed="false">
      <c r="A1306" s="14" t="n">
        <f aca="false">Report!C2100</f>
        <v>46282</v>
      </c>
      <c r="B1306" s="0" t="str">
        <f aca="false">Report!E2100</f>
        <v>SOUZA CRUZ LTDA.</v>
      </c>
      <c r="C1306" s="15" t="n">
        <f aca="false">Report!U2100</f>
        <v>4761.77</v>
      </c>
      <c r="D1306" s="0" t="str">
        <f aca="false">Report!X2100</f>
        <v>NF 572518 ELLEN</v>
      </c>
    </row>
    <row r="1307" customFormat="false" ht="12.75" hidden="false" customHeight="true" outlineLevel="0" collapsed="false">
      <c r="A1307" s="14" t="n">
        <f aca="false">Report!C2101</f>
        <v>46282</v>
      </c>
      <c r="B1307" s="0" t="str">
        <f aca="false">Report!E2101</f>
        <v>TAPAJOS COM DE PERFUMARIA COSMETICOS E G</v>
      </c>
      <c r="C1307" s="15" t="n">
        <f aca="false">Report!U2101</f>
        <v>793.81</v>
      </c>
      <c r="D1307" s="0" t="str">
        <f aca="false">Report!X2101</f>
        <v>NF 586415 ELLEN</v>
      </c>
    </row>
    <row r="1308" customFormat="false" ht="12.75" hidden="false" customHeight="true" outlineLevel="0" collapsed="false">
      <c r="A1308" s="14" t="n">
        <f aca="false">Report!C2102</f>
        <v>46282</v>
      </c>
      <c r="B1308" s="0" t="str">
        <f aca="false">Report!E2102</f>
        <v>TRES CORACOES ALIMENTOS S.A.</v>
      </c>
      <c r="C1308" s="15" t="n">
        <f aca="false">Report!U2102</f>
        <v>182.82</v>
      </c>
      <c r="D1308" s="0" t="str">
        <f aca="false">Report!X2102</f>
        <v>NF 357892 ELLEN</v>
      </c>
    </row>
    <row r="1309" customFormat="false" ht="12.75" hidden="false" customHeight="true" outlineLevel="0" collapsed="false">
      <c r="A1309" s="14" t="n">
        <f aca="false">Report!C2103</f>
        <v>46283</v>
      </c>
      <c r="B1309" s="0" t="str">
        <f aca="false">Report!E2103</f>
        <v>ADRIANO FEITOSA OLIVEIRA LTDA</v>
      </c>
      <c r="C1309" s="15" t="n">
        <f aca="false">Report!U2103</f>
        <v>769.5</v>
      </c>
      <c r="D1309" s="0" t="str">
        <f aca="false">Report!X2103</f>
        <v>NF 383 ELLEN</v>
      </c>
    </row>
    <row r="1310" customFormat="false" ht="12.75" hidden="false" customHeight="true" outlineLevel="0" collapsed="false">
      <c r="A1310" s="14" t="n">
        <f aca="false">Report!C2104</f>
        <v>46283</v>
      </c>
      <c r="B1310" s="0" t="str">
        <f aca="false">Report!E2104</f>
        <v>BRAGA TABACARIA EIRELI ME</v>
      </c>
      <c r="C1310" s="15" t="n">
        <f aca="false">Report!U2104</f>
        <v>860.51</v>
      </c>
      <c r="D1310" s="0" t="str">
        <f aca="false">Report!X2104</f>
        <v>NF 20278 ELLEN</v>
      </c>
    </row>
    <row r="1311" customFormat="false" ht="12.75" hidden="false" customHeight="true" outlineLevel="0" collapsed="false">
      <c r="A1311" s="14" t="n">
        <f aca="false">Report!C2105</f>
        <v>46283</v>
      </c>
      <c r="B1311" s="0" t="str">
        <f aca="false">Report!E2105</f>
        <v>BROTHERS  INDUSTRIA DE ALIMENTOS LTDA</v>
      </c>
      <c r="C1311" s="15" t="n">
        <f aca="false">Report!U2105</f>
        <v>311.8</v>
      </c>
      <c r="D1311" s="0" t="str">
        <f aca="false">Report!X2105</f>
        <v>NF 1041221 ELLEN</v>
      </c>
    </row>
    <row r="1312" customFormat="false" ht="12.75" hidden="false" customHeight="true" outlineLevel="0" collapsed="false">
      <c r="A1312" s="14" t="n">
        <f aca="false">Report!C2106</f>
        <v>46283</v>
      </c>
      <c r="B1312" s="0" t="str">
        <f aca="false">Report!E2106</f>
        <v>DISTRIBUIDORA LOPES LTDA</v>
      </c>
      <c r="C1312" s="15" t="n">
        <f aca="false">Report!U2106</f>
        <v>1333.11</v>
      </c>
      <c r="D1312" s="0" t="str">
        <f aca="false">Report!X2106</f>
        <v>NF 1724435 ELLEN</v>
      </c>
    </row>
    <row r="1313" customFormat="false" ht="12.75" hidden="false" customHeight="true" outlineLevel="0" collapsed="false">
      <c r="A1313" s="14" t="n">
        <f aca="false">Report!C2107</f>
        <v>46283</v>
      </c>
      <c r="B1313" s="0" t="str">
        <f aca="false">Report!E2107</f>
        <v>DURAES DISTRIBUIDORA DE ESTIVAS LTDA</v>
      </c>
      <c r="C1313" s="15" t="n">
        <f aca="false">Report!U2107</f>
        <v>610.19</v>
      </c>
      <c r="D1313" s="0" t="str">
        <f aca="false">Report!X2107</f>
        <v>NF 656817 ELLEN</v>
      </c>
    </row>
    <row r="1314" customFormat="false" ht="12.75" hidden="false" customHeight="true" outlineLevel="0" collapsed="false">
      <c r="A1314" s="14" t="n">
        <f aca="false">Report!C2110</f>
        <v>46283</v>
      </c>
      <c r="B1314" s="0" t="str">
        <f aca="false">Report!E2110</f>
        <v>FABRICA MODELO LTDA</v>
      </c>
      <c r="C1314" s="15" t="n">
        <f aca="false">Report!U2110</f>
        <v>428</v>
      </c>
      <c r="D1314" s="0" t="str">
        <f aca="false">Report!X2110</f>
        <v>NF 45405 ELLEN</v>
      </c>
    </row>
    <row r="1315" customFormat="false" ht="12.75" hidden="false" customHeight="true" outlineLevel="0" collapsed="false">
      <c r="A1315" s="14" t="n">
        <f aca="false">Report!C2111</f>
        <v>46283</v>
      </c>
      <c r="B1315" s="0" t="str">
        <f aca="false">Report!E2111</f>
        <v>FEMAR IND E COM DE BEBIDAS LTDA</v>
      </c>
      <c r="C1315" s="15" t="n">
        <f aca="false">Report!U2111</f>
        <v>247.56</v>
      </c>
      <c r="D1315" s="0" t="str">
        <f aca="false">Report!X2111</f>
        <v>NF 58376 ELLEN</v>
      </c>
    </row>
    <row r="1316" customFormat="false" ht="12.75" hidden="false" customHeight="true" outlineLevel="0" collapsed="false">
      <c r="A1316" s="14" t="n">
        <f aca="false">Report!C2112</f>
        <v>46283</v>
      </c>
      <c r="B1316" s="0" t="str">
        <f aca="false">Report!E2112</f>
        <v>H. L. DO NASCIMENTO</v>
      </c>
      <c r="C1316" s="15" t="n">
        <f aca="false">Report!U2112</f>
        <v>793.3</v>
      </c>
      <c r="D1316" s="0" t="str">
        <f aca="false">Report!X2112</f>
        <v>NF 6092 ELLEN</v>
      </c>
    </row>
    <row r="1317" customFormat="false" ht="12.75" hidden="false" customHeight="true" outlineLevel="0" collapsed="false">
      <c r="A1317" s="14" t="n">
        <f aca="false">Report!C2113</f>
        <v>46283</v>
      </c>
      <c r="B1317" s="0" t="str">
        <f aca="false">Report!E2113</f>
        <v>MAXFRI DISTRIUIDORA LTDA</v>
      </c>
      <c r="C1317" s="15" t="n">
        <f aca="false">Report!U2113</f>
        <v>1460.8</v>
      </c>
      <c r="D1317" s="0" t="str">
        <f aca="false">Report!X2113</f>
        <v>NF 15274 ELLEN</v>
      </c>
    </row>
    <row r="1318" customFormat="false" ht="12.75" hidden="false" customHeight="true" outlineLevel="0" collapsed="false">
      <c r="A1318" s="14" t="n">
        <f aca="false">Report!C2114</f>
        <v>46283</v>
      </c>
      <c r="B1318" s="0" t="str">
        <f aca="false">Report!E2114</f>
        <v>NEYLIANE S DE OLIVEIRA &amp; CIA LTDA</v>
      </c>
      <c r="C1318" s="15" t="n">
        <f aca="false">Report!U2114</f>
        <v>120</v>
      </c>
      <c r="D1318" s="0" t="str">
        <f aca="false">Report!X2114</f>
        <v>COMPRAS -PACOVA - PG P CNPJ:67144863/0001-03-ELLEN</v>
      </c>
    </row>
    <row r="1319" customFormat="false" ht="12.75" hidden="false" customHeight="true" outlineLevel="0" collapsed="false">
      <c r="A1319" s="14" t="n">
        <f aca="false">Report!C2115</f>
        <v>46283</v>
      </c>
      <c r="B1319" s="0" t="str">
        <f aca="false">Report!E2115</f>
        <v>NEYLIANE S DE OLIVEIRA &amp; CIA LTDA</v>
      </c>
      <c r="C1319" s="15" t="n">
        <f aca="false">Report!U2115</f>
        <v>1561.5</v>
      </c>
      <c r="D1319" s="0" t="str">
        <f aca="false">Report!X2115</f>
        <v>FEIRA - PG P C6-BANK/RENATO- ELLEN</v>
      </c>
    </row>
    <row r="1320" customFormat="false" ht="12.75" hidden="false" customHeight="true" outlineLevel="0" collapsed="false">
      <c r="A1320" s="14" t="n">
        <f aca="false">Report!C2117</f>
        <v>46283</v>
      </c>
      <c r="B1320" s="0" t="str">
        <f aca="false">Report!E2117</f>
        <v>OCIDENTAL COMERCIO DE FRIOS LTDA</v>
      </c>
      <c r="C1320" s="15" t="n">
        <f aca="false">Report!U2117</f>
        <v>2311.25</v>
      </c>
      <c r="D1320" s="0" t="str">
        <f aca="false">Report!X2117</f>
        <v>NF 1269729 ELLEN</v>
      </c>
    </row>
    <row r="1321" customFormat="false" ht="12.75" hidden="false" customHeight="true" outlineLevel="0" collapsed="false">
      <c r="A1321" s="14" t="n">
        <f aca="false">Report!C2121</f>
        <v>46284</v>
      </c>
      <c r="B1321" s="0" t="str">
        <f aca="false">Report!E2121</f>
        <v>FALCAO INDUSTRIA DE ALIMENTOS LTDA</v>
      </c>
      <c r="C1321" s="15" t="n">
        <f aca="false">Report!U2121</f>
        <v>309.71</v>
      </c>
      <c r="D1321" s="0" t="str">
        <f aca="false">Report!X2121</f>
        <v>NF 33408 ELLEN</v>
      </c>
    </row>
    <row r="1322" customFormat="false" ht="12.75" hidden="false" customHeight="true" outlineLevel="0" collapsed="false">
      <c r="A1322" s="14" t="n">
        <f aca="false">Report!C2122</f>
        <v>46284</v>
      </c>
      <c r="B1322" s="0" t="str">
        <f aca="false">Report!E2122</f>
        <v>FE COMERCIO DE MATERIAIS DE CONSTRUCAO</v>
      </c>
      <c r="C1322" s="15" t="n">
        <f aca="false">Report!U2122</f>
        <v>793.46</v>
      </c>
      <c r="D1322" s="0" t="str">
        <f aca="false">Report!X2122</f>
        <v>NF 5521 ELLEN</v>
      </c>
    </row>
    <row r="1323" customFormat="false" ht="12.75" hidden="false" customHeight="true" outlineLevel="0" collapsed="false">
      <c r="A1323" s="14" t="n">
        <f aca="false">Report!C2123</f>
        <v>46284</v>
      </c>
      <c r="B1323" s="0" t="str">
        <f aca="false">Report!E2123</f>
        <v>H L M PADARIA E CONFEITARIA LTDA</v>
      </c>
      <c r="C1323" s="15" t="n">
        <f aca="false">Report!U2123</f>
        <v>260</v>
      </c>
      <c r="D1323" s="0" t="str">
        <f aca="false">Report!X2123</f>
        <v>NF 311 COMPRAS-BOLO PG NO P 19/9/26-ELLEN</v>
      </c>
    </row>
    <row r="1324" customFormat="false" ht="12.75" hidden="false" customHeight="true" outlineLevel="0" collapsed="false">
      <c r="A1324" s="14" t="n">
        <f aca="false">Report!C2124</f>
        <v>46284</v>
      </c>
      <c r="B1324" s="0" t="str">
        <f aca="false">Report!E2124</f>
        <v>MAXFRI DISTRIUIDORA LTDA</v>
      </c>
      <c r="C1324" s="15" t="n">
        <f aca="false">Report!U2124</f>
        <v>4531.6</v>
      </c>
      <c r="D1324" s="0" t="str">
        <f aca="false">Report!X2124</f>
        <v>NF 15352 ELLEN</v>
      </c>
    </row>
    <row r="1325" customFormat="false" ht="12.75" hidden="false" customHeight="true" outlineLevel="0" collapsed="false">
      <c r="A1325" s="14" t="n">
        <f aca="false">Report!C2136</f>
        <v>46286</v>
      </c>
      <c r="B1325" s="0" t="str">
        <f aca="false">Report!E2136</f>
        <v>J W N DOS SANTOS</v>
      </c>
      <c r="C1325" s="15" t="n">
        <f aca="false">Report!U2136</f>
        <v>309.5</v>
      </c>
      <c r="D1325" s="0" t="str">
        <f aca="false">Report!X2136</f>
        <v>NF 444 ELLEN</v>
      </c>
    </row>
    <row r="1326" customFormat="false" ht="12.75" hidden="false" customHeight="true" outlineLevel="0" collapsed="false">
      <c r="A1326" s="14" t="n">
        <f aca="false">Report!C2137</f>
        <v>46286</v>
      </c>
      <c r="B1326" s="0" t="str">
        <f aca="false">Report!E2137</f>
        <v>MARTINS COM SERV DISTR SA</v>
      </c>
      <c r="C1326" s="15" t="n">
        <f aca="false">Report!U2137</f>
        <v>176.57</v>
      </c>
      <c r="D1326" s="0" t="str">
        <f aca="false">Report!X2137</f>
        <v>NF'S 1796899/1796900 ELLEN</v>
      </c>
    </row>
    <row r="1327" customFormat="false" ht="12.75" hidden="false" customHeight="true" outlineLevel="0" collapsed="false">
      <c r="A1327" s="14" t="n">
        <f aca="false">Report!C2138</f>
        <v>46286</v>
      </c>
      <c r="B1327" s="0" t="str">
        <f aca="false">Report!E2138</f>
        <v>MAXPEL COMERCIAL LTDA</v>
      </c>
      <c r="C1327" s="15" t="n">
        <f aca="false">Report!U2138</f>
        <v>983.77</v>
      </c>
      <c r="D1327" s="0" t="str">
        <f aca="false">Report!X2138</f>
        <v>NFS 319296/319297 - ELLEN</v>
      </c>
    </row>
    <row r="1328" customFormat="false" ht="12.75" hidden="false" customHeight="true" outlineLevel="0" collapsed="false">
      <c r="A1328" s="14" t="n">
        <f aca="false">Report!C2139</f>
        <v>46286</v>
      </c>
      <c r="B1328" s="0" t="str">
        <f aca="false">Report!E2139</f>
        <v>NESTLÉ BRASIL LTDA.</v>
      </c>
      <c r="C1328" s="15" t="n">
        <f aca="false">Report!U2139</f>
        <v>1255.7</v>
      </c>
      <c r="D1328" s="0" t="str">
        <f aca="false">Report!X2139</f>
        <v>NF NF 1441731 ELLEN</v>
      </c>
    </row>
    <row r="1329" customFormat="false" ht="12.75" hidden="false" customHeight="true" outlineLevel="0" collapsed="false">
      <c r="A1329" s="14" t="n">
        <f aca="false">Report!C2140</f>
        <v>46286</v>
      </c>
      <c r="B1329" s="0" t="str">
        <f aca="false">Report!E2140</f>
        <v>NEYLIANE S DE OLIVEIRA &amp; CIA LTDA</v>
      </c>
      <c r="C1329" s="15" t="n">
        <f aca="false">Report!U2140</f>
        <v>225</v>
      </c>
      <c r="D1329" s="0" t="str">
        <f aca="false">Report!X2140</f>
        <v>COMPRAS- 15L DE AÇAI - PG NO P 19/9/29-ELLEN</v>
      </c>
    </row>
    <row r="1330" customFormat="false" ht="12.75" hidden="false" customHeight="true" outlineLevel="0" collapsed="false">
      <c r="A1330" s="14" t="n">
        <f aca="false">Report!C2141</f>
        <v>46286</v>
      </c>
      <c r="B1330" s="0" t="str">
        <f aca="false">Report!E2141</f>
        <v>PANIFICADORA E CONFEITARIA REAL MADRI LTDA</v>
      </c>
      <c r="C1330" s="15" t="n">
        <f aca="false">Report!U2141</f>
        <v>159.95</v>
      </c>
      <c r="D1330" s="0" t="str">
        <f aca="false">Report!X2141</f>
        <v>NF 807 ELLEN</v>
      </c>
    </row>
    <row r="1331" customFormat="false" ht="12.75" hidden="false" customHeight="true" outlineLevel="0" collapsed="false">
      <c r="A1331" s="14" t="n">
        <f aca="false">Report!C2143</f>
        <v>46286</v>
      </c>
      <c r="B1331" s="0" t="str">
        <f aca="false">Report!E2143</f>
        <v>SB COMERCIO LTDA</v>
      </c>
      <c r="C1331" s="15" t="n">
        <f aca="false">Report!U2143</f>
        <v>521.74</v>
      </c>
      <c r="D1331" s="0" t="str">
        <f aca="false">Report!X2143</f>
        <v>NF 1966312 ELLEN</v>
      </c>
    </row>
    <row r="1332" customFormat="false" ht="12.75" hidden="false" customHeight="true" outlineLevel="0" collapsed="false">
      <c r="A1332" s="14" t="n">
        <f aca="false">Report!C2147</f>
        <v>46286</v>
      </c>
      <c r="B1332" s="0" t="str">
        <f aca="false">Report!E2147</f>
        <v>VICTORIA COMERCIO INTERNACIONAL DE ALIME</v>
      </c>
      <c r="C1332" s="15" t="n">
        <f aca="false">Report!U2147</f>
        <v>1213.95</v>
      </c>
      <c r="D1332" s="0" t="str">
        <f aca="false">Report!X2147</f>
        <v>NF 13070 ELLEN</v>
      </c>
    </row>
    <row r="1333" customFormat="false" ht="12.75" hidden="false" customHeight="true" outlineLevel="0" collapsed="false">
      <c r="A1333" s="14" t="n">
        <f aca="false">Report!C2148</f>
        <v>46287</v>
      </c>
      <c r="B1333" s="0" t="str">
        <f aca="false">Report!E2148</f>
        <v>ADICSO FABIAN GONZALEZ MONTILLA 70302186</v>
      </c>
      <c r="C1333" s="15" t="n">
        <f aca="false">Report!U2148</f>
        <v>180</v>
      </c>
      <c r="D1333" s="0" t="str">
        <f aca="false">Report!X2148</f>
        <v>NF 668 ELLEN</v>
      </c>
    </row>
    <row r="1334" customFormat="false" ht="12.75" hidden="false" customHeight="true" outlineLevel="0" collapsed="false">
      <c r="A1334" s="14" t="n">
        <f aca="false">Report!C2149</f>
        <v>46287</v>
      </c>
      <c r="B1334" s="0" t="str">
        <f aca="false">Report!E2149</f>
        <v>ATACADAO S.A.</v>
      </c>
      <c r="C1334" s="15" t="n">
        <f aca="false">Report!U2149</f>
        <v>942.69</v>
      </c>
      <c r="D1334" s="0" t="str">
        <f aca="false">Report!X2149</f>
        <v>NF 1925381 ELLEN</v>
      </c>
    </row>
    <row r="1335" customFormat="false" ht="12.75" hidden="false" customHeight="true" outlineLevel="0" collapsed="false">
      <c r="A1335" s="14" t="n">
        <f aca="false">Report!C2150</f>
        <v>46287</v>
      </c>
      <c r="B1335" s="0" t="str">
        <f aca="false">Report!E2150</f>
        <v>CB COMERCIO E DISTRIBUIDORA DE ALIMENTOS</v>
      </c>
      <c r="C1335" s="15" t="n">
        <f aca="false">Report!U2150</f>
        <v>843.65</v>
      </c>
      <c r="D1335" s="0" t="str">
        <f aca="false">Report!X2150</f>
        <v>NF 866347 ELLEN</v>
      </c>
    </row>
    <row r="1336" customFormat="false" ht="12.75" hidden="false" customHeight="true" outlineLevel="0" collapsed="false">
      <c r="A1336" s="14" t="n">
        <f aca="false">Report!C2151</f>
        <v>46287</v>
      </c>
      <c r="B1336" s="0" t="str">
        <f aca="false">Report!E2151</f>
        <v>EDMARA COMERCIO DE HIGIENE PESSOAL LTDA</v>
      </c>
      <c r="C1336" s="15" t="n">
        <f aca="false">Report!U2151</f>
        <v>873.08</v>
      </c>
      <c r="D1336" s="0" t="str">
        <f aca="false">Report!X2151</f>
        <v>NF 8744 ELLEN</v>
      </c>
    </row>
    <row r="1337" customFormat="false" ht="12.75" hidden="false" customHeight="true" outlineLevel="0" collapsed="false">
      <c r="A1337" s="14" t="n">
        <f aca="false">Report!C2152</f>
        <v>46287</v>
      </c>
      <c r="B1337" s="0" t="str">
        <f aca="false">Report!E2152</f>
        <v>FEIRA</v>
      </c>
      <c r="C1337" s="15" t="n">
        <f aca="false">Report!U2152</f>
        <v>720</v>
      </c>
      <c r="D1337" s="0" t="str">
        <f aca="false">Report!X2152</f>
        <v>FEIRA -PG P C6-BANK/RENATO-SOMAR C NF2692(ALHO/MAÇA) - ELLEN</v>
      </c>
    </row>
    <row r="1338" customFormat="false" ht="12.75" hidden="false" customHeight="true" outlineLevel="0" collapsed="false">
      <c r="A1338" s="14" t="n">
        <f aca="false">Report!C2153</f>
        <v>46287</v>
      </c>
      <c r="B1338" s="0" t="str">
        <f aca="false">Report!E2153</f>
        <v>FENNIX BRASIL DISTRIBUIDORA DE PRODUTOS</v>
      </c>
      <c r="C1338" s="15" t="n">
        <f aca="false">Report!U2153</f>
        <v>587.44</v>
      </c>
      <c r="D1338" s="0" t="str">
        <f aca="false">Report!X2153</f>
        <v>NF 399726 ELLEN</v>
      </c>
    </row>
    <row r="1339" customFormat="false" ht="12.75" hidden="false" customHeight="true" outlineLevel="0" collapsed="false">
      <c r="A1339" s="14" t="n">
        <f aca="false">Report!C2154</f>
        <v>46287</v>
      </c>
      <c r="B1339" s="0" t="str">
        <f aca="false">Report!E2154</f>
        <v>FENNIX BRASIL DISTRIBUIDORA DE PRODUTOS</v>
      </c>
      <c r="C1339" s="15" t="n">
        <f aca="false">Report!U2154</f>
        <v>729.31</v>
      </c>
      <c r="D1339" s="0" t="str">
        <f aca="false">Report!X2154</f>
        <v>NF 400026 ELLEN</v>
      </c>
    </row>
    <row r="1340" customFormat="false" ht="12.75" hidden="false" customHeight="true" outlineLevel="0" collapsed="false">
      <c r="A1340" s="14" t="n">
        <f aca="false">Report!C2156</f>
        <v>46287</v>
      </c>
      <c r="B1340" s="0" t="str">
        <f aca="false">Report!E2156</f>
        <v>MARE DISTRIBUIDORA DE BEBIDAS E DE PRODUTOS ALIMENTICIOS LTDA</v>
      </c>
      <c r="C1340" s="15" t="n">
        <f aca="false">Report!U2156</f>
        <v>1917.5</v>
      </c>
      <c r="D1340" s="0" t="str">
        <f aca="false">Report!X2156</f>
        <v>NF 1440541 ELLEN</v>
      </c>
    </row>
    <row r="1341" customFormat="false" ht="12.75" hidden="false" customHeight="true" outlineLevel="0" collapsed="false">
      <c r="A1341" s="14" t="n">
        <f aca="false">Report!C2157</f>
        <v>46287</v>
      </c>
      <c r="B1341" s="0" t="str">
        <f aca="false">Report!E2157</f>
        <v>NEYLIANE S DE OLIVEIRA &amp; CIA LTDA</v>
      </c>
      <c r="C1341" s="15" t="n">
        <f aca="false">Report!U2157</f>
        <v>300</v>
      </c>
      <c r="D1341" s="0" t="str">
        <f aca="false">Report!X2157</f>
        <v>COMPRAS - VISCERAS (BOLETO) ELLEN</v>
      </c>
    </row>
    <row r="1342" customFormat="false" ht="12.75" hidden="false" customHeight="true" outlineLevel="0" collapsed="false">
      <c r="A1342" s="14" t="n">
        <f aca="false">Report!C2160</f>
        <v>46287</v>
      </c>
      <c r="B1342" s="0" t="str">
        <f aca="false">Report!E2160</f>
        <v>NEYLIANE S DE OLIVEIRA &amp; CIA LTDA</v>
      </c>
      <c r="C1342" s="15" t="n">
        <f aca="false">Report!U2160</f>
        <v>280</v>
      </c>
      <c r="D1342" s="0" t="str">
        <f aca="false">Report!X2160</f>
        <v>COMPRAS - PACOVA/LIMAO-PG P CNPJ:67144863/0001-03-ELLEN</v>
      </c>
    </row>
    <row r="1343" customFormat="false" ht="12.75" hidden="false" customHeight="true" outlineLevel="0" collapsed="false">
      <c r="A1343" s="14" t="n">
        <f aca="false">Report!C2161</f>
        <v>46287</v>
      </c>
      <c r="B1343" s="0" t="str">
        <f aca="false">Report!E2161</f>
        <v>NEYLIANE S DE OLIVEIRA &amp; CIA LTDA</v>
      </c>
      <c r="C1343" s="15" t="n">
        <f aca="false">Report!U2161</f>
        <v>2456</v>
      </c>
      <c r="D1343" s="0" t="str">
        <f aca="false">Report!X2161</f>
        <v>FEIRA - PG P C6-BANK/RENATO- ELLEN</v>
      </c>
    </row>
    <row r="1344" customFormat="false" ht="12.75" hidden="false" customHeight="true" outlineLevel="0" collapsed="false">
      <c r="A1344" s="14" t="n">
        <f aca="false">Report!C2167</f>
        <v>46287</v>
      </c>
      <c r="B1344" s="0" t="str">
        <f aca="false">Report!E2167</f>
        <v>SOUZA CRUZ LTDA.</v>
      </c>
      <c r="C1344" s="15" t="n">
        <f aca="false">Report!U2167</f>
        <v>4060.96</v>
      </c>
      <c r="D1344" s="0" t="str">
        <f aca="false">Report!X2167</f>
        <v>NF 573768 ELLEN</v>
      </c>
    </row>
    <row r="1345" customFormat="false" ht="12.75" hidden="false" customHeight="true" outlineLevel="0" collapsed="false">
      <c r="A1345" s="14" t="n">
        <f aca="false">Report!C2168</f>
        <v>46287</v>
      </c>
      <c r="B1345" s="0" t="str">
        <f aca="false">Report!E2168</f>
        <v>TAPAJOS COM DE PERFUMARIA COSMETICOS E G</v>
      </c>
      <c r="C1345" s="15" t="n">
        <f aca="false">Report!U2168</f>
        <v>573.28</v>
      </c>
      <c r="D1345" s="0" t="str">
        <f aca="false">Report!X2168</f>
        <v>NF 591052 ELLEN</v>
      </c>
    </row>
    <row r="1346" customFormat="false" ht="12.75" hidden="false" customHeight="true" outlineLevel="0" collapsed="false">
      <c r="A1346" s="14" t="n">
        <f aca="false">Report!C2169</f>
        <v>46287</v>
      </c>
      <c r="B1346" s="0" t="str">
        <f aca="false">Report!E2169</f>
        <v>TOYA INDUSTRIA E COMERCIO LTDA.</v>
      </c>
      <c r="C1346" s="15" t="n">
        <f aca="false">Report!U2169</f>
        <v>972.4</v>
      </c>
      <c r="D1346" s="0" t="str">
        <f aca="false">Report!X2169</f>
        <v>NF 259439 ELLEN</v>
      </c>
    </row>
    <row r="1347" customFormat="false" ht="12.75" hidden="false" customHeight="true" outlineLevel="0" collapsed="false">
      <c r="A1347" s="14" t="n">
        <f aca="false">Report!C2171</f>
        <v>46288</v>
      </c>
      <c r="B1347" s="0" t="str">
        <f aca="false">Report!E2171</f>
        <v>BRASIL NORTE BEBIDAS S/A</v>
      </c>
      <c r="C1347" s="15" t="n">
        <f aca="false">Report!U2171</f>
        <v>50.85</v>
      </c>
      <c r="D1347" s="0" t="str">
        <f aca="false">Report!X2171</f>
        <v>NF 1281795 ELLEN</v>
      </c>
    </row>
    <row r="1348" customFormat="false" ht="12.75" hidden="false" customHeight="true" outlineLevel="0" collapsed="false">
      <c r="A1348" s="14" t="n">
        <f aca="false">Report!C2172</f>
        <v>46288</v>
      </c>
      <c r="B1348" s="0" t="str">
        <f aca="false">Report!E2172</f>
        <v>BRASIL NORTE BEBIDAS S/A</v>
      </c>
      <c r="C1348" s="15" t="n">
        <f aca="false">Report!U2172</f>
        <v>221.99</v>
      </c>
      <c r="D1348" s="0" t="str">
        <f aca="false">Report!X2172</f>
        <v>NF 2029788 ELLEN</v>
      </c>
    </row>
    <row r="1349" customFormat="false" ht="12.75" hidden="false" customHeight="true" outlineLevel="0" collapsed="false">
      <c r="A1349" s="14" t="n">
        <f aca="false">Report!C2173</f>
        <v>46288</v>
      </c>
      <c r="B1349" s="0" t="str">
        <f aca="false">Report!E2173</f>
        <v>BRASIL NORTE BEBIDAS S/A</v>
      </c>
      <c r="C1349" s="15" t="n">
        <f aca="false">Report!U2173</f>
        <v>949.62</v>
      </c>
      <c r="D1349" s="0" t="str">
        <f aca="false">Report!X2173</f>
        <v>NF 1281807 ELLEN</v>
      </c>
    </row>
    <row r="1350" customFormat="false" ht="12.75" hidden="false" customHeight="true" outlineLevel="0" collapsed="false">
      <c r="A1350" s="14" t="n">
        <f aca="false">Report!C2174</f>
        <v>46288</v>
      </c>
      <c r="B1350" s="0" t="str">
        <f aca="false">Report!E2174</f>
        <v>BRASIL NORTE BEBIDAS S/A</v>
      </c>
      <c r="C1350" s="15" t="n">
        <f aca="false">Report!U2174</f>
        <v>630.74</v>
      </c>
      <c r="D1350" s="0" t="str">
        <f aca="false">Report!X2174</f>
        <v>NF 1281791 ELLEN</v>
      </c>
    </row>
    <row r="1351" customFormat="false" ht="12.75" hidden="false" customHeight="true" outlineLevel="0" collapsed="false">
      <c r="A1351" s="14" t="n">
        <f aca="false">Report!C2175</f>
        <v>46288</v>
      </c>
      <c r="B1351" s="0" t="str">
        <f aca="false">Report!E2175</f>
        <v>BRASIL NORTE BEBIDAS S/A</v>
      </c>
      <c r="C1351" s="15" t="n">
        <f aca="false">Report!U2175</f>
        <v>2815.26</v>
      </c>
      <c r="D1351" s="0" t="str">
        <f aca="false">Report!X2175</f>
        <v>NF 2030858 ELLEN</v>
      </c>
    </row>
    <row r="1352" customFormat="false" ht="12.75" hidden="false" customHeight="true" outlineLevel="0" collapsed="false">
      <c r="A1352" s="14" t="n">
        <f aca="false">Report!C2176</f>
        <v>46288</v>
      </c>
      <c r="B1352" s="0" t="str">
        <f aca="false">Report!E2176</f>
        <v>BRF S A</v>
      </c>
      <c r="C1352" s="15" t="n">
        <f aca="false">Report!U2176</f>
        <v>2295.99</v>
      </c>
      <c r="D1352" s="0" t="str">
        <f aca="false">Report!X2176</f>
        <v>NF 1627324 ELLEN</v>
      </c>
    </row>
    <row r="1353" customFormat="false" ht="12.75" hidden="false" customHeight="true" outlineLevel="0" collapsed="false">
      <c r="A1353" s="14" t="n">
        <f aca="false">Report!C2177</f>
        <v>46288</v>
      </c>
      <c r="B1353" s="0" t="str">
        <f aca="false">Report!E2177</f>
        <v>BRF S A</v>
      </c>
      <c r="C1353" s="15" t="n">
        <f aca="false">Report!U2177</f>
        <v>478.72</v>
      </c>
      <c r="D1353" s="0" t="str">
        <f aca="false">Report!X2177</f>
        <v>NF 1629386 ELLEN</v>
      </c>
    </row>
    <row r="1354" customFormat="false" ht="12.75" hidden="false" customHeight="true" outlineLevel="0" collapsed="false">
      <c r="A1354" s="14" t="n">
        <f aca="false">Report!C2178</f>
        <v>46288</v>
      </c>
      <c r="B1354" s="0" t="str">
        <f aca="false">Report!E2178</f>
        <v>DISTRIBUIDORA LOPES LTDA</v>
      </c>
      <c r="C1354" s="15" t="n">
        <f aca="false">Report!U2178</f>
        <v>684.67</v>
      </c>
      <c r="D1354" s="0" t="str">
        <f aca="false">Report!X2178</f>
        <v>NF 1726308 ELLEN</v>
      </c>
    </row>
    <row r="1355" customFormat="false" ht="12.75" hidden="false" customHeight="true" outlineLevel="0" collapsed="false">
      <c r="A1355" s="14" t="n">
        <f aca="false">Report!C2179</f>
        <v>46288</v>
      </c>
      <c r="B1355" s="0" t="str">
        <f aca="false">Report!E2179</f>
        <v>FALCAO INDUSTRIA DE ALIMENTOS LTDA</v>
      </c>
      <c r="C1355" s="15" t="n">
        <f aca="false">Report!U2179</f>
        <v>2170.63</v>
      </c>
      <c r="D1355" s="0" t="str">
        <f aca="false">Report!X2179</f>
        <v>NF 33492 ELLEN</v>
      </c>
    </row>
    <row r="1356" customFormat="false" ht="12.75" hidden="false" customHeight="true" outlineLevel="0" collapsed="false">
      <c r="A1356" s="14" t="n">
        <f aca="false">Report!C2180</f>
        <v>46288</v>
      </c>
      <c r="B1356" s="0" t="str">
        <f aca="false">Report!E2180</f>
        <v>FALCAO INDUSTRIA DE ALIMENTOS LTDA</v>
      </c>
      <c r="C1356" s="15" t="n">
        <f aca="false">Report!U2180</f>
        <v>432.76</v>
      </c>
      <c r="D1356" s="0" t="str">
        <f aca="false">Report!X2180</f>
        <v>NF 38204 ELLEN</v>
      </c>
    </row>
    <row r="1357" customFormat="false" ht="12.75" hidden="false" customHeight="true" outlineLevel="0" collapsed="false">
      <c r="A1357" s="14" t="n">
        <f aca="false">Report!C2181</f>
        <v>46288</v>
      </c>
      <c r="B1357" s="0" t="str">
        <f aca="false">Report!E2181</f>
        <v>H L M PADARIA E CONFEITARIA LTDA</v>
      </c>
      <c r="C1357" s="15" t="n">
        <f aca="false">Report!U2181</f>
        <v>140</v>
      </c>
      <c r="D1357" s="0" t="str">
        <f aca="false">Report!X2181</f>
        <v>NF 294 COMPRAS-BOLO PG NO P 23/9/26-ELLEN</v>
      </c>
    </row>
    <row r="1358" customFormat="false" ht="12.75" hidden="false" customHeight="true" outlineLevel="0" collapsed="false">
      <c r="A1358" s="14" t="n">
        <f aca="false">Report!C2183</f>
        <v>46288</v>
      </c>
      <c r="B1358" s="0" t="str">
        <f aca="false">Report!E2183</f>
        <v>JAB COMERCIO DE PRODUTOS ALIMENTICIOS LT</v>
      </c>
      <c r="C1358" s="15" t="n">
        <f aca="false">Report!U2183</f>
        <v>128</v>
      </c>
      <c r="D1358" s="0" t="str">
        <f aca="false">Report!X2183</f>
        <v>NF 3941 ELLEN</v>
      </c>
    </row>
    <row r="1359" customFormat="false" ht="12.75" hidden="false" customHeight="true" outlineLevel="0" collapsed="false">
      <c r="A1359" s="14" t="n">
        <f aca="false">Report!C2184</f>
        <v>46288</v>
      </c>
      <c r="B1359" s="0" t="str">
        <f aca="false">Report!E2184</f>
        <v>NEYLIANE S DE OLIVEIRA &amp; CIA LTDA</v>
      </c>
      <c r="C1359" s="15" t="n">
        <f aca="false">Report!U2184</f>
        <v>195</v>
      </c>
      <c r="D1359" s="0" t="str">
        <f aca="false">Report!X2184</f>
        <v>COMPRAS - 13L DE AÇAI - PG NO P 22/9/26 - ELLEN</v>
      </c>
    </row>
    <row r="1360" customFormat="false" ht="12.75" hidden="false" customHeight="true" outlineLevel="0" collapsed="false">
      <c r="A1360" s="14" t="n">
        <f aca="false">Report!C2185</f>
        <v>46288</v>
      </c>
      <c r="B1360" s="0" t="str">
        <f aca="false">Report!E2185</f>
        <v>OESA COMERCIO E REPRESENTACOES S/A</v>
      </c>
      <c r="C1360" s="15" t="n">
        <f aca="false">Report!U2185</f>
        <v>1510.34</v>
      </c>
      <c r="D1360" s="0" t="str">
        <f aca="false">Report!X2185</f>
        <v>NF 447609 ELLEN</v>
      </c>
    </row>
    <row r="1361" customFormat="false" ht="12.75" hidden="false" customHeight="true" outlineLevel="0" collapsed="false">
      <c r="A1361" s="14" t="n">
        <f aca="false">Report!C2186</f>
        <v>46288</v>
      </c>
      <c r="B1361" s="0" t="str">
        <f aca="false">Report!E2186</f>
        <v>REAL BEBIDAS DA AMAZONIA LTDA</v>
      </c>
      <c r="C1361" s="15" t="n">
        <f aca="false">Report!U2186</f>
        <v>240</v>
      </c>
      <c r="D1361" s="0" t="str">
        <f aca="false">Report!X2186</f>
        <v>NF 644000 ELLEN</v>
      </c>
    </row>
    <row r="1362" customFormat="false" ht="12.75" hidden="false" customHeight="true" outlineLevel="0" collapsed="false">
      <c r="A1362" s="14" t="n">
        <f aca="false">Report!C2187</f>
        <v>46288</v>
      </c>
      <c r="B1362" s="0" t="str">
        <f aca="false">Report!E2187</f>
        <v>RENATO DE O AZEVEDO E CIA LTDA - EPP</v>
      </c>
      <c r="C1362" s="15" t="n">
        <f aca="false">Report!U2187</f>
        <v>781.39</v>
      </c>
      <c r="D1362" s="0" t="str">
        <f aca="false">Report!X2187</f>
        <v>NF 5642 ELLEN</v>
      </c>
    </row>
    <row r="1363" customFormat="false" ht="12.75" hidden="false" customHeight="true" outlineLevel="0" collapsed="false">
      <c r="A1363" s="14" t="n">
        <f aca="false">Report!C2193</f>
        <v>46289</v>
      </c>
      <c r="B1363" s="0" t="str">
        <f aca="false">Report!E2193</f>
        <v>AMAZON MILK IND. E COMERCIO LTDA</v>
      </c>
      <c r="C1363" s="15" t="n">
        <f aca="false">Report!U2193</f>
        <v>805.4</v>
      </c>
      <c r="D1363" s="0" t="str">
        <f aca="false">Report!X2193</f>
        <v>NF 206697 ELLEN</v>
      </c>
    </row>
    <row r="1364" customFormat="false" ht="12.75" hidden="false" customHeight="true" outlineLevel="0" collapsed="false">
      <c r="A1364" s="14" t="n">
        <f aca="false">Report!C2194</f>
        <v>46289</v>
      </c>
      <c r="B1364" s="0" t="str">
        <f aca="false">Report!E2194</f>
        <v>E. D. SENA &amp; CIA LTDA</v>
      </c>
      <c r="C1364" s="15" t="n">
        <f aca="false">Report!U2194</f>
        <v>803.5</v>
      </c>
      <c r="D1364" s="0" t="str">
        <f aca="false">Report!X2194</f>
        <v>NF 11105 ELLEN</v>
      </c>
    </row>
    <row r="1365" customFormat="false" ht="12.75" hidden="false" customHeight="true" outlineLevel="0" collapsed="false">
      <c r="A1365" s="14" t="n">
        <f aca="false">Report!C2195</f>
        <v>46289</v>
      </c>
      <c r="B1365" s="0" t="str">
        <f aca="false">Report!E2195</f>
        <v>FALCAO INDUSTRIA DE ALIMENTOS LTDA</v>
      </c>
      <c r="C1365" s="15" t="n">
        <f aca="false">Report!U2195</f>
        <v>638.51</v>
      </c>
      <c r="D1365" s="0" t="str">
        <f aca="false">Report!X2195</f>
        <v>NF 33639 ELLEN</v>
      </c>
    </row>
    <row r="1366" customFormat="false" ht="12.75" hidden="false" customHeight="true" outlineLevel="0" collapsed="false">
      <c r="A1366" s="14" t="n">
        <f aca="false">Report!C2196</f>
        <v>46289</v>
      </c>
      <c r="B1366" s="0" t="str">
        <f aca="false">Report!E2196</f>
        <v>H L M PADARIA E CONFEITARIA LTDA</v>
      </c>
      <c r="C1366" s="15" t="n">
        <f aca="false">Report!U2196</f>
        <v>200</v>
      </c>
      <c r="D1366" s="0" t="str">
        <f aca="false">Report!X2196</f>
        <v>NF 330 COMPRAS-BOLO PG NO P 24/9/26-ELLEN</v>
      </c>
    </row>
    <row r="1367" customFormat="false" ht="12.75" hidden="false" customHeight="true" outlineLevel="0" collapsed="false">
      <c r="A1367" s="14" t="n">
        <f aca="false">Report!C2198</f>
        <v>46289</v>
      </c>
      <c r="B1367" s="0" t="str">
        <f aca="false">Report!E2198</f>
        <v>LIMA E BARANDA COMERCIO DE PRODUTOS REGI</v>
      </c>
      <c r="C1367" s="15" t="n">
        <f aca="false">Report!U2198</f>
        <v>199</v>
      </c>
      <c r="D1367" s="0" t="str">
        <f aca="false">Report!X2198</f>
        <v>NF 32429 ELLEN</v>
      </c>
    </row>
    <row r="1368" customFormat="false" ht="12.75" hidden="false" customHeight="true" outlineLevel="0" collapsed="false">
      <c r="A1368" s="14" t="n">
        <f aca="false">Report!C2199</f>
        <v>46289</v>
      </c>
      <c r="B1368" s="0" t="str">
        <f aca="false">Report!E2199</f>
        <v>MAXFRI DISTRIUIDORA LTDA</v>
      </c>
      <c r="C1368" s="15" t="n">
        <f aca="false">Report!U2199</f>
        <v>3442.4</v>
      </c>
      <c r="D1368" s="0" t="str">
        <f aca="false">Report!X2199</f>
        <v>NF 15388 ELLEN</v>
      </c>
    </row>
    <row r="1369" customFormat="false" ht="12.75" hidden="false" customHeight="true" outlineLevel="0" collapsed="false">
      <c r="A1369" s="14" t="n">
        <f aca="false">Report!C2200</f>
        <v>46289</v>
      </c>
      <c r="B1369" s="0" t="str">
        <f aca="false">Report!E2200</f>
        <v>NESTLÉ BRASIL LTDA.</v>
      </c>
      <c r="C1369" s="15" t="n">
        <f aca="false">Report!U2200</f>
        <v>935.81</v>
      </c>
      <c r="D1369" s="0" t="str">
        <f aca="false">Report!X2200</f>
        <v>NF 1448339 ELLEN</v>
      </c>
    </row>
    <row r="1370" customFormat="false" ht="12.75" hidden="false" customHeight="true" outlineLevel="0" collapsed="false">
      <c r="A1370" s="14" t="n">
        <f aca="false">Report!C2201</f>
        <v>46289</v>
      </c>
      <c r="B1370" s="0" t="str">
        <f aca="false">Report!E2201</f>
        <v>NEYLIANE S DE OLIVEIRA &amp; CIA LTDA</v>
      </c>
      <c r="C1370" s="15" t="n">
        <f aca="false">Report!U2201</f>
        <v>225</v>
      </c>
      <c r="D1370" s="0" t="str">
        <f aca="false">Report!X2201</f>
        <v>COMPRAS - 15L DE AÇAI- PG NO P 24/9/26-ELLEN</v>
      </c>
    </row>
    <row r="1371" customFormat="false" ht="12.75" hidden="false" customHeight="true" outlineLevel="0" collapsed="false">
      <c r="A1371" s="14" t="n">
        <f aca="false">Report!C2202</f>
        <v>46289</v>
      </c>
      <c r="B1371" s="0" t="str">
        <f aca="false">Report!E2202</f>
        <v>NOVA FRIOS COMERCIO ATACADISTA DE LATICINIOS LTDA</v>
      </c>
      <c r="C1371" s="15" t="n">
        <f aca="false">Report!U2202</f>
        <v>222</v>
      </c>
      <c r="D1371" s="0" t="str">
        <f aca="false">Report!X2202</f>
        <v>NF 4694 ELLEN</v>
      </c>
    </row>
    <row r="1372" customFormat="false" ht="12.75" hidden="false" customHeight="true" outlineLevel="0" collapsed="false">
      <c r="A1372" s="14" t="n">
        <f aca="false">Report!C2203</f>
        <v>46289</v>
      </c>
      <c r="B1372" s="0" t="str">
        <f aca="false">Report!E2203</f>
        <v>OCIDENTAL COMERCIO DE FRIOS LTDA</v>
      </c>
      <c r="C1372" s="15" t="n">
        <f aca="false">Report!U2203</f>
        <v>458.93</v>
      </c>
      <c r="D1372" s="0" t="str">
        <f aca="false">Report!X2203</f>
        <v>NF 1268629 ELLEN</v>
      </c>
    </row>
    <row r="1373" customFormat="false" ht="12.75" hidden="false" customHeight="true" outlineLevel="0" collapsed="false">
      <c r="A1373" s="14" t="n">
        <f aca="false">Report!C2204</f>
        <v>46289</v>
      </c>
      <c r="B1373" s="0" t="str">
        <f aca="false">Report!E2204</f>
        <v>SB COMERCIO LTDA</v>
      </c>
      <c r="C1373" s="15" t="n">
        <f aca="false">Report!U2204</f>
        <v>419.38</v>
      </c>
      <c r="D1373" s="0" t="str">
        <f aca="false">Report!X2204</f>
        <v>NF 1968927 ELLEN</v>
      </c>
    </row>
    <row r="1374" customFormat="false" ht="12.75" hidden="false" customHeight="true" outlineLevel="0" collapsed="false">
      <c r="A1374" s="14" t="n">
        <f aca="false">Report!C2210</f>
        <v>46289</v>
      </c>
      <c r="B1374" s="0" t="str">
        <f aca="false">Report!E2210</f>
        <v>SOUZA CRUZ LTDA.</v>
      </c>
      <c r="C1374" s="15" t="n">
        <f aca="false">Report!U2210</f>
        <v>4761.78</v>
      </c>
      <c r="D1374" s="0" t="str">
        <f aca="false">Report!X2210</f>
        <v>NF 572518 ELLEN</v>
      </c>
    </row>
    <row r="1375" customFormat="false" ht="12.75" hidden="false" customHeight="true" outlineLevel="0" collapsed="false">
      <c r="A1375" s="14" t="n">
        <f aca="false">Report!C2211</f>
        <v>46290</v>
      </c>
      <c r="B1375" s="0" t="str">
        <f aca="false">Report!E2211</f>
        <v>ADRIANO FEITOSA OLIVEIRA LTDA</v>
      </c>
      <c r="C1375" s="15" t="n">
        <f aca="false">Report!U2211</f>
        <v>350</v>
      </c>
      <c r="D1375" s="0" t="str">
        <f aca="false">Report!X2211</f>
        <v>NF 391 ELLEN</v>
      </c>
    </row>
    <row r="1376" customFormat="false" ht="12.75" hidden="false" customHeight="true" outlineLevel="0" collapsed="false">
      <c r="A1376" s="14" t="n">
        <f aca="false">Report!C2214</f>
        <v>46290</v>
      </c>
      <c r="B1376" s="0" t="str">
        <f aca="false">Report!E2214</f>
        <v>BRAGA TABACARIA EIRELI ME</v>
      </c>
      <c r="C1376" s="15" t="n">
        <f aca="false">Report!U2214</f>
        <v>860.5</v>
      </c>
      <c r="D1376" s="0" t="str">
        <f aca="false">Report!X2214</f>
        <v>NF 20278 ELLEN</v>
      </c>
    </row>
    <row r="1377" customFormat="false" ht="12.75" hidden="false" customHeight="true" outlineLevel="0" collapsed="false">
      <c r="A1377" s="14" t="n">
        <f aca="false">Report!C2215</f>
        <v>46290</v>
      </c>
      <c r="B1377" s="0" t="str">
        <f aca="false">Report!E2215</f>
        <v>BROTHERS  INDUSTRIA DE ALIMENTOS LTDA</v>
      </c>
      <c r="C1377" s="15" t="n">
        <f aca="false">Report!U2215</f>
        <v>331.39</v>
      </c>
      <c r="D1377" s="0" t="str">
        <f aca="false">Report!X2215</f>
        <v>NF 1042436 ELLEN</v>
      </c>
    </row>
    <row r="1378" customFormat="false" ht="12.75" hidden="false" customHeight="true" outlineLevel="0" collapsed="false">
      <c r="A1378" s="14" t="n">
        <f aca="false">Report!C2216</f>
        <v>46290</v>
      </c>
      <c r="B1378" s="0" t="str">
        <f aca="false">Report!E2216</f>
        <v>CB COMERCIO E DISTRIBUIDORA DE ALIMENTOS</v>
      </c>
      <c r="C1378" s="15" t="n">
        <f aca="false">Report!U2216</f>
        <v>357.22</v>
      </c>
      <c r="D1378" s="0" t="str">
        <f aca="false">Report!X2216</f>
        <v>NF 871154 ELLEN</v>
      </c>
    </row>
    <row r="1379" customFormat="false" ht="12.75" hidden="false" customHeight="true" outlineLevel="0" collapsed="false">
      <c r="A1379" s="14" t="n">
        <f aca="false">Report!C2217</f>
        <v>46290</v>
      </c>
      <c r="B1379" s="0" t="str">
        <f aca="false">Report!E2217</f>
        <v>DISTRIBUIDORA LOPES LTDA</v>
      </c>
      <c r="C1379" s="15" t="n">
        <f aca="false">Report!U2217</f>
        <v>1333.12</v>
      </c>
      <c r="D1379" s="0" t="str">
        <f aca="false">Report!X2217</f>
        <v>NF 1724435 ELLEN</v>
      </c>
    </row>
    <row r="1380" customFormat="false" ht="12.75" hidden="false" customHeight="true" outlineLevel="0" collapsed="false">
      <c r="A1380" s="14" t="n">
        <f aca="false">Report!C2218</f>
        <v>46290</v>
      </c>
      <c r="B1380" s="0" t="str">
        <f aca="false">Report!E2218</f>
        <v>DISTRIBUIDORA LOPES LTDA</v>
      </c>
      <c r="C1380" s="15" t="n">
        <f aca="false">Report!U2218</f>
        <v>395.28</v>
      </c>
      <c r="D1380" s="0" t="str">
        <f aca="false">Report!X2218</f>
        <v>NF 1732186 ELLEN</v>
      </c>
    </row>
    <row r="1381" customFormat="false" ht="12.75" hidden="false" customHeight="true" outlineLevel="0" collapsed="false">
      <c r="A1381" s="14" t="n">
        <f aca="false">Report!C2219</f>
        <v>46290</v>
      </c>
      <c r="B1381" s="0" t="str">
        <f aca="false">Report!E2219</f>
        <v>DURAES DISTRIBUIDORA DE ESTIVAS LTDA</v>
      </c>
      <c r="C1381" s="15" t="n">
        <f aca="false">Report!U2219</f>
        <v>610.19</v>
      </c>
      <c r="D1381" s="0" t="str">
        <f aca="false">Report!X2219</f>
        <v>NF 656817 ELLEN</v>
      </c>
    </row>
    <row r="1382" customFormat="false" ht="12.75" hidden="false" customHeight="true" outlineLevel="0" collapsed="false">
      <c r="A1382" s="14" t="n">
        <f aca="false">Report!C2220</f>
        <v>46290</v>
      </c>
      <c r="B1382" s="0" t="str">
        <f aca="false">Report!E2220</f>
        <v>FEMAR IND E COM DE BEBIDAS LTDA</v>
      </c>
      <c r="C1382" s="15" t="n">
        <f aca="false">Report!U2220</f>
        <v>365.48</v>
      </c>
      <c r="D1382" s="0" t="str">
        <f aca="false">Report!X2220</f>
        <v>NF 59578 ELLEN</v>
      </c>
    </row>
    <row r="1383" customFormat="false" ht="12.75" hidden="false" customHeight="true" outlineLevel="0" collapsed="false">
      <c r="A1383" s="14" t="n">
        <f aca="false">Report!C2223</f>
        <v>46290</v>
      </c>
      <c r="B1383" s="0" t="str">
        <f aca="false">Report!E2223</f>
        <v>NEYLIANE S DE OLIVEIRA &amp; CIA LTDA</v>
      </c>
      <c r="C1383" s="15" t="n">
        <f aca="false">Report!U2223</f>
        <v>1382</v>
      </c>
      <c r="D1383" s="0" t="str">
        <f aca="false">Report!X2223</f>
        <v>FEIRA - PG P C6BANK-RENATO - ELLEN</v>
      </c>
    </row>
    <row r="1384" customFormat="false" ht="12.75" hidden="false" customHeight="true" outlineLevel="0" collapsed="false">
      <c r="A1384" s="14" t="n">
        <f aca="false">Report!C2236</f>
        <v>46290</v>
      </c>
      <c r="B1384" s="0" t="str">
        <f aca="false">Report!E2236</f>
        <v>SAO JOSE COMERCIO DE LATICINIOS E FRIOS</v>
      </c>
      <c r="C1384" s="15" t="n">
        <f aca="false">Report!U2236</f>
        <v>589.5</v>
      </c>
      <c r="D1384" s="0" t="str">
        <f aca="false">Report!X2236</f>
        <v>NF 4086 ELLEN</v>
      </c>
    </row>
    <row r="1385" customFormat="false" ht="12.75" hidden="false" customHeight="true" outlineLevel="0" collapsed="false">
      <c r="A1385" s="14" t="n">
        <f aca="false">Report!C2238</f>
        <v>46290</v>
      </c>
      <c r="B1385" s="0" t="str">
        <f aca="false">Report!E2238</f>
        <v>SEM FORNECEDOR</v>
      </c>
      <c r="C1385" s="15" t="n">
        <f aca="false">Report!U2238</f>
        <v>75</v>
      </c>
      <c r="D1385" s="0" t="str">
        <f aca="false">Report!X2238</f>
        <v>recibo-biscoit amant./delicias da suh</v>
      </c>
    </row>
    <row r="1386" customFormat="false" ht="12.75" hidden="false" customHeight="true" outlineLevel="0" collapsed="false">
      <c r="A1386" s="14" t="n">
        <f aca="false">Report!C2243</f>
        <v>46291</v>
      </c>
      <c r="B1386" s="0" t="str">
        <f aca="false">Report!E2243</f>
        <v>BONNA VITTA INDUSTRIA E COMERCIO LTDA.</v>
      </c>
      <c r="C1386" s="15" t="n">
        <f aca="false">Report!U2243</f>
        <v>902.13</v>
      </c>
      <c r="D1386" s="0" t="str">
        <f aca="false">Report!X2243</f>
        <v>NF 5600 ELLEN</v>
      </c>
    </row>
    <row r="1387" customFormat="false" ht="12.75" hidden="false" customHeight="true" outlineLevel="0" collapsed="false">
      <c r="A1387" s="14" t="n">
        <f aca="false">Report!C2244</f>
        <v>46291</v>
      </c>
      <c r="B1387" s="0" t="str">
        <f aca="false">Report!E2244</f>
        <v>H L M PADARIA E CONFEITARIA LTDA</v>
      </c>
      <c r="C1387" s="15" t="n">
        <f aca="false">Report!U2244</f>
        <v>120</v>
      </c>
      <c r="D1387" s="0" t="str">
        <f aca="false">Report!X2244</f>
        <v>NF 339 COMPRAS-BOLO PG NO P 26/9/26 - ELLEN</v>
      </c>
    </row>
    <row r="1388" customFormat="false" ht="12.75" hidden="false" customHeight="true" outlineLevel="0" collapsed="false">
      <c r="A1388" s="14" t="n">
        <f aca="false">Report!C2245</f>
        <v>46291</v>
      </c>
      <c r="B1388" s="0" t="str">
        <f aca="false">Report!E2245</f>
        <v>MAXFRI DISTRIUIDORA LTDA</v>
      </c>
      <c r="C1388" s="15" t="n">
        <f aca="false">Report!U2245</f>
        <v>672</v>
      </c>
      <c r="D1388" s="0" t="str">
        <f aca="false">Report!X2245</f>
        <v>NF 15408 ELLEN</v>
      </c>
    </row>
    <row r="1389" customFormat="false" ht="12.75" hidden="false" customHeight="true" outlineLevel="0" collapsed="false">
      <c r="A1389" s="14" t="n">
        <f aca="false">Report!C2246</f>
        <v>46291</v>
      </c>
      <c r="B1389" s="0" t="str">
        <f aca="false">Report!E2246</f>
        <v>MAXFRI DISTRIUIDORA LTDA</v>
      </c>
      <c r="C1389" s="15" t="n">
        <f aca="false">Report!U2246</f>
        <v>4506.6</v>
      </c>
      <c r="D1389" s="0" t="str">
        <f aca="false">Report!X2246</f>
        <v>NF 15417 ELLEN</v>
      </c>
    </row>
    <row r="1390" customFormat="false" ht="12.75" hidden="false" customHeight="true" outlineLevel="0" collapsed="false">
      <c r="A1390" s="14" t="n">
        <f aca="false">Report!C2255</f>
        <v>46293</v>
      </c>
      <c r="B1390" s="0" t="str">
        <f aca="false">Report!E2255</f>
        <v>AMERICANA DISTRIBUIDORA DE BEBIDAS E MERCADORIAS LTDA</v>
      </c>
      <c r="C1390" s="15" t="n">
        <f aca="false">Report!U2255</f>
        <v>488.94</v>
      </c>
      <c r="D1390" s="0" t="str">
        <f aca="false">Report!X2255</f>
        <v>NF 81837 ELLEN</v>
      </c>
    </row>
    <row r="1391" customFormat="false" ht="12.75" hidden="false" customHeight="true" outlineLevel="0" collapsed="false">
      <c r="A1391" s="14" t="n">
        <f aca="false">Report!C2256</f>
        <v>46293</v>
      </c>
      <c r="B1391" s="0" t="str">
        <f aca="false">Report!E2256</f>
        <v>ATACADAO S.A.</v>
      </c>
      <c r="C1391" s="15" t="n">
        <f aca="false">Report!U2256</f>
        <v>1348.29</v>
      </c>
      <c r="D1391" s="0" t="str">
        <f aca="false">Report!X2256</f>
        <v>NF 1927745 ELLEN</v>
      </c>
    </row>
    <row r="1392" customFormat="false" ht="12.75" hidden="false" customHeight="true" outlineLevel="0" collapsed="false">
      <c r="A1392" s="14" t="n">
        <f aca="false">Report!C2257</f>
        <v>46293</v>
      </c>
      <c r="B1392" s="0" t="str">
        <f aca="false">Report!E2257</f>
        <v>CRBS S/A</v>
      </c>
      <c r="C1392" s="15" t="n">
        <f aca="false">Report!U2257</f>
        <v>911.04</v>
      </c>
      <c r="D1392" s="0" t="str">
        <f aca="false">Report!X2257</f>
        <v>NF 16306 ELLEN</v>
      </c>
    </row>
    <row r="1393" customFormat="false" ht="12.75" hidden="false" customHeight="true" outlineLevel="0" collapsed="false">
      <c r="A1393" s="14" t="n">
        <f aca="false">Report!C2259</f>
        <v>46293</v>
      </c>
      <c r="B1393" s="0" t="str">
        <f aca="false">Report!E2259</f>
        <v>INNOVAR DISTRIBUIDORA DE COSMETICOS E MEDICAMENTOS LTDA</v>
      </c>
      <c r="C1393" s="15" t="n">
        <f aca="false">Report!U2259</f>
        <v>322.8</v>
      </c>
      <c r="D1393" s="0" t="str">
        <f aca="false">Report!X2259</f>
        <v>NF 107635 ELLEN </v>
      </c>
    </row>
    <row r="1394" customFormat="false" ht="12.75" hidden="false" customHeight="true" outlineLevel="0" collapsed="false">
      <c r="A1394" s="14" t="n">
        <f aca="false">Report!C2261</f>
        <v>46293</v>
      </c>
      <c r="B1394" s="0" t="str">
        <f aca="false">Report!E2261</f>
        <v>J W N DOS SANTOS</v>
      </c>
      <c r="C1394" s="15" t="n">
        <f aca="false">Report!U2261</f>
        <v>297</v>
      </c>
      <c r="D1394" s="0" t="str">
        <f aca="false">Report!X2261</f>
        <v>NF 452 ELLEN</v>
      </c>
    </row>
    <row r="1395" customFormat="false" ht="12.75" hidden="false" customHeight="true" outlineLevel="0" collapsed="false">
      <c r="A1395" s="14" t="n">
        <f aca="false">Report!C2262</f>
        <v>46293</v>
      </c>
      <c r="B1395" s="0" t="str">
        <f aca="false">Report!E2262</f>
        <v>MARTINS COM SERV DISTR SA</v>
      </c>
      <c r="C1395" s="15" t="n">
        <f aca="false">Report!U2262</f>
        <v>176.57</v>
      </c>
      <c r="D1395" s="0" t="str">
        <f aca="false">Report!X2262</f>
        <v>NF'S 1796899/1796900 ELLEN</v>
      </c>
    </row>
    <row r="1396" customFormat="false" ht="12.75" hidden="false" customHeight="true" outlineLevel="0" collapsed="false">
      <c r="A1396" s="14" t="n">
        <f aca="false">Report!C2263</f>
        <v>46293</v>
      </c>
      <c r="B1396" s="0" t="str">
        <f aca="false">Report!E2263</f>
        <v>MAXFRI DISTRIUIDORA LTDA</v>
      </c>
      <c r="C1396" s="15" t="n">
        <f aca="false">Report!U2263</f>
        <v>2444.8</v>
      </c>
      <c r="D1396" s="0" t="str">
        <f aca="false">Report!X2263</f>
        <v>NF 15422 ELLEN</v>
      </c>
    </row>
    <row r="1397" customFormat="false" ht="12.75" hidden="false" customHeight="true" outlineLevel="0" collapsed="false">
      <c r="A1397" s="14" t="n">
        <f aca="false">Report!C2264</f>
        <v>46293</v>
      </c>
      <c r="B1397" s="0" t="str">
        <f aca="false">Report!E2264</f>
        <v>NESTLÉ BRASIL LTDA.</v>
      </c>
      <c r="C1397" s="15" t="n">
        <f aca="false">Report!U2264</f>
        <v>782.78</v>
      </c>
      <c r="D1397" s="0" t="str">
        <f aca="false">Report!X2264</f>
        <v>NF 1449042 ELLEN</v>
      </c>
    </row>
    <row r="1398" customFormat="false" ht="12.75" hidden="false" customHeight="true" outlineLevel="0" collapsed="false">
      <c r="A1398" s="14" t="n">
        <f aca="false">Report!C2265</f>
        <v>46293</v>
      </c>
      <c r="B1398" s="0" t="str">
        <f aca="false">Report!E2265</f>
        <v>NEYLIANE S DE OLIVEIRA &amp; CIA LTDA</v>
      </c>
      <c r="C1398" s="15" t="n">
        <f aca="false">Report!U2265</f>
        <v>210</v>
      </c>
      <c r="D1398" s="0" t="str">
        <f aca="false">Report!X2265</f>
        <v>COMPRAS - 14L DE AÇAI - PG NO P 26/9/26 -ELLEN</v>
      </c>
    </row>
    <row r="1399" customFormat="false" ht="12.75" hidden="false" customHeight="true" outlineLevel="0" collapsed="false">
      <c r="A1399" s="14" t="n">
        <f aca="false">Report!C2266</f>
        <v>46293</v>
      </c>
      <c r="B1399" s="0" t="str">
        <f aca="false">Report!E2266</f>
        <v>OCIDENTAL COMERCIO DE FRIOS LTDA</v>
      </c>
      <c r="C1399" s="15" t="n">
        <f aca="false">Report!U2266</f>
        <v>447.47</v>
      </c>
      <c r="D1399" s="0" t="str">
        <f aca="false">Report!X2266</f>
        <v>NF 1272675 ELLEN</v>
      </c>
    </row>
    <row r="1400" customFormat="false" ht="12.75" hidden="false" customHeight="true" outlineLevel="0" collapsed="false">
      <c r="A1400" s="14" t="n">
        <f aca="false">Report!C2267</f>
        <v>46293</v>
      </c>
      <c r="B1400" s="0" t="str">
        <f aca="false">Report!E2267</f>
        <v>PANIFICADORA E CONFEITARIA REAL MADRI LTDA</v>
      </c>
      <c r="C1400" s="15" t="n">
        <f aca="false">Report!U2267</f>
        <v>254.76</v>
      </c>
      <c r="D1400" s="0" t="str">
        <f aca="false">Report!X2267</f>
        <v>NF 816 ELLEN</v>
      </c>
    </row>
    <row r="1401" customFormat="false" ht="12.75" hidden="false" customHeight="true" outlineLevel="0" collapsed="false">
      <c r="A1401" s="14" t="n">
        <f aca="false">Report!C2272</f>
        <v>46293</v>
      </c>
      <c r="B1401" s="0" t="str">
        <f aca="false">Report!E2272</f>
        <v>T A DE MATTOS COMIM EIRELI</v>
      </c>
      <c r="C1401" s="15" t="n">
        <f aca="false">Report!U2272</f>
        <v>228</v>
      </c>
      <c r="D1401" s="0" t="str">
        <f aca="false">Report!X2272</f>
        <v>NF 11011 ELLEN</v>
      </c>
    </row>
    <row r="1402" customFormat="false" ht="12.75" hidden="false" customHeight="true" outlineLevel="0" collapsed="false">
      <c r="A1402" s="14" t="n">
        <f aca="false">Report!C2274</f>
        <v>46293</v>
      </c>
      <c r="B1402" s="0" t="str">
        <f aca="false">Report!E2274</f>
        <v>VICTORIA COMERCIO INTERNACIONAL DE ALIME</v>
      </c>
      <c r="C1402" s="15" t="n">
        <f aca="false">Report!U2274</f>
        <v>1213.96</v>
      </c>
      <c r="D1402" s="0" t="str">
        <f aca="false">Report!X2274</f>
        <v>NF 13070 ELLEN</v>
      </c>
    </row>
    <row r="1403" customFormat="false" ht="12.75" hidden="false" customHeight="true" outlineLevel="0" collapsed="false">
      <c r="A1403" s="14" t="n">
        <f aca="false">Report!C2275</f>
        <v>46294</v>
      </c>
      <c r="B1403" s="0" t="str">
        <f aca="false">Report!E2275</f>
        <v>ADICSO FABIAN GONZALEZ MONTILLA 70302186</v>
      </c>
      <c r="C1403" s="15" t="n">
        <f aca="false">Report!U2275</f>
        <v>180</v>
      </c>
      <c r="D1403" s="0" t="str">
        <f aca="false">Report!X2275</f>
        <v>NF 681 ELLEN</v>
      </c>
    </row>
    <row r="1404" customFormat="false" ht="12.75" hidden="false" customHeight="true" outlineLevel="0" collapsed="false">
      <c r="A1404" s="14" t="n">
        <f aca="false">Report!C2276</f>
        <v>46294</v>
      </c>
      <c r="B1404" s="0" t="str">
        <f aca="false">Report!E2276</f>
        <v>BRASIL NORTE BEBIDAS S/A</v>
      </c>
      <c r="C1404" s="15" t="n">
        <f aca="false">Report!U2276</f>
        <v>47.37</v>
      </c>
      <c r="D1404" s="0" t="str">
        <f aca="false">Report!X2276</f>
        <v>NF 1288685 ELLEN</v>
      </c>
    </row>
    <row r="1405" customFormat="false" ht="12.75" hidden="false" customHeight="true" outlineLevel="0" collapsed="false">
      <c r="A1405" s="14" t="n">
        <f aca="false">Report!C2277</f>
        <v>46294</v>
      </c>
      <c r="B1405" s="0" t="str">
        <f aca="false">Report!E2277</f>
        <v>BRASIL NORTE BEBIDAS S/A</v>
      </c>
      <c r="C1405" s="15" t="n">
        <f aca="false">Report!U2277</f>
        <v>29.85</v>
      </c>
      <c r="D1405" s="0" t="str">
        <f aca="false">Report!X2277</f>
        <v>NF 2039865 ELLEN</v>
      </c>
    </row>
    <row r="1406" customFormat="false" ht="12.75" hidden="false" customHeight="true" outlineLevel="0" collapsed="false">
      <c r="A1406" s="14" t="n">
        <f aca="false">Report!C2278</f>
        <v>46294</v>
      </c>
      <c r="B1406" s="0" t="str">
        <f aca="false">Report!E2278</f>
        <v>BRASIL NORTE BEBIDAS S/A</v>
      </c>
      <c r="C1406" s="15" t="n">
        <f aca="false">Report!U2278</f>
        <v>317.58</v>
      </c>
      <c r="D1406" s="0" t="str">
        <f aca="false">Report!X2278</f>
        <v>NF 2039974 ELLEN</v>
      </c>
    </row>
    <row r="1407" customFormat="false" ht="12.75" hidden="false" customHeight="true" outlineLevel="0" collapsed="false">
      <c r="A1407" s="14" t="n">
        <f aca="false">Report!C2279</f>
        <v>46294</v>
      </c>
      <c r="B1407" s="0" t="str">
        <f aca="false">Report!E2279</f>
        <v>BRASIL NORTE BEBIDAS S/A</v>
      </c>
      <c r="C1407" s="15" t="n">
        <f aca="false">Report!U2279</f>
        <v>355.97</v>
      </c>
      <c r="D1407" s="0" t="str">
        <f aca="false">Report!X2279</f>
        <v>NF 1288725 ELLEN</v>
      </c>
    </row>
    <row r="1408" customFormat="false" ht="12.75" hidden="false" customHeight="true" outlineLevel="0" collapsed="false">
      <c r="A1408" s="14" t="n">
        <f aca="false">Report!C2280</f>
        <v>46294</v>
      </c>
      <c r="B1408" s="0" t="str">
        <f aca="false">Report!E2280</f>
        <v>BRASIL NORTE BEBIDAS S/A</v>
      </c>
      <c r="C1408" s="15" t="n">
        <f aca="false">Report!U2280</f>
        <v>534.33</v>
      </c>
      <c r="D1408" s="0" t="str">
        <f aca="false">Report!X2280</f>
        <v>NF 1288687 ELLEN</v>
      </c>
    </row>
    <row r="1409" customFormat="false" ht="12.75" hidden="false" customHeight="true" outlineLevel="0" collapsed="false">
      <c r="A1409" s="14" t="n">
        <f aca="false">Report!C2281</f>
        <v>46294</v>
      </c>
      <c r="B1409" s="0" t="str">
        <f aca="false">Report!E2281</f>
        <v>BRASIL NORTE BEBIDAS S/A</v>
      </c>
      <c r="C1409" s="15" t="n">
        <f aca="false">Report!U2281</f>
        <v>2617.42</v>
      </c>
      <c r="D1409" s="0" t="str">
        <f aca="false">Report!X2281</f>
        <v>NF 2040862 ELLEN</v>
      </c>
    </row>
    <row r="1410" customFormat="false" ht="12.75" hidden="false" customHeight="true" outlineLevel="0" collapsed="false">
      <c r="A1410" s="14" t="n">
        <f aca="false">Report!C2282</f>
        <v>46294</v>
      </c>
      <c r="B1410" s="0" t="str">
        <f aca="false">Report!E2282</f>
        <v>BROTHERS  INDUSTRIA DE ALIMENTOS LTDA</v>
      </c>
      <c r="C1410" s="15" t="n">
        <f aca="false">Report!U2282</f>
        <v>259.62</v>
      </c>
      <c r="D1410" s="0" t="str">
        <f aca="false">Report!X2282</f>
        <v>NF 1042983 ELLEN</v>
      </c>
    </row>
    <row r="1411" customFormat="false" ht="12.75" hidden="false" customHeight="true" outlineLevel="0" collapsed="false">
      <c r="A1411" s="14" t="n">
        <f aca="false">Report!C2283</f>
        <v>46294</v>
      </c>
      <c r="B1411" s="0" t="str">
        <f aca="false">Report!E2283</f>
        <v>DINÂMICA SOLUÇÕES EM SUPRIMENTOS E GESTÃ</v>
      </c>
      <c r="C1411" s="15" t="n">
        <f aca="false">Report!U2283</f>
        <v>673</v>
      </c>
      <c r="D1411" s="0" t="str">
        <f aca="false">Report!X2283</f>
        <v>NF 776 ELLEN</v>
      </c>
    </row>
    <row r="1412" customFormat="false" ht="12.75" hidden="false" customHeight="true" outlineLevel="0" collapsed="false">
      <c r="A1412" s="14" t="n">
        <f aca="false">Report!C2284</f>
        <v>46294</v>
      </c>
      <c r="B1412" s="0" t="str">
        <f aca="false">Report!E2284</f>
        <v>DISTRIBUIDORA LOPES LTDA</v>
      </c>
      <c r="C1412" s="15" t="n">
        <f aca="false">Report!U2284</f>
        <v>366.24</v>
      </c>
      <c r="D1412" s="0" t="str">
        <f aca="false">Report!X2284</f>
        <v>NF 1733742 ELLEN</v>
      </c>
    </row>
    <row r="1413" customFormat="false" ht="12.75" hidden="false" customHeight="true" outlineLevel="0" collapsed="false">
      <c r="A1413" s="14" t="n">
        <f aca="false">Report!C2285</f>
        <v>46294</v>
      </c>
      <c r="B1413" s="0" t="str">
        <f aca="false">Report!E2285</f>
        <v>EDMARA COMERCIO DE HIGIENE PESSOAL LTDA</v>
      </c>
      <c r="C1413" s="15" t="n">
        <f aca="false">Report!U2285</f>
        <v>873.06</v>
      </c>
      <c r="D1413" s="0" t="str">
        <f aca="false">Report!X2285</f>
        <v>NF 8744 ELLEN</v>
      </c>
    </row>
    <row r="1414" customFormat="false" ht="12.75" hidden="false" customHeight="true" outlineLevel="0" collapsed="false">
      <c r="A1414" s="14" t="n">
        <f aca="false">Report!C2286</f>
        <v>46294</v>
      </c>
      <c r="B1414" s="0" t="str">
        <f aca="false">Report!E2286</f>
        <v>FE COMERCIO DE MATERIAIS DE CONSTRUCAO</v>
      </c>
      <c r="C1414" s="15" t="n">
        <f aca="false">Report!U2286</f>
        <v>793.47</v>
      </c>
      <c r="D1414" s="0" t="str">
        <f aca="false">Report!X2286</f>
        <v>NF 5521 ELLEN</v>
      </c>
    </row>
    <row r="1415" customFormat="false" ht="12.75" hidden="false" customHeight="true" outlineLevel="0" collapsed="false">
      <c r="A1415" s="14" t="n">
        <f aca="false">Report!C2287</f>
        <v>46294</v>
      </c>
      <c r="B1415" s="0" t="str">
        <f aca="false">Report!E2287</f>
        <v>FEIRA</v>
      </c>
      <c r="C1415" s="15" t="n">
        <f aca="false">Report!U2287</f>
        <v>490</v>
      </c>
      <c r="D1415" s="0" t="str">
        <f aca="false">Report!X2287</f>
        <v>FEIRA - PG P C6BANK/RENATO (PERA/UVA) SOMAR C NF2708-ELLEN</v>
      </c>
    </row>
    <row r="1416" customFormat="false" ht="12.75" hidden="false" customHeight="true" outlineLevel="0" collapsed="false">
      <c r="A1416" s="14" t="n">
        <f aca="false">Report!C2288</f>
        <v>46294</v>
      </c>
      <c r="B1416" s="0" t="str">
        <f aca="false">Report!E2288</f>
        <v>FENNIX BRASIL DISTRIBUIDORA DE PRODUTOS</v>
      </c>
      <c r="C1416" s="15" t="n">
        <f aca="false">Report!U2288</f>
        <v>587.44</v>
      </c>
      <c r="D1416" s="0" t="str">
        <f aca="false">Report!X2288</f>
        <v>NF 399726 ELLEN</v>
      </c>
    </row>
    <row r="1417" customFormat="false" ht="12.75" hidden="false" customHeight="true" outlineLevel="0" collapsed="false">
      <c r="A1417" s="14" t="n">
        <f aca="false">Report!C2289</f>
        <v>46294</v>
      </c>
      <c r="B1417" s="0" t="str">
        <f aca="false">Report!E2289</f>
        <v>FENNIX BRASIL DISTRIBUIDORA DE PRODUTOS</v>
      </c>
      <c r="C1417" s="15" t="n">
        <f aca="false">Report!U2289</f>
        <v>729.31</v>
      </c>
      <c r="D1417" s="0" t="str">
        <f aca="false">Report!X2289</f>
        <v>NF 400026 ELLEN</v>
      </c>
    </row>
    <row r="1418" customFormat="false" ht="12.75" hidden="false" customHeight="true" outlineLevel="0" collapsed="false">
      <c r="A1418" s="14" t="n">
        <f aca="false">Report!C2290</f>
        <v>46294</v>
      </c>
      <c r="B1418" s="0" t="str">
        <f aca="false">Report!E2290</f>
        <v>FRUTAL INDUSTRIA E COMERCIO LTDA</v>
      </c>
      <c r="C1418" s="15" t="n">
        <f aca="false">Report!U2290</f>
        <v>473.34</v>
      </c>
      <c r="D1418" s="0" t="str">
        <f aca="false">Report!X2290</f>
        <v>NF 232190 ELLEN</v>
      </c>
    </row>
    <row r="1419" customFormat="false" ht="12.75" hidden="false" customHeight="true" outlineLevel="0" collapsed="false">
      <c r="A1419" s="14" t="n">
        <f aca="false">Report!C2291</f>
        <v>46294</v>
      </c>
      <c r="B1419" s="0" t="str">
        <f aca="false">Report!E2291</f>
        <v>H L M PADARIA E CONFEITARIA LTDA</v>
      </c>
      <c r="C1419" s="15" t="n">
        <f aca="false">Report!U2291</f>
        <v>120</v>
      </c>
      <c r="D1419" s="0" t="str">
        <f aca="false">Report!X2291</f>
        <v>NF 349 COMPRAS-BOLO PG NO P 29/9/26 - ELLEN</v>
      </c>
    </row>
    <row r="1420" customFormat="false" ht="12.75" hidden="false" customHeight="true" outlineLevel="0" collapsed="false">
      <c r="A1420" s="14" t="n">
        <f aca="false">Report!C2292</f>
        <v>46294</v>
      </c>
      <c r="B1420" s="0" t="str">
        <f aca="false">Report!E2292</f>
        <v>JAB COMERCIO DE PRODUTOS ALIMENTICIOS LT</v>
      </c>
      <c r="C1420" s="15" t="n">
        <f aca="false">Report!U2292</f>
        <v>108</v>
      </c>
      <c r="D1420" s="0" t="str">
        <f aca="false">Report!X2292</f>
        <v>NF 3973 ELLEN</v>
      </c>
    </row>
    <row r="1421" customFormat="false" ht="12.75" hidden="false" customHeight="true" outlineLevel="0" collapsed="false">
      <c r="A1421" s="14" t="n">
        <f aca="false">Report!C2293</f>
        <v>46294</v>
      </c>
      <c r="B1421" s="0" t="str">
        <f aca="false">Report!E2293</f>
        <v>NEYLIANE S DE OLIVEIRA &amp; CIA LTDA</v>
      </c>
      <c r="C1421" s="15" t="n">
        <f aca="false">Report!U2293</f>
        <v>1200</v>
      </c>
      <c r="D1421" s="0" t="str">
        <f aca="false">Report!X2293</f>
        <v>COMPRAS - FARINHA CRUZEIRO - ELLEN</v>
      </c>
    </row>
    <row r="1422" customFormat="false" ht="12.75" hidden="false" customHeight="true" outlineLevel="0" collapsed="false">
      <c r="A1422" s="14" t="n">
        <f aca="false">Report!C2294</f>
        <v>46294</v>
      </c>
      <c r="B1422" s="0" t="str">
        <f aca="false">Report!E2294</f>
        <v>NEYLIANE S DE OLIVEIRA &amp; CIA LTDA</v>
      </c>
      <c r="C1422" s="15" t="n">
        <f aca="false">Report!U2294</f>
        <v>225</v>
      </c>
      <c r="D1422" s="0" t="str">
        <f aca="false">Report!X2294</f>
        <v>COMPRAS - 15L DE AÇAI - PG NO P 29/9/26-ELLEN</v>
      </c>
    </row>
    <row r="1423" customFormat="false" ht="12.75" hidden="false" customHeight="true" outlineLevel="0" collapsed="false">
      <c r="A1423" s="14" t="n">
        <f aca="false">Report!C2295</f>
        <v>46294</v>
      </c>
      <c r="B1423" s="0" t="str">
        <f aca="false">Report!E2295</f>
        <v>NEYLIANE S DE OLIVEIRA &amp; CIA LTDA</v>
      </c>
      <c r="C1423" s="15" t="n">
        <f aca="false">Report!U2295</f>
        <v>1904</v>
      </c>
      <c r="D1423" s="0" t="str">
        <f aca="false">Report!X2295</f>
        <v>FEIRA - PG P C6BANK/RENATO- ELLEN</v>
      </c>
    </row>
    <row r="1424" customFormat="false" ht="12.75" hidden="false" customHeight="true" outlineLevel="0" collapsed="false">
      <c r="A1424" s="14" t="n">
        <f aca="false">Report!C2296</f>
        <v>46294</v>
      </c>
      <c r="B1424" s="0" t="str">
        <f aca="false">Report!E2296</f>
        <v>NORTELAC DISTRIBUIDORA DE FRIOS LTDA</v>
      </c>
      <c r="C1424" s="15" t="n">
        <f aca="false">Report!U2296</f>
        <v>460</v>
      </c>
      <c r="D1424" s="0" t="str">
        <f aca="false">Report!X2296</f>
        <v>NF 48651 ELLEN</v>
      </c>
    </row>
    <row r="1425" customFormat="false" ht="12.75" hidden="false" customHeight="true" outlineLevel="0" collapsed="false">
      <c r="A1425" s="14" t="n">
        <f aca="false">Report!C2305</f>
        <v>46294</v>
      </c>
      <c r="B1425" s="0" t="str">
        <f aca="false">Report!E2305</f>
        <v>SMV COMERCIO DE PRODUTOS ALIMENTICIOS LT</v>
      </c>
      <c r="C1425" s="15" t="n">
        <f aca="false">Report!U2305</f>
        <v>348.18</v>
      </c>
      <c r="D1425" s="0" t="str">
        <f aca="false">Report!X2305</f>
        <v>NF 7287 ELLEN</v>
      </c>
    </row>
    <row r="1426" customFormat="false" ht="12.75" hidden="false" customHeight="true" outlineLevel="0" collapsed="false">
      <c r="A1426" s="14" t="n">
        <f aca="false">Report!C2306</f>
        <v>46294</v>
      </c>
      <c r="B1426" s="0" t="str">
        <f aca="false">Report!E2306</f>
        <v>SOUZA CRUZ LTDA.</v>
      </c>
      <c r="C1426" s="15" t="n">
        <f aca="false">Report!U2306</f>
        <v>4060.96</v>
      </c>
      <c r="D1426" s="0" t="str">
        <f aca="false">Report!X2306</f>
        <v>NF 573768 ELLEN</v>
      </c>
    </row>
    <row r="1427" customFormat="false" ht="12.75" hidden="false" customHeight="true" outlineLevel="0" collapsed="false">
      <c r="A1427" s="14" t="n">
        <f aca="false">Report!C2307</f>
        <v>46294</v>
      </c>
      <c r="B1427" s="0" t="str">
        <f aca="false">Report!E2307</f>
        <v>TAPAJOS COM DE PERFUMARIA COSMETICOS E G</v>
      </c>
      <c r="C1427" s="15" t="n">
        <f aca="false">Report!U2307</f>
        <v>575.27</v>
      </c>
      <c r="D1427" s="0" t="str">
        <f aca="false">Report!X2307</f>
        <v>NF 591052 ELLEN</v>
      </c>
    </row>
    <row r="1428" customFormat="false" ht="12.75" hidden="false" customHeight="true" outlineLevel="0" collapsed="false">
      <c r="A1428" s="14" t="n">
        <f aca="false">Report!C2308</f>
        <v>46295</v>
      </c>
      <c r="B1428" s="0" t="str">
        <f aca="false">Report!E2308</f>
        <v>BRF S A</v>
      </c>
      <c r="C1428" s="15" t="n">
        <f aca="false">Report!U2308</f>
        <v>478.72</v>
      </c>
      <c r="D1428" s="0" t="str">
        <f aca="false">Report!X2308</f>
        <v>NF 1629386 ELLEN</v>
      </c>
    </row>
    <row r="1429" customFormat="false" ht="12.75" hidden="false" customHeight="true" outlineLevel="0" collapsed="false">
      <c r="A1429" s="14" t="n">
        <f aca="false">Report!C2309</f>
        <v>46295</v>
      </c>
      <c r="B1429" s="0" t="str">
        <f aca="false">Report!E2309</f>
        <v>BRF S A</v>
      </c>
      <c r="C1429" s="15" t="n">
        <f aca="false">Report!U2309</f>
        <v>453.37</v>
      </c>
      <c r="D1429" s="0" t="str">
        <f aca="false">Report!X2309</f>
        <v>NF 1632482 ELLEN</v>
      </c>
    </row>
    <row r="1430" customFormat="false" ht="12.75" hidden="false" customHeight="true" outlineLevel="0" collapsed="false">
      <c r="A1430" s="14" t="n">
        <f aca="false">Report!C2310</f>
        <v>46295</v>
      </c>
      <c r="B1430" s="0" t="str">
        <f aca="false">Report!E2310</f>
        <v>DISTRIBUIDORA LOPES LTDA</v>
      </c>
      <c r="C1430" s="15" t="n">
        <f aca="false">Report!U2310</f>
        <v>684.67</v>
      </c>
      <c r="D1430" s="0" t="str">
        <f aca="false">Report!X2310</f>
        <v>NF 1726308 ELLEN</v>
      </c>
    </row>
    <row r="1431" customFormat="false" ht="12.75" hidden="false" customHeight="true" outlineLevel="0" collapsed="false">
      <c r="A1431" s="14" t="n">
        <f aca="false">Report!C2311</f>
        <v>46295</v>
      </c>
      <c r="B1431" s="0" t="str">
        <f aca="false">Report!E2311</f>
        <v>EDSON AGUIAR DE SOUZA</v>
      </c>
      <c r="C1431" s="15" t="n">
        <f aca="false">Report!U2311</f>
        <v>122</v>
      </c>
      <c r="D1431" s="0" t="str">
        <f aca="false">Report!X2311</f>
        <v>COMPRAS - CHEIRO-VERDE - ELLEN</v>
      </c>
    </row>
    <row r="1432" customFormat="false" ht="12.75" hidden="false" customHeight="true" outlineLevel="0" collapsed="false">
      <c r="A1432" s="14" t="n">
        <f aca="false">Report!C2312</f>
        <v>46295</v>
      </c>
      <c r="B1432" s="0" t="str">
        <f aca="false">Report!E2312</f>
        <v>EDSON AGUIAR DE SOUZA</v>
      </c>
      <c r="C1432" s="15" t="n">
        <f aca="false">Report!U2312</f>
        <v>151.5</v>
      </c>
      <c r="D1432" s="0" t="str">
        <f aca="false">Report!X2312</f>
        <v>COMPRAS - CHEIRO-VERDE - ELLEN</v>
      </c>
    </row>
    <row r="1433" customFormat="false" ht="12.75" hidden="false" customHeight="true" outlineLevel="0" collapsed="false">
      <c r="A1433" s="14" t="n">
        <f aca="false">Report!C2313</f>
        <v>46295</v>
      </c>
      <c r="B1433" s="0" t="str">
        <f aca="false">Report!E2313</f>
        <v>EDSON AGUIAR DE SOUZA</v>
      </c>
      <c r="C1433" s="15" t="n">
        <f aca="false">Report!U2313</f>
        <v>115</v>
      </c>
      <c r="D1433" s="0" t="str">
        <f aca="false">Report!X2313</f>
        <v>COMPRAS - CHEIRO-VERDE - ELLEN</v>
      </c>
    </row>
    <row r="1434" customFormat="false" ht="12.75" hidden="false" customHeight="true" outlineLevel="0" collapsed="false">
      <c r="A1434" s="14" t="n">
        <f aca="false">Report!C2314</f>
        <v>46295</v>
      </c>
      <c r="B1434" s="0" t="str">
        <f aca="false">Report!E2314</f>
        <v>EDSON AGUIAR DE SOUZA</v>
      </c>
      <c r="C1434" s="15" t="n">
        <f aca="false">Report!U2314</f>
        <v>157</v>
      </c>
      <c r="D1434" s="0" t="str">
        <f aca="false">Report!X2314</f>
        <v>COMPRAS - CHEIRO-VERDE - ELLEN</v>
      </c>
    </row>
    <row r="1435" customFormat="false" ht="12.75" hidden="false" customHeight="true" outlineLevel="0" collapsed="false">
      <c r="A1435" s="14" t="n">
        <f aca="false">Report!C2315</f>
        <v>46295</v>
      </c>
      <c r="B1435" s="0" t="str">
        <f aca="false">Report!E2315</f>
        <v>EDSON AGUIAR DE SOUZA</v>
      </c>
      <c r="C1435" s="15" t="n">
        <f aca="false">Report!U2315</f>
        <v>130</v>
      </c>
      <c r="D1435" s="0" t="str">
        <f aca="false">Report!X2315</f>
        <v>COMPRAS - CHEIRO-VERDE - ELLEN</v>
      </c>
    </row>
    <row r="1436" customFormat="false" ht="12.75" hidden="false" customHeight="true" outlineLevel="0" collapsed="false">
      <c r="A1436" s="14" t="n">
        <f aca="false">Report!C2316</f>
        <v>46295</v>
      </c>
      <c r="B1436" s="0" t="str">
        <f aca="false">Report!E2316</f>
        <v>EDSON AGUIAR DE SOUZA</v>
      </c>
      <c r="C1436" s="15" t="n">
        <f aca="false">Report!U2316</f>
        <v>187</v>
      </c>
      <c r="D1436" s="0" t="str">
        <f aca="false">Report!X2316</f>
        <v>COMPRAS - CHEIRO-VERDE - ELLEN</v>
      </c>
    </row>
    <row r="1437" customFormat="false" ht="12.75" hidden="false" customHeight="true" outlineLevel="0" collapsed="false">
      <c r="A1437" s="14" t="n">
        <f aca="false">Report!C2317</f>
        <v>46295</v>
      </c>
      <c r="B1437" s="0" t="str">
        <f aca="false">Report!E2317</f>
        <v>EDSON AGUIAR DE SOUZA</v>
      </c>
      <c r="C1437" s="15" t="n">
        <f aca="false">Report!U2317</f>
        <v>155</v>
      </c>
      <c r="D1437" s="0" t="str">
        <f aca="false">Report!X2317</f>
        <v>COMPRAS - CHEIRO-VERDE - ELLEN</v>
      </c>
    </row>
    <row r="1438" customFormat="false" ht="12.75" hidden="false" customHeight="true" outlineLevel="0" collapsed="false">
      <c r="A1438" s="14" t="n">
        <f aca="false">Report!C2318</f>
        <v>46295</v>
      </c>
      <c r="B1438" s="0" t="str">
        <f aca="false">Report!E2318</f>
        <v>EDSON AGUIAR DE SOUZA</v>
      </c>
      <c r="C1438" s="15" t="n">
        <f aca="false">Report!U2318</f>
        <v>89</v>
      </c>
      <c r="D1438" s="0" t="str">
        <f aca="false">Report!X2318</f>
        <v>COMPRAS - CHEIRO-VERDE - ELLEN</v>
      </c>
    </row>
    <row r="1439" customFormat="false" ht="12.75" hidden="false" customHeight="true" outlineLevel="0" collapsed="false">
      <c r="A1439" s="14" t="n">
        <f aca="false">Report!C2319</f>
        <v>46295</v>
      </c>
      <c r="B1439" s="0" t="str">
        <f aca="false">Report!E2319</f>
        <v>EDSON AGUIAR DE SOUZA</v>
      </c>
      <c r="C1439" s="15" t="n">
        <f aca="false">Report!U2319</f>
        <v>158</v>
      </c>
      <c r="D1439" s="0" t="str">
        <f aca="false">Report!X2319</f>
        <v>COMPRAS - CHEIRO-VERDE - ELLEN</v>
      </c>
    </row>
    <row r="1440" customFormat="false" ht="12.75" hidden="false" customHeight="true" outlineLevel="0" collapsed="false">
      <c r="A1440" s="14" t="n">
        <f aca="false">Report!C2321</f>
        <v>46295</v>
      </c>
      <c r="B1440" s="0" t="str">
        <f aca="false">Report!E2321</f>
        <v>FALCAO INDUSTRIA DE ALIMENTOS LTDA</v>
      </c>
      <c r="C1440" s="15" t="n">
        <f aca="false">Report!U2321</f>
        <v>2748.32</v>
      </c>
      <c r="D1440" s="0" t="str">
        <f aca="false">Report!X2321</f>
        <v>NF 33788 ELLEN</v>
      </c>
    </row>
    <row r="1441" customFormat="false" ht="12.75" hidden="false" customHeight="true" outlineLevel="0" collapsed="false">
      <c r="A1441" s="14" t="n">
        <f aca="false">Report!C2323</f>
        <v>46295</v>
      </c>
      <c r="B1441" s="0" t="str">
        <f aca="false">Report!E2323</f>
        <v>NEYLIANE S DE OLIVEIRA &amp; CIA LTDA</v>
      </c>
      <c r="C1441" s="15" t="n">
        <f aca="false">Report!U2323</f>
        <v>405</v>
      </c>
      <c r="D1441" s="0" t="str">
        <f aca="false">Report!X2323</f>
        <v>COMPRAS - PACOVA/LIMAO-PG P CNPJ:67144863/0001-03-ELLEN</v>
      </c>
    </row>
    <row r="1442" customFormat="false" ht="12.75" hidden="false" customHeight="true" outlineLevel="0" collapsed="false">
      <c r="A1442" s="14" t="n">
        <f aca="false">Report!C2324</f>
        <v>46295</v>
      </c>
      <c r="B1442" s="0" t="str">
        <f aca="false">Report!E2324</f>
        <v>PANIFICADORA E CONFEITARIA REAL MADRI LTDA</v>
      </c>
      <c r="C1442" s="15" t="n">
        <f aca="false">Report!U2324</f>
        <v>124.75</v>
      </c>
      <c r="D1442" s="0" t="str">
        <f aca="false">Report!X2324</f>
        <v>NF 794 ELLEN</v>
      </c>
    </row>
    <row r="1443" customFormat="false" ht="12.75" hidden="false" customHeight="true" outlineLevel="0" collapsed="false">
      <c r="A1443" s="14" t="n">
        <f aca="false">Report!C2325</f>
        <v>46295</v>
      </c>
      <c r="B1443" s="0" t="str">
        <f aca="false">Report!E2325</f>
        <v>PANIFICADORA E CONFEITARIA REAL MADRI LTDA</v>
      </c>
      <c r="C1443" s="15" t="n">
        <f aca="false">Report!U2325</f>
        <v>279.8</v>
      </c>
      <c r="D1443" s="0" t="str">
        <f aca="false">Report!X2325</f>
        <v>NF 823 ELLEN</v>
      </c>
    </row>
    <row r="1444" customFormat="false" ht="12.75" hidden="false" customHeight="true" outlineLevel="0" collapsed="false">
      <c r="A1444" s="14" t="n">
        <f aca="false">Report!C2326</f>
        <v>46295</v>
      </c>
      <c r="B1444" s="0" t="str">
        <f aca="false">Report!E2326</f>
        <v>RENATO DE O AZEVEDO E CIA LTDA - EPP</v>
      </c>
      <c r="C1444" s="15" t="n">
        <f aca="false">Report!U2326</f>
        <v>781.38</v>
      </c>
      <c r="D1444" s="0" t="str">
        <f aca="false">Report!X2326</f>
        <v>NF 5642 ELLEN</v>
      </c>
    </row>
    <row r="1445" customFormat="false" ht="12.75" hidden="false" customHeight="true" outlineLevel="0" collapsed="false">
      <c r="A1445" s="14" t="n">
        <f aca="false">Report!C2327</f>
        <v>46295</v>
      </c>
      <c r="B1445" s="0" t="str">
        <f aca="false">Report!E2327</f>
        <v>SEM FORNECEDOR</v>
      </c>
      <c r="C1445" s="15" t="n">
        <f aca="false">Report!U2327</f>
        <v>76</v>
      </c>
      <c r="D1445" s="0" t="str">
        <f aca="false">Report!X2327</f>
        <v>recibo-compras-4 cxs brigadeiros-jose</v>
      </c>
    </row>
    <row r="1446" customFormat="false" ht="12.75" hidden="false" customHeight="true" outlineLevel="0" collapsed="false">
      <c r="A1446" s="14" t="n">
        <f aca="false">Report!C2333</f>
        <v>46296</v>
      </c>
      <c r="B1446" s="0" t="str">
        <f aca="false">Report!E2333</f>
        <v>A. CORREA JUNIOR</v>
      </c>
      <c r="C1446" s="15" t="n">
        <f aca="false">Report!U2333</f>
        <v>638.75</v>
      </c>
      <c r="D1446" s="0" t="str">
        <f aca="false">Report!X2333</f>
        <v>NF 1898 CT DIA 1 - PARC 2/2 - ELLEN</v>
      </c>
    </row>
    <row r="1447" customFormat="false" ht="12.75" hidden="false" customHeight="true" outlineLevel="0" collapsed="false">
      <c r="A1447" s="14" t="n">
        <f aca="false">Report!C2334</f>
        <v>46296</v>
      </c>
      <c r="B1447" s="0" t="str">
        <f aca="false">Report!E2334</f>
        <v>ADICSO FABIAN GONZALEZ MONTILLA 70302186</v>
      </c>
      <c r="C1447" s="15" t="n">
        <f aca="false">Report!U2334</f>
        <v>180</v>
      </c>
      <c r="D1447" s="0" t="str">
        <f aca="false">Report!X2334</f>
        <v>NF 692 ELLEN</v>
      </c>
    </row>
    <row r="1448" customFormat="false" ht="12.75" hidden="false" customHeight="true" outlineLevel="0" collapsed="false">
      <c r="A1448" s="14" t="n">
        <f aca="false">Report!C2335</f>
        <v>46296</v>
      </c>
      <c r="B1448" s="0" t="str">
        <f aca="false">Report!E2335</f>
        <v>ADRIANA DISTRIBUIDORA DE PRODUTOS ALIMEN</v>
      </c>
      <c r="C1448" s="15" t="n">
        <f aca="false">Report!U2335</f>
        <v>1121.36</v>
      </c>
      <c r="D1448" s="0" t="str">
        <f aca="false">Report!X2335</f>
        <v>NF 895938 ELLEN</v>
      </c>
    </row>
    <row r="1449" customFormat="false" ht="12.75" hidden="false" customHeight="true" outlineLevel="0" collapsed="false">
      <c r="A1449" s="14" t="n">
        <f aca="false">Report!C2336</f>
        <v>46296</v>
      </c>
      <c r="B1449" s="0" t="str">
        <f aca="false">Report!E2336</f>
        <v>ADRIANO FEITOSA OLIVEIRA LTDA</v>
      </c>
      <c r="C1449" s="15" t="n">
        <f aca="false">Report!U2336</f>
        <v>949.6</v>
      </c>
      <c r="D1449" s="0" t="str">
        <f aca="false">Report!X2336</f>
        <v>NF 395 ELLEN</v>
      </c>
    </row>
    <row r="1450" customFormat="false" ht="12.75" hidden="false" customHeight="true" outlineLevel="0" collapsed="false">
      <c r="A1450" s="14" t="n">
        <f aca="false">Report!C2338</f>
        <v>46296</v>
      </c>
      <c r="B1450" s="0" t="str">
        <f aca="false">Report!E2338</f>
        <v>BRAGA TABACARIA EIRELI ME</v>
      </c>
      <c r="C1450" s="15" t="n">
        <f aca="false">Report!U2338</f>
        <v>1347.23</v>
      </c>
      <c r="D1450" s="0" t="str">
        <f aca="false">Report!X2338</f>
        <v>NF 20716 ELLEN</v>
      </c>
    </row>
    <row r="1451" customFormat="false" ht="12.75" hidden="false" customHeight="true" outlineLevel="0" collapsed="false">
      <c r="A1451" s="14" t="n">
        <f aca="false">Report!C2339</f>
        <v>46296</v>
      </c>
      <c r="B1451" s="0" t="str">
        <f aca="false">Report!E2339</f>
        <v>BRAGA TABACARIA EIRELI ME</v>
      </c>
      <c r="C1451" s="15" t="n">
        <f aca="false">Report!U2339</f>
        <v>1232.52</v>
      </c>
      <c r="D1451" s="0" t="str">
        <f aca="false">Report!X2339</f>
        <v>COMPRAS-RECIBO-BRAGA DIST. - ELLEN</v>
      </c>
    </row>
    <row r="1452" customFormat="false" ht="12.75" hidden="false" customHeight="true" outlineLevel="0" collapsed="false">
      <c r="A1452" s="14" t="n">
        <f aca="false">Report!C2341</f>
        <v>46296</v>
      </c>
      <c r="B1452" s="0" t="str">
        <f aca="false">Report!E2341</f>
        <v>E. D. SENA &amp; CIA LTDA</v>
      </c>
      <c r="C1452" s="15" t="n">
        <f aca="false">Report!U2341</f>
        <v>803.5</v>
      </c>
      <c r="D1452" s="0" t="str">
        <f aca="false">Report!X2341</f>
        <v>NF 11105 ELLEN</v>
      </c>
    </row>
    <row r="1453" customFormat="false" ht="12.75" hidden="false" customHeight="true" outlineLevel="0" collapsed="false">
      <c r="A1453" s="14" t="n">
        <f aca="false">Report!C2343</f>
        <v>46296</v>
      </c>
      <c r="B1453" s="0" t="str">
        <f aca="false">Report!E2343</f>
        <v>FALCAO INDUSTRIA DE ALIMENTOS LTDA</v>
      </c>
      <c r="C1453" s="15" t="n">
        <f aca="false">Report!U2343</f>
        <v>638.5</v>
      </c>
      <c r="D1453" s="0" t="str">
        <f aca="false">Report!X2343</f>
        <v>NF 33639 ELLEN</v>
      </c>
    </row>
    <row r="1454" customFormat="false" ht="12.75" hidden="false" customHeight="true" outlineLevel="0" collapsed="false">
      <c r="A1454" s="14" t="n">
        <f aca="false">Report!C2345</f>
        <v>46296</v>
      </c>
      <c r="B1454" s="0" t="str">
        <f aca="false">Report!E2345</f>
        <v>H L M PADARIA E CONFEITARIA LTDA</v>
      </c>
      <c r="C1454" s="15" t="n">
        <f aca="false">Report!U2345</f>
        <v>140</v>
      </c>
      <c r="D1454" s="0" t="str">
        <f aca="false">Report!X2345</f>
        <v>NF 360 COMPRAS-BOLO PG NO P 1/10/26-ELLEN</v>
      </c>
    </row>
    <row r="1455" customFormat="false" ht="12.75" hidden="false" customHeight="true" outlineLevel="0" collapsed="false">
      <c r="A1455" s="14" t="n">
        <f aca="false">Report!C2348</f>
        <v>46296</v>
      </c>
      <c r="B1455" s="0" t="str">
        <f aca="false">Report!E2348</f>
        <v>LIMA E BARANDA COMERCIO DE PRODUTOS REGI</v>
      </c>
      <c r="C1455" s="15" t="n">
        <f aca="false">Report!U2348</f>
        <v>264</v>
      </c>
      <c r="D1455" s="0" t="str">
        <f aca="false">Report!X2348</f>
        <v>NF 32550 ELLEN</v>
      </c>
    </row>
    <row r="1456" customFormat="false" ht="12.75" hidden="false" customHeight="true" outlineLevel="0" collapsed="false">
      <c r="A1456" s="14" t="n">
        <f aca="false">Report!C2349</f>
        <v>46296</v>
      </c>
      <c r="B1456" s="0" t="str">
        <f aca="false">Report!E2349</f>
        <v>LOURIVAL ALMEIDA DA SILVA 17128784845</v>
      </c>
      <c r="C1456" s="15" t="n">
        <f aca="false">Report!U2349</f>
        <v>160.32</v>
      </c>
      <c r="D1456" s="0" t="str">
        <f aca="false">Report!X2349</f>
        <v>NF 545 COMPRAS-MARSHMALLOW - PG NO P 1/10/26-ELLEN</v>
      </c>
    </row>
    <row r="1457" customFormat="false" ht="12.75" hidden="false" customHeight="true" outlineLevel="0" collapsed="false">
      <c r="A1457" s="14" t="n">
        <f aca="false">Report!C2350</f>
        <v>46296</v>
      </c>
      <c r="B1457" s="0" t="str">
        <f aca="false">Report!E2350</f>
        <v>NEYLIANE S DE OLIVEIRA &amp; CIA LTDA</v>
      </c>
      <c r="C1457" s="15" t="n">
        <f aca="false">Report!U2350</f>
        <v>300</v>
      </c>
      <c r="D1457" s="0" t="str">
        <f aca="false">Report!X2350</f>
        <v>COMPRAS - 20L DE AÇAI - PG NO P 1/10/26 - ELLEN</v>
      </c>
    </row>
    <row r="1458" customFormat="false" ht="12.75" hidden="false" customHeight="true" outlineLevel="0" collapsed="false">
      <c r="A1458" s="14" t="n">
        <f aca="false">Report!C2351</f>
        <v>46296</v>
      </c>
      <c r="B1458" s="0" t="str">
        <f aca="false">Report!E2351</f>
        <v>NOVA FRIOS COMERCIO ATACADISTA DE LATICINIOS LTDA</v>
      </c>
      <c r="C1458" s="15" t="n">
        <f aca="false">Report!U2351</f>
        <v>133.05</v>
      </c>
      <c r="D1458" s="0" t="str">
        <f aca="false">Report!X2351</f>
        <v>NF 4761 ELLEN</v>
      </c>
    </row>
    <row r="1459" customFormat="false" ht="12.75" hidden="false" customHeight="true" outlineLevel="0" collapsed="false">
      <c r="A1459" s="14" t="n">
        <f aca="false">Report!C2352</f>
        <v>46296</v>
      </c>
      <c r="B1459" s="0" t="str">
        <f aca="false">Report!E2352</f>
        <v>REAL BEBIDAS DA AMAZONIA LTDA</v>
      </c>
      <c r="C1459" s="15" t="n">
        <f aca="false">Report!U2352</f>
        <v>617</v>
      </c>
      <c r="D1459" s="0" t="str">
        <f aca="false">Report!X2352</f>
        <v>NF 649357 ELLEN</v>
      </c>
    </row>
    <row r="1460" customFormat="false" ht="12.75" hidden="false" customHeight="true" outlineLevel="0" collapsed="false">
      <c r="A1460" s="14" t="n">
        <f aca="false">Report!C2355</f>
        <v>46296</v>
      </c>
      <c r="B1460" s="0" t="str">
        <f aca="false">Report!E2355</f>
        <v>SAO JOSE COMERCIO DE LATICINIOS E FRIOS</v>
      </c>
      <c r="C1460" s="15" t="n">
        <f aca="false">Report!U2355</f>
        <v>454.65</v>
      </c>
      <c r="D1460" s="0" t="str">
        <f aca="false">Report!X2355</f>
        <v>NF 4140 ELLEN</v>
      </c>
    </row>
    <row r="1461" customFormat="false" ht="12.75" hidden="false" customHeight="true" outlineLevel="0" collapsed="false">
      <c r="A1461" s="14" t="n">
        <f aca="false">Report!C2356</f>
        <v>46296</v>
      </c>
      <c r="B1461" s="0" t="str">
        <f aca="false">Report!E2356</f>
        <v>SB COMERCIO LTDA</v>
      </c>
      <c r="C1461" s="15" t="n">
        <f aca="false">Report!U2356</f>
        <v>419.38</v>
      </c>
      <c r="D1461" s="0" t="str">
        <f aca="false">Report!X2356</f>
        <v>NF 1968927 ELLEN</v>
      </c>
    </row>
    <row r="1462" customFormat="false" ht="12.75" hidden="false" customHeight="true" outlineLevel="0" collapsed="false">
      <c r="A1462" s="14" t="n">
        <f aca="false">Report!C2366</f>
        <v>46297</v>
      </c>
      <c r="B1462" s="0" t="str">
        <f aca="false">Report!E2366</f>
        <v>BRASIL NORTE BEBIDAS S/A</v>
      </c>
      <c r="C1462" s="15" t="n">
        <f aca="false">Report!U2366</f>
        <v>915.39</v>
      </c>
      <c r="D1462" s="0" t="str">
        <f aca="false">Report!X2366</f>
        <v>NF 1295018 ELLEN</v>
      </c>
    </row>
    <row r="1463" customFormat="false" ht="12.75" hidden="false" customHeight="true" outlineLevel="0" collapsed="false">
      <c r="A1463" s="14" t="n">
        <f aca="false">Report!C2367</f>
        <v>46297</v>
      </c>
      <c r="B1463" s="0" t="str">
        <f aca="false">Report!E2367</f>
        <v>BRASIL NORTE BEBIDAS S/A</v>
      </c>
      <c r="C1463" s="15" t="n">
        <f aca="false">Report!U2367</f>
        <v>176.67</v>
      </c>
      <c r="D1463" s="0" t="str">
        <f aca="false">Report!X2367</f>
        <v>NF 1294293 ELLEN</v>
      </c>
    </row>
    <row r="1464" customFormat="false" ht="12.75" hidden="false" customHeight="true" outlineLevel="0" collapsed="false">
      <c r="A1464" s="14" t="n">
        <f aca="false">Report!C2368</f>
        <v>46297</v>
      </c>
      <c r="B1464" s="0" t="str">
        <f aca="false">Report!E2368</f>
        <v>BRASIL NORTE BEBIDAS S/A</v>
      </c>
      <c r="C1464" s="15" t="n">
        <f aca="false">Report!U2368</f>
        <v>3065.9</v>
      </c>
      <c r="D1464" s="0" t="str">
        <f aca="false">Report!X2368</f>
        <v>NF 2047847 ELLEN</v>
      </c>
    </row>
    <row r="1465" customFormat="false" ht="12.75" hidden="false" customHeight="true" outlineLevel="0" collapsed="false">
      <c r="A1465" s="14" t="n">
        <f aca="false">Report!C2369</f>
        <v>46297</v>
      </c>
      <c r="B1465" s="0" t="str">
        <f aca="false">Report!E2369</f>
        <v>DISTRIBUIDORA LOPES LTDA</v>
      </c>
      <c r="C1465" s="15" t="n">
        <f aca="false">Report!U2369</f>
        <v>1333.12</v>
      </c>
      <c r="D1465" s="0" t="str">
        <f aca="false">Report!X2369</f>
        <v>NF 1724435 ELLEN</v>
      </c>
    </row>
    <row r="1466" customFormat="false" ht="12.75" hidden="false" customHeight="true" outlineLevel="0" collapsed="false">
      <c r="A1466" s="14" t="n">
        <f aca="false">Report!C2370</f>
        <v>46297</v>
      </c>
      <c r="B1466" s="0" t="str">
        <f aca="false">Report!E2370</f>
        <v>DISTRIBUIDORA LOPES LTDA</v>
      </c>
      <c r="C1466" s="15" t="n">
        <f aca="false">Report!U2370</f>
        <v>318.99</v>
      </c>
      <c r="D1466" s="0" t="str">
        <f aca="false">Report!X2370</f>
        <v>NF 1736722 ELLEN</v>
      </c>
    </row>
    <row r="1467" customFormat="false" ht="12.75" hidden="false" customHeight="true" outlineLevel="0" collapsed="false">
      <c r="A1467" s="14" t="n">
        <f aca="false">Report!C2371</f>
        <v>46297</v>
      </c>
      <c r="B1467" s="0" t="str">
        <f aca="false">Report!E2371</f>
        <v>DISTRIBUIDORA LOPES LTDA</v>
      </c>
      <c r="C1467" s="15" t="n">
        <f aca="false">Report!U2371</f>
        <v>1092.48</v>
      </c>
      <c r="D1467" s="0" t="str">
        <f aca="false">Report!X2371</f>
        <v>NF 1736096 ELLEN</v>
      </c>
    </row>
    <row r="1468" customFormat="false" ht="12.75" hidden="false" customHeight="true" outlineLevel="0" collapsed="false">
      <c r="A1468" s="14" t="n">
        <f aca="false">Report!C2372</f>
        <v>46297</v>
      </c>
      <c r="B1468" s="0" t="str">
        <f aca="false">Report!E2372</f>
        <v>FEIRA</v>
      </c>
      <c r="C1468" s="15" t="n">
        <f aca="false">Report!U2372</f>
        <v>625</v>
      </c>
      <c r="D1468" s="0" t="str">
        <f aca="false">Report!X2372</f>
        <v>FEIRA - PG P C6BANK/RENATO (ALHO/MACA)SOMAR C NF2717- ELLEN</v>
      </c>
    </row>
    <row r="1469" customFormat="false" ht="12.75" hidden="false" customHeight="true" outlineLevel="0" collapsed="false">
      <c r="A1469" s="14" t="n">
        <f aca="false">Report!C2373</f>
        <v>46297</v>
      </c>
      <c r="B1469" s="0" t="str">
        <f aca="false">Report!E2373</f>
        <v>FENNIX BRASIL DISTRIBUIDORA DE PRODUTOS</v>
      </c>
      <c r="C1469" s="15" t="n">
        <f aca="false">Report!U2373</f>
        <v>1109.18</v>
      </c>
      <c r="D1469" s="0" t="str">
        <f aca="false">Report!X2373</f>
        <v>NF 321762 ELLEN</v>
      </c>
    </row>
    <row r="1470" customFormat="false" ht="12.75" hidden="false" customHeight="true" outlineLevel="0" collapsed="false">
      <c r="A1470" s="14" t="n">
        <f aca="false">Report!C2374</f>
        <v>46297</v>
      </c>
      <c r="B1470" s="0" t="str">
        <f aca="false">Report!E2374</f>
        <v>H. L. DO NASCIMENTO</v>
      </c>
      <c r="C1470" s="15" t="n">
        <f aca="false">Report!U2374</f>
        <v>608.65</v>
      </c>
      <c r="D1470" s="0" t="str">
        <f aca="false">Report!X2374</f>
        <v>NF 6165 ELLEN</v>
      </c>
    </row>
    <row r="1471" customFormat="false" ht="12.75" hidden="false" customHeight="true" outlineLevel="0" collapsed="false">
      <c r="A1471" s="14" t="n">
        <f aca="false">Report!C2378</f>
        <v>46297</v>
      </c>
      <c r="B1471" s="0" t="str">
        <f aca="false">Report!E2378</f>
        <v>J G COMERCIO DE PRODUTOS ALIMENTICIOS LTDA</v>
      </c>
      <c r="C1471" s="15" t="n">
        <f aca="false">Report!U2378</f>
        <v>716.1</v>
      </c>
      <c r="D1471" s="0" t="str">
        <f aca="false">Report!X2378</f>
        <v>NF 404714 ELLEN</v>
      </c>
    </row>
    <row r="1472" customFormat="false" ht="12.75" hidden="false" customHeight="true" outlineLevel="0" collapsed="false">
      <c r="A1472" s="14" t="n">
        <f aca="false">Report!C2379</f>
        <v>46297</v>
      </c>
      <c r="B1472" s="0" t="str">
        <f aca="false">Report!E2379</f>
        <v>NEYLIANE S DE OLIVEIRA &amp; CIA LTDA</v>
      </c>
      <c r="C1472" s="15" t="n">
        <f aca="false">Report!U2379</f>
        <v>2520</v>
      </c>
      <c r="D1472" s="0" t="str">
        <f aca="false">Report!X2379</f>
        <v>FEIRA - PG P C6BANK/RENATO - ELLEN</v>
      </c>
    </row>
    <row r="1473" customFormat="false" ht="12.75" hidden="false" customHeight="true" outlineLevel="0" collapsed="false">
      <c r="A1473" s="14" t="n">
        <f aca="false">Report!C2380</f>
        <v>46297</v>
      </c>
      <c r="B1473" s="0" t="str">
        <f aca="false">Report!E2380</f>
        <v>ORIENTE COM. ATACADISTA E REPRES. LTDA</v>
      </c>
      <c r="C1473" s="15" t="n">
        <f aca="false">Report!U2380</f>
        <v>1731.75</v>
      </c>
      <c r="D1473" s="0" t="str">
        <f aca="false">Report!X2380</f>
        <v>NF 4426 ELLEN</v>
      </c>
    </row>
    <row r="1474" customFormat="false" ht="12.75" hidden="false" customHeight="true" outlineLevel="0" collapsed="false">
      <c r="A1474" s="14" t="n">
        <f aca="false">Report!C2388</f>
        <v>46298</v>
      </c>
      <c r="B1474" s="0" t="str">
        <f aca="false">Report!E2388</f>
        <v>COMERCIO DE FRIOS MANAUS LTDA</v>
      </c>
      <c r="C1474" s="15" t="n">
        <f aca="false">Report!U2388</f>
        <v>2528.5</v>
      </c>
      <c r="D1474" s="0" t="str">
        <f aca="false">Report!X2388</f>
        <v>NF 176831 ELLEN</v>
      </c>
    </row>
    <row r="1475" customFormat="false" ht="12.75" hidden="false" customHeight="true" outlineLevel="0" collapsed="false">
      <c r="A1475" s="14" t="n">
        <f aca="false">Report!C2389</f>
        <v>46298</v>
      </c>
      <c r="B1475" s="0" t="str">
        <f aca="false">Report!E2389</f>
        <v>H L M PADARIA E CONFEITARIA LTDA</v>
      </c>
      <c r="C1475" s="15" t="n">
        <f aca="false">Report!U2389</f>
        <v>140</v>
      </c>
      <c r="D1475" s="0" t="str">
        <f aca="false">Report!X2389</f>
        <v>NF 372 COMPRAS-BOLO PG NO P 3/10/26-ELLEN</v>
      </c>
    </row>
    <row r="1476" customFormat="false" ht="12.75" hidden="false" customHeight="true" outlineLevel="0" collapsed="false">
      <c r="A1476" s="14" t="n">
        <f aca="false">Report!C2390</f>
        <v>46298</v>
      </c>
      <c r="B1476" s="0" t="str">
        <f aca="false">Report!E2390</f>
        <v>MARE DISTRIBUIDORA DE BEBIDAS E DE PRODUTOS ALIMENTICIOS LTDA</v>
      </c>
      <c r="C1476" s="15" t="n">
        <f aca="false">Report!U2390</f>
        <v>1598.5</v>
      </c>
      <c r="D1476" s="0" t="str">
        <f aca="false">Report!X2390</f>
        <v>NF 1452168 ELLEN</v>
      </c>
    </row>
    <row r="1477" customFormat="false" ht="12.75" hidden="false" customHeight="true" outlineLevel="0" collapsed="false">
      <c r="A1477" s="14" t="n">
        <f aca="false">Report!C2391</f>
        <v>46298</v>
      </c>
      <c r="B1477" s="0" t="str">
        <f aca="false">Report!E2391</f>
        <v>MAXFRI DISTRIUIDORA LTDA</v>
      </c>
      <c r="C1477" s="15" t="n">
        <f aca="false">Report!U2391</f>
        <v>3753.6</v>
      </c>
      <c r="D1477" s="0" t="str">
        <f aca="false">Report!X2391</f>
        <v>NF 15464 ELLEN</v>
      </c>
    </row>
    <row r="1478" customFormat="false" ht="12.75" hidden="false" customHeight="true" outlineLevel="0" collapsed="false">
      <c r="A1478" s="14" t="n">
        <f aca="false">Report!C2403</f>
        <v>46300</v>
      </c>
      <c r="B1478" s="0" t="str">
        <f aca="false">Report!E2403</f>
        <v>AGM COMERCIO E DISTRIBUIDORA DE MATERIAS DE PERFUMARIA E LIMPEZA LTDA</v>
      </c>
      <c r="C1478" s="15" t="n">
        <f aca="false">Report!U2403</f>
        <v>177</v>
      </c>
      <c r="D1478" s="0" t="str">
        <f aca="false">Report!X2403</f>
        <v>NF 165649 ELLEN</v>
      </c>
    </row>
    <row r="1479" customFormat="false" ht="12.75" hidden="false" customHeight="true" outlineLevel="0" collapsed="false">
      <c r="A1479" s="14" t="n">
        <f aca="false">Report!C2404</f>
        <v>46300</v>
      </c>
      <c r="B1479" s="0" t="str">
        <f aca="false">Report!E2404</f>
        <v>ATACADAO S.A.</v>
      </c>
      <c r="C1479" s="15" t="n">
        <f aca="false">Report!U2404</f>
        <v>476.24</v>
      </c>
      <c r="D1479" s="0" t="str">
        <f aca="false">Report!X2404</f>
        <v>NF 1930761 ELLEN</v>
      </c>
    </row>
    <row r="1480" customFormat="false" ht="12.75" hidden="false" customHeight="true" outlineLevel="0" collapsed="false">
      <c r="A1480" s="14" t="n">
        <f aca="false">Report!C2405</f>
        <v>46300</v>
      </c>
      <c r="B1480" s="0" t="str">
        <f aca="false">Report!E2405</f>
        <v>ATACADAO S.A.</v>
      </c>
      <c r="C1480" s="15" t="n">
        <f aca="false">Report!U2405</f>
        <v>1043.2</v>
      </c>
      <c r="D1480" s="0" t="str">
        <f aca="false">Report!X2405</f>
        <v>NF 1936305 ELLEN</v>
      </c>
    </row>
    <row r="1481" customFormat="false" ht="12.75" hidden="false" customHeight="true" outlineLevel="0" collapsed="false">
      <c r="A1481" s="14" t="n">
        <f aca="false">Report!C2409</f>
        <v>46300</v>
      </c>
      <c r="B1481" s="0" t="str">
        <f aca="false">Report!E2409</f>
        <v>J W N DOS SANTOS</v>
      </c>
      <c r="C1481" s="15" t="n">
        <f aca="false">Report!U2409</f>
        <v>422</v>
      </c>
      <c r="D1481" s="0" t="str">
        <f aca="false">Report!X2409</f>
        <v>NF 458 ELLEN</v>
      </c>
    </row>
    <row r="1482" customFormat="false" ht="12.75" hidden="false" customHeight="true" outlineLevel="0" collapsed="false">
      <c r="A1482" s="14" t="n">
        <f aca="false">Report!C2410</f>
        <v>46300</v>
      </c>
      <c r="B1482" s="0" t="str">
        <f aca="false">Report!E2410</f>
        <v>NEYLIANE S DE OLIVEIRA &amp; CIA LTDA</v>
      </c>
      <c r="C1482" s="15" t="n">
        <f aca="false">Report!U2410</f>
        <v>2275</v>
      </c>
      <c r="D1482" s="0" t="str">
        <f aca="false">Report!X2410</f>
        <v>COMPRAS-FARINHA 3 IRMAOS-ELLEN</v>
      </c>
    </row>
    <row r="1483" customFormat="false" ht="12.75" hidden="false" customHeight="true" outlineLevel="0" collapsed="false">
      <c r="A1483" s="14" t="n">
        <f aca="false">Report!C2411</f>
        <v>46300</v>
      </c>
      <c r="B1483" s="0" t="str">
        <f aca="false">Report!E2411</f>
        <v>NEYLIANE S DE OLIVEIRA &amp; CIA LTDA</v>
      </c>
      <c r="C1483" s="15" t="n">
        <f aca="false">Report!U2411</f>
        <v>300</v>
      </c>
      <c r="D1483" s="0" t="str">
        <f aca="false">Report!X2411</f>
        <v>COMPRAS - 20L DE AÇAI - PG NO P 3/10/26-ELLEN</v>
      </c>
    </row>
    <row r="1484" customFormat="false" ht="12.75" hidden="false" customHeight="true" outlineLevel="0" collapsed="false">
      <c r="A1484" s="14" t="n">
        <f aca="false">Report!C2412</f>
        <v>46300</v>
      </c>
      <c r="B1484" s="0" t="str">
        <f aca="false">Report!E2412</f>
        <v>NEYLIANE S DE OLIVEIRA &amp; CIA LTDA</v>
      </c>
      <c r="C1484" s="15" t="n">
        <f aca="false">Report!U2412</f>
        <v>240</v>
      </c>
      <c r="D1484" s="0" t="str">
        <f aca="false">Report!X2412</f>
        <v>COMPRAS-PACOVA-PG P CNPJ:67144863/0001-03-ELLEN</v>
      </c>
    </row>
    <row r="1485" customFormat="false" ht="12.75" hidden="false" customHeight="true" outlineLevel="0" collapsed="false">
      <c r="A1485" s="14" t="n">
        <f aca="false">Report!C2414</f>
        <v>46300</v>
      </c>
      <c r="B1485" s="0" t="str">
        <f aca="false">Report!E2414</f>
        <v>PRIME PET DISTRIBUIDORA LTDA</v>
      </c>
      <c r="C1485" s="15" t="n">
        <f aca="false">Report!U2414</f>
        <v>786.59</v>
      </c>
      <c r="D1485" s="0" t="str">
        <f aca="false">Report!X2414</f>
        <v>NF 11681 ELLEN</v>
      </c>
    </row>
    <row r="1486" customFormat="false" ht="12.75" hidden="false" customHeight="true" outlineLevel="0" collapsed="false">
      <c r="A1486" s="14" t="n">
        <f aca="false">Report!C2418</f>
        <v>46300</v>
      </c>
      <c r="B1486" s="0" t="str">
        <f aca="false">Report!E2418</f>
        <v>SAO JOSE COMERCIO DE LATICINIOS E FRIOS</v>
      </c>
      <c r="C1486" s="15" t="n">
        <f aca="false">Report!U2418</f>
        <v>364.75</v>
      </c>
      <c r="D1486" s="0" t="str">
        <f aca="false">Report!X2418</f>
        <v>NF 4169 ELLEN</v>
      </c>
    </row>
    <row r="1487" customFormat="false" ht="12.75" hidden="false" customHeight="true" outlineLevel="0" collapsed="false">
      <c r="A1487" s="14" t="n">
        <f aca="false">Report!C2419</f>
        <v>46300</v>
      </c>
      <c r="B1487" s="0" t="str">
        <f aca="false">Report!E2419</f>
        <v>SOUZA CRUZ LTDA.</v>
      </c>
      <c r="C1487" s="15" t="n">
        <f aca="false">Report!U2419</f>
        <v>5412.67</v>
      </c>
      <c r="D1487" s="0" t="str">
        <f aca="false">Report!X2419</f>
        <v>NF 575307 ELLEN</v>
      </c>
    </row>
    <row r="1488" customFormat="false" ht="12.75" hidden="false" customHeight="true" outlineLevel="0" collapsed="false">
      <c r="A1488" s="14" t="n">
        <f aca="false">Report!C2420</f>
        <v>46301</v>
      </c>
      <c r="B1488" s="0" t="str">
        <f aca="false">Report!E2420</f>
        <v>ADICSO FABIAN GONZALEZ MONTILLA 70302186</v>
      </c>
      <c r="C1488" s="15" t="n">
        <f aca="false">Report!U2420</f>
        <v>180</v>
      </c>
      <c r="D1488" s="0" t="str">
        <f aca="false">Report!X2420</f>
        <v>NF 696 ELLEN</v>
      </c>
    </row>
    <row r="1489" customFormat="false" ht="12.75" hidden="false" customHeight="true" outlineLevel="0" collapsed="false">
      <c r="A1489" s="14" t="n">
        <f aca="false">Report!C2421</f>
        <v>46301</v>
      </c>
      <c r="B1489" s="0" t="str">
        <f aca="false">Report!E2421</f>
        <v>BRAGA TABACARIA EIRELI ME</v>
      </c>
      <c r="C1489" s="15" t="n">
        <f aca="false">Report!U2421</f>
        <v>381.6</v>
      </c>
      <c r="D1489" s="0" t="str">
        <f aca="false">Report!X2421</f>
        <v>NF 20936 COMPRAS-ENERG. RED BULL-PG P SR RENATO - ELLEN</v>
      </c>
    </row>
    <row r="1490" customFormat="false" ht="12.75" hidden="false" customHeight="true" outlineLevel="0" collapsed="false">
      <c r="A1490" s="14" t="n">
        <f aca="false">Report!C2422</f>
        <v>46301</v>
      </c>
      <c r="B1490" s="0" t="str">
        <f aca="false">Report!E2422</f>
        <v>BROTHERS  INDUSTRIA DE ALIMENTOS LTDA</v>
      </c>
      <c r="C1490" s="15" t="n">
        <f aca="false">Report!U2422</f>
        <v>290.51</v>
      </c>
      <c r="D1490" s="0" t="str">
        <f aca="false">Report!X2422</f>
        <v>NF 1044095 ELLEN</v>
      </c>
    </row>
    <row r="1491" customFormat="false" ht="12.75" hidden="false" customHeight="true" outlineLevel="0" collapsed="false">
      <c r="A1491" s="14" t="n">
        <f aca="false">Report!C2423</f>
        <v>46301</v>
      </c>
      <c r="B1491" s="0" t="str">
        <f aca="false">Report!E2423</f>
        <v>CRBS S/A</v>
      </c>
      <c r="C1491" s="15" t="n">
        <f aca="false">Report!U2423</f>
        <v>485.8</v>
      </c>
      <c r="D1491" s="0" t="str">
        <f aca="false">Report!X2423</f>
        <v>NF 38346 ELLEN</v>
      </c>
    </row>
    <row r="1492" customFormat="false" ht="12.75" hidden="false" customHeight="true" outlineLevel="0" collapsed="false">
      <c r="A1492" s="14" t="n">
        <f aca="false">Report!C2424</f>
        <v>46301</v>
      </c>
      <c r="B1492" s="0" t="str">
        <f aca="false">Report!E2424</f>
        <v>EMPRESA BRASILEIRA DE DISTRIBUICAO LTDA</v>
      </c>
      <c r="C1492" s="15" t="n">
        <f aca="false">Report!U2424</f>
        <v>235.72</v>
      </c>
      <c r="D1492" s="0" t="str">
        <f aca="false">Report!X2424</f>
        <v>NF 2320993 ELLEN</v>
      </c>
    </row>
    <row r="1493" customFormat="false" ht="12.75" hidden="false" customHeight="true" outlineLevel="0" collapsed="false">
      <c r="A1493" s="14" t="n">
        <f aca="false">Report!C2425</f>
        <v>46301</v>
      </c>
      <c r="B1493" s="0" t="str">
        <f aca="false">Report!E2425</f>
        <v>FEMAR IND E COM DE BEBIDAS LTDA</v>
      </c>
      <c r="C1493" s="15" t="n">
        <f aca="false">Report!U2425</f>
        <v>223.84</v>
      </c>
      <c r="D1493" s="0" t="str">
        <f aca="false">Report!X2425</f>
        <v>NF 60655 ELLEN</v>
      </c>
    </row>
    <row r="1494" customFormat="false" ht="12.75" hidden="false" customHeight="true" outlineLevel="0" collapsed="false">
      <c r="A1494" s="14" t="n">
        <f aca="false">Report!C2426</f>
        <v>46301</v>
      </c>
      <c r="B1494" s="0" t="str">
        <f aca="false">Report!E2426</f>
        <v>FENNIX BRASIL DISTRIBUIDORA DE PRODUTOS</v>
      </c>
      <c r="C1494" s="15" t="n">
        <f aca="false">Report!U2426</f>
        <v>729.31</v>
      </c>
      <c r="D1494" s="0" t="str">
        <f aca="false">Report!X2426</f>
        <v>NF 400026 ELLEN</v>
      </c>
    </row>
    <row r="1495" customFormat="false" ht="12.75" hidden="false" customHeight="true" outlineLevel="0" collapsed="false">
      <c r="A1495" s="14" t="n">
        <f aca="false">Report!C2427</f>
        <v>46301</v>
      </c>
      <c r="B1495" s="0" t="str">
        <f aca="false">Report!E2427</f>
        <v>MAXFRI DISTRIUIDORA LTDA</v>
      </c>
      <c r="C1495" s="15" t="n">
        <f aca="false">Report!U2427</f>
        <v>3661</v>
      </c>
      <c r="D1495" s="0" t="str">
        <f aca="false">Report!X2427</f>
        <v>NF 15487 ELLEN</v>
      </c>
    </row>
    <row r="1496" customFormat="false" ht="12.75" hidden="false" customHeight="true" outlineLevel="0" collapsed="false">
      <c r="A1496" s="14" t="n">
        <f aca="false">Report!C2428</f>
        <v>46301</v>
      </c>
      <c r="B1496" s="0" t="str">
        <f aca="false">Report!E2428</f>
        <v>NATUREZA COMERCIO DE DESCARTAVEIS LTDA</v>
      </c>
      <c r="C1496" s="15" t="n">
        <f aca="false">Report!U2428</f>
        <v>365.38</v>
      </c>
      <c r="D1496" s="0" t="str">
        <f aca="false">Report!X2428</f>
        <v>NF 762379 ELLEN</v>
      </c>
    </row>
    <row r="1497" customFormat="false" ht="12.75" hidden="false" customHeight="true" outlineLevel="0" collapsed="false">
      <c r="A1497" s="14" t="n">
        <f aca="false">Report!C2429</f>
        <v>46301</v>
      </c>
      <c r="B1497" s="0" t="str">
        <f aca="false">Report!E2429</f>
        <v>OPPORTUNITY ALIMENTOS PARA ANIMAIS LTDA</v>
      </c>
      <c r="C1497" s="15" t="n">
        <f aca="false">Report!U2429</f>
        <v>1459.69</v>
      </c>
      <c r="D1497" s="0" t="str">
        <f aca="false">Report!X2429</f>
        <v>NF 35693 ELLEN</v>
      </c>
    </row>
    <row r="1498" customFormat="false" ht="12.75" hidden="false" customHeight="true" outlineLevel="0" collapsed="false">
      <c r="A1498" s="14" t="n">
        <f aca="false">Report!C2430</f>
        <v>46301</v>
      </c>
      <c r="B1498" s="0" t="str">
        <f aca="false">Report!E2430</f>
        <v>PANIFICADORA E CONFEITARIA REAL MADRI LTDA</v>
      </c>
      <c r="C1498" s="15" t="n">
        <f aca="false">Report!U2430</f>
        <v>209.85</v>
      </c>
      <c r="D1498" s="0" t="str">
        <f aca="false">Report!X2430</f>
        <v>NF 830 ELLEN</v>
      </c>
    </row>
    <row r="1499" customFormat="false" ht="12.75" hidden="false" customHeight="true" outlineLevel="0" collapsed="false">
      <c r="A1499" s="14" t="n">
        <f aca="false">Report!C2431</f>
        <v>46301</v>
      </c>
      <c r="B1499" s="0" t="str">
        <f aca="false">Report!E2431</f>
        <v>TAPAJOS COM DE PERFUMARIA COSMETICOS E G</v>
      </c>
      <c r="C1499" s="15" t="n">
        <f aca="false">Report!U2431</f>
        <v>575.27</v>
      </c>
      <c r="D1499" s="0" t="str">
        <f aca="false">Report!X2431</f>
        <v>NF 591052 ELLEN</v>
      </c>
    </row>
    <row r="1500" customFormat="false" ht="12.75" hidden="false" customHeight="true" outlineLevel="0" collapsed="false">
      <c r="A1500" s="14" t="n">
        <f aca="false">Report!C2432</f>
        <v>46302</v>
      </c>
      <c r="B1500" s="0" t="str">
        <f aca="false">Report!E2432</f>
        <v>BRF S A</v>
      </c>
      <c r="C1500" s="15" t="n">
        <f aca="false">Report!U2432</f>
        <v>453.36</v>
      </c>
      <c r="D1500" s="0" t="str">
        <f aca="false">Report!X2432</f>
        <v>NF 1632482 ELLEN</v>
      </c>
    </row>
    <row r="1501" customFormat="false" ht="12.75" hidden="false" customHeight="true" outlineLevel="0" collapsed="false">
      <c r="A1501" s="14" t="n">
        <f aca="false">Report!C2433</f>
        <v>46302</v>
      </c>
      <c r="B1501" s="0" t="str">
        <f aca="false">Report!E2433</f>
        <v>BRF S A</v>
      </c>
      <c r="C1501" s="15" t="n">
        <f aca="false">Report!U2433</f>
        <v>321.29</v>
      </c>
      <c r="D1501" s="0" t="str">
        <f aca="false">Report!X2433</f>
        <v>NF 1634890 ELLEN</v>
      </c>
    </row>
    <row r="1502" customFormat="false" ht="12.75" hidden="false" customHeight="true" outlineLevel="0" collapsed="false">
      <c r="A1502" s="14" t="n">
        <f aca="false">Report!C2434</f>
        <v>46302</v>
      </c>
      <c r="B1502" s="0" t="str">
        <f aca="false">Report!E2434</f>
        <v>CB COMERCIO E DISTRIBUIDORA DE ALIMENTOS</v>
      </c>
      <c r="C1502" s="15" t="n">
        <f aca="false">Report!U2434</f>
        <v>296.4</v>
      </c>
      <c r="D1502" s="0" t="str">
        <f aca="false">Report!X2434</f>
        <v>NF 874491 ELLEN</v>
      </c>
    </row>
    <row r="1503" customFormat="false" ht="12.75" hidden="false" customHeight="true" outlineLevel="0" collapsed="false">
      <c r="A1503" s="14" t="n">
        <f aca="false">Report!C2435</f>
        <v>46302</v>
      </c>
      <c r="B1503" s="0" t="str">
        <f aca="false">Report!E2435</f>
        <v>DA FRUTA DISTRIBUIDORA LTDA</v>
      </c>
      <c r="C1503" s="15" t="n">
        <f aca="false">Report!U2435</f>
        <v>809.66</v>
      </c>
      <c r="D1503" s="0" t="str">
        <f aca="false">Report!X2435</f>
        <v>NF 198764 ELLEN</v>
      </c>
    </row>
    <row r="1504" customFormat="false" ht="12.75" hidden="false" customHeight="true" outlineLevel="0" collapsed="false">
      <c r="A1504" s="14" t="n">
        <f aca="false">Report!C2436</f>
        <v>46302</v>
      </c>
      <c r="B1504" s="0" t="str">
        <f aca="false">Report!E2436</f>
        <v>DISTRIBUIDORA LOPES LTDA</v>
      </c>
      <c r="C1504" s="15" t="n">
        <f aca="false">Report!U2436</f>
        <v>684.67</v>
      </c>
      <c r="D1504" s="0" t="str">
        <f aca="false">Report!X2436</f>
        <v>NF 1726308 ELLEN</v>
      </c>
    </row>
    <row r="1505" customFormat="false" ht="12.75" hidden="false" customHeight="true" outlineLevel="0" collapsed="false">
      <c r="A1505" s="14" t="n">
        <f aca="false">Report!C2437</f>
        <v>46302</v>
      </c>
      <c r="B1505" s="0" t="str">
        <f aca="false">Report!E2437</f>
        <v>FALCAO INDUSTRIA DE ALIMENTOS LTDA</v>
      </c>
      <c r="C1505" s="15" t="n">
        <f aca="false">Report!U2437</f>
        <v>2748.32</v>
      </c>
      <c r="D1505" s="0" t="str">
        <f aca="false">Report!X2437</f>
        <v>NF 33788 ELLEN</v>
      </c>
    </row>
    <row r="1506" customFormat="false" ht="12.75" hidden="false" customHeight="true" outlineLevel="0" collapsed="false">
      <c r="A1506" s="14" t="n">
        <f aca="false">Report!C2438</f>
        <v>46302</v>
      </c>
      <c r="B1506" s="0" t="str">
        <f aca="false">Report!E2438</f>
        <v>LELE FABRICACAO DE MASSAS LTDA</v>
      </c>
      <c r="C1506" s="15" t="n">
        <f aca="false">Report!U2438</f>
        <v>200</v>
      </c>
      <c r="D1506" s="0" t="str">
        <f aca="false">Report!X2438</f>
        <v>NF 402 ELLEN</v>
      </c>
    </row>
    <row r="1507" customFormat="false" ht="12.75" hidden="false" customHeight="true" outlineLevel="0" collapsed="false">
      <c r="A1507" s="14" t="n">
        <f aca="false">Report!C2441</f>
        <v>46303</v>
      </c>
      <c r="B1507" s="0" t="str">
        <f aca="false">Report!E2441</f>
        <v>ADRIANA DISTRIBUIDORA DE PRODUTOS ALIMEN</v>
      </c>
      <c r="C1507" s="15" t="n">
        <f aca="false">Report!U2441</f>
        <v>1121.36</v>
      </c>
      <c r="D1507" s="0" t="str">
        <f aca="false">Report!X2441</f>
        <v>NF 895938 ELLEN</v>
      </c>
    </row>
    <row r="1508" customFormat="false" ht="12.75" hidden="false" customHeight="true" outlineLevel="0" collapsed="false">
      <c r="A1508" s="14" t="n">
        <f aca="false">Report!C2442</f>
        <v>46303</v>
      </c>
      <c r="B1508" s="0" t="str">
        <f aca="false">Report!E2442</f>
        <v>BRAGA TABACARIA EIRELI ME</v>
      </c>
      <c r="C1508" s="15" t="n">
        <f aca="false">Report!U2442</f>
        <v>1347.23</v>
      </c>
      <c r="D1508" s="0" t="str">
        <f aca="false">Report!X2442</f>
        <v>NF 20716 ELLEN</v>
      </c>
    </row>
    <row r="1509" customFormat="false" ht="12.75" hidden="false" customHeight="true" outlineLevel="0" collapsed="false">
      <c r="A1509" s="14" t="n">
        <f aca="false">Report!C2443</f>
        <v>46303</v>
      </c>
      <c r="B1509" s="0" t="str">
        <f aca="false">Report!E2443</f>
        <v>BRASIL NORTE BEBIDAS S/A</v>
      </c>
      <c r="C1509" s="15" t="n">
        <f aca="false">Report!U2443</f>
        <v>538.83</v>
      </c>
      <c r="D1509" s="0" t="str">
        <f aca="false">Report!X2443</f>
        <v>NF 1301295 ELLEN</v>
      </c>
    </row>
    <row r="1510" customFormat="false" ht="12.75" hidden="false" customHeight="true" outlineLevel="0" collapsed="false">
      <c r="A1510" s="14" t="n">
        <f aca="false">Report!C2444</f>
        <v>46303</v>
      </c>
      <c r="B1510" s="0" t="str">
        <f aca="false">Report!E2444</f>
        <v>BRASIL NORTE BEBIDAS S/A</v>
      </c>
      <c r="C1510" s="15" t="n">
        <f aca="false">Report!U2444</f>
        <v>950.6</v>
      </c>
      <c r="D1510" s="0" t="str">
        <f aca="false">Report!X2444</f>
        <v>NF 2056092 ELLEN</v>
      </c>
    </row>
    <row r="1511" customFormat="false" ht="12.75" hidden="false" customHeight="true" outlineLevel="0" collapsed="false">
      <c r="A1511" s="14" t="n">
        <f aca="false">Report!C2445</f>
        <v>46303</v>
      </c>
      <c r="B1511" s="0" t="str">
        <f aca="false">Report!E2445</f>
        <v>E. D. SENA &amp; CIA LTDA</v>
      </c>
      <c r="C1511" s="15" t="n">
        <f aca="false">Report!U2445</f>
        <v>803.5</v>
      </c>
      <c r="D1511" s="0" t="str">
        <f aca="false">Report!X2445</f>
        <v>NF 11105 ELLEN</v>
      </c>
    </row>
    <row r="1512" customFormat="false" ht="12.75" hidden="false" customHeight="true" outlineLevel="0" collapsed="false">
      <c r="A1512" s="14" t="n">
        <f aca="false">Report!C2446</f>
        <v>46303</v>
      </c>
      <c r="B1512" s="0" t="str">
        <f aca="false">Report!E2446</f>
        <v>OCIDENTAL COMERCIO DE FRIOS LTDA</v>
      </c>
      <c r="C1512" s="15" t="n">
        <f aca="false">Report!U2446</f>
        <v>381.01</v>
      </c>
      <c r="D1512" s="0" t="str">
        <f aca="false">Report!X2446</f>
        <v>NF 1274240 ELLEN</v>
      </c>
    </row>
    <row r="1513" customFormat="false" ht="12.75" hidden="false" customHeight="true" outlineLevel="0" collapsed="false">
      <c r="A1513" s="14" t="n">
        <f aca="false">Report!C2447</f>
        <v>46303</v>
      </c>
      <c r="B1513" s="0" t="str">
        <f aca="false">Report!E2447</f>
        <v>SB COMERCIO LTDA</v>
      </c>
      <c r="C1513" s="15" t="n">
        <f aca="false">Report!U2447</f>
        <v>419.5</v>
      </c>
      <c r="D1513" s="0" t="str">
        <f aca="false">Report!X2447</f>
        <v>NF 1968927 ELLEN</v>
      </c>
    </row>
    <row r="1514" customFormat="false" ht="12.75" hidden="false" customHeight="true" outlineLevel="0" collapsed="false">
      <c r="A1514" s="14" t="n">
        <f aca="false">Report!C2448</f>
        <v>46304</v>
      </c>
      <c r="B1514" s="0" t="str">
        <f aca="false">Report!E2448</f>
        <v>ADRIANO FEITOSA OLIVEIRA LTDA</v>
      </c>
      <c r="C1514" s="15" t="n">
        <f aca="false">Report!U2448</f>
        <v>519</v>
      </c>
      <c r="D1514" s="0" t="str">
        <f aca="false">Report!X2448</f>
        <v>NF 400 ELLEN</v>
      </c>
    </row>
    <row r="1515" customFormat="false" ht="12.75" hidden="false" customHeight="true" outlineLevel="0" collapsed="false">
      <c r="A1515" s="14" t="n">
        <f aca="false">Report!C2449</f>
        <v>46304</v>
      </c>
      <c r="B1515" s="0" t="str">
        <f aca="false">Report!E2449</f>
        <v>BROTHERS  INDUSTRIA DE ALIMENTOS LTDA</v>
      </c>
      <c r="C1515" s="15" t="n">
        <f aca="false">Report!U2449</f>
        <v>408.97</v>
      </c>
      <c r="D1515" s="0" t="str">
        <f aca="false">Report!X2449</f>
        <v>NF 1044713 ELLEN</v>
      </c>
    </row>
    <row r="1516" customFormat="false" ht="12.75" hidden="false" customHeight="true" outlineLevel="0" collapsed="false">
      <c r="A1516" s="14" t="n">
        <f aca="false">Report!C2450</f>
        <v>46304</v>
      </c>
      <c r="B1516" s="0" t="str">
        <f aca="false">Report!E2450</f>
        <v>FE COMERCIO DE MATERIAIS DE CONSTRUCAO</v>
      </c>
      <c r="C1516" s="15" t="n">
        <f aca="false">Report!U2450</f>
        <v>793.46</v>
      </c>
      <c r="D1516" s="0" t="str">
        <f aca="false">Report!X2450</f>
        <v>NF 5521 ELLEN</v>
      </c>
    </row>
    <row r="1517" customFormat="false" ht="12.75" hidden="false" customHeight="true" outlineLevel="0" collapsed="false">
      <c r="A1517" s="14" t="n">
        <f aca="false">Report!C2451</f>
        <v>46304</v>
      </c>
      <c r="B1517" s="0" t="str">
        <f aca="false">Report!E2451</f>
        <v>FENNIX BRASIL DISTRIBUIDORA DE PRODUTOS</v>
      </c>
      <c r="C1517" s="15" t="n">
        <f aca="false">Report!U2451</f>
        <v>1109.18</v>
      </c>
      <c r="D1517" s="0" t="str">
        <f aca="false">Report!X2451</f>
        <v>NF 321762 ELLEN</v>
      </c>
    </row>
    <row r="1518" customFormat="false" ht="12.75" hidden="false" customHeight="true" outlineLevel="0" collapsed="false">
      <c r="A1518" s="14" t="n">
        <f aca="false">Report!C2452</f>
        <v>46304</v>
      </c>
      <c r="B1518" s="0" t="str">
        <f aca="false">Report!E2452</f>
        <v>J G COMERCIO DE PRODUTOS ALIMENTICIOS LTDA</v>
      </c>
      <c r="C1518" s="15" t="n">
        <f aca="false">Report!U2452</f>
        <v>716.1</v>
      </c>
      <c r="D1518" s="0" t="str">
        <f aca="false">Report!X2452</f>
        <v>NF 404714 ELLEN</v>
      </c>
    </row>
    <row r="1519" customFormat="false" ht="12.75" hidden="false" customHeight="true" outlineLevel="0" collapsed="false">
      <c r="A1519" s="14" t="n">
        <f aca="false">Report!C2453</f>
        <v>46304</v>
      </c>
      <c r="B1519" s="0" t="str">
        <f aca="false">Report!E2453</f>
        <v>JAB COMERCIO DE PRODUTOS ALIMENTICIOS LT</v>
      </c>
      <c r="C1519" s="15" t="n">
        <f aca="false">Report!U2453</f>
        <v>185</v>
      </c>
      <c r="D1519" s="0" t="str">
        <f aca="false">Report!X2453</f>
        <v>NF 4046 ELLEN</v>
      </c>
    </row>
    <row r="1520" customFormat="false" ht="12.75" hidden="false" customHeight="true" outlineLevel="0" collapsed="false">
      <c r="A1520" s="14" t="n">
        <f aca="false">Report!C2454</f>
        <v>46304</v>
      </c>
      <c r="B1520" s="0" t="str">
        <f aca="false">Report!E2454</f>
        <v>KAROLINY RODRIGUES SOUZA VENANCIO 915783</v>
      </c>
      <c r="C1520" s="15" t="n">
        <f aca="false">Report!U2454</f>
        <v>250</v>
      </c>
      <c r="D1520" s="0" t="str">
        <f aca="false">Report!X2454</f>
        <v>NF 2368 ELLEN</v>
      </c>
    </row>
    <row r="1521" customFormat="false" ht="12.75" hidden="false" customHeight="true" outlineLevel="0" collapsed="false">
      <c r="A1521" s="14" t="n">
        <f aca="false">Report!C2455</f>
        <v>46304</v>
      </c>
      <c r="B1521" s="0" t="str">
        <f aca="false">Report!E2455</f>
        <v>MARQUES &amp; MELO LTDA - FILIAL</v>
      </c>
      <c r="C1521" s="15" t="n">
        <f aca="false">Report!U2455</f>
        <v>270.84</v>
      </c>
      <c r="D1521" s="0" t="str">
        <f aca="false">Report!X2455</f>
        <v>NF 515341 ELLEN</v>
      </c>
    </row>
    <row r="1522" customFormat="false" ht="12.75" hidden="false" customHeight="true" outlineLevel="0" collapsed="false">
      <c r="A1522" s="14" t="n">
        <f aca="false">Report!C2456</f>
        <v>46304</v>
      </c>
      <c r="B1522" s="0" t="str">
        <f aca="false">Report!E2456</f>
        <v>MAXFRI DISTRIUIDORA LTDA</v>
      </c>
      <c r="C1522" s="15" t="n">
        <f aca="false">Report!U2456</f>
        <v>5747</v>
      </c>
      <c r="D1522" s="0" t="str">
        <f aca="false">Report!X2456</f>
        <v>NF 15523 ELLEN</v>
      </c>
    </row>
    <row r="1523" customFormat="false" ht="12.75" hidden="false" customHeight="true" outlineLevel="0" collapsed="false">
      <c r="A1523" s="14" t="n">
        <f aca="false">Report!C2457</f>
        <v>46304</v>
      </c>
      <c r="B1523" s="0" t="str">
        <f aca="false">Report!E2457</f>
        <v>ORIENTE COM. ATACADISTA E REPRES. LTDA</v>
      </c>
      <c r="C1523" s="15" t="n">
        <f aca="false">Report!U2457</f>
        <v>1731.75</v>
      </c>
      <c r="D1523" s="0" t="str">
        <f aca="false">Report!X2457</f>
        <v>NF 4426 ELLEN</v>
      </c>
    </row>
    <row r="1524" customFormat="false" ht="12.75" hidden="false" customHeight="true" outlineLevel="0" collapsed="false">
      <c r="A1524" s="14" t="n">
        <f aca="false">Report!C2458</f>
        <v>46304</v>
      </c>
      <c r="B1524" s="0" t="str">
        <f aca="false">Report!E2458</f>
        <v>PANIFICADORA E CONFEITARIA REAL MADRI LTDA</v>
      </c>
      <c r="C1524" s="15" t="n">
        <f aca="false">Report!U2458</f>
        <v>162.4</v>
      </c>
      <c r="D1524" s="0" t="str">
        <f aca="false">Report!X2458</f>
        <v>NF 838 ELLEN</v>
      </c>
    </row>
    <row r="1525" customFormat="false" ht="12.75" hidden="false" customHeight="true" outlineLevel="0" collapsed="false">
      <c r="A1525" s="14" t="n">
        <f aca="false">Report!C2459</f>
        <v>46304</v>
      </c>
      <c r="B1525" s="0" t="str">
        <f aca="false">Report!E2459</f>
        <v>ROCHA E PAIVA LTDA</v>
      </c>
      <c r="C1525" s="15" t="n">
        <f aca="false">Report!U2459</f>
        <v>588.84</v>
      </c>
      <c r="D1525" s="0" t="str">
        <f aca="false">Report!X2459</f>
        <v>NF 213686 ELLEN</v>
      </c>
    </row>
    <row r="1526" customFormat="false" ht="12.75" hidden="false" customHeight="true" outlineLevel="0" collapsed="false">
      <c r="A1526" s="14" t="n">
        <f aca="false">Report!C2466</f>
        <v>46305</v>
      </c>
      <c r="B1526" s="0" t="str">
        <f aca="false">Report!E2466</f>
        <v>MAXFRI DISTRIUIDORA LTDA</v>
      </c>
      <c r="C1526" s="15" t="n">
        <f aca="false">Report!U2466</f>
        <v>2656</v>
      </c>
      <c r="D1526" s="0" t="str">
        <f aca="false">Report!X2466</f>
        <v>NF 15538 ELLEN</v>
      </c>
    </row>
    <row r="1527" customFormat="false" ht="12.75" hidden="false" customHeight="true" outlineLevel="0" collapsed="false">
      <c r="A1527" s="14" t="n">
        <f aca="false">Report!C2470</f>
        <v>46307</v>
      </c>
      <c r="B1527" s="0" t="str">
        <f aca="false">Report!E2470</f>
        <v>BRASIL NORTE BEBIDAS S/A</v>
      </c>
      <c r="C1527" s="15" t="n">
        <f aca="false">Report!U2470</f>
        <v>40.46</v>
      </c>
      <c r="D1527" s="0" t="str">
        <f aca="false">Report!X2470</f>
        <v>NF 1288792 ELLEN</v>
      </c>
    </row>
    <row r="1528" customFormat="false" ht="12.75" hidden="false" customHeight="true" outlineLevel="0" collapsed="false">
      <c r="A1528" s="14" t="n">
        <f aca="false">Report!C2471</f>
        <v>46307</v>
      </c>
      <c r="B1528" s="0" t="str">
        <f aca="false">Report!E2471</f>
        <v>LIMA E BARANDA COMERCIO DE PRODUTOS REGI</v>
      </c>
      <c r="C1528" s="15" t="n">
        <f aca="false">Report!U2471</f>
        <v>264</v>
      </c>
      <c r="D1528" s="0" t="str">
        <f aca="false">Report!X2471</f>
        <v>NF 32674 ELLEN</v>
      </c>
    </row>
    <row r="1529" customFormat="false" ht="12.75" hidden="false" customHeight="true" outlineLevel="0" collapsed="false">
      <c r="A1529" s="14" t="n">
        <f aca="false">Report!C2472</f>
        <v>46307</v>
      </c>
      <c r="B1529" s="0" t="str">
        <f aca="false">Report!E2472</f>
        <v>SAO JOSE COMERCIO DE LATICINIOS E FRIOS</v>
      </c>
      <c r="C1529" s="15" t="n">
        <f aca="false">Report!U2472</f>
        <v>617.5</v>
      </c>
      <c r="D1529" s="0" t="str">
        <f aca="false">Report!X2472</f>
        <v>NF 4230 ELLEN</v>
      </c>
    </row>
    <row r="1530" customFormat="false" ht="12.75" hidden="false" customHeight="true" outlineLevel="0" collapsed="false">
      <c r="A1530" s="14" t="n">
        <f aca="false">Report!C2473</f>
        <v>46307</v>
      </c>
      <c r="B1530" s="0" t="str">
        <f aca="false">Report!E2473</f>
        <v>T. M. L. DA SILVA LTDA</v>
      </c>
      <c r="C1530" s="15" t="n">
        <f aca="false">Report!U2473</f>
        <v>253.72</v>
      </c>
      <c r="D1530" s="0" t="str">
        <f aca="false">Report!X2473</f>
        <v>NF 15466 ELLEN</v>
      </c>
    </row>
    <row r="1531" customFormat="false" ht="12.75" hidden="false" customHeight="true" outlineLevel="0" collapsed="false">
      <c r="A1531" s="14" t="n">
        <f aca="false">Report!C2474</f>
        <v>46308</v>
      </c>
      <c r="B1531" s="0" t="str">
        <f aca="false">Report!E2474</f>
        <v>ATACADAO S.A.</v>
      </c>
      <c r="C1531" s="15" t="n">
        <f aca="false">Report!U2474</f>
        <v>787.4</v>
      </c>
      <c r="D1531" s="0" t="str">
        <f aca="false">Report!X2474</f>
        <v>NF 1936306 ELLEN</v>
      </c>
    </row>
    <row r="1532" customFormat="false" ht="12.75" hidden="false" customHeight="true" outlineLevel="0" collapsed="false">
      <c r="A1532" s="14" t="n">
        <f aca="false">Report!C2475</f>
        <v>46308</v>
      </c>
      <c r="B1532" s="0" t="str">
        <f aca="false">Report!E2475</f>
        <v>ATACADAO S.A.</v>
      </c>
      <c r="C1532" s="15" t="n">
        <f aca="false">Report!U2475</f>
        <v>896.25</v>
      </c>
      <c r="D1532" s="0" t="str">
        <f aca="false">Report!X2475</f>
        <v>NF 1934563 ELLEN</v>
      </c>
    </row>
    <row r="1533" customFormat="false" ht="12.75" hidden="false" customHeight="true" outlineLevel="0" collapsed="false">
      <c r="A1533" s="14" t="n">
        <f aca="false">Report!C2476</f>
        <v>46308</v>
      </c>
      <c r="B1533" s="0" t="str">
        <f aca="false">Report!E2476</f>
        <v>ATACADAO S.A.</v>
      </c>
      <c r="C1533" s="15" t="n">
        <f aca="false">Report!U2476</f>
        <v>896.25</v>
      </c>
      <c r="D1533" s="0" t="str">
        <f aca="false">Report!X2476</f>
        <v>NF 1934564 ELLEN</v>
      </c>
    </row>
    <row r="1534" customFormat="false" ht="12.75" hidden="false" customHeight="true" outlineLevel="0" collapsed="false">
      <c r="A1534" s="14" t="n">
        <f aca="false">Report!C2477</f>
        <v>46308</v>
      </c>
      <c r="B1534" s="0" t="str">
        <f aca="false">Report!E2477</f>
        <v>DISTRIBUIDORA LOPES LTDA</v>
      </c>
      <c r="C1534" s="15" t="n">
        <f aca="false">Report!U2477</f>
        <v>539.66</v>
      </c>
      <c r="D1534" s="0" t="str">
        <f aca="false">Report!X2477</f>
        <v>NF 1741887 ELLEN</v>
      </c>
    </row>
    <row r="1535" customFormat="false" ht="12.75" hidden="false" customHeight="true" outlineLevel="0" collapsed="false">
      <c r="A1535" s="14" t="n">
        <f aca="false">Report!C2478</f>
        <v>46308</v>
      </c>
      <c r="B1535" s="0" t="str">
        <f aca="false">Report!E2478</f>
        <v>EMPRESA BRASILEIRA DE DISTRIBUICAO LTDA</v>
      </c>
      <c r="C1535" s="15" t="n">
        <f aca="false">Report!U2478</f>
        <v>235.72</v>
      </c>
      <c r="D1535" s="0" t="str">
        <f aca="false">Report!X2478</f>
        <v>NF 2320993 ELLEN</v>
      </c>
    </row>
    <row r="1536" customFormat="false" ht="12.75" hidden="false" customHeight="true" outlineLevel="0" collapsed="false">
      <c r="A1536" s="14" t="n">
        <f aca="false">Report!C2479</f>
        <v>46308</v>
      </c>
      <c r="B1536" s="0" t="str">
        <f aca="false">Report!E2479</f>
        <v>NATUREZA COMERCIO DE DESCARTAVEIS LTDA</v>
      </c>
      <c r="C1536" s="15" t="n">
        <f aca="false">Report!U2479</f>
        <v>365.37</v>
      </c>
      <c r="D1536" s="0" t="str">
        <f aca="false">Report!X2479</f>
        <v>NF 762379 ELLEN</v>
      </c>
    </row>
    <row r="1537" customFormat="false" ht="12.75" hidden="false" customHeight="true" outlineLevel="0" collapsed="false">
      <c r="A1537" s="14" t="n">
        <f aca="false">Report!C2483</f>
        <v>46308</v>
      </c>
      <c r="B1537" s="0" t="str">
        <f aca="false">Report!E2483</f>
        <v>SOUZA CRUZ LTDA.</v>
      </c>
      <c r="C1537" s="15" t="n">
        <f aca="false">Report!U2483</f>
        <v>5272.66</v>
      </c>
      <c r="D1537" s="0" t="str">
        <f aca="false">Report!X2483</f>
        <v>NF 575307 ELLEN</v>
      </c>
    </row>
    <row r="1538" customFormat="false" ht="12.75" hidden="false" customHeight="true" outlineLevel="0" collapsed="false">
      <c r="A1538" s="14" t="n">
        <f aca="false">Report!C2484</f>
        <v>46309</v>
      </c>
      <c r="B1538" s="0" t="str">
        <f aca="false">Report!E2484</f>
        <v>BRASIL NORTE BEBIDAS S/A</v>
      </c>
      <c r="C1538" s="15" t="n">
        <f aca="false">Report!U2484</f>
        <v>132.72</v>
      </c>
      <c r="D1538" s="0" t="str">
        <f aca="false">Report!X2484</f>
        <v>NF 2066814 ELLEN</v>
      </c>
    </row>
    <row r="1539" customFormat="false" ht="12.75" hidden="false" customHeight="true" outlineLevel="0" collapsed="false">
      <c r="A1539" s="14" t="n">
        <f aca="false">Report!C2485</f>
        <v>46309</v>
      </c>
      <c r="B1539" s="0" t="str">
        <f aca="false">Report!E2485</f>
        <v>BRASIL NORTE BEBIDAS S/A</v>
      </c>
      <c r="C1539" s="15" t="n">
        <f aca="false">Report!U2485</f>
        <v>152.55</v>
      </c>
      <c r="D1539" s="0" t="str">
        <f aca="false">Report!X2485</f>
        <v>NF 1309311 ELLEN</v>
      </c>
    </row>
    <row r="1540" customFormat="false" ht="12.75" hidden="false" customHeight="true" outlineLevel="0" collapsed="false">
      <c r="A1540" s="14" t="n">
        <f aca="false">Report!C2486</f>
        <v>46309</v>
      </c>
      <c r="B1540" s="0" t="str">
        <f aca="false">Report!E2486</f>
        <v>BRASIL NORTE BEBIDAS S/A</v>
      </c>
      <c r="C1540" s="15" t="n">
        <f aca="false">Report!U2486</f>
        <v>610.26</v>
      </c>
      <c r="D1540" s="0" t="str">
        <f aca="false">Report!X2486</f>
        <v>NF 1309310 ELLEN</v>
      </c>
    </row>
    <row r="1541" customFormat="false" ht="12.75" hidden="false" customHeight="true" outlineLevel="0" collapsed="false">
      <c r="A1541" s="14" t="n">
        <f aca="false">Report!C2487</f>
        <v>46309</v>
      </c>
      <c r="B1541" s="0" t="str">
        <f aca="false">Report!E2487</f>
        <v>BRASIL NORTE BEBIDAS S/A</v>
      </c>
      <c r="C1541" s="15" t="n">
        <f aca="false">Report!U2487</f>
        <v>2952.06</v>
      </c>
      <c r="D1541" s="0" t="str">
        <f aca="false">Report!X2487</f>
        <v>NF 2067069 ELLEN</v>
      </c>
    </row>
    <row r="1542" customFormat="false" ht="12.75" hidden="false" customHeight="true" outlineLevel="0" collapsed="false">
      <c r="A1542" s="14" t="n">
        <f aca="false">Report!C2488</f>
        <v>46309</v>
      </c>
      <c r="B1542" s="0" t="str">
        <f aca="false">Report!E2488</f>
        <v>BRF S A</v>
      </c>
      <c r="C1542" s="15" t="n">
        <f aca="false">Report!U2488</f>
        <v>321.29</v>
      </c>
      <c r="D1542" s="0" t="str">
        <f aca="false">Report!X2488</f>
        <v>NF 1634890 ELLEN</v>
      </c>
    </row>
    <row r="1543" customFormat="false" ht="12.75" hidden="false" customHeight="true" outlineLevel="0" collapsed="false">
      <c r="A1543" s="14" t="n">
        <f aca="false">Report!C2489</f>
        <v>46309</v>
      </c>
      <c r="B1543" s="0" t="str">
        <f aca="false">Report!E2489</f>
        <v>BRF S A</v>
      </c>
      <c r="C1543" s="15" t="n">
        <f aca="false">Report!U2489</f>
        <v>680.48</v>
      </c>
      <c r="D1543" s="0" t="str">
        <f aca="false">Report!X2489</f>
        <v>NF 1637369 ELLEN</v>
      </c>
    </row>
    <row r="1544" customFormat="false" ht="12.75" hidden="false" customHeight="true" outlineLevel="0" collapsed="false">
      <c r="A1544" s="14" t="n">
        <f aca="false">Report!C2490</f>
        <v>46309</v>
      </c>
      <c r="B1544" s="0" t="str">
        <f aca="false">Report!E2490</f>
        <v>CB COMERCIO E DISTRIBUIDORA DE ALIMENTOS</v>
      </c>
      <c r="C1544" s="15" t="n">
        <f aca="false">Report!U2490</f>
        <v>296.4</v>
      </c>
      <c r="D1544" s="0" t="str">
        <f aca="false">Report!X2490</f>
        <v>NF 874491 ELLEN</v>
      </c>
    </row>
    <row r="1545" customFormat="false" ht="12.75" hidden="false" customHeight="true" outlineLevel="0" collapsed="false">
      <c r="A1545" s="14" t="n">
        <f aca="false">Report!C2491</f>
        <v>46310</v>
      </c>
      <c r="B1545" s="0" t="str">
        <f aca="false">Report!E2491</f>
        <v>ADRIANA DISTRIBUIDORA DE PRODUTOS ALIMEN</v>
      </c>
      <c r="C1545" s="15" t="n">
        <f aca="false">Report!U2491</f>
        <v>1121.36</v>
      </c>
      <c r="D1545" s="0" t="str">
        <f aca="false">Report!X2491</f>
        <v>NF 895938 ELLEN</v>
      </c>
    </row>
    <row r="1546" customFormat="false" ht="12.75" hidden="false" customHeight="true" outlineLevel="0" collapsed="false">
      <c r="A1546" s="14" t="n">
        <f aca="false">Report!C2492</f>
        <v>46310</v>
      </c>
      <c r="B1546" s="0" t="str">
        <f aca="false">Report!E2492</f>
        <v>BRAGA TABACARIA EIRELI ME</v>
      </c>
      <c r="C1546" s="15" t="n">
        <f aca="false">Report!U2492</f>
        <v>1347.22</v>
      </c>
      <c r="D1546" s="0" t="str">
        <f aca="false">Report!X2492</f>
        <v>NF 20716 ELLEN</v>
      </c>
    </row>
    <row r="1547" customFormat="false" ht="12.75" hidden="false" customHeight="true" outlineLevel="0" collapsed="false">
      <c r="A1547" s="14" t="n">
        <f aca="false">Report!C2493</f>
        <v>46310</v>
      </c>
      <c r="B1547" s="0" t="str">
        <f aca="false">Report!E2493</f>
        <v>DISTRIBUIDORA FARIAS LTDA.</v>
      </c>
      <c r="C1547" s="15" t="n">
        <f aca="false">Report!U2493</f>
        <v>359.5</v>
      </c>
      <c r="D1547" s="0" t="str">
        <f aca="false">Report!X2493</f>
        <v>NF 698007 ELLEN</v>
      </c>
    </row>
    <row r="1548" customFormat="false" ht="12.75" hidden="false" customHeight="true" outlineLevel="0" collapsed="false">
      <c r="A1548" s="14" t="n">
        <f aca="false">Report!C2494</f>
        <v>46310</v>
      </c>
      <c r="B1548" s="0" t="str">
        <f aca="false">Report!E2494</f>
        <v>E. D. SENA &amp; CIA LTDA</v>
      </c>
      <c r="C1548" s="15" t="n">
        <f aca="false">Report!U2494</f>
        <v>803.5</v>
      </c>
      <c r="D1548" s="0" t="str">
        <f aca="false">Report!X2494</f>
        <v>NF 11105 ELLEN</v>
      </c>
    </row>
    <row r="1549" customFormat="false" ht="12.75" hidden="false" customHeight="true" outlineLevel="0" collapsed="false">
      <c r="A1549" s="14" t="n">
        <f aca="false">Report!C2497</f>
        <v>46310</v>
      </c>
      <c r="B1549" s="0" t="str">
        <f aca="false">Report!E2497</f>
        <v>PRIME PET DISTRIBUIDORA LTDA</v>
      </c>
      <c r="C1549" s="15" t="n">
        <f aca="false">Report!U2497</f>
        <v>786.59</v>
      </c>
      <c r="D1549" s="0" t="str">
        <f aca="false">Report!X2497</f>
        <v>NF 11681 ELLEN</v>
      </c>
    </row>
    <row r="1550" customFormat="false" ht="12.75" hidden="false" customHeight="true" outlineLevel="0" collapsed="false">
      <c r="A1550" s="14" t="n">
        <f aca="false">Report!C2499</f>
        <v>46311</v>
      </c>
      <c r="B1550" s="0" t="str">
        <f aca="false">Report!E2499</f>
        <v>ADRIANA DISTRIBUIDORA DE PRODUTOS ALIMEN</v>
      </c>
      <c r="C1550" s="15" t="n">
        <f aca="false">Report!U2499</f>
        <v>410.51</v>
      </c>
      <c r="D1550" s="0" t="str">
        <f aca="false">Report!X2499</f>
        <v>NF 899623 ELLEN</v>
      </c>
    </row>
    <row r="1551" customFormat="false" ht="12.75" hidden="false" customHeight="true" outlineLevel="0" collapsed="false">
      <c r="A1551" s="14" t="n">
        <f aca="false">Report!C2500</f>
        <v>46311</v>
      </c>
      <c r="B1551" s="0" t="str">
        <f aca="false">Report!E2500</f>
        <v>BRASIL NORTE BEBIDAS S/A</v>
      </c>
      <c r="C1551" s="15" t="n">
        <f aca="false">Report!U2500</f>
        <v>1066.72</v>
      </c>
      <c r="D1551" s="0" t="str">
        <f aca="false">Report!X2500</f>
        <v>NF 2072597 ELLEN</v>
      </c>
    </row>
    <row r="1552" customFormat="false" ht="12.75" hidden="false" customHeight="true" outlineLevel="0" collapsed="false">
      <c r="A1552" s="14" t="n">
        <f aca="false">Report!C2501</f>
        <v>46311</v>
      </c>
      <c r="B1552" s="0" t="str">
        <f aca="false">Report!E2501</f>
        <v>DISTRIBUIDORA LOPES LTDA</v>
      </c>
      <c r="C1552" s="15" t="n">
        <f aca="false">Report!U2501</f>
        <v>552.1</v>
      </c>
      <c r="D1552" s="0" t="str">
        <f aca="false">Report!X2501</f>
        <v>NF 1741445 ELLEN</v>
      </c>
    </row>
    <row r="1553" customFormat="false" ht="12.75" hidden="false" customHeight="true" outlineLevel="0" collapsed="false">
      <c r="A1553" s="14" t="n">
        <f aca="false">Report!C2502</f>
        <v>46311</v>
      </c>
      <c r="B1553" s="0" t="str">
        <f aca="false">Report!E2502</f>
        <v>J G COMERCIO DE PRODUTOS ALIMENTICIOS LTDA</v>
      </c>
      <c r="C1553" s="15" t="n">
        <f aca="false">Report!U2502</f>
        <v>716.1</v>
      </c>
      <c r="D1553" s="0" t="str">
        <f aca="false">Report!X2502</f>
        <v>NF 404714 ELLEN</v>
      </c>
    </row>
    <row r="1554" customFormat="false" ht="12.75" hidden="false" customHeight="true" outlineLevel="0" collapsed="false">
      <c r="A1554" s="14" t="n">
        <f aca="false">Report!C2503</f>
        <v>46311</v>
      </c>
      <c r="B1554" s="0" t="str">
        <f aca="false">Report!E2503</f>
        <v>MARQUES &amp; MELO LTDA - FILIAL</v>
      </c>
      <c r="C1554" s="15" t="n">
        <f aca="false">Report!U2503</f>
        <v>270.84</v>
      </c>
      <c r="D1554" s="0" t="str">
        <f aca="false">Report!X2503</f>
        <v>NF 515341 ELLEN</v>
      </c>
    </row>
    <row r="1555" customFormat="false" ht="12.75" hidden="false" customHeight="true" outlineLevel="0" collapsed="false">
      <c r="A1555" s="14" t="n">
        <f aca="false">Report!C2504</f>
        <v>46311</v>
      </c>
      <c r="B1555" s="0" t="str">
        <f aca="false">Report!E2504</f>
        <v>OPPORTUNITY ALIMENTOS PARA ANIMAIS LTDA</v>
      </c>
      <c r="C1555" s="15" t="n">
        <f aca="false">Report!U2504</f>
        <v>1459.69</v>
      </c>
      <c r="D1555" s="0" t="str">
        <f aca="false">Report!X2504</f>
        <v>NF 35693 ELLEN</v>
      </c>
    </row>
    <row r="1556" customFormat="false" ht="12.75" hidden="false" customHeight="true" outlineLevel="0" collapsed="false">
      <c r="A1556" s="14" t="n">
        <f aca="false">Report!C2505</f>
        <v>46311</v>
      </c>
      <c r="B1556" s="0" t="str">
        <f aca="false">Report!E2505</f>
        <v>ROCHA E PAIVA LTDA</v>
      </c>
      <c r="C1556" s="15" t="n">
        <f aca="false">Report!U2505</f>
        <v>588.83</v>
      </c>
      <c r="D1556" s="0" t="str">
        <f aca="false">Report!X2505</f>
        <v>NF 213686 ELLEN</v>
      </c>
    </row>
    <row r="1557" customFormat="false" ht="12.75" hidden="false" customHeight="true" outlineLevel="0" collapsed="false">
      <c r="A1557" s="14" t="n">
        <f aca="false">Report!C2507</f>
        <v>46314</v>
      </c>
      <c r="B1557" s="0" t="str">
        <f aca="false">Report!E2507</f>
        <v>ATACADAO S.A.</v>
      </c>
      <c r="C1557" s="15" t="n">
        <f aca="false">Report!U2507</f>
        <v>787.4</v>
      </c>
      <c r="D1557" s="0" t="str">
        <f aca="false">Report!X2507</f>
        <v>NF 1936307 ELLEN</v>
      </c>
    </row>
    <row r="1558" customFormat="false" ht="12.75" hidden="false" customHeight="true" outlineLevel="0" collapsed="false">
      <c r="A1558" s="14" t="n">
        <f aca="false">Report!C2508</f>
        <v>46314</v>
      </c>
      <c r="B1558" s="0" t="str">
        <f aca="false">Report!E2508</f>
        <v>FE COMERCIO DE MATERIAIS DE CONSTRUCAO</v>
      </c>
      <c r="C1558" s="15" t="n">
        <f aca="false">Report!U2508</f>
        <v>793.46</v>
      </c>
      <c r="D1558" s="0" t="str">
        <f aca="false">Report!X2508</f>
        <v>NF 5521 ELLEN</v>
      </c>
    </row>
    <row r="1559" customFormat="false" ht="12.75" hidden="false" customHeight="true" outlineLevel="0" collapsed="false">
      <c r="A1559" s="14" t="n">
        <f aca="false">Report!C2509</f>
        <v>46314</v>
      </c>
      <c r="B1559" s="0" t="str">
        <f aca="false">Report!E2509</f>
        <v>FENNIX BRASIL DISTRIBUIDORA DE PRODUTOS</v>
      </c>
      <c r="C1559" s="15" t="n">
        <f aca="false">Report!U2509</f>
        <v>607.1</v>
      </c>
      <c r="D1559" s="0" t="str">
        <f aca="false">Report!X2509</f>
        <v>NF 324423 ELLEN</v>
      </c>
    </row>
    <row r="1560" customFormat="false" ht="12.75" hidden="false" customHeight="true" outlineLevel="0" collapsed="false">
      <c r="A1560" s="14" t="n">
        <f aca="false">Report!C2510</f>
        <v>46314</v>
      </c>
      <c r="B1560" s="0" t="str">
        <f aca="false">Report!E2510</f>
        <v>L. J. DA SILVA LTDA</v>
      </c>
      <c r="C1560" s="15" t="n">
        <f aca="false">Report!U2510</f>
        <v>581.16</v>
      </c>
      <c r="D1560" s="0" t="str">
        <f aca="false">Report!X2510</f>
        <v>NF 39433 ELLEN</v>
      </c>
    </row>
    <row r="1561" customFormat="false" ht="12.75" hidden="false" customHeight="false" outlineLevel="0" collapsed="false">
      <c r="A1561" s="14" t="n">
        <f aca="false">Report!C2511</f>
        <v>46314</v>
      </c>
      <c r="B1561" s="0" t="str">
        <f aca="false">Report!E2511</f>
        <v>MARE DISTRIBUIDORA DE BEBIDAS E DE PRODUTOS ALIMENTICIOS LTDA</v>
      </c>
      <c r="C1561" s="15" t="n">
        <f aca="false">Report!U2511</f>
        <v>1389.2</v>
      </c>
      <c r="D1561" s="0" t="str">
        <f aca="false">Report!X2511</f>
        <v>NF 1464424 ELLEN</v>
      </c>
    </row>
    <row r="1562" customFormat="false" ht="12.75" hidden="false" customHeight="false" outlineLevel="0" collapsed="false">
      <c r="A1562" s="14" t="n">
        <f aca="false">Report!C2512</f>
        <v>46315</v>
      </c>
      <c r="B1562" s="0" t="str">
        <f aca="false">Report!E2512</f>
        <v>EMPRESA BRASILEIRA DE DISTRIBUICAO LTDA</v>
      </c>
      <c r="C1562" s="15" t="n">
        <f aca="false">Report!U2512</f>
        <v>235.72</v>
      </c>
      <c r="D1562" s="0" t="str">
        <f aca="false">Report!X2512</f>
        <v>NF 2320993 ELLEN</v>
      </c>
    </row>
    <row r="1563" customFormat="false" ht="12.75" hidden="false" customHeight="false" outlineLevel="0" collapsed="false">
      <c r="A1563" s="14" t="n">
        <f aca="false">Report!C2515</f>
        <v>46316</v>
      </c>
      <c r="B1563" s="0" t="str">
        <f aca="false">Report!E2515</f>
        <v>BRF S A</v>
      </c>
      <c r="C1563" s="15" t="n">
        <f aca="false">Report!U2515</f>
        <v>680.47</v>
      </c>
      <c r="D1563" s="0" t="str">
        <f aca="false">Report!X2515</f>
        <v>NF 1637369 ELLEN</v>
      </c>
    </row>
    <row r="1564" customFormat="false" ht="12.75" hidden="false" customHeight="false" outlineLevel="0" collapsed="false">
      <c r="A1564" s="14" t="n">
        <f aca="false">Report!C2516</f>
        <v>46317</v>
      </c>
      <c r="B1564" s="0" t="str">
        <f aca="false">Report!E2516</f>
        <v>E. D. SENA &amp; CIA LTDA</v>
      </c>
      <c r="C1564" s="15" t="n">
        <f aca="false">Report!U2516</f>
        <v>803.5</v>
      </c>
      <c r="D1564" s="0" t="str">
        <f aca="false">Report!X2516</f>
        <v>NF 11105 ELLEN</v>
      </c>
    </row>
    <row r="1565" customFormat="false" ht="12.75" hidden="false" customHeight="false" outlineLevel="0" collapsed="false">
      <c r="A1565" s="14" t="n">
        <f aca="false">Report!C2517</f>
        <v>46318</v>
      </c>
      <c r="B1565" s="0" t="str">
        <f aca="false">Report!E2517</f>
        <v>ADRIANA DISTRIBUIDORA DE PRODUTOS ALIMEN</v>
      </c>
      <c r="C1565" s="15" t="n">
        <f aca="false">Report!U2517</f>
        <v>410.5</v>
      </c>
      <c r="D1565" s="0" t="str">
        <f aca="false">Report!X2517</f>
        <v>NF 899623 ELLEN</v>
      </c>
    </row>
    <row r="1566" customFormat="false" ht="12.75" hidden="false" customHeight="false" outlineLevel="0" collapsed="false">
      <c r="A1566" s="14" t="n">
        <f aca="false">Report!C2519</f>
        <v>46318</v>
      </c>
      <c r="B1566" s="0" t="str">
        <f aca="false">Report!E2519</f>
        <v>ROCHA E PAIVA LTDA</v>
      </c>
      <c r="C1566" s="15" t="n">
        <f aca="false">Report!U2519</f>
        <v>588.83</v>
      </c>
      <c r="D1566" s="0" t="str">
        <f aca="false">Report!X2519</f>
        <v>NF 213686 ELLEN</v>
      </c>
    </row>
    <row r="1567" customFormat="false" ht="12.75" hidden="false" customHeight="false" outlineLevel="0" collapsed="false">
      <c r="A1567" s="14" t="n">
        <f aca="false">Report!C2524</f>
        <v>46320</v>
      </c>
      <c r="B1567" s="0" t="str">
        <f aca="false">Report!E2524</f>
        <v>PRIME PET DISTRIBUIDORA LTDA</v>
      </c>
      <c r="C1567" s="15" t="n">
        <f aca="false">Report!U2524</f>
        <v>786.59</v>
      </c>
      <c r="D1567" s="0" t="str">
        <f aca="false">Report!X2524</f>
        <v>NF 11681 ELLEN</v>
      </c>
    </row>
    <row r="1568" customFormat="false" ht="12.75" hidden="false" customHeight="false" outlineLevel="0" collapsed="false">
      <c r="A1568" s="14" t="n">
        <f aca="false">Report!C2526</f>
        <v>46321</v>
      </c>
      <c r="B1568" s="0" t="str">
        <f aca="false">Report!E2526</f>
        <v>FENNIX BRASIL DISTRIBUIDORA DE PRODUTOS</v>
      </c>
      <c r="C1568" s="15" t="n">
        <f aca="false">Report!U2526</f>
        <v>607.11</v>
      </c>
      <c r="D1568" s="0" t="str">
        <f aca="false">Report!X2526</f>
        <v>NF 324423 ELLEN</v>
      </c>
    </row>
    <row r="1569" customFormat="false" ht="12.75" hidden="false" customHeight="false" outlineLevel="0" collapsed="false">
      <c r="A1569" s="14" t="n">
        <f aca="false">Report!C2528</f>
        <v>46321</v>
      </c>
      <c r="B1569" s="0" t="str">
        <f aca="false">Report!E2528</f>
        <v>L. J. DA SILVA LTDA</v>
      </c>
      <c r="C1569" s="15" t="n">
        <f aca="false">Report!U2528</f>
        <v>581.16</v>
      </c>
      <c r="D1569" s="0" t="str">
        <f aca="false">Report!X2528</f>
        <v>NF 39433 ELLEN</v>
      </c>
    </row>
    <row r="1570" customFormat="false" ht="12.75" hidden="false" customHeight="false" outlineLevel="0" collapsed="false">
      <c r="A1570" s="14" t="n">
        <f aca="false">Report!C2529</f>
        <v>46321</v>
      </c>
      <c r="B1570" s="0" t="str">
        <f aca="false">Report!E2529</f>
        <v>OPPORTUNITY ALIMENTOS PARA ANIMAIS LTDA</v>
      </c>
      <c r="C1570" s="15" t="n">
        <f aca="false">Report!U2529</f>
        <v>1459.69</v>
      </c>
      <c r="D1570" s="0" t="str">
        <f aca="false">Report!X2529</f>
        <v>NF 35693 ELLEN</v>
      </c>
    </row>
    <row r="1571" customFormat="false" ht="12.75" hidden="false" customHeight="false" outlineLevel="0" collapsed="false">
      <c r="A1571" s="14" t="n">
        <f aca="false">Report!C2531</f>
        <v>46324</v>
      </c>
      <c r="B1571" s="0" t="str">
        <f aca="false">Report!E2531</f>
        <v>E. D. SENA &amp; CIA LTDA</v>
      </c>
      <c r="C1571" s="15" t="n">
        <f aca="false">Report!U2531</f>
        <v>803.5</v>
      </c>
      <c r="D1571" s="0" t="str">
        <f aca="false">Report!X2531</f>
        <v>NF 11105 ELLEN</v>
      </c>
    </row>
    <row r="1572" customFormat="false" ht="12.75" hidden="false" customHeight="false" outlineLevel="0" collapsed="false">
      <c r="A1572" s="14" t="n">
        <f aca="false">Report!C2532</f>
        <v>46324</v>
      </c>
      <c r="B1572" s="0" t="str">
        <f aca="false">Report!E2532</f>
        <v>FE COMERCIO DE MATERIAIS DE CONSTRUCAO</v>
      </c>
      <c r="C1572" s="15" t="n">
        <f aca="false">Report!U2532</f>
        <v>793.46</v>
      </c>
      <c r="D1572" s="0" t="str">
        <f aca="false">Report!X2532</f>
        <v>NF 5521 ELLEN</v>
      </c>
    </row>
    <row r="1573" customFormat="false" ht="12.75" hidden="false" customHeight="false" outlineLevel="0" collapsed="false">
      <c r="A1573" s="14" t="n">
        <f aca="false">Report!C2533</f>
        <v>46325</v>
      </c>
      <c r="B1573" s="0" t="str">
        <f aca="false">Report!E2533</f>
        <v>ADRIANA DISTRIBUIDORA DE PRODUTOS ALIMEN</v>
      </c>
      <c r="C1573" s="15" t="n">
        <f aca="false">Report!U2533</f>
        <v>410.5</v>
      </c>
      <c r="D1573" s="0" t="str">
        <f aca="false">Report!X2533</f>
        <v>NF 899623 ELLEN</v>
      </c>
    </row>
    <row r="1574" customFormat="false" ht="12.75" hidden="false" customHeight="false" outlineLevel="0" collapsed="false">
      <c r="A1574" s="14" t="n">
        <f aca="false">Report!C2535</f>
        <v>46327</v>
      </c>
      <c r="B1574" s="0" t="str">
        <f aca="false">Report!E2535</f>
        <v>A. CORREA JUNIOR</v>
      </c>
      <c r="C1574" s="15" t="n">
        <f aca="false">Report!U2535</f>
        <v>1164.5</v>
      </c>
      <c r="D1574" s="0" t="str">
        <f aca="false">Report!X2535</f>
        <v>NF 1975 - CT DIA 1 PAC 1/2 - ELLEN</v>
      </c>
    </row>
    <row r="1575" customFormat="false" ht="12.75" hidden="false" customHeight="false" outlineLevel="0" collapsed="false">
      <c r="A1575" s="14" t="n">
        <f aca="false">Report!C2536</f>
        <v>46327</v>
      </c>
      <c r="B1575" s="0" t="str">
        <f aca="false">Report!E2536</f>
        <v>ATACADAO S.A.</v>
      </c>
      <c r="C1575" s="15" t="n">
        <f aca="false">Report!U2536</f>
        <v>549</v>
      </c>
      <c r="D1575" s="0" t="str">
        <f aca="false">Report!X2536</f>
        <v>CUPOM FISCAL 87334-COMPRAS-CERV. AMSTEL-30 CXS-PARC1/2-ELLEN</v>
      </c>
    </row>
    <row r="1576" customFormat="false" ht="12.75" hidden="false" customHeight="false" outlineLevel="0" collapsed="false">
      <c r="A1576" s="14" t="n">
        <f aca="false">Report!C2541</f>
        <v>46330</v>
      </c>
      <c r="B1576" s="0" t="str">
        <f aca="false">Report!E2541</f>
        <v>PRIME PET DISTRIBUIDORA LTDA</v>
      </c>
      <c r="C1576" s="15" t="n">
        <f aca="false">Report!U2541</f>
        <v>786.59</v>
      </c>
      <c r="D1576" s="0" t="str">
        <f aca="false">Report!X2541</f>
        <v>NF 11681 ELLEN</v>
      </c>
    </row>
    <row r="1577" customFormat="false" ht="12.75" hidden="false" customHeight="false" outlineLevel="0" collapsed="false">
      <c r="A1577" s="14" t="n">
        <f aca="false">Report!C2542</f>
        <v>46331</v>
      </c>
      <c r="B1577" s="0" t="str">
        <f aca="false">Report!E2542</f>
        <v>E. D. SENA &amp; CIA LTDA</v>
      </c>
      <c r="C1577" s="15" t="n">
        <f aca="false">Report!U2542</f>
        <v>803.5</v>
      </c>
      <c r="D1577" s="0" t="str">
        <f aca="false">Report!X2542</f>
        <v>NF 11105 ELLEN</v>
      </c>
    </row>
    <row r="1578" customFormat="false" ht="12.75" hidden="false" customHeight="false" outlineLevel="0" collapsed="false">
      <c r="A1578" s="14" t="n">
        <f aca="false">Report!C2547</f>
        <v>46334</v>
      </c>
      <c r="B1578" s="0" t="str">
        <f aca="false">Report!E2547</f>
        <v>FE COMERCIO DE MATERIAIS DE CONSTRUCAO</v>
      </c>
      <c r="C1578" s="15" t="n">
        <f aca="false">Report!U2547</f>
        <v>792.51</v>
      </c>
      <c r="D1578" s="0" t="str">
        <f aca="false">Report!X2547</f>
        <v>NF 5521 ELLEN</v>
      </c>
    </row>
    <row r="1579" customFormat="false" ht="12.75" hidden="false" customHeight="false" outlineLevel="0" collapsed="false">
      <c r="A1579" s="14" t="n">
        <f aca="false">Report!C2551</f>
        <v>46338</v>
      </c>
      <c r="B1579" s="0" t="str">
        <f aca="false">Report!E2551</f>
        <v>E. D. SENA &amp; CIA LTDA</v>
      </c>
      <c r="C1579" s="15" t="n">
        <f aca="false">Report!U2551</f>
        <v>803.5</v>
      </c>
      <c r="D1579" s="0" t="str">
        <f aca="false">Report!X2551</f>
        <v>NF 11105 ELLEN</v>
      </c>
    </row>
    <row r="1580" customFormat="false" ht="12.75" hidden="false" customHeight="false" outlineLevel="0" collapsed="false">
      <c r="A1580" s="14" t="n">
        <f aca="false">Report!C2552</f>
        <v>46340</v>
      </c>
      <c r="B1580" s="0" t="str">
        <f aca="false">Report!E2552</f>
        <v>PRIME PET DISTRIBUIDORA LTDA</v>
      </c>
      <c r="C1580" s="15" t="n">
        <f aca="false">Report!U2552</f>
        <v>786.55</v>
      </c>
      <c r="D1580" s="0" t="str">
        <f aca="false">Report!X2552</f>
        <v>NF 11681 ELLEN</v>
      </c>
    </row>
    <row r="1581" customFormat="false" ht="12.75" hidden="false" customHeight="false" outlineLevel="0" collapsed="false">
      <c r="A1581" s="14" t="n">
        <f aca="false">Report!C2556</f>
        <v>46345</v>
      </c>
      <c r="B1581" s="0" t="str">
        <f aca="false">Report!E2556</f>
        <v>E. D. SENA &amp; CIA LTDA</v>
      </c>
      <c r="C1581" s="15" t="n">
        <f aca="false">Report!U2556</f>
        <v>803.5</v>
      </c>
      <c r="D1581" s="0" t="str">
        <f aca="false">Report!X2556</f>
        <v>NF 11105 ELLEN</v>
      </c>
    </row>
    <row r="1582" customFormat="false" ht="12.75" hidden="false" customHeight="false" outlineLevel="0" collapsed="false">
      <c r="A1582" s="14" t="n">
        <f aca="false">Report!C2558</f>
        <v>46350</v>
      </c>
      <c r="B1582" s="0" t="str">
        <f aca="false">Report!E2558</f>
        <v>PRIME PET DISTRIBUIDORA LTDA</v>
      </c>
      <c r="C1582" s="15" t="n">
        <f aca="false">Report!U2558</f>
        <v>786.56</v>
      </c>
      <c r="D1582" s="0" t="str">
        <f aca="false">Report!X2558</f>
        <v>NF 11681 ELLEN</v>
      </c>
    </row>
    <row r="1583" customFormat="false" ht="12.75" hidden="false" customHeight="false" outlineLevel="0" collapsed="false">
      <c r="A1583" s="14" t="n">
        <f aca="false">Report!C2562</f>
        <v>46352</v>
      </c>
      <c r="B1583" s="0" t="str">
        <f aca="false">Report!E2562</f>
        <v>E. D. SENA &amp; CIA LTDA</v>
      </c>
      <c r="C1583" s="15" t="n">
        <f aca="false">Report!U2562</f>
        <v>803.5</v>
      </c>
      <c r="D1583" s="0" t="str">
        <f aca="false">Report!X2562</f>
        <v>NF 11105 ELLEN</v>
      </c>
    </row>
    <row r="1584" customFormat="false" ht="12.75" hidden="false" customHeight="false" outlineLevel="0" collapsed="false">
      <c r="A1584" s="14" t="n">
        <f aca="false">Report!C2565</f>
        <v>46357</v>
      </c>
      <c r="B1584" s="0" t="str">
        <f aca="false">Report!E2565</f>
        <v>A. CORREA JUNIOR</v>
      </c>
      <c r="C1584" s="15" t="n">
        <f aca="false">Report!U2565</f>
        <v>1164.5</v>
      </c>
      <c r="D1584" s="0" t="str">
        <f aca="false">Report!X2565</f>
        <v>NF 1975 - CT DIA 1 PAC 2/2 - ELLEN</v>
      </c>
    </row>
    <row r="1585" customFormat="false" ht="12.75" hidden="false" customHeight="false" outlineLevel="0" collapsed="false">
      <c r="A1585" s="14" t="n">
        <f aca="false">Report!C2566</f>
        <v>46357</v>
      </c>
      <c r="B1585" s="0" t="str">
        <f aca="false">Report!E2566</f>
        <v>ATACADAO S.A.</v>
      </c>
      <c r="C1585" s="15" t="n">
        <f aca="false">Report!U2566</f>
        <v>549</v>
      </c>
      <c r="D1585" s="0" t="str">
        <f aca="false">Report!X2566</f>
        <v>CUPOM FISCAL 87334-COMPRAS-CERV. AMSTEL-30 CXS-PARC2/2-ELLEN</v>
      </c>
    </row>
    <row r="1586" customFormat="false" ht="12.75" hidden="false" customHeight="false" outlineLevel="0" collapsed="false">
      <c r="A1586" s="14" t="n">
        <f aca="false">Report!C2570</f>
        <v>46359</v>
      </c>
      <c r="B1586" s="0" t="str">
        <f aca="false">Report!E2570</f>
        <v>E. D. SENA &amp; CIA LTDA</v>
      </c>
      <c r="C1586" s="15" t="n">
        <f aca="false">Report!U2570</f>
        <v>803.5</v>
      </c>
      <c r="D1586" s="0" t="str">
        <f aca="false">Report!X2570</f>
        <v>NF 11105 ELLEN</v>
      </c>
    </row>
    <row r="1587" customFormat="false" ht="12.75" hidden="false" customHeight="false" outlineLevel="0" collapsed="false">
      <c r="A1587" s="14" t="n">
        <f aca="false">Report!C2573</f>
        <v>46366</v>
      </c>
      <c r="B1587" s="0" t="str">
        <f aca="false">Report!E2573</f>
        <v>E. D. SENA &amp; CIA LTDA</v>
      </c>
      <c r="C1587" s="15" t="n">
        <f aca="false">Report!U2573</f>
        <v>806.62</v>
      </c>
      <c r="D1587" s="0" t="str">
        <f aca="false">Report!X2573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2" activeCellId="0" sqref="K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9" width="8.77"/>
    <col collapsed="false" customWidth="true" hidden="false" outlineLevel="0" max="4" min="2" style="15" width="13.11"/>
  </cols>
  <sheetData>
    <row r="1" customFormat="false" ht="12.75" hidden="false" customHeight="true" outlineLevel="0" collapsed="false">
      <c r="A1" s="20" t="s">
        <v>2079</v>
      </c>
      <c r="B1" s="18" t="s">
        <v>2080</v>
      </c>
      <c r="C1" s="18" t="s">
        <v>2081</v>
      </c>
      <c r="D1" s="18" t="s">
        <v>2082</v>
      </c>
    </row>
    <row r="2" customFormat="false" ht="12.75" hidden="false" customHeight="true" outlineLevel="0" collapsed="false">
      <c r="A2" s="19" t="s">
        <v>2083</v>
      </c>
      <c r="B2" s="15" t="n">
        <f aca="false">SUMIFS(Report!$U:$U,Report!$T:$T,"&lt;&gt;"&amp;"MERCADORIAS P/REVENDA",Report!$AA:$AA,"SIM",Report!$C:$C,"&gt;="&amp;DATE(2026,1,1),Report!$C:$C,"&lt;="&amp;DATE(2026,1,31))</f>
        <v>0</v>
      </c>
      <c r="C2" s="15" t="n">
        <f aca="false">SUMIFS(Report!$U:$U,Report!$T:$T,"MERCADORIAS P/REVENDA",Report!$AA:$AA,"SIM",Report!$C:$C,"&gt;="&amp;DATE(2026,1,1),Report!$C:$C,"&lt;="&amp;DATE(2026,1,31))</f>
        <v>0</v>
      </c>
      <c r="D2" s="15" t="n">
        <f aca="false">B2+C2</f>
        <v>0</v>
      </c>
    </row>
    <row r="3" customFormat="false" ht="12.75" hidden="false" customHeight="true" outlineLevel="0" collapsed="false">
      <c r="A3" s="19" t="s">
        <v>2084</v>
      </c>
      <c r="B3" s="15" t="n">
        <f aca="false">SUMIFS(Report!$U:$U,Report!$T:$T,"&lt;&gt;"&amp;"MERCADORIAS P/REVENDA",Report!$AA:$AA,"SIM",Report!$C:$C,"&gt;="&amp;DATE(2026,2,1),Report!$C:$C,"&lt;="&amp;DATE(2026,2,28))</f>
        <v>0</v>
      </c>
      <c r="C3" s="15" t="n">
        <f aca="false">SUMIFS(Report!$U:$U,Report!$T:$T,"MERCADORIAS P/REVENDA",Report!$AA:$AA,"SIM",Report!$C:$C,"&gt;="&amp;DATE(2026,2,1),Report!$C:$C,"&lt;="&amp;DATE(2026,2,28))</f>
        <v>0</v>
      </c>
      <c r="D3" s="15" t="n">
        <f aca="false">B3+C3</f>
        <v>0</v>
      </c>
    </row>
    <row r="4" customFormat="false" ht="12.75" hidden="false" customHeight="true" outlineLevel="0" collapsed="false">
      <c r="A4" s="19" t="s">
        <v>2085</v>
      </c>
      <c r="B4" s="15" t="n">
        <f aca="false">SUMIFS(Report!$U:$U,Report!$T:$T,"&lt;&gt;"&amp;"MERCADORIAS P/REVENDA",Report!$AA:$AA,"SIM",Report!$C:$C,"&gt;="&amp;DATE(2026,3,1),Report!$C:$C,"&lt;="&amp;DATE(2026,3,31))</f>
        <v>0</v>
      </c>
      <c r="C4" s="15" t="n">
        <f aca="false">SUMIFS(Report!$U:$U,Report!$T:$T,"MERCADORIAS P/REVENDA",Report!$AA:$AA,"SIM",Report!$C:$C,"&gt;="&amp;DATE(2026,3,1),Report!$C:$C,"&lt;="&amp;DATE(2026,3,31))</f>
        <v>0</v>
      </c>
      <c r="D4" s="15" t="n">
        <f aca="false">B4+C4</f>
        <v>0</v>
      </c>
    </row>
    <row r="5" customFormat="false" ht="12.75" hidden="false" customHeight="true" outlineLevel="0" collapsed="false">
      <c r="A5" s="19" t="s">
        <v>2086</v>
      </c>
      <c r="B5" s="15" t="n">
        <f aca="false">SUMIFS(Report!$U:$U,Report!$T:$T,"&lt;&gt;"&amp;"MERCADORIAS P/REVENDA",Report!$AA:$AA,"SIM",Report!$C:$C,"&gt;="&amp;DATE(2026,4,1),Report!$C:$C,"&lt;="&amp;DATE(2026,4,30))</f>
        <v>0</v>
      </c>
      <c r="C5" s="15" t="n">
        <f aca="false">SUMIFS(Report!$U:$U,Report!$T:$T,"MERCADORIAS P/REVENDA",Report!$AA:$AA,"SIM",Report!$C:$C,"&gt;="&amp;DATE(2026,4,1),Report!$C:$C,"&lt;="&amp;DATE(2026,4,30))</f>
        <v>0</v>
      </c>
      <c r="D5" s="15" t="n">
        <f aca="false">B5+C5</f>
        <v>0</v>
      </c>
    </row>
    <row r="6" customFormat="false" ht="12.75" hidden="false" customHeight="true" outlineLevel="0" collapsed="false">
      <c r="A6" s="19" t="s">
        <v>2087</v>
      </c>
      <c r="B6" s="15" t="n">
        <f aca="false">SUMIFS(Report!$U:$U,Report!$T:$T,"&lt;&gt;"&amp;"MERCADORIAS P/REVENDA",Report!$AA:$AA,"SIM",Report!$C:$C,"&gt;="&amp;DATE(2026,5,1),Report!$C:$C,"&lt;="&amp;DATE(2026,5,31))</f>
        <v>0</v>
      </c>
      <c r="C6" s="15" t="n">
        <f aca="false">SUMIFS(Report!$U:$U,Report!$T:$T,"MERCADORIAS P/REVENDA",Report!$AA:$AA,"SIM",Report!$C:$C,"&gt;="&amp;DATE(2026,5,1),Report!$C:$C,"&lt;="&amp;DATE(2026,5,31))</f>
        <v>0</v>
      </c>
      <c r="D6" s="15" t="n">
        <f aca="false">B6+C6</f>
        <v>0</v>
      </c>
    </row>
    <row r="7" customFormat="false" ht="12.75" hidden="false" customHeight="true" outlineLevel="0" collapsed="false">
      <c r="A7" s="19" t="s">
        <v>2088</v>
      </c>
      <c r="B7" s="15" t="n">
        <f aca="false">SUMIFS(Report!$U:$U,Report!$T:$T,"&lt;&gt;"&amp;"MERCADORIAS P/REVENDA",Report!$AA:$AA,"SIM",Report!$C:$C,"&gt;="&amp;DATE(2026,6,1),Report!$C:$C,"&lt;="&amp;DATE(2026,6,30))</f>
        <v>185751.86</v>
      </c>
      <c r="C7" s="15" t="n">
        <f aca="false">SUMIFS(Report!$U:$U,Report!$T:$T,"MERCADORIAS P/REVENDA",Report!$AA:$AA,"SIM",Report!$C:$C,"&gt;="&amp;DATE(2026,6,1),Report!$C:$C,"&lt;="&amp;DATE(2026,6,30))</f>
        <v>278857.68</v>
      </c>
      <c r="D7" s="15" t="n">
        <f aca="false">B7+C7</f>
        <v>464609.54</v>
      </c>
    </row>
    <row r="8" customFormat="false" ht="12.75" hidden="false" customHeight="true" outlineLevel="0" collapsed="false">
      <c r="A8" s="19" t="s">
        <v>2089</v>
      </c>
      <c r="B8" s="15" t="n">
        <f aca="false">SUMIFS(Report!$U:$U,Report!$T:$T,"&lt;&gt;"&amp;"MERCADORIAS P/REVENDA",Report!$AA:$AA,"SIM",Report!$C:$C,"&gt;="&amp;DATE(2026,7,1),Report!$C:$C,"&lt;="&amp;DATE(2026,7,31))</f>
        <v>167820.57</v>
      </c>
      <c r="C8" s="15" t="n">
        <f aca="false">SUMIFS(Report!$U:$U,Report!$T:$T,"MERCADORIAS P/REVENDA",Report!$AA:$AA,"SIM",Report!$C:$C,"&gt;="&amp;DATE(2026,7,1),Report!$C:$C,"&lt;="&amp;DATE(2026,7,31))</f>
        <v>301549.13</v>
      </c>
      <c r="D8" s="15" t="n">
        <f aca="false">B8+C8</f>
        <v>469369.7</v>
      </c>
    </row>
    <row r="9" customFormat="false" ht="12.75" hidden="false" customHeight="true" outlineLevel="0" collapsed="false">
      <c r="A9" s="19" t="s">
        <v>2090</v>
      </c>
      <c r="B9" s="15" t="n">
        <f aca="false">SUMIFS(Report!$U:$U,Report!$T:$T,"&lt;&gt;"&amp;"MERCADORIAS P/REVENDA",Report!$AA:$AA,"SIM",Report!$C:$C,"&gt;="&amp;DATE(2026,8,1),Report!$C:$C,"&lt;="&amp;DATE(2026,8,31))</f>
        <v>163494.1</v>
      </c>
      <c r="C9" s="15" t="n">
        <f aca="false">SUMIFS(Report!$U:$U,Report!$T:$T,"MERCADORIAS P/REVENDA",Report!$AA:$AA,"SIM",Report!$C:$C,"&gt;="&amp;DATE(2026,8,1),Report!$C:$C,"&lt;="&amp;DATE(2026,8,31))</f>
        <v>283912.43</v>
      </c>
      <c r="D9" s="15" t="n">
        <f aca="false">B9+C9</f>
        <v>447406.53</v>
      </c>
    </row>
    <row r="10" customFormat="false" ht="12.75" hidden="false" customHeight="true" outlineLevel="0" collapsed="false">
      <c r="A10" s="19" t="s">
        <v>2091</v>
      </c>
      <c r="B10" s="15" t="n">
        <f aca="false">SUMIFS(Report!$U:$U,Report!$T:$T,"&lt;&gt;"&amp;"MERCADORIAS P/REVENDA",Report!$AA:$AA,"SIM",Report!$C:$C,"&gt;="&amp;DATE(2026,9,1),Report!$C:$C,"&lt;="&amp;DATE(2026,9,30))</f>
        <v>122607.81</v>
      </c>
      <c r="C10" s="15" t="n">
        <f aca="false">SUMIFS(Report!$U:$U,Report!$T:$T,"MERCADORIAS P/REVENDA",Report!$AA:$AA,"SIM",Report!$C:$C,"&gt;="&amp;DATE(2026,9,1),Report!$C:$C,"&lt;="&amp;DATE(2026,9,30))</f>
        <v>299933.52</v>
      </c>
      <c r="D10" s="15" t="n">
        <f aca="false">B10+C10</f>
        <v>422541.33</v>
      </c>
    </row>
    <row r="11" customFormat="false" ht="12.75" hidden="false" customHeight="true" outlineLevel="0" collapsed="false">
      <c r="A11" s="19" t="s">
        <v>2092</v>
      </c>
      <c r="B11" s="15" t="n">
        <f aca="false">SUMIFS(Report!$U:$U,Report!$T:$T,"&lt;&gt;"&amp;"MERCADORIAS P/REVENDA",Report!$AA:$AA,"SIM",Report!$C:$C,"&gt;="&amp;DATE(2026,10,1),Report!$C:$C,"&lt;="&amp;DATE(2026,10,31))</f>
        <v>45884.55</v>
      </c>
      <c r="C11" s="15" t="n">
        <f aca="false">SUMIFS(Report!$U:$U,Report!$T:$T,"MERCADORIAS P/REVENDA",Report!$AA:$AA,"SIM",Report!$C:$C,"&gt;="&amp;DATE(2026,10,1),Report!$C:$C,"&lt;="&amp;DATE(2026,10,31))</f>
        <v>115260.44</v>
      </c>
      <c r="D11" s="15" t="n">
        <f aca="false">B11+C11</f>
        <v>161144.99</v>
      </c>
    </row>
    <row r="12" customFormat="false" ht="12.75" hidden="false" customHeight="true" outlineLevel="0" collapsed="false">
      <c r="A12" s="19" t="s">
        <v>2093</v>
      </c>
      <c r="B12" s="15" t="n">
        <f aca="false">SUMIFS(Report!$U:$U,Report!$T:$T,"&lt;&gt;"&amp;"MERCADORIAS P/REVENDA",Report!$AA:$AA,"SIM",Report!$C:$C,"&gt;="&amp;DATE(2026,11,1),Report!$C:$C,"&lt;="&amp;DATE(2026,11,30))</f>
        <v>16627.46</v>
      </c>
      <c r="C12" s="15" t="n">
        <f aca="false">SUMIFS(Report!$U:$U,Report!$T:$T,"MERCADORIAS P/REVENDA",Report!$AA:$AA,"SIM",Report!$C:$C,"&gt;="&amp;DATE(2026,11,1),Report!$C:$C,"&lt;="&amp;DATE(2026,11,30))</f>
        <v>8079.71</v>
      </c>
      <c r="D12" s="15" t="n">
        <f aca="false">B12+C12</f>
        <v>24707.17</v>
      </c>
    </row>
    <row r="13" customFormat="false" ht="12.75" hidden="false" customHeight="true" outlineLevel="0" collapsed="false">
      <c r="A13" s="19" t="s">
        <v>2094</v>
      </c>
      <c r="B13" s="15" t="n">
        <f aca="false">SUMIFS(Report!$U:$U,Report!$T:$T,"&lt;&gt;"&amp;"MERCADORIAS P/REVENDA",Report!$AA:$AA,"SIM",Report!$C:$C,"&gt;="&amp;DATE(2026,12,1),Report!$C:$C,"&lt;="&amp;DATE(2026,12,31))</f>
        <v>15798.12</v>
      </c>
      <c r="C13" s="15" t="n">
        <f aca="false">SUMIFS(Report!$U:$U,Report!$T:$T,"MERCADORIAS P/REVENDA",Report!$AA:$AA,"SIM",Report!$C:$C,"&gt;="&amp;DATE(2026,12,1),Report!$C:$C,"&lt;="&amp;DATE(2026,12,31))</f>
        <v>3323.62</v>
      </c>
      <c r="D13" s="15" t="n">
        <f aca="false">B13+C13</f>
        <v>19121.74</v>
      </c>
    </row>
    <row r="14" customFormat="false" ht="12.75" hidden="false" customHeight="true" outlineLevel="0" collapsed="false">
      <c r="A14" s="19" t="s">
        <v>2095</v>
      </c>
      <c r="B14" s="15" t="n">
        <f aca="false">SUMIFS(Report!$U:$U,Report!$T:$T,"&lt;&gt;"&amp;"MERCADORIAS P/REVENDA",Report!$AA:$AA,"SIM",Report!$C:$C,"&gt;="&amp;DATE(2027,1,1),Report!$C:$C,"&lt;="&amp;DATE(2027,1,31))</f>
        <v>0</v>
      </c>
      <c r="C14" s="15" t="n">
        <f aca="false">SUMIFS(Report!$U:$U,Report!$T:$T,"MERCADORIAS P/REVENDA",Report!$AA:$AA,"SIM",Report!$C:$C,"&gt;="&amp;DATE(2027,1,1),Report!$C:$C,"&lt;="&amp;DATE(2027,1,31))</f>
        <v>0</v>
      </c>
      <c r="D14" s="15" t="n">
        <f aca="false">B14+C14</f>
        <v>0</v>
      </c>
    </row>
    <row r="15" customFormat="false" ht="12.75" hidden="false" customHeight="true" outlineLevel="0" collapsed="false">
      <c r="A15" s="19" t="s">
        <v>2096</v>
      </c>
      <c r="B15" s="15" t="n">
        <f aca="false">SUMIFS(Report!$U:$U,Report!$T:$T,"&lt;&gt;"&amp;"MERCADORIAS P/REVENDA",Report!$AA:$AA,"SIM",Report!$C:$C,"&gt;="&amp;DATE(2027,2,1),Report!$C:$C,"&lt;="&amp;DATE(2027,2,28))</f>
        <v>0</v>
      </c>
      <c r="C15" s="15" t="n">
        <f aca="false">SUMIFS(Report!$U:$U,Report!$T:$T,"MERCADORIAS P/REVENDA",Report!$AA:$AA,"SIM",Report!$C:$C,"&gt;="&amp;DATE(2027,2,1),Report!$C:$C,"&lt;="&amp;DATE(2027,2,28))</f>
        <v>0</v>
      </c>
      <c r="D15" s="15" t="n">
        <f aca="false">B15+C15</f>
        <v>0</v>
      </c>
    </row>
    <row r="16" customFormat="false" ht="12.75" hidden="false" customHeight="true" outlineLevel="0" collapsed="false">
      <c r="A16" s="19" t="s">
        <v>2097</v>
      </c>
      <c r="B16" s="15" t="n">
        <f aca="false">SUMIFS(Report!$U:$U,Report!$T:$T,"&lt;&gt;"&amp;"MERCADORIAS P/REVENDA",Report!$AA:$AA,"SIM",Report!$C:$C,"&gt;="&amp;DATE(2027,3,1),Report!$C:$C,"&lt;="&amp;DATE(2027,3,31))</f>
        <v>0</v>
      </c>
      <c r="C16" s="15" t="n">
        <f aca="false">SUMIFS(Report!$U:$U,Report!$T:$T,"MERCADORIAS P/REVENDA",Report!$AA:$AA,"SIM",Report!$C:$C,"&gt;="&amp;DATE(2027,3,1),Report!$C:$C,"&lt;="&amp;DATE(2027,3,31))</f>
        <v>0</v>
      </c>
      <c r="D16" s="15" t="n">
        <f aca="false">B16+C16</f>
        <v>0</v>
      </c>
    </row>
    <row r="17" customFormat="false" ht="12.75" hidden="false" customHeight="true" outlineLevel="0" collapsed="false">
      <c r="A17" s="19" t="s">
        <v>2098</v>
      </c>
      <c r="B17" s="15" t="n">
        <f aca="false">SUMIFS(Report!$U:$U,Report!$T:$T,"&lt;&gt;"&amp;"MERCADORIAS P/REVENDA",Report!$AA:$AA,"SIM",Report!$C:$C,"&gt;="&amp;DATE(2027,4,1),Report!$C:$C,"&lt;="&amp;DATE(2027,4,30))</f>
        <v>0</v>
      </c>
      <c r="C17" s="15" t="n">
        <f aca="false">SUMIFS(Report!$U:$U,Report!$T:$T,"MERCADORIAS P/REVENDA",Report!$AA:$AA,"SIM",Report!$C:$C,"&gt;="&amp;DATE(2027,4,1),Report!$C:$C,"&lt;="&amp;DATE(2027,4,30))</f>
        <v>0</v>
      </c>
      <c r="D17" s="15" t="n">
        <f aca="false">B17+C17</f>
        <v>0</v>
      </c>
    </row>
    <row r="18" customFormat="false" ht="12.75" hidden="false" customHeight="true" outlineLevel="0" collapsed="false">
      <c r="A18" s="19" t="s">
        <v>2099</v>
      </c>
      <c r="B18" s="15" t="n">
        <f aca="false">SUMIFS(Report!$U:$U,Report!$T:$T,"&lt;&gt;"&amp;"MERCADORIAS P/REVENDA",Report!$AA:$AA,"SIM",Report!$C:$C,"&gt;="&amp;DATE(2027,5,1),Report!$C:$C,"&lt;="&amp;DATE(2027,5,31))</f>
        <v>0</v>
      </c>
      <c r="C18" s="15" t="n">
        <f aca="false">SUMIFS(Report!$U:$U,Report!$T:$T,"MERCADORIAS P/REVENDA",Report!$AA:$AA,"SIM",Report!$C:$C,"&gt;="&amp;DATE(2027,5,1),Report!$C:$C,"&lt;="&amp;DATE(2027,5,31))</f>
        <v>0</v>
      </c>
      <c r="D18" s="15" t="n">
        <f aca="false">B18+C18</f>
        <v>0</v>
      </c>
    </row>
    <row r="19" customFormat="false" ht="12.75" hidden="false" customHeight="true" outlineLevel="0" collapsed="false">
      <c r="A19" s="19" t="s">
        <v>2100</v>
      </c>
      <c r="B19" s="15" t="n">
        <f aca="false">SUMIFS(Report!$U:$U,Report!$T:$T,"&lt;&gt;"&amp;"MERCADORIAS P/REVENDA",Report!$AA:$AA,"SIM",Report!$C:$C,"&gt;="&amp;DATE(2027,6,1),Report!$C:$C,"&lt;="&amp;DATE(2027,6,30))</f>
        <v>0</v>
      </c>
      <c r="C19" s="15" t="n">
        <f aca="false">SUMIFS(Report!$U:$U,Report!$T:$T,"MERCADORIAS P/REVENDA",Report!$AA:$AA,"SIM",Report!$C:$C,"&gt;="&amp;DATE(2027,6,1),Report!$C:$C,"&lt;="&amp;DATE(2027,6,30))</f>
        <v>0</v>
      </c>
      <c r="D19" s="15" t="n">
        <f aca="false">B19+C19</f>
        <v>0</v>
      </c>
    </row>
    <row r="20" customFormat="false" ht="12.75" hidden="false" customHeight="true" outlineLevel="0" collapsed="false">
      <c r="A20" s="19" t="s">
        <v>2101</v>
      </c>
      <c r="B20" s="15" t="n">
        <f aca="false">SUMIFS(Report!$U:$U,Report!$T:$T,"&lt;&gt;"&amp;"MERCADORIAS P/REVENDA",Report!$AA:$AA,"SIM",Report!$C:$C,"&gt;="&amp;DATE(2027,7,1),Report!$C:$C,"&lt;="&amp;DATE(2027,7,31))</f>
        <v>0</v>
      </c>
      <c r="C20" s="15" t="n">
        <f aca="false">SUMIFS(Report!$U:$U,Report!$T:$T,"MERCADORIAS P/REVENDA",Report!$AA:$AA,"SIM",Report!$C:$C,"&gt;="&amp;DATE(2027,7,1),Report!$C:$C,"&lt;="&amp;DATE(2027,7,31))</f>
        <v>0</v>
      </c>
      <c r="D20" s="15" t="n">
        <f aca="false">B20+C20</f>
        <v>0</v>
      </c>
    </row>
    <row r="21" customFormat="false" ht="12.75" hidden="false" customHeight="true" outlineLevel="0" collapsed="false">
      <c r="A21" s="19" t="s">
        <v>2102</v>
      </c>
      <c r="B21" s="15" t="n">
        <f aca="false">SUMIFS(Report!$U:$U,Report!$T:$T,"&lt;&gt;"&amp;"MERCADORIAS P/REVENDA",Report!$AA:$AA,"SIM",Report!$C:$C,"&gt;="&amp;DATE(2027,8,1),Report!$C:$C,"&lt;="&amp;DATE(2027,8,31))</f>
        <v>0</v>
      </c>
      <c r="C21" s="15" t="n">
        <f aca="false">SUMIFS(Report!$U:$U,Report!$T:$T,"MERCADORIAS P/REVENDA",Report!$AA:$AA,"SIM",Report!$C:$C,"&gt;="&amp;DATE(2027,8,1),Report!$C:$C,"&lt;="&amp;DATE(2027,8,31))</f>
        <v>0</v>
      </c>
      <c r="D21" s="15" t="n">
        <f aca="false">B21+C21</f>
        <v>0</v>
      </c>
    </row>
    <row r="22" customFormat="false" ht="12.75" hidden="false" customHeight="true" outlineLevel="0" collapsed="false">
      <c r="A22" s="19" t="s">
        <v>2103</v>
      </c>
      <c r="B22" s="15" t="n">
        <f aca="false">SUMIFS(Report!$U:$U,Report!$T:$T,"&lt;&gt;"&amp;"MERCADORIAS P/REVENDA",Report!$AA:$AA,"SIM",Report!$C:$C,"&gt;="&amp;DATE(2027,9,1),Report!$C:$C,"&lt;="&amp;DATE(2027,9,30))</f>
        <v>0</v>
      </c>
      <c r="C22" s="15" t="n">
        <f aca="false">SUMIFS(Report!$U:$U,Report!$T:$T,"MERCADORIAS P/REVENDA",Report!$AA:$AA,"SIM",Report!$C:$C,"&gt;="&amp;DATE(2027,9,1),Report!$C:$C,"&lt;="&amp;DATE(2027,9,30))</f>
        <v>0</v>
      </c>
      <c r="D22" s="15" t="n">
        <f aca="false">B22+C22</f>
        <v>0</v>
      </c>
    </row>
    <row r="23" customFormat="false" ht="12.75" hidden="false" customHeight="true" outlineLevel="0" collapsed="false">
      <c r="A23" s="19" t="s">
        <v>2104</v>
      </c>
      <c r="B23" s="15" t="n">
        <f aca="false">SUMIFS(Report!$U:$U,Report!$T:$T,"&lt;&gt;"&amp;"MERCADORIAS P/REVENDA",Report!$AA:$AA,"SIM",Report!$C:$C,"&gt;="&amp;DATE(2027,10,1),Report!$C:$C,"&lt;="&amp;DATE(2027,10,31))</f>
        <v>0</v>
      </c>
      <c r="C23" s="15" t="n">
        <f aca="false">SUMIFS(Report!$U:$U,Report!$T:$T,"MERCADORIAS P/REVENDA",Report!$AA:$AA,"SIM",Report!$C:$C,"&gt;="&amp;DATE(2027,10,1),Report!$C:$C,"&lt;="&amp;DATE(2027,10,31))</f>
        <v>0</v>
      </c>
      <c r="D23" s="15" t="n">
        <f aca="false">B23+C23</f>
        <v>0</v>
      </c>
    </row>
    <row r="24" customFormat="false" ht="12.75" hidden="false" customHeight="true" outlineLevel="0" collapsed="false">
      <c r="A24" s="19" t="s">
        <v>2105</v>
      </c>
      <c r="B24" s="15" t="n">
        <f aca="false">SUMIFS(Report!$U:$U,Report!$T:$T,"&lt;&gt;"&amp;"MERCADORIAS P/REVENDA",Report!$AA:$AA,"SIM",Report!$C:$C,"&gt;="&amp;DATE(2027,11,1),Report!$C:$C,"&lt;="&amp;DATE(2027,11,30))</f>
        <v>0</v>
      </c>
      <c r="C24" s="15" t="n">
        <f aca="false">SUMIFS(Report!$U:$U,Report!$T:$T,"MERCADORIAS P/REVENDA",Report!$AA:$AA,"SIM",Report!$C:$C,"&gt;="&amp;DATE(2027,11,1),Report!$C:$C,"&lt;="&amp;DATE(2027,11,30))</f>
        <v>0</v>
      </c>
      <c r="D24" s="15" t="n">
        <f aca="false">B24+C24</f>
        <v>0</v>
      </c>
    </row>
    <row r="25" customFormat="false" ht="12.75" hidden="false" customHeight="true" outlineLevel="0" collapsed="false">
      <c r="A25" s="19" t="s">
        <v>2106</v>
      </c>
      <c r="B25" s="15" t="n">
        <f aca="false">SUMIFS(Report!$U:$U,Report!$T:$T,"&lt;&gt;"&amp;"MERCADORIAS P/REVENDA",Report!$AA:$AA,"SIM",Report!$C:$C,"&gt;="&amp;DATE(2027,12,1),Report!$C:$C,"&lt;="&amp;DATE(2027,12,31))</f>
        <v>0</v>
      </c>
      <c r="C25" s="15" t="n">
        <f aca="false">SUMIFS(Report!$U:$U,Report!$T:$T,"MERCADORIAS P/REVENDA",Report!$AA:$AA,"SIM",Report!$C:$C,"&gt;="&amp;DATE(2027,12,1),Report!$C:$C,"&lt;="&amp;DATE(2027,12,31))</f>
        <v>0</v>
      </c>
      <c r="D25" s="15" t="n">
        <f aca="false">B25+C25</f>
        <v>0</v>
      </c>
    </row>
    <row r="26" customFormat="false" ht="12.75" hidden="false" customHeight="true" outlineLevel="0" collapsed="false">
      <c r="A26" s="21" t="s">
        <v>2107</v>
      </c>
      <c r="B26" s="22" t="n">
        <f aca="false">SUM(B2:B25)</f>
        <v>717984.47</v>
      </c>
      <c r="C26" s="22" t="n">
        <f aca="false">SUM(C2:C25)</f>
        <v>1290916.53</v>
      </c>
      <c r="D26" s="22" t="n">
        <f aca="false">SUM(D2:D25)</f>
        <v>2008901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0" width="31.67"/>
    <col collapsed="false" customWidth="true" hidden="false" outlineLevel="0" max="2" min="2" style="15" width="12"/>
    <col collapsed="false" customWidth="true" hidden="false" outlineLevel="0" max="3" min="3" style="15" width="8.67"/>
    <col collapsed="false" customWidth="true" hidden="false" outlineLevel="0" max="4" min="4" style="15" width="12"/>
    <col collapsed="false" customWidth="true" hidden="false" outlineLevel="0" max="5" min="5" style="15" width="8.67"/>
    <col collapsed="false" customWidth="true" hidden="false" outlineLevel="0" max="6" min="6" style="15" width="8.44"/>
    <col collapsed="false" customWidth="true" hidden="false" outlineLevel="0" max="7" min="7" style="15" width="12"/>
    <col collapsed="false" customWidth="true" hidden="false" outlineLevel="0" max="9" min="8" style="15" width="13.11"/>
    <col collapsed="false" customWidth="true" hidden="false" outlineLevel="0" max="10" min="10" style="15" width="12"/>
    <col collapsed="false" customWidth="true" hidden="false" outlineLevel="0" max="11" min="11" style="15" width="8.77"/>
    <col collapsed="false" customWidth="true" hidden="false" outlineLevel="0" max="12" min="12" style="15" width="12"/>
    <col collapsed="false" customWidth="true" hidden="false" outlineLevel="0" max="13" min="13" style="15" width="8.88"/>
    <col collapsed="false" customWidth="true" hidden="false" outlineLevel="0" max="14" min="14" style="15" width="12"/>
    <col collapsed="false" customWidth="true" hidden="false" outlineLevel="0" max="15" min="15" style="15" width="8.67"/>
    <col collapsed="false" customWidth="true" hidden="false" outlineLevel="0" max="16" min="16" style="15" width="12"/>
    <col collapsed="false" customWidth="true" hidden="false" outlineLevel="0" max="17" min="17" style="15" width="8.67"/>
    <col collapsed="false" customWidth="true" hidden="false" outlineLevel="0" max="18" min="18" style="15" width="8.44"/>
    <col collapsed="false" customWidth="true" hidden="false" outlineLevel="0" max="20" min="19" style="15" width="12"/>
    <col collapsed="false" customWidth="true" hidden="false" outlineLevel="0" max="21" min="21" style="15" width="9"/>
    <col collapsed="false" customWidth="true" hidden="false" outlineLevel="0" max="22" min="22" style="15" width="8.44"/>
    <col collapsed="false" customWidth="true" hidden="false" outlineLevel="0" max="23" min="23" style="15" width="8.77"/>
    <col collapsed="false" customWidth="true" hidden="false" outlineLevel="0" max="24" min="24" style="15" width="12"/>
    <col collapsed="false" customWidth="true" hidden="false" outlineLevel="0" max="25" min="25" style="15" width="8.88"/>
    <col collapsed="false" customWidth="true" hidden="false" outlineLevel="0" max="26" min="26" style="15" width="13.11"/>
    <col collapsed="false" customWidth="true" hidden="false" outlineLevel="0" max="28" min="28" style="0" width="45"/>
    <col collapsed="false" customWidth="true" hidden="false" outlineLevel="0" max="29" min="29" style="0" width="31.67"/>
  </cols>
  <sheetData>
    <row r="2" customFormat="false" ht="12.75" hidden="false" customHeight="true" outlineLevel="0" collapsed="false">
      <c r="A2" s="17" t="s">
        <v>2108</v>
      </c>
      <c r="B2" s="23" t="n">
        <v>46023</v>
      </c>
      <c r="C2" s="23" t="n">
        <v>46054</v>
      </c>
      <c r="D2" s="23" t="n">
        <v>46082</v>
      </c>
      <c r="E2" s="23" t="n">
        <v>46113</v>
      </c>
      <c r="F2" s="23" t="n">
        <v>46143</v>
      </c>
      <c r="G2" s="23" t="n">
        <v>46174</v>
      </c>
      <c r="H2" s="23" t="n">
        <v>46204</v>
      </c>
      <c r="I2" s="23" t="n">
        <v>46235</v>
      </c>
      <c r="J2" s="23" t="n">
        <v>46266</v>
      </c>
      <c r="K2" s="23" t="n">
        <v>46296</v>
      </c>
      <c r="L2" s="23" t="n">
        <v>46327</v>
      </c>
      <c r="M2" s="23" t="n">
        <v>46357</v>
      </c>
      <c r="N2" s="23" t="n">
        <v>46388</v>
      </c>
      <c r="O2" s="23" t="n">
        <v>46419</v>
      </c>
      <c r="P2" s="23" t="n">
        <v>46447</v>
      </c>
      <c r="Q2" s="23" t="n">
        <v>46478</v>
      </c>
      <c r="R2" s="23" t="n">
        <v>46508</v>
      </c>
      <c r="S2" s="23" t="n">
        <v>46539</v>
      </c>
      <c r="T2" s="23" t="n">
        <v>46569</v>
      </c>
      <c r="U2" s="23" t="n">
        <v>46600</v>
      </c>
      <c r="V2" s="23" t="n">
        <v>46631</v>
      </c>
      <c r="W2" s="23" t="n">
        <v>46661</v>
      </c>
      <c r="X2" s="23" t="n">
        <v>46692</v>
      </c>
      <c r="Y2" s="23" t="n">
        <v>46722</v>
      </c>
      <c r="Z2" s="18" t="s">
        <v>2082</v>
      </c>
      <c r="AA2" s="24"/>
      <c r="AB2" s="25" t="s">
        <v>2109</v>
      </c>
      <c r="AC2" s="25" t="s">
        <v>2110</v>
      </c>
      <c r="AE2" s="25" t="s">
        <v>2111</v>
      </c>
    </row>
    <row r="3" customFormat="false" ht="12.75" hidden="false" customHeight="true" outlineLevel="0" collapsed="false">
      <c r="A3" s="26" t="s">
        <v>2112</v>
      </c>
      <c r="B3" s="22" t="n">
        <f aca="false">SUMIFS(Report!$U:$U,Report!$AA:$AA,"SIM",Report!$C:$C,"&gt;="&amp;DATE(2026,1,1),Report!$C:$C,"&lt;"&amp;DATE(2026,2,1))</f>
        <v>0</v>
      </c>
      <c r="C3" s="22" t="n">
        <f aca="false">SUMIFS(Report!$U:$U,Report!$AA:$AA,"SIM",Report!$C:$C,"&gt;="&amp;DATE(2026,2,1),Report!$C:$C,"&lt;"&amp;DATE(2026,3,1))</f>
        <v>0</v>
      </c>
      <c r="D3" s="22" t="n">
        <f aca="false">SUMIFS(Report!$U:$U,Report!$AA:$AA,"SIM",Report!$C:$C,"&gt;="&amp;DATE(2026,3,1),Report!$C:$C,"&lt;"&amp;DATE(2026,4,1))</f>
        <v>0</v>
      </c>
      <c r="E3" s="22" t="n">
        <f aca="false">SUMIFS(Report!$U:$U,Report!$AA:$AA,"SIM",Report!$C:$C,"&gt;="&amp;DATE(2026,4,1),Report!$C:$C,"&lt;"&amp;DATE(2026,5,1))</f>
        <v>0</v>
      </c>
      <c r="F3" s="22" t="n">
        <f aca="false">SUMIFS(Report!$U:$U,Report!$AA:$AA,"SIM",Report!$C:$C,"&gt;="&amp;DATE(2026,5,1),Report!$C:$C,"&lt;"&amp;DATE(2026,6,1))</f>
        <v>0</v>
      </c>
      <c r="G3" s="22" t="n">
        <f aca="false">SUMIFS(Report!$U:$U,Report!$AA:$AA,"SIM",Report!$C:$C,"&gt;="&amp;DATE(2026,6,1),Report!$C:$C,"&lt;"&amp;DATE(2026,7,1))</f>
        <v>464609.54</v>
      </c>
      <c r="H3" s="22" t="n">
        <f aca="false">SUMIFS(Report!$U:$U,Report!$AA:$AA,"SIM",Report!$C:$C,"&gt;="&amp;DATE(2026,7,1),Report!$C:$C,"&lt;"&amp;DATE(2026,8,1))</f>
        <v>469369.7</v>
      </c>
      <c r="I3" s="22" t="n">
        <f aca="false">SUMIFS(Report!$U:$U,Report!$AA:$AA,"SIM",Report!$C:$C,"&gt;="&amp;DATE(2026,8,1),Report!$C:$C,"&lt;"&amp;DATE(2026,9,1))</f>
        <v>447406.53</v>
      </c>
      <c r="J3" s="22" t="n">
        <f aca="false">SUMIFS(Report!$U:$U,Report!$AA:$AA,"SIM",Report!$C:$C,"&gt;="&amp;DATE(2026,9,1),Report!$C:$C,"&lt;"&amp;DATE(2026,10,1))</f>
        <v>422541.33</v>
      </c>
      <c r="K3" s="22" t="n">
        <f aca="false">SUMIFS(Report!$U:$U,Report!$AA:$AA,"SIM",Report!$C:$C,"&gt;="&amp;DATE(2026,10,1),Report!$C:$C,"&lt;"&amp;DATE(2026,11,1))</f>
        <v>161144.99</v>
      </c>
      <c r="L3" s="22" t="n">
        <f aca="false">SUMIFS(Report!$U:$U,Report!$AA:$AA,"SIM",Report!$C:$C,"&gt;="&amp;DATE(2026,11,1),Report!$C:$C,"&lt;"&amp;DATE(2026,12,1))</f>
        <v>24707.17</v>
      </c>
      <c r="M3" s="22" t="n">
        <f aca="false">SUMIFS(Report!$U:$U,Report!$AA:$AA,"SIM",Report!$C:$C,"&gt;="&amp;DATE(2026,12,1),Report!$C:$C,"&lt;"&amp;DATE(2027,1,1))</f>
        <v>19121.74</v>
      </c>
      <c r="N3" s="22" t="n">
        <f aca="false">SUMIFS(Report!$U:$U,Report!$AA:$AA,"SIM",Report!$C:$C,"&gt;="&amp;DATE(2027,1,1),Report!$C:$C,"&lt;"&amp;DATE(2027,2,1))</f>
        <v>0</v>
      </c>
      <c r="O3" s="22" t="n">
        <f aca="false">SUMIFS(Report!$U:$U,Report!$AA:$AA,"SIM",Report!$C:$C,"&gt;="&amp;DATE(2027,2,1),Report!$C:$C,"&lt;"&amp;DATE(2027,3,1))</f>
        <v>0</v>
      </c>
      <c r="P3" s="22" t="n">
        <f aca="false">SUMIFS(Report!$U:$U,Report!$AA:$AA,"SIM",Report!$C:$C,"&gt;="&amp;DATE(2027,3,1),Report!$C:$C,"&lt;"&amp;DATE(2027,4,1))</f>
        <v>0</v>
      </c>
      <c r="Q3" s="22" t="n">
        <f aca="false">SUMIFS(Report!$U:$U,Report!$AA:$AA,"SIM",Report!$C:$C,"&gt;="&amp;DATE(2027,4,1),Report!$C:$C,"&lt;"&amp;DATE(2027,5,1))</f>
        <v>0</v>
      </c>
      <c r="R3" s="22" t="n">
        <f aca="false">SUMIFS(Report!$U:$U,Report!$AA:$AA,"SIM",Report!$C:$C,"&gt;="&amp;DATE(2027,5,1),Report!$C:$C,"&lt;"&amp;DATE(2027,6,1))</f>
        <v>0</v>
      </c>
      <c r="S3" s="22" t="n">
        <f aca="false">SUMIFS(Report!$U:$U,Report!$AA:$AA,"SIM",Report!$C:$C,"&gt;="&amp;DATE(2027,6,1),Report!$C:$C,"&lt;"&amp;DATE(2027,7,1))</f>
        <v>0</v>
      </c>
      <c r="T3" s="22" t="n">
        <f aca="false">SUMIFS(Report!$U:$U,Report!$AA:$AA,"SIM",Report!$C:$C,"&gt;="&amp;DATE(2027,7,1),Report!$C:$C,"&lt;"&amp;DATE(2027,8,1))</f>
        <v>0</v>
      </c>
      <c r="U3" s="22" t="n">
        <f aca="false">SUMIFS(Report!$U:$U,Report!$AA:$AA,"SIM",Report!$C:$C,"&gt;="&amp;DATE(2027,8,1),Report!$C:$C,"&lt;"&amp;DATE(2027,9,1))</f>
        <v>0</v>
      </c>
      <c r="V3" s="22" t="n">
        <f aca="false">SUMIFS(Report!$U:$U,Report!$AA:$AA,"SIM",Report!$C:$C,"&gt;="&amp;DATE(2027,9,1),Report!$C:$C,"&lt;"&amp;DATE(2027,10,1))</f>
        <v>0</v>
      </c>
      <c r="W3" s="22" t="n">
        <f aca="false">SUMIFS(Report!$U:$U,Report!$AA:$AA,"SIM",Report!$C:$C,"&gt;="&amp;DATE(2027,10,1),Report!$C:$C,"&lt;"&amp;DATE(2027,11,1))</f>
        <v>0</v>
      </c>
      <c r="X3" s="22" t="n">
        <f aca="false">SUMIFS(Report!$U:$U,Report!$AA:$AA,"SIM",Report!$C:$C,"&gt;="&amp;DATE(2027,11,1),Report!$C:$C,"&lt;"&amp;DATE(2027,12,1))</f>
        <v>0</v>
      </c>
      <c r="Y3" s="22" t="n">
        <f aca="false">SUMIFS(Report!$U:$U,Report!$AA:$AA,"SIM",Report!$C:$C,"&gt;="&amp;DATE(2027,12,1),Report!$C:$C,"&lt;"&amp;DATE(2028,1,1))</f>
        <v>0</v>
      </c>
      <c r="Z3" s="22" t="n">
        <f aca="false">SUM(B3:Y3)</f>
        <v>2008901</v>
      </c>
      <c r="AB3" s="0" t="s">
        <v>563</v>
      </c>
      <c r="AC3" s="0" t="s">
        <v>2113</v>
      </c>
      <c r="AE3" s="0" t="s">
        <v>2114</v>
      </c>
    </row>
    <row r="4" customFormat="false" ht="12.75" hidden="false" customHeight="true" outlineLevel="0" collapsed="false">
      <c r="A4" s="0" t="s">
        <v>2115</v>
      </c>
      <c r="B4" s="15" t="n">
        <f aca="false">SUMIFS(Report!$U:$U,Report!$Z:$Z,"Cobertura de conta",Report!$AA:$AA,"SIM",Report!$C:$C,"&gt;="&amp;DATE(2026,1,1),Report!$C:$C,"&lt;"&amp;DATE(2026,2,1))</f>
        <v>0</v>
      </c>
      <c r="C4" s="15" t="n">
        <f aca="false">SUMIFS(Report!$U:$U,Report!$Z:$Z,"Cobertura de conta",Report!$AA:$AA,"SIM",Report!$C:$C,"&gt;="&amp;DATE(2026,2,1),Report!$C:$C,"&lt;"&amp;DATE(2026,3,1))</f>
        <v>0</v>
      </c>
      <c r="D4" s="15" t="n">
        <f aca="false">SUMIFS(Report!$U:$U,Report!$Z:$Z,"Cobertura de conta",Report!$AA:$AA,"SIM",Report!$C:$C,"&gt;="&amp;DATE(2026,3,1),Report!$C:$C,"&lt;"&amp;DATE(2026,4,1))</f>
        <v>0</v>
      </c>
      <c r="E4" s="15" t="n">
        <f aca="false">SUMIFS(Report!$U:$U,Report!$Z:$Z,"Cobertura de conta",Report!$AA:$AA,"SIM",Report!$C:$C,"&gt;="&amp;DATE(2026,4,1),Report!$C:$C,"&lt;"&amp;DATE(2026,5,1))</f>
        <v>0</v>
      </c>
      <c r="F4" s="15" t="n">
        <f aca="false">SUMIFS(Report!$U:$U,Report!$Z:$Z,"Cobertura de conta",Report!$AA:$AA,"SIM",Report!$C:$C,"&gt;="&amp;DATE(2026,5,1),Report!$C:$C,"&lt;"&amp;DATE(2026,6,1))</f>
        <v>0</v>
      </c>
      <c r="G4" s="15" t="n">
        <f aca="false">SUMIFS(Report!$U:$U,Report!$Z:$Z,"Cobertura de conta",Report!$AA:$AA,"SIM",Report!$C:$C,"&gt;="&amp;DATE(2026,6,1),Report!$C:$C,"&lt;"&amp;DATE(2026,7,1))</f>
        <v>0</v>
      </c>
      <c r="H4" s="15" t="n">
        <f aca="false">SUMIFS(Report!$U:$U,Report!$Z:$Z,"Cobertura de conta",Report!$AA:$AA,"SIM",Report!$C:$C,"&gt;="&amp;DATE(2026,7,1),Report!$C:$C,"&lt;"&amp;DATE(2026,8,1))</f>
        <v>0</v>
      </c>
      <c r="I4" s="15" t="n">
        <f aca="false">SUMIFS(Report!$U:$U,Report!$Z:$Z,"Cobertura de conta",Report!$AA:$AA,"SIM",Report!$C:$C,"&gt;="&amp;DATE(2026,8,1),Report!$C:$C,"&lt;"&amp;DATE(2026,9,1))</f>
        <v>1776.82</v>
      </c>
      <c r="J4" s="15" t="n">
        <f aca="false">SUMIFS(Report!$U:$U,Report!$Z:$Z,"Cobertura de conta",Report!$AA:$AA,"SIM",Report!$C:$C,"&gt;="&amp;DATE(2026,9,1),Report!$C:$C,"&lt;"&amp;DATE(2026,10,1))</f>
        <v>1880.32</v>
      </c>
      <c r="K4" s="15" t="n">
        <f aca="false">SUMIFS(Report!$U:$U,Report!$Z:$Z,"Cobertura de conta",Report!$AA:$AA,"SIM",Report!$C:$C,"&gt;="&amp;DATE(2026,10,1),Report!$C:$C,"&lt;"&amp;DATE(2026,11,1))</f>
        <v>440.32</v>
      </c>
      <c r="L4" s="15" t="n">
        <f aca="false">SUMIFS(Report!$U:$U,Report!$Z:$Z,"Cobertura de conta",Report!$AA:$AA,"SIM",Report!$C:$C,"&gt;="&amp;DATE(2026,11,1),Report!$C:$C,"&lt;"&amp;DATE(2026,12,1))</f>
        <v>0</v>
      </c>
      <c r="M4" s="15" t="n">
        <f aca="false">SUMIFS(Report!$U:$U,Report!$Z:$Z,"Cobertura de conta",Report!$AA:$AA,"SIM",Report!$C:$C,"&gt;="&amp;DATE(2026,12,1),Report!$C:$C,"&lt;"&amp;DATE(2027,1,1))</f>
        <v>0</v>
      </c>
      <c r="N4" s="15" t="n">
        <f aca="false">SUMIFS(Report!$U:$U,Report!$Z:$Z,"Cobertura de conta",Report!$AA:$AA,"SIM",Report!$C:$C,"&gt;="&amp;DATE(2027,1,1),Report!$C:$C,"&lt;"&amp;DATE(2027,2,1))</f>
        <v>0</v>
      </c>
      <c r="O4" s="15" t="n">
        <f aca="false">SUMIFS(Report!$U:$U,Report!$Z:$Z,"Cobertura de conta",Report!$AA:$AA,"SIM",Report!$C:$C,"&gt;="&amp;DATE(2027,2,1),Report!$C:$C,"&lt;"&amp;DATE(2027,3,1))</f>
        <v>0</v>
      </c>
      <c r="P4" s="15" t="n">
        <f aca="false">SUMIFS(Report!$U:$U,Report!$Z:$Z,"Cobertura de conta",Report!$AA:$AA,"SIM",Report!$C:$C,"&gt;="&amp;DATE(2027,3,1),Report!$C:$C,"&lt;"&amp;DATE(2027,4,1))</f>
        <v>0</v>
      </c>
      <c r="Q4" s="15" t="n">
        <f aca="false">SUMIFS(Report!$U:$U,Report!$Z:$Z,"Cobertura de conta",Report!$AA:$AA,"SIM",Report!$C:$C,"&gt;="&amp;DATE(2027,4,1),Report!$C:$C,"&lt;"&amp;DATE(2027,5,1))</f>
        <v>0</v>
      </c>
      <c r="R4" s="15" t="n">
        <f aca="false">SUMIFS(Report!$U:$U,Report!$Z:$Z,"Cobertura de conta",Report!$AA:$AA,"SIM",Report!$C:$C,"&gt;="&amp;DATE(2027,5,1),Report!$C:$C,"&lt;"&amp;DATE(2027,6,1))</f>
        <v>0</v>
      </c>
      <c r="S4" s="15" t="n">
        <f aca="false">SUMIFS(Report!$U:$U,Report!$Z:$Z,"Cobertura de conta",Report!$AA:$AA,"SIM",Report!$C:$C,"&gt;="&amp;DATE(2027,6,1),Report!$C:$C,"&lt;"&amp;DATE(2027,7,1))</f>
        <v>0</v>
      </c>
      <c r="T4" s="15" t="n">
        <f aca="false">SUMIFS(Report!$U:$U,Report!$Z:$Z,"Cobertura de conta",Report!$AA:$AA,"SIM",Report!$C:$C,"&gt;="&amp;DATE(2027,7,1),Report!$C:$C,"&lt;"&amp;DATE(2027,8,1))</f>
        <v>0</v>
      </c>
      <c r="U4" s="15" t="n">
        <f aca="false">SUMIFS(Report!$U:$U,Report!$Z:$Z,"Cobertura de conta",Report!$AA:$AA,"SIM",Report!$C:$C,"&gt;="&amp;DATE(2027,8,1),Report!$C:$C,"&lt;"&amp;DATE(2027,9,1))</f>
        <v>0</v>
      </c>
      <c r="V4" s="15" t="n">
        <f aca="false">SUMIFS(Report!$U:$U,Report!$Z:$Z,"Cobertura de conta",Report!$AA:$AA,"SIM",Report!$C:$C,"&gt;="&amp;DATE(2027,9,1),Report!$C:$C,"&lt;"&amp;DATE(2027,10,1))</f>
        <v>0</v>
      </c>
      <c r="W4" s="15" t="n">
        <f aca="false">SUMIFS(Report!$U:$U,Report!$Z:$Z,"Cobertura de conta",Report!$AA:$AA,"SIM",Report!$C:$C,"&gt;="&amp;DATE(2027,10,1),Report!$C:$C,"&lt;"&amp;DATE(2027,11,1))</f>
        <v>0</v>
      </c>
      <c r="X4" s="15" t="n">
        <f aca="false">SUMIFS(Report!$U:$U,Report!$Z:$Z,"Cobertura de conta",Report!$AA:$AA,"SIM",Report!$C:$C,"&gt;="&amp;DATE(2027,11,1),Report!$C:$C,"&lt;"&amp;DATE(2027,12,1))</f>
        <v>0</v>
      </c>
      <c r="Y4" s="15" t="n">
        <f aca="false">SUMIFS(Report!$U:$U,Report!$Z:$Z,"Cobertura de conta",Report!$AA:$AA,"SIM",Report!$C:$C,"&gt;="&amp;DATE(2027,12,1),Report!$C:$C,"&lt;"&amp;DATE(2028,1,1))</f>
        <v>0</v>
      </c>
      <c r="Z4" s="15" t="n">
        <f aca="false">SUM(B4:Y4)</f>
        <v>4097.46</v>
      </c>
      <c r="AB4" s="0" t="s">
        <v>201</v>
      </c>
      <c r="AC4" s="0" t="s">
        <v>2116</v>
      </c>
    </row>
    <row r="5" customFormat="false" ht="12.75" hidden="false" customHeight="true" outlineLevel="0" collapsed="false">
      <c r="A5" s="0" t="s">
        <v>2116</v>
      </c>
      <c r="B5" s="15" t="n">
        <f aca="false">SUMIFS(Report!$U:$U,Report!$Z:$Z,"Despesa",Report!$AA:$AA,"SIM",Report!$C:$C,"&gt;="&amp;DATE(2026,1,1),Report!$C:$C,"&lt;"&amp;DATE(2026,2,1))</f>
        <v>0</v>
      </c>
      <c r="C5" s="15" t="n">
        <f aca="false">SUMIFS(Report!$U:$U,Report!$Z:$Z,"Despesa",Report!$AA:$AA,"SIM",Report!$C:$C,"&gt;="&amp;DATE(2026,2,1),Report!$C:$C,"&lt;"&amp;DATE(2026,3,1))</f>
        <v>0</v>
      </c>
      <c r="D5" s="15" t="n">
        <f aca="false">SUMIFS(Report!$U:$U,Report!$Z:$Z,"Despesa",Report!$AA:$AA,"SIM",Report!$C:$C,"&gt;="&amp;DATE(2026,3,1),Report!$C:$C,"&lt;"&amp;DATE(2026,4,1))</f>
        <v>0</v>
      </c>
      <c r="E5" s="15" t="n">
        <f aca="false">SUMIFS(Report!$U:$U,Report!$Z:$Z,"Despesa",Report!$AA:$AA,"SIM",Report!$C:$C,"&gt;="&amp;DATE(2026,4,1),Report!$C:$C,"&lt;"&amp;DATE(2026,5,1))</f>
        <v>0</v>
      </c>
      <c r="F5" s="15" t="n">
        <f aca="false">SUMIFS(Report!$U:$U,Report!$Z:$Z,"Despesa",Report!$AA:$AA,"SIM",Report!$C:$C,"&gt;="&amp;DATE(2026,5,1),Report!$C:$C,"&lt;"&amp;DATE(2026,6,1))</f>
        <v>0</v>
      </c>
      <c r="G5" s="15" t="n">
        <f aca="false">SUMIFS(Report!$U:$U,Report!$Z:$Z,"Despesa",Report!$AA:$AA,"SIM",Report!$C:$C,"&gt;="&amp;DATE(2026,6,1),Report!$C:$C,"&lt;"&amp;DATE(2026,7,1))</f>
        <v>132470.2</v>
      </c>
      <c r="H5" s="15" t="n">
        <f aca="false">SUMIFS(Report!$U:$U,Report!$Z:$Z,"Despesa",Report!$AA:$AA,"SIM",Report!$C:$C,"&gt;="&amp;DATE(2026,7,1),Report!$C:$C,"&lt;"&amp;DATE(2026,8,1))</f>
        <v>117490.36</v>
      </c>
      <c r="I5" s="15" t="n">
        <f aca="false">SUMIFS(Report!$U:$U,Report!$Z:$Z,"Despesa",Report!$AA:$AA,"SIM",Report!$C:$C,"&gt;="&amp;DATE(2026,8,1),Report!$C:$C,"&lt;"&amp;DATE(2026,9,1))</f>
        <v>128253.14</v>
      </c>
      <c r="J5" s="15" t="n">
        <f aca="false">SUMIFS(Report!$U:$U,Report!$Z:$Z,"Despesa",Report!$AA:$AA,"SIM",Report!$C:$C,"&gt;="&amp;DATE(2026,9,1),Report!$C:$C,"&lt;"&amp;DATE(2026,10,1))</f>
        <v>73874.97</v>
      </c>
      <c r="K5" s="15" t="n">
        <f aca="false">SUMIFS(Report!$U:$U,Report!$Z:$Z,"Despesa",Report!$AA:$AA,"SIM",Report!$C:$C,"&gt;="&amp;DATE(2026,10,1),Report!$C:$C,"&lt;"&amp;DATE(2026,11,1))</f>
        <v>31592.69</v>
      </c>
      <c r="L5" s="15" t="n">
        <f aca="false">SUMIFS(Report!$U:$U,Report!$Z:$Z,"Despesa",Report!$AA:$AA,"SIM",Report!$C:$C,"&gt;="&amp;DATE(2026,11,1),Report!$C:$C,"&lt;"&amp;DATE(2026,12,1))</f>
        <v>11010.31</v>
      </c>
      <c r="M5" s="15" t="n">
        <f aca="false">SUMIFS(Report!$U:$U,Report!$Z:$Z,"Despesa",Report!$AA:$AA,"SIM",Report!$C:$C,"&gt;="&amp;DATE(2026,12,1),Report!$C:$C,"&lt;"&amp;DATE(2027,1,1))</f>
        <v>10680.97</v>
      </c>
      <c r="N5" s="15" t="n">
        <f aca="false">SUMIFS(Report!$U:$U,Report!$Z:$Z,"Despesa",Report!$AA:$AA,"SIM",Report!$C:$C,"&gt;="&amp;DATE(2027,1,1),Report!$C:$C,"&lt;"&amp;DATE(2027,2,1))</f>
        <v>0</v>
      </c>
      <c r="O5" s="15" t="n">
        <f aca="false">SUMIFS(Report!$U:$U,Report!$Z:$Z,"Despesa",Report!$AA:$AA,"SIM",Report!$C:$C,"&gt;="&amp;DATE(2027,2,1),Report!$C:$C,"&lt;"&amp;DATE(2027,3,1))</f>
        <v>0</v>
      </c>
      <c r="P5" s="15" t="n">
        <f aca="false">SUMIFS(Report!$U:$U,Report!$Z:$Z,"Despesa",Report!$AA:$AA,"SIM",Report!$C:$C,"&gt;="&amp;DATE(2027,3,1),Report!$C:$C,"&lt;"&amp;DATE(2027,4,1))</f>
        <v>0</v>
      </c>
      <c r="Q5" s="15" t="n">
        <f aca="false">SUMIFS(Report!$U:$U,Report!$Z:$Z,"Despesa",Report!$AA:$AA,"SIM",Report!$C:$C,"&gt;="&amp;DATE(2027,4,1),Report!$C:$C,"&lt;"&amp;DATE(2027,5,1))</f>
        <v>0</v>
      </c>
      <c r="R5" s="15" t="n">
        <f aca="false">SUMIFS(Report!$U:$U,Report!$Z:$Z,"Despesa",Report!$AA:$AA,"SIM",Report!$C:$C,"&gt;="&amp;DATE(2027,5,1),Report!$C:$C,"&lt;"&amp;DATE(2027,6,1))</f>
        <v>0</v>
      </c>
      <c r="S5" s="15" t="n">
        <f aca="false">SUMIFS(Report!$U:$U,Report!$Z:$Z,"Despesa",Report!$AA:$AA,"SIM",Report!$C:$C,"&gt;="&amp;DATE(2027,6,1),Report!$C:$C,"&lt;"&amp;DATE(2027,7,1))</f>
        <v>0</v>
      </c>
      <c r="T5" s="15" t="n">
        <f aca="false">SUMIFS(Report!$U:$U,Report!$Z:$Z,"Despesa",Report!$AA:$AA,"SIM",Report!$C:$C,"&gt;="&amp;DATE(2027,7,1),Report!$C:$C,"&lt;"&amp;DATE(2027,8,1))</f>
        <v>0</v>
      </c>
      <c r="U5" s="15" t="n">
        <f aca="false">SUMIFS(Report!$U:$U,Report!$Z:$Z,"Despesa",Report!$AA:$AA,"SIM",Report!$C:$C,"&gt;="&amp;DATE(2027,8,1),Report!$C:$C,"&lt;"&amp;DATE(2027,9,1))</f>
        <v>0</v>
      </c>
      <c r="V5" s="15" t="n">
        <f aca="false">SUMIFS(Report!$U:$U,Report!$Z:$Z,"Despesa",Report!$AA:$AA,"SIM",Report!$C:$C,"&gt;="&amp;DATE(2027,9,1),Report!$C:$C,"&lt;"&amp;DATE(2027,10,1))</f>
        <v>0</v>
      </c>
      <c r="W5" s="15" t="n">
        <f aca="false">SUMIFS(Report!$U:$U,Report!$Z:$Z,"Despesa",Report!$AA:$AA,"SIM",Report!$C:$C,"&gt;="&amp;DATE(2027,10,1),Report!$C:$C,"&lt;"&amp;DATE(2027,11,1))</f>
        <v>0</v>
      </c>
      <c r="X5" s="15" t="n">
        <f aca="false">SUMIFS(Report!$U:$U,Report!$Z:$Z,"Despesa",Report!$AA:$AA,"SIM",Report!$C:$C,"&gt;="&amp;DATE(2027,11,1),Report!$C:$C,"&lt;"&amp;DATE(2027,12,1))</f>
        <v>0</v>
      </c>
      <c r="Y5" s="15" t="n">
        <f aca="false">SUMIFS(Report!$U:$U,Report!$Z:$Z,"Despesa",Report!$AA:$AA,"SIM",Report!$C:$C,"&gt;="&amp;DATE(2027,12,1),Report!$C:$C,"&lt;"&amp;DATE(2028,1,1))</f>
        <v>0</v>
      </c>
      <c r="Z5" s="15" t="n">
        <f aca="false">SUM(B5:Y5)</f>
        <v>505372.64</v>
      </c>
      <c r="AB5" s="0" t="s">
        <v>126</v>
      </c>
      <c r="AC5" s="0" t="s">
        <v>2116</v>
      </c>
    </row>
    <row r="6" customFormat="false" ht="12.75" hidden="false" customHeight="true" outlineLevel="0" collapsed="false">
      <c r="A6" s="0" t="s">
        <v>2117</v>
      </c>
      <c r="B6" s="15" t="n">
        <f aca="false">SUMIFS(Report!$U:$U,Report!$Z:$Z,"Empréstimo",Report!$AA:$AA,"SIM",Report!$C:$C,"&gt;="&amp;DATE(2026,1,1),Report!$C:$C,"&lt;"&amp;DATE(2026,2,1))</f>
        <v>0</v>
      </c>
      <c r="C6" s="15" t="n">
        <f aca="false">SUMIFS(Report!$U:$U,Report!$Z:$Z,"Empréstimo",Report!$AA:$AA,"SIM",Report!$C:$C,"&gt;="&amp;DATE(2026,2,1),Report!$C:$C,"&lt;"&amp;DATE(2026,3,1))</f>
        <v>0</v>
      </c>
      <c r="D6" s="15" t="n">
        <f aca="false">SUMIFS(Report!$U:$U,Report!$Z:$Z,"Empréstimo",Report!$AA:$AA,"SIM",Report!$C:$C,"&gt;="&amp;DATE(2026,3,1),Report!$C:$C,"&lt;"&amp;DATE(2026,4,1))</f>
        <v>0</v>
      </c>
      <c r="E6" s="15" t="n">
        <f aca="false">SUMIFS(Report!$U:$U,Report!$Z:$Z,"Empréstimo",Report!$AA:$AA,"SIM",Report!$C:$C,"&gt;="&amp;DATE(2026,4,1),Report!$C:$C,"&lt;"&amp;DATE(2026,5,1))</f>
        <v>0</v>
      </c>
      <c r="F6" s="15" t="n">
        <f aca="false">SUMIFS(Report!$U:$U,Report!$Z:$Z,"Empréstimo",Report!$AA:$AA,"SIM",Report!$C:$C,"&gt;="&amp;DATE(2026,5,1),Report!$C:$C,"&lt;"&amp;DATE(2026,6,1))</f>
        <v>0</v>
      </c>
      <c r="G6" s="15" t="n">
        <f aca="false">SUMIFS(Report!$U:$U,Report!$Z:$Z,"Empréstimo",Report!$AA:$AA,"SIM",Report!$C:$C,"&gt;="&amp;DATE(2026,6,1),Report!$C:$C,"&lt;"&amp;DATE(2026,7,1))</f>
        <v>8793.85</v>
      </c>
      <c r="H6" s="15" t="n">
        <f aca="false">SUMIFS(Report!$U:$U,Report!$Z:$Z,"Empréstimo",Report!$AA:$AA,"SIM",Report!$C:$C,"&gt;="&amp;DATE(2026,7,1),Report!$C:$C,"&lt;"&amp;DATE(2026,8,1))</f>
        <v>13451.65</v>
      </c>
      <c r="I6" s="15" t="n">
        <f aca="false">SUMIFS(Report!$U:$U,Report!$Z:$Z,"Empréstimo",Report!$AA:$AA,"SIM",Report!$C:$C,"&gt;="&amp;DATE(2026,8,1),Report!$C:$C,"&lt;"&amp;DATE(2026,9,1))</f>
        <v>8865.1</v>
      </c>
      <c r="J6" s="15" t="n">
        <f aca="false">SUMIFS(Report!$U:$U,Report!$Z:$Z,"Empréstimo",Report!$AA:$AA,"SIM",Report!$C:$C,"&gt;="&amp;DATE(2026,9,1),Report!$C:$C,"&lt;"&amp;DATE(2026,10,1))</f>
        <v>16398.8</v>
      </c>
      <c r="K6" s="15" t="n">
        <f aca="false">SUMIFS(Report!$U:$U,Report!$Z:$Z,"Empréstimo",Report!$AA:$AA,"SIM",Report!$C:$C,"&gt;="&amp;DATE(2026,10,1),Report!$C:$C,"&lt;"&amp;DATE(2026,11,1))</f>
        <v>4168.41</v>
      </c>
      <c r="L6" s="15" t="n">
        <f aca="false">SUMIFS(Report!$U:$U,Report!$Z:$Z,"Empréstimo",Report!$AA:$AA,"SIM",Report!$C:$C,"&gt;="&amp;DATE(2026,11,1),Report!$C:$C,"&lt;"&amp;DATE(2026,12,1))</f>
        <v>4168.41</v>
      </c>
      <c r="M6" s="15" t="n">
        <f aca="false">SUMIFS(Report!$U:$U,Report!$Z:$Z,"Empréstimo",Report!$AA:$AA,"SIM",Report!$C:$C,"&gt;="&amp;DATE(2026,12,1),Report!$C:$C,"&lt;"&amp;DATE(2027,1,1))</f>
        <v>4168.41</v>
      </c>
      <c r="N6" s="15" t="n">
        <f aca="false">SUMIFS(Report!$U:$U,Report!$Z:$Z,"Empréstimo",Report!$AA:$AA,"SIM",Report!$C:$C,"&gt;="&amp;DATE(2027,1,1),Report!$C:$C,"&lt;"&amp;DATE(2027,2,1))</f>
        <v>0</v>
      </c>
      <c r="O6" s="15" t="n">
        <f aca="false">SUMIFS(Report!$U:$U,Report!$Z:$Z,"Empréstimo",Report!$AA:$AA,"SIM",Report!$C:$C,"&gt;="&amp;DATE(2027,2,1),Report!$C:$C,"&lt;"&amp;DATE(2027,3,1))</f>
        <v>0</v>
      </c>
      <c r="P6" s="15" t="n">
        <f aca="false">SUMIFS(Report!$U:$U,Report!$Z:$Z,"Empréstimo",Report!$AA:$AA,"SIM",Report!$C:$C,"&gt;="&amp;DATE(2027,3,1),Report!$C:$C,"&lt;"&amp;DATE(2027,4,1))</f>
        <v>0</v>
      </c>
      <c r="Q6" s="15" t="n">
        <f aca="false">SUMIFS(Report!$U:$U,Report!$Z:$Z,"Empréstimo",Report!$AA:$AA,"SIM",Report!$C:$C,"&gt;="&amp;DATE(2027,4,1),Report!$C:$C,"&lt;"&amp;DATE(2027,5,1))</f>
        <v>0</v>
      </c>
      <c r="R6" s="15" t="n">
        <f aca="false">SUMIFS(Report!$U:$U,Report!$Z:$Z,"Empréstimo",Report!$AA:$AA,"SIM",Report!$C:$C,"&gt;="&amp;DATE(2027,5,1),Report!$C:$C,"&lt;"&amp;DATE(2027,6,1))</f>
        <v>0</v>
      </c>
      <c r="S6" s="15" t="n">
        <f aca="false">SUMIFS(Report!$U:$U,Report!$Z:$Z,"Empréstimo",Report!$AA:$AA,"SIM",Report!$C:$C,"&gt;="&amp;DATE(2027,6,1),Report!$C:$C,"&lt;"&amp;DATE(2027,7,1))</f>
        <v>0</v>
      </c>
      <c r="T6" s="15" t="n">
        <f aca="false">SUMIFS(Report!$U:$U,Report!$Z:$Z,"Empréstimo",Report!$AA:$AA,"SIM",Report!$C:$C,"&gt;="&amp;DATE(2027,7,1),Report!$C:$C,"&lt;"&amp;DATE(2027,8,1))</f>
        <v>0</v>
      </c>
      <c r="U6" s="15" t="n">
        <f aca="false">SUMIFS(Report!$U:$U,Report!$Z:$Z,"Empréstimo",Report!$AA:$AA,"SIM",Report!$C:$C,"&gt;="&amp;DATE(2027,8,1),Report!$C:$C,"&lt;"&amp;DATE(2027,9,1))</f>
        <v>0</v>
      </c>
      <c r="V6" s="15" t="n">
        <f aca="false">SUMIFS(Report!$U:$U,Report!$Z:$Z,"Empréstimo",Report!$AA:$AA,"SIM",Report!$C:$C,"&gt;="&amp;DATE(2027,9,1),Report!$C:$C,"&lt;"&amp;DATE(2027,10,1))</f>
        <v>0</v>
      </c>
      <c r="W6" s="15" t="n">
        <f aca="false">SUMIFS(Report!$U:$U,Report!$Z:$Z,"Empréstimo",Report!$AA:$AA,"SIM",Report!$C:$C,"&gt;="&amp;DATE(2027,10,1),Report!$C:$C,"&lt;"&amp;DATE(2027,11,1))</f>
        <v>0</v>
      </c>
      <c r="X6" s="15" t="n">
        <f aca="false">SUMIFS(Report!$U:$U,Report!$Z:$Z,"Empréstimo",Report!$AA:$AA,"SIM",Report!$C:$C,"&gt;="&amp;DATE(2027,11,1),Report!$C:$C,"&lt;"&amp;DATE(2027,12,1))</f>
        <v>0</v>
      </c>
      <c r="Y6" s="15" t="n">
        <f aca="false">SUMIFS(Report!$U:$U,Report!$Z:$Z,"Empréstimo",Report!$AA:$AA,"SIM",Report!$C:$C,"&gt;="&amp;DATE(2027,12,1),Report!$C:$C,"&lt;"&amp;DATE(2028,1,1))</f>
        <v>0</v>
      </c>
      <c r="Z6" s="15" t="n">
        <f aca="false">SUM(B6:Y6)</f>
        <v>60014.63</v>
      </c>
      <c r="AB6" s="0" t="s">
        <v>431</v>
      </c>
      <c r="AC6" s="0" t="s">
        <v>2116</v>
      </c>
    </row>
    <row r="7" customFormat="false" ht="12.75" hidden="false" customHeight="true" outlineLevel="0" collapsed="false">
      <c r="A7" s="0" t="s">
        <v>2118</v>
      </c>
      <c r="B7" s="15" t="n">
        <f aca="false">SUMIFS(Report!$U:$U,Report!$Z:$Z,"Impostos",Report!$AA:$AA,"SIM",Report!$C:$C,"&gt;="&amp;DATE(2026,1,1),Report!$C:$C,"&lt;"&amp;DATE(2026,2,1))</f>
        <v>0</v>
      </c>
      <c r="C7" s="15" t="n">
        <f aca="false">SUMIFS(Report!$U:$U,Report!$Z:$Z,"Impostos",Report!$AA:$AA,"SIM",Report!$C:$C,"&gt;="&amp;DATE(2026,2,1),Report!$C:$C,"&lt;"&amp;DATE(2026,3,1))</f>
        <v>0</v>
      </c>
      <c r="D7" s="15" t="n">
        <f aca="false">SUMIFS(Report!$U:$U,Report!$Z:$Z,"Impostos",Report!$AA:$AA,"SIM",Report!$C:$C,"&gt;="&amp;DATE(2026,3,1),Report!$C:$C,"&lt;"&amp;DATE(2026,4,1))</f>
        <v>0</v>
      </c>
      <c r="E7" s="15" t="n">
        <f aca="false">SUMIFS(Report!$U:$U,Report!$Z:$Z,"Impostos",Report!$AA:$AA,"SIM",Report!$C:$C,"&gt;="&amp;DATE(2026,4,1),Report!$C:$C,"&lt;"&amp;DATE(2026,5,1))</f>
        <v>0</v>
      </c>
      <c r="F7" s="15" t="n">
        <f aca="false">SUMIFS(Report!$U:$U,Report!$Z:$Z,"Impostos",Report!$AA:$AA,"SIM",Report!$C:$C,"&gt;="&amp;DATE(2026,5,1),Report!$C:$C,"&lt;"&amp;DATE(2026,6,1))</f>
        <v>0</v>
      </c>
      <c r="G7" s="15" t="n">
        <f aca="false">SUMIFS(Report!$U:$U,Report!$Z:$Z,"Impostos",Report!$AA:$AA,"SIM",Report!$C:$C,"&gt;="&amp;DATE(2026,6,1),Report!$C:$C,"&lt;"&amp;DATE(2026,7,1))</f>
        <v>6236.68</v>
      </c>
      <c r="H7" s="15" t="n">
        <f aca="false">SUMIFS(Report!$U:$U,Report!$Z:$Z,"Impostos",Report!$AA:$AA,"SIM",Report!$C:$C,"&gt;="&amp;DATE(2026,7,1),Report!$C:$C,"&lt;"&amp;DATE(2026,8,1))</f>
        <v>5741.39</v>
      </c>
      <c r="I7" s="15" t="n">
        <f aca="false">SUMIFS(Report!$U:$U,Report!$Z:$Z,"Impostos",Report!$AA:$AA,"SIM",Report!$C:$C,"&gt;="&amp;DATE(2026,8,1),Report!$C:$C,"&lt;"&amp;DATE(2026,9,1))</f>
        <v>6049.89</v>
      </c>
      <c r="J7" s="15" t="n">
        <f aca="false">SUMIFS(Report!$U:$U,Report!$Z:$Z,"Impostos",Report!$AA:$AA,"SIM",Report!$C:$C,"&gt;="&amp;DATE(2026,9,1),Report!$C:$C,"&lt;"&amp;DATE(2026,10,1))</f>
        <v>9231.63</v>
      </c>
      <c r="K7" s="15" t="n">
        <f aca="false">SUMIFS(Report!$U:$U,Report!$Z:$Z,"Impostos",Report!$AA:$AA,"SIM",Report!$C:$C,"&gt;="&amp;DATE(2026,10,1),Report!$C:$C,"&lt;"&amp;DATE(2026,11,1))</f>
        <v>5302.57</v>
      </c>
      <c r="L7" s="15" t="n">
        <f aca="false">SUMIFS(Report!$U:$U,Report!$Z:$Z,"Impostos",Report!$AA:$AA,"SIM",Report!$C:$C,"&gt;="&amp;DATE(2026,11,1),Report!$C:$C,"&lt;"&amp;DATE(2026,12,1))</f>
        <v>228.88</v>
      </c>
      <c r="M7" s="15" t="n">
        <f aca="false">SUMIFS(Report!$U:$U,Report!$Z:$Z,"Impostos",Report!$AA:$AA,"SIM",Report!$C:$C,"&gt;="&amp;DATE(2026,12,1),Report!$C:$C,"&lt;"&amp;DATE(2027,1,1))</f>
        <v>228.88</v>
      </c>
      <c r="N7" s="15" t="n">
        <f aca="false">SUMIFS(Report!$U:$U,Report!$Z:$Z,"Impostos",Report!$AA:$AA,"SIM",Report!$C:$C,"&gt;="&amp;DATE(2027,1,1),Report!$C:$C,"&lt;"&amp;DATE(2027,2,1))</f>
        <v>0</v>
      </c>
      <c r="O7" s="15" t="n">
        <f aca="false">SUMIFS(Report!$U:$U,Report!$Z:$Z,"Impostos",Report!$AA:$AA,"SIM",Report!$C:$C,"&gt;="&amp;DATE(2027,2,1),Report!$C:$C,"&lt;"&amp;DATE(2027,3,1))</f>
        <v>0</v>
      </c>
      <c r="P7" s="15" t="n">
        <f aca="false">SUMIFS(Report!$U:$U,Report!$Z:$Z,"Impostos",Report!$AA:$AA,"SIM",Report!$C:$C,"&gt;="&amp;DATE(2027,3,1),Report!$C:$C,"&lt;"&amp;DATE(2027,4,1))</f>
        <v>0</v>
      </c>
      <c r="Q7" s="15" t="n">
        <f aca="false">SUMIFS(Report!$U:$U,Report!$Z:$Z,"Impostos",Report!$AA:$AA,"SIM",Report!$C:$C,"&gt;="&amp;DATE(2027,4,1),Report!$C:$C,"&lt;"&amp;DATE(2027,5,1))</f>
        <v>0</v>
      </c>
      <c r="R7" s="15" t="n">
        <f aca="false">SUMIFS(Report!$U:$U,Report!$Z:$Z,"Impostos",Report!$AA:$AA,"SIM",Report!$C:$C,"&gt;="&amp;DATE(2027,5,1),Report!$C:$C,"&lt;"&amp;DATE(2027,6,1))</f>
        <v>0</v>
      </c>
      <c r="S7" s="15" t="n">
        <f aca="false">SUMIFS(Report!$U:$U,Report!$Z:$Z,"Impostos",Report!$AA:$AA,"SIM",Report!$C:$C,"&gt;="&amp;DATE(2027,6,1),Report!$C:$C,"&lt;"&amp;DATE(2027,7,1))</f>
        <v>0</v>
      </c>
      <c r="T7" s="15" t="n">
        <f aca="false">SUMIFS(Report!$U:$U,Report!$Z:$Z,"Impostos",Report!$AA:$AA,"SIM",Report!$C:$C,"&gt;="&amp;DATE(2027,7,1),Report!$C:$C,"&lt;"&amp;DATE(2027,8,1))</f>
        <v>0</v>
      </c>
      <c r="U7" s="15" t="n">
        <f aca="false">SUMIFS(Report!$U:$U,Report!$Z:$Z,"Impostos",Report!$AA:$AA,"SIM",Report!$C:$C,"&gt;="&amp;DATE(2027,8,1),Report!$C:$C,"&lt;"&amp;DATE(2027,9,1))</f>
        <v>0</v>
      </c>
      <c r="V7" s="15" t="n">
        <f aca="false">SUMIFS(Report!$U:$U,Report!$Z:$Z,"Impostos",Report!$AA:$AA,"SIM",Report!$C:$C,"&gt;="&amp;DATE(2027,9,1),Report!$C:$C,"&lt;"&amp;DATE(2027,10,1))</f>
        <v>0</v>
      </c>
      <c r="W7" s="15" t="n">
        <f aca="false">SUMIFS(Report!$U:$U,Report!$Z:$Z,"Impostos",Report!$AA:$AA,"SIM",Report!$C:$C,"&gt;="&amp;DATE(2027,10,1),Report!$C:$C,"&lt;"&amp;DATE(2027,11,1))</f>
        <v>0</v>
      </c>
      <c r="X7" s="15" t="n">
        <f aca="false">SUMIFS(Report!$U:$U,Report!$Z:$Z,"Impostos",Report!$AA:$AA,"SIM",Report!$C:$C,"&gt;="&amp;DATE(2027,11,1),Report!$C:$C,"&lt;"&amp;DATE(2027,12,1))</f>
        <v>0</v>
      </c>
      <c r="Y7" s="15" t="n">
        <f aca="false">SUMIFS(Report!$U:$U,Report!$Z:$Z,"Impostos",Report!$AA:$AA,"SIM",Report!$C:$C,"&gt;="&amp;DATE(2027,12,1),Report!$C:$C,"&lt;"&amp;DATE(2028,1,1))</f>
        <v>0</v>
      </c>
      <c r="Z7" s="15" t="n">
        <f aca="false">SUM(B7:Y7)</f>
        <v>33019.92</v>
      </c>
      <c r="AB7" s="0" t="s">
        <v>516</v>
      </c>
      <c r="AC7" s="0" t="s">
        <v>2116</v>
      </c>
    </row>
    <row r="8" customFormat="false" ht="12.75" hidden="false" customHeight="true" outlineLevel="0" collapsed="false">
      <c r="A8" s="0" t="s">
        <v>2119</v>
      </c>
      <c r="B8" s="15" t="n">
        <f aca="false">SUMIFS(Report!$U:$U,Report!$Z:$Z,"Mercadoria",Report!$AA:$AA,"SIM",Report!$C:$C,"&gt;="&amp;DATE(2026,1,1),Report!$C:$C,"&lt;"&amp;DATE(2026,2,1))</f>
        <v>0</v>
      </c>
      <c r="C8" s="15" t="n">
        <f aca="false">SUMIFS(Report!$U:$U,Report!$Z:$Z,"Mercadoria",Report!$AA:$AA,"SIM",Report!$C:$C,"&gt;="&amp;DATE(2026,2,1),Report!$C:$C,"&lt;"&amp;DATE(2026,3,1))</f>
        <v>0</v>
      </c>
      <c r="D8" s="15" t="n">
        <f aca="false">SUMIFS(Report!$U:$U,Report!$Z:$Z,"Mercadoria",Report!$AA:$AA,"SIM",Report!$C:$C,"&gt;="&amp;DATE(2026,3,1),Report!$C:$C,"&lt;"&amp;DATE(2026,4,1))</f>
        <v>0</v>
      </c>
      <c r="E8" s="15" t="n">
        <f aca="false">SUMIFS(Report!$U:$U,Report!$Z:$Z,"Mercadoria",Report!$AA:$AA,"SIM",Report!$C:$C,"&gt;="&amp;DATE(2026,4,1),Report!$C:$C,"&lt;"&amp;DATE(2026,5,1))</f>
        <v>0</v>
      </c>
      <c r="F8" s="15" t="n">
        <f aca="false">SUMIFS(Report!$U:$U,Report!$Z:$Z,"Mercadoria",Report!$AA:$AA,"SIM",Report!$C:$C,"&gt;="&amp;DATE(2026,5,1),Report!$C:$C,"&lt;"&amp;DATE(2026,6,1))</f>
        <v>0</v>
      </c>
      <c r="G8" s="15" t="n">
        <f aca="false">SUMIFS(Report!$U:$U,Report!$Z:$Z,"Mercadoria",Report!$AA:$AA,"SIM",Report!$C:$C,"&gt;="&amp;DATE(2026,6,1),Report!$C:$C,"&lt;"&amp;DATE(2026,7,1))</f>
        <v>278857.68</v>
      </c>
      <c r="H8" s="15" t="n">
        <f aca="false">SUMIFS(Report!$U:$U,Report!$Z:$Z,"Mercadoria",Report!$AA:$AA,"SIM",Report!$C:$C,"&gt;="&amp;DATE(2026,7,1),Report!$C:$C,"&lt;"&amp;DATE(2026,8,1))</f>
        <v>301549.13</v>
      </c>
      <c r="I8" s="15" t="n">
        <f aca="false">SUMIFS(Report!$U:$U,Report!$Z:$Z,"Mercadoria",Report!$AA:$AA,"SIM",Report!$C:$C,"&gt;="&amp;DATE(2026,8,1),Report!$C:$C,"&lt;"&amp;DATE(2026,9,1))</f>
        <v>283912.43</v>
      </c>
      <c r="J8" s="15" t="n">
        <f aca="false">SUMIFS(Report!$U:$U,Report!$Z:$Z,"Mercadoria",Report!$AA:$AA,"SIM",Report!$C:$C,"&gt;="&amp;DATE(2026,9,1),Report!$C:$C,"&lt;"&amp;DATE(2026,10,1))</f>
        <v>299933.52</v>
      </c>
      <c r="K8" s="15" t="n">
        <f aca="false">SUMIFS(Report!$U:$U,Report!$Z:$Z,"Mercadoria",Report!$AA:$AA,"SIM",Report!$C:$C,"&gt;="&amp;DATE(2026,10,1),Report!$C:$C,"&lt;"&amp;DATE(2026,11,1))</f>
        <v>115260.44</v>
      </c>
      <c r="L8" s="15" t="n">
        <f aca="false">SUMIFS(Report!$U:$U,Report!$Z:$Z,"Mercadoria",Report!$AA:$AA,"SIM",Report!$C:$C,"&gt;="&amp;DATE(2026,11,1),Report!$C:$C,"&lt;"&amp;DATE(2026,12,1))</f>
        <v>8079.71</v>
      </c>
      <c r="M8" s="15" t="n">
        <f aca="false">SUMIFS(Report!$U:$U,Report!$Z:$Z,"Mercadoria",Report!$AA:$AA,"SIM",Report!$C:$C,"&gt;="&amp;DATE(2026,12,1),Report!$C:$C,"&lt;"&amp;DATE(2027,1,1))</f>
        <v>3323.62</v>
      </c>
      <c r="N8" s="15" t="n">
        <f aca="false">SUMIFS(Report!$U:$U,Report!$Z:$Z,"Mercadoria",Report!$AA:$AA,"SIM",Report!$C:$C,"&gt;="&amp;DATE(2027,1,1),Report!$C:$C,"&lt;"&amp;DATE(2027,2,1))</f>
        <v>0</v>
      </c>
      <c r="O8" s="15" t="n">
        <f aca="false">SUMIFS(Report!$U:$U,Report!$Z:$Z,"Mercadoria",Report!$AA:$AA,"SIM",Report!$C:$C,"&gt;="&amp;DATE(2027,2,1),Report!$C:$C,"&lt;"&amp;DATE(2027,3,1))</f>
        <v>0</v>
      </c>
      <c r="P8" s="15" t="n">
        <f aca="false">SUMIFS(Report!$U:$U,Report!$Z:$Z,"Mercadoria",Report!$AA:$AA,"SIM",Report!$C:$C,"&gt;="&amp;DATE(2027,3,1),Report!$C:$C,"&lt;"&amp;DATE(2027,4,1))</f>
        <v>0</v>
      </c>
      <c r="Q8" s="15" t="n">
        <f aca="false">SUMIFS(Report!$U:$U,Report!$Z:$Z,"Mercadoria",Report!$AA:$AA,"SIM",Report!$C:$C,"&gt;="&amp;DATE(2027,4,1),Report!$C:$C,"&lt;"&amp;DATE(2027,5,1))</f>
        <v>0</v>
      </c>
      <c r="R8" s="15" t="n">
        <f aca="false">SUMIFS(Report!$U:$U,Report!$Z:$Z,"Mercadoria",Report!$AA:$AA,"SIM",Report!$C:$C,"&gt;="&amp;DATE(2027,5,1),Report!$C:$C,"&lt;"&amp;DATE(2027,6,1))</f>
        <v>0</v>
      </c>
      <c r="S8" s="15" t="n">
        <f aca="false">SUMIFS(Report!$U:$U,Report!$Z:$Z,"Mercadoria",Report!$AA:$AA,"SIM",Report!$C:$C,"&gt;="&amp;DATE(2027,6,1),Report!$C:$C,"&lt;"&amp;DATE(2027,7,1))</f>
        <v>0</v>
      </c>
      <c r="T8" s="15" t="n">
        <f aca="false">SUMIFS(Report!$U:$U,Report!$Z:$Z,"Mercadoria",Report!$AA:$AA,"SIM",Report!$C:$C,"&gt;="&amp;DATE(2027,7,1),Report!$C:$C,"&lt;"&amp;DATE(2027,8,1))</f>
        <v>0</v>
      </c>
      <c r="U8" s="15" t="n">
        <f aca="false">SUMIFS(Report!$U:$U,Report!$Z:$Z,"Mercadoria",Report!$AA:$AA,"SIM",Report!$C:$C,"&gt;="&amp;DATE(2027,8,1),Report!$C:$C,"&lt;"&amp;DATE(2027,9,1))</f>
        <v>0</v>
      </c>
      <c r="V8" s="15" t="n">
        <f aca="false">SUMIFS(Report!$U:$U,Report!$Z:$Z,"Mercadoria",Report!$AA:$AA,"SIM",Report!$C:$C,"&gt;="&amp;DATE(2027,9,1),Report!$C:$C,"&lt;"&amp;DATE(2027,10,1))</f>
        <v>0</v>
      </c>
      <c r="W8" s="15" t="n">
        <f aca="false">SUMIFS(Report!$U:$U,Report!$Z:$Z,"Mercadoria",Report!$AA:$AA,"SIM",Report!$C:$C,"&gt;="&amp;DATE(2027,10,1),Report!$C:$C,"&lt;"&amp;DATE(2027,11,1))</f>
        <v>0</v>
      </c>
      <c r="X8" s="15" t="n">
        <f aca="false">SUMIFS(Report!$U:$U,Report!$Z:$Z,"Mercadoria",Report!$AA:$AA,"SIM",Report!$C:$C,"&gt;="&amp;DATE(2027,11,1),Report!$C:$C,"&lt;"&amp;DATE(2027,12,1))</f>
        <v>0</v>
      </c>
      <c r="Y8" s="15" t="n">
        <f aca="false">SUMIFS(Report!$U:$U,Report!$Z:$Z,"Mercadoria",Report!$AA:$AA,"SIM",Report!$C:$C,"&gt;="&amp;DATE(2027,12,1),Report!$C:$C,"&lt;"&amp;DATE(2028,1,1))</f>
        <v>0</v>
      </c>
      <c r="Z8" s="15" t="n">
        <f aca="false">SUM(B8:Y8)</f>
        <v>1290916.53</v>
      </c>
      <c r="AB8" s="0" t="s">
        <v>521</v>
      </c>
      <c r="AC8" s="0" t="s">
        <v>2113</v>
      </c>
    </row>
    <row r="9" customFormat="false" ht="12.75" hidden="false" customHeight="true" outlineLevel="0" collapsed="false">
      <c r="A9" s="0" t="s">
        <v>2120</v>
      </c>
      <c r="B9" s="15" t="n">
        <f aca="false">SUMIFS(Report!$U:$U,Report!$Z:$Z,"Pagamentos outros não operacionais",Report!$AA:$AA,"SIM",Report!$C:$C,"&gt;="&amp;DATE(2026,1,1),Report!$C:$C,"&lt;"&amp;DATE(2026,2,1))</f>
        <v>0</v>
      </c>
      <c r="C9" s="15" t="n">
        <f aca="false">SUMIFS(Report!$U:$U,Report!$Z:$Z,"Pagamentos outros não operacionais",Report!$AA:$AA,"SIM",Report!$C:$C,"&gt;="&amp;DATE(2026,2,1),Report!$C:$C,"&lt;"&amp;DATE(2026,3,1))</f>
        <v>0</v>
      </c>
      <c r="D9" s="15" t="n">
        <f aca="false">SUMIFS(Report!$U:$U,Report!$Z:$Z,"Pagamentos outros não operacionais",Report!$AA:$AA,"SIM",Report!$C:$C,"&gt;="&amp;DATE(2026,3,1),Report!$C:$C,"&lt;"&amp;DATE(2026,4,1))</f>
        <v>0</v>
      </c>
      <c r="E9" s="15" t="n">
        <f aca="false">SUMIFS(Report!$U:$U,Report!$Z:$Z,"Pagamentos outros não operacionais",Report!$AA:$AA,"SIM",Report!$C:$C,"&gt;="&amp;DATE(2026,4,1),Report!$C:$C,"&lt;"&amp;DATE(2026,5,1))</f>
        <v>0</v>
      </c>
      <c r="F9" s="15" t="n">
        <f aca="false">SUMIFS(Report!$U:$U,Report!$Z:$Z,"Pagamentos outros não operacionais",Report!$AA:$AA,"SIM",Report!$C:$C,"&gt;="&amp;DATE(2026,5,1),Report!$C:$C,"&lt;"&amp;DATE(2026,6,1))</f>
        <v>0</v>
      </c>
      <c r="G9" s="15" t="n">
        <f aca="false">SUMIFS(Report!$U:$U,Report!$Z:$Z,"Pagamentos outros não operacionais",Report!$AA:$AA,"SIM",Report!$C:$C,"&gt;="&amp;DATE(2026,6,1),Report!$C:$C,"&lt;"&amp;DATE(2026,7,1))</f>
        <v>13993.94</v>
      </c>
      <c r="H9" s="15" t="n">
        <f aca="false">SUMIFS(Report!$U:$U,Report!$Z:$Z,"Pagamentos outros não operacionais",Report!$AA:$AA,"SIM",Report!$C:$C,"&gt;="&amp;DATE(2026,7,1),Report!$C:$C,"&lt;"&amp;DATE(2026,8,1))</f>
        <v>9541.27</v>
      </c>
      <c r="I9" s="15" t="n">
        <f aca="false">SUMIFS(Report!$U:$U,Report!$Z:$Z,"Pagamentos outros não operacionais",Report!$AA:$AA,"SIM",Report!$C:$C,"&gt;="&amp;DATE(2026,8,1),Report!$C:$C,"&lt;"&amp;DATE(2026,9,1))</f>
        <v>3380.74</v>
      </c>
      <c r="J9" s="15" t="n">
        <f aca="false">SUMIFS(Report!$U:$U,Report!$Z:$Z,"Pagamentos outros não operacionais",Report!$AA:$AA,"SIM",Report!$C:$C,"&gt;="&amp;DATE(2026,9,1),Report!$C:$C,"&lt;"&amp;DATE(2026,10,1))</f>
        <v>2224.55</v>
      </c>
      <c r="K9" s="15" t="n">
        <f aca="false">SUMIFS(Report!$U:$U,Report!$Z:$Z,"Pagamentos outros não operacionais",Report!$AA:$AA,"SIM",Report!$C:$C,"&gt;="&amp;DATE(2026,10,1),Report!$C:$C,"&lt;"&amp;DATE(2026,11,1))</f>
        <v>2544.8</v>
      </c>
      <c r="L9" s="15" t="n">
        <f aca="false">SUMIFS(Report!$U:$U,Report!$Z:$Z,"Pagamentos outros não operacionais",Report!$AA:$AA,"SIM",Report!$C:$C,"&gt;="&amp;DATE(2026,11,1),Report!$C:$C,"&lt;"&amp;DATE(2026,12,1))</f>
        <v>469.76</v>
      </c>
      <c r="M9" s="15" t="n">
        <f aca="false">SUMIFS(Report!$U:$U,Report!$Z:$Z,"Pagamentos outros não operacionais",Report!$AA:$AA,"SIM",Report!$C:$C,"&gt;="&amp;DATE(2026,12,1),Report!$C:$C,"&lt;"&amp;DATE(2027,1,1))</f>
        <v>469.76</v>
      </c>
      <c r="N9" s="15" t="n">
        <f aca="false">SUMIFS(Report!$U:$U,Report!$Z:$Z,"Pagamentos outros não operacionais",Report!$AA:$AA,"SIM",Report!$C:$C,"&gt;="&amp;DATE(2027,1,1),Report!$C:$C,"&lt;"&amp;DATE(2027,2,1))</f>
        <v>0</v>
      </c>
      <c r="O9" s="15" t="n">
        <f aca="false">SUMIFS(Report!$U:$U,Report!$Z:$Z,"Pagamentos outros não operacionais",Report!$AA:$AA,"SIM",Report!$C:$C,"&gt;="&amp;DATE(2027,2,1),Report!$C:$C,"&lt;"&amp;DATE(2027,3,1))</f>
        <v>0</v>
      </c>
      <c r="P9" s="15" t="n">
        <f aca="false">SUMIFS(Report!$U:$U,Report!$Z:$Z,"Pagamentos outros não operacionais",Report!$AA:$AA,"SIM",Report!$C:$C,"&gt;="&amp;DATE(2027,3,1),Report!$C:$C,"&lt;"&amp;DATE(2027,4,1))</f>
        <v>0</v>
      </c>
      <c r="Q9" s="15" t="n">
        <f aca="false">SUMIFS(Report!$U:$U,Report!$Z:$Z,"Pagamentos outros não operacionais",Report!$AA:$AA,"SIM",Report!$C:$C,"&gt;="&amp;DATE(2027,4,1),Report!$C:$C,"&lt;"&amp;DATE(2027,5,1))</f>
        <v>0</v>
      </c>
      <c r="R9" s="15" t="n">
        <f aca="false">SUMIFS(Report!$U:$U,Report!$Z:$Z,"Pagamentos outros não operacionais",Report!$AA:$AA,"SIM",Report!$C:$C,"&gt;="&amp;DATE(2027,5,1),Report!$C:$C,"&lt;"&amp;DATE(2027,6,1))</f>
        <v>0</v>
      </c>
      <c r="S9" s="15" t="n">
        <f aca="false">SUMIFS(Report!$U:$U,Report!$Z:$Z,"Pagamentos outros não operacionais",Report!$AA:$AA,"SIM",Report!$C:$C,"&gt;="&amp;DATE(2027,6,1),Report!$C:$C,"&lt;"&amp;DATE(2027,7,1))</f>
        <v>0</v>
      </c>
      <c r="T9" s="15" t="n">
        <f aca="false">SUMIFS(Report!$U:$U,Report!$Z:$Z,"Pagamentos outros não operacionais",Report!$AA:$AA,"SIM",Report!$C:$C,"&gt;="&amp;DATE(2027,7,1),Report!$C:$C,"&lt;"&amp;DATE(2027,8,1))</f>
        <v>0</v>
      </c>
      <c r="U9" s="15" t="n">
        <f aca="false">SUMIFS(Report!$U:$U,Report!$Z:$Z,"Pagamentos outros não operacionais",Report!$AA:$AA,"SIM",Report!$C:$C,"&gt;="&amp;DATE(2027,8,1),Report!$C:$C,"&lt;"&amp;DATE(2027,9,1))</f>
        <v>0</v>
      </c>
      <c r="V9" s="15" t="n">
        <f aca="false">SUMIFS(Report!$U:$U,Report!$Z:$Z,"Pagamentos outros não operacionais",Report!$AA:$AA,"SIM",Report!$C:$C,"&gt;="&amp;DATE(2027,9,1),Report!$C:$C,"&lt;"&amp;DATE(2027,10,1))</f>
        <v>0</v>
      </c>
      <c r="W9" s="15" t="n">
        <f aca="false">SUMIFS(Report!$U:$U,Report!$Z:$Z,"Pagamentos outros não operacionais",Report!$AA:$AA,"SIM",Report!$C:$C,"&gt;="&amp;DATE(2027,10,1),Report!$C:$C,"&lt;"&amp;DATE(2027,11,1))</f>
        <v>0</v>
      </c>
      <c r="X9" s="15" t="n">
        <f aca="false">SUMIFS(Report!$U:$U,Report!$Z:$Z,"Pagamentos outros não operacionais",Report!$AA:$AA,"SIM",Report!$C:$C,"&gt;="&amp;DATE(2027,11,1),Report!$C:$C,"&lt;"&amp;DATE(2027,12,1))</f>
        <v>0</v>
      </c>
      <c r="Y9" s="15" t="n">
        <f aca="false">SUMIFS(Report!$U:$U,Report!$Z:$Z,"Pagamentos outros não operacionais",Report!$AA:$AA,"SIM",Report!$C:$C,"&gt;="&amp;DATE(2027,12,1),Report!$C:$C,"&lt;"&amp;DATE(2028,1,1))</f>
        <v>0</v>
      </c>
      <c r="Z9" s="15" t="n">
        <f aca="false">SUM(B9:Y9)</f>
        <v>32624.82</v>
      </c>
      <c r="AB9" s="0" t="s">
        <v>117</v>
      </c>
      <c r="AC9" s="0" t="s">
        <v>2116</v>
      </c>
    </row>
    <row r="10" customFormat="false" ht="12.75" hidden="false" customHeight="true" outlineLevel="0" collapsed="false">
      <c r="A10" s="26" t="s">
        <v>2113</v>
      </c>
      <c r="B10" s="22" t="n">
        <f aca="false">SUMIFS(Report!$U:$U,Report!$Z:$Z,"Salários",Report!$AA:$AA,"SIM",Report!$C:$C,"&gt;="&amp;DATE(2026,1,1),Report!$C:$C,"&lt;"&amp;DATE(2026,2,1))</f>
        <v>0</v>
      </c>
      <c r="C10" s="22" t="n">
        <f aca="false">SUMIFS(Report!$U:$U,Report!$Z:$Z,"Salários",Report!$AA:$AA,"SIM",Report!$C:$C,"&gt;="&amp;DATE(2026,2,1),Report!$C:$C,"&lt;"&amp;DATE(2026,3,1))</f>
        <v>0</v>
      </c>
      <c r="D10" s="22" t="n">
        <f aca="false">SUMIFS(Report!$U:$U,Report!$Z:$Z,"Salários",Report!$AA:$AA,"SIM",Report!$C:$C,"&gt;="&amp;DATE(2026,3,1),Report!$C:$C,"&lt;"&amp;DATE(2026,4,1))</f>
        <v>0</v>
      </c>
      <c r="E10" s="22" t="n">
        <f aca="false">SUMIFS(Report!$U:$U,Report!$Z:$Z,"Salários",Report!$AA:$AA,"SIM",Report!$C:$C,"&gt;="&amp;DATE(2026,4,1),Report!$C:$C,"&lt;"&amp;DATE(2026,5,1))</f>
        <v>0</v>
      </c>
      <c r="F10" s="22" t="n">
        <f aca="false">SUMIFS(Report!$U:$U,Report!$Z:$Z,"Salários",Report!$AA:$AA,"SIM",Report!$C:$C,"&gt;="&amp;DATE(2026,5,1),Report!$C:$C,"&lt;"&amp;DATE(2026,6,1))</f>
        <v>0</v>
      </c>
      <c r="G10" s="22" t="n">
        <f aca="false">SUMIFS(Report!$U:$U,Report!$Z:$Z,"Salários",Report!$AA:$AA,"SIM",Report!$C:$C,"&gt;="&amp;DATE(2026,6,1),Report!$C:$C,"&lt;"&amp;DATE(2026,7,1))</f>
        <v>24257.19</v>
      </c>
      <c r="H10" s="22" t="n">
        <f aca="false">SUMIFS(Report!$U:$U,Report!$Z:$Z,"Salários",Report!$AA:$AA,"SIM",Report!$C:$C,"&gt;="&amp;DATE(2026,7,1),Report!$C:$C,"&lt;"&amp;DATE(2026,8,1))</f>
        <v>21595.9</v>
      </c>
      <c r="I10" s="22" t="n">
        <f aca="false">SUMIFS(Report!$U:$U,Report!$Z:$Z,"Salários",Report!$AA:$AA,"SIM",Report!$C:$C,"&gt;="&amp;DATE(2026,8,1),Report!$C:$C,"&lt;"&amp;DATE(2026,9,1))</f>
        <v>15168.41</v>
      </c>
      <c r="J10" s="22" t="n">
        <f aca="false">SUMIFS(Report!$U:$U,Report!$Z:$Z,"Salários",Report!$AA:$AA,"SIM",Report!$C:$C,"&gt;="&amp;DATE(2026,9,1),Report!$C:$C,"&lt;"&amp;DATE(2026,10,1))</f>
        <v>18997.54</v>
      </c>
      <c r="K10" s="22" t="n">
        <f aca="false">SUMIFS(Report!$U:$U,Report!$Z:$Z,"Salários",Report!$AA:$AA,"SIM",Report!$C:$C,"&gt;="&amp;DATE(2026,10,1),Report!$C:$C,"&lt;"&amp;DATE(2026,11,1))</f>
        <v>1835.76</v>
      </c>
      <c r="L10" s="22" t="n">
        <f aca="false">SUMIFS(Report!$U:$U,Report!$Z:$Z,"Salários",Report!$AA:$AA,"SIM",Report!$C:$C,"&gt;="&amp;DATE(2026,11,1),Report!$C:$C,"&lt;"&amp;DATE(2026,12,1))</f>
        <v>750.1</v>
      </c>
      <c r="M10" s="22" t="n">
        <f aca="false">SUMIFS(Report!$U:$U,Report!$Z:$Z,"Salários",Report!$AA:$AA,"SIM",Report!$C:$C,"&gt;="&amp;DATE(2026,12,1),Report!$C:$C,"&lt;"&amp;DATE(2027,1,1))</f>
        <v>250.1</v>
      </c>
      <c r="N10" s="22" t="n">
        <f aca="false">SUMIFS(Report!$U:$U,Report!$Z:$Z,"Salários",Report!$AA:$AA,"SIM",Report!$C:$C,"&gt;="&amp;DATE(2027,1,1),Report!$C:$C,"&lt;"&amp;DATE(2027,2,1))</f>
        <v>0</v>
      </c>
      <c r="O10" s="22" t="n">
        <f aca="false">SUMIFS(Report!$U:$U,Report!$Z:$Z,"Salários",Report!$AA:$AA,"SIM",Report!$C:$C,"&gt;="&amp;DATE(2027,2,1),Report!$C:$C,"&lt;"&amp;DATE(2027,3,1))</f>
        <v>0</v>
      </c>
      <c r="P10" s="22" t="n">
        <f aca="false">SUMIFS(Report!$U:$U,Report!$Z:$Z,"Salários",Report!$AA:$AA,"SIM",Report!$C:$C,"&gt;="&amp;DATE(2027,3,1),Report!$C:$C,"&lt;"&amp;DATE(2027,4,1))</f>
        <v>0</v>
      </c>
      <c r="Q10" s="22" t="n">
        <f aca="false">SUMIFS(Report!$U:$U,Report!$Z:$Z,"Salários",Report!$AA:$AA,"SIM",Report!$C:$C,"&gt;="&amp;DATE(2027,4,1),Report!$C:$C,"&lt;"&amp;DATE(2027,5,1))</f>
        <v>0</v>
      </c>
      <c r="R10" s="22" t="n">
        <f aca="false">SUMIFS(Report!$U:$U,Report!$Z:$Z,"Salários",Report!$AA:$AA,"SIM",Report!$C:$C,"&gt;="&amp;DATE(2027,5,1),Report!$C:$C,"&lt;"&amp;DATE(2027,6,1))</f>
        <v>0</v>
      </c>
      <c r="S10" s="22" t="n">
        <f aca="false">SUMIFS(Report!$U:$U,Report!$Z:$Z,"Salários",Report!$AA:$AA,"SIM",Report!$C:$C,"&gt;="&amp;DATE(2027,6,1),Report!$C:$C,"&lt;"&amp;DATE(2027,7,1))</f>
        <v>0</v>
      </c>
      <c r="T10" s="22" t="n">
        <f aca="false">SUMIFS(Report!$U:$U,Report!$Z:$Z,"Salários",Report!$AA:$AA,"SIM",Report!$C:$C,"&gt;="&amp;DATE(2027,7,1),Report!$C:$C,"&lt;"&amp;DATE(2027,8,1))</f>
        <v>0</v>
      </c>
      <c r="U10" s="22" t="n">
        <f aca="false">SUMIFS(Report!$U:$U,Report!$Z:$Z,"Salários",Report!$AA:$AA,"SIM",Report!$C:$C,"&gt;="&amp;DATE(2027,8,1),Report!$C:$C,"&lt;"&amp;DATE(2027,9,1))</f>
        <v>0</v>
      </c>
      <c r="V10" s="22" t="n">
        <f aca="false">SUMIFS(Report!$U:$U,Report!$Z:$Z,"Salários",Report!$AA:$AA,"SIM",Report!$C:$C,"&gt;="&amp;DATE(2027,9,1),Report!$C:$C,"&lt;"&amp;DATE(2027,10,1))</f>
        <v>0</v>
      </c>
      <c r="W10" s="22" t="n">
        <f aca="false">SUMIFS(Report!$U:$U,Report!$Z:$Z,"Salários",Report!$AA:$AA,"SIM",Report!$C:$C,"&gt;="&amp;DATE(2027,10,1),Report!$C:$C,"&lt;"&amp;DATE(2027,11,1))</f>
        <v>0</v>
      </c>
      <c r="X10" s="22" t="n">
        <f aca="false">SUMIFS(Report!$U:$U,Report!$Z:$Z,"Salários",Report!$AA:$AA,"SIM",Report!$C:$C,"&gt;="&amp;DATE(2027,11,1),Report!$C:$C,"&lt;"&amp;DATE(2027,12,1))</f>
        <v>0</v>
      </c>
      <c r="Y10" s="22" t="n">
        <f aca="false">SUMIFS(Report!$U:$U,Report!$Z:$Z,"Salários",Report!$AA:$AA,"SIM",Report!$C:$C,"&gt;="&amp;DATE(2027,12,1),Report!$C:$C,"&lt;"&amp;DATE(2028,1,1))</f>
        <v>0</v>
      </c>
      <c r="Z10" s="22" t="n">
        <f aca="false">SUM(B10:Y10)</f>
        <v>82855</v>
      </c>
      <c r="AB10" s="0" t="s">
        <v>1846</v>
      </c>
      <c r="AC10" s="0" t="s">
        <v>2116</v>
      </c>
    </row>
    <row r="11" customFormat="false" ht="12.75" hidden="false" customHeight="true" outlineLevel="0" collapsed="false">
      <c r="A11" s="0" t="s">
        <v>2121</v>
      </c>
      <c r="B11" s="15" t="n">
        <f aca="false">B3-SUM(B4:B10)</f>
        <v>0</v>
      </c>
      <c r="C11" s="15" t="n">
        <f aca="false">C3-SUM(C4:C10)</f>
        <v>0</v>
      </c>
      <c r="D11" s="15" t="n">
        <f aca="false">D3-SUM(D4:D10)</f>
        <v>0</v>
      </c>
      <c r="E11" s="15" t="n">
        <f aca="false">E3-SUM(E4:E10)</f>
        <v>0</v>
      </c>
      <c r="F11" s="15" t="n">
        <f aca="false">F3-SUM(F4:F10)</f>
        <v>0</v>
      </c>
      <c r="G11" s="15" t="n">
        <f aca="false">G3-SUM(G4:G10)</f>
        <v>0</v>
      </c>
      <c r="H11" s="15" t="n">
        <f aca="false">H3-SUM(H4:H10)</f>
        <v>0</v>
      </c>
      <c r="I11" s="15" t="n">
        <f aca="false">I3-SUM(I4:I10)</f>
        <v>0</v>
      </c>
      <c r="J11" s="15" t="n">
        <f aca="false">J3-SUM(J4:J10)</f>
        <v>0</v>
      </c>
      <c r="K11" s="15" t="n">
        <f aca="false">K3-SUM(K4:K10)</f>
        <v>0</v>
      </c>
      <c r="L11" s="15" t="n">
        <f aca="false">L3-SUM(L4:L10)</f>
        <v>0</v>
      </c>
      <c r="M11" s="15" t="n">
        <f aca="false">M3-SUM(M4:M10)</f>
        <v>0</v>
      </c>
      <c r="N11" s="15" t="n">
        <f aca="false">N3-SUM(N4:N10)</f>
        <v>0</v>
      </c>
      <c r="O11" s="15" t="n">
        <f aca="false">O3-SUM(O4:O10)</f>
        <v>0</v>
      </c>
      <c r="P11" s="15" t="n">
        <f aca="false">P3-SUM(P4:P10)</f>
        <v>0</v>
      </c>
      <c r="Q11" s="15" t="n">
        <f aca="false">Q3-SUM(Q4:Q10)</f>
        <v>0</v>
      </c>
      <c r="R11" s="15" t="n">
        <f aca="false">R3-SUM(R4:R10)</f>
        <v>0</v>
      </c>
      <c r="S11" s="15" t="n">
        <f aca="false">S3-SUM(S4:S10)</f>
        <v>0</v>
      </c>
      <c r="T11" s="15" t="n">
        <f aca="false">T3-SUM(T4:T10)</f>
        <v>0</v>
      </c>
      <c r="U11" s="15" t="n">
        <f aca="false">U3-SUM(U4:U10)</f>
        <v>0</v>
      </c>
      <c r="V11" s="15" t="n">
        <f aca="false">V3-SUM(V4:V10)</f>
        <v>0</v>
      </c>
      <c r="W11" s="15" t="n">
        <f aca="false">W3-SUM(W4:W10)</f>
        <v>0</v>
      </c>
      <c r="X11" s="15" t="n">
        <f aca="false">X3-SUM(X4:X10)</f>
        <v>0</v>
      </c>
      <c r="Y11" s="15" t="n">
        <f aca="false">Y3-SUM(Y4:Y10)</f>
        <v>0</v>
      </c>
      <c r="Z11" s="15" t="n">
        <f aca="false">SUM(B11:Y11)</f>
        <v>0</v>
      </c>
      <c r="AB11" s="0" t="s">
        <v>968</v>
      </c>
      <c r="AC11" s="0" t="s">
        <v>2116</v>
      </c>
    </row>
    <row r="12" customFormat="false" ht="12.75" hidden="false" customHeight="true" outlineLevel="0" collapsed="false">
      <c r="AB12" s="0" t="s">
        <v>605</v>
      </c>
      <c r="AC12" s="0" t="s">
        <v>2116</v>
      </c>
    </row>
    <row r="13" customFormat="false" ht="12.75" hidden="false" customHeight="true" outlineLevel="0" collapsed="false">
      <c r="A13" s="0" t="s">
        <v>2122</v>
      </c>
      <c r="B13" s="15" t="n">
        <f aca="false">SUM(B4,B5,B6,B7,B9,B10)</f>
        <v>0</v>
      </c>
      <c r="C13" s="15" t="n">
        <f aca="false">SUM(C4,C5,C6,C7,C9,C10)</f>
        <v>0</v>
      </c>
      <c r="D13" s="15" t="n">
        <f aca="false">SUM(D4,D5,D6,D7,D9,D10)</f>
        <v>0</v>
      </c>
      <c r="E13" s="15" t="n">
        <f aca="false">SUM(E4,E5,E6,E7,E9,E10)</f>
        <v>0</v>
      </c>
      <c r="F13" s="15" t="n">
        <f aca="false">SUM(F4,F5,F6,F7,F9,F10)</f>
        <v>0</v>
      </c>
      <c r="G13" s="15" t="n">
        <f aca="false">SUM(G4,G5,G6,G7,G9,G10)</f>
        <v>185751.86</v>
      </c>
      <c r="H13" s="15" t="n">
        <f aca="false">SUM(H4,H5,H6,H7,H9,H10)</f>
        <v>167820.57</v>
      </c>
      <c r="I13" s="15" t="n">
        <f aca="false">SUM(I4,I5,I6,I7,I9,I10)</f>
        <v>163494.1</v>
      </c>
      <c r="J13" s="15" t="n">
        <f aca="false">SUM(J4,J5,J6,J7,J9,J10)</f>
        <v>122607.81</v>
      </c>
      <c r="K13" s="15" t="n">
        <f aca="false">SUM(K4,K5,K6,K7,K9,K10)</f>
        <v>45884.55</v>
      </c>
      <c r="L13" s="15" t="n">
        <f aca="false">SUM(L4,L5,L6,L7,L9,L10)</f>
        <v>16627.46</v>
      </c>
      <c r="M13" s="15" t="n">
        <f aca="false">SUM(M4,M5,M6,M7,M9,M10)</f>
        <v>15798.12</v>
      </c>
      <c r="N13" s="15" t="n">
        <f aca="false">SUM(N4,N5,N6,N7,N9,N10)</f>
        <v>0</v>
      </c>
      <c r="O13" s="15" t="n">
        <f aca="false">SUM(O4,O5,O6,O7,O9,O10)</f>
        <v>0</v>
      </c>
      <c r="P13" s="15" t="n">
        <f aca="false">SUM(P4,P5,P6,P7,P9,P10)</f>
        <v>0</v>
      </c>
      <c r="Q13" s="15" t="n">
        <f aca="false">SUM(Q4,Q5,Q6,Q7,Q9,Q10)</f>
        <v>0</v>
      </c>
      <c r="R13" s="15" t="n">
        <f aca="false">SUM(R4,R5,R6,R7,R9,R10)</f>
        <v>0</v>
      </c>
      <c r="S13" s="15" t="n">
        <f aca="false">SUM(S4,S5,S6,S7,S9,S10)</f>
        <v>0</v>
      </c>
      <c r="T13" s="15" t="n">
        <f aca="false">SUM(T4,T5,T6,T7,T9,T10)</f>
        <v>0</v>
      </c>
      <c r="U13" s="15" t="n">
        <f aca="false">SUM(U4,U5,U6,U7,U9,U10)</f>
        <v>0</v>
      </c>
      <c r="V13" s="15" t="n">
        <f aca="false">SUM(V4,V5,V6,V7,V9,V10)</f>
        <v>0</v>
      </c>
      <c r="W13" s="15" t="n">
        <f aca="false">SUM(W4,W5,W6,W7,W9,W10)</f>
        <v>0</v>
      </c>
      <c r="X13" s="15" t="n">
        <f aca="false">SUM(X4,X5,X6,X7,X9,X10)</f>
        <v>0</v>
      </c>
      <c r="Y13" s="15" t="n">
        <f aca="false">SUM(Y4,Y5,Y6,Y7,Y9,Y10)</f>
        <v>0</v>
      </c>
      <c r="Z13" s="15" t="n">
        <f aca="false">SUM(B13:Y13)</f>
        <v>717984.47</v>
      </c>
      <c r="AB13" s="0" t="s">
        <v>682</v>
      </c>
      <c r="AC13" s="0" t="s">
        <v>2116</v>
      </c>
    </row>
    <row r="14" customFormat="false" ht="12.75" hidden="false" customHeight="true" outlineLevel="0" collapsed="false">
      <c r="AB14" s="0" t="s">
        <v>56</v>
      </c>
      <c r="AC14" s="0" t="s">
        <v>2115</v>
      </c>
    </row>
    <row r="15" customFormat="false" ht="12.75" hidden="false" customHeight="true" outlineLevel="0" collapsed="false">
      <c r="AB15" s="0" t="s">
        <v>513</v>
      </c>
      <c r="AC15" s="0" t="s">
        <v>2116</v>
      </c>
    </row>
    <row r="16" customFormat="false" ht="12.75" hidden="false" customHeight="true" outlineLevel="0" collapsed="false">
      <c r="A16" s="0" t="s">
        <v>2123</v>
      </c>
      <c r="B16" s="15" t="n">
        <f aca="false">SUMIFS(Report!$U:$U,Report!$AA:$AA,"NAO",Report!$C:$C,"&gt;="&amp;DATE(2026,1,1),Report!$C:$C,"&lt;"&amp;DATE(2028,1,1))</f>
        <v>0</v>
      </c>
      <c r="AB16" s="0" t="s">
        <v>165</v>
      </c>
      <c r="AC16" s="0" t="s">
        <v>2116</v>
      </c>
    </row>
    <row r="17" customFormat="false" ht="12.75" hidden="false" customHeight="true" outlineLevel="0" collapsed="false">
      <c r="A17" s="0" t="s">
        <v>2124</v>
      </c>
      <c r="AB17" s="0" t="s">
        <v>1091</v>
      </c>
      <c r="AC17" s="0" t="s">
        <v>2116</v>
      </c>
    </row>
    <row r="18" customFormat="false" ht="12.75" hidden="false" customHeight="true" outlineLevel="0" collapsed="false">
      <c r="AB18" s="0" t="s">
        <v>143</v>
      </c>
      <c r="AC18" s="0" t="s">
        <v>2116</v>
      </c>
    </row>
    <row r="19" customFormat="false" ht="12.75" hidden="false" customHeight="true" outlineLevel="0" collapsed="false">
      <c r="AB19" s="0" t="s">
        <v>68</v>
      </c>
      <c r="AC19" s="0" t="s">
        <v>2116</v>
      </c>
    </row>
    <row r="20" customFormat="false" ht="12.75" hidden="false" customHeight="true" outlineLevel="0" collapsed="false">
      <c r="AB20" s="0" t="s">
        <v>1398</v>
      </c>
      <c r="AC20" s="0" t="s">
        <v>2116</v>
      </c>
    </row>
    <row r="21" customFormat="false" ht="12.75" hidden="false" customHeight="true" outlineLevel="0" collapsed="false">
      <c r="AB21" s="0" t="s">
        <v>159</v>
      </c>
      <c r="AC21" s="0" t="s">
        <v>2113</v>
      </c>
    </row>
    <row r="22" customFormat="false" ht="12.75" hidden="false" customHeight="true" outlineLevel="0" collapsed="false">
      <c r="AB22" s="0" t="s">
        <v>324</v>
      </c>
      <c r="AC22" s="0" t="s">
        <v>2117</v>
      </c>
    </row>
    <row r="23" customFormat="false" ht="12.75" hidden="false" customHeight="true" outlineLevel="0" collapsed="false">
      <c r="AB23" s="0" t="s">
        <v>545</v>
      </c>
      <c r="AC23" s="0" t="s">
        <v>2116</v>
      </c>
    </row>
    <row r="24" customFormat="false" ht="12.75" hidden="false" customHeight="true" outlineLevel="0" collapsed="false">
      <c r="AB24" s="0" t="s">
        <v>855</v>
      </c>
      <c r="AC24" s="0" t="s">
        <v>2113</v>
      </c>
    </row>
    <row r="25" customFormat="false" ht="12.75" hidden="false" customHeight="true" outlineLevel="0" collapsed="false">
      <c r="AB25" s="0" t="s">
        <v>1118</v>
      </c>
      <c r="AC25" s="0" t="s">
        <v>2113</v>
      </c>
    </row>
    <row r="26" customFormat="false" ht="12.75" hidden="false" customHeight="true" outlineLevel="0" collapsed="false">
      <c r="AB26" s="0" t="s">
        <v>485</v>
      </c>
      <c r="AC26" s="0" t="s">
        <v>2118</v>
      </c>
    </row>
    <row r="27" customFormat="false" ht="12.75" hidden="false" customHeight="true" outlineLevel="0" collapsed="false">
      <c r="AB27" s="0" t="s">
        <v>43</v>
      </c>
      <c r="AC27" s="0" t="s">
        <v>2116</v>
      </c>
    </row>
    <row r="28" customFormat="false" ht="12.75" hidden="false" customHeight="true" outlineLevel="0" collapsed="false">
      <c r="AB28" s="0" t="s">
        <v>379</v>
      </c>
      <c r="AC28" s="0" t="s">
        <v>2116</v>
      </c>
    </row>
    <row r="29" customFormat="false" ht="12.75" hidden="false" customHeight="true" outlineLevel="0" collapsed="false">
      <c r="AB29" s="0" t="s">
        <v>757</v>
      </c>
      <c r="AC29" s="0" t="s">
        <v>2116</v>
      </c>
    </row>
    <row r="30" customFormat="false" ht="12.75" hidden="false" customHeight="true" outlineLevel="0" collapsed="false">
      <c r="AB30" s="0" t="s">
        <v>113</v>
      </c>
      <c r="AC30" s="0" t="s">
        <v>2116</v>
      </c>
    </row>
    <row r="31" customFormat="false" ht="12.75" hidden="false" customHeight="true" outlineLevel="0" collapsed="false">
      <c r="AB31" s="0" t="s">
        <v>2030</v>
      </c>
      <c r="AC31" s="0" t="s">
        <v>2118</v>
      </c>
    </row>
    <row r="32" customFormat="false" ht="12.75" hidden="false" customHeight="true" outlineLevel="0" collapsed="false">
      <c r="AB32" s="0" t="s">
        <v>771</v>
      </c>
      <c r="AC32" s="0" t="s">
        <v>2116</v>
      </c>
    </row>
    <row r="33" customFormat="false" ht="12.75" hidden="false" customHeight="true" outlineLevel="0" collapsed="false">
      <c r="AB33" s="0" t="s">
        <v>483</v>
      </c>
      <c r="AC33" s="0" t="s">
        <v>2118</v>
      </c>
    </row>
    <row r="34" customFormat="false" ht="12.75" hidden="false" customHeight="true" outlineLevel="0" collapsed="false">
      <c r="AB34" s="0" t="s">
        <v>279</v>
      </c>
      <c r="AC34" s="0" t="s">
        <v>2116</v>
      </c>
    </row>
    <row r="35" customFormat="false" ht="12.75" hidden="false" customHeight="true" outlineLevel="0" collapsed="false">
      <c r="AB35" s="0" t="s">
        <v>139</v>
      </c>
      <c r="AC35" s="0" t="s">
        <v>2116</v>
      </c>
    </row>
    <row r="36" customFormat="false" ht="12.75" hidden="false" customHeight="true" outlineLevel="0" collapsed="false">
      <c r="AB36" s="0" t="s">
        <v>422</v>
      </c>
      <c r="AC36" s="0" t="s">
        <v>2118</v>
      </c>
    </row>
    <row r="37" customFormat="false" ht="12.75" hidden="false" customHeight="true" outlineLevel="0" collapsed="false">
      <c r="AB37" s="0" t="s">
        <v>1099</v>
      </c>
      <c r="AC37" s="0" t="s">
        <v>2116</v>
      </c>
    </row>
    <row r="38" customFormat="false" ht="12.75" hidden="false" customHeight="true" outlineLevel="0" collapsed="false">
      <c r="AB38" s="0" t="s">
        <v>246</v>
      </c>
      <c r="AC38" s="0" t="s">
        <v>2117</v>
      </c>
    </row>
    <row r="39" customFormat="false" ht="12.75" hidden="false" customHeight="true" outlineLevel="0" collapsed="false">
      <c r="AB39" s="0" t="s">
        <v>1928</v>
      </c>
      <c r="AC39" s="0" t="s">
        <v>2116</v>
      </c>
    </row>
    <row r="40" customFormat="false" ht="12.75" hidden="false" customHeight="true" outlineLevel="0" collapsed="false">
      <c r="AB40" s="0" t="s">
        <v>737</v>
      </c>
      <c r="AC40" s="0" t="s">
        <v>2116</v>
      </c>
    </row>
    <row r="41" customFormat="false" ht="12.75" hidden="false" customHeight="true" outlineLevel="0" collapsed="false">
      <c r="AB41" s="0" t="s">
        <v>320</v>
      </c>
      <c r="AC41" s="0" t="s">
        <v>2116</v>
      </c>
    </row>
    <row r="42" customFormat="false" ht="12.75" hidden="false" customHeight="true" outlineLevel="0" collapsed="false">
      <c r="AB42" s="0" t="s">
        <v>99</v>
      </c>
      <c r="AC42" s="0" t="s">
        <v>2116</v>
      </c>
    </row>
    <row r="43" customFormat="false" ht="12.75" hidden="false" customHeight="true" outlineLevel="0" collapsed="false">
      <c r="AB43" s="0" t="s">
        <v>40</v>
      </c>
      <c r="AC43" s="0" t="s">
        <v>2116</v>
      </c>
    </row>
    <row r="44" customFormat="false" ht="12.75" hidden="false" customHeight="true" outlineLevel="0" collapsed="false">
      <c r="AB44" s="0" t="s">
        <v>608</v>
      </c>
      <c r="AC44" s="0" t="s">
        <v>2116</v>
      </c>
    </row>
    <row r="45" customFormat="false" ht="12.75" hidden="false" customHeight="true" outlineLevel="0" collapsed="false">
      <c r="AB45" s="0" t="s">
        <v>207</v>
      </c>
      <c r="AC45" s="0" t="s">
        <v>2116</v>
      </c>
    </row>
    <row r="46" customFormat="false" ht="12.75" hidden="false" customHeight="true" outlineLevel="0" collapsed="false">
      <c r="AB46" s="0" t="s">
        <v>48</v>
      </c>
      <c r="AC46" s="0" t="s">
        <v>2119</v>
      </c>
    </row>
    <row r="47" customFormat="false" ht="12.75" hidden="false" customHeight="true" outlineLevel="0" collapsed="false">
      <c r="AB47" s="0" t="s">
        <v>480</v>
      </c>
      <c r="AC47" s="0" t="s">
        <v>2116</v>
      </c>
    </row>
    <row r="48" customFormat="false" ht="12.75" hidden="false" customHeight="true" outlineLevel="0" collapsed="false">
      <c r="AB48" s="0" t="s">
        <v>82</v>
      </c>
      <c r="AC48" s="0" t="s">
        <v>2120</v>
      </c>
    </row>
    <row r="49" customFormat="false" ht="12.75" hidden="false" customHeight="true" outlineLevel="0" collapsed="false">
      <c r="AB49" s="0" t="s">
        <v>1101</v>
      </c>
      <c r="AC49" s="0" t="s">
        <v>2116</v>
      </c>
    </row>
    <row r="50" customFormat="false" ht="12.75" hidden="false" customHeight="true" outlineLevel="0" collapsed="false">
      <c r="AB50" s="0" t="s">
        <v>450</v>
      </c>
      <c r="AC50" s="0" t="s">
        <v>2113</v>
      </c>
    </row>
    <row r="51" customFormat="false" ht="12.75" hidden="false" customHeight="true" outlineLevel="0" collapsed="false">
      <c r="AB51" s="0" t="s">
        <v>496</v>
      </c>
      <c r="AC51" s="0" t="s">
        <v>2116</v>
      </c>
    </row>
    <row r="52" customFormat="false" ht="12.75" hidden="false" customHeight="true" outlineLevel="0" collapsed="false">
      <c r="AB52" s="0" t="s">
        <v>225</v>
      </c>
      <c r="AC52" s="0" t="s">
        <v>2113</v>
      </c>
    </row>
    <row r="53" customFormat="false" ht="12.75" hidden="false" customHeight="true" outlineLevel="0" collapsed="false">
      <c r="AB53" s="0" t="s">
        <v>220</v>
      </c>
      <c r="AC53" s="0" t="s">
        <v>2113</v>
      </c>
    </row>
    <row r="54" customFormat="false" ht="12.75" hidden="false" customHeight="true" outlineLevel="0" collapsed="false">
      <c r="AB54" s="0" t="s">
        <v>510</v>
      </c>
      <c r="AC54" s="0" t="s">
        <v>2118</v>
      </c>
    </row>
    <row r="55" customFormat="false" ht="12.75" hidden="false" customHeight="true" outlineLevel="0" collapsed="false">
      <c r="AB55" s="0" t="s">
        <v>59</v>
      </c>
      <c r="AC55" s="0" t="s">
        <v>2116</v>
      </c>
    </row>
    <row r="56" customFormat="false" ht="12.75" hidden="false" customHeight="true" outlineLevel="0" collapsed="false">
      <c r="AB56" s="0" t="s">
        <v>1256</v>
      </c>
      <c r="AC56" s="0" t="s">
        <v>2116</v>
      </c>
    </row>
    <row r="57" customFormat="false" ht="12.75" hidden="false" customHeight="true" outlineLevel="0" collapsed="false">
      <c r="AB57" s="0" t="s">
        <v>72</v>
      </c>
      <c r="AC57" s="0" t="s">
        <v>2113</v>
      </c>
    </row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31.67"/>
    <col collapsed="false" customWidth="true" hidden="false" outlineLevel="0" max="3" min="3" style="15" width="12"/>
    <col collapsed="false" customWidth="true" hidden="false" outlineLevel="0" max="4" min="4" style="15" width="10.88"/>
    <col collapsed="false" customWidth="true" hidden="false" outlineLevel="0" max="5" min="5" style="15" width="12"/>
    <col collapsed="false" customWidth="true" hidden="false" outlineLevel="0" max="6" min="6" style="15" width="10.88"/>
    <col collapsed="false" customWidth="true" hidden="false" outlineLevel="0" max="7" min="7" style="15" width="10.66"/>
    <col collapsed="false" customWidth="true" hidden="false" outlineLevel="0" max="8" min="8" style="15" width="12"/>
    <col collapsed="false" customWidth="true" hidden="false" outlineLevel="0" max="10" min="9" style="15" width="13.11"/>
    <col collapsed="false" customWidth="true" hidden="false" outlineLevel="0" max="11" min="11" style="15" width="12"/>
    <col collapsed="false" customWidth="true" hidden="false" outlineLevel="0" max="12" min="12" style="15" width="11"/>
    <col collapsed="false" customWidth="true" hidden="false" outlineLevel="0" max="13" min="13" style="15" width="12"/>
    <col collapsed="false" customWidth="true" hidden="false" outlineLevel="0" max="14" min="14" style="15" width="11.11"/>
    <col collapsed="false" customWidth="true" hidden="false" outlineLevel="0" max="15" min="15" style="15" width="12"/>
    <col collapsed="false" customWidth="true" hidden="false" outlineLevel="0" max="16" min="16" style="15" width="10.88"/>
    <col collapsed="false" customWidth="true" hidden="false" outlineLevel="0" max="17" min="17" style="15" width="12"/>
    <col collapsed="false" customWidth="true" hidden="false" outlineLevel="0" max="18" min="18" style="15" width="10.88"/>
    <col collapsed="false" customWidth="true" hidden="false" outlineLevel="0" max="19" min="19" style="15" width="10.66"/>
    <col collapsed="false" customWidth="true" hidden="false" outlineLevel="0" max="21" min="20" style="15" width="12"/>
    <col collapsed="false" customWidth="true" hidden="false" outlineLevel="0" max="22" min="22" style="15" width="11.22"/>
    <col collapsed="false" customWidth="true" hidden="false" outlineLevel="0" max="23" min="23" style="15" width="10.66"/>
    <col collapsed="false" customWidth="true" hidden="false" outlineLevel="0" max="24" min="24" style="15" width="11"/>
    <col collapsed="false" customWidth="true" hidden="false" outlineLevel="0" max="25" min="25" style="15" width="12"/>
    <col collapsed="false" customWidth="true" hidden="false" outlineLevel="0" max="26" min="26" style="15" width="11.11"/>
    <col collapsed="false" customWidth="true" hidden="false" outlineLevel="0" max="27" min="27" style="15" width="13.11"/>
  </cols>
  <sheetData>
    <row r="1" customFormat="false" ht="12.75" hidden="false" customHeight="true" outlineLevel="0" collapsed="false">
      <c r="A1" s="17" t="s">
        <v>2125</v>
      </c>
      <c r="B1" s="17" t="s">
        <v>2108</v>
      </c>
      <c r="C1" s="23" t="n">
        <v>46023</v>
      </c>
      <c r="D1" s="23" t="n">
        <v>46054</v>
      </c>
      <c r="E1" s="23" t="n">
        <v>46082</v>
      </c>
      <c r="F1" s="23" t="n">
        <v>46113</v>
      </c>
      <c r="G1" s="23" t="n">
        <v>46143</v>
      </c>
      <c r="H1" s="23" t="n">
        <v>46174</v>
      </c>
      <c r="I1" s="23" t="n">
        <v>46204</v>
      </c>
      <c r="J1" s="23" t="n">
        <v>46235</v>
      </c>
      <c r="K1" s="23" t="n">
        <v>46266</v>
      </c>
      <c r="L1" s="23" t="n">
        <v>46296</v>
      </c>
      <c r="M1" s="23" t="n">
        <v>46327</v>
      </c>
      <c r="N1" s="23" t="n">
        <v>46357</v>
      </c>
      <c r="O1" s="23" t="n">
        <v>46388</v>
      </c>
      <c r="P1" s="23" t="n">
        <v>46419</v>
      </c>
      <c r="Q1" s="23" t="n">
        <v>46447</v>
      </c>
      <c r="R1" s="23" t="n">
        <v>46478</v>
      </c>
      <c r="S1" s="23" t="n">
        <v>46508</v>
      </c>
      <c r="T1" s="23" t="n">
        <v>46539</v>
      </c>
      <c r="U1" s="23" t="n">
        <v>46569</v>
      </c>
      <c r="V1" s="23" t="n">
        <v>46600</v>
      </c>
      <c r="W1" s="23" t="n">
        <v>46631</v>
      </c>
      <c r="X1" s="23" t="n">
        <v>46661</v>
      </c>
      <c r="Y1" s="23" t="n">
        <v>46692</v>
      </c>
      <c r="Z1" s="23" t="n">
        <v>46722</v>
      </c>
      <c r="AA1" s="18" t="s">
        <v>2082</v>
      </c>
    </row>
    <row r="2" customFormat="false" ht="12.75" hidden="false" customHeight="true" outlineLevel="0" collapsed="false">
      <c r="A2" s="0" t="s">
        <v>563</v>
      </c>
      <c r="B2" s="0" t="str">
        <f aca="false">IFERROR(INDEX('Resumo Grupos'!$AC$3:$AC$200,MATCH($A2,'Resumo Grupos'!$AB$3:$AB$200,0)),"n/d")</f>
        <v>Salários</v>
      </c>
      <c r="C2" s="15" t="n">
        <f aca="false">SUMIFS(Report!$U:$U,Report!$T:$T,$A2,Report!$C:$C,"&gt;="&amp;DATE(2026,1,1),Report!$C:$C,"&lt;"&amp;DATE(2026,2,1))</f>
        <v>0</v>
      </c>
      <c r="D2" s="15" t="n">
        <f aca="false">SUMIFS(Report!$U:$U,Report!$T:$T,$A2,Report!$C:$C,"&gt;="&amp;DATE(2026,2,1),Report!$C:$C,"&lt;"&amp;DATE(2026,3,1))</f>
        <v>0</v>
      </c>
      <c r="E2" s="15" t="n">
        <f aca="false">SUMIFS(Report!$U:$U,Report!$T:$T,$A2,Report!$C:$C,"&gt;="&amp;DATE(2026,3,1),Report!$C:$C,"&lt;"&amp;DATE(2026,4,1))</f>
        <v>0</v>
      </c>
      <c r="F2" s="15" t="n">
        <f aca="false">SUMIFS(Report!$U:$U,Report!$T:$T,$A2,Report!$C:$C,"&gt;="&amp;DATE(2026,4,1),Report!$C:$C,"&lt;"&amp;DATE(2026,5,1))</f>
        <v>0</v>
      </c>
      <c r="G2" s="15" t="n">
        <f aca="false">SUMIFS(Report!$U:$U,Report!$T:$T,$A2,Report!$C:$C,"&gt;="&amp;DATE(2026,5,1),Report!$C:$C,"&lt;"&amp;DATE(2026,6,1))</f>
        <v>0</v>
      </c>
      <c r="H2" s="15" t="n">
        <f aca="false">SUMIFS(Report!$U:$U,Report!$T:$T,$A2,Report!$C:$C,"&gt;="&amp;DATE(2026,6,1),Report!$C:$C,"&lt;"&amp;DATE(2026,7,1))</f>
        <v>50</v>
      </c>
      <c r="I2" s="15" t="n">
        <f aca="false">SUMIFS(Report!$U:$U,Report!$T:$T,$A2,Report!$C:$C,"&gt;="&amp;DATE(2026,7,1),Report!$C:$C,"&lt;"&amp;DATE(2026,8,1))</f>
        <v>50</v>
      </c>
      <c r="J2" s="15" t="n">
        <f aca="false">SUMIFS(Report!$U:$U,Report!$T:$T,$A2,Report!$C:$C,"&gt;="&amp;DATE(2026,8,1),Report!$C:$C,"&lt;"&amp;DATE(2026,9,1))</f>
        <v>100</v>
      </c>
      <c r="K2" s="15" t="n">
        <f aca="false">SUMIFS(Report!$U:$U,Report!$T:$T,$A2,Report!$C:$C,"&gt;="&amp;DATE(2026,9,1),Report!$C:$C,"&lt;"&amp;DATE(2026,10,1))</f>
        <v>100</v>
      </c>
      <c r="L2" s="15" t="n">
        <f aca="false">SUMIFS(Report!$U:$U,Report!$T:$T,$A2,Report!$C:$C,"&gt;="&amp;DATE(2026,10,1),Report!$C:$C,"&lt;"&amp;DATE(2026,11,1))</f>
        <v>0</v>
      </c>
      <c r="M2" s="15" t="n">
        <f aca="false">SUMIFS(Report!$U:$U,Report!$T:$T,$A2,Report!$C:$C,"&gt;="&amp;DATE(2026,11,1),Report!$C:$C,"&lt;"&amp;DATE(2026,12,1))</f>
        <v>0</v>
      </c>
      <c r="N2" s="15" t="n">
        <f aca="false">SUMIFS(Report!$U:$U,Report!$T:$T,$A2,Report!$C:$C,"&gt;="&amp;DATE(2026,12,1),Report!$C:$C,"&lt;"&amp;DATE(2027,1,1))</f>
        <v>0</v>
      </c>
      <c r="O2" s="15" t="n">
        <f aca="false">SUMIFS(Report!$U:$U,Report!$T:$T,$A2,Report!$C:$C,"&gt;="&amp;DATE(2027,1,1),Report!$C:$C,"&lt;"&amp;DATE(2027,2,1))</f>
        <v>0</v>
      </c>
      <c r="P2" s="15" t="n">
        <f aca="false">SUMIFS(Report!$U:$U,Report!$T:$T,$A2,Report!$C:$C,"&gt;="&amp;DATE(2027,2,1),Report!$C:$C,"&lt;"&amp;DATE(2027,3,1))</f>
        <v>0</v>
      </c>
      <c r="Q2" s="15" t="n">
        <f aca="false">SUMIFS(Report!$U:$U,Report!$T:$T,$A2,Report!$C:$C,"&gt;="&amp;DATE(2027,3,1),Report!$C:$C,"&lt;"&amp;DATE(2027,4,1))</f>
        <v>0</v>
      </c>
      <c r="R2" s="15" t="n">
        <f aca="false">SUMIFS(Report!$U:$U,Report!$T:$T,$A2,Report!$C:$C,"&gt;="&amp;DATE(2027,4,1),Report!$C:$C,"&lt;"&amp;DATE(2027,5,1))</f>
        <v>0</v>
      </c>
      <c r="S2" s="15" t="n">
        <f aca="false">SUMIFS(Report!$U:$U,Report!$T:$T,$A2,Report!$C:$C,"&gt;="&amp;DATE(2027,5,1),Report!$C:$C,"&lt;"&amp;DATE(2027,6,1))</f>
        <v>0</v>
      </c>
      <c r="T2" s="15" t="n">
        <f aca="false">SUMIFS(Report!$U:$U,Report!$T:$T,$A2,Report!$C:$C,"&gt;="&amp;DATE(2027,6,1),Report!$C:$C,"&lt;"&amp;DATE(2027,7,1))</f>
        <v>0</v>
      </c>
      <c r="U2" s="15" t="n">
        <f aca="false">SUMIFS(Report!$U:$U,Report!$T:$T,$A2,Report!$C:$C,"&gt;="&amp;DATE(2027,7,1),Report!$C:$C,"&lt;"&amp;DATE(2027,8,1))</f>
        <v>0</v>
      </c>
      <c r="V2" s="15" t="n">
        <f aca="false">SUMIFS(Report!$U:$U,Report!$T:$T,$A2,Report!$C:$C,"&gt;="&amp;DATE(2027,8,1),Report!$C:$C,"&lt;"&amp;DATE(2027,9,1))</f>
        <v>0</v>
      </c>
      <c r="W2" s="15" t="n">
        <f aca="false">SUMIFS(Report!$U:$U,Report!$T:$T,$A2,Report!$C:$C,"&gt;="&amp;DATE(2027,9,1),Report!$C:$C,"&lt;"&amp;DATE(2027,10,1))</f>
        <v>0</v>
      </c>
      <c r="X2" s="15" t="n">
        <f aca="false">SUMIFS(Report!$U:$U,Report!$T:$T,$A2,Report!$C:$C,"&gt;="&amp;DATE(2027,10,1),Report!$C:$C,"&lt;"&amp;DATE(2027,11,1))</f>
        <v>0</v>
      </c>
      <c r="Y2" s="15" t="n">
        <f aca="false">SUMIFS(Report!$U:$U,Report!$T:$T,$A2,Report!$C:$C,"&gt;="&amp;DATE(2027,11,1),Report!$C:$C,"&lt;"&amp;DATE(2027,12,1))</f>
        <v>0</v>
      </c>
      <c r="Z2" s="15" t="n">
        <f aca="false">SUMIFS(Report!$U:$U,Report!$T:$T,$A2,Report!$C:$C,"&gt;="&amp;DATE(2027,12,1),Report!$C:$C,"&lt;"&amp;DATE(2028,1,1))</f>
        <v>0</v>
      </c>
      <c r="AA2" s="15" t="n">
        <f aca="false">SUM(C2:Z2)</f>
        <v>300</v>
      </c>
    </row>
    <row r="3" customFormat="false" ht="12.75" hidden="false" customHeight="true" outlineLevel="0" collapsed="false">
      <c r="A3" s="0" t="s">
        <v>201</v>
      </c>
      <c r="B3" s="0" t="str">
        <f aca="false">IFERROR(INDEX('Resumo Grupos'!$AC$3:$AC$200,MATCH($A3,'Resumo Grupos'!$AB$3:$AB$200,0)),"n/d")</f>
        <v>Despesa</v>
      </c>
      <c r="C3" s="15" t="n">
        <f aca="false">SUMIFS(Report!$U:$U,Report!$T:$T,$A3,Report!$C:$C,"&gt;="&amp;DATE(2026,1,1),Report!$C:$C,"&lt;"&amp;DATE(2026,2,1))</f>
        <v>0</v>
      </c>
      <c r="D3" s="15" t="n">
        <f aca="false">SUMIFS(Report!$U:$U,Report!$T:$T,$A3,Report!$C:$C,"&gt;="&amp;DATE(2026,2,1),Report!$C:$C,"&lt;"&amp;DATE(2026,3,1))</f>
        <v>0</v>
      </c>
      <c r="E3" s="15" t="n">
        <f aca="false">SUMIFS(Report!$U:$U,Report!$T:$T,$A3,Report!$C:$C,"&gt;="&amp;DATE(2026,3,1),Report!$C:$C,"&lt;"&amp;DATE(2026,4,1))</f>
        <v>0</v>
      </c>
      <c r="F3" s="15" t="n">
        <f aca="false">SUMIFS(Report!$U:$U,Report!$T:$T,$A3,Report!$C:$C,"&gt;="&amp;DATE(2026,4,1),Report!$C:$C,"&lt;"&amp;DATE(2026,5,1))</f>
        <v>0</v>
      </c>
      <c r="G3" s="15" t="n">
        <f aca="false">SUMIFS(Report!$U:$U,Report!$T:$T,$A3,Report!$C:$C,"&gt;="&amp;DATE(2026,5,1),Report!$C:$C,"&lt;"&amp;DATE(2026,6,1))</f>
        <v>0</v>
      </c>
      <c r="H3" s="15" t="n">
        <f aca="false">SUMIFS(Report!$U:$U,Report!$T:$T,$A3,Report!$C:$C,"&gt;="&amp;DATE(2026,6,1),Report!$C:$C,"&lt;"&amp;DATE(2026,7,1))</f>
        <v>1862.64</v>
      </c>
      <c r="I3" s="15" t="n">
        <f aca="false">SUMIFS(Report!$U:$U,Report!$T:$T,$A3,Report!$C:$C,"&gt;="&amp;DATE(2026,7,1),Report!$C:$C,"&lt;"&amp;DATE(2026,8,1))</f>
        <v>0</v>
      </c>
      <c r="J3" s="15" t="n">
        <f aca="false">SUMIFS(Report!$U:$U,Report!$T:$T,$A3,Report!$C:$C,"&gt;="&amp;DATE(2026,8,1),Report!$C:$C,"&lt;"&amp;DATE(2026,9,1))</f>
        <v>620.88</v>
      </c>
      <c r="K3" s="15" t="n">
        <f aca="false">SUMIFS(Report!$U:$U,Report!$T:$T,$A3,Report!$C:$C,"&gt;="&amp;DATE(2026,9,1),Report!$C:$C,"&lt;"&amp;DATE(2026,10,1))</f>
        <v>620.88</v>
      </c>
      <c r="L3" s="15" t="n">
        <f aca="false">SUMIFS(Report!$U:$U,Report!$T:$T,$A3,Report!$C:$C,"&gt;="&amp;DATE(2026,10,1),Report!$C:$C,"&lt;"&amp;DATE(2026,11,1))</f>
        <v>620.88</v>
      </c>
      <c r="M3" s="15" t="n">
        <f aca="false">SUMIFS(Report!$U:$U,Report!$T:$T,$A3,Report!$C:$C,"&gt;="&amp;DATE(2026,11,1),Report!$C:$C,"&lt;"&amp;DATE(2026,12,1))</f>
        <v>0</v>
      </c>
      <c r="N3" s="15" t="n">
        <f aca="false">SUMIFS(Report!$U:$U,Report!$T:$T,$A3,Report!$C:$C,"&gt;="&amp;DATE(2026,12,1),Report!$C:$C,"&lt;"&amp;DATE(2027,1,1))</f>
        <v>0</v>
      </c>
      <c r="O3" s="15" t="n">
        <f aca="false">SUMIFS(Report!$U:$U,Report!$T:$T,$A3,Report!$C:$C,"&gt;="&amp;DATE(2027,1,1),Report!$C:$C,"&lt;"&amp;DATE(2027,2,1))</f>
        <v>0</v>
      </c>
      <c r="P3" s="15" t="n">
        <f aca="false">SUMIFS(Report!$U:$U,Report!$T:$T,$A3,Report!$C:$C,"&gt;="&amp;DATE(2027,2,1),Report!$C:$C,"&lt;"&amp;DATE(2027,3,1))</f>
        <v>0</v>
      </c>
      <c r="Q3" s="15" t="n">
        <f aca="false">SUMIFS(Report!$U:$U,Report!$T:$T,$A3,Report!$C:$C,"&gt;="&amp;DATE(2027,3,1),Report!$C:$C,"&lt;"&amp;DATE(2027,4,1))</f>
        <v>0</v>
      </c>
      <c r="R3" s="15" t="n">
        <f aca="false">SUMIFS(Report!$U:$U,Report!$T:$T,$A3,Report!$C:$C,"&gt;="&amp;DATE(2027,4,1),Report!$C:$C,"&lt;"&amp;DATE(2027,5,1))</f>
        <v>0</v>
      </c>
      <c r="S3" s="15" t="n">
        <f aca="false">SUMIFS(Report!$U:$U,Report!$T:$T,$A3,Report!$C:$C,"&gt;="&amp;DATE(2027,5,1),Report!$C:$C,"&lt;"&amp;DATE(2027,6,1))</f>
        <v>0</v>
      </c>
      <c r="T3" s="15" t="n">
        <f aca="false">SUMIFS(Report!$U:$U,Report!$T:$T,$A3,Report!$C:$C,"&gt;="&amp;DATE(2027,6,1),Report!$C:$C,"&lt;"&amp;DATE(2027,7,1))</f>
        <v>0</v>
      </c>
      <c r="U3" s="15" t="n">
        <f aca="false">SUMIFS(Report!$U:$U,Report!$T:$T,$A3,Report!$C:$C,"&gt;="&amp;DATE(2027,7,1),Report!$C:$C,"&lt;"&amp;DATE(2027,8,1))</f>
        <v>0</v>
      </c>
      <c r="V3" s="15" t="n">
        <f aca="false">SUMIFS(Report!$U:$U,Report!$T:$T,$A3,Report!$C:$C,"&gt;="&amp;DATE(2027,8,1),Report!$C:$C,"&lt;"&amp;DATE(2027,9,1))</f>
        <v>0</v>
      </c>
      <c r="W3" s="15" t="n">
        <f aca="false">SUMIFS(Report!$U:$U,Report!$T:$T,$A3,Report!$C:$C,"&gt;="&amp;DATE(2027,9,1),Report!$C:$C,"&lt;"&amp;DATE(2027,10,1))</f>
        <v>0</v>
      </c>
      <c r="X3" s="15" t="n">
        <f aca="false">SUMIFS(Report!$U:$U,Report!$T:$T,$A3,Report!$C:$C,"&gt;="&amp;DATE(2027,10,1),Report!$C:$C,"&lt;"&amp;DATE(2027,11,1))</f>
        <v>0</v>
      </c>
      <c r="Y3" s="15" t="n">
        <f aca="false">SUMIFS(Report!$U:$U,Report!$T:$T,$A3,Report!$C:$C,"&gt;="&amp;DATE(2027,11,1),Report!$C:$C,"&lt;"&amp;DATE(2027,12,1))</f>
        <v>0</v>
      </c>
      <c r="Z3" s="15" t="n">
        <f aca="false">SUMIFS(Report!$U:$U,Report!$T:$T,$A3,Report!$C:$C,"&gt;="&amp;DATE(2027,12,1),Report!$C:$C,"&lt;"&amp;DATE(2028,1,1))</f>
        <v>0</v>
      </c>
      <c r="AA3" s="15" t="n">
        <f aca="false">SUM(C3:Z3)</f>
        <v>3725.28</v>
      </c>
    </row>
    <row r="4" customFormat="false" ht="12.75" hidden="false" customHeight="true" outlineLevel="0" collapsed="false">
      <c r="A4" s="0" t="s">
        <v>126</v>
      </c>
      <c r="B4" s="0" t="str">
        <f aca="false">IFERROR(INDEX('Resumo Grupos'!$AC$3:$AC$200,MATCH($A4,'Resumo Grupos'!$AB$3:$AB$200,0)),"n/d")</f>
        <v>Despesa</v>
      </c>
      <c r="C4" s="15" t="n">
        <f aca="false">SUMIFS(Report!$U:$U,Report!$T:$T,$A4,Report!$C:$C,"&gt;="&amp;DATE(2026,1,1),Report!$C:$C,"&lt;"&amp;DATE(2026,2,1))</f>
        <v>0</v>
      </c>
      <c r="D4" s="15" t="n">
        <f aca="false">SUMIFS(Report!$U:$U,Report!$T:$T,$A4,Report!$C:$C,"&gt;="&amp;DATE(2026,2,1),Report!$C:$C,"&lt;"&amp;DATE(2026,3,1))</f>
        <v>0</v>
      </c>
      <c r="E4" s="15" t="n">
        <f aca="false">SUMIFS(Report!$U:$U,Report!$T:$T,$A4,Report!$C:$C,"&gt;="&amp;DATE(2026,3,1),Report!$C:$C,"&lt;"&amp;DATE(2026,4,1))</f>
        <v>0</v>
      </c>
      <c r="F4" s="15" t="n">
        <f aca="false">SUMIFS(Report!$U:$U,Report!$T:$T,$A4,Report!$C:$C,"&gt;="&amp;DATE(2026,4,1),Report!$C:$C,"&lt;"&amp;DATE(2026,5,1))</f>
        <v>0</v>
      </c>
      <c r="G4" s="15" t="n">
        <f aca="false">SUMIFS(Report!$U:$U,Report!$T:$T,$A4,Report!$C:$C,"&gt;="&amp;DATE(2026,5,1),Report!$C:$C,"&lt;"&amp;DATE(2026,6,1))</f>
        <v>0</v>
      </c>
      <c r="H4" s="15" t="n">
        <f aca="false">SUMIFS(Report!$U:$U,Report!$T:$T,$A4,Report!$C:$C,"&gt;="&amp;DATE(2026,6,1),Report!$C:$C,"&lt;"&amp;DATE(2026,7,1))</f>
        <v>1585</v>
      </c>
      <c r="I4" s="15" t="n">
        <f aca="false">SUMIFS(Report!$U:$U,Report!$T:$T,$A4,Report!$C:$C,"&gt;="&amp;DATE(2026,7,1),Report!$C:$C,"&lt;"&amp;DATE(2026,8,1))</f>
        <v>443</v>
      </c>
      <c r="J4" s="15" t="n">
        <f aca="false">SUMIFS(Report!$U:$U,Report!$T:$T,$A4,Report!$C:$C,"&gt;="&amp;DATE(2026,8,1),Report!$C:$C,"&lt;"&amp;DATE(2026,9,1))</f>
        <v>1058</v>
      </c>
      <c r="K4" s="15" t="n">
        <f aca="false">SUMIFS(Report!$U:$U,Report!$T:$T,$A4,Report!$C:$C,"&gt;="&amp;DATE(2026,9,1),Report!$C:$C,"&lt;"&amp;DATE(2026,10,1))</f>
        <v>511</v>
      </c>
      <c r="L4" s="15" t="n">
        <f aca="false">SUMIFS(Report!$U:$U,Report!$T:$T,$A4,Report!$C:$C,"&gt;="&amp;DATE(2026,10,1),Report!$C:$C,"&lt;"&amp;DATE(2026,11,1))</f>
        <v>140</v>
      </c>
      <c r="M4" s="15" t="n">
        <f aca="false">SUMIFS(Report!$U:$U,Report!$T:$T,$A4,Report!$C:$C,"&gt;="&amp;DATE(2026,11,1),Report!$C:$C,"&lt;"&amp;DATE(2026,12,1))</f>
        <v>0</v>
      </c>
      <c r="N4" s="15" t="n">
        <f aca="false">SUMIFS(Report!$U:$U,Report!$T:$T,$A4,Report!$C:$C,"&gt;="&amp;DATE(2026,12,1),Report!$C:$C,"&lt;"&amp;DATE(2027,1,1))</f>
        <v>0</v>
      </c>
      <c r="O4" s="15" t="n">
        <f aca="false">SUMIFS(Report!$U:$U,Report!$T:$T,$A4,Report!$C:$C,"&gt;="&amp;DATE(2027,1,1),Report!$C:$C,"&lt;"&amp;DATE(2027,2,1))</f>
        <v>0</v>
      </c>
      <c r="P4" s="15" t="n">
        <f aca="false">SUMIFS(Report!$U:$U,Report!$T:$T,$A4,Report!$C:$C,"&gt;="&amp;DATE(2027,2,1),Report!$C:$C,"&lt;"&amp;DATE(2027,3,1))</f>
        <v>0</v>
      </c>
      <c r="Q4" s="15" t="n">
        <f aca="false">SUMIFS(Report!$U:$U,Report!$T:$T,$A4,Report!$C:$C,"&gt;="&amp;DATE(2027,3,1),Report!$C:$C,"&lt;"&amp;DATE(2027,4,1))</f>
        <v>0</v>
      </c>
      <c r="R4" s="15" t="n">
        <f aca="false">SUMIFS(Report!$U:$U,Report!$T:$T,$A4,Report!$C:$C,"&gt;="&amp;DATE(2027,4,1),Report!$C:$C,"&lt;"&amp;DATE(2027,5,1))</f>
        <v>0</v>
      </c>
      <c r="S4" s="15" t="n">
        <f aca="false">SUMIFS(Report!$U:$U,Report!$T:$T,$A4,Report!$C:$C,"&gt;="&amp;DATE(2027,5,1),Report!$C:$C,"&lt;"&amp;DATE(2027,6,1))</f>
        <v>0</v>
      </c>
      <c r="T4" s="15" t="n">
        <f aca="false">SUMIFS(Report!$U:$U,Report!$T:$T,$A4,Report!$C:$C,"&gt;="&amp;DATE(2027,6,1),Report!$C:$C,"&lt;"&amp;DATE(2027,7,1))</f>
        <v>0</v>
      </c>
      <c r="U4" s="15" t="n">
        <f aca="false">SUMIFS(Report!$U:$U,Report!$T:$T,$A4,Report!$C:$C,"&gt;="&amp;DATE(2027,7,1),Report!$C:$C,"&lt;"&amp;DATE(2027,8,1))</f>
        <v>0</v>
      </c>
      <c r="V4" s="15" t="n">
        <f aca="false">SUMIFS(Report!$U:$U,Report!$T:$T,$A4,Report!$C:$C,"&gt;="&amp;DATE(2027,8,1),Report!$C:$C,"&lt;"&amp;DATE(2027,9,1))</f>
        <v>0</v>
      </c>
      <c r="W4" s="15" t="n">
        <f aca="false">SUMIFS(Report!$U:$U,Report!$T:$T,$A4,Report!$C:$C,"&gt;="&amp;DATE(2027,9,1),Report!$C:$C,"&lt;"&amp;DATE(2027,10,1))</f>
        <v>0</v>
      </c>
      <c r="X4" s="15" t="n">
        <f aca="false">SUMIFS(Report!$U:$U,Report!$T:$T,$A4,Report!$C:$C,"&gt;="&amp;DATE(2027,10,1),Report!$C:$C,"&lt;"&amp;DATE(2027,11,1))</f>
        <v>0</v>
      </c>
      <c r="Y4" s="15" t="n">
        <f aca="false">SUMIFS(Report!$U:$U,Report!$T:$T,$A4,Report!$C:$C,"&gt;="&amp;DATE(2027,11,1),Report!$C:$C,"&lt;"&amp;DATE(2027,12,1))</f>
        <v>0</v>
      </c>
      <c r="Z4" s="15" t="n">
        <f aca="false">SUMIFS(Report!$U:$U,Report!$T:$T,$A4,Report!$C:$C,"&gt;="&amp;DATE(2027,12,1),Report!$C:$C,"&lt;"&amp;DATE(2028,1,1))</f>
        <v>0</v>
      </c>
      <c r="AA4" s="15" t="n">
        <f aca="false">SUM(C4:Z4)</f>
        <v>3737</v>
      </c>
    </row>
    <row r="5" customFormat="false" ht="12.75" hidden="false" customHeight="true" outlineLevel="0" collapsed="false">
      <c r="A5" s="0" t="s">
        <v>431</v>
      </c>
      <c r="B5" s="0" t="str">
        <f aca="false">IFERROR(INDEX('Resumo Grupos'!$AC$3:$AC$200,MATCH($A5,'Resumo Grupos'!$AB$3:$AB$200,0)),"n/d")</f>
        <v>Despesa</v>
      </c>
      <c r="C5" s="15" t="n">
        <f aca="false">SUMIFS(Report!$U:$U,Report!$T:$T,$A5,Report!$C:$C,"&gt;="&amp;DATE(2026,1,1),Report!$C:$C,"&lt;"&amp;DATE(2026,2,1))</f>
        <v>0</v>
      </c>
      <c r="D5" s="15" t="n">
        <f aca="false">SUMIFS(Report!$U:$U,Report!$T:$T,$A5,Report!$C:$C,"&gt;="&amp;DATE(2026,2,1),Report!$C:$C,"&lt;"&amp;DATE(2026,3,1))</f>
        <v>0</v>
      </c>
      <c r="E5" s="15" t="n">
        <f aca="false">SUMIFS(Report!$U:$U,Report!$T:$T,$A5,Report!$C:$C,"&gt;="&amp;DATE(2026,3,1),Report!$C:$C,"&lt;"&amp;DATE(2026,4,1))</f>
        <v>0</v>
      </c>
      <c r="F5" s="15" t="n">
        <f aca="false">SUMIFS(Report!$U:$U,Report!$T:$T,$A5,Report!$C:$C,"&gt;="&amp;DATE(2026,4,1),Report!$C:$C,"&lt;"&amp;DATE(2026,5,1))</f>
        <v>0</v>
      </c>
      <c r="G5" s="15" t="n">
        <f aca="false">SUMIFS(Report!$U:$U,Report!$T:$T,$A5,Report!$C:$C,"&gt;="&amp;DATE(2026,5,1),Report!$C:$C,"&lt;"&amp;DATE(2026,6,1))</f>
        <v>0</v>
      </c>
      <c r="H5" s="15" t="n">
        <f aca="false">SUMIFS(Report!$U:$U,Report!$T:$T,$A5,Report!$C:$C,"&gt;="&amp;DATE(2026,6,1),Report!$C:$C,"&lt;"&amp;DATE(2026,7,1))</f>
        <v>5700</v>
      </c>
      <c r="I5" s="15" t="n">
        <f aca="false">SUMIFS(Report!$U:$U,Report!$T:$T,$A5,Report!$C:$C,"&gt;="&amp;DATE(2026,7,1),Report!$C:$C,"&lt;"&amp;DATE(2026,8,1))</f>
        <v>5700</v>
      </c>
      <c r="J5" s="15" t="n">
        <f aca="false">SUMIFS(Report!$U:$U,Report!$T:$T,$A5,Report!$C:$C,"&gt;="&amp;DATE(2026,8,1),Report!$C:$C,"&lt;"&amp;DATE(2026,9,1))</f>
        <v>5700</v>
      </c>
      <c r="K5" s="15" t="n">
        <f aca="false">SUMIFS(Report!$U:$U,Report!$T:$T,$A5,Report!$C:$C,"&gt;="&amp;DATE(2026,9,1),Report!$C:$C,"&lt;"&amp;DATE(2026,10,1))</f>
        <v>5700</v>
      </c>
      <c r="L5" s="15" t="n">
        <f aca="false">SUMIFS(Report!$U:$U,Report!$T:$T,$A5,Report!$C:$C,"&gt;="&amp;DATE(2026,10,1),Report!$C:$C,"&lt;"&amp;DATE(2026,11,1))</f>
        <v>5700</v>
      </c>
      <c r="M5" s="15" t="n">
        <f aca="false">SUMIFS(Report!$U:$U,Report!$T:$T,$A5,Report!$C:$C,"&gt;="&amp;DATE(2026,11,1),Report!$C:$C,"&lt;"&amp;DATE(2026,12,1))</f>
        <v>5700</v>
      </c>
      <c r="N5" s="15" t="n">
        <f aca="false">SUMIFS(Report!$U:$U,Report!$T:$T,$A5,Report!$C:$C,"&gt;="&amp;DATE(2026,12,1),Report!$C:$C,"&lt;"&amp;DATE(2027,1,1))</f>
        <v>5700</v>
      </c>
      <c r="O5" s="15" t="n">
        <f aca="false">SUMIFS(Report!$U:$U,Report!$T:$T,$A5,Report!$C:$C,"&gt;="&amp;DATE(2027,1,1),Report!$C:$C,"&lt;"&amp;DATE(2027,2,1))</f>
        <v>0</v>
      </c>
      <c r="P5" s="15" t="n">
        <f aca="false">SUMIFS(Report!$U:$U,Report!$T:$T,$A5,Report!$C:$C,"&gt;="&amp;DATE(2027,2,1),Report!$C:$C,"&lt;"&amp;DATE(2027,3,1))</f>
        <v>0</v>
      </c>
      <c r="Q5" s="15" t="n">
        <f aca="false">SUMIFS(Report!$U:$U,Report!$T:$T,$A5,Report!$C:$C,"&gt;="&amp;DATE(2027,3,1),Report!$C:$C,"&lt;"&amp;DATE(2027,4,1))</f>
        <v>0</v>
      </c>
      <c r="R5" s="15" t="n">
        <f aca="false">SUMIFS(Report!$U:$U,Report!$T:$T,$A5,Report!$C:$C,"&gt;="&amp;DATE(2027,4,1),Report!$C:$C,"&lt;"&amp;DATE(2027,5,1))</f>
        <v>0</v>
      </c>
      <c r="S5" s="15" t="n">
        <f aca="false">SUMIFS(Report!$U:$U,Report!$T:$T,$A5,Report!$C:$C,"&gt;="&amp;DATE(2027,5,1),Report!$C:$C,"&lt;"&amp;DATE(2027,6,1))</f>
        <v>0</v>
      </c>
      <c r="T5" s="15" t="n">
        <f aca="false">SUMIFS(Report!$U:$U,Report!$T:$T,$A5,Report!$C:$C,"&gt;="&amp;DATE(2027,6,1),Report!$C:$C,"&lt;"&amp;DATE(2027,7,1))</f>
        <v>0</v>
      </c>
      <c r="U5" s="15" t="n">
        <f aca="false">SUMIFS(Report!$U:$U,Report!$T:$T,$A5,Report!$C:$C,"&gt;="&amp;DATE(2027,7,1),Report!$C:$C,"&lt;"&amp;DATE(2027,8,1))</f>
        <v>0</v>
      </c>
      <c r="V5" s="15" t="n">
        <f aca="false">SUMIFS(Report!$U:$U,Report!$T:$T,$A5,Report!$C:$C,"&gt;="&amp;DATE(2027,8,1),Report!$C:$C,"&lt;"&amp;DATE(2027,9,1))</f>
        <v>0</v>
      </c>
      <c r="W5" s="15" t="n">
        <f aca="false">SUMIFS(Report!$U:$U,Report!$T:$T,$A5,Report!$C:$C,"&gt;="&amp;DATE(2027,9,1),Report!$C:$C,"&lt;"&amp;DATE(2027,10,1))</f>
        <v>0</v>
      </c>
      <c r="X5" s="15" t="n">
        <f aca="false">SUMIFS(Report!$U:$U,Report!$T:$T,$A5,Report!$C:$C,"&gt;="&amp;DATE(2027,10,1),Report!$C:$C,"&lt;"&amp;DATE(2027,11,1))</f>
        <v>0</v>
      </c>
      <c r="Y5" s="15" t="n">
        <f aca="false">SUMIFS(Report!$U:$U,Report!$T:$T,$A5,Report!$C:$C,"&gt;="&amp;DATE(2027,11,1),Report!$C:$C,"&lt;"&amp;DATE(2027,12,1))</f>
        <v>0</v>
      </c>
      <c r="Z5" s="15" t="n">
        <f aca="false">SUMIFS(Report!$U:$U,Report!$T:$T,$A5,Report!$C:$C,"&gt;="&amp;DATE(2027,12,1),Report!$C:$C,"&lt;"&amp;DATE(2028,1,1))</f>
        <v>0</v>
      </c>
      <c r="AA5" s="15" t="n">
        <f aca="false">SUM(C5:Z5)</f>
        <v>39900</v>
      </c>
    </row>
    <row r="6" customFormat="false" ht="12.75" hidden="false" customHeight="true" outlineLevel="0" collapsed="false">
      <c r="A6" s="0" t="s">
        <v>516</v>
      </c>
      <c r="B6" s="0" t="str">
        <f aca="false">IFERROR(INDEX('Resumo Grupos'!$AC$3:$AC$200,MATCH($A6,'Resumo Grupos'!$AB$3:$AB$200,0)),"n/d")</f>
        <v>Despesa</v>
      </c>
      <c r="C6" s="15" t="n">
        <f aca="false">SUMIFS(Report!$U:$U,Report!$T:$T,$A6,Report!$C:$C,"&gt;="&amp;DATE(2026,1,1),Report!$C:$C,"&lt;"&amp;DATE(2026,2,1))</f>
        <v>0</v>
      </c>
      <c r="D6" s="15" t="n">
        <f aca="false">SUMIFS(Report!$U:$U,Report!$T:$T,$A6,Report!$C:$C,"&gt;="&amp;DATE(2026,2,1),Report!$C:$C,"&lt;"&amp;DATE(2026,3,1))</f>
        <v>0</v>
      </c>
      <c r="E6" s="15" t="n">
        <f aca="false">SUMIFS(Report!$U:$U,Report!$T:$T,$A6,Report!$C:$C,"&gt;="&amp;DATE(2026,3,1),Report!$C:$C,"&lt;"&amp;DATE(2026,4,1))</f>
        <v>0</v>
      </c>
      <c r="F6" s="15" t="n">
        <f aca="false">SUMIFS(Report!$U:$U,Report!$T:$T,$A6,Report!$C:$C,"&gt;="&amp;DATE(2026,4,1),Report!$C:$C,"&lt;"&amp;DATE(2026,5,1))</f>
        <v>0</v>
      </c>
      <c r="G6" s="15" t="n">
        <f aca="false">SUMIFS(Report!$U:$U,Report!$T:$T,$A6,Report!$C:$C,"&gt;="&amp;DATE(2026,5,1),Report!$C:$C,"&lt;"&amp;DATE(2026,6,1))</f>
        <v>0</v>
      </c>
      <c r="H6" s="15" t="n">
        <f aca="false">SUMIFS(Report!$U:$U,Report!$T:$T,$A6,Report!$C:$C,"&gt;="&amp;DATE(2026,6,1),Report!$C:$C,"&lt;"&amp;DATE(2026,7,1))</f>
        <v>17165</v>
      </c>
      <c r="I6" s="15" t="n">
        <f aca="false">SUMIFS(Report!$U:$U,Report!$T:$T,$A6,Report!$C:$C,"&gt;="&amp;DATE(2026,7,1),Report!$C:$C,"&lt;"&amp;DATE(2026,8,1))</f>
        <v>0</v>
      </c>
      <c r="J6" s="15" t="n">
        <f aca="false">SUMIFS(Report!$U:$U,Report!$T:$T,$A6,Report!$C:$C,"&gt;="&amp;DATE(2026,8,1),Report!$C:$C,"&lt;"&amp;DATE(2026,9,1))</f>
        <v>0</v>
      </c>
      <c r="K6" s="15" t="n">
        <f aca="false">SUMIFS(Report!$U:$U,Report!$T:$T,$A6,Report!$C:$C,"&gt;="&amp;DATE(2026,9,1),Report!$C:$C,"&lt;"&amp;DATE(2026,10,1))</f>
        <v>165</v>
      </c>
      <c r="L6" s="15" t="n">
        <f aca="false">SUMIFS(Report!$U:$U,Report!$T:$T,$A6,Report!$C:$C,"&gt;="&amp;DATE(2026,10,1),Report!$C:$C,"&lt;"&amp;DATE(2026,11,1))</f>
        <v>0</v>
      </c>
      <c r="M6" s="15" t="n">
        <f aca="false">SUMIFS(Report!$U:$U,Report!$T:$T,$A6,Report!$C:$C,"&gt;="&amp;DATE(2026,11,1),Report!$C:$C,"&lt;"&amp;DATE(2026,12,1))</f>
        <v>0</v>
      </c>
      <c r="N6" s="15" t="n">
        <f aca="false">SUMIFS(Report!$U:$U,Report!$T:$T,$A6,Report!$C:$C,"&gt;="&amp;DATE(2026,12,1),Report!$C:$C,"&lt;"&amp;DATE(2027,1,1))</f>
        <v>0</v>
      </c>
      <c r="O6" s="15" t="n">
        <f aca="false">SUMIFS(Report!$U:$U,Report!$T:$T,$A6,Report!$C:$C,"&gt;="&amp;DATE(2027,1,1),Report!$C:$C,"&lt;"&amp;DATE(2027,2,1))</f>
        <v>0</v>
      </c>
      <c r="P6" s="15" t="n">
        <f aca="false">SUMIFS(Report!$U:$U,Report!$T:$T,$A6,Report!$C:$C,"&gt;="&amp;DATE(2027,2,1),Report!$C:$C,"&lt;"&amp;DATE(2027,3,1))</f>
        <v>0</v>
      </c>
      <c r="Q6" s="15" t="n">
        <f aca="false">SUMIFS(Report!$U:$U,Report!$T:$T,$A6,Report!$C:$C,"&gt;="&amp;DATE(2027,3,1),Report!$C:$C,"&lt;"&amp;DATE(2027,4,1))</f>
        <v>0</v>
      </c>
      <c r="R6" s="15" t="n">
        <f aca="false">SUMIFS(Report!$U:$U,Report!$T:$T,$A6,Report!$C:$C,"&gt;="&amp;DATE(2027,4,1),Report!$C:$C,"&lt;"&amp;DATE(2027,5,1))</f>
        <v>0</v>
      </c>
      <c r="S6" s="15" t="n">
        <f aca="false">SUMIFS(Report!$U:$U,Report!$T:$T,$A6,Report!$C:$C,"&gt;="&amp;DATE(2027,5,1),Report!$C:$C,"&lt;"&amp;DATE(2027,6,1))</f>
        <v>0</v>
      </c>
      <c r="T6" s="15" t="n">
        <f aca="false">SUMIFS(Report!$U:$U,Report!$T:$T,$A6,Report!$C:$C,"&gt;="&amp;DATE(2027,6,1),Report!$C:$C,"&lt;"&amp;DATE(2027,7,1))</f>
        <v>0</v>
      </c>
      <c r="U6" s="15" t="n">
        <f aca="false">SUMIFS(Report!$U:$U,Report!$T:$T,$A6,Report!$C:$C,"&gt;="&amp;DATE(2027,7,1),Report!$C:$C,"&lt;"&amp;DATE(2027,8,1))</f>
        <v>0</v>
      </c>
      <c r="V6" s="15" t="n">
        <f aca="false">SUMIFS(Report!$U:$U,Report!$T:$T,$A6,Report!$C:$C,"&gt;="&amp;DATE(2027,8,1),Report!$C:$C,"&lt;"&amp;DATE(2027,9,1))</f>
        <v>0</v>
      </c>
      <c r="W6" s="15" t="n">
        <f aca="false">SUMIFS(Report!$U:$U,Report!$T:$T,$A6,Report!$C:$C,"&gt;="&amp;DATE(2027,9,1),Report!$C:$C,"&lt;"&amp;DATE(2027,10,1))</f>
        <v>0</v>
      </c>
      <c r="X6" s="15" t="n">
        <f aca="false">SUMIFS(Report!$U:$U,Report!$T:$T,$A6,Report!$C:$C,"&gt;="&amp;DATE(2027,10,1),Report!$C:$C,"&lt;"&amp;DATE(2027,11,1))</f>
        <v>0</v>
      </c>
      <c r="Y6" s="15" t="n">
        <f aca="false">SUMIFS(Report!$U:$U,Report!$T:$T,$A6,Report!$C:$C,"&gt;="&amp;DATE(2027,11,1),Report!$C:$C,"&lt;"&amp;DATE(2027,12,1))</f>
        <v>0</v>
      </c>
      <c r="Z6" s="15" t="n">
        <f aca="false">SUMIFS(Report!$U:$U,Report!$T:$T,$A6,Report!$C:$C,"&gt;="&amp;DATE(2027,12,1),Report!$C:$C,"&lt;"&amp;DATE(2028,1,1))</f>
        <v>0</v>
      </c>
      <c r="AA6" s="15" t="n">
        <f aca="false">SUM(C6:Z6)</f>
        <v>17330</v>
      </c>
    </row>
    <row r="7" customFormat="false" ht="12.75" hidden="false" customHeight="true" outlineLevel="0" collapsed="false">
      <c r="A7" s="0" t="s">
        <v>521</v>
      </c>
      <c r="B7" s="0" t="str">
        <f aca="false">IFERROR(INDEX('Resumo Grupos'!$AC$3:$AC$200,MATCH($A7,'Resumo Grupos'!$AB$3:$AB$200,0)),"n/d")</f>
        <v>Salários</v>
      </c>
      <c r="C7" s="15" t="n">
        <f aca="false">SUMIFS(Report!$U:$U,Report!$T:$T,$A7,Report!$C:$C,"&gt;="&amp;DATE(2026,1,1),Report!$C:$C,"&lt;"&amp;DATE(2026,2,1))</f>
        <v>0</v>
      </c>
      <c r="D7" s="15" t="n">
        <f aca="false">SUMIFS(Report!$U:$U,Report!$T:$T,$A7,Report!$C:$C,"&gt;="&amp;DATE(2026,2,1),Report!$C:$C,"&lt;"&amp;DATE(2026,3,1))</f>
        <v>0</v>
      </c>
      <c r="E7" s="15" t="n">
        <f aca="false">SUMIFS(Report!$U:$U,Report!$T:$T,$A7,Report!$C:$C,"&gt;="&amp;DATE(2026,3,1),Report!$C:$C,"&lt;"&amp;DATE(2026,4,1))</f>
        <v>0</v>
      </c>
      <c r="F7" s="15" t="n">
        <f aca="false">SUMIFS(Report!$U:$U,Report!$T:$T,$A7,Report!$C:$C,"&gt;="&amp;DATE(2026,4,1),Report!$C:$C,"&lt;"&amp;DATE(2026,5,1))</f>
        <v>0</v>
      </c>
      <c r="G7" s="15" t="n">
        <f aca="false">SUMIFS(Report!$U:$U,Report!$T:$T,$A7,Report!$C:$C,"&gt;="&amp;DATE(2026,5,1),Report!$C:$C,"&lt;"&amp;DATE(2026,6,1))</f>
        <v>0</v>
      </c>
      <c r="H7" s="15" t="n">
        <f aca="false">SUMIFS(Report!$U:$U,Report!$T:$T,$A7,Report!$C:$C,"&gt;="&amp;DATE(2026,6,1),Report!$C:$C,"&lt;"&amp;DATE(2026,7,1))</f>
        <v>541</v>
      </c>
      <c r="I7" s="15" t="n">
        <f aca="false">SUMIFS(Report!$U:$U,Report!$T:$T,$A7,Report!$C:$C,"&gt;="&amp;DATE(2026,7,1),Report!$C:$C,"&lt;"&amp;DATE(2026,8,1))</f>
        <v>0</v>
      </c>
      <c r="J7" s="15" t="n">
        <f aca="false">SUMIFS(Report!$U:$U,Report!$T:$T,$A7,Report!$C:$C,"&gt;="&amp;DATE(2026,8,1),Report!$C:$C,"&lt;"&amp;DATE(2026,9,1))</f>
        <v>55</v>
      </c>
      <c r="K7" s="15" t="n">
        <f aca="false">SUMIFS(Report!$U:$U,Report!$T:$T,$A7,Report!$C:$C,"&gt;="&amp;DATE(2026,9,1),Report!$C:$C,"&lt;"&amp;DATE(2026,10,1))</f>
        <v>58</v>
      </c>
      <c r="L7" s="15" t="n">
        <f aca="false">SUMIFS(Report!$U:$U,Report!$T:$T,$A7,Report!$C:$C,"&gt;="&amp;DATE(2026,10,1),Report!$C:$C,"&lt;"&amp;DATE(2026,11,1))</f>
        <v>0</v>
      </c>
      <c r="M7" s="15" t="n">
        <f aca="false">SUMIFS(Report!$U:$U,Report!$T:$T,$A7,Report!$C:$C,"&gt;="&amp;DATE(2026,11,1),Report!$C:$C,"&lt;"&amp;DATE(2026,12,1))</f>
        <v>0</v>
      </c>
      <c r="N7" s="15" t="n">
        <f aca="false">SUMIFS(Report!$U:$U,Report!$T:$T,$A7,Report!$C:$C,"&gt;="&amp;DATE(2026,12,1),Report!$C:$C,"&lt;"&amp;DATE(2027,1,1))</f>
        <v>0</v>
      </c>
      <c r="O7" s="15" t="n">
        <f aca="false">SUMIFS(Report!$U:$U,Report!$T:$T,$A7,Report!$C:$C,"&gt;="&amp;DATE(2027,1,1),Report!$C:$C,"&lt;"&amp;DATE(2027,2,1))</f>
        <v>0</v>
      </c>
      <c r="P7" s="15" t="n">
        <f aca="false">SUMIFS(Report!$U:$U,Report!$T:$T,$A7,Report!$C:$C,"&gt;="&amp;DATE(2027,2,1),Report!$C:$C,"&lt;"&amp;DATE(2027,3,1))</f>
        <v>0</v>
      </c>
      <c r="Q7" s="15" t="n">
        <f aca="false">SUMIFS(Report!$U:$U,Report!$T:$T,$A7,Report!$C:$C,"&gt;="&amp;DATE(2027,3,1),Report!$C:$C,"&lt;"&amp;DATE(2027,4,1))</f>
        <v>0</v>
      </c>
      <c r="R7" s="15" t="n">
        <f aca="false">SUMIFS(Report!$U:$U,Report!$T:$T,$A7,Report!$C:$C,"&gt;="&amp;DATE(2027,4,1),Report!$C:$C,"&lt;"&amp;DATE(2027,5,1))</f>
        <v>0</v>
      </c>
      <c r="S7" s="15" t="n">
        <f aca="false">SUMIFS(Report!$U:$U,Report!$T:$T,$A7,Report!$C:$C,"&gt;="&amp;DATE(2027,5,1),Report!$C:$C,"&lt;"&amp;DATE(2027,6,1))</f>
        <v>0</v>
      </c>
      <c r="T7" s="15" t="n">
        <f aca="false">SUMIFS(Report!$U:$U,Report!$T:$T,$A7,Report!$C:$C,"&gt;="&amp;DATE(2027,6,1),Report!$C:$C,"&lt;"&amp;DATE(2027,7,1))</f>
        <v>0</v>
      </c>
      <c r="U7" s="15" t="n">
        <f aca="false">SUMIFS(Report!$U:$U,Report!$T:$T,$A7,Report!$C:$C,"&gt;="&amp;DATE(2027,7,1),Report!$C:$C,"&lt;"&amp;DATE(2027,8,1))</f>
        <v>0</v>
      </c>
      <c r="V7" s="15" t="n">
        <f aca="false">SUMIFS(Report!$U:$U,Report!$T:$T,$A7,Report!$C:$C,"&gt;="&amp;DATE(2027,8,1),Report!$C:$C,"&lt;"&amp;DATE(2027,9,1))</f>
        <v>0</v>
      </c>
      <c r="W7" s="15" t="n">
        <f aca="false">SUMIFS(Report!$U:$U,Report!$T:$T,$A7,Report!$C:$C,"&gt;="&amp;DATE(2027,9,1),Report!$C:$C,"&lt;"&amp;DATE(2027,10,1))</f>
        <v>0</v>
      </c>
      <c r="X7" s="15" t="n">
        <f aca="false">SUMIFS(Report!$U:$U,Report!$T:$T,$A7,Report!$C:$C,"&gt;="&amp;DATE(2027,10,1),Report!$C:$C,"&lt;"&amp;DATE(2027,11,1))</f>
        <v>0</v>
      </c>
      <c r="Y7" s="15" t="n">
        <f aca="false">SUMIFS(Report!$U:$U,Report!$T:$T,$A7,Report!$C:$C,"&gt;="&amp;DATE(2027,11,1),Report!$C:$C,"&lt;"&amp;DATE(2027,12,1))</f>
        <v>0</v>
      </c>
      <c r="Z7" s="15" t="n">
        <f aca="false">SUMIFS(Report!$U:$U,Report!$T:$T,$A7,Report!$C:$C,"&gt;="&amp;DATE(2027,12,1),Report!$C:$C,"&lt;"&amp;DATE(2028,1,1))</f>
        <v>0</v>
      </c>
      <c r="AA7" s="15" t="n">
        <f aca="false">SUM(C7:Z7)</f>
        <v>654</v>
      </c>
    </row>
    <row r="8" customFormat="false" ht="12.75" hidden="false" customHeight="true" outlineLevel="0" collapsed="false">
      <c r="A8" s="0" t="s">
        <v>117</v>
      </c>
      <c r="B8" s="0" t="str">
        <f aca="false">IFERROR(INDEX('Resumo Grupos'!$AC$3:$AC$200,MATCH($A8,'Resumo Grupos'!$AB$3:$AB$200,0)),"n/d")</f>
        <v>Despesa</v>
      </c>
      <c r="C8" s="15" t="n">
        <f aca="false">SUMIFS(Report!$U:$U,Report!$T:$T,$A8,Report!$C:$C,"&gt;="&amp;DATE(2026,1,1),Report!$C:$C,"&lt;"&amp;DATE(2026,2,1))</f>
        <v>0</v>
      </c>
      <c r="D8" s="15" t="n">
        <f aca="false">SUMIFS(Report!$U:$U,Report!$T:$T,$A8,Report!$C:$C,"&gt;="&amp;DATE(2026,2,1),Report!$C:$C,"&lt;"&amp;DATE(2026,3,1))</f>
        <v>0</v>
      </c>
      <c r="E8" s="15" t="n">
        <f aca="false">SUMIFS(Report!$U:$U,Report!$T:$T,$A8,Report!$C:$C,"&gt;="&amp;DATE(2026,3,1),Report!$C:$C,"&lt;"&amp;DATE(2026,4,1))</f>
        <v>0</v>
      </c>
      <c r="F8" s="15" t="n">
        <f aca="false">SUMIFS(Report!$U:$U,Report!$T:$T,$A8,Report!$C:$C,"&gt;="&amp;DATE(2026,4,1),Report!$C:$C,"&lt;"&amp;DATE(2026,5,1))</f>
        <v>0</v>
      </c>
      <c r="G8" s="15" t="n">
        <f aca="false">SUMIFS(Report!$U:$U,Report!$T:$T,$A8,Report!$C:$C,"&gt;="&amp;DATE(2026,5,1),Report!$C:$C,"&lt;"&amp;DATE(2026,6,1))</f>
        <v>0</v>
      </c>
      <c r="H8" s="15" t="n">
        <f aca="false">SUMIFS(Report!$U:$U,Report!$T:$T,$A8,Report!$C:$C,"&gt;="&amp;DATE(2026,6,1),Report!$C:$C,"&lt;"&amp;DATE(2026,7,1))</f>
        <v>65330</v>
      </c>
      <c r="I8" s="15" t="n">
        <f aca="false">SUMIFS(Report!$U:$U,Report!$T:$T,$A8,Report!$C:$C,"&gt;="&amp;DATE(2026,7,1),Report!$C:$C,"&lt;"&amp;DATE(2026,8,1))</f>
        <v>69979.32</v>
      </c>
      <c r="J8" s="15" t="n">
        <f aca="false">SUMIFS(Report!$U:$U,Report!$T:$T,$A8,Report!$C:$C,"&gt;="&amp;DATE(2026,8,1),Report!$C:$C,"&lt;"&amp;DATE(2026,9,1))</f>
        <v>75500</v>
      </c>
      <c r="K8" s="15" t="n">
        <f aca="false">SUMIFS(Report!$U:$U,Report!$T:$T,$A8,Report!$C:$C,"&gt;="&amp;DATE(2026,9,1),Report!$C:$C,"&lt;"&amp;DATE(2026,10,1))</f>
        <v>29350</v>
      </c>
      <c r="L8" s="15" t="n">
        <f aca="false">SUMIFS(Report!$U:$U,Report!$T:$T,$A8,Report!$C:$C,"&gt;="&amp;DATE(2026,10,1),Report!$C:$C,"&lt;"&amp;DATE(2026,11,1))</f>
        <v>0</v>
      </c>
      <c r="M8" s="15" t="n">
        <f aca="false">SUMIFS(Report!$U:$U,Report!$T:$T,$A8,Report!$C:$C,"&gt;="&amp;DATE(2026,11,1),Report!$C:$C,"&lt;"&amp;DATE(2026,12,1))</f>
        <v>0</v>
      </c>
      <c r="N8" s="15" t="n">
        <f aca="false">SUMIFS(Report!$U:$U,Report!$T:$T,$A8,Report!$C:$C,"&gt;="&amp;DATE(2026,12,1),Report!$C:$C,"&lt;"&amp;DATE(2027,1,1))</f>
        <v>0</v>
      </c>
      <c r="O8" s="15" t="n">
        <f aca="false">SUMIFS(Report!$U:$U,Report!$T:$T,$A8,Report!$C:$C,"&gt;="&amp;DATE(2027,1,1),Report!$C:$C,"&lt;"&amp;DATE(2027,2,1))</f>
        <v>0</v>
      </c>
      <c r="P8" s="15" t="n">
        <f aca="false">SUMIFS(Report!$U:$U,Report!$T:$T,$A8,Report!$C:$C,"&gt;="&amp;DATE(2027,2,1),Report!$C:$C,"&lt;"&amp;DATE(2027,3,1))</f>
        <v>0</v>
      </c>
      <c r="Q8" s="15" t="n">
        <f aca="false">SUMIFS(Report!$U:$U,Report!$T:$T,$A8,Report!$C:$C,"&gt;="&amp;DATE(2027,3,1),Report!$C:$C,"&lt;"&amp;DATE(2027,4,1))</f>
        <v>0</v>
      </c>
      <c r="R8" s="15" t="n">
        <f aca="false">SUMIFS(Report!$U:$U,Report!$T:$T,$A8,Report!$C:$C,"&gt;="&amp;DATE(2027,4,1),Report!$C:$C,"&lt;"&amp;DATE(2027,5,1))</f>
        <v>0</v>
      </c>
      <c r="S8" s="15" t="n">
        <f aca="false">SUMIFS(Report!$U:$U,Report!$T:$T,$A8,Report!$C:$C,"&gt;="&amp;DATE(2027,5,1),Report!$C:$C,"&lt;"&amp;DATE(2027,6,1))</f>
        <v>0</v>
      </c>
      <c r="T8" s="15" t="n">
        <f aca="false">SUMIFS(Report!$U:$U,Report!$T:$T,$A8,Report!$C:$C,"&gt;="&amp;DATE(2027,6,1),Report!$C:$C,"&lt;"&amp;DATE(2027,7,1))</f>
        <v>0</v>
      </c>
      <c r="U8" s="15" t="n">
        <f aca="false">SUMIFS(Report!$U:$U,Report!$T:$T,$A8,Report!$C:$C,"&gt;="&amp;DATE(2027,7,1),Report!$C:$C,"&lt;"&amp;DATE(2027,8,1))</f>
        <v>0</v>
      </c>
      <c r="V8" s="15" t="n">
        <f aca="false">SUMIFS(Report!$U:$U,Report!$T:$T,$A8,Report!$C:$C,"&gt;="&amp;DATE(2027,8,1),Report!$C:$C,"&lt;"&amp;DATE(2027,9,1))</f>
        <v>0</v>
      </c>
      <c r="W8" s="15" t="n">
        <f aca="false">SUMIFS(Report!$U:$U,Report!$T:$T,$A8,Report!$C:$C,"&gt;="&amp;DATE(2027,9,1),Report!$C:$C,"&lt;"&amp;DATE(2027,10,1))</f>
        <v>0</v>
      </c>
      <c r="X8" s="15" t="n">
        <f aca="false">SUMIFS(Report!$U:$U,Report!$T:$T,$A8,Report!$C:$C,"&gt;="&amp;DATE(2027,10,1),Report!$C:$C,"&lt;"&amp;DATE(2027,11,1))</f>
        <v>0</v>
      </c>
      <c r="Y8" s="15" t="n">
        <f aca="false">SUMIFS(Report!$U:$U,Report!$T:$T,$A8,Report!$C:$C,"&gt;="&amp;DATE(2027,11,1),Report!$C:$C,"&lt;"&amp;DATE(2027,12,1))</f>
        <v>0</v>
      </c>
      <c r="Z8" s="15" t="n">
        <f aca="false">SUMIFS(Report!$U:$U,Report!$T:$T,$A8,Report!$C:$C,"&gt;="&amp;DATE(2027,12,1),Report!$C:$C,"&lt;"&amp;DATE(2028,1,1))</f>
        <v>0</v>
      </c>
      <c r="AA8" s="15" t="n">
        <f aca="false">SUM(C8:Z8)</f>
        <v>240159.32</v>
      </c>
    </row>
    <row r="9" customFormat="false" ht="12.75" hidden="false" customHeight="true" outlineLevel="0" collapsed="false">
      <c r="A9" s="0" t="s">
        <v>1846</v>
      </c>
      <c r="B9" s="0" t="str">
        <f aca="false">IFERROR(INDEX('Resumo Grupos'!$AC$3:$AC$200,MATCH($A9,'Resumo Grupos'!$AB$3:$AB$200,0)),"n/d")</f>
        <v>Despesa</v>
      </c>
      <c r="C9" s="15" t="n">
        <f aca="false">SUMIFS(Report!$U:$U,Report!$T:$T,$A9,Report!$C:$C,"&gt;="&amp;DATE(2026,1,1),Report!$C:$C,"&lt;"&amp;DATE(2026,2,1))</f>
        <v>0</v>
      </c>
      <c r="D9" s="15" t="n">
        <f aca="false">SUMIFS(Report!$U:$U,Report!$T:$T,$A9,Report!$C:$C,"&gt;="&amp;DATE(2026,2,1),Report!$C:$C,"&lt;"&amp;DATE(2026,3,1))</f>
        <v>0</v>
      </c>
      <c r="E9" s="15" t="n">
        <f aca="false">SUMIFS(Report!$U:$U,Report!$T:$T,$A9,Report!$C:$C,"&gt;="&amp;DATE(2026,3,1),Report!$C:$C,"&lt;"&amp;DATE(2026,4,1))</f>
        <v>0</v>
      </c>
      <c r="F9" s="15" t="n">
        <f aca="false">SUMIFS(Report!$U:$U,Report!$T:$T,$A9,Report!$C:$C,"&gt;="&amp;DATE(2026,4,1),Report!$C:$C,"&lt;"&amp;DATE(2026,5,1))</f>
        <v>0</v>
      </c>
      <c r="G9" s="15" t="n">
        <f aca="false">SUMIFS(Report!$U:$U,Report!$T:$T,$A9,Report!$C:$C,"&gt;="&amp;DATE(2026,5,1),Report!$C:$C,"&lt;"&amp;DATE(2026,6,1))</f>
        <v>0</v>
      </c>
      <c r="H9" s="15" t="n">
        <f aca="false">SUMIFS(Report!$U:$U,Report!$T:$T,$A9,Report!$C:$C,"&gt;="&amp;DATE(2026,6,1),Report!$C:$C,"&lt;"&amp;DATE(2026,7,1))</f>
        <v>0</v>
      </c>
      <c r="I9" s="15" t="n">
        <f aca="false">SUMIFS(Report!$U:$U,Report!$T:$T,$A9,Report!$C:$C,"&gt;="&amp;DATE(2026,7,1),Report!$C:$C,"&lt;"&amp;DATE(2026,8,1))</f>
        <v>0</v>
      </c>
      <c r="J9" s="15" t="n">
        <f aca="false">SUMIFS(Report!$U:$U,Report!$T:$T,$A9,Report!$C:$C,"&gt;="&amp;DATE(2026,8,1),Report!$C:$C,"&lt;"&amp;DATE(2026,9,1))</f>
        <v>0</v>
      </c>
      <c r="K9" s="15" t="n">
        <f aca="false">SUMIFS(Report!$U:$U,Report!$T:$T,$A9,Report!$C:$C,"&gt;="&amp;DATE(2026,9,1),Report!$C:$C,"&lt;"&amp;DATE(2026,10,1))</f>
        <v>18.75</v>
      </c>
      <c r="L9" s="15" t="n">
        <f aca="false">SUMIFS(Report!$U:$U,Report!$T:$T,$A9,Report!$C:$C,"&gt;="&amp;DATE(2026,10,1),Report!$C:$C,"&lt;"&amp;DATE(2026,11,1))</f>
        <v>17.63</v>
      </c>
      <c r="M9" s="15" t="n">
        <f aca="false">SUMIFS(Report!$U:$U,Report!$T:$T,$A9,Report!$C:$C,"&gt;="&amp;DATE(2026,11,1),Report!$C:$C,"&lt;"&amp;DATE(2026,12,1))</f>
        <v>0</v>
      </c>
      <c r="N9" s="15" t="n">
        <f aca="false">SUMIFS(Report!$U:$U,Report!$T:$T,$A9,Report!$C:$C,"&gt;="&amp;DATE(2026,12,1),Report!$C:$C,"&lt;"&amp;DATE(2027,1,1))</f>
        <v>0</v>
      </c>
      <c r="O9" s="15" t="n">
        <f aca="false">SUMIFS(Report!$U:$U,Report!$T:$T,$A9,Report!$C:$C,"&gt;="&amp;DATE(2027,1,1),Report!$C:$C,"&lt;"&amp;DATE(2027,2,1))</f>
        <v>0</v>
      </c>
      <c r="P9" s="15" t="n">
        <f aca="false">SUMIFS(Report!$U:$U,Report!$T:$T,$A9,Report!$C:$C,"&gt;="&amp;DATE(2027,2,1),Report!$C:$C,"&lt;"&amp;DATE(2027,3,1))</f>
        <v>0</v>
      </c>
      <c r="Q9" s="15" t="n">
        <f aca="false">SUMIFS(Report!$U:$U,Report!$T:$T,$A9,Report!$C:$C,"&gt;="&amp;DATE(2027,3,1),Report!$C:$C,"&lt;"&amp;DATE(2027,4,1))</f>
        <v>0</v>
      </c>
      <c r="R9" s="15" t="n">
        <f aca="false">SUMIFS(Report!$U:$U,Report!$T:$T,$A9,Report!$C:$C,"&gt;="&amp;DATE(2027,4,1),Report!$C:$C,"&lt;"&amp;DATE(2027,5,1))</f>
        <v>0</v>
      </c>
      <c r="S9" s="15" t="n">
        <f aca="false">SUMIFS(Report!$U:$U,Report!$T:$T,$A9,Report!$C:$C,"&gt;="&amp;DATE(2027,5,1),Report!$C:$C,"&lt;"&amp;DATE(2027,6,1))</f>
        <v>0</v>
      </c>
      <c r="T9" s="15" t="n">
        <f aca="false">SUMIFS(Report!$U:$U,Report!$T:$T,$A9,Report!$C:$C,"&gt;="&amp;DATE(2027,6,1),Report!$C:$C,"&lt;"&amp;DATE(2027,7,1))</f>
        <v>0</v>
      </c>
      <c r="U9" s="15" t="n">
        <f aca="false">SUMIFS(Report!$U:$U,Report!$T:$T,$A9,Report!$C:$C,"&gt;="&amp;DATE(2027,7,1),Report!$C:$C,"&lt;"&amp;DATE(2027,8,1))</f>
        <v>0</v>
      </c>
      <c r="V9" s="15" t="n">
        <f aca="false">SUMIFS(Report!$U:$U,Report!$T:$T,$A9,Report!$C:$C,"&gt;="&amp;DATE(2027,8,1),Report!$C:$C,"&lt;"&amp;DATE(2027,9,1))</f>
        <v>0</v>
      </c>
      <c r="W9" s="15" t="n">
        <f aca="false">SUMIFS(Report!$U:$U,Report!$T:$T,$A9,Report!$C:$C,"&gt;="&amp;DATE(2027,9,1),Report!$C:$C,"&lt;"&amp;DATE(2027,10,1))</f>
        <v>0</v>
      </c>
      <c r="X9" s="15" t="n">
        <f aca="false">SUMIFS(Report!$U:$U,Report!$T:$T,$A9,Report!$C:$C,"&gt;="&amp;DATE(2027,10,1),Report!$C:$C,"&lt;"&amp;DATE(2027,11,1))</f>
        <v>0</v>
      </c>
      <c r="Y9" s="15" t="n">
        <f aca="false">SUMIFS(Report!$U:$U,Report!$T:$T,$A9,Report!$C:$C,"&gt;="&amp;DATE(2027,11,1),Report!$C:$C,"&lt;"&amp;DATE(2027,12,1))</f>
        <v>0</v>
      </c>
      <c r="Z9" s="15" t="n">
        <f aca="false">SUMIFS(Report!$U:$U,Report!$T:$T,$A9,Report!$C:$C,"&gt;="&amp;DATE(2027,12,1),Report!$C:$C,"&lt;"&amp;DATE(2028,1,1))</f>
        <v>0</v>
      </c>
      <c r="AA9" s="15" t="n">
        <f aca="false">SUM(C9:Z9)</f>
        <v>36.38</v>
      </c>
    </row>
    <row r="10" customFormat="false" ht="12.75" hidden="false" customHeight="true" outlineLevel="0" collapsed="false">
      <c r="A10" s="0" t="s">
        <v>968</v>
      </c>
      <c r="B10" s="0" t="str">
        <f aca="false">IFERROR(INDEX('Resumo Grupos'!$AC$3:$AC$200,MATCH($A10,'Resumo Grupos'!$AB$3:$AB$200,0)),"n/d")</f>
        <v>Despesa</v>
      </c>
      <c r="C10" s="15" t="n">
        <f aca="false">SUMIFS(Report!$U:$U,Report!$T:$T,$A10,Report!$C:$C,"&gt;="&amp;DATE(2026,1,1),Report!$C:$C,"&lt;"&amp;DATE(2026,2,1))</f>
        <v>0</v>
      </c>
      <c r="D10" s="15" t="n">
        <f aca="false">SUMIFS(Report!$U:$U,Report!$T:$T,$A10,Report!$C:$C,"&gt;="&amp;DATE(2026,2,1),Report!$C:$C,"&lt;"&amp;DATE(2026,3,1))</f>
        <v>0</v>
      </c>
      <c r="E10" s="15" t="n">
        <f aca="false">SUMIFS(Report!$U:$U,Report!$T:$T,$A10,Report!$C:$C,"&gt;="&amp;DATE(2026,3,1),Report!$C:$C,"&lt;"&amp;DATE(2026,4,1))</f>
        <v>0</v>
      </c>
      <c r="F10" s="15" t="n">
        <f aca="false">SUMIFS(Report!$U:$U,Report!$T:$T,$A10,Report!$C:$C,"&gt;="&amp;DATE(2026,4,1),Report!$C:$C,"&lt;"&amp;DATE(2026,5,1))</f>
        <v>0</v>
      </c>
      <c r="G10" s="15" t="n">
        <f aca="false">SUMIFS(Report!$U:$U,Report!$T:$T,$A10,Report!$C:$C,"&gt;="&amp;DATE(2026,5,1),Report!$C:$C,"&lt;"&amp;DATE(2026,6,1))</f>
        <v>0</v>
      </c>
      <c r="H10" s="15" t="n">
        <f aca="false">SUMIFS(Report!$U:$U,Report!$T:$T,$A10,Report!$C:$C,"&gt;="&amp;DATE(2026,6,1),Report!$C:$C,"&lt;"&amp;DATE(2026,7,1))</f>
        <v>0</v>
      </c>
      <c r="I10" s="15" t="n">
        <f aca="false">SUMIFS(Report!$U:$U,Report!$T:$T,$A10,Report!$C:$C,"&gt;="&amp;DATE(2026,7,1),Report!$C:$C,"&lt;"&amp;DATE(2026,8,1))</f>
        <v>301.61</v>
      </c>
      <c r="J10" s="15" t="n">
        <f aca="false">SUMIFS(Report!$U:$U,Report!$T:$T,$A10,Report!$C:$C,"&gt;="&amp;DATE(2026,8,1),Report!$C:$C,"&lt;"&amp;DATE(2026,9,1))</f>
        <v>0</v>
      </c>
      <c r="K10" s="15" t="n">
        <f aca="false">SUMIFS(Report!$U:$U,Report!$T:$T,$A10,Report!$C:$C,"&gt;="&amp;DATE(2026,9,1),Report!$C:$C,"&lt;"&amp;DATE(2026,10,1))</f>
        <v>0</v>
      </c>
      <c r="L10" s="15" t="n">
        <f aca="false">SUMIFS(Report!$U:$U,Report!$T:$T,$A10,Report!$C:$C,"&gt;="&amp;DATE(2026,10,1),Report!$C:$C,"&lt;"&amp;DATE(2026,11,1))</f>
        <v>0</v>
      </c>
      <c r="M10" s="15" t="n">
        <f aca="false">SUMIFS(Report!$U:$U,Report!$T:$T,$A10,Report!$C:$C,"&gt;="&amp;DATE(2026,11,1),Report!$C:$C,"&lt;"&amp;DATE(2026,12,1))</f>
        <v>0</v>
      </c>
      <c r="N10" s="15" t="n">
        <f aca="false">SUMIFS(Report!$U:$U,Report!$T:$T,$A10,Report!$C:$C,"&gt;="&amp;DATE(2026,12,1),Report!$C:$C,"&lt;"&amp;DATE(2027,1,1))</f>
        <v>0</v>
      </c>
      <c r="O10" s="15" t="n">
        <f aca="false">SUMIFS(Report!$U:$U,Report!$T:$T,$A10,Report!$C:$C,"&gt;="&amp;DATE(2027,1,1),Report!$C:$C,"&lt;"&amp;DATE(2027,2,1))</f>
        <v>0</v>
      </c>
      <c r="P10" s="15" t="n">
        <f aca="false">SUMIFS(Report!$U:$U,Report!$T:$T,$A10,Report!$C:$C,"&gt;="&amp;DATE(2027,2,1),Report!$C:$C,"&lt;"&amp;DATE(2027,3,1))</f>
        <v>0</v>
      </c>
      <c r="Q10" s="15" t="n">
        <f aca="false">SUMIFS(Report!$U:$U,Report!$T:$T,$A10,Report!$C:$C,"&gt;="&amp;DATE(2027,3,1),Report!$C:$C,"&lt;"&amp;DATE(2027,4,1))</f>
        <v>0</v>
      </c>
      <c r="R10" s="15" t="n">
        <f aca="false">SUMIFS(Report!$U:$U,Report!$T:$T,$A10,Report!$C:$C,"&gt;="&amp;DATE(2027,4,1),Report!$C:$C,"&lt;"&amp;DATE(2027,5,1))</f>
        <v>0</v>
      </c>
      <c r="S10" s="15" t="n">
        <f aca="false">SUMIFS(Report!$U:$U,Report!$T:$T,$A10,Report!$C:$C,"&gt;="&amp;DATE(2027,5,1),Report!$C:$C,"&lt;"&amp;DATE(2027,6,1))</f>
        <v>0</v>
      </c>
      <c r="T10" s="15" t="n">
        <f aca="false">SUMIFS(Report!$U:$U,Report!$T:$T,$A10,Report!$C:$C,"&gt;="&amp;DATE(2027,6,1),Report!$C:$C,"&lt;"&amp;DATE(2027,7,1))</f>
        <v>0</v>
      </c>
      <c r="U10" s="15" t="n">
        <f aca="false">SUMIFS(Report!$U:$U,Report!$T:$T,$A10,Report!$C:$C,"&gt;="&amp;DATE(2027,7,1),Report!$C:$C,"&lt;"&amp;DATE(2027,8,1))</f>
        <v>0</v>
      </c>
      <c r="V10" s="15" t="n">
        <f aca="false">SUMIFS(Report!$U:$U,Report!$T:$T,$A10,Report!$C:$C,"&gt;="&amp;DATE(2027,8,1),Report!$C:$C,"&lt;"&amp;DATE(2027,9,1))</f>
        <v>0</v>
      </c>
      <c r="W10" s="15" t="n">
        <f aca="false">SUMIFS(Report!$U:$U,Report!$T:$T,$A10,Report!$C:$C,"&gt;="&amp;DATE(2027,9,1),Report!$C:$C,"&lt;"&amp;DATE(2027,10,1))</f>
        <v>0</v>
      </c>
      <c r="X10" s="15" t="n">
        <f aca="false">SUMIFS(Report!$U:$U,Report!$T:$T,$A10,Report!$C:$C,"&gt;="&amp;DATE(2027,10,1),Report!$C:$C,"&lt;"&amp;DATE(2027,11,1))</f>
        <v>0</v>
      </c>
      <c r="Y10" s="15" t="n">
        <f aca="false">SUMIFS(Report!$U:$U,Report!$T:$T,$A10,Report!$C:$C,"&gt;="&amp;DATE(2027,11,1),Report!$C:$C,"&lt;"&amp;DATE(2027,12,1))</f>
        <v>0</v>
      </c>
      <c r="Z10" s="15" t="n">
        <f aca="false">SUMIFS(Report!$U:$U,Report!$T:$T,$A10,Report!$C:$C,"&gt;="&amp;DATE(2027,12,1),Report!$C:$C,"&lt;"&amp;DATE(2028,1,1))</f>
        <v>0</v>
      </c>
      <c r="AA10" s="15" t="n">
        <f aca="false">SUM(C10:Z10)</f>
        <v>301.61</v>
      </c>
    </row>
    <row r="11" customFormat="false" ht="12.75" hidden="false" customHeight="true" outlineLevel="0" collapsed="false">
      <c r="A11" s="0" t="s">
        <v>605</v>
      </c>
      <c r="B11" s="0" t="str">
        <f aca="false">IFERROR(INDEX('Resumo Grupos'!$AC$3:$AC$200,MATCH($A11,'Resumo Grupos'!$AB$3:$AB$200,0)),"n/d")</f>
        <v>Despesa</v>
      </c>
      <c r="C11" s="15" t="n">
        <f aca="false">SUMIFS(Report!$U:$U,Report!$T:$T,$A11,Report!$C:$C,"&gt;="&amp;DATE(2026,1,1),Report!$C:$C,"&lt;"&amp;DATE(2026,2,1))</f>
        <v>0</v>
      </c>
      <c r="D11" s="15" t="n">
        <f aca="false">SUMIFS(Report!$U:$U,Report!$T:$T,$A11,Report!$C:$C,"&gt;="&amp;DATE(2026,2,1),Report!$C:$C,"&lt;"&amp;DATE(2026,3,1))</f>
        <v>0</v>
      </c>
      <c r="E11" s="15" t="n">
        <f aca="false">SUMIFS(Report!$U:$U,Report!$T:$T,$A11,Report!$C:$C,"&gt;="&amp;DATE(2026,3,1),Report!$C:$C,"&lt;"&amp;DATE(2026,4,1))</f>
        <v>0</v>
      </c>
      <c r="F11" s="15" t="n">
        <f aca="false">SUMIFS(Report!$U:$U,Report!$T:$T,$A11,Report!$C:$C,"&gt;="&amp;DATE(2026,4,1),Report!$C:$C,"&lt;"&amp;DATE(2026,5,1))</f>
        <v>0</v>
      </c>
      <c r="G11" s="15" t="n">
        <f aca="false">SUMIFS(Report!$U:$U,Report!$T:$T,$A11,Report!$C:$C,"&gt;="&amp;DATE(2026,5,1),Report!$C:$C,"&lt;"&amp;DATE(2026,6,1))</f>
        <v>0</v>
      </c>
      <c r="H11" s="15" t="n">
        <f aca="false">SUMIFS(Report!$U:$U,Report!$T:$T,$A11,Report!$C:$C,"&gt;="&amp;DATE(2026,6,1),Report!$C:$C,"&lt;"&amp;DATE(2026,7,1))</f>
        <v>31.57</v>
      </c>
      <c r="I11" s="15" t="n">
        <f aca="false">SUMIFS(Report!$U:$U,Report!$T:$T,$A11,Report!$C:$C,"&gt;="&amp;DATE(2026,7,1),Report!$C:$C,"&lt;"&amp;DATE(2026,8,1))</f>
        <v>0</v>
      </c>
      <c r="J11" s="15" t="n">
        <f aca="false">SUMIFS(Report!$U:$U,Report!$T:$T,$A11,Report!$C:$C,"&gt;="&amp;DATE(2026,8,1),Report!$C:$C,"&lt;"&amp;DATE(2026,9,1))</f>
        <v>0</v>
      </c>
      <c r="K11" s="15" t="n">
        <f aca="false">SUMIFS(Report!$U:$U,Report!$T:$T,$A11,Report!$C:$C,"&gt;="&amp;DATE(2026,9,1),Report!$C:$C,"&lt;"&amp;DATE(2026,10,1))</f>
        <v>0</v>
      </c>
      <c r="L11" s="15" t="n">
        <f aca="false">SUMIFS(Report!$U:$U,Report!$T:$T,$A11,Report!$C:$C,"&gt;="&amp;DATE(2026,10,1),Report!$C:$C,"&lt;"&amp;DATE(2026,11,1))</f>
        <v>0</v>
      </c>
      <c r="M11" s="15" t="n">
        <f aca="false">SUMIFS(Report!$U:$U,Report!$T:$T,$A11,Report!$C:$C,"&gt;="&amp;DATE(2026,11,1),Report!$C:$C,"&lt;"&amp;DATE(2026,12,1))</f>
        <v>0</v>
      </c>
      <c r="N11" s="15" t="n">
        <f aca="false">SUMIFS(Report!$U:$U,Report!$T:$T,$A11,Report!$C:$C,"&gt;="&amp;DATE(2026,12,1),Report!$C:$C,"&lt;"&amp;DATE(2027,1,1))</f>
        <v>0</v>
      </c>
      <c r="O11" s="15" t="n">
        <f aca="false">SUMIFS(Report!$U:$U,Report!$T:$T,$A11,Report!$C:$C,"&gt;="&amp;DATE(2027,1,1),Report!$C:$C,"&lt;"&amp;DATE(2027,2,1))</f>
        <v>0</v>
      </c>
      <c r="P11" s="15" t="n">
        <f aca="false">SUMIFS(Report!$U:$U,Report!$T:$T,$A11,Report!$C:$C,"&gt;="&amp;DATE(2027,2,1),Report!$C:$C,"&lt;"&amp;DATE(2027,3,1))</f>
        <v>0</v>
      </c>
      <c r="Q11" s="15" t="n">
        <f aca="false">SUMIFS(Report!$U:$U,Report!$T:$T,$A11,Report!$C:$C,"&gt;="&amp;DATE(2027,3,1),Report!$C:$C,"&lt;"&amp;DATE(2027,4,1))</f>
        <v>0</v>
      </c>
      <c r="R11" s="15" t="n">
        <f aca="false">SUMIFS(Report!$U:$U,Report!$T:$T,$A11,Report!$C:$C,"&gt;="&amp;DATE(2027,4,1),Report!$C:$C,"&lt;"&amp;DATE(2027,5,1))</f>
        <v>0</v>
      </c>
      <c r="S11" s="15" t="n">
        <f aca="false">SUMIFS(Report!$U:$U,Report!$T:$T,$A11,Report!$C:$C,"&gt;="&amp;DATE(2027,5,1),Report!$C:$C,"&lt;"&amp;DATE(2027,6,1))</f>
        <v>0</v>
      </c>
      <c r="T11" s="15" t="n">
        <f aca="false">SUMIFS(Report!$U:$U,Report!$T:$T,$A11,Report!$C:$C,"&gt;="&amp;DATE(2027,6,1),Report!$C:$C,"&lt;"&amp;DATE(2027,7,1))</f>
        <v>0</v>
      </c>
      <c r="U11" s="15" t="n">
        <f aca="false">SUMIFS(Report!$U:$U,Report!$T:$T,$A11,Report!$C:$C,"&gt;="&amp;DATE(2027,7,1),Report!$C:$C,"&lt;"&amp;DATE(2027,8,1))</f>
        <v>0</v>
      </c>
      <c r="V11" s="15" t="n">
        <f aca="false">SUMIFS(Report!$U:$U,Report!$T:$T,$A11,Report!$C:$C,"&gt;="&amp;DATE(2027,8,1),Report!$C:$C,"&lt;"&amp;DATE(2027,9,1))</f>
        <v>0</v>
      </c>
      <c r="W11" s="15" t="n">
        <f aca="false">SUMIFS(Report!$U:$U,Report!$T:$T,$A11,Report!$C:$C,"&gt;="&amp;DATE(2027,9,1),Report!$C:$C,"&lt;"&amp;DATE(2027,10,1))</f>
        <v>0</v>
      </c>
      <c r="X11" s="15" t="n">
        <f aca="false">SUMIFS(Report!$U:$U,Report!$T:$T,$A11,Report!$C:$C,"&gt;="&amp;DATE(2027,10,1),Report!$C:$C,"&lt;"&amp;DATE(2027,11,1))</f>
        <v>0</v>
      </c>
      <c r="Y11" s="15" t="n">
        <f aca="false">SUMIFS(Report!$U:$U,Report!$T:$T,$A11,Report!$C:$C,"&gt;="&amp;DATE(2027,11,1),Report!$C:$C,"&lt;"&amp;DATE(2027,12,1))</f>
        <v>0</v>
      </c>
      <c r="Z11" s="15" t="n">
        <f aca="false">SUMIFS(Report!$U:$U,Report!$T:$T,$A11,Report!$C:$C,"&gt;="&amp;DATE(2027,12,1),Report!$C:$C,"&lt;"&amp;DATE(2028,1,1))</f>
        <v>0</v>
      </c>
      <c r="AA11" s="15" t="n">
        <f aca="false">SUM(C11:Z11)</f>
        <v>31.57</v>
      </c>
    </row>
    <row r="12" customFormat="false" ht="12.75" hidden="false" customHeight="true" outlineLevel="0" collapsed="false">
      <c r="A12" s="0" t="s">
        <v>682</v>
      </c>
      <c r="B12" s="0" t="str">
        <f aca="false">IFERROR(INDEX('Resumo Grupos'!$AC$3:$AC$200,MATCH($A12,'Resumo Grupos'!$AB$3:$AB$200,0)),"n/d")</f>
        <v>Despesa</v>
      </c>
      <c r="C12" s="15" t="n">
        <f aca="false">SUMIFS(Report!$U:$U,Report!$T:$T,$A12,Report!$C:$C,"&gt;="&amp;DATE(2026,1,1),Report!$C:$C,"&lt;"&amp;DATE(2026,2,1))</f>
        <v>0</v>
      </c>
      <c r="D12" s="15" t="n">
        <f aca="false">SUMIFS(Report!$U:$U,Report!$T:$T,$A12,Report!$C:$C,"&gt;="&amp;DATE(2026,2,1),Report!$C:$C,"&lt;"&amp;DATE(2026,3,1))</f>
        <v>0</v>
      </c>
      <c r="E12" s="15" t="n">
        <f aca="false">SUMIFS(Report!$U:$U,Report!$T:$T,$A12,Report!$C:$C,"&gt;="&amp;DATE(2026,3,1),Report!$C:$C,"&lt;"&amp;DATE(2026,4,1))</f>
        <v>0</v>
      </c>
      <c r="F12" s="15" t="n">
        <f aca="false">SUMIFS(Report!$U:$U,Report!$T:$T,$A12,Report!$C:$C,"&gt;="&amp;DATE(2026,4,1),Report!$C:$C,"&lt;"&amp;DATE(2026,5,1))</f>
        <v>0</v>
      </c>
      <c r="G12" s="15" t="n">
        <f aca="false">SUMIFS(Report!$U:$U,Report!$T:$T,$A12,Report!$C:$C,"&gt;="&amp;DATE(2026,5,1),Report!$C:$C,"&lt;"&amp;DATE(2026,6,1))</f>
        <v>0</v>
      </c>
      <c r="H12" s="15" t="n">
        <f aca="false">SUMIFS(Report!$U:$U,Report!$T:$T,$A12,Report!$C:$C,"&gt;="&amp;DATE(2026,6,1),Report!$C:$C,"&lt;"&amp;DATE(2026,7,1))</f>
        <v>0</v>
      </c>
      <c r="I12" s="15" t="n">
        <f aca="false">SUMIFS(Report!$U:$U,Report!$T:$T,$A12,Report!$C:$C,"&gt;="&amp;DATE(2026,7,1),Report!$C:$C,"&lt;"&amp;DATE(2026,8,1))</f>
        <v>727.8</v>
      </c>
      <c r="J12" s="15" t="n">
        <f aca="false">SUMIFS(Report!$U:$U,Report!$T:$T,$A12,Report!$C:$C,"&gt;="&amp;DATE(2026,8,1),Report!$C:$C,"&lt;"&amp;DATE(2026,9,1))</f>
        <v>106.35</v>
      </c>
      <c r="K12" s="15" t="n">
        <f aca="false">SUMIFS(Report!$U:$U,Report!$T:$T,$A12,Report!$C:$C,"&gt;="&amp;DATE(2026,9,1),Report!$C:$C,"&lt;"&amp;DATE(2026,10,1))</f>
        <v>689.15</v>
      </c>
      <c r="L12" s="15" t="n">
        <f aca="false">SUMIFS(Report!$U:$U,Report!$T:$T,$A12,Report!$C:$C,"&gt;="&amp;DATE(2026,10,1),Report!$C:$C,"&lt;"&amp;DATE(2026,11,1))</f>
        <v>531.3</v>
      </c>
      <c r="M12" s="15" t="n">
        <f aca="false">SUMIFS(Report!$U:$U,Report!$T:$T,$A12,Report!$C:$C,"&gt;="&amp;DATE(2026,11,1),Report!$C:$C,"&lt;"&amp;DATE(2026,12,1))</f>
        <v>0</v>
      </c>
      <c r="N12" s="15" t="n">
        <f aca="false">SUMIFS(Report!$U:$U,Report!$T:$T,$A12,Report!$C:$C,"&gt;="&amp;DATE(2026,12,1),Report!$C:$C,"&lt;"&amp;DATE(2027,1,1))</f>
        <v>0</v>
      </c>
      <c r="O12" s="15" t="n">
        <f aca="false">SUMIFS(Report!$U:$U,Report!$T:$T,$A12,Report!$C:$C,"&gt;="&amp;DATE(2027,1,1),Report!$C:$C,"&lt;"&amp;DATE(2027,2,1))</f>
        <v>0</v>
      </c>
      <c r="P12" s="15" t="n">
        <f aca="false">SUMIFS(Report!$U:$U,Report!$T:$T,$A12,Report!$C:$C,"&gt;="&amp;DATE(2027,2,1),Report!$C:$C,"&lt;"&amp;DATE(2027,3,1))</f>
        <v>0</v>
      </c>
      <c r="Q12" s="15" t="n">
        <f aca="false">SUMIFS(Report!$U:$U,Report!$T:$T,$A12,Report!$C:$C,"&gt;="&amp;DATE(2027,3,1),Report!$C:$C,"&lt;"&amp;DATE(2027,4,1))</f>
        <v>0</v>
      </c>
      <c r="R12" s="15" t="n">
        <f aca="false">SUMIFS(Report!$U:$U,Report!$T:$T,$A12,Report!$C:$C,"&gt;="&amp;DATE(2027,4,1),Report!$C:$C,"&lt;"&amp;DATE(2027,5,1))</f>
        <v>0</v>
      </c>
      <c r="S12" s="15" t="n">
        <f aca="false">SUMIFS(Report!$U:$U,Report!$T:$T,$A12,Report!$C:$C,"&gt;="&amp;DATE(2027,5,1),Report!$C:$C,"&lt;"&amp;DATE(2027,6,1))</f>
        <v>0</v>
      </c>
      <c r="T12" s="15" t="n">
        <f aca="false">SUMIFS(Report!$U:$U,Report!$T:$T,$A12,Report!$C:$C,"&gt;="&amp;DATE(2027,6,1),Report!$C:$C,"&lt;"&amp;DATE(2027,7,1))</f>
        <v>0</v>
      </c>
      <c r="U12" s="15" t="n">
        <f aca="false">SUMIFS(Report!$U:$U,Report!$T:$T,$A12,Report!$C:$C,"&gt;="&amp;DATE(2027,7,1),Report!$C:$C,"&lt;"&amp;DATE(2027,8,1))</f>
        <v>0</v>
      </c>
      <c r="V12" s="15" t="n">
        <f aca="false">SUMIFS(Report!$U:$U,Report!$T:$T,$A12,Report!$C:$C,"&gt;="&amp;DATE(2027,8,1),Report!$C:$C,"&lt;"&amp;DATE(2027,9,1))</f>
        <v>0</v>
      </c>
      <c r="W12" s="15" t="n">
        <f aca="false">SUMIFS(Report!$U:$U,Report!$T:$T,$A12,Report!$C:$C,"&gt;="&amp;DATE(2027,9,1),Report!$C:$C,"&lt;"&amp;DATE(2027,10,1))</f>
        <v>0</v>
      </c>
      <c r="X12" s="15" t="n">
        <f aca="false">SUMIFS(Report!$U:$U,Report!$T:$T,$A12,Report!$C:$C,"&gt;="&amp;DATE(2027,10,1),Report!$C:$C,"&lt;"&amp;DATE(2027,11,1))</f>
        <v>0</v>
      </c>
      <c r="Y12" s="15" t="n">
        <f aca="false">SUMIFS(Report!$U:$U,Report!$T:$T,$A12,Report!$C:$C,"&gt;="&amp;DATE(2027,11,1),Report!$C:$C,"&lt;"&amp;DATE(2027,12,1))</f>
        <v>0</v>
      </c>
      <c r="Z12" s="15" t="n">
        <f aca="false">SUMIFS(Report!$U:$U,Report!$T:$T,$A12,Report!$C:$C,"&gt;="&amp;DATE(2027,12,1),Report!$C:$C,"&lt;"&amp;DATE(2028,1,1))</f>
        <v>0</v>
      </c>
      <c r="AA12" s="15" t="n">
        <f aca="false">SUM(C12:Z12)</f>
        <v>2054.6</v>
      </c>
    </row>
    <row r="13" customFormat="false" ht="12.75" hidden="false" customHeight="true" outlineLevel="0" collapsed="false">
      <c r="A13" s="0" t="s">
        <v>56</v>
      </c>
      <c r="B13" s="0" t="str">
        <f aca="false">IFERROR(INDEX('Resumo Grupos'!$AC$3:$AC$200,MATCH($A13,'Resumo Grupos'!$AB$3:$AB$200,0)),"n/d")</f>
        <v>Cobertura de conta</v>
      </c>
      <c r="C13" s="15" t="n">
        <f aca="false">SUMIFS(Report!$U:$U,Report!$T:$T,$A13,Report!$C:$C,"&gt;="&amp;DATE(2026,1,1),Report!$C:$C,"&lt;"&amp;DATE(2026,2,1))</f>
        <v>0</v>
      </c>
      <c r="D13" s="15" t="n">
        <f aca="false">SUMIFS(Report!$U:$U,Report!$T:$T,$A13,Report!$C:$C,"&gt;="&amp;DATE(2026,2,1),Report!$C:$C,"&lt;"&amp;DATE(2026,3,1))</f>
        <v>0</v>
      </c>
      <c r="E13" s="15" t="n">
        <f aca="false">SUMIFS(Report!$U:$U,Report!$T:$T,$A13,Report!$C:$C,"&gt;="&amp;DATE(2026,3,1),Report!$C:$C,"&lt;"&amp;DATE(2026,4,1))</f>
        <v>0</v>
      </c>
      <c r="F13" s="15" t="n">
        <f aca="false">SUMIFS(Report!$U:$U,Report!$T:$T,$A13,Report!$C:$C,"&gt;="&amp;DATE(2026,4,1),Report!$C:$C,"&lt;"&amp;DATE(2026,5,1))</f>
        <v>0</v>
      </c>
      <c r="G13" s="15" t="n">
        <f aca="false">SUMIFS(Report!$U:$U,Report!$T:$T,$A13,Report!$C:$C,"&gt;="&amp;DATE(2026,5,1),Report!$C:$C,"&lt;"&amp;DATE(2026,6,1))</f>
        <v>0</v>
      </c>
      <c r="H13" s="15" t="n">
        <f aca="false">SUMIFS(Report!$U:$U,Report!$T:$T,$A13,Report!$C:$C,"&gt;="&amp;DATE(2026,6,1),Report!$C:$C,"&lt;"&amp;DATE(2026,7,1))</f>
        <v>0</v>
      </c>
      <c r="I13" s="15" t="n">
        <f aca="false">SUMIFS(Report!$U:$U,Report!$T:$T,$A13,Report!$C:$C,"&gt;="&amp;DATE(2026,7,1),Report!$C:$C,"&lt;"&amp;DATE(2026,8,1))</f>
        <v>0</v>
      </c>
      <c r="J13" s="15" t="n">
        <f aca="false">SUMIFS(Report!$U:$U,Report!$T:$T,$A13,Report!$C:$C,"&gt;="&amp;DATE(2026,8,1),Report!$C:$C,"&lt;"&amp;DATE(2026,9,1))</f>
        <v>1776.82</v>
      </c>
      <c r="K13" s="15" t="n">
        <f aca="false">SUMIFS(Report!$U:$U,Report!$T:$T,$A13,Report!$C:$C,"&gt;="&amp;DATE(2026,9,1),Report!$C:$C,"&lt;"&amp;DATE(2026,10,1))</f>
        <v>1880.32</v>
      </c>
      <c r="L13" s="15" t="n">
        <f aca="false">SUMIFS(Report!$U:$U,Report!$T:$T,$A13,Report!$C:$C,"&gt;="&amp;DATE(2026,10,1),Report!$C:$C,"&lt;"&amp;DATE(2026,11,1))</f>
        <v>440.32</v>
      </c>
      <c r="M13" s="15" t="n">
        <f aca="false">SUMIFS(Report!$U:$U,Report!$T:$T,$A13,Report!$C:$C,"&gt;="&amp;DATE(2026,11,1),Report!$C:$C,"&lt;"&amp;DATE(2026,12,1))</f>
        <v>0</v>
      </c>
      <c r="N13" s="15" t="n">
        <f aca="false">SUMIFS(Report!$U:$U,Report!$T:$T,$A13,Report!$C:$C,"&gt;="&amp;DATE(2026,12,1),Report!$C:$C,"&lt;"&amp;DATE(2027,1,1))</f>
        <v>0</v>
      </c>
      <c r="O13" s="15" t="n">
        <f aca="false">SUMIFS(Report!$U:$U,Report!$T:$T,$A13,Report!$C:$C,"&gt;="&amp;DATE(2027,1,1),Report!$C:$C,"&lt;"&amp;DATE(2027,2,1))</f>
        <v>0</v>
      </c>
      <c r="P13" s="15" t="n">
        <f aca="false">SUMIFS(Report!$U:$U,Report!$T:$T,$A13,Report!$C:$C,"&gt;="&amp;DATE(2027,2,1),Report!$C:$C,"&lt;"&amp;DATE(2027,3,1))</f>
        <v>0</v>
      </c>
      <c r="Q13" s="15" t="n">
        <f aca="false">SUMIFS(Report!$U:$U,Report!$T:$T,$A13,Report!$C:$C,"&gt;="&amp;DATE(2027,3,1),Report!$C:$C,"&lt;"&amp;DATE(2027,4,1))</f>
        <v>0</v>
      </c>
      <c r="R13" s="15" t="n">
        <f aca="false">SUMIFS(Report!$U:$U,Report!$T:$T,$A13,Report!$C:$C,"&gt;="&amp;DATE(2027,4,1),Report!$C:$C,"&lt;"&amp;DATE(2027,5,1))</f>
        <v>0</v>
      </c>
      <c r="S13" s="15" t="n">
        <f aca="false">SUMIFS(Report!$U:$U,Report!$T:$T,$A13,Report!$C:$C,"&gt;="&amp;DATE(2027,5,1),Report!$C:$C,"&lt;"&amp;DATE(2027,6,1))</f>
        <v>0</v>
      </c>
      <c r="T13" s="15" t="n">
        <f aca="false">SUMIFS(Report!$U:$U,Report!$T:$T,$A13,Report!$C:$C,"&gt;="&amp;DATE(2027,6,1),Report!$C:$C,"&lt;"&amp;DATE(2027,7,1))</f>
        <v>0</v>
      </c>
      <c r="U13" s="15" t="n">
        <f aca="false">SUMIFS(Report!$U:$U,Report!$T:$T,$A13,Report!$C:$C,"&gt;="&amp;DATE(2027,7,1),Report!$C:$C,"&lt;"&amp;DATE(2027,8,1))</f>
        <v>0</v>
      </c>
      <c r="V13" s="15" t="n">
        <f aca="false">SUMIFS(Report!$U:$U,Report!$T:$T,$A13,Report!$C:$C,"&gt;="&amp;DATE(2027,8,1),Report!$C:$C,"&lt;"&amp;DATE(2027,9,1))</f>
        <v>0</v>
      </c>
      <c r="W13" s="15" t="n">
        <f aca="false">SUMIFS(Report!$U:$U,Report!$T:$T,$A13,Report!$C:$C,"&gt;="&amp;DATE(2027,9,1),Report!$C:$C,"&lt;"&amp;DATE(2027,10,1))</f>
        <v>0</v>
      </c>
      <c r="X13" s="15" t="n">
        <f aca="false">SUMIFS(Report!$U:$U,Report!$T:$T,$A13,Report!$C:$C,"&gt;="&amp;DATE(2027,10,1),Report!$C:$C,"&lt;"&amp;DATE(2027,11,1))</f>
        <v>0</v>
      </c>
      <c r="Y13" s="15" t="n">
        <f aca="false">SUMIFS(Report!$U:$U,Report!$T:$T,$A13,Report!$C:$C,"&gt;="&amp;DATE(2027,11,1),Report!$C:$C,"&lt;"&amp;DATE(2027,12,1))</f>
        <v>0</v>
      </c>
      <c r="Z13" s="15" t="n">
        <f aca="false">SUMIFS(Report!$U:$U,Report!$T:$T,$A13,Report!$C:$C,"&gt;="&amp;DATE(2027,12,1),Report!$C:$C,"&lt;"&amp;DATE(2028,1,1))</f>
        <v>0</v>
      </c>
      <c r="AA13" s="15" t="n">
        <f aca="false">SUM(C13:Z13)</f>
        <v>4097.46</v>
      </c>
    </row>
    <row r="14" customFormat="false" ht="12.75" hidden="false" customHeight="true" outlineLevel="0" collapsed="false">
      <c r="A14" s="0" t="s">
        <v>513</v>
      </c>
      <c r="B14" s="0" t="str">
        <f aca="false">IFERROR(INDEX('Resumo Grupos'!$AC$3:$AC$200,MATCH($A14,'Resumo Grupos'!$AB$3:$AB$200,0)),"n/d")</f>
        <v>Despesa</v>
      </c>
      <c r="C14" s="15" t="n">
        <f aca="false">SUMIFS(Report!$U:$U,Report!$T:$T,$A14,Report!$C:$C,"&gt;="&amp;DATE(2026,1,1),Report!$C:$C,"&lt;"&amp;DATE(2026,2,1))</f>
        <v>0</v>
      </c>
      <c r="D14" s="15" t="n">
        <f aca="false">SUMIFS(Report!$U:$U,Report!$T:$T,$A14,Report!$C:$C,"&gt;="&amp;DATE(2026,2,1),Report!$C:$C,"&lt;"&amp;DATE(2026,3,1))</f>
        <v>0</v>
      </c>
      <c r="E14" s="15" t="n">
        <f aca="false">SUMIFS(Report!$U:$U,Report!$T:$T,$A14,Report!$C:$C,"&gt;="&amp;DATE(2026,3,1),Report!$C:$C,"&lt;"&amp;DATE(2026,4,1))</f>
        <v>0</v>
      </c>
      <c r="F14" s="15" t="n">
        <f aca="false">SUMIFS(Report!$U:$U,Report!$T:$T,$A14,Report!$C:$C,"&gt;="&amp;DATE(2026,4,1),Report!$C:$C,"&lt;"&amp;DATE(2026,5,1))</f>
        <v>0</v>
      </c>
      <c r="G14" s="15" t="n">
        <f aca="false">SUMIFS(Report!$U:$U,Report!$T:$T,$A14,Report!$C:$C,"&gt;="&amp;DATE(2026,5,1),Report!$C:$C,"&lt;"&amp;DATE(2026,6,1))</f>
        <v>0</v>
      </c>
      <c r="H14" s="15" t="n">
        <f aca="false">SUMIFS(Report!$U:$U,Report!$T:$T,$A14,Report!$C:$C,"&gt;="&amp;DATE(2026,6,1),Report!$C:$C,"&lt;"&amp;DATE(2026,7,1))</f>
        <v>396.67</v>
      </c>
      <c r="I14" s="15" t="n">
        <f aca="false">SUMIFS(Report!$U:$U,Report!$T:$T,$A14,Report!$C:$C,"&gt;="&amp;DATE(2026,7,1),Report!$C:$C,"&lt;"&amp;DATE(2026,8,1))</f>
        <v>396.64</v>
      </c>
      <c r="J14" s="15" t="n">
        <f aca="false">SUMIFS(Report!$U:$U,Report!$T:$T,$A14,Report!$C:$C,"&gt;="&amp;DATE(2026,8,1),Report!$C:$C,"&lt;"&amp;DATE(2026,9,1))</f>
        <v>420</v>
      </c>
      <c r="K14" s="15" t="n">
        <f aca="false">SUMIFS(Report!$U:$U,Report!$T:$T,$A14,Report!$C:$C,"&gt;="&amp;DATE(2026,9,1),Report!$C:$C,"&lt;"&amp;DATE(2026,10,1))</f>
        <v>420</v>
      </c>
      <c r="L14" s="15" t="n">
        <f aca="false">SUMIFS(Report!$U:$U,Report!$T:$T,$A14,Report!$C:$C,"&gt;="&amp;DATE(2026,10,1),Report!$C:$C,"&lt;"&amp;DATE(2026,11,1))</f>
        <v>0</v>
      </c>
      <c r="M14" s="15" t="n">
        <f aca="false">SUMIFS(Report!$U:$U,Report!$T:$T,$A14,Report!$C:$C,"&gt;="&amp;DATE(2026,11,1),Report!$C:$C,"&lt;"&amp;DATE(2026,12,1))</f>
        <v>0</v>
      </c>
      <c r="N14" s="15" t="n">
        <f aca="false">SUMIFS(Report!$U:$U,Report!$T:$T,$A14,Report!$C:$C,"&gt;="&amp;DATE(2026,12,1),Report!$C:$C,"&lt;"&amp;DATE(2027,1,1))</f>
        <v>0</v>
      </c>
      <c r="O14" s="15" t="n">
        <f aca="false">SUMIFS(Report!$U:$U,Report!$T:$T,$A14,Report!$C:$C,"&gt;="&amp;DATE(2027,1,1),Report!$C:$C,"&lt;"&amp;DATE(2027,2,1))</f>
        <v>0</v>
      </c>
      <c r="P14" s="15" t="n">
        <f aca="false">SUMIFS(Report!$U:$U,Report!$T:$T,$A14,Report!$C:$C,"&gt;="&amp;DATE(2027,2,1),Report!$C:$C,"&lt;"&amp;DATE(2027,3,1))</f>
        <v>0</v>
      </c>
      <c r="Q14" s="15" t="n">
        <f aca="false">SUMIFS(Report!$U:$U,Report!$T:$T,$A14,Report!$C:$C,"&gt;="&amp;DATE(2027,3,1),Report!$C:$C,"&lt;"&amp;DATE(2027,4,1))</f>
        <v>0</v>
      </c>
      <c r="R14" s="15" t="n">
        <f aca="false">SUMIFS(Report!$U:$U,Report!$T:$T,$A14,Report!$C:$C,"&gt;="&amp;DATE(2027,4,1),Report!$C:$C,"&lt;"&amp;DATE(2027,5,1))</f>
        <v>0</v>
      </c>
      <c r="S14" s="15" t="n">
        <f aca="false">SUMIFS(Report!$U:$U,Report!$T:$T,$A14,Report!$C:$C,"&gt;="&amp;DATE(2027,5,1),Report!$C:$C,"&lt;"&amp;DATE(2027,6,1))</f>
        <v>0</v>
      </c>
      <c r="T14" s="15" t="n">
        <f aca="false">SUMIFS(Report!$U:$U,Report!$T:$T,$A14,Report!$C:$C,"&gt;="&amp;DATE(2027,6,1),Report!$C:$C,"&lt;"&amp;DATE(2027,7,1))</f>
        <v>0</v>
      </c>
      <c r="U14" s="15" t="n">
        <f aca="false">SUMIFS(Report!$U:$U,Report!$T:$T,$A14,Report!$C:$C,"&gt;="&amp;DATE(2027,7,1),Report!$C:$C,"&lt;"&amp;DATE(2027,8,1))</f>
        <v>0</v>
      </c>
      <c r="V14" s="15" t="n">
        <f aca="false">SUMIFS(Report!$U:$U,Report!$T:$T,$A14,Report!$C:$C,"&gt;="&amp;DATE(2027,8,1),Report!$C:$C,"&lt;"&amp;DATE(2027,9,1))</f>
        <v>0</v>
      </c>
      <c r="W14" s="15" t="n">
        <f aca="false">SUMIFS(Report!$U:$U,Report!$T:$T,$A14,Report!$C:$C,"&gt;="&amp;DATE(2027,9,1),Report!$C:$C,"&lt;"&amp;DATE(2027,10,1))</f>
        <v>0</v>
      </c>
      <c r="X14" s="15" t="n">
        <f aca="false">SUMIFS(Report!$U:$U,Report!$T:$T,$A14,Report!$C:$C,"&gt;="&amp;DATE(2027,10,1),Report!$C:$C,"&lt;"&amp;DATE(2027,11,1))</f>
        <v>0</v>
      </c>
      <c r="Y14" s="15" t="n">
        <f aca="false">SUMIFS(Report!$U:$U,Report!$T:$T,$A14,Report!$C:$C,"&gt;="&amp;DATE(2027,11,1),Report!$C:$C,"&lt;"&amp;DATE(2027,12,1))</f>
        <v>0</v>
      </c>
      <c r="Z14" s="15" t="n">
        <f aca="false">SUMIFS(Report!$U:$U,Report!$T:$T,$A14,Report!$C:$C,"&gt;="&amp;DATE(2027,12,1),Report!$C:$C,"&lt;"&amp;DATE(2028,1,1))</f>
        <v>0</v>
      </c>
      <c r="AA14" s="15" t="n">
        <f aca="false">SUM(C14:Z14)</f>
        <v>1633.31</v>
      </c>
    </row>
    <row r="15" customFormat="false" ht="12.75" hidden="false" customHeight="true" outlineLevel="0" collapsed="false">
      <c r="A15" s="0" t="s">
        <v>165</v>
      </c>
      <c r="B15" s="0" t="str">
        <f aca="false">IFERROR(INDEX('Resumo Grupos'!$AC$3:$AC$200,MATCH($A15,'Resumo Grupos'!$AB$3:$AB$200,0)),"n/d")</f>
        <v>Despesa</v>
      </c>
      <c r="C15" s="15" t="n">
        <f aca="false">SUMIFS(Report!$U:$U,Report!$T:$T,$A15,Report!$C:$C,"&gt;="&amp;DATE(2026,1,1),Report!$C:$C,"&lt;"&amp;DATE(2026,2,1))</f>
        <v>0</v>
      </c>
      <c r="D15" s="15" t="n">
        <f aca="false">SUMIFS(Report!$U:$U,Report!$T:$T,$A15,Report!$C:$C,"&gt;="&amp;DATE(2026,2,1),Report!$C:$C,"&lt;"&amp;DATE(2026,3,1))</f>
        <v>0</v>
      </c>
      <c r="E15" s="15" t="n">
        <f aca="false">SUMIFS(Report!$U:$U,Report!$T:$T,$A15,Report!$C:$C,"&gt;="&amp;DATE(2026,3,1),Report!$C:$C,"&lt;"&amp;DATE(2026,4,1))</f>
        <v>0</v>
      </c>
      <c r="F15" s="15" t="n">
        <f aca="false">SUMIFS(Report!$U:$U,Report!$T:$T,$A15,Report!$C:$C,"&gt;="&amp;DATE(2026,4,1),Report!$C:$C,"&lt;"&amp;DATE(2026,5,1))</f>
        <v>0</v>
      </c>
      <c r="G15" s="15" t="n">
        <f aca="false">SUMIFS(Report!$U:$U,Report!$T:$T,$A15,Report!$C:$C,"&gt;="&amp;DATE(2026,5,1),Report!$C:$C,"&lt;"&amp;DATE(2026,6,1))</f>
        <v>0</v>
      </c>
      <c r="H15" s="15" t="n">
        <f aca="false">SUMIFS(Report!$U:$U,Report!$T:$T,$A15,Report!$C:$C,"&gt;="&amp;DATE(2026,6,1),Report!$C:$C,"&lt;"&amp;DATE(2026,7,1))</f>
        <v>2708.68</v>
      </c>
      <c r="I15" s="15" t="n">
        <f aca="false">SUMIFS(Report!$U:$U,Report!$T:$T,$A15,Report!$C:$C,"&gt;="&amp;DATE(2026,7,1),Report!$C:$C,"&lt;"&amp;DATE(2026,8,1))</f>
        <v>2212.3</v>
      </c>
      <c r="J15" s="15" t="n">
        <f aca="false">SUMIFS(Report!$U:$U,Report!$T:$T,$A15,Report!$C:$C,"&gt;="&amp;DATE(2026,8,1),Report!$C:$C,"&lt;"&amp;DATE(2026,9,1))</f>
        <v>2541.35</v>
      </c>
      <c r="K15" s="15" t="n">
        <f aca="false">SUMIFS(Report!$U:$U,Report!$T:$T,$A15,Report!$C:$C,"&gt;="&amp;DATE(2026,9,1),Report!$C:$C,"&lt;"&amp;DATE(2026,10,1))</f>
        <v>4518.11</v>
      </c>
      <c r="L15" s="15" t="n">
        <f aca="false">SUMIFS(Report!$U:$U,Report!$T:$T,$A15,Report!$C:$C,"&gt;="&amp;DATE(2026,10,1),Report!$C:$C,"&lt;"&amp;DATE(2026,11,1))</f>
        <v>1775</v>
      </c>
      <c r="M15" s="15" t="n">
        <f aca="false">SUMIFS(Report!$U:$U,Report!$T:$T,$A15,Report!$C:$C,"&gt;="&amp;DATE(2026,11,1),Report!$C:$C,"&lt;"&amp;DATE(2026,12,1))</f>
        <v>0</v>
      </c>
      <c r="N15" s="15" t="n">
        <f aca="false">SUMIFS(Report!$U:$U,Report!$T:$T,$A15,Report!$C:$C,"&gt;="&amp;DATE(2026,12,1),Report!$C:$C,"&lt;"&amp;DATE(2027,1,1))</f>
        <v>0</v>
      </c>
      <c r="O15" s="15" t="n">
        <f aca="false">SUMIFS(Report!$U:$U,Report!$T:$T,$A15,Report!$C:$C,"&gt;="&amp;DATE(2027,1,1),Report!$C:$C,"&lt;"&amp;DATE(2027,2,1))</f>
        <v>0</v>
      </c>
      <c r="P15" s="15" t="n">
        <f aca="false">SUMIFS(Report!$U:$U,Report!$T:$T,$A15,Report!$C:$C,"&gt;="&amp;DATE(2027,2,1),Report!$C:$C,"&lt;"&amp;DATE(2027,3,1))</f>
        <v>0</v>
      </c>
      <c r="Q15" s="15" t="n">
        <f aca="false">SUMIFS(Report!$U:$U,Report!$T:$T,$A15,Report!$C:$C,"&gt;="&amp;DATE(2027,3,1),Report!$C:$C,"&lt;"&amp;DATE(2027,4,1))</f>
        <v>0</v>
      </c>
      <c r="R15" s="15" t="n">
        <f aca="false">SUMIFS(Report!$U:$U,Report!$T:$T,$A15,Report!$C:$C,"&gt;="&amp;DATE(2027,4,1),Report!$C:$C,"&lt;"&amp;DATE(2027,5,1))</f>
        <v>0</v>
      </c>
      <c r="S15" s="15" t="n">
        <f aca="false">SUMIFS(Report!$U:$U,Report!$T:$T,$A15,Report!$C:$C,"&gt;="&amp;DATE(2027,5,1),Report!$C:$C,"&lt;"&amp;DATE(2027,6,1))</f>
        <v>0</v>
      </c>
      <c r="T15" s="15" t="n">
        <f aca="false">SUMIFS(Report!$U:$U,Report!$T:$T,$A15,Report!$C:$C,"&gt;="&amp;DATE(2027,6,1),Report!$C:$C,"&lt;"&amp;DATE(2027,7,1))</f>
        <v>0</v>
      </c>
      <c r="U15" s="15" t="n">
        <f aca="false">SUMIFS(Report!$U:$U,Report!$T:$T,$A15,Report!$C:$C,"&gt;="&amp;DATE(2027,7,1),Report!$C:$C,"&lt;"&amp;DATE(2027,8,1))</f>
        <v>0</v>
      </c>
      <c r="V15" s="15" t="n">
        <f aca="false">SUMIFS(Report!$U:$U,Report!$T:$T,$A15,Report!$C:$C,"&gt;="&amp;DATE(2027,8,1),Report!$C:$C,"&lt;"&amp;DATE(2027,9,1))</f>
        <v>0</v>
      </c>
      <c r="W15" s="15" t="n">
        <f aca="false">SUMIFS(Report!$U:$U,Report!$T:$T,$A15,Report!$C:$C,"&gt;="&amp;DATE(2027,9,1),Report!$C:$C,"&lt;"&amp;DATE(2027,10,1))</f>
        <v>0</v>
      </c>
      <c r="X15" s="15" t="n">
        <f aca="false">SUMIFS(Report!$U:$U,Report!$T:$T,$A15,Report!$C:$C,"&gt;="&amp;DATE(2027,10,1),Report!$C:$C,"&lt;"&amp;DATE(2027,11,1))</f>
        <v>0</v>
      </c>
      <c r="Y15" s="15" t="n">
        <f aca="false">SUMIFS(Report!$U:$U,Report!$T:$T,$A15,Report!$C:$C,"&gt;="&amp;DATE(2027,11,1),Report!$C:$C,"&lt;"&amp;DATE(2027,12,1))</f>
        <v>0</v>
      </c>
      <c r="Z15" s="15" t="n">
        <f aca="false">SUMIFS(Report!$U:$U,Report!$T:$T,$A15,Report!$C:$C,"&gt;="&amp;DATE(2027,12,1),Report!$C:$C,"&lt;"&amp;DATE(2028,1,1))</f>
        <v>0</v>
      </c>
      <c r="AA15" s="15" t="n">
        <f aca="false">SUM(C15:Z15)</f>
        <v>13755.44</v>
      </c>
    </row>
    <row r="16" customFormat="false" ht="12.75" hidden="false" customHeight="true" outlineLevel="0" collapsed="false">
      <c r="A16" s="0" t="s">
        <v>1091</v>
      </c>
      <c r="B16" s="0" t="str">
        <f aca="false">IFERROR(INDEX('Resumo Grupos'!$AC$3:$AC$200,MATCH($A16,'Resumo Grupos'!$AB$3:$AB$200,0)),"n/d")</f>
        <v>Despesa</v>
      </c>
      <c r="C16" s="15" t="n">
        <f aca="false">SUMIFS(Report!$U:$U,Report!$T:$T,$A16,Report!$C:$C,"&gt;="&amp;DATE(2026,1,1),Report!$C:$C,"&lt;"&amp;DATE(2026,2,1))</f>
        <v>0</v>
      </c>
      <c r="D16" s="15" t="n">
        <f aca="false">SUMIFS(Report!$U:$U,Report!$T:$T,$A16,Report!$C:$C,"&gt;="&amp;DATE(2026,2,1),Report!$C:$C,"&lt;"&amp;DATE(2026,3,1))</f>
        <v>0</v>
      </c>
      <c r="E16" s="15" t="n">
        <f aca="false">SUMIFS(Report!$U:$U,Report!$T:$T,$A16,Report!$C:$C,"&gt;="&amp;DATE(2026,3,1),Report!$C:$C,"&lt;"&amp;DATE(2026,4,1))</f>
        <v>0</v>
      </c>
      <c r="F16" s="15" t="n">
        <f aca="false">SUMIFS(Report!$U:$U,Report!$T:$T,$A16,Report!$C:$C,"&gt;="&amp;DATE(2026,4,1),Report!$C:$C,"&lt;"&amp;DATE(2026,5,1))</f>
        <v>0</v>
      </c>
      <c r="G16" s="15" t="n">
        <f aca="false">SUMIFS(Report!$U:$U,Report!$T:$T,$A16,Report!$C:$C,"&gt;="&amp;DATE(2026,5,1),Report!$C:$C,"&lt;"&amp;DATE(2026,6,1))</f>
        <v>0</v>
      </c>
      <c r="H16" s="15" t="n">
        <f aca="false">SUMIFS(Report!$U:$U,Report!$T:$T,$A16,Report!$C:$C,"&gt;="&amp;DATE(2026,6,1),Report!$C:$C,"&lt;"&amp;DATE(2026,7,1))</f>
        <v>0</v>
      </c>
      <c r="I16" s="15" t="n">
        <f aca="false">SUMIFS(Report!$U:$U,Report!$T:$T,$A16,Report!$C:$C,"&gt;="&amp;DATE(2026,7,1),Report!$C:$C,"&lt;"&amp;DATE(2026,8,1))</f>
        <v>215</v>
      </c>
      <c r="J16" s="15" t="n">
        <f aca="false">SUMIFS(Report!$U:$U,Report!$T:$T,$A16,Report!$C:$C,"&gt;="&amp;DATE(2026,8,1),Report!$C:$C,"&lt;"&amp;DATE(2026,9,1))</f>
        <v>325</v>
      </c>
      <c r="K16" s="15" t="n">
        <f aca="false">SUMIFS(Report!$U:$U,Report!$T:$T,$A16,Report!$C:$C,"&gt;="&amp;DATE(2026,9,1),Report!$C:$C,"&lt;"&amp;DATE(2026,10,1))</f>
        <v>101.9</v>
      </c>
      <c r="L16" s="15" t="n">
        <f aca="false">SUMIFS(Report!$U:$U,Report!$T:$T,$A16,Report!$C:$C,"&gt;="&amp;DATE(2026,10,1),Report!$C:$C,"&lt;"&amp;DATE(2026,11,1))</f>
        <v>101.9</v>
      </c>
      <c r="M16" s="15" t="n">
        <f aca="false">SUMIFS(Report!$U:$U,Report!$T:$T,$A16,Report!$C:$C,"&gt;="&amp;DATE(2026,11,1),Report!$C:$C,"&lt;"&amp;DATE(2026,12,1))</f>
        <v>0</v>
      </c>
      <c r="N16" s="15" t="n">
        <f aca="false">SUMIFS(Report!$U:$U,Report!$T:$T,$A16,Report!$C:$C,"&gt;="&amp;DATE(2026,12,1),Report!$C:$C,"&lt;"&amp;DATE(2027,1,1))</f>
        <v>0</v>
      </c>
      <c r="O16" s="15" t="n">
        <f aca="false">SUMIFS(Report!$U:$U,Report!$T:$T,$A16,Report!$C:$C,"&gt;="&amp;DATE(2027,1,1),Report!$C:$C,"&lt;"&amp;DATE(2027,2,1))</f>
        <v>0</v>
      </c>
      <c r="P16" s="15" t="n">
        <f aca="false">SUMIFS(Report!$U:$U,Report!$T:$T,$A16,Report!$C:$C,"&gt;="&amp;DATE(2027,2,1),Report!$C:$C,"&lt;"&amp;DATE(2027,3,1))</f>
        <v>0</v>
      </c>
      <c r="Q16" s="15" t="n">
        <f aca="false">SUMIFS(Report!$U:$U,Report!$T:$T,$A16,Report!$C:$C,"&gt;="&amp;DATE(2027,3,1),Report!$C:$C,"&lt;"&amp;DATE(2027,4,1))</f>
        <v>0</v>
      </c>
      <c r="R16" s="15" t="n">
        <f aca="false">SUMIFS(Report!$U:$U,Report!$T:$T,$A16,Report!$C:$C,"&gt;="&amp;DATE(2027,4,1),Report!$C:$C,"&lt;"&amp;DATE(2027,5,1))</f>
        <v>0</v>
      </c>
      <c r="S16" s="15" t="n">
        <f aca="false">SUMIFS(Report!$U:$U,Report!$T:$T,$A16,Report!$C:$C,"&gt;="&amp;DATE(2027,5,1),Report!$C:$C,"&lt;"&amp;DATE(2027,6,1))</f>
        <v>0</v>
      </c>
      <c r="T16" s="15" t="n">
        <f aca="false">SUMIFS(Report!$U:$U,Report!$T:$T,$A16,Report!$C:$C,"&gt;="&amp;DATE(2027,6,1),Report!$C:$C,"&lt;"&amp;DATE(2027,7,1))</f>
        <v>0</v>
      </c>
      <c r="U16" s="15" t="n">
        <f aca="false">SUMIFS(Report!$U:$U,Report!$T:$T,$A16,Report!$C:$C,"&gt;="&amp;DATE(2027,7,1),Report!$C:$C,"&lt;"&amp;DATE(2027,8,1))</f>
        <v>0</v>
      </c>
      <c r="V16" s="15" t="n">
        <f aca="false">SUMIFS(Report!$U:$U,Report!$T:$T,$A16,Report!$C:$C,"&gt;="&amp;DATE(2027,8,1),Report!$C:$C,"&lt;"&amp;DATE(2027,9,1))</f>
        <v>0</v>
      </c>
      <c r="W16" s="15" t="n">
        <f aca="false">SUMIFS(Report!$U:$U,Report!$T:$T,$A16,Report!$C:$C,"&gt;="&amp;DATE(2027,9,1),Report!$C:$C,"&lt;"&amp;DATE(2027,10,1))</f>
        <v>0</v>
      </c>
      <c r="X16" s="15" t="n">
        <f aca="false">SUMIFS(Report!$U:$U,Report!$T:$T,$A16,Report!$C:$C,"&gt;="&amp;DATE(2027,10,1),Report!$C:$C,"&lt;"&amp;DATE(2027,11,1))</f>
        <v>0</v>
      </c>
      <c r="Y16" s="15" t="n">
        <f aca="false">SUMIFS(Report!$U:$U,Report!$T:$T,$A16,Report!$C:$C,"&gt;="&amp;DATE(2027,11,1),Report!$C:$C,"&lt;"&amp;DATE(2027,12,1))</f>
        <v>0</v>
      </c>
      <c r="Z16" s="15" t="n">
        <f aca="false">SUMIFS(Report!$U:$U,Report!$T:$T,$A16,Report!$C:$C,"&gt;="&amp;DATE(2027,12,1),Report!$C:$C,"&lt;"&amp;DATE(2028,1,1))</f>
        <v>0</v>
      </c>
      <c r="AA16" s="15" t="n">
        <f aca="false">SUM(C16:Z16)</f>
        <v>743.8</v>
      </c>
    </row>
    <row r="17" customFormat="false" ht="12.75" hidden="false" customHeight="true" outlineLevel="0" collapsed="false">
      <c r="A17" s="0" t="s">
        <v>143</v>
      </c>
      <c r="B17" s="0" t="str">
        <f aca="false">IFERROR(INDEX('Resumo Grupos'!$AC$3:$AC$200,MATCH($A17,'Resumo Grupos'!$AB$3:$AB$200,0)),"n/d")</f>
        <v>Despesa</v>
      </c>
      <c r="C17" s="15" t="n">
        <f aca="false">SUMIFS(Report!$U:$U,Report!$T:$T,$A17,Report!$C:$C,"&gt;="&amp;DATE(2026,1,1),Report!$C:$C,"&lt;"&amp;DATE(2026,2,1))</f>
        <v>0</v>
      </c>
      <c r="D17" s="15" t="n">
        <f aca="false">SUMIFS(Report!$U:$U,Report!$T:$T,$A17,Report!$C:$C,"&gt;="&amp;DATE(2026,2,1),Report!$C:$C,"&lt;"&amp;DATE(2026,3,1))</f>
        <v>0</v>
      </c>
      <c r="E17" s="15" t="n">
        <f aca="false">SUMIFS(Report!$U:$U,Report!$T:$T,$A17,Report!$C:$C,"&gt;="&amp;DATE(2026,3,1),Report!$C:$C,"&lt;"&amp;DATE(2026,4,1))</f>
        <v>0</v>
      </c>
      <c r="F17" s="15" t="n">
        <f aca="false">SUMIFS(Report!$U:$U,Report!$T:$T,$A17,Report!$C:$C,"&gt;="&amp;DATE(2026,4,1),Report!$C:$C,"&lt;"&amp;DATE(2026,5,1))</f>
        <v>0</v>
      </c>
      <c r="G17" s="15" t="n">
        <f aca="false">SUMIFS(Report!$U:$U,Report!$T:$T,$A17,Report!$C:$C,"&gt;="&amp;DATE(2026,5,1),Report!$C:$C,"&lt;"&amp;DATE(2026,6,1))</f>
        <v>0</v>
      </c>
      <c r="H17" s="15" t="n">
        <f aca="false">SUMIFS(Report!$U:$U,Report!$T:$T,$A17,Report!$C:$C,"&gt;="&amp;DATE(2026,6,1),Report!$C:$C,"&lt;"&amp;DATE(2026,7,1))</f>
        <v>6269.47</v>
      </c>
      <c r="I17" s="15" t="n">
        <f aca="false">SUMIFS(Report!$U:$U,Report!$T:$T,$A17,Report!$C:$C,"&gt;="&amp;DATE(2026,7,1),Report!$C:$C,"&lt;"&amp;DATE(2026,8,1))</f>
        <v>2184.91</v>
      </c>
      <c r="J17" s="15" t="n">
        <f aca="false">SUMIFS(Report!$U:$U,Report!$T:$T,$A17,Report!$C:$C,"&gt;="&amp;DATE(2026,8,1),Report!$C:$C,"&lt;"&amp;DATE(2026,9,1))</f>
        <v>8300.9</v>
      </c>
      <c r="K17" s="15" t="n">
        <f aca="false">SUMIFS(Report!$U:$U,Report!$T:$T,$A17,Report!$C:$C,"&gt;="&amp;DATE(2026,9,1),Report!$C:$C,"&lt;"&amp;DATE(2026,10,1))</f>
        <v>883.63</v>
      </c>
      <c r="L17" s="15" t="n">
        <f aca="false">SUMIFS(Report!$U:$U,Report!$T:$T,$A17,Report!$C:$C,"&gt;="&amp;DATE(2026,10,1),Report!$C:$C,"&lt;"&amp;DATE(2026,11,1))</f>
        <v>768.2</v>
      </c>
      <c r="M17" s="15" t="n">
        <f aca="false">SUMIFS(Report!$U:$U,Report!$T:$T,$A17,Report!$C:$C,"&gt;="&amp;DATE(2026,11,1),Report!$C:$C,"&lt;"&amp;DATE(2026,12,1))</f>
        <v>0</v>
      </c>
      <c r="N17" s="15" t="n">
        <f aca="false">SUMIFS(Report!$U:$U,Report!$T:$T,$A17,Report!$C:$C,"&gt;="&amp;DATE(2026,12,1),Report!$C:$C,"&lt;"&amp;DATE(2027,1,1))</f>
        <v>0</v>
      </c>
      <c r="O17" s="15" t="n">
        <f aca="false">SUMIFS(Report!$U:$U,Report!$T:$T,$A17,Report!$C:$C,"&gt;="&amp;DATE(2027,1,1),Report!$C:$C,"&lt;"&amp;DATE(2027,2,1))</f>
        <v>0</v>
      </c>
      <c r="P17" s="15" t="n">
        <f aca="false">SUMIFS(Report!$U:$U,Report!$T:$T,$A17,Report!$C:$C,"&gt;="&amp;DATE(2027,2,1),Report!$C:$C,"&lt;"&amp;DATE(2027,3,1))</f>
        <v>0</v>
      </c>
      <c r="Q17" s="15" t="n">
        <f aca="false">SUMIFS(Report!$U:$U,Report!$T:$T,$A17,Report!$C:$C,"&gt;="&amp;DATE(2027,3,1),Report!$C:$C,"&lt;"&amp;DATE(2027,4,1))</f>
        <v>0</v>
      </c>
      <c r="R17" s="15" t="n">
        <f aca="false">SUMIFS(Report!$U:$U,Report!$T:$T,$A17,Report!$C:$C,"&gt;="&amp;DATE(2027,4,1),Report!$C:$C,"&lt;"&amp;DATE(2027,5,1))</f>
        <v>0</v>
      </c>
      <c r="S17" s="15" t="n">
        <f aca="false">SUMIFS(Report!$U:$U,Report!$T:$T,$A17,Report!$C:$C,"&gt;="&amp;DATE(2027,5,1),Report!$C:$C,"&lt;"&amp;DATE(2027,6,1))</f>
        <v>0</v>
      </c>
      <c r="T17" s="15" t="n">
        <f aca="false">SUMIFS(Report!$U:$U,Report!$T:$T,$A17,Report!$C:$C,"&gt;="&amp;DATE(2027,6,1),Report!$C:$C,"&lt;"&amp;DATE(2027,7,1))</f>
        <v>0</v>
      </c>
      <c r="U17" s="15" t="n">
        <f aca="false">SUMIFS(Report!$U:$U,Report!$T:$T,$A17,Report!$C:$C,"&gt;="&amp;DATE(2027,7,1),Report!$C:$C,"&lt;"&amp;DATE(2027,8,1))</f>
        <v>0</v>
      </c>
      <c r="V17" s="15" t="n">
        <f aca="false">SUMIFS(Report!$U:$U,Report!$T:$T,$A17,Report!$C:$C,"&gt;="&amp;DATE(2027,8,1),Report!$C:$C,"&lt;"&amp;DATE(2027,9,1))</f>
        <v>0</v>
      </c>
      <c r="W17" s="15" t="n">
        <f aca="false">SUMIFS(Report!$U:$U,Report!$T:$T,$A17,Report!$C:$C,"&gt;="&amp;DATE(2027,9,1),Report!$C:$C,"&lt;"&amp;DATE(2027,10,1))</f>
        <v>0</v>
      </c>
      <c r="X17" s="15" t="n">
        <f aca="false">SUMIFS(Report!$U:$U,Report!$T:$T,$A17,Report!$C:$C,"&gt;="&amp;DATE(2027,10,1),Report!$C:$C,"&lt;"&amp;DATE(2027,11,1))</f>
        <v>0</v>
      </c>
      <c r="Y17" s="15" t="n">
        <f aca="false">SUMIFS(Report!$U:$U,Report!$T:$T,$A17,Report!$C:$C,"&gt;="&amp;DATE(2027,11,1),Report!$C:$C,"&lt;"&amp;DATE(2027,12,1))</f>
        <v>0</v>
      </c>
      <c r="Z17" s="15" t="n">
        <f aca="false">SUMIFS(Report!$U:$U,Report!$T:$T,$A17,Report!$C:$C,"&gt;="&amp;DATE(2027,12,1),Report!$C:$C,"&lt;"&amp;DATE(2028,1,1))</f>
        <v>0</v>
      </c>
      <c r="AA17" s="15" t="n">
        <f aca="false">SUM(C17:Z17)</f>
        <v>18407.11</v>
      </c>
    </row>
    <row r="18" customFormat="false" ht="12.75" hidden="false" customHeight="true" outlineLevel="0" collapsed="false">
      <c r="A18" s="0" t="s">
        <v>68</v>
      </c>
      <c r="B18" s="0" t="str">
        <f aca="false">IFERROR(INDEX('Resumo Grupos'!$AC$3:$AC$200,MATCH($A18,'Resumo Grupos'!$AB$3:$AB$200,0)),"n/d")</f>
        <v>Despesa</v>
      </c>
      <c r="C18" s="15" t="n">
        <f aca="false">SUMIFS(Report!$U:$U,Report!$T:$T,$A18,Report!$C:$C,"&gt;="&amp;DATE(2026,1,1),Report!$C:$C,"&lt;"&amp;DATE(2026,2,1))</f>
        <v>0</v>
      </c>
      <c r="D18" s="15" t="n">
        <f aca="false">SUMIFS(Report!$U:$U,Report!$T:$T,$A18,Report!$C:$C,"&gt;="&amp;DATE(2026,2,1),Report!$C:$C,"&lt;"&amp;DATE(2026,3,1))</f>
        <v>0</v>
      </c>
      <c r="E18" s="15" t="n">
        <f aca="false">SUMIFS(Report!$U:$U,Report!$T:$T,$A18,Report!$C:$C,"&gt;="&amp;DATE(2026,3,1),Report!$C:$C,"&lt;"&amp;DATE(2026,4,1))</f>
        <v>0</v>
      </c>
      <c r="F18" s="15" t="n">
        <f aca="false">SUMIFS(Report!$U:$U,Report!$T:$T,$A18,Report!$C:$C,"&gt;="&amp;DATE(2026,4,1),Report!$C:$C,"&lt;"&amp;DATE(2026,5,1))</f>
        <v>0</v>
      </c>
      <c r="G18" s="15" t="n">
        <f aca="false">SUMIFS(Report!$U:$U,Report!$T:$T,$A18,Report!$C:$C,"&gt;="&amp;DATE(2026,5,1),Report!$C:$C,"&lt;"&amp;DATE(2026,6,1))</f>
        <v>0</v>
      </c>
      <c r="H18" s="15" t="n">
        <f aca="false">SUMIFS(Report!$U:$U,Report!$T:$T,$A18,Report!$C:$C,"&gt;="&amp;DATE(2026,6,1),Report!$C:$C,"&lt;"&amp;DATE(2026,7,1))</f>
        <v>4792.27</v>
      </c>
      <c r="I18" s="15" t="n">
        <f aca="false">SUMIFS(Report!$U:$U,Report!$T:$T,$A18,Report!$C:$C,"&gt;="&amp;DATE(2026,7,1),Report!$C:$C,"&lt;"&amp;DATE(2026,8,1))</f>
        <v>6125.56</v>
      </c>
      <c r="J18" s="15" t="n">
        <f aca="false">SUMIFS(Report!$U:$U,Report!$T:$T,$A18,Report!$C:$C,"&gt;="&amp;DATE(2026,8,1),Report!$C:$C,"&lt;"&amp;DATE(2026,9,1))</f>
        <v>4682.35</v>
      </c>
      <c r="K18" s="15" t="n">
        <f aca="false">SUMIFS(Report!$U:$U,Report!$T:$T,$A18,Report!$C:$C,"&gt;="&amp;DATE(2026,9,1),Report!$C:$C,"&lt;"&amp;DATE(2026,10,1))</f>
        <v>3592.03</v>
      </c>
      <c r="L18" s="15" t="n">
        <f aca="false">SUMIFS(Report!$U:$U,Report!$T:$T,$A18,Report!$C:$C,"&gt;="&amp;DATE(2026,10,1),Report!$C:$C,"&lt;"&amp;DATE(2026,11,1))</f>
        <v>3207.57</v>
      </c>
      <c r="M18" s="15" t="n">
        <f aca="false">SUMIFS(Report!$U:$U,Report!$T:$T,$A18,Report!$C:$C,"&gt;="&amp;DATE(2026,11,1),Report!$C:$C,"&lt;"&amp;DATE(2026,12,1))</f>
        <v>1612.38</v>
      </c>
      <c r="N18" s="15" t="n">
        <f aca="false">SUMIFS(Report!$U:$U,Report!$T:$T,$A18,Report!$C:$C,"&gt;="&amp;DATE(2026,12,1),Report!$C:$C,"&lt;"&amp;DATE(2027,1,1))</f>
        <v>959.73</v>
      </c>
      <c r="O18" s="15" t="n">
        <f aca="false">SUMIFS(Report!$U:$U,Report!$T:$T,$A18,Report!$C:$C,"&gt;="&amp;DATE(2027,1,1),Report!$C:$C,"&lt;"&amp;DATE(2027,2,1))</f>
        <v>0</v>
      </c>
      <c r="P18" s="15" t="n">
        <f aca="false">SUMIFS(Report!$U:$U,Report!$T:$T,$A18,Report!$C:$C,"&gt;="&amp;DATE(2027,2,1),Report!$C:$C,"&lt;"&amp;DATE(2027,3,1))</f>
        <v>0</v>
      </c>
      <c r="Q18" s="15" t="n">
        <f aca="false">SUMIFS(Report!$U:$U,Report!$T:$T,$A18,Report!$C:$C,"&gt;="&amp;DATE(2027,3,1),Report!$C:$C,"&lt;"&amp;DATE(2027,4,1))</f>
        <v>0</v>
      </c>
      <c r="R18" s="15" t="n">
        <f aca="false">SUMIFS(Report!$U:$U,Report!$T:$T,$A18,Report!$C:$C,"&gt;="&amp;DATE(2027,4,1),Report!$C:$C,"&lt;"&amp;DATE(2027,5,1))</f>
        <v>0</v>
      </c>
      <c r="S18" s="15" t="n">
        <f aca="false">SUMIFS(Report!$U:$U,Report!$T:$T,$A18,Report!$C:$C,"&gt;="&amp;DATE(2027,5,1),Report!$C:$C,"&lt;"&amp;DATE(2027,6,1))</f>
        <v>0</v>
      </c>
      <c r="T18" s="15" t="n">
        <f aca="false">SUMIFS(Report!$U:$U,Report!$T:$T,$A18,Report!$C:$C,"&gt;="&amp;DATE(2027,6,1),Report!$C:$C,"&lt;"&amp;DATE(2027,7,1))</f>
        <v>0</v>
      </c>
      <c r="U18" s="15" t="n">
        <f aca="false">SUMIFS(Report!$U:$U,Report!$T:$T,$A18,Report!$C:$C,"&gt;="&amp;DATE(2027,7,1),Report!$C:$C,"&lt;"&amp;DATE(2027,8,1))</f>
        <v>0</v>
      </c>
      <c r="V18" s="15" t="n">
        <f aca="false">SUMIFS(Report!$U:$U,Report!$T:$T,$A18,Report!$C:$C,"&gt;="&amp;DATE(2027,8,1),Report!$C:$C,"&lt;"&amp;DATE(2027,9,1))</f>
        <v>0</v>
      </c>
      <c r="W18" s="15" t="n">
        <f aca="false">SUMIFS(Report!$U:$U,Report!$T:$T,$A18,Report!$C:$C,"&gt;="&amp;DATE(2027,9,1),Report!$C:$C,"&lt;"&amp;DATE(2027,10,1))</f>
        <v>0</v>
      </c>
      <c r="X18" s="15" t="n">
        <f aca="false">SUMIFS(Report!$U:$U,Report!$T:$T,$A18,Report!$C:$C,"&gt;="&amp;DATE(2027,10,1),Report!$C:$C,"&lt;"&amp;DATE(2027,11,1))</f>
        <v>0</v>
      </c>
      <c r="Y18" s="15" t="n">
        <f aca="false">SUMIFS(Report!$U:$U,Report!$T:$T,$A18,Report!$C:$C,"&gt;="&amp;DATE(2027,11,1),Report!$C:$C,"&lt;"&amp;DATE(2027,12,1))</f>
        <v>0</v>
      </c>
      <c r="Z18" s="15" t="n">
        <f aca="false">SUMIFS(Report!$U:$U,Report!$T:$T,$A18,Report!$C:$C,"&gt;="&amp;DATE(2027,12,1),Report!$C:$C,"&lt;"&amp;DATE(2028,1,1))</f>
        <v>0</v>
      </c>
      <c r="AA18" s="15" t="n">
        <f aca="false">SUM(C18:Z18)</f>
        <v>24971.89</v>
      </c>
    </row>
    <row r="19" customFormat="false" ht="12.75" hidden="false" customHeight="true" outlineLevel="0" collapsed="false">
      <c r="A19" s="0" t="s">
        <v>1398</v>
      </c>
      <c r="B19" s="0" t="str">
        <f aca="false">IFERROR(INDEX('Resumo Grupos'!$AC$3:$AC$200,MATCH($A19,'Resumo Grupos'!$AB$3:$AB$200,0)),"n/d")</f>
        <v>Despesa</v>
      </c>
      <c r="C19" s="15" t="n">
        <f aca="false">SUMIFS(Report!$U:$U,Report!$T:$T,$A19,Report!$C:$C,"&gt;="&amp;DATE(2026,1,1),Report!$C:$C,"&lt;"&amp;DATE(2026,2,1))</f>
        <v>0</v>
      </c>
      <c r="D19" s="15" t="n">
        <f aca="false">SUMIFS(Report!$U:$U,Report!$T:$T,$A19,Report!$C:$C,"&gt;="&amp;DATE(2026,2,1),Report!$C:$C,"&lt;"&amp;DATE(2026,3,1))</f>
        <v>0</v>
      </c>
      <c r="E19" s="15" t="n">
        <f aca="false">SUMIFS(Report!$U:$U,Report!$T:$T,$A19,Report!$C:$C,"&gt;="&amp;DATE(2026,3,1),Report!$C:$C,"&lt;"&amp;DATE(2026,4,1))</f>
        <v>0</v>
      </c>
      <c r="F19" s="15" t="n">
        <f aca="false">SUMIFS(Report!$U:$U,Report!$T:$T,$A19,Report!$C:$C,"&gt;="&amp;DATE(2026,4,1),Report!$C:$C,"&lt;"&amp;DATE(2026,5,1))</f>
        <v>0</v>
      </c>
      <c r="G19" s="15" t="n">
        <f aca="false">SUMIFS(Report!$U:$U,Report!$T:$T,$A19,Report!$C:$C,"&gt;="&amp;DATE(2026,5,1),Report!$C:$C,"&lt;"&amp;DATE(2026,6,1))</f>
        <v>0</v>
      </c>
      <c r="H19" s="15" t="n">
        <f aca="false">SUMIFS(Report!$U:$U,Report!$T:$T,$A19,Report!$C:$C,"&gt;="&amp;DATE(2026,6,1),Report!$C:$C,"&lt;"&amp;DATE(2026,7,1))</f>
        <v>0</v>
      </c>
      <c r="I19" s="15" t="n">
        <f aca="false">SUMIFS(Report!$U:$U,Report!$T:$T,$A19,Report!$C:$C,"&gt;="&amp;DATE(2026,7,1),Report!$C:$C,"&lt;"&amp;DATE(2026,8,1))</f>
        <v>0</v>
      </c>
      <c r="J19" s="15" t="n">
        <f aca="false">SUMIFS(Report!$U:$U,Report!$T:$T,$A19,Report!$C:$C,"&gt;="&amp;DATE(2026,8,1),Report!$C:$C,"&lt;"&amp;DATE(2026,9,1))</f>
        <v>150.17</v>
      </c>
      <c r="K19" s="15" t="n">
        <f aca="false">SUMIFS(Report!$U:$U,Report!$T:$T,$A19,Report!$C:$C,"&gt;="&amp;DATE(2026,9,1),Report!$C:$C,"&lt;"&amp;DATE(2026,10,1))</f>
        <v>86.88</v>
      </c>
      <c r="L19" s="15" t="n">
        <f aca="false">SUMIFS(Report!$U:$U,Report!$T:$T,$A19,Report!$C:$C,"&gt;="&amp;DATE(2026,10,1),Report!$C:$C,"&lt;"&amp;DATE(2026,11,1))</f>
        <v>0</v>
      </c>
      <c r="M19" s="15" t="n">
        <f aca="false">SUMIFS(Report!$U:$U,Report!$T:$T,$A19,Report!$C:$C,"&gt;="&amp;DATE(2026,11,1),Report!$C:$C,"&lt;"&amp;DATE(2026,12,1))</f>
        <v>0</v>
      </c>
      <c r="N19" s="15" t="n">
        <f aca="false">SUMIFS(Report!$U:$U,Report!$T:$T,$A19,Report!$C:$C,"&gt;="&amp;DATE(2026,12,1),Report!$C:$C,"&lt;"&amp;DATE(2027,1,1))</f>
        <v>0</v>
      </c>
      <c r="O19" s="15" t="n">
        <f aca="false">SUMIFS(Report!$U:$U,Report!$T:$T,$A19,Report!$C:$C,"&gt;="&amp;DATE(2027,1,1),Report!$C:$C,"&lt;"&amp;DATE(2027,2,1))</f>
        <v>0</v>
      </c>
      <c r="P19" s="15" t="n">
        <f aca="false">SUMIFS(Report!$U:$U,Report!$T:$T,$A19,Report!$C:$C,"&gt;="&amp;DATE(2027,2,1),Report!$C:$C,"&lt;"&amp;DATE(2027,3,1))</f>
        <v>0</v>
      </c>
      <c r="Q19" s="15" t="n">
        <f aca="false">SUMIFS(Report!$U:$U,Report!$T:$T,$A19,Report!$C:$C,"&gt;="&amp;DATE(2027,3,1),Report!$C:$C,"&lt;"&amp;DATE(2027,4,1))</f>
        <v>0</v>
      </c>
      <c r="R19" s="15" t="n">
        <f aca="false">SUMIFS(Report!$U:$U,Report!$T:$T,$A19,Report!$C:$C,"&gt;="&amp;DATE(2027,4,1),Report!$C:$C,"&lt;"&amp;DATE(2027,5,1))</f>
        <v>0</v>
      </c>
      <c r="S19" s="15" t="n">
        <f aca="false">SUMIFS(Report!$U:$U,Report!$T:$T,$A19,Report!$C:$C,"&gt;="&amp;DATE(2027,5,1),Report!$C:$C,"&lt;"&amp;DATE(2027,6,1))</f>
        <v>0</v>
      </c>
      <c r="T19" s="15" t="n">
        <f aca="false">SUMIFS(Report!$U:$U,Report!$T:$T,$A19,Report!$C:$C,"&gt;="&amp;DATE(2027,6,1),Report!$C:$C,"&lt;"&amp;DATE(2027,7,1))</f>
        <v>0</v>
      </c>
      <c r="U19" s="15" t="n">
        <f aca="false">SUMIFS(Report!$U:$U,Report!$T:$T,$A19,Report!$C:$C,"&gt;="&amp;DATE(2027,7,1),Report!$C:$C,"&lt;"&amp;DATE(2027,8,1))</f>
        <v>0</v>
      </c>
      <c r="V19" s="15" t="n">
        <f aca="false">SUMIFS(Report!$U:$U,Report!$T:$T,$A19,Report!$C:$C,"&gt;="&amp;DATE(2027,8,1),Report!$C:$C,"&lt;"&amp;DATE(2027,9,1))</f>
        <v>0</v>
      </c>
      <c r="W19" s="15" t="n">
        <f aca="false">SUMIFS(Report!$U:$U,Report!$T:$T,$A19,Report!$C:$C,"&gt;="&amp;DATE(2027,9,1),Report!$C:$C,"&lt;"&amp;DATE(2027,10,1))</f>
        <v>0</v>
      </c>
      <c r="X19" s="15" t="n">
        <f aca="false">SUMIFS(Report!$U:$U,Report!$T:$T,$A19,Report!$C:$C,"&gt;="&amp;DATE(2027,10,1),Report!$C:$C,"&lt;"&amp;DATE(2027,11,1))</f>
        <v>0</v>
      </c>
      <c r="Y19" s="15" t="n">
        <f aca="false">SUMIFS(Report!$U:$U,Report!$T:$T,$A19,Report!$C:$C,"&gt;="&amp;DATE(2027,11,1),Report!$C:$C,"&lt;"&amp;DATE(2027,12,1))</f>
        <v>0</v>
      </c>
      <c r="Z19" s="15" t="n">
        <f aca="false">SUMIFS(Report!$U:$U,Report!$T:$T,$A19,Report!$C:$C,"&gt;="&amp;DATE(2027,12,1),Report!$C:$C,"&lt;"&amp;DATE(2028,1,1))</f>
        <v>0</v>
      </c>
      <c r="AA19" s="15" t="n">
        <f aca="false">SUM(C19:Z19)</f>
        <v>237.05</v>
      </c>
    </row>
    <row r="20" customFormat="false" ht="12.75" hidden="false" customHeight="true" outlineLevel="0" collapsed="false">
      <c r="A20" s="0" t="s">
        <v>159</v>
      </c>
      <c r="B20" s="0" t="str">
        <f aca="false">IFERROR(INDEX('Resumo Grupos'!$AC$3:$AC$200,MATCH($A20,'Resumo Grupos'!$AB$3:$AB$200,0)),"n/d")</f>
        <v>Salários</v>
      </c>
      <c r="C20" s="15" t="n">
        <f aca="false">SUMIFS(Report!$U:$U,Report!$T:$T,$A20,Report!$C:$C,"&gt;="&amp;DATE(2026,1,1),Report!$C:$C,"&lt;"&amp;DATE(2026,2,1))</f>
        <v>0</v>
      </c>
      <c r="D20" s="15" t="n">
        <f aca="false">SUMIFS(Report!$U:$U,Report!$T:$T,$A20,Report!$C:$C,"&gt;="&amp;DATE(2026,2,1),Report!$C:$C,"&lt;"&amp;DATE(2026,3,1))</f>
        <v>0</v>
      </c>
      <c r="E20" s="15" t="n">
        <f aca="false">SUMIFS(Report!$U:$U,Report!$T:$T,$A20,Report!$C:$C,"&gt;="&amp;DATE(2026,3,1),Report!$C:$C,"&lt;"&amp;DATE(2026,4,1))</f>
        <v>0</v>
      </c>
      <c r="F20" s="15" t="n">
        <f aca="false">SUMIFS(Report!$U:$U,Report!$T:$T,$A20,Report!$C:$C,"&gt;="&amp;DATE(2026,4,1),Report!$C:$C,"&lt;"&amp;DATE(2026,5,1))</f>
        <v>0</v>
      </c>
      <c r="G20" s="15" t="n">
        <f aca="false">SUMIFS(Report!$U:$U,Report!$T:$T,$A20,Report!$C:$C,"&gt;="&amp;DATE(2026,5,1),Report!$C:$C,"&lt;"&amp;DATE(2026,6,1))</f>
        <v>0</v>
      </c>
      <c r="H20" s="15" t="n">
        <f aca="false">SUMIFS(Report!$U:$U,Report!$T:$T,$A20,Report!$C:$C,"&gt;="&amp;DATE(2026,6,1),Report!$C:$C,"&lt;"&amp;DATE(2026,7,1))</f>
        <v>3460</v>
      </c>
      <c r="I20" s="15" t="n">
        <f aca="false">SUMIFS(Report!$U:$U,Report!$T:$T,$A20,Report!$C:$C,"&gt;="&amp;DATE(2026,7,1),Report!$C:$C,"&lt;"&amp;DATE(2026,8,1))</f>
        <v>0</v>
      </c>
      <c r="J20" s="15" t="n">
        <f aca="false">SUMIFS(Report!$U:$U,Report!$T:$T,$A20,Report!$C:$C,"&gt;="&amp;DATE(2026,8,1),Report!$C:$C,"&lt;"&amp;DATE(2026,9,1))</f>
        <v>0</v>
      </c>
      <c r="K20" s="15" t="n">
        <f aca="false">SUMIFS(Report!$U:$U,Report!$T:$T,$A20,Report!$C:$C,"&gt;="&amp;DATE(2026,9,1),Report!$C:$C,"&lt;"&amp;DATE(2026,10,1))</f>
        <v>2700</v>
      </c>
      <c r="L20" s="15" t="n">
        <f aca="false">SUMIFS(Report!$U:$U,Report!$T:$T,$A20,Report!$C:$C,"&gt;="&amp;DATE(2026,10,1),Report!$C:$C,"&lt;"&amp;DATE(2026,11,1))</f>
        <v>500</v>
      </c>
      <c r="M20" s="15" t="n">
        <f aca="false">SUMIFS(Report!$U:$U,Report!$T:$T,$A20,Report!$C:$C,"&gt;="&amp;DATE(2026,11,1),Report!$C:$C,"&lt;"&amp;DATE(2026,12,1))</f>
        <v>0</v>
      </c>
      <c r="N20" s="15" t="n">
        <f aca="false">SUMIFS(Report!$U:$U,Report!$T:$T,$A20,Report!$C:$C,"&gt;="&amp;DATE(2026,12,1),Report!$C:$C,"&lt;"&amp;DATE(2027,1,1))</f>
        <v>0</v>
      </c>
      <c r="O20" s="15" t="n">
        <f aca="false">SUMIFS(Report!$U:$U,Report!$T:$T,$A20,Report!$C:$C,"&gt;="&amp;DATE(2027,1,1),Report!$C:$C,"&lt;"&amp;DATE(2027,2,1))</f>
        <v>0</v>
      </c>
      <c r="P20" s="15" t="n">
        <f aca="false">SUMIFS(Report!$U:$U,Report!$T:$T,$A20,Report!$C:$C,"&gt;="&amp;DATE(2027,2,1),Report!$C:$C,"&lt;"&amp;DATE(2027,3,1))</f>
        <v>0</v>
      </c>
      <c r="Q20" s="15" t="n">
        <f aca="false">SUMIFS(Report!$U:$U,Report!$T:$T,$A20,Report!$C:$C,"&gt;="&amp;DATE(2027,3,1),Report!$C:$C,"&lt;"&amp;DATE(2027,4,1))</f>
        <v>0</v>
      </c>
      <c r="R20" s="15" t="n">
        <f aca="false">SUMIFS(Report!$U:$U,Report!$T:$T,$A20,Report!$C:$C,"&gt;="&amp;DATE(2027,4,1),Report!$C:$C,"&lt;"&amp;DATE(2027,5,1))</f>
        <v>0</v>
      </c>
      <c r="S20" s="15" t="n">
        <f aca="false">SUMIFS(Report!$U:$U,Report!$T:$T,$A20,Report!$C:$C,"&gt;="&amp;DATE(2027,5,1),Report!$C:$C,"&lt;"&amp;DATE(2027,6,1))</f>
        <v>0</v>
      </c>
      <c r="T20" s="15" t="n">
        <f aca="false">SUMIFS(Report!$U:$U,Report!$T:$T,$A20,Report!$C:$C,"&gt;="&amp;DATE(2027,6,1),Report!$C:$C,"&lt;"&amp;DATE(2027,7,1))</f>
        <v>0</v>
      </c>
      <c r="U20" s="15" t="n">
        <f aca="false">SUMIFS(Report!$U:$U,Report!$T:$T,$A20,Report!$C:$C,"&gt;="&amp;DATE(2027,7,1),Report!$C:$C,"&lt;"&amp;DATE(2027,8,1))</f>
        <v>0</v>
      </c>
      <c r="V20" s="15" t="n">
        <f aca="false">SUMIFS(Report!$U:$U,Report!$T:$T,$A20,Report!$C:$C,"&gt;="&amp;DATE(2027,8,1),Report!$C:$C,"&lt;"&amp;DATE(2027,9,1))</f>
        <v>0</v>
      </c>
      <c r="W20" s="15" t="n">
        <f aca="false">SUMIFS(Report!$U:$U,Report!$T:$T,$A20,Report!$C:$C,"&gt;="&amp;DATE(2027,9,1),Report!$C:$C,"&lt;"&amp;DATE(2027,10,1))</f>
        <v>0</v>
      </c>
      <c r="X20" s="15" t="n">
        <f aca="false">SUMIFS(Report!$U:$U,Report!$T:$T,$A20,Report!$C:$C,"&gt;="&amp;DATE(2027,10,1),Report!$C:$C,"&lt;"&amp;DATE(2027,11,1))</f>
        <v>0</v>
      </c>
      <c r="Y20" s="15" t="n">
        <f aca="false">SUMIFS(Report!$U:$U,Report!$T:$T,$A20,Report!$C:$C,"&gt;="&amp;DATE(2027,11,1),Report!$C:$C,"&lt;"&amp;DATE(2027,12,1))</f>
        <v>0</v>
      </c>
      <c r="Z20" s="15" t="n">
        <f aca="false">SUMIFS(Report!$U:$U,Report!$T:$T,$A20,Report!$C:$C,"&gt;="&amp;DATE(2027,12,1),Report!$C:$C,"&lt;"&amp;DATE(2028,1,1))</f>
        <v>0</v>
      </c>
      <c r="AA20" s="15" t="n">
        <f aca="false">SUM(C20:Z20)</f>
        <v>6660</v>
      </c>
    </row>
    <row r="21" customFormat="false" ht="12.75" hidden="false" customHeight="true" outlineLevel="0" collapsed="false">
      <c r="A21" s="0" t="s">
        <v>324</v>
      </c>
      <c r="B21" s="0" t="str">
        <f aca="false">IFERROR(INDEX('Resumo Grupos'!$AC$3:$AC$200,MATCH($A21,'Resumo Grupos'!$AB$3:$AB$200,0)),"n/d")</f>
        <v>Empréstimo</v>
      </c>
      <c r="C21" s="15" t="n">
        <f aca="false">SUMIFS(Report!$U:$U,Report!$T:$T,$A21,Report!$C:$C,"&gt;="&amp;DATE(2026,1,1),Report!$C:$C,"&lt;"&amp;DATE(2026,2,1))</f>
        <v>0</v>
      </c>
      <c r="D21" s="15" t="n">
        <f aca="false">SUMIFS(Report!$U:$U,Report!$T:$T,$A21,Report!$C:$C,"&gt;="&amp;DATE(2026,2,1),Report!$C:$C,"&lt;"&amp;DATE(2026,3,1))</f>
        <v>0</v>
      </c>
      <c r="E21" s="15" t="n">
        <f aca="false">SUMIFS(Report!$U:$U,Report!$T:$T,$A21,Report!$C:$C,"&gt;="&amp;DATE(2026,3,1),Report!$C:$C,"&lt;"&amp;DATE(2026,4,1))</f>
        <v>0</v>
      </c>
      <c r="F21" s="15" t="n">
        <f aca="false">SUMIFS(Report!$U:$U,Report!$T:$T,$A21,Report!$C:$C,"&gt;="&amp;DATE(2026,4,1),Report!$C:$C,"&lt;"&amp;DATE(2026,5,1))</f>
        <v>0</v>
      </c>
      <c r="G21" s="15" t="n">
        <f aca="false">SUMIFS(Report!$U:$U,Report!$T:$T,$A21,Report!$C:$C,"&gt;="&amp;DATE(2026,5,1),Report!$C:$C,"&lt;"&amp;DATE(2026,6,1))</f>
        <v>0</v>
      </c>
      <c r="H21" s="15" t="n">
        <f aca="false">SUMIFS(Report!$U:$U,Report!$T:$T,$A21,Report!$C:$C,"&gt;="&amp;DATE(2026,6,1),Report!$C:$C,"&lt;"&amp;DATE(2026,7,1))</f>
        <v>6500.6</v>
      </c>
      <c r="I21" s="15" t="n">
        <f aca="false">SUMIFS(Report!$U:$U,Report!$T:$T,$A21,Report!$C:$C,"&gt;="&amp;DATE(2026,7,1),Report!$C:$C,"&lt;"&amp;DATE(2026,8,1))</f>
        <v>6504.77</v>
      </c>
      <c r="J21" s="15" t="n">
        <f aca="false">SUMIFS(Report!$U:$U,Report!$T:$T,$A21,Report!$C:$C,"&gt;="&amp;DATE(2026,8,1),Report!$C:$C,"&lt;"&amp;DATE(2026,9,1))</f>
        <v>6508.97</v>
      </c>
      <c r="K21" s="15" t="n">
        <f aca="false">SUMIFS(Report!$U:$U,Report!$T:$T,$A21,Report!$C:$C,"&gt;="&amp;DATE(2026,9,1),Report!$C:$C,"&lt;"&amp;DATE(2026,10,1))</f>
        <v>6513.21</v>
      </c>
      <c r="L21" s="15" t="n">
        <f aca="false">SUMIFS(Report!$U:$U,Report!$T:$T,$A21,Report!$C:$C,"&gt;="&amp;DATE(2026,10,1),Report!$C:$C,"&lt;"&amp;DATE(2026,11,1))</f>
        <v>4168.41</v>
      </c>
      <c r="M21" s="15" t="n">
        <f aca="false">SUMIFS(Report!$U:$U,Report!$T:$T,$A21,Report!$C:$C,"&gt;="&amp;DATE(2026,11,1),Report!$C:$C,"&lt;"&amp;DATE(2026,12,1))</f>
        <v>4168.41</v>
      </c>
      <c r="N21" s="15" t="n">
        <f aca="false">SUMIFS(Report!$U:$U,Report!$T:$T,$A21,Report!$C:$C,"&gt;="&amp;DATE(2026,12,1),Report!$C:$C,"&lt;"&amp;DATE(2027,1,1))</f>
        <v>4168.41</v>
      </c>
      <c r="O21" s="15" t="n">
        <f aca="false">SUMIFS(Report!$U:$U,Report!$T:$T,$A21,Report!$C:$C,"&gt;="&amp;DATE(2027,1,1),Report!$C:$C,"&lt;"&amp;DATE(2027,2,1))</f>
        <v>0</v>
      </c>
      <c r="P21" s="15" t="n">
        <f aca="false">SUMIFS(Report!$U:$U,Report!$T:$T,$A21,Report!$C:$C,"&gt;="&amp;DATE(2027,2,1),Report!$C:$C,"&lt;"&amp;DATE(2027,3,1))</f>
        <v>0</v>
      </c>
      <c r="Q21" s="15" t="n">
        <f aca="false">SUMIFS(Report!$U:$U,Report!$T:$T,$A21,Report!$C:$C,"&gt;="&amp;DATE(2027,3,1),Report!$C:$C,"&lt;"&amp;DATE(2027,4,1))</f>
        <v>0</v>
      </c>
      <c r="R21" s="15" t="n">
        <f aca="false">SUMIFS(Report!$U:$U,Report!$T:$T,$A21,Report!$C:$C,"&gt;="&amp;DATE(2027,4,1),Report!$C:$C,"&lt;"&amp;DATE(2027,5,1))</f>
        <v>0</v>
      </c>
      <c r="S21" s="15" t="n">
        <f aca="false">SUMIFS(Report!$U:$U,Report!$T:$T,$A21,Report!$C:$C,"&gt;="&amp;DATE(2027,5,1),Report!$C:$C,"&lt;"&amp;DATE(2027,6,1))</f>
        <v>0</v>
      </c>
      <c r="T21" s="15" t="n">
        <f aca="false">SUMIFS(Report!$U:$U,Report!$T:$T,$A21,Report!$C:$C,"&gt;="&amp;DATE(2027,6,1),Report!$C:$C,"&lt;"&amp;DATE(2027,7,1))</f>
        <v>0</v>
      </c>
      <c r="U21" s="15" t="n">
        <f aca="false">SUMIFS(Report!$U:$U,Report!$T:$T,$A21,Report!$C:$C,"&gt;="&amp;DATE(2027,7,1),Report!$C:$C,"&lt;"&amp;DATE(2027,8,1))</f>
        <v>0</v>
      </c>
      <c r="V21" s="15" t="n">
        <f aca="false">SUMIFS(Report!$U:$U,Report!$T:$T,$A21,Report!$C:$C,"&gt;="&amp;DATE(2027,8,1),Report!$C:$C,"&lt;"&amp;DATE(2027,9,1))</f>
        <v>0</v>
      </c>
      <c r="W21" s="15" t="n">
        <f aca="false">SUMIFS(Report!$U:$U,Report!$T:$T,$A21,Report!$C:$C,"&gt;="&amp;DATE(2027,9,1),Report!$C:$C,"&lt;"&amp;DATE(2027,10,1))</f>
        <v>0</v>
      </c>
      <c r="X21" s="15" t="n">
        <f aca="false">SUMIFS(Report!$U:$U,Report!$T:$T,$A21,Report!$C:$C,"&gt;="&amp;DATE(2027,10,1),Report!$C:$C,"&lt;"&amp;DATE(2027,11,1))</f>
        <v>0</v>
      </c>
      <c r="Y21" s="15" t="n">
        <f aca="false">SUMIFS(Report!$U:$U,Report!$T:$T,$A21,Report!$C:$C,"&gt;="&amp;DATE(2027,11,1),Report!$C:$C,"&lt;"&amp;DATE(2027,12,1))</f>
        <v>0</v>
      </c>
      <c r="Z21" s="15" t="n">
        <f aca="false">SUMIFS(Report!$U:$U,Report!$T:$T,$A21,Report!$C:$C,"&gt;="&amp;DATE(2027,12,1),Report!$C:$C,"&lt;"&amp;DATE(2028,1,1))</f>
        <v>0</v>
      </c>
      <c r="AA21" s="15" t="n">
        <f aca="false">SUM(C21:Z21)</f>
        <v>38532.78</v>
      </c>
    </row>
    <row r="22" customFormat="false" ht="12.75" hidden="false" customHeight="true" outlineLevel="0" collapsed="false">
      <c r="A22" s="0" t="s">
        <v>545</v>
      </c>
      <c r="B22" s="0" t="str">
        <f aca="false">IFERROR(INDEX('Resumo Grupos'!$AC$3:$AC$200,MATCH($A22,'Resumo Grupos'!$AB$3:$AB$200,0)),"n/d")</f>
        <v>Despesa</v>
      </c>
      <c r="C22" s="15" t="n">
        <f aca="false">SUMIFS(Report!$U:$U,Report!$T:$T,$A22,Report!$C:$C,"&gt;="&amp;DATE(2026,1,1),Report!$C:$C,"&lt;"&amp;DATE(2026,2,1))</f>
        <v>0</v>
      </c>
      <c r="D22" s="15" t="n">
        <f aca="false">SUMIFS(Report!$U:$U,Report!$T:$T,$A22,Report!$C:$C,"&gt;="&amp;DATE(2026,2,1),Report!$C:$C,"&lt;"&amp;DATE(2026,3,1))</f>
        <v>0</v>
      </c>
      <c r="E22" s="15" t="n">
        <f aca="false">SUMIFS(Report!$U:$U,Report!$T:$T,$A22,Report!$C:$C,"&gt;="&amp;DATE(2026,3,1),Report!$C:$C,"&lt;"&amp;DATE(2026,4,1))</f>
        <v>0</v>
      </c>
      <c r="F22" s="15" t="n">
        <f aca="false">SUMIFS(Report!$U:$U,Report!$T:$T,$A22,Report!$C:$C,"&gt;="&amp;DATE(2026,4,1),Report!$C:$C,"&lt;"&amp;DATE(2026,5,1))</f>
        <v>0</v>
      </c>
      <c r="G22" s="15" t="n">
        <f aca="false">SUMIFS(Report!$U:$U,Report!$T:$T,$A22,Report!$C:$C,"&gt;="&amp;DATE(2026,5,1),Report!$C:$C,"&lt;"&amp;DATE(2026,6,1))</f>
        <v>0</v>
      </c>
      <c r="H22" s="15" t="n">
        <f aca="false">SUMIFS(Report!$U:$U,Report!$T:$T,$A22,Report!$C:$C,"&gt;="&amp;DATE(2026,6,1),Report!$C:$C,"&lt;"&amp;DATE(2026,7,1))</f>
        <v>8088.96</v>
      </c>
      <c r="I22" s="15" t="n">
        <f aca="false">SUMIFS(Report!$U:$U,Report!$T:$T,$A22,Report!$C:$C,"&gt;="&amp;DATE(2026,7,1),Report!$C:$C,"&lt;"&amp;DATE(2026,8,1))</f>
        <v>8621.9</v>
      </c>
      <c r="J22" s="15" t="n">
        <f aca="false">SUMIFS(Report!$U:$U,Report!$T:$T,$A22,Report!$C:$C,"&gt;="&amp;DATE(2026,8,1),Report!$C:$C,"&lt;"&amp;DATE(2026,9,1))</f>
        <v>10755.79</v>
      </c>
      <c r="K22" s="15" t="n">
        <f aca="false">SUMIFS(Report!$U:$U,Report!$T:$T,$A22,Report!$C:$C,"&gt;="&amp;DATE(2026,9,1),Report!$C:$C,"&lt;"&amp;DATE(2026,10,1))</f>
        <v>10413.34</v>
      </c>
      <c r="L22" s="15" t="n">
        <f aca="false">SUMIFS(Report!$U:$U,Report!$T:$T,$A22,Report!$C:$C,"&gt;="&amp;DATE(2026,10,1),Report!$C:$C,"&lt;"&amp;DATE(2026,11,1))</f>
        <v>10413.34</v>
      </c>
      <c r="M22" s="15" t="n">
        <f aca="false">SUMIFS(Report!$U:$U,Report!$T:$T,$A22,Report!$C:$C,"&gt;="&amp;DATE(2026,11,1),Report!$C:$C,"&lt;"&amp;DATE(2026,12,1))</f>
        <v>0</v>
      </c>
      <c r="N22" s="15" t="n">
        <f aca="false">SUMIFS(Report!$U:$U,Report!$T:$T,$A22,Report!$C:$C,"&gt;="&amp;DATE(2026,12,1),Report!$C:$C,"&lt;"&amp;DATE(2027,1,1))</f>
        <v>0</v>
      </c>
      <c r="O22" s="15" t="n">
        <f aca="false">SUMIFS(Report!$U:$U,Report!$T:$T,$A22,Report!$C:$C,"&gt;="&amp;DATE(2027,1,1),Report!$C:$C,"&lt;"&amp;DATE(2027,2,1))</f>
        <v>0</v>
      </c>
      <c r="P22" s="15" t="n">
        <f aca="false">SUMIFS(Report!$U:$U,Report!$T:$T,$A22,Report!$C:$C,"&gt;="&amp;DATE(2027,2,1),Report!$C:$C,"&lt;"&amp;DATE(2027,3,1))</f>
        <v>0</v>
      </c>
      <c r="Q22" s="15" t="n">
        <f aca="false">SUMIFS(Report!$U:$U,Report!$T:$T,$A22,Report!$C:$C,"&gt;="&amp;DATE(2027,3,1),Report!$C:$C,"&lt;"&amp;DATE(2027,4,1))</f>
        <v>0</v>
      </c>
      <c r="R22" s="15" t="n">
        <f aca="false">SUMIFS(Report!$U:$U,Report!$T:$T,$A22,Report!$C:$C,"&gt;="&amp;DATE(2027,4,1),Report!$C:$C,"&lt;"&amp;DATE(2027,5,1))</f>
        <v>0</v>
      </c>
      <c r="S22" s="15" t="n">
        <f aca="false">SUMIFS(Report!$U:$U,Report!$T:$T,$A22,Report!$C:$C,"&gt;="&amp;DATE(2027,5,1),Report!$C:$C,"&lt;"&amp;DATE(2027,6,1))</f>
        <v>0</v>
      </c>
      <c r="T22" s="15" t="n">
        <f aca="false">SUMIFS(Report!$U:$U,Report!$T:$T,$A22,Report!$C:$C,"&gt;="&amp;DATE(2027,6,1),Report!$C:$C,"&lt;"&amp;DATE(2027,7,1))</f>
        <v>0</v>
      </c>
      <c r="U22" s="15" t="n">
        <f aca="false">SUMIFS(Report!$U:$U,Report!$T:$T,$A22,Report!$C:$C,"&gt;="&amp;DATE(2027,7,1),Report!$C:$C,"&lt;"&amp;DATE(2027,8,1))</f>
        <v>0</v>
      </c>
      <c r="V22" s="15" t="n">
        <f aca="false">SUMIFS(Report!$U:$U,Report!$T:$T,$A22,Report!$C:$C,"&gt;="&amp;DATE(2027,8,1),Report!$C:$C,"&lt;"&amp;DATE(2027,9,1))</f>
        <v>0</v>
      </c>
      <c r="W22" s="15" t="n">
        <f aca="false">SUMIFS(Report!$U:$U,Report!$T:$T,$A22,Report!$C:$C,"&gt;="&amp;DATE(2027,9,1),Report!$C:$C,"&lt;"&amp;DATE(2027,10,1))</f>
        <v>0</v>
      </c>
      <c r="X22" s="15" t="n">
        <f aca="false">SUMIFS(Report!$U:$U,Report!$T:$T,$A22,Report!$C:$C,"&gt;="&amp;DATE(2027,10,1),Report!$C:$C,"&lt;"&amp;DATE(2027,11,1))</f>
        <v>0</v>
      </c>
      <c r="Y22" s="15" t="n">
        <f aca="false">SUMIFS(Report!$U:$U,Report!$T:$T,$A22,Report!$C:$C,"&gt;="&amp;DATE(2027,11,1),Report!$C:$C,"&lt;"&amp;DATE(2027,12,1))</f>
        <v>0</v>
      </c>
      <c r="Z22" s="15" t="n">
        <f aca="false">SUMIFS(Report!$U:$U,Report!$T:$T,$A22,Report!$C:$C,"&gt;="&amp;DATE(2027,12,1),Report!$C:$C,"&lt;"&amp;DATE(2028,1,1))</f>
        <v>0</v>
      </c>
      <c r="AA22" s="15" t="n">
        <f aca="false">SUM(C22:Z22)</f>
        <v>48293.33</v>
      </c>
    </row>
    <row r="23" customFormat="false" ht="12.75" hidden="false" customHeight="true" outlineLevel="0" collapsed="false">
      <c r="A23" s="0" t="s">
        <v>855</v>
      </c>
      <c r="B23" s="0" t="str">
        <f aca="false">IFERROR(INDEX('Resumo Grupos'!$AC$3:$AC$200,MATCH($A23,'Resumo Grupos'!$AB$3:$AB$200,0)),"n/d")</f>
        <v>Salários</v>
      </c>
      <c r="C23" s="15" t="n">
        <f aca="false">SUMIFS(Report!$U:$U,Report!$T:$T,$A23,Report!$C:$C,"&gt;="&amp;DATE(2026,1,1),Report!$C:$C,"&lt;"&amp;DATE(2026,2,1))</f>
        <v>0</v>
      </c>
      <c r="D23" s="15" t="n">
        <f aca="false">SUMIFS(Report!$U:$U,Report!$T:$T,$A23,Report!$C:$C,"&gt;="&amp;DATE(2026,2,1),Report!$C:$C,"&lt;"&amp;DATE(2026,3,1))</f>
        <v>0</v>
      </c>
      <c r="E23" s="15" t="n">
        <f aca="false">SUMIFS(Report!$U:$U,Report!$T:$T,$A23,Report!$C:$C,"&gt;="&amp;DATE(2026,3,1),Report!$C:$C,"&lt;"&amp;DATE(2026,4,1))</f>
        <v>0</v>
      </c>
      <c r="F23" s="15" t="n">
        <f aca="false">SUMIFS(Report!$U:$U,Report!$T:$T,$A23,Report!$C:$C,"&gt;="&amp;DATE(2026,4,1),Report!$C:$C,"&lt;"&amp;DATE(2026,5,1))</f>
        <v>0</v>
      </c>
      <c r="G23" s="15" t="n">
        <f aca="false">SUMIFS(Report!$U:$U,Report!$T:$T,$A23,Report!$C:$C,"&gt;="&amp;DATE(2026,5,1),Report!$C:$C,"&lt;"&amp;DATE(2026,6,1))</f>
        <v>0</v>
      </c>
      <c r="H23" s="15" t="n">
        <f aca="false">SUMIFS(Report!$U:$U,Report!$T:$T,$A23,Report!$C:$C,"&gt;="&amp;DATE(2026,6,1),Report!$C:$C,"&lt;"&amp;DATE(2026,7,1))</f>
        <v>0</v>
      </c>
      <c r="I23" s="15" t="n">
        <f aca="false">SUMIFS(Report!$U:$U,Report!$T:$T,$A23,Report!$C:$C,"&gt;="&amp;DATE(2026,7,1),Report!$C:$C,"&lt;"&amp;DATE(2026,8,1))</f>
        <v>160</v>
      </c>
      <c r="J23" s="15" t="n">
        <f aca="false">SUMIFS(Report!$U:$U,Report!$T:$T,$A23,Report!$C:$C,"&gt;="&amp;DATE(2026,8,1),Report!$C:$C,"&lt;"&amp;DATE(2026,9,1))</f>
        <v>0</v>
      </c>
      <c r="K23" s="15" t="n">
        <f aca="false">SUMIFS(Report!$U:$U,Report!$T:$T,$A23,Report!$C:$C,"&gt;="&amp;DATE(2026,9,1),Report!$C:$C,"&lt;"&amp;DATE(2026,10,1))</f>
        <v>0</v>
      </c>
      <c r="L23" s="15" t="n">
        <f aca="false">SUMIFS(Report!$U:$U,Report!$T:$T,$A23,Report!$C:$C,"&gt;="&amp;DATE(2026,10,1),Report!$C:$C,"&lt;"&amp;DATE(2026,11,1))</f>
        <v>0</v>
      </c>
      <c r="M23" s="15" t="n">
        <f aca="false">SUMIFS(Report!$U:$U,Report!$T:$T,$A23,Report!$C:$C,"&gt;="&amp;DATE(2026,11,1),Report!$C:$C,"&lt;"&amp;DATE(2026,12,1))</f>
        <v>0</v>
      </c>
      <c r="N23" s="15" t="n">
        <f aca="false">SUMIFS(Report!$U:$U,Report!$T:$T,$A23,Report!$C:$C,"&gt;="&amp;DATE(2026,12,1),Report!$C:$C,"&lt;"&amp;DATE(2027,1,1))</f>
        <v>0</v>
      </c>
      <c r="O23" s="15" t="n">
        <f aca="false">SUMIFS(Report!$U:$U,Report!$T:$T,$A23,Report!$C:$C,"&gt;="&amp;DATE(2027,1,1),Report!$C:$C,"&lt;"&amp;DATE(2027,2,1))</f>
        <v>0</v>
      </c>
      <c r="P23" s="15" t="n">
        <f aca="false">SUMIFS(Report!$U:$U,Report!$T:$T,$A23,Report!$C:$C,"&gt;="&amp;DATE(2027,2,1),Report!$C:$C,"&lt;"&amp;DATE(2027,3,1))</f>
        <v>0</v>
      </c>
      <c r="Q23" s="15" t="n">
        <f aca="false">SUMIFS(Report!$U:$U,Report!$T:$T,$A23,Report!$C:$C,"&gt;="&amp;DATE(2027,3,1),Report!$C:$C,"&lt;"&amp;DATE(2027,4,1))</f>
        <v>0</v>
      </c>
      <c r="R23" s="15" t="n">
        <f aca="false">SUMIFS(Report!$U:$U,Report!$T:$T,$A23,Report!$C:$C,"&gt;="&amp;DATE(2027,4,1),Report!$C:$C,"&lt;"&amp;DATE(2027,5,1))</f>
        <v>0</v>
      </c>
      <c r="S23" s="15" t="n">
        <f aca="false">SUMIFS(Report!$U:$U,Report!$T:$T,$A23,Report!$C:$C,"&gt;="&amp;DATE(2027,5,1),Report!$C:$C,"&lt;"&amp;DATE(2027,6,1))</f>
        <v>0</v>
      </c>
      <c r="T23" s="15" t="n">
        <f aca="false">SUMIFS(Report!$U:$U,Report!$T:$T,$A23,Report!$C:$C,"&gt;="&amp;DATE(2027,6,1),Report!$C:$C,"&lt;"&amp;DATE(2027,7,1))</f>
        <v>0</v>
      </c>
      <c r="U23" s="15" t="n">
        <f aca="false">SUMIFS(Report!$U:$U,Report!$T:$T,$A23,Report!$C:$C,"&gt;="&amp;DATE(2027,7,1),Report!$C:$C,"&lt;"&amp;DATE(2027,8,1))</f>
        <v>0</v>
      </c>
      <c r="V23" s="15" t="n">
        <f aca="false">SUMIFS(Report!$U:$U,Report!$T:$T,$A23,Report!$C:$C,"&gt;="&amp;DATE(2027,8,1),Report!$C:$C,"&lt;"&amp;DATE(2027,9,1))</f>
        <v>0</v>
      </c>
      <c r="W23" s="15" t="n">
        <f aca="false">SUMIFS(Report!$U:$U,Report!$T:$T,$A23,Report!$C:$C,"&gt;="&amp;DATE(2027,9,1),Report!$C:$C,"&lt;"&amp;DATE(2027,10,1))</f>
        <v>0</v>
      </c>
      <c r="X23" s="15" t="n">
        <f aca="false">SUMIFS(Report!$U:$U,Report!$T:$T,$A23,Report!$C:$C,"&gt;="&amp;DATE(2027,10,1),Report!$C:$C,"&lt;"&amp;DATE(2027,11,1))</f>
        <v>0</v>
      </c>
      <c r="Y23" s="15" t="n">
        <f aca="false">SUMIFS(Report!$U:$U,Report!$T:$T,$A23,Report!$C:$C,"&gt;="&amp;DATE(2027,11,1),Report!$C:$C,"&lt;"&amp;DATE(2027,12,1))</f>
        <v>0</v>
      </c>
      <c r="Z23" s="15" t="n">
        <f aca="false">SUMIFS(Report!$U:$U,Report!$T:$T,$A23,Report!$C:$C,"&gt;="&amp;DATE(2027,12,1),Report!$C:$C,"&lt;"&amp;DATE(2028,1,1))</f>
        <v>0</v>
      </c>
      <c r="AA23" s="15" t="n">
        <f aca="false">SUM(C23:Z23)</f>
        <v>160</v>
      </c>
    </row>
    <row r="24" customFormat="false" ht="12.75" hidden="false" customHeight="true" outlineLevel="0" collapsed="false">
      <c r="A24" s="0" t="s">
        <v>1118</v>
      </c>
      <c r="B24" s="0" t="str">
        <f aca="false">IFERROR(INDEX('Resumo Grupos'!$AC$3:$AC$200,MATCH($A24,'Resumo Grupos'!$AB$3:$AB$200,0)),"n/d")</f>
        <v>Salários</v>
      </c>
      <c r="C24" s="15" t="n">
        <f aca="false">SUMIFS(Report!$U:$U,Report!$T:$T,$A24,Report!$C:$C,"&gt;="&amp;DATE(2026,1,1),Report!$C:$C,"&lt;"&amp;DATE(2026,2,1))</f>
        <v>0</v>
      </c>
      <c r="D24" s="15" t="n">
        <f aca="false">SUMIFS(Report!$U:$U,Report!$T:$T,$A24,Report!$C:$C,"&gt;="&amp;DATE(2026,2,1),Report!$C:$C,"&lt;"&amp;DATE(2026,3,1))</f>
        <v>0</v>
      </c>
      <c r="E24" s="15" t="n">
        <f aca="false">SUMIFS(Report!$U:$U,Report!$T:$T,$A24,Report!$C:$C,"&gt;="&amp;DATE(2026,3,1),Report!$C:$C,"&lt;"&amp;DATE(2026,4,1))</f>
        <v>0</v>
      </c>
      <c r="F24" s="15" t="n">
        <f aca="false">SUMIFS(Report!$U:$U,Report!$T:$T,$A24,Report!$C:$C,"&gt;="&amp;DATE(2026,4,1),Report!$C:$C,"&lt;"&amp;DATE(2026,5,1))</f>
        <v>0</v>
      </c>
      <c r="G24" s="15" t="n">
        <f aca="false">SUMIFS(Report!$U:$U,Report!$T:$T,$A24,Report!$C:$C,"&gt;="&amp;DATE(2026,5,1),Report!$C:$C,"&lt;"&amp;DATE(2026,6,1))</f>
        <v>0</v>
      </c>
      <c r="H24" s="15" t="n">
        <f aca="false">SUMIFS(Report!$U:$U,Report!$T:$T,$A24,Report!$C:$C,"&gt;="&amp;DATE(2026,6,1),Report!$C:$C,"&lt;"&amp;DATE(2026,7,1))</f>
        <v>0</v>
      </c>
      <c r="I24" s="15" t="n">
        <f aca="false">SUMIFS(Report!$U:$U,Report!$T:$T,$A24,Report!$C:$C,"&gt;="&amp;DATE(2026,7,1),Report!$C:$C,"&lt;"&amp;DATE(2026,8,1))</f>
        <v>2355.82</v>
      </c>
      <c r="J24" s="15" t="n">
        <f aca="false">SUMIFS(Report!$U:$U,Report!$T:$T,$A24,Report!$C:$C,"&gt;="&amp;DATE(2026,8,1),Report!$C:$C,"&lt;"&amp;DATE(2026,9,1))</f>
        <v>0</v>
      </c>
      <c r="K24" s="15" t="n">
        <f aca="false">SUMIFS(Report!$U:$U,Report!$T:$T,$A24,Report!$C:$C,"&gt;="&amp;DATE(2026,9,1),Report!$C:$C,"&lt;"&amp;DATE(2026,10,1))</f>
        <v>0</v>
      </c>
      <c r="L24" s="15" t="n">
        <f aca="false">SUMIFS(Report!$U:$U,Report!$T:$T,$A24,Report!$C:$C,"&gt;="&amp;DATE(2026,10,1),Report!$C:$C,"&lt;"&amp;DATE(2026,11,1))</f>
        <v>0</v>
      </c>
      <c r="M24" s="15" t="n">
        <f aca="false">SUMIFS(Report!$U:$U,Report!$T:$T,$A24,Report!$C:$C,"&gt;="&amp;DATE(2026,11,1),Report!$C:$C,"&lt;"&amp;DATE(2026,12,1))</f>
        <v>0</v>
      </c>
      <c r="N24" s="15" t="n">
        <f aca="false">SUMIFS(Report!$U:$U,Report!$T:$T,$A24,Report!$C:$C,"&gt;="&amp;DATE(2026,12,1),Report!$C:$C,"&lt;"&amp;DATE(2027,1,1))</f>
        <v>0</v>
      </c>
      <c r="O24" s="15" t="n">
        <f aca="false">SUMIFS(Report!$U:$U,Report!$T:$T,$A24,Report!$C:$C,"&gt;="&amp;DATE(2027,1,1),Report!$C:$C,"&lt;"&amp;DATE(2027,2,1))</f>
        <v>0</v>
      </c>
      <c r="P24" s="15" t="n">
        <f aca="false">SUMIFS(Report!$U:$U,Report!$T:$T,$A24,Report!$C:$C,"&gt;="&amp;DATE(2027,2,1),Report!$C:$C,"&lt;"&amp;DATE(2027,3,1))</f>
        <v>0</v>
      </c>
      <c r="Q24" s="15" t="n">
        <f aca="false">SUMIFS(Report!$U:$U,Report!$T:$T,$A24,Report!$C:$C,"&gt;="&amp;DATE(2027,3,1),Report!$C:$C,"&lt;"&amp;DATE(2027,4,1))</f>
        <v>0</v>
      </c>
      <c r="R24" s="15" t="n">
        <f aca="false">SUMIFS(Report!$U:$U,Report!$T:$T,$A24,Report!$C:$C,"&gt;="&amp;DATE(2027,4,1),Report!$C:$C,"&lt;"&amp;DATE(2027,5,1))</f>
        <v>0</v>
      </c>
      <c r="S24" s="15" t="n">
        <f aca="false">SUMIFS(Report!$U:$U,Report!$T:$T,$A24,Report!$C:$C,"&gt;="&amp;DATE(2027,5,1),Report!$C:$C,"&lt;"&amp;DATE(2027,6,1))</f>
        <v>0</v>
      </c>
      <c r="T24" s="15" t="n">
        <f aca="false">SUMIFS(Report!$U:$U,Report!$T:$T,$A24,Report!$C:$C,"&gt;="&amp;DATE(2027,6,1),Report!$C:$C,"&lt;"&amp;DATE(2027,7,1))</f>
        <v>0</v>
      </c>
      <c r="U24" s="15" t="n">
        <f aca="false">SUMIFS(Report!$U:$U,Report!$T:$T,$A24,Report!$C:$C,"&gt;="&amp;DATE(2027,7,1),Report!$C:$C,"&lt;"&amp;DATE(2027,8,1))</f>
        <v>0</v>
      </c>
      <c r="V24" s="15" t="n">
        <f aca="false">SUMIFS(Report!$U:$U,Report!$T:$T,$A24,Report!$C:$C,"&gt;="&amp;DATE(2027,8,1),Report!$C:$C,"&lt;"&amp;DATE(2027,9,1))</f>
        <v>0</v>
      </c>
      <c r="W24" s="15" t="n">
        <f aca="false">SUMIFS(Report!$U:$U,Report!$T:$T,$A24,Report!$C:$C,"&gt;="&amp;DATE(2027,9,1),Report!$C:$C,"&lt;"&amp;DATE(2027,10,1))</f>
        <v>0</v>
      </c>
      <c r="X24" s="15" t="n">
        <f aca="false">SUMIFS(Report!$U:$U,Report!$T:$T,$A24,Report!$C:$C,"&gt;="&amp;DATE(2027,10,1),Report!$C:$C,"&lt;"&amp;DATE(2027,11,1))</f>
        <v>0</v>
      </c>
      <c r="Y24" s="15" t="n">
        <f aca="false">SUMIFS(Report!$U:$U,Report!$T:$T,$A24,Report!$C:$C,"&gt;="&amp;DATE(2027,11,1),Report!$C:$C,"&lt;"&amp;DATE(2027,12,1))</f>
        <v>0</v>
      </c>
      <c r="Z24" s="15" t="n">
        <f aca="false">SUMIFS(Report!$U:$U,Report!$T:$T,$A24,Report!$C:$C,"&gt;="&amp;DATE(2027,12,1),Report!$C:$C,"&lt;"&amp;DATE(2028,1,1))</f>
        <v>0</v>
      </c>
      <c r="AA24" s="15" t="n">
        <f aca="false">SUM(C24:Z24)</f>
        <v>2355.82</v>
      </c>
    </row>
    <row r="25" customFormat="false" ht="12.75" hidden="false" customHeight="true" outlineLevel="0" collapsed="false">
      <c r="A25" s="0" t="s">
        <v>485</v>
      </c>
      <c r="B25" s="0" t="str">
        <f aca="false">IFERROR(INDEX('Resumo Grupos'!$AC$3:$AC$200,MATCH($A25,'Resumo Grupos'!$AB$3:$AB$200,0)),"n/d")</f>
        <v>Impostos</v>
      </c>
      <c r="C25" s="15" t="n">
        <f aca="false">SUMIFS(Report!$U:$U,Report!$T:$T,$A25,Report!$C:$C,"&gt;="&amp;DATE(2026,1,1),Report!$C:$C,"&lt;"&amp;DATE(2026,2,1))</f>
        <v>0</v>
      </c>
      <c r="D25" s="15" t="n">
        <f aca="false">SUMIFS(Report!$U:$U,Report!$T:$T,$A25,Report!$C:$C,"&gt;="&amp;DATE(2026,2,1),Report!$C:$C,"&lt;"&amp;DATE(2026,3,1))</f>
        <v>0</v>
      </c>
      <c r="E25" s="15" t="n">
        <f aca="false">SUMIFS(Report!$U:$U,Report!$T:$T,$A25,Report!$C:$C,"&gt;="&amp;DATE(2026,3,1),Report!$C:$C,"&lt;"&amp;DATE(2026,4,1))</f>
        <v>0</v>
      </c>
      <c r="F25" s="15" t="n">
        <f aca="false">SUMIFS(Report!$U:$U,Report!$T:$T,$A25,Report!$C:$C,"&gt;="&amp;DATE(2026,4,1),Report!$C:$C,"&lt;"&amp;DATE(2026,5,1))</f>
        <v>0</v>
      </c>
      <c r="G25" s="15" t="n">
        <f aca="false">SUMIFS(Report!$U:$U,Report!$T:$T,$A25,Report!$C:$C,"&gt;="&amp;DATE(2026,5,1),Report!$C:$C,"&lt;"&amp;DATE(2026,6,1))</f>
        <v>0</v>
      </c>
      <c r="H25" s="15" t="n">
        <f aca="false">SUMIFS(Report!$U:$U,Report!$T:$T,$A25,Report!$C:$C,"&gt;="&amp;DATE(2026,6,1),Report!$C:$C,"&lt;"&amp;DATE(2026,7,1))</f>
        <v>3059.01</v>
      </c>
      <c r="I25" s="15" t="n">
        <f aca="false">SUMIFS(Report!$U:$U,Report!$T:$T,$A25,Report!$C:$C,"&gt;="&amp;DATE(2026,7,1),Report!$C:$C,"&lt;"&amp;DATE(2026,8,1))</f>
        <v>2788.06</v>
      </c>
      <c r="J25" s="15" t="n">
        <f aca="false">SUMIFS(Report!$U:$U,Report!$T:$T,$A25,Report!$C:$C,"&gt;="&amp;DATE(2026,8,1),Report!$C:$C,"&lt;"&amp;DATE(2026,9,1))</f>
        <v>2846.45</v>
      </c>
      <c r="K25" s="15" t="n">
        <f aca="false">SUMIFS(Report!$U:$U,Report!$T:$T,$A25,Report!$C:$C,"&gt;="&amp;DATE(2026,9,1),Report!$C:$C,"&lt;"&amp;DATE(2026,10,1))</f>
        <v>6189.14</v>
      </c>
      <c r="L25" s="15" t="n">
        <f aca="false">SUMIFS(Report!$U:$U,Report!$T:$T,$A25,Report!$C:$C,"&gt;="&amp;DATE(2026,10,1),Report!$C:$C,"&lt;"&amp;DATE(2026,11,1))</f>
        <v>0</v>
      </c>
      <c r="M25" s="15" t="n">
        <f aca="false">SUMIFS(Report!$U:$U,Report!$T:$T,$A25,Report!$C:$C,"&gt;="&amp;DATE(2026,11,1),Report!$C:$C,"&lt;"&amp;DATE(2026,12,1))</f>
        <v>0</v>
      </c>
      <c r="N25" s="15" t="n">
        <f aca="false">SUMIFS(Report!$U:$U,Report!$T:$T,$A25,Report!$C:$C,"&gt;="&amp;DATE(2026,12,1),Report!$C:$C,"&lt;"&amp;DATE(2027,1,1))</f>
        <v>0</v>
      </c>
      <c r="O25" s="15" t="n">
        <f aca="false">SUMIFS(Report!$U:$U,Report!$T:$T,$A25,Report!$C:$C,"&gt;="&amp;DATE(2027,1,1),Report!$C:$C,"&lt;"&amp;DATE(2027,2,1))</f>
        <v>0</v>
      </c>
      <c r="P25" s="15" t="n">
        <f aca="false">SUMIFS(Report!$U:$U,Report!$T:$T,$A25,Report!$C:$C,"&gt;="&amp;DATE(2027,2,1),Report!$C:$C,"&lt;"&amp;DATE(2027,3,1))</f>
        <v>0</v>
      </c>
      <c r="Q25" s="15" t="n">
        <f aca="false">SUMIFS(Report!$U:$U,Report!$T:$T,$A25,Report!$C:$C,"&gt;="&amp;DATE(2027,3,1),Report!$C:$C,"&lt;"&amp;DATE(2027,4,1))</f>
        <v>0</v>
      </c>
      <c r="R25" s="15" t="n">
        <f aca="false">SUMIFS(Report!$U:$U,Report!$T:$T,$A25,Report!$C:$C,"&gt;="&amp;DATE(2027,4,1),Report!$C:$C,"&lt;"&amp;DATE(2027,5,1))</f>
        <v>0</v>
      </c>
      <c r="S25" s="15" t="n">
        <f aca="false">SUMIFS(Report!$U:$U,Report!$T:$T,$A25,Report!$C:$C,"&gt;="&amp;DATE(2027,5,1),Report!$C:$C,"&lt;"&amp;DATE(2027,6,1))</f>
        <v>0</v>
      </c>
      <c r="T25" s="15" t="n">
        <f aca="false">SUMIFS(Report!$U:$U,Report!$T:$T,$A25,Report!$C:$C,"&gt;="&amp;DATE(2027,6,1),Report!$C:$C,"&lt;"&amp;DATE(2027,7,1))</f>
        <v>0</v>
      </c>
      <c r="U25" s="15" t="n">
        <f aca="false">SUMIFS(Report!$U:$U,Report!$T:$T,$A25,Report!$C:$C,"&gt;="&amp;DATE(2027,7,1),Report!$C:$C,"&lt;"&amp;DATE(2027,8,1))</f>
        <v>0</v>
      </c>
      <c r="V25" s="15" t="n">
        <f aca="false">SUMIFS(Report!$U:$U,Report!$T:$T,$A25,Report!$C:$C,"&gt;="&amp;DATE(2027,8,1),Report!$C:$C,"&lt;"&amp;DATE(2027,9,1))</f>
        <v>0</v>
      </c>
      <c r="W25" s="15" t="n">
        <f aca="false">SUMIFS(Report!$U:$U,Report!$T:$T,$A25,Report!$C:$C,"&gt;="&amp;DATE(2027,9,1),Report!$C:$C,"&lt;"&amp;DATE(2027,10,1))</f>
        <v>0</v>
      </c>
      <c r="X25" s="15" t="n">
        <f aca="false">SUMIFS(Report!$U:$U,Report!$T:$T,$A25,Report!$C:$C,"&gt;="&amp;DATE(2027,10,1),Report!$C:$C,"&lt;"&amp;DATE(2027,11,1))</f>
        <v>0</v>
      </c>
      <c r="Y25" s="15" t="n">
        <f aca="false">SUMIFS(Report!$U:$U,Report!$T:$T,$A25,Report!$C:$C,"&gt;="&amp;DATE(2027,11,1),Report!$C:$C,"&lt;"&amp;DATE(2027,12,1))</f>
        <v>0</v>
      </c>
      <c r="Z25" s="15" t="n">
        <f aca="false">SUMIFS(Report!$U:$U,Report!$T:$T,$A25,Report!$C:$C,"&gt;="&amp;DATE(2027,12,1),Report!$C:$C,"&lt;"&amp;DATE(2028,1,1))</f>
        <v>0</v>
      </c>
      <c r="AA25" s="15" t="n">
        <f aca="false">SUM(C25:Z25)</f>
        <v>14882.66</v>
      </c>
    </row>
    <row r="26" customFormat="false" ht="12.75" hidden="false" customHeight="true" outlineLevel="0" collapsed="false">
      <c r="A26" s="0" t="s">
        <v>43</v>
      </c>
      <c r="B26" s="0" t="str">
        <f aca="false">IFERROR(INDEX('Resumo Grupos'!$AC$3:$AC$200,MATCH($A26,'Resumo Grupos'!$AB$3:$AB$200,0)),"n/d")</f>
        <v>Despesa</v>
      </c>
      <c r="C26" s="15" t="n">
        <f aca="false">SUMIFS(Report!$U:$U,Report!$T:$T,$A26,Report!$C:$C,"&gt;="&amp;DATE(2026,1,1),Report!$C:$C,"&lt;"&amp;DATE(2026,2,1))</f>
        <v>0</v>
      </c>
      <c r="D26" s="15" t="n">
        <f aca="false">SUMIFS(Report!$U:$U,Report!$T:$T,$A26,Report!$C:$C,"&gt;="&amp;DATE(2026,2,1),Report!$C:$C,"&lt;"&amp;DATE(2026,3,1))</f>
        <v>0</v>
      </c>
      <c r="E26" s="15" t="n">
        <f aca="false">SUMIFS(Report!$U:$U,Report!$T:$T,$A26,Report!$C:$C,"&gt;="&amp;DATE(2026,3,1),Report!$C:$C,"&lt;"&amp;DATE(2026,4,1))</f>
        <v>0</v>
      </c>
      <c r="F26" s="15" t="n">
        <f aca="false">SUMIFS(Report!$U:$U,Report!$T:$T,$A26,Report!$C:$C,"&gt;="&amp;DATE(2026,4,1),Report!$C:$C,"&lt;"&amp;DATE(2026,5,1))</f>
        <v>0</v>
      </c>
      <c r="G26" s="15" t="n">
        <f aca="false">SUMIFS(Report!$U:$U,Report!$T:$T,$A26,Report!$C:$C,"&gt;="&amp;DATE(2026,5,1),Report!$C:$C,"&lt;"&amp;DATE(2026,6,1))</f>
        <v>0</v>
      </c>
      <c r="H26" s="15" t="n">
        <f aca="false">SUMIFS(Report!$U:$U,Report!$T:$T,$A26,Report!$C:$C,"&gt;="&amp;DATE(2026,6,1),Report!$C:$C,"&lt;"&amp;DATE(2026,7,1))</f>
        <v>2903.99</v>
      </c>
      <c r="I26" s="15" t="n">
        <f aca="false">SUMIFS(Report!$U:$U,Report!$T:$T,$A26,Report!$C:$C,"&gt;="&amp;DATE(2026,7,1),Report!$C:$C,"&lt;"&amp;DATE(2026,8,1))</f>
        <v>3453.49</v>
      </c>
      <c r="J26" s="15" t="n">
        <f aca="false">SUMIFS(Report!$U:$U,Report!$T:$T,$A26,Report!$C:$C,"&gt;="&amp;DATE(2026,8,1),Report!$C:$C,"&lt;"&amp;DATE(2026,9,1))</f>
        <v>5621.66</v>
      </c>
      <c r="K26" s="15" t="n">
        <f aca="false">SUMIFS(Report!$U:$U,Report!$T:$T,$A26,Report!$C:$C,"&gt;="&amp;DATE(2026,9,1),Report!$C:$C,"&lt;"&amp;DATE(2026,10,1))</f>
        <v>2430</v>
      </c>
      <c r="L26" s="15" t="n">
        <f aca="false">SUMIFS(Report!$U:$U,Report!$T:$T,$A26,Report!$C:$C,"&gt;="&amp;DATE(2026,10,1),Report!$C:$C,"&lt;"&amp;DATE(2026,11,1))</f>
        <v>1140</v>
      </c>
      <c r="M26" s="15" t="n">
        <f aca="false">SUMIFS(Report!$U:$U,Report!$T:$T,$A26,Report!$C:$C,"&gt;="&amp;DATE(2026,11,1),Report!$C:$C,"&lt;"&amp;DATE(2026,12,1))</f>
        <v>0</v>
      </c>
      <c r="N26" s="15" t="n">
        <f aca="false">SUMIFS(Report!$U:$U,Report!$T:$T,$A26,Report!$C:$C,"&gt;="&amp;DATE(2026,12,1),Report!$C:$C,"&lt;"&amp;DATE(2027,1,1))</f>
        <v>0</v>
      </c>
      <c r="O26" s="15" t="n">
        <f aca="false">SUMIFS(Report!$U:$U,Report!$T:$T,$A26,Report!$C:$C,"&gt;="&amp;DATE(2027,1,1),Report!$C:$C,"&lt;"&amp;DATE(2027,2,1))</f>
        <v>0</v>
      </c>
      <c r="P26" s="15" t="n">
        <f aca="false">SUMIFS(Report!$U:$U,Report!$T:$T,$A26,Report!$C:$C,"&gt;="&amp;DATE(2027,2,1),Report!$C:$C,"&lt;"&amp;DATE(2027,3,1))</f>
        <v>0</v>
      </c>
      <c r="Q26" s="15" t="n">
        <f aca="false">SUMIFS(Report!$U:$U,Report!$T:$T,$A26,Report!$C:$C,"&gt;="&amp;DATE(2027,3,1),Report!$C:$C,"&lt;"&amp;DATE(2027,4,1))</f>
        <v>0</v>
      </c>
      <c r="R26" s="15" t="n">
        <f aca="false">SUMIFS(Report!$U:$U,Report!$T:$T,$A26,Report!$C:$C,"&gt;="&amp;DATE(2027,4,1),Report!$C:$C,"&lt;"&amp;DATE(2027,5,1))</f>
        <v>0</v>
      </c>
      <c r="S26" s="15" t="n">
        <f aca="false">SUMIFS(Report!$U:$U,Report!$T:$T,$A26,Report!$C:$C,"&gt;="&amp;DATE(2027,5,1),Report!$C:$C,"&lt;"&amp;DATE(2027,6,1))</f>
        <v>0</v>
      </c>
      <c r="T26" s="15" t="n">
        <f aca="false">SUMIFS(Report!$U:$U,Report!$T:$T,$A26,Report!$C:$C,"&gt;="&amp;DATE(2027,6,1),Report!$C:$C,"&lt;"&amp;DATE(2027,7,1))</f>
        <v>0</v>
      </c>
      <c r="U26" s="15" t="n">
        <f aca="false">SUMIFS(Report!$U:$U,Report!$T:$T,$A26,Report!$C:$C,"&gt;="&amp;DATE(2027,7,1),Report!$C:$C,"&lt;"&amp;DATE(2027,8,1))</f>
        <v>0</v>
      </c>
      <c r="V26" s="15" t="n">
        <f aca="false">SUMIFS(Report!$U:$U,Report!$T:$T,$A26,Report!$C:$C,"&gt;="&amp;DATE(2027,8,1),Report!$C:$C,"&lt;"&amp;DATE(2027,9,1))</f>
        <v>0</v>
      </c>
      <c r="W26" s="15" t="n">
        <f aca="false">SUMIFS(Report!$U:$U,Report!$T:$T,$A26,Report!$C:$C,"&gt;="&amp;DATE(2027,9,1),Report!$C:$C,"&lt;"&amp;DATE(2027,10,1))</f>
        <v>0</v>
      </c>
      <c r="X26" s="15" t="n">
        <f aca="false">SUMIFS(Report!$U:$U,Report!$T:$T,$A26,Report!$C:$C,"&gt;="&amp;DATE(2027,10,1),Report!$C:$C,"&lt;"&amp;DATE(2027,11,1))</f>
        <v>0</v>
      </c>
      <c r="Y26" s="15" t="n">
        <f aca="false">SUMIFS(Report!$U:$U,Report!$T:$T,$A26,Report!$C:$C,"&gt;="&amp;DATE(2027,11,1),Report!$C:$C,"&lt;"&amp;DATE(2027,12,1))</f>
        <v>0</v>
      </c>
      <c r="Z26" s="15" t="n">
        <f aca="false">SUMIFS(Report!$U:$U,Report!$T:$T,$A26,Report!$C:$C,"&gt;="&amp;DATE(2027,12,1),Report!$C:$C,"&lt;"&amp;DATE(2028,1,1))</f>
        <v>0</v>
      </c>
      <c r="AA26" s="15" t="n">
        <f aca="false">SUM(C26:Z26)</f>
        <v>15549.14</v>
      </c>
    </row>
    <row r="27" customFormat="false" ht="12.75" hidden="false" customHeight="true" outlineLevel="0" collapsed="false">
      <c r="A27" s="0" t="s">
        <v>379</v>
      </c>
      <c r="B27" s="0" t="str">
        <f aca="false">IFERROR(INDEX('Resumo Grupos'!$AC$3:$AC$200,MATCH($A27,'Resumo Grupos'!$AB$3:$AB$200,0)),"n/d")</f>
        <v>Despesa</v>
      </c>
      <c r="C27" s="15" t="n">
        <f aca="false">SUMIFS(Report!$U:$U,Report!$T:$T,$A27,Report!$C:$C,"&gt;="&amp;DATE(2026,1,1),Report!$C:$C,"&lt;"&amp;DATE(2026,2,1))</f>
        <v>0</v>
      </c>
      <c r="D27" s="15" t="n">
        <f aca="false">SUMIFS(Report!$U:$U,Report!$T:$T,$A27,Report!$C:$C,"&gt;="&amp;DATE(2026,2,1),Report!$C:$C,"&lt;"&amp;DATE(2026,3,1))</f>
        <v>0</v>
      </c>
      <c r="E27" s="15" t="n">
        <f aca="false">SUMIFS(Report!$U:$U,Report!$T:$T,$A27,Report!$C:$C,"&gt;="&amp;DATE(2026,3,1),Report!$C:$C,"&lt;"&amp;DATE(2026,4,1))</f>
        <v>0</v>
      </c>
      <c r="F27" s="15" t="n">
        <f aca="false">SUMIFS(Report!$U:$U,Report!$T:$T,$A27,Report!$C:$C,"&gt;="&amp;DATE(2026,4,1),Report!$C:$C,"&lt;"&amp;DATE(2026,5,1))</f>
        <v>0</v>
      </c>
      <c r="G27" s="15" t="n">
        <f aca="false">SUMIFS(Report!$U:$U,Report!$T:$T,$A27,Report!$C:$C,"&gt;="&amp;DATE(2026,5,1),Report!$C:$C,"&lt;"&amp;DATE(2026,6,1))</f>
        <v>0</v>
      </c>
      <c r="H27" s="15" t="n">
        <f aca="false">SUMIFS(Report!$U:$U,Report!$T:$T,$A27,Report!$C:$C,"&gt;="&amp;DATE(2026,6,1),Report!$C:$C,"&lt;"&amp;DATE(2026,7,1))</f>
        <v>2431.5</v>
      </c>
      <c r="I27" s="15" t="n">
        <f aca="false">SUMIFS(Report!$U:$U,Report!$T:$T,$A27,Report!$C:$C,"&gt;="&amp;DATE(2026,7,1),Report!$C:$C,"&lt;"&amp;DATE(2026,8,1))</f>
        <v>2431.5</v>
      </c>
      <c r="J27" s="15" t="n">
        <f aca="false">SUMIFS(Report!$U:$U,Report!$T:$T,$A27,Report!$C:$C,"&gt;="&amp;DATE(2026,8,1),Report!$C:$C,"&lt;"&amp;DATE(2026,9,1))</f>
        <v>2431.5</v>
      </c>
      <c r="K27" s="15" t="n">
        <f aca="false">SUMIFS(Report!$U:$U,Report!$T:$T,$A27,Report!$C:$C,"&gt;="&amp;DATE(2026,9,1),Report!$C:$C,"&lt;"&amp;DATE(2026,10,1))</f>
        <v>2431.5</v>
      </c>
      <c r="L27" s="15" t="n">
        <f aca="false">SUMIFS(Report!$U:$U,Report!$T:$T,$A27,Report!$C:$C,"&gt;="&amp;DATE(2026,10,1),Report!$C:$C,"&lt;"&amp;DATE(2026,11,1))</f>
        <v>2431.5</v>
      </c>
      <c r="M27" s="15" t="n">
        <f aca="false">SUMIFS(Report!$U:$U,Report!$T:$T,$A27,Report!$C:$C,"&gt;="&amp;DATE(2026,11,1),Report!$C:$C,"&lt;"&amp;DATE(2026,12,1))</f>
        <v>2431.5</v>
      </c>
      <c r="N27" s="15" t="n">
        <f aca="false">SUMIFS(Report!$U:$U,Report!$T:$T,$A27,Report!$C:$C,"&gt;="&amp;DATE(2026,12,1),Report!$C:$C,"&lt;"&amp;DATE(2027,1,1))</f>
        <v>2431.5</v>
      </c>
      <c r="O27" s="15" t="n">
        <f aca="false">SUMIFS(Report!$U:$U,Report!$T:$T,$A27,Report!$C:$C,"&gt;="&amp;DATE(2027,1,1),Report!$C:$C,"&lt;"&amp;DATE(2027,2,1))</f>
        <v>0</v>
      </c>
      <c r="P27" s="15" t="n">
        <f aca="false">SUMIFS(Report!$U:$U,Report!$T:$T,$A27,Report!$C:$C,"&gt;="&amp;DATE(2027,2,1),Report!$C:$C,"&lt;"&amp;DATE(2027,3,1))</f>
        <v>0</v>
      </c>
      <c r="Q27" s="15" t="n">
        <f aca="false">SUMIFS(Report!$U:$U,Report!$T:$T,$A27,Report!$C:$C,"&gt;="&amp;DATE(2027,3,1),Report!$C:$C,"&lt;"&amp;DATE(2027,4,1))</f>
        <v>0</v>
      </c>
      <c r="R27" s="15" t="n">
        <f aca="false">SUMIFS(Report!$U:$U,Report!$T:$T,$A27,Report!$C:$C,"&gt;="&amp;DATE(2027,4,1),Report!$C:$C,"&lt;"&amp;DATE(2027,5,1))</f>
        <v>0</v>
      </c>
      <c r="S27" s="15" t="n">
        <f aca="false">SUMIFS(Report!$U:$U,Report!$T:$T,$A27,Report!$C:$C,"&gt;="&amp;DATE(2027,5,1),Report!$C:$C,"&lt;"&amp;DATE(2027,6,1))</f>
        <v>0</v>
      </c>
      <c r="T27" s="15" t="n">
        <f aca="false">SUMIFS(Report!$U:$U,Report!$T:$T,$A27,Report!$C:$C,"&gt;="&amp;DATE(2027,6,1),Report!$C:$C,"&lt;"&amp;DATE(2027,7,1))</f>
        <v>0</v>
      </c>
      <c r="U27" s="15" t="n">
        <f aca="false">SUMIFS(Report!$U:$U,Report!$T:$T,$A27,Report!$C:$C,"&gt;="&amp;DATE(2027,7,1),Report!$C:$C,"&lt;"&amp;DATE(2027,8,1))</f>
        <v>0</v>
      </c>
      <c r="V27" s="15" t="n">
        <f aca="false">SUMIFS(Report!$U:$U,Report!$T:$T,$A27,Report!$C:$C,"&gt;="&amp;DATE(2027,8,1),Report!$C:$C,"&lt;"&amp;DATE(2027,9,1))</f>
        <v>0</v>
      </c>
      <c r="W27" s="15" t="n">
        <f aca="false">SUMIFS(Report!$U:$U,Report!$T:$T,$A27,Report!$C:$C,"&gt;="&amp;DATE(2027,9,1),Report!$C:$C,"&lt;"&amp;DATE(2027,10,1))</f>
        <v>0</v>
      </c>
      <c r="X27" s="15" t="n">
        <f aca="false">SUMIFS(Report!$U:$U,Report!$T:$T,$A27,Report!$C:$C,"&gt;="&amp;DATE(2027,10,1),Report!$C:$C,"&lt;"&amp;DATE(2027,11,1))</f>
        <v>0</v>
      </c>
      <c r="Y27" s="15" t="n">
        <f aca="false">SUMIFS(Report!$U:$U,Report!$T:$T,$A27,Report!$C:$C,"&gt;="&amp;DATE(2027,11,1),Report!$C:$C,"&lt;"&amp;DATE(2027,12,1))</f>
        <v>0</v>
      </c>
      <c r="Z27" s="15" t="n">
        <f aca="false">SUMIFS(Report!$U:$U,Report!$T:$T,$A27,Report!$C:$C,"&gt;="&amp;DATE(2027,12,1),Report!$C:$C,"&lt;"&amp;DATE(2028,1,1))</f>
        <v>0</v>
      </c>
      <c r="AA27" s="15" t="n">
        <f aca="false">SUM(C27:Z27)</f>
        <v>17020.5</v>
      </c>
    </row>
    <row r="28" customFormat="false" ht="12.75" hidden="false" customHeight="true" outlineLevel="0" collapsed="false">
      <c r="A28" s="0" t="s">
        <v>757</v>
      </c>
      <c r="B28" s="0" t="str">
        <f aca="false">IFERROR(INDEX('Resumo Grupos'!$AC$3:$AC$200,MATCH($A28,'Resumo Grupos'!$AB$3:$AB$200,0)),"n/d")</f>
        <v>Despesa</v>
      </c>
      <c r="C28" s="15" t="n">
        <f aca="false">SUMIFS(Report!$U:$U,Report!$T:$T,$A28,Report!$C:$C,"&gt;="&amp;DATE(2026,1,1),Report!$C:$C,"&lt;"&amp;DATE(2026,2,1))</f>
        <v>0</v>
      </c>
      <c r="D28" s="15" t="n">
        <f aca="false">SUMIFS(Report!$U:$U,Report!$T:$T,$A28,Report!$C:$C,"&gt;="&amp;DATE(2026,2,1),Report!$C:$C,"&lt;"&amp;DATE(2026,3,1))</f>
        <v>0</v>
      </c>
      <c r="E28" s="15" t="n">
        <f aca="false">SUMIFS(Report!$U:$U,Report!$T:$T,$A28,Report!$C:$C,"&gt;="&amp;DATE(2026,3,1),Report!$C:$C,"&lt;"&amp;DATE(2026,4,1))</f>
        <v>0</v>
      </c>
      <c r="F28" s="15" t="n">
        <f aca="false">SUMIFS(Report!$U:$U,Report!$T:$T,$A28,Report!$C:$C,"&gt;="&amp;DATE(2026,4,1),Report!$C:$C,"&lt;"&amp;DATE(2026,5,1))</f>
        <v>0</v>
      </c>
      <c r="G28" s="15" t="n">
        <f aca="false">SUMIFS(Report!$U:$U,Report!$T:$T,$A28,Report!$C:$C,"&gt;="&amp;DATE(2026,5,1),Report!$C:$C,"&lt;"&amp;DATE(2026,6,1))</f>
        <v>0</v>
      </c>
      <c r="H28" s="15" t="n">
        <f aca="false">SUMIFS(Report!$U:$U,Report!$T:$T,$A28,Report!$C:$C,"&gt;="&amp;DATE(2026,6,1),Report!$C:$C,"&lt;"&amp;DATE(2026,7,1))</f>
        <v>0</v>
      </c>
      <c r="I28" s="15" t="n">
        <f aca="false">SUMIFS(Report!$U:$U,Report!$T:$T,$A28,Report!$C:$C,"&gt;="&amp;DATE(2026,7,1),Report!$C:$C,"&lt;"&amp;DATE(2026,8,1))</f>
        <v>989.08</v>
      </c>
      <c r="J28" s="15" t="n">
        <f aca="false">SUMIFS(Report!$U:$U,Report!$T:$T,$A28,Report!$C:$C,"&gt;="&amp;DATE(2026,8,1),Report!$C:$C,"&lt;"&amp;DATE(2026,9,1))</f>
        <v>247.27</v>
      </c>
      <c r="K28" s="15" t="n">
        <f aca="false">SUMIFS(Report!$U:$U,Report!$T:$T,$A28,Report!$C:$C,"&gt;="&amp;DATE(2026,9,1),Report!$C:$C,"&lt;"&amp;DATE(2026,10,1))</f>
        <v>282.35</v>
      </c>
      <c r="L28" s="15" t="n">
        <f aca="false">SUMIFS(Report!$U:$U,Report!$T:$T,$A28,Report!$C:$C,"&gt;="&amp;DATE(2026,10,1),Report!$C:$C,"&lt;"&amp;DATE(2026,11,1))</f>
        <v>247.27</v>
      </c>
      <c r="M28" s="15" t="n">
        <f aca="false">SUMIFS(Report!$U:$U,Report!$T:$T,$A28,Report!$C:$C,"&gt;="&amp;DATE(2026,11,1),Report!$C:$C,"&lt;"&amp;DATE(2026,12,1))</f>
        <v>247.27</v>
      </c>
      <c r="N28" s="15" t="n">
        <f aca="false">SUMIFS(Report!$U:$U,Report!$T:$T,$A28,Report!$C:$C,"&gt;="&amp;DATE(2026,12,1),Report!$C:$C,"&lt;"&amp;DATE(2027,1,1))</f>
        <v>247.27</v>
      </c>
      <c r="O28" s="15" t="n">
        <f aca="false">SUMIFS(Report!$U:$U,Report!$T:$T,$A28,Report!$C:$C,"&gt;="&amp;DATE(2027,1,1),Report!$C:$C,"&lt;"&amp;DATE(2027,2,1))</f>
        <v>0</v>
      </c>
      <c r="P28" s="15" t="n">
        <f aca="false">SUMIFS(Report!$U:$U,Report!$T:$T,$A28,Report!$C:$C,"&gt;="&amp;DATE(2027,2,1),Report!$C:$C,"&lt;"&amp;DATE(2027,3,1))</f>
        <v>0</v>
      </c>
      <c r="Q28" s="15" t="n">
        <f aca="false">SUMIFS(Report!$U:$U,Report!$T:$T,$A28,Report!$C:$C,"&gt;="&amp;DATE(2027,3,1),Report!$C:$C,"&lt;"&amp;DATE(2027,4,1))</f>
        <v>0</v>
      </c>
      <c r="R28" s="15" t="n">
        <f aca="false">SUMIFS(Report!$U:$U,Report!$T:$T,$A28,Report!$C:$C,"&gt;="&amp;DATE(2027,4,1),Report!$C:$C,"&lt;"&amp;DATE(2027,5,1))</f>
        <v>0</v>
      </c>
      <c r="S28" s="15" t="n">
        <f aca="false">SUMIFS(Report!$U:$U,Report!$T:$T,$A28,Report!$C:$C,"&gt;="&amp;DATE(2027,5,1),Report!$C:$C,"&lt;"&amp;DATE(2027,6,1))</f>
        <v>0</v>
      </c>
      <c r="T28" s="15" t="n">
        <f aca="false">SUMIFS(Report!$U:$U,Report!$T:$T,$A28,Report!$C:$C,"&gt;="&amp;DATE(2027,6,1),Report!$C:$C,"&lt;"&amp;DATE(2027,7,1))</f>
        <v>0</v>
      </c>
      <c r="U28" s="15" t="n">
        <f aca="false">SUMIFS(Report!$U:$U,Report!$T:$T,$A28,Report!$C:$C,"&gt;="&amp;DATE(2027,7,1),Report!$C:$C,"&lt;"&amp;DATE(2027,8,1))</f>
        <v>0</v>
      </c>
      <c r="V28" s="15" t="n">
        <f aca="false">SUMIFS(Report!$U:$U,Report!$T:$T,$A28,Report!$C:$C,"&gt;="&amp;DATE(2027,8,1),Report!$C:$C,"&lt;"&amp;DATE(2027,9,1))</f>
        <v>0</v>
      </c>
      <c r="W28" s="15" t="n">
        <f aca="false">SUMIFS(Report!$U:$U,Report!$T:$T,$A28,Report!$C:$C,"&gt;="&amp;DATE(2027,9,1),Report!$C:$C,"&lt;"&amp;DATE(2027,10,1))</f>
        <v>0</v>
      </c>
      <c r="X28" s="15" t="n">
        <f aca="false">SUMIFS(Report!$U:$U,Report!$T:$T,$A28,Report!$C:$C,"&gt;="&amp;DATE(2027,10,1),Report!$C:$C,"&lt;"&amp;DATE(2027,11,1))</f>
        <v>0</v>
      </c>
      <c r="Y28" s="15" t="n">
        <f aca="false">SUMIFS(Report!$U:$U,Report!$T:$T,$A28,Report!$C:$C,"&gt;="&amp;DATE(2027,11,1),Report!$C:$C,"&lt;"&amp;DATE(2027,12,1))</f>
        <v>0</v>
      </c>
      <c r="Z28" s="15" t="n">
        <f aca="false">SUMIFS(Report!$U:$U,Report!$T:$T,$A28,Report!$C:$C,"&gt;="&amp;DATE(2027,12,1),Report!$C:$C,"&lt;"&amp;DATE(2028,1,1))</f>
        <v>0</v>
      </c>
      <c r="AA28" s="15" t="n">
        <f aca="false">SUM(C28:Z28)</f>
        <v>2260.51</v>
      </c>
    </row>
    <row r="29" customFormat="false" ht="12.75" hidden="false" customHeight="true" outlineLevel="0" collapsed="false">
      <c r="A29" s="0" t="s">
        <v>113</v>
      </c>
      <c r="B29" s="0" t="str">
        <f aca="false">IFERROR(INDEX('Resumo Grupos'!$AC$3:$AC$200,MATCH($A29,'Resumo Grupos'!$AB$3:$AB$200,0)),"n/d")</f>
        <v>Despesa</v>
      </c>
      <c r="C29" s="15" t="n">
        <f aca="false">SUMIFS(Report!$U:$U,Report!$T:$T,$A29,Report!$C:$C,"&gt;="&amp;DATE(2026,1,1),Report!$C:$C,"&lt;"&amp;DATE(2026,2,1))</f>
        <v>0</v>
      </c>
      <c r="D29" s="15" t="n">
        <f aca="false">SUMIFS(Report!$U:$U,Report!$T:$T,$A29,Report!$C:$C,"&gt;="&amp;DATE(2026,2,1),Report!$C:$C,"&lt;"&amp;DATE(2026,3,1))</f>
        <v>0</v>
      </c>
      <c r="E29" s="15" t="n">
        <f aca="false">SUMIFS(Report!$U:$U,Report!$T:$T,$A29,Report!$C:$C,"&gt;="&amp;DATE(2026,3,1),Report!$C:$C,"&lt;"&amp;DATE(2026,4,1))</f>
        <v>0</v>
      </c>
      <c r="F29" s="15" t="n">
        <f aca="false">SUMIFS(Report!$U:$U,Report!$T:$T,$A29,Report!$C:$C,"&gt;="&amp;DATE(2026,4,1),Report!$C:$C,"&lt;"&amp;DATE(2026,5,1))</f>
        <v>0</v>
      </c>
      <c r="G29" s="15" t="n">
        <f aca="false">SUMIFS(Report!$U:$U,Report!$T:$T,$A29,Report!$C:$C,"&gt;="&amp;DATE(2026,5,1),Report!$C:$C,"&lt;"&amp;DATE(2026,6,1))</f>
        <v>0</v>
      </c>
      <c r="H29" s="15" t="n">
        <f aca="false">SUMIFS(Report!$U:$U,Report!$T:$T,$A29,Report!$C:$C,"&gt;="&amp;DATE(2026,6,1),Report!$C:$C,"&lt;"&amp;DATE(2026,7,1))</f>
        <v>2120</v>
      </c>
      <c r="I29" s="15" t="n">
        <f aca="false">SUMIFS(Report!$U:$U,Report!$T:$T,$A29,Report!$C:$C,"&gt;="&amp;DATE(2026,7,1),Report!$C:$C,"&lt;"&amp;DATE(2026,8,1))</f>
        <v>3250</v>
      </c>
      <c r="J29" s="15" t="n">
        <f aca="false">SUMIFS(Report!$U:$U,Report!$T:$T,$A29,Report!$C:$C,"&gt;="&amp;DATE(2026,8,1),Report!$C:$C,"&lt;"&amp;DATE(2026,9,1))</f>
        <v>3660</v>
      </c>
      <c r="K29" s="15" t="n">
        <f aca="false">SUMIFS(Report!$U:$U,Report!$T:$T,$A29,Report!$C:$C,"&gt;="&amp;DATE(2026,9,1),Report!$C:$C,"&lt;"&amp;DATE(2026,10,1))</f>
        <v>4250</v>
      </c>
      <c r="L29" s="15" t="n">
        <f aca="false">SUMIFS(Report!$U:$U,Report!$T:$T,$A29,Report!$C:$C,"&gt;="&amp;DATE(2026,10,1),Report!$C:$C,"&lt;"&amp;DATE(2026,11,1))</f>
        <v>840</v>
      </c>
      <c r="M29" s="15" t="n">
        <f aca="false">SUMIFS(Report!$U:$U,Report!$T:$T,$A29,Report!$C:$C,"&gt;="&amp;DATE(2026,11,1),Report!$C:$C,"&lt;"&amp;DATE(2026,12,1))</f>
        <v>0</v>
      </c>
      <c r="N29" s="15" t="n">
        <f aca="false">SUMIFS(Report!$U:$U,Report!$T:$T,$A29,Report!$C:$C,"&gt;="&amp;DATE(2026,12,1),Report!$C:$C,"&lt;"&amp;DATE(2027,1,1))</f>
        <v>0</v>
      </c>
      <c r="O29" s="15" t="n">
        <f aca="false">SUMIFS(Report!$U:$U,Report!$T:$T,$A29,Report!$C:$C,"&gt;="&amp;DATE(2027,1,1),Report!$C:$C,"&lt;"&amp;DATE(2027,2,1))</f>
        <v>0</v>
      </c>
      <c r="P29" s="15" t="n">
        <f aca="false">SUMIFS(Report!$U:$U,Report!$T:$T,$A29,Report!$C:$C,"&gt;="&amp;DATE(2027,2,1),Report!$C:$C,"&lt;"&amp;DATE(2027,3,1))</f>
        <v>0</v>
      </c>
      <c r="Q29" s="15" t="n">
        <f aca="false">SUMIFS(Report!$U:$U,Report!$T:$T,$A29,Report!$C:$C,"&gt;="&amp;DATE(2027,3,1),Report!$C:$C,"&lt;"&amp;DATE(2027,4,1))</f>
        <v>0</v>
      </c>
      <c r="R29" s="15" t="n">
        <f aca="false">SUMIFS(Report!$U:$U,Report!$T:$T,$A29,Report!$C:$C,"&gt;="&amp;DATE(2027,4,1),Report!$C:$C,"&lt;"&amp;DATE(2027,5,1))</f>
        <v>0</v>
      </c>
      <c r="S29" s="15" t="n">
        <f aca="false">SUMIFS(Report!$U:$U,Report!$T:$T,$A29,Report!$C:$C,"&gt;="&amp;DATE(2027,5,1),Report!$C:$C,"&lt;"&amp;DATE(2027,6,1))</f>
        <v>0</v>
      </c>
      <c r="T29" s="15" t="n">
        <f aca="false">SUMIFS(Report!$U:$U,Report!$T:$T,$A29,Report!$C:$C,"&gt;="&amp;DATE(2027,6,1),Report!$C:$C,"&lt;"&amp;DATE(2027,7,1))</f>
        <v>0</v>
      </c>
      <c r="U29" s="15" t="n">
        <f aca="false">SUMIFS(Report!$U:$U,Report!$T:$T,$A29,Report!$C:$C,"&gt;="&amp;DATE(2027,7,1),Report!$C:$C,"&lt;"&amp;DATE(2027,8,1))</f>
        <v>0</v>
      </c>
      <c r="V29" s="15" t="n">
        <f aca="false">SUMIFS(Report!$U:$U,Report!$T:$T,$A29,Report!$C:$C,"&gt;="&amp;DATE(2027,8,1),Report!$C:$C,"&lt;"&amp;DATE(2027,9,1))</f>
        <v>0</v>
      </c>
      <c r="W29" s="15" t="n">
        <f aca="false">SUMIFS(Report!$U:$U,Report!$T:$T,$A29,Report!$C:$C,"&gt;="&amp;DATE(2027,9,1),Report!$C:$C,"&lt;"&amp;DATE(2027,10,1))</f>
        <v>0</v>
      </c>
      <c r="X29" s="15" t="n">
        <f aca="false">SUMIFS(Report!$U:$U,Report!$T:$T,$A29,Report!$C:$C,"&gt;="&amp;DATE(2027,10,1),Report!$C:$C,"&lt;"&amp;DATE(2027,11,1))</f>
        <v>0</v>
      </c>
      <c r="Y29" s="15" t="n">
        <f aca="false">SUMIFS(Report!$U:$U,Report!$T:$T,$A29,Report!$C:$C,"&gt;="&amp;DATE(2027,11,1),Report!$C:$C,"&lt;"&amp;DATE(2027,12,1))</f>
        <v>0</v>
      </c>
      <c r="Z29" s="15" t="n">
        <f aca="false">SUMIFS(Report!$U:$U,Report!$T:$T,$A29,Report!$C:$C,"&gt;="&amp;DATE(2027,12,1),Report!$C:$C,"&lt;"&amp;DATE(2028,1,1))</f>
        <v>0</v>
      </c>
      <c r="AA29" s="15" t="n">
        <f aca="false">SUM(C29:Z29)</f>
        <v>14120</v>
      </c>
    </row>
    <row r="30" customFormat="false" ht="12.75" hidden="false" customHeight="true" outlineLevel="0" collapsed="false">
      <c r="A30" s="0" t="s">
        <v>2030</v>
      </c>
      <c r="B30" s="0" t="str">
        <f aca="false">IFERROR(INDEX('Resumo Grupos'!$AC$3:$AC$200,MATCH($A30,'Resumo Grupos'!$AB$3:$AB$200,0)),"n/d")</f>
        <v>Impostos</v>
      </c>
      <c r="C30" s="15" t="n">
        <f aca="false">SUMIFS(Report!$U:$U,Report!$T:$T,$A30,Report!$C:$C,"&gt;="&amp;DATE(2026,1,1),Report!$C:$C,"&lt;"&amp;DATE(2026,2,1))</f>
        <v>0</v>
      </c>
      <c r="D30" s="15" t="n">
        <f aca="false">SUMIFS(Report!$U:$U,Report!$T:$T,$A30,Report!$C:$C,"&gt;="&amp;DATE(2026,2,1),Report!$C:$C,"&lt;"&amp;DATE(2026,3,1))</f>
        <v>0</v>
      </c>
      <c r="E30" s="15" t="n">
        <f aca="false">SUMIFS(Report!$U:$U,Report!$T:$T,$A30,Report!$C:$C,"&gt;="&amp;DATE(2026,3,1),Report!$C:$C,"&lt;"&amp;DATE(2026,4,1))</f>
        <v>0</v>
      </c>
      <c r="F30" s="15" t="n">
        <f aca="false">SUMIFS(Report!$U:$U,Report!$T:$T,$A30,Report!$C:$C,"&gt;="&amp;DATE(2026,4,1),Report!$C:$C,"&lt;"&amp;DATE(2026,5,1))</f>
        <v>0</v>
      </c>
      <c r="G30" s="15" t="n">
        <f aca="false">SUMIFS(Report!$U:$U,Report!$T:$T,$A30,Report!$C:$C,"&gt;="&amp;DATE(2026,5,1),Report!$C:$C,"&lt;"&amp;DATE(2026,6,1))</f>
        <v>0</v>
      </c>
      <c r="H30" s="15" t="n">
        <f aca="false">SUMIFS(Report!$U:$U,Report!$T:$T,$A30,Report!$C:$C,"&gt;="&amp;DATE(2026,6,1),Report!$C:$C,"&lt;"&amp;DATE(2026,7,1))</f>
        <v>0</v>
      </c>
      <c r="I30" s="15" t="n">
        <f aca="false">SUMIFS(Report!$U:$U,Report!$T:$T,$A30,Report!$C:$C,"&gt;="&amp;DATE(2026,7,1),Report!$C:$C,"&lt;"&amp;DATE(2026,8,1))</f>
        <v>0</v>
      </c>
      <c r="J30" s="15" t="n">
        <f aca="false">SUMIFS(Report!$U:$U,Report!$T:$T,$A30,Report!$C:$C,"&gt;="&amp;DATE(2026,8,1),Report!$C:$C,"&lt;"&amp;DATE(2026,9,1))</f>
        <v>0</v>
      </c>
      <c r="K30" s="15" t="n">
        <f aca="false">SUMIFS(Report!$U:$U,Report!$T:$T,$A30,Report!$C:$C,"&gt;="&amp;DATE(2026,9,1),Report!$C:$C,"&lt;"&amp;DATE(2026,10,1))</f>
        <v>0</v>
      </c>
      <c r="L30" s="15" t="n">
        <f aca="false">SUMIFS(Report!$U:$U,Report!$T:$T,$A30,Report!$C:$C,"&gt;="&amp;DATE(2026,10,1),Report!$C:$C,"&lt;"&amp;DATE(2026,11,1))</f>
        <v>5073.69</v>
      </c>
      <c r="M30" s="15" t="n">
        <f aca="false">SUMIFS(Report!$U:$U,Report!$T:$T,$A30,Report!$C:$C,"&gt;="&amp;DATE(2026,11,1),Report!$C:$C,"&lt;"&amp;DATE(2026,12,1))</f>
        <v>0</v>
      </c>
      <c r="N30" s="15" t="n">
        <f aca="false">SUMIFS(Report!$U:$U,Report!$T:$T,$A30,Report!$C:$C,"&gt;="&amp;DATE(2026,12,1),Report!$C:$C,"&lt;"&amp;DATE(2027,1,1))</f>
        <v>0</v>
      </c>
      <c r="O30" s="15" t="n">
        <f aca="false">SUMIFS(Report!$U:$U,Report!$T:$T,$A30,Report!$C:$C,"&gt;="&amp;DATE(2027,1,1),Report!$C:$C,"&lt;"&amp;DATE(2027,2,1))</f>
        <v>0</v>
      </c>
      <c r="P30" s="15" t="n">
        <f aca="false">SUMIFS(Report!$U:$U,Report!$T:$T,$A30,Report!$C:$C,"&gt;="&amp;DATE(2027,2,1),Report!$C:$C,"&lt;"&amp;DATE(2027,3,1))</f>
        <v>0</v>
      </c>
      <c r="Q30" s="15" t="n">
        <f aca="false">SUMIFS(Report!$U:$U,Report!$T:$T,$A30,Report!$C:$C,"&gt;="&amp;DATE(2027,3,1),Report!$C:$C,"&lt;"&amp;DATE(2027,4,1))</f>
        <v>0</v>
      </c>
      <c r="R30" s="15" t="n">
        <f aca="false">SUMIFS(Report!$U:$U,Report!$T:$T,$A30,Report!$C:$C,"&gt;="&amp;DATE(2027,4,1),Report!$C:$C,"&lt;"&amp;DATE(2027,5,1))</f>
        <v>0</v>
      </c>
      <c r="S30" s="15" t="n">
        <f aca="false">SUMIFS(Report!$U:$U,Report!$T:$T,$A30,Report!$C:$C,"&gt;="&amp;DATE(2027,5,1),Report!$C:$C,"&lt;"&amp;DATE(2027,6,1))</f>
        <v>0</v>
      </c>
      <c r="T30" s="15" t="n">
        <f aca="false">SUMIFS(Report!$U:$U,Report!$T:$T,$A30,Report!$C:$C,"&gt;="&amp;DATE(2027,6,1),Report!$C:$C,"&lt;"&amp;DATE(2027,7,1))</f>
        <v>0</v>
      </c>
      <c r="U30" s="15" t="n">
        <f aca="false">SUMIFS(Report!$U:$U,Report!$T:$T,$A30,Report!$C:$C,"&gt;="&amp;DATE(2027,7,1),Report!$C:$C,"&lt;"&amp;DATE(2027,8,1))</f>
        <v>0</v>
      </c>
      <c r="V30" s="15" t="n">
        <f aca="false">SUMIFS(Report!$U:$U,Report!$T:$T,$A30,Report!$C:$C,"&gt;="&amp;DATE(2027,8,1),Report!$C:$C,"&lt;"&amp;DATE(2027,9,1))</f>
        <v>0</v>
      </c>
      <c r="W30" s="15" t="n">
        <f aca="false">SUMIFS(Report!$U:$U,Report!$T:$T,$A30,Report!$C:$C,"&gt;="&amp;DATE(2027,9,1),Report!$C:$C,"&lt;"&amp;DATE(2027,10,1))</f>
        <v>0</v>
      </c>
      <c r="X30" s="15" t="n">
        <f aca="false">SUMIFS(Report!$U:$U,Report!$T:$T,$A30,Report!$C:$C,"&gt;="&amp;DATE(2027,10,1),Report!$C:$C,"&lt;"&amp;DATE(2027,11,1))</f>
        <v>0</v>
      </c>
      <c r="Y30" s="15" t="n">
        <f aca="false">SUMIFS(Report!$U:$U,Report!$T:$T,$A30,Report!$C:$C,"&gt;="&amp;DATE(2027,11,1),Report!$C:$C,"&lt;"&amp;DATE(2027,12,1))</f>
        <v>0</v>
      </c>
      <c r="Z30" s="15" t="n">
        <f aca="false">SUMIFS(Report!$U:$U,Report!$T:$T,$A30,Report!$C:$C,"&gt;="&amp;DATE(2027,12,1),Report!$C:$C,"&lt;"&amp;DATE(2028,1,1))</f>
        <v>0</v>
      </c>
      <c r="AA30" s="15" t="n">
        <f aca="false">SUM(C30:Z30)</f>
        <v>5073.69</v>
      </c>
    </row>
    <row r="31" customFormat="false" ht="12.75" hidden="false" customHeight="true" outlineLevel="0" collapsed="false">
      <c r="A31" s="0" t="s">
        <v>771</v>
      </c>
      <c r="B31" s="0" t="str">
        <f aca="false">IFERROR(INDEX('Resumo Grupos'!$AC$3:$AC$200,MATCH($A31,'Resumo Grupos'!$AB$3:$AB$200,0)),"n/d")</f>
        <v>Despesa</v>
      </c>
      <c r="C31" s="15" t="n">
        <f aca="false">SUMIFS(Report!$U:$U,Report!$T:$T,$A31,Report!$C:$C,"&gt;="&amp;DATE(2026,1,1),Report!$C:$C,"&lt;"&amp;DATE(2026,2,1))</f>
        <v>0</v>
      </c>
      <c r="D31" s="15" t="n">
        <f aca="false">SUMIFS(Report!$U:$U,Report!$T:$T,$A31,Report!$C:$C,"&gt;="&amp;DATE(2026,2,1),Report!$C:$C,"&lt;"&amp;DATE(2026,3,1))</f>
        <v>0</v>
      </c>
      <c r="E31" s="15" t="n">
        <f aca="false">SUMIFS(Report!$U:$U,Report!$T:$T,$A31,Report!$C:$C,"&gt;="&amp;DATE(2026,3,1),Report!$C:$C,"&lt;"&amp;DATE(2026,4,1))</f>
        <v>0</v>
      </c>
      <c r="F31" s="15" t="n">
        <f aca="false">SUMIFS(Report!$U:$U,Report!$T:$T,$A31,Report!$C:$C,"&gt;="&amp;DATE(2026,4,1),Report!$C:$C,"&lt;"&amp;DATE(2026,5,1))</f>
        <v>0</v>
      </c>
      <c r="G31" s="15" t="n">
        <f aca="false">SUMIFS(Report!$U:$U,Report!$T:$T,$A31,Report!$C:$C,"&gt;="&amp;DATE(2026,5,1),Report!$C:$C,"&lt;"&amp;DATE(2026,6,1))</f>
        <v>0</v>
      </c>
      <c r="H31" s="15" t="n">
        <f aca="false">SUMIFS(Report!$U:$U,Report!$T:$T,$A31,Report!$C:$C,"&gt;="&amp;DATE(2026,6,1),Report!$C:$C,"&lt;"&amp;DATE(2026,7,1))</f>
        <v>0</v>
      </c>
      <c r="I31" s="15" t="n">
        <f aca="false">SUMIFS(Report!$U:$U,Report!$T:$T,$A31,Report!$C:$C,"&gt;="&amp;DATE(2026,7,1),Report!$C:$C,"&lt;"&amp;DATE(2026,8,1))</f>
        <v>573.02</v>
      </c>
      <c r="J31" s="15" t="n">
        <f aca="false">SUMIFS(Report!$U:$U,Report!$T:$T,$A31,Report!$C:$C,"&gt;="&amp;DATE(2026,8,1),Report!$C:$C,"&lt;"&amp;DATE(2026,9,1))</f>
        <v>0</v>
      </c>
      <c r="K31" s="15" t="n">
        <f aca="false">SUMIFS(Report!$U:$U,Report!$T:$T,$A31,Report!$C:$C,"&gt;="&amp;DATE(2026,9,1),Report!$C:$C,"&lt;"&amp;DATE(2026,10,1))</f>
        <v>0</v>
      </c>
      <c r="L31" s="15" t="n">
        <f aca="false">SUMIFS(Report!$U:$U,Report!$T:$T,$A31,Report!$C:$C,"&gt;="&amp;DATE(2026,10,1),Report!$C:$C,"&lt;"&amp;DATE(2026,11,1))</f>
        <v>0</v>
      </c>
      <c r="M31" s="15" t="n">
        <f aca="false">SUMIFS(Report!$U:$U,Report!$T:$T,$A31,Report!$C:$C,"&gt;="&amp;DATE(2026,11,1),Report!$C:$C,"&lt;"&amp;DATE(2026,12,1))</f>
        <v>0</v>
      </c>
      <c r="N31" s="15" t="n">
        <f aca="false">SUMIFS(Report!$U:$U,Report!$T:$T,$A31,Report!$C:$C,"&gt;="&amp;DATE(2026,12,1),Report!$C:$C,"&lt;"&amp;DATE(2027,1,1))</f>
        <v>0</v>
      </c>
      <c r="O31" s="15" t="n">
        <f aca="false">SUMIFS(Report!$U:$U,Report!$T:$T,$A31,Report!$C:$C,"&gt;="&amp;DATE(2027,1,1),Report!$C:$C,"&lt;"&amp;DATE(2027,2,1))</f>
        <v>0</v>
      </c>
      <c r="P31" s="15" t="n">
        <f aca="false">SUMIFS(Report!$U:$U,Report!$T:$T,$A31,Report!$C:$C,"&gt;="&amp;DATE(2027,2,1),Report!$C:$C,"&lt;"&amp;DATE(2027,3,1))</f>
        <v>0</v>
      </c>
      <c r="Q31" s="15" t="n">
        <f aca="false">SUMIFS(Report!$U:$U,Report!$T:$T,$A31,Report!$C:$C,"&gt;="&amp;DATE(2027,3,1),Report!$C:$C,"&lt;"&amp;DATE(2027,4,1))</f>
        <v>0</v>
      </c>
      <c r="R31" s="15" t="n">
        <f aca="false">SUMIFS(Report!$U:$U,Report!$T:$T,$A31,Report!$C:$C,"&gt;="&amp;DATE(2027,4,1),Report!$C:$C,"&lt;"&amp;DATE(2027,5,1))</f>
        <v>0</v>
      </c>
      <c r="S31" s="15" t="n">
        <f aca="false">SUMIFS(Report!$U:$U,Report!$T:$T,$A31,Report!$C:$C,"&gt;="&amp;DATE(2027,5,1),Report!$C:$C,"&lt;"&amp;DATE(2027,6,1))</f>
        <v>0</v>
      </c>
      <c r="T31" s="15" t="n">
        <f aca="false">SUMIFS(Report!$U:$U,Report!$T:$T,$A31,Report!$C:$C,"&gt;="&amp;DATE(2027,6,1),Report!$C:$C,"&lt;"&amp;DATE(2027,7,1))</f>
        <v>0</v>
      </c>
      <c r="U31" s="15" t="n">
        <f aca="false">SUMIFS(Report!$U:$U,Report!$T:$T,$A31,Report!$C:$C,"&gt;="&amp;DATE(2027,7,1),Report!$C:$C,"&lt;"&amp;DATE(2027,8,1))</f>
        <v>0</v>
      </c>
      <c r="V31" s="15" t="n">
        <f aca="false">SUMIFS(Report!$U:$U,Report!$T:$T,$A31,Report!$C:$C,"&gt;="&amp;DATE(2027,8,1),Report!$C:$C,"&lt;"&amp;DATE(2027,9,1))</f>
        <v>0</v>
      </c>
      <c r="W31" s="15" t="n">
        <f aca="false">SUMIFS(Report!$U:$U,Report!$T:$T,$A31,Report!$C:$C,"&gt;="&amp;DATE(2027,9,1),Report!$C:$C,"&lt;"&amp;DATE(2027,10,1))</f>
        <v>0</v>
      </c>
      <c r="X31" s="15" t="n">
        <f aca="false">SUMIFS(Report!$U:$U,Report!$T:$T,$A31,Report!$C:$C,"&gt;="&amp;DATE(2027,10,1),Report!$C:$C,"&lt;"&amp;DATE(2027,11,1))</f>
        <v>0</v>
      </c>
      <c r="Y31" s="15" t="n">
        <f aca="false">SUMIFS(Report!$U:$U,Report!$T:$T,$A31,Report!$C:$C,"&gt;="&amp;DATE(2027,11,1),Report!$C:$C,"&lt;"&amp;DATE(2027,12,1))</f>
        <v>0</v>
      </c>
      <c r="Z31" s="15" t="n">
        <f aca="false">SUMIFS(Report!$U:$U,Report!$T:$T,$A31,Report!$C:$C,"&gt;="&amp;DATE(2027,12,1),Report!$C:$C,"&lt;"&amp;DATE(2028,1,1))</f>
        <v>0</v>
      </c>
      <c r="AA31" s="15" t="n">
        <f aca="false">SUM(C31:Z31)</f>
        <v>573.02</v>
      </c>
    </row>
    <row r="32" customFormat="false" ht="12.75" hidden="false" customHeight="true" outlineLevel="0" collapsed="false">
      <c r="A32" s="0" t="s">
        <v>483</v>
      </c>
      <c r="B32" s="0" t="str">
        <f aca="false">IFERROR(INDEX('Resumo Grupos'!$AC$3:$AC$200,MATCH($A32,'Resumo Grupos'!$AB$3:$AB$200,0)),"n/d")</f>
        <v>Impostos</v>
      </c>
      <c r="C32" s="15" t="n">
        <f aca="false">SUMIFS(Report!$U:$U,Report!$T:$T,$A32,Report!$C:$C,"&gt;="&amp;DATE(2026,1,1),Report!$C:$C,"&lt;"&amp;DATE(2026,2,1))</f>
        <v>0</v>
      </c>
      <c r="D32" s="15" t="n">
        <f aca="false">SUMIFS(Report!$U:$U,Report!$T:$T,$A32,Report!$C:$C,"&gt;="&amp;DATE(2026,2,1),Report!$C:$C,"&lt;"&amp;DATE(2026,3,1))</f>
        <v>0</v>
      </c>
      <c r="E32" s="15" t="n">
        <f aca="false">SUMIFS(Report!$U:$U,Report!$T:$T,$A32,Report!$C:$C,"&gt;="&amp;DATE(2026,3,1),Report!$C:$C,"&lt;"&amp;DATE(2026,4,1))</f>
        <v>0</v>
      </c>
      <c r="F32" s="15" t="n">
        <f aca="false">SUMIFS(Report!$U:$U,Report!$T:$T,$A32,Report!$C:$C,"&gt;="&amp;DATE(2026,4,1),Report!$C:$C,"&lt;"&amp;DATE(2026,5,1))</f>
        <v>0</v>
      </c>
      <c r="G32" s="15" t="n">
        <f aca="false">SUMIFS(Report!$U:$U,Report!$T:$T,$A32,Report!$C:$C,"&gt;="&amp;DATE(2026,5,1),Report!$C:$C,"&lt;"&amp;DATE(2026,6,1))</f>
        <v>0</v>
      </c>
      <c r="H32" s="15" t="n">
        <f aca="false">SUMIFS(Report!$U:$U,Report!$T:$T,$A32,Report!$C:$C,"&gt;="&amp;DATE(2026,6,1),Report!$C:$C,"&lt;"&amp;DATE(2026,7,1))</f>
        <v>1402.37</v>
      </c>
      <c r="I32" s="15" t="n">
        <f aca="false">SUMIFS(Report!$U:$U,Report!$T:$T,$A32,Report!$C:$C,"&gt;="&amp;DATE(2026,7,1),Report!$C:$C,"&lt;"&amp;DATE(2026,8,1))</f>
        <v>1128.04</v>
      </c>
      <c r="J32" s="15" t="n">
        <f aca="false">SUMIFS(Report!$U:$U,Report!$T:$T,$A32,Report!$C:$C,"&gt;="&amp;DATE(2026,8,1),Report!$C:$C,"&lt;"&amp;DATE(2026,9,1))</f>
        <v>1097.42</v>
      </c>
      <c r="K32" s="15" t="n">
        <f aca="false">SUMIFS(Report!$U:$U,Report!$T:$T,$A32,Report!$C:$C,"&gt;="&amp;DATE(2026,9,1),Report!$C:$C,"&lt;"&amp;DATE(2026,10,1))</f>
        <v>1175.04</v>
      </c>
      <c r="L32" s="15" t="n">
        <f aca="false">SUMIFS(Report!$U:$U,Report!$T:$T,$A32,Report!$C:$C,"&gt;="&amp;DATE(2026,10,1),Report!$C:$C,"&lt;"&amp;DATE(2026,11,1))</f>
        <v>0</v>
      </c>
      <c r="M32" s="15" t="n">
        <f aca="false">SUMIFS(Report!$U:$U,Report!$T:$T,$A32,Report!$C:$C,"&gt;="&amp;DATE(2026,11,1),Report!$C:$C,"&lt;"&amp;DATE(2026,12,1))</f>
        <v>0</v>
      </c>
      <c r="N32" s="15" t="n">
        <f aca="false">SUMIFS(Report!$U:$U,Report!$T:$T,$A32,Report!$C:$C,"&gt;="&amp;DATE(2026,12,1),Report!$C:$C,"&lt;"&amp;DATE(2027,1,1))</f>
        <v>0</v>
      </c>
      <c r="O32" s="15" t="n">
        <f aca="false">SUMIFS(Report!$U:$U,Report!$T:$T,$A32,Report!$C:$C,"&gt;="&amp;DATE(2027,1,1),Report!$C:$C,"&lt;"&amp;DATE(2027,2,1))</f>
        <v>0</v>
      </c>
      <c r="P32" s="15" t="n">
        <f aca="false">SUMIFS(Report!$U:$U,Report!$T:$T,$A32,Report!$C:$C,"&gt;="&amp;DATE(2027,2,1),Report!$C:$C,"&lt;"&amp;DATE(2027,3,1))</f>
        <v>0</v>
      </c>
      <c r="Q32" s="15" t="n">
        <f aca="false">SUMIFS(Report!$U:$U,Report!$T:$T,$A32,Report!$C:$C,"&gt;="&amp;DATE(2027,3,1),Report!$C:$C,"&lt;"&amp;DATE(2027,4,1))</f>
        <v>0</v>
      </c>
      <c r="R32" s="15" t="n">
        <f aca="false">SUMIFS(Report!$U:$U,Report!$T:$T,$A32,Report!$C:$C,"&gt;="&amp;DATE(2027,4,1),Report!$C:$C,"&lt;"&amp;DATE(2027,5,1))</f>
        <v>0</v>
      </c>
      <c r="S32" s="15" t="n">
        <f aca="false">SUMIFS(Report!$U:$U,Report!$T:$T,$A32,Report!$C:$C,"&gt;="&amp;DATE(2027,5,1),Report!$C:$C,"&lt;"&amp;DATE(2027,6,1))</f>
        <v>0</v>
      </c>
      <c r="T32" s="15" t="n">
        <f aca="false">SUMIFS(Report!$U:$U,Report!$T:$T,$A32,Report!$C:$C,"&gt;="&amp;DATE(2027,6,1),Report!$C:$C,"&lt;"&amp;DATE(2027,7,1))</f>
        <v>0</v>
      </c>
      <c r="U32" s="15" t="n">
        <f aca="false">SUMIFS(Report!$U:$U,Report!$T:$T,$A32,Report!$C:$C,"&gt;="&amp;DATE(2027,7,1),Report!$C:$C,"&lt;"&amp;DATE(2027,8,1))</f>
        <v>0</v>
      </c>
      <c r="V32" s="15" t="n">
        <f aca="false">SUMIFS(Report!$U:$U,Report!$T:$T,$A32,Report!$C:$C,"&gt;="&amp;DATE(2027,8,1),Report!$C:$C,"&lt;"&amp;DATE(2027,9,1))</f>
        <v>0</v>
      </c>
      <c r="W32" s="15" t="n">
        <f aca="false">SUMIFS(Report!$U:$U,Report!$T:$T,$A32,Report!$C:$C,"&gt;="&amp;DATE(2027,9,1),Report!$C:$C,"&lt;"&amp;DATE(2027,10,1))</f>
        <v>0</v>
      </c>
      <c r="X32" s="15" t="n">
        <f aca="false">SUMIFS(Report!$U:$U,Report!$T:$T,$A32,Report!$C:$C,"&gt;="&amp;DATE(2027,10,1),Report!$C:$C,"&lt;"&amp;DATE(2027,11,1))</f>
        <v>0</v>
      </c>
      <c r="Y32" s="15" t="n">
        <f aca="false">SUMIFS(Report!$U:$U,Report!$T:$T,$A32,Report!$C:$C,"&gt;="&amp;DATE(2027,11,1),Report!$C:$C,"&lt;"&amp;DATE(2027,12,1))</f>
        <v>0</v>
      </c>
      <c r="Z32" s="15" t="n">
        <f aca="false">SUMIFS(Report!$U:$U,Report!$T:$T,$A32,Report!$C:$C,"&gt;="&amp;DATE(2027,12,1),Report!$C:$C,"&lt;"&amp;DATE(2028,1,1))</f>
        <v>0</v>
      </c>
      <c r="AA32" s="15" t="n">
        <f aca="false">SUM(C32:Z32)</f>
        <v>4802.87</v>
      </c>
    </row>
    <row r="33" customFormat="false" ht="12.75" hidden="false" customHeight="true" outlineLevel="0" collapsed="false">
      <c r="A33" s="0" t="s">
        <v>279</v>
      </c>
      <c r="B33" s="0" t="str">
        <f aca="false">IFERROR(INDEX('Resumo Grupos'!$AC$3:$AC$200,MATCH($A33,'Resumo Grupos'!$AB$3:$AB$200,0)),"n/d")</f>
        <v>Despesa</v>
      </c>
      <c r="C33" s="15" t="n">
        <f aca="false">SUMIFS(Report!$U:$U,Report!$T:$T,$A33,Report!$C:$C,"&gt;="&amp;DATE(2026,1,1),Report!$C:$C,"&lt;"&amp;DATE(2026,2,1))</f>
        <v>0</v>
      </c>
      <c r="D33" s="15" t="n">
        <f aca="false">SUMIFS(Report!$U:$U,Report!$T:$T,$A33,Report!$C:$C,"&gt;="&amp;DATE(2026,2,1),Report!$C:$C,"&lt;"&amp;DATE(2026,3,1))</f>
        <v>0</v>
      </c>
      <c r="E33" s="15" t="n">
        <f aca="false">SUMIFS(Report!$U:$U,Report!$T:$T,$A33,Report!$C:$C,"&gt;="&amp;DATE(2026,3,1),Report!$C:$C,"&lt;"&amp;DATE(2026,4,1))</f>
        <v>0</v>
      </c>
      <c r="F33" s="15" t="n">
        <f aca="false">SUMIFS(Report!$U:$U,Report!$T:$T,$A33,Report!$C:$C,"&gt;="&amp;DATE(2026,4,1),Report!$C:$C,"&lt;"&amp;DATE(2026,5,1))</f>
        <v>0</v>
      </c>
      <c r="G33" s="15" t="n">
        <f aca="false">SUMIFS(Report!$U:$U,Report!$T:$T,$A33,Report!$C:$C,"&gt;="&amp;DATE(2026,5,1),Report!$C:$C,"&lt;"&amp;DATE(2026,6,1))</f>
        <v>0</v>
      </c>
      <c r="H33" s="15" t="n">
        <f aca="false">SUMIFS(Report!$U:$U,Report!$T:$T,$A33,Report!$C:$C,"&gt;="&amp;DATE(2026,6,1),Report!$C:$C,"&lt;"&amp;DATE(2026,7,1))</f>
        <v>875.87</v>
      </c>
      <c r="I33" s="15" t="n">
        <f aca="false">SUMIFS(Report!$U:$U,Report!$T:$T,$A33,Report!$C:$C,"&gt;="&amp;DATE(2026,7,1),Report!$C:$C,"&lt;"&amp;DATE(2026,8,1))</f>
        <v>875.87</v>
      </c>
      <c r="J33" s="15" t="n">
        <f aca="false">SUMIFS(Report!$U:$U,Report!$T:$T,$A33,Report!$C:$C,"&gt;="&amp;DATE(2026,8,1),Report!$C:$C,"&lt;"&amp;DATE(2026,9,1))</f>
        <v>875.87</v>
      </c>
      <c r="K33" s="15" t="n">
        <f aca="false">SUMIFS(Report!$U:$U,Report!$T:$T,$A33,Report!$C:$C,"&gt;="&amp;DATE(2026,9,1),Report!$C:$C,"&lt;"&amp;DATE(2026,10,1))</f>
        <v>882.87</v>
      </c>
      <c r="L33" s="15" t="n">
        <f aca="false">SUMIFS(Report!$U:$U,Report!$T:$T,$A33,Report!$C:$C,"&gt;="&amp;DATE(2026,10,1),Report!$C:$C,"&lt;"&amp;DATE(2026,11,1))</f>
        <v>715.87</v>
      </c>
      <c r="M33" s="15" t="n">
        <f aca="false">SUMIFS(Report!$U:$U,Report!$T:$T,$A33,Report!$C:$C,"&gt;="&amp;DATE(2026,11,1),Report!$C:$C,"&lt;"&amp;DATE(2026,12,1))</f>
        <v>119.97</v>
      </c>
      <c r="N33" s="15" t="n">
        <f aca="false">SUMIFS(Report!$U:$U,Report!$T:$T,$A33,Report!$C:$C,"&gt;="&amp;DATE(2026,12,1),Report!$C:$C,"&lt;"&amp;DATE(2027,1,1))</f>
        <v>595.9</v>
      </c>
      <c r="O33" s="15" t="n">
        <f aca="false">SUMIFS(Report!$U:$U,Report!$T:$T,$A33,Report!$C:$C,"&gt;="&amp;DATE(2027,1,1),Report!$C:$C,"&lt;"&amp;DATE(2027,2,1))</f>
        <v>0</v>
      </c>
      <c r="P33" s="15" t="n">
        <f aca="false">SUMIFS(Report!$U:$U,Report!$T:$T,$A33,Report!$C:$C,"&gt;="&amp;DATE(2027,2,1),Report!$C:$C,"&lt;"&amp;DATE(2027,3,1))</f>
        <v>0</v>
      </c>
      <c r="Q33" s="15" t="n">
        <f aca="false">SUMIFS(Report!$U:$U,Report!$T:$T,$A33,Report!$C:$C,"&gt;="&amp;DATE(2027,3,1),Report!$C:$C,"&lt;"&amp;DATE(2027,4,1))</f>
        <v>0</v>
      </c>
      <c r="R33" s="15" t="n">
        <f aca="false">SUMIFS(Report!$U:$U,Report!$T:$T,$A33,Report!$C:$C,"&gt;="&amp;DATE(2027,4,1),Report!$C:$C,"&lt;"&amp;DATE(2027,5,1))</f>
        <v>0</v>
      </c>
      <c r="S33" s="15" t="n">
        <f aca="false">SUMIFS(Report!$U:$U,Report!$T:$T,$A33,Report!$C:$C,"&gt;="&amp;DATE(2027,5,1),Report!$C:$C,"&lt;"&amp;DATE(2027,6,1))</f>
        <v>0</v>
      </c>
      <c r="T33" s="15" t="n">
        <f aca="false">SUMIFS(Report!$U:$U,Report!$T:$T,$A33,Report!$C:$C,"&gt;="&amp;DATE(2027,6,1),Report!$C:$C,"&lt;"&amp;DATE(2027,7,1))</f>
        <v>0</v>
      </c>
      <c r="U33" s="15" t="n">
        <f aca="false">SUMIFS(Report!$U:$U,Report!$T:$T,$A33,Report!$C:$C,"&gt;="&amp;DATE(2027,7,1),Report!$C:$C,"&lt;"&amp;DATE(2027,8,1))</f>
        <v>0</v>
      </c>
      <c r="V33" s="15" t="n">
        <f aca="false">SUMIFS(Report!$U:$U,Report!$T:$T,$A33,Report!$C:$C,"&gt;="&amp;DATE(2027,8,1),Report!$C:$C,"&lt;"&amp;DATE(2027,9,1))</f>
        <v>0</v>
      </c>
      <c r="W33" s="15" t="n">
        <f aca="false">SUMIFS(Report!$U:$U,Report!$T:$T,$A33,Report!$C:$C,"&gt;="&amp;DATE(2027,9,1),Report!$C:$C,"&lt;"&amp;DATE(2027,10,1))</f>
        <v>0</v>
      </c>
      <c r="X33" s="15" t="n">
        <f aca="false">SUMIFS(Report!$U:$U,Report!$T:$T,$A33,Report!$C:$C,"&gt;="&amp;DATE(2027,10,1),Report!$C:$C,"&lt;"&amp;DATE(2027,11,1))</f>
        <v>0</v>
      </c>
      <c r="Y33" s="15" t="n">
        <f aca="false">SUMIFS(Report!$U:$U,Report!$T:$T,$A33,Report!$C:$C,"&gt;="&amp;DATE(2027,11,1),Report!$C:$C,"&lt;"&amp;DATE(2027,12,1))</f>
        <v>0</v>
      </c>
      <c r="Z33" s="15" t="n">
        <f aca="false">SUMIFS(Report!$U:$U,Report!$T:$T,$A33,Report!$C:$C,"&gt;="&amp;DATE(2027,12,1),Report!$C:$C,"&lt;"&amp;DATE(2028,1,1))</f>
        <v>0</v>
      </c>
      <c r="AA33" s="15" t="n">
        <f aca="false">SUM(C33:Z33)</f>
        <v>4942.22</v>
      </c>
    </row>
    <row r="34" customFormat="false" ht="12.75" hidden="false" customHeight="true" outlineLevel="0" collapsed="false">
      <c r="A34" s="0" t="s">
        <v>139</v>
      </c>
      <c r="B34" s="0" t="str">
        <f aca="false">IFERROR(INDEX('Resumo Grupos'!$AC$3:$AC$200,MATCH($A34,'Resumo Grupos'!$AB$3:$AB$200,0)),"n/d")</f>
        <v>Despesa</v>
      </c>
      <c r="C34" s="15" t="n">
        <f aca="false">SUMIFS(Report!$U:$U,Report!$T:$T,$A34,Report!$C:$C,"&gt;="&amp;DATE(2026,1,1),Report!$C:$C,"&lt;"&amp;DATE(2026,2,1))</f>
        <v>0</v>
      </c>
      <c r="D34" s="15" t="n">
        <f aca="false">SUMIFS(Report!$U:$U,Report!$T:$T,$A34,Report!$C:$C,"&gt;="&amp;DATE(2026,2,1),Report!$C:$C,"&lt;"&amp;DATE(2026,3,1))</f>
        <v>0</v>
      </c>
      <c r="E34" s="15" t="n">
        <f aca="false">SUMIFS(Report!$U:$U,Report!$T:$T,$A34,Report!$C:$C,"&gt;="&amp;DATE(2026,3,1),Report!$C:$C,"&lt;"&amp;DATE(2026,4,1))</f>
        <v>0</v>
      </c>
      <c r="F34" s="15" t="n">
        <f aca="false">SUMIFS(Report!$U:$U,Report!$T:$T,$A34,Report!$C:$C,"&gt;="&amp;DATE(2026,4,1),Report!$C:$C,"&lt;"&amp;DATE(2026,5,1))</f>
        <v>0</v>
      </c>
      <c r="G34" s="15" t="n">
        <f aca="false">SUMIFS(Report!$U:$U,Report!$T:$T,$A34,Report!$C:$C,"&gt;="&amp;DATE(2026,5,1),Report!$C:$C,"&lt;"&amp;DATE(2026,6,1))</f>
        <v>0</v>
      </c>
      <c r="H34" s="15" t="n">
        <f aca="false">SUMIFS(Report!$U:$U,Report!$T:$T,$A34,Report!$C:$C,"&gt;="&amp;DATE(2026,6,1),Report!$C:$C,"&lt;"&amp;DATE(2026,7,1))</f>
        <v>656.81</v>
      </c>
      <c r="I34" s="15" t="n">
        <f aca="false">SUMIFS(Report!$U:$U,Report!$T:$T,$A34,Report!$C:$C,"&gt;="&amp;DATE(2026,7,1),Report!$C:$C,"&lt;"&amp;DATE(2026,8,1))</f>
        <v>239.24</v>
      </c>
      <c r="J34" s="15" t="n">
        <f aca="false">SUMIFS(Report!$U:$U,Report!$T:$T,$A34,Report!$C:$C,"&gt;="&amp;DATE(2026,8,1),Report!$C:$C,"&lt;"&amp;DATE(2026,9,1))</f>
        <v>856.1</v>
      </c>
      <c r="K34" s="15" t="n">
        <f aca="false">SUMIFS(Report!$U:$U,Report!$T:$T,$A34,Report!$C:$C,"&gt;="&amp;DATE(2026,9,1),Report!$C:$C,"&lt;"&amp;DATE(2026,10,1))</f>
        <v>715.79</v>
      </c>
      <c r="L34" s="15" t="n">
        <f aca="false">SUMIFS(Report!$U:$U,Report!$T:$T,$A34,Report!$C:$C,"&gt;="&amp;DATE(2026,10,1),Report!$C:$C,"&lt;"&amp;DATE(2026,11,1))</f>
        <v>0</v>
      </c>
      <c r="M34" s="15" t="n">
        <f aca="false">SUMIFS(Report!$U:$U,Report!$T:$T,$A34,Report!$C:$C,"&gt;="&amp;DATE(2026,11,1),Report!$C:$C,"&lt;"&amp;DATE(2026,12,1))</f>
        <v>0</v>
      </c>
      <c r="N34" s="15" t="n">
        <f aca="false">SUMIFS(Report!$U:$U,Report!$T:$T,$A34,Report!$C:$C,"&gt;="&amp;DATE(2026,12,1),Report!$C:$C,"&lt;"&amp;DATE(2027,1,1))</f>
        <v>0</v>
      </c>
      <c r="O34" s="15" t="n">
        <f aca="false">SUMIFS(Report!$U:$U,Report!$T:$T,$A34,Report!$C:$C,"&gt;="&amp;DATE(2027,1,1),Report!$C:$C,"&lt;"&amp;DATE(2027,2,1))</f>
        <v>0</v>
      </c>
      <c r="P34" s="15" t="n">
        <f aca="false">SUMIFS(Report!$U:$U,Report!$T:$T,$A34,Report!$C:$C,"&gt;="&amp;DATE(2027,2,1),Report!$C:$C,"&lt;"&amp;DATE(2027,3,1))</f>
        <v>0</v>
      </c>
      <c r="Q34" s="15" t="n">
        <f aca="false">SUMIFS(Report!$U:$U,Report!$T:$T,$A34,Report!$C:$C,"&gt;="&amp;DATE(2027,3,1),Report!$C:$C,"&lt;"&amp;DATE(2027,4,1))</f>
        <v>0</v>
      </c>
      <c r="R34" s="15" t="n">
        <f aca="false">SUMIFS(Report!$U:$U,Report!$T:$T,$A34,Report!$C:$C,"&gt;="&amp;DATE(2027,4,1),Report!$C:$C,"&lt;"&amp;DATE(2027,5,1))</f>
        <v>0</v>
      </c>
      <c r="S34" s="15" t="n">
        <f aca="false">SUMIFS(Report!$U:$U,Report!$T:$T,$A34,Report!$C:$C,"&gt;="&amp;DATE(2027,5,1),Report!$C:$C,"&lt;"&amp;DATE(2027,6,1))</f>
        <v>0</v>
      </c>
      <c r="T34" s="15" t="n">
        <f aca="false">SUMIFS(Report!$U:$U,Report!$T:$T,$A34,Report!$C:$C,"&gt;="&amp;DATE(2027,6,1),Report!$C:$C,"&lt;"&amp;DATE(2027,7,1))</f>
        <v>0</v>
      </c>
      <c r="U34" s="15" t="n">
        <f aca="false">SUMIFS(Report!$U:$U,Report!$T:$T,$A34,Report!$C:$C,"&gt;="&amp;DATE(2027,7,1),Report!$C:$C,"&lt;"&amp;DATE(2027,8,1))</f>
        <v>0</v>
      </c>
      <c r="V34" s="15" t="n">
        <f aca="false">SUMIFS(Report!$U:$U,Report!$T:$T,$A34,Report!$C:$C,"&gt;="&amp;DATE(2027,8,1),Report!$C:$C,"&lt;"&amp;DATE(2027,9,1))</f>
        <v>0</v>
      </c>
      <c r="W34" s="15" t="n">
        <f aca="false">SUMIFS(Report!$U:$U,Report!$T:$T,$A34,Report!$C:$C,"&gt;="&amp;DATE(2027,9,1),Report!$C:$C,"&lt;"&amp;DATE(2027,10,1))</f>
        <v>0</v>
      </c>
      <c r="X34" s="15" t="n">
        <f aca="false">SUMIFS(Report!$U:$U,Report!$T:$T,$A34,Report!$C:$C,"&gt;="&amp;DATE(2027,10,1),Report!$C:$C,"&lt;"&amp;DATE(2027,11,1))</f>
        <v>0</v>
      </c>
      <c r="Y34" s="15" t="n">
        <f aca="false">SUMIFS(Report!$U:$U,Report!$T:$T,$A34,Report!$C:$C,"&gt;="&amp;DATE(2027,11,1),Report!$C:$C,"&lt;"&amp;DATE(2027,12,1))</f>
        <v>0</v>
      </c>
      <c r="Z34" s="15" t="n">
        <f aca="false">SUMIFS(Report!$U:$U,Report!$T:$T,$A34,Report!$C:$C,"&gt;="&amp;DATE(2027,12,1),Report!$C:$C,"&lt;"&amp;DATE(2028,1,1))</f>
        <v>0</v>
      </c>
      <c r="AA34" s="15" t="n">
        <f aca="false">SUM(C34:Z34)</f>
        <v>2467.94</v>
      </c>
    </row>
    <row r="35" customFormat="false" ht="12.75" hidden="false" customHeight="true" outlineLevel="0" collapsed="false">
      <c r="A35" s="0" t="s">
        <v>422</v>
      </c>
      <c r="B35" s="0" t="str">
        <f aca="false">IFERROR(INDEX('Resumo Grupos'!$AC$3:$AC$200,MATCH($A35,'Resumo Grupos'!$AB$3:$AB$200,0)),"n/d")</f>
        <v>Impostos</v>
      </c>
      <c r="C35" s="15" t="n">
        <f aca="false">SUMIFS(Report!$U:$U,Report!$T:$T,$A35,Report!$C:$C,"&gt;="&amp;DATE(2026,1,1),Report!$C:$C,"&lt;"&amp;DATE(2026,2,1))</f>
        <v>0</v>
      </c>
      <c r="D35" s="15" t="n">
        <f aca="false">SUMIFS(Report!$U:$U,Report!$T:$T,$A35,Report!$C:$C,"&gt;="&amp;DATE(2026,2,1),Report!$C:$C,"&lt;"&amp;DATE(2026,3,1))</f>
        <v>0</v>
      </c>
      <c r="E35" s="15" t="n">
        <f aca="false">SUMIFS(Report!$U:$U,Report!$T:$T,$A35,Report!$C:$C,"&gt;="&amp;DATE(2026,3,1),Report!$C:$C,"&lt;"&amp;DATE(2026,4,1))</f>
        <v>0</v>
      </c>
      <c r="F35" s="15" t="n">
        <f aca="false">SUMIFS(Report!$U:$U,Report!$T:$T,$A35,Report!$C:$C,"&gt;="&amp;DATE(2026,4,1),Report!$C:$C,"&lt;"&amp;DATE(2026,5,1))</f>
        <v>0</v>
      </c>
      <c r="G35" s="15" t="n">
        <f aca="false">SUMIFS(Report!$U:$U,Report!$T:$T,$A35,Report!$C:$C,"&gt;="&amp;DATE(2026,5,1),Report!$C:$C,"&lt;"&amp;DATE(2026,6,1))</f>
        <v>0</v>
      </c>
      <c r="H35" s="15" t="n">
        <f aca="false">SUMIFS(Report!$U:$U,Report!$T:$T,$A35,Report!$C:$C,"&gt;="&amp;DATE(2026,6,1),Report!$C:$C,"&lt;"&amp;DATE(2026,7,1))</f>
        <v>228.88</v>
      </c>
      <c r="I35" s="15" t="n">
        <f aca="false">SUMIFS(Report!$U:$U,Report!$T:$T,$A35,Report!$C:$C,"&gt;="&amp;DATE(2026,7,1),Report!$C:$C,"&lt;"&amp;DATE(2026,8,1))</f>
        <v>228.88</v>
      </c>
      <c r="J35" s="15" t="n">
        <f aca="false">SUMIFS(Report!$U:$U,Report!$T:$T,$A35,Report!$C:$C,"&gt;="&amp;DATE(2026,8,1),Report!$C:$C,"&lt;"&amp;DATE(2026,9,1))</f>
        <v>228.88</v>
      </c>
      <c r="K35" s="15" t="n">
        <f aca="false">SUMIFS(Report!$U:$U,Report!$T:$T,$A35,Report!$C:$C,"&gt;="&amp;DATE(2026,9,1),Report!$C:$C,"&lt;"&amp;DATE(2026,10,1))</f>
        <v>228.88</v>
      </c>
      <c r="L35" s="15" t="n">
        <f aca="false">SUMIFS(Report!$U:$U,Report!$T:$T,$A35,Report!$C:$C,"&gt;="&amp;DATE(2026,10,1),Report!$C:$C,"&lt;"&amp;DATE(2026,11,1))</f>
        <v>228.88</v>
      </c>
      <c r="M35" s="15" t="n">
        <f aca="false">SUMIFS(Report!$U:$U,Report!$T:$T,$A35,Report!$C:$C,"&gt;="&amp;DATE(2026,11,1),Report!$C:$C,"&lt;"&amp;DATE(2026,12,1))</f>
        <v>228.88</v>
      </c>
      <c r="N35" s="15" t="n">
        <f aca="false">SUMIFS(Report!$U:$U,Report!$T:$T,$A35,Report!$C:$C,"&gt;="&amp;DATE(2026,12,1),Report!$C:$C,"&lt;"&amp;DATE(2027,1,1))</f>
        <v>228.88</v>
      </c>
      <c r="O35" s="15" t="n">
        <f aca="false">SUMIFS(Report!$U:$U,Report!$T:$T,$A35,Report!$C:$C,"&gt;="&amp;DATE(2027,1,1),Report!$C:$C,"&lt;"&amp;DATE(2027,2,1))</f>
        <v>0</v>
      </c>
      <c r="P35" s="15" t="n">
        <f aca="false">SUMIFS(Report!$U:$U,Report!$T:$T,$A35,Report!$C:$C,"&gt;="&amp;DATE(2027,2,1),Report!$C:$C,"&lt;"&amp;DATE(2027,3,1))</f>
        <v>0</v>
      </c>
      <c r="Q35" s="15" t="n">
        <f aca="false">SUMIFS(Report!$U:$U,Report!$T:$T,$A35,Report!$C:$C,"&gt;="&amp;DATE(2027,3,1),Report!$C:$C,"&lt;"&amp;DATE(2027,4,1))</f>
        <v>0</v>
      </c>
      <c r="R35" s="15" t="n">
        <f aca="false">SUMIFS(Report!$U:$U,Report!$T:$T,$A35,Report!$C:$C,"&gt;="&amp;DATE(2027,4,1),Report!$C:$C,"&lt;"&amp;DATE(2027,5,1))</f>
        <v>0</v>
      </c>
      <c r="S35" s="15" t="n">
        <f aca="false">SUMIFS(Report!$U:$U,Report!$T:$T,$A35,Report!$C:$C,"&gt;="&amp;DATE(2027,5,1),Report!$C:$C,"&lt;"&amp;DATE(2027,6,1))</f>
        <v>0</v>
      </c>
      <c r="T35" s="15" t="n">
        <f aca="false">SUMIFS(Report!$U:$U,Report!$T:$T,$A35,Report!$C:$C,"&gt;="&amp;DATE(2027,6,1),Report!$C:$C,"&lt;"&amp;DATE(2027,7,1))</f>
        <v>0</v>
      </c>
      <c r="U35" s="15" t="n">
        <f aca="false">SUMIFS(Report!$U:$U,Report!$T:$T,$A35,Report!$C:$C,"&gt;="&amp;DATE(2027,7,1),Report!$C:$C,"&lt;"&amp;DATE(2027,8,1))</f>
        <v>0</v>
      </c>
      <c r="V35" s="15" t="n">
        <f aca="false">SUMIFS(Report!$U:$U,Report!$T:$T,$A35,Report!$C:$C,"&gt;="&amp;DATE(2027,8,1),Report!$C:$C,"&lt;"&amp;DATE(2027,9,1))</f>
        <v>0</v>
      </c>
      <c r="W35" s="15" t="n">
        <f aca="false">SUMIFS(Report!$U:$U,Report!$T:$T,$A35,Report!$C:$C,"&gt;="&amp;DATE(2027,9,1),Report!$C:$C,"&lt;"&amp;DATE(2027,10,1))</f>
        <v>0</v>
      </c>
      <c r="X35" s="15" t="n">
        <f aca="false">SUMIFS(Report!$U:$U,Report!$T:$T,$A35,Report!$C:$C,"&gt;="&amp;DATE(2027,10,1),Report!$C:$C,"&lt;"&amp;DATE(2027,11,1))</f>
        <v>0</v>
      </c>
      <c r="Y35" s="15" t="n">
        <f aca="false">SUMIFS(Report!$U:$U,Report!$T:$T,$A35,Report!$C:$C,"&gt;="&amp;DATE(2027,11,1),Report!$C:$C,"&lt;"&amp;DATE(2027,12,1))</f>
        <v>0</v>
      </c>
      <c r="Z35" s="15" t="n">
        <f aca="false">SUMIFS(Report!$U:$U,Report!$T:$T,$A35,Report!$C:$C,"&gt;="&amp;DATE(2027,12,1),Report!$C:$C,"&lt;"&amp;DATE(2028,1,1))</f>
        <v>0</v>
      </c>
      <c r="AA35" s="15" t="n">
        <f aca="false">SUM(C35:Z35)</f>
        <v>1602.16</v>
      </c>
    </row>
    <row r="36" customFormat="false" ht="12.75" hidden="false" customHeight="true" outlineLevel="0" collapsed="false">
      <c r="A36" s="0" t="s">
        <v>1099</v>
      </c>
      <c r="B36" s="0" t="str">
        <f aca="false">IFERROR(INDEX('Resumo Grupos'!$AC$3:$AC$200,MATCH($A36,'Resumo Grupos'!$AB$3:$AB$200,0)),"n/d")</f>
        <v>Despesa</v>
      </c>
      <c r="C36" s="15" t="n">
        <f aca="false">SUMIFS(Report!$U:$U,Report!$T:$T,$A36,Report!$C:$C,"&gt;="&amp;DATE(2026,1,1),Report!$C:$C,"&lt;"&amp;DATE(2026,2,1))</f>
        <v>0</v>
      </c>
      <c r="D36" s="15" t="n">
        <f aca="false">SUMIFS(Report!$U:$U,Report!$T:$T,$A36,Report!$C:$C,"&gt;="&amp;DATE(2026,2,1),Report!$C:$C,"&lt;"&amp;DATE(2026,3,1))</f>
        <v>0</v>
      </c>
      <c r="E36" s="15" t="n">
        <f aca="false">SUMIFS(Report!$U:$U,Report!$T:$T,$A36,Report!$C:$C,"&gt;="&amp;DATE(2026,3,1),Report!$C:$C,"&lt;"&amp;DATE(2026,4,1))</f>
        <v>0</v>
      </c>
      <c r="F36" s="15" t="n">
        <f aca="false">SUMIFS(Report!$U:$U,Report!$T:$T,$A36,Report!$C:$C,"&gt;="&amp;DATE(2026,4,1),Report!$C:$C,"&lt;"&amp;DATE(2026,5,1))</f>
        <v>0</v>
      </c>
      <c r="G36" s="15" t="n">
        <f aca="false">SUMIFS(Report!$U:$U,Report!$T:$T,$A36,Report!$C:$C,"&gt;="&amp;DATE(2026,5,1),Report!$C:$C,"&lt;"&amp;DATE(2026,6,1))</f>
        <v>0</v>
      </c>
      <c r="H36" s="15" t="n">
        <f aca="false">SUMIFS(Report!$U:$U,Report!$T:$T,$A36,Report!$C:$C,"&gt;="&amp;DATE(2026,6,1),Report!$C:$C,"&lt;"&amp;DATE(2026,7,1))</f>
        <v>0</v>
      </c>
      <c r="I36" s="15" t="n">
        <f aca="false">SUMIFS(Report!$U:$U,Report!$T:$T,$A36,Report!$C:$C,"&gt;="&amp;DATE(2026,7,1),Report!$C:$C,"&lt;"&amp;DATE(2026,8,1))</f>
        <v>1575</v>
      </c>
      <c r="J36" s="15" t="n">
        <f aca="false">SUMIFS(Report!$U:$U,Report!$T:$T,$A36,Report!$C:$C,"&gt;="&amp;DATE(2026,8,1),Report!$C:$C,"&lt;"&amp;DATE(2026,9,1))</f>
        <v>586.1</v>
      </c>
      <c r="K36" s="15" t="n">
        <f aca="false">SUMIFS(Report!$U:$U,Report!$T:$T,$A36,Report!$C:$C,"&gt;="&amp;DATE(2026,9,1),Report!$C:$C,"&lt;"&amp;DATE(2026,10,1))</f>
        <v>591.53</v>
      </c>
      <c r="L36" s="15" t="n">
        <f aca="false">SUMIFS(Report!$U:$U,Report!$T:$T,$A36,Report!$C:$C,"&gt;="&amp;DATE(2026,10,1),Report!$C:$C,"&lt;"&amp;DATE(2026,11,1))</f>
        <v>0</v>
      </c>
      <c r="M36" s="15" t="n">
        <f aca="false">SUMIFS(Report!$U:$U,Report!$T:$T,$A36,Report!$C:$C,"&gt;="&amp;DATE(2026,11,1),Report!$C:$C,"&lt;"&amp;DATE(2026,12,1))</f>
        <v>0</v>
      </c>
      <c r="N36" s="15" t="n">
        <f aca="false">SUMIFS(Report!$U:$U,Report!$T:$T,$A36,Report!$C:$C,"&gt;="&amp;DATE(2026,12,1),Report!$C:$C,"&lt;"&amp;DATE(2027,1,1))</f>
        <v>0</v>
      </c>
      <c r="O36" s="15" t="n">
        <f aca="false">SUMIFS(Report!$U:$U,Report!$T:$T,$A36,Report!$C:$C,"&gt;="&amp;DATE(2027,1,1),Report!$C:$C,"&lt;"&amp;DATE(2027,2,1))</f>
        <v>0</v>
      </c>
      <c r="P36" s="15" t="n">
        <f aca="false">SUMIFS(Report!$U:$U,Report!$T:$T,$A36,Report!$C:$C,"&gt;="&amp;DATE(2027,2,1),Report!$C:$C,"&lt;"&amp;DATE(2027,3,1))</f>
        <v>0</v>
      </c>
      <c r="Q36" s="15" t="n">
        <f aca="false">SUMIFS(Report!$U:$U,Report!$T:$T,$A36,Report!$C:$C,"&gt;="&amp;DATE(2027,3,1),Report!$C:$C,"&lt;"&amp;DATE(2027,4,1))</f>
        <v>0</v>
      </c>
      <c r="R36" s="15" t="n">
        <f aca="false">SUMIFS(Report!$U:$U,Report!$T:$T,$A36,Report!$C:$C,"&gt;="&amp;DATE(2027,4,1),Report!$C:$C,"&lt;"&amp;DATE(2027,5,1))</f>
        <v>0</v>
      </c>
      <c r="S36" s="15" t="n">
        <f aca="false">SUMIFS(Report!$U:$U,Report!$T:$T,$A36,Report!$C:$C,"&gt;="&amp;DATE(2027,5,1),Report!$C:$C,"&lt;"&amp;DATE(2027,6,1))</f>
        <v>0</v>
      </c>
      <c r="T36" s="15" t="n">
        <f aca="false">SUMIFS(Report!$U:$U,Report!$T:$T,$A36,Report!$C:$C,"&gt;="&amp;DATE(2027,6,1),Report!$C:$C,"&lt;"&amp;DATE(2027,7,1))</f>
        <v>0</v>
      </c>
      <c r="U36" s="15" t="n">
        <f aca="false">SUMIFS(Report!$U:$U,Report!$T:$T,$A36,Report!$C:$C,"&gt;="&amp;DATE(2027,7,1),Report!$C:$C,"&lt;"&amp;DATE(2027,8,1))</f>
        <v>0</v>
      </c>
      <c r="V36" s="15" t="n">
        <f aca="false">SUMIFS(Report!$U:$U,Report!$T:$T,$A36,Report!$C:$C,"&gt;="&amp;DATE(2027,8,1),Report!$C:$C,"&lt;"&amp;DATE(2027,9,1))</f>
        <v>0</v>
      </c>
      <c r="W36" s="15" t="n">
        <f aca="false">SUMIFS(Report!$U:$U,Report!$T:$T,$A36,Report!$C:$C,"&gt;="&amp;DATE(2027,9,1),Report!$C:$C,"&lt;"&amp;DATE(2027,10,1))</f>
        <v>0</v>
      </c>
      <c r="X36" s="15" t="n">
        <f aca="false">SUMIFS(Report!$U:$U,Report!$T:$T,$A36,Report!$C:$C,"&gt;="&amp;DATE(2027,10,1),Report!$C:$C,"&lt;"&amp;DATE(2027,11,1))</f>
        <v>0</v>
      </c>
      <c r="Y36" s="15" t="n">
        <f aca="false">SUMIFS(Report!$U:$U,Report!$T:$T,$A36,Report!$C:$C,"&gt;="&amp;DATE(2027,11,1),Report!$C:$C,"&lt;"&amp;DATE(2027,12,1))</f>
        <v>0</v>
      </c>
      <c r="Z36" s="15" t="n">
        <f aca="false">SUMIFS(Report!$U:$U,Report!$T:$T,$A36,Report!$C:$C,"&gt;="&amp;DATE(2027,12,1),Report!$C:$C,"&lt;"&amp;DATE(2028,1,1))</f>
        <v>0</v>
      </c>
      <c r="AA36" s="15" t="n">
        <f aca="false">SUM(C36:Z36)</f>
        <v>2752.63</v>
      </c>
    </row>
    <row r="37" customFormat="false" ht="12.75" hidden="false" customHeight="true" outlineLevel="0" collapsed="false">
      <c r="A37" s="0" t="s">
        <v>246</v>
      </c>
      <c r="B37" s="0" t="str">
        <f aca="false">IFERROR(INDEX('Resumo Grupos'!$AC$3:$AC$200,MATCH($A37,'Resumo Grupos'!$AB$3:$AB$200,0)),"n/d")</f>
        <v>Empréstimo</v>
      </c>
      <c r="C37" s="15" t="n">
        <f aca="false">SUMIFS(Report!$U:$U,Report!$T:$T,$A37,Report!$C:$C,"&gt;="&amp;DATE(2026,1,1),Report!$C:$C,"&lt;"&amp;DATE(2026,2,1))</f>
        <v>0</v>
      </c>
      <c r="D37" s="15" t="n">
        <f aca="false">SUMIFS(Report!$U:$U,Report!$T:$T,$A37,Report!$C:$C,"&gt;="&amp;DATE(2026,2,1),Report!$C:$C,"&lt;"&amp;DATE(2026,3,1))</f>
        <v>0</v>
      </c>
      <c r="E37" s="15" t="n">
        <f aca="false">SUMIFS(Report!$U:$U,Report!$T:$T,$A37,Report!$C:$C,"&gt;="&amp;DATE(2026,3,1),Report!$C:$C,"&lt;"&amp;DATE(2026,4,1))</f>
        <v>0</v>
      </c>
      <c r="F37" s="15" t="n">
        <f aca="false">SUMIFS(Report!$U:$U,Report!$T:$T,$A37,Report!$C:$C,"&gt;="&amp;DATE(2026,4,1),Report!$C:$C,"&lt;"&amp;DATE(2026,5,1))</f>
        <v>0</v>
      </c>
      <c r="G37" s="15" t="n">
        <f aca="false">SUMIFS(Report!$U:$U,Report!$T:$T,$A37,Report!$C:$C,"&gt;="&amp;DATE(2026,5,1),Report!$C:$C,"&lt;"&amp;DATE(2026,6,1))</f>
        <v>0</v>
      </c>
      <c r="H37" s="15" t="n">
        <f aca="false">SUMIFS(Report!$U:$U,Report!$T:$T,$A37,Report!$C:$C,"&gt;="&amp;DATE(2026,6,1),Report!$C:$C,"&lt;"&amp;DATE(2026,7,1))</f>
        <v>2293.25</v>
      </c>
      <c r="I37" s="15" t="n">
        <f aca="false">SUMIFS(Report!$U:$U,Report!$T:$T,$A37,Report!$C:$C,"&gt;="&amp;DATE(2026,7,1),Report!$C:$C,"&lt;"&amp;DATE(2026,8,1))</f>
        <v>6946.88</v>
      </c>
      <c r="J37" s="15" t="n">
        <f aca="false">SUMIFS(Report!$U:$U,Report!$T:$T,$A37,Report!$C:$C,"&gt;="&amp;DATE(2026,8,1),Report!$C:$C,"&lt;"&amp;DATE(2026,9,1))</f>
        <v>2356.13</v>
      </c>
      <c r="K37" s="15" t="n">
        <f aca="false">SUMIFS(Report!$U:$U,Report!$T:$T,$A37,Report!$C:$C,"&gt;="&amp;DATE(2026,9,1),Report!$C:$C,"&lt;"&amp;DATE(2026,10,1))</f>
        <v>9885.59</v>
      </c>
      <c r="L37" s="15" t="n">
        <f aca="false">SUMIFS(Report!$U:$U,Report!$T:$T,$A37,Report!$C:$C,"&gt;="&amp;DATE(2026,10,1),Report!$C:$C,"&lt;"&amp;DATE(2026,11,1))</f>
        <v>0</v>
      </c>
      <c r="M37" s="15" t="n">
        <f aca="false">SUMIFS(Report!$U:$U,Report!$T:$T,$A37,Report!$C:$C,"&gt;="&amp;DATE(2026,11,1),Report!$C:$C,"&lt;"&amp;DATE(2026,12,1))</f>
        <v>0</v>
      </c>
      <c r="N37" s="15" t="n">
        <f aca="false">SUMIFS(Report!$U:$U,Report!$T:$T,$A37,Report!$C:$C,"&gt;="&amp;DATE(2026,12,1),Report!$C:$C,"&lt;"&amp;DATE(2027,1,1))</f>
        <v>0</v>
      </c>
      <c r="O37" s="15" t="n">
        <f aca="false">SUMIFS(Report!$U:$U,Report!$T:$T,$A37,Report!$C:$C,"&gt;="&amp;DATE(2027,1,1),Report!$C:$C,"&lt;"&amp;DATE(2027,2,1))</f>
        <v>0</v>
      </c>
      <c r="P37" s="15" t="n">
        <f aca="false">SUMIFS(Report!$U:$U,Report!$T:$T,$A37,Report!$C:$C,"&gt;="&amp;DATE(2027,2,1),Report!$C:$C,"&lt;"&amp;DATE(2027,3,1))</f>
        <v>0</v>
      </c>
      <c r="Q37" s="15" t="n">
        <f aca="false">SUMIFS(Report!$U:$U,Report!$T:$T,$A37,Report!$C:$C,"&gt;="&amp;DATE(2027,3,1),Report!$C:$C,"&lt;"&amp;DATE(2027,4,1))</f>
        <v>0</v>
      </c>
      <c r="R37" s="15" t="n">
        <f aca="false">SUMIFS(Report!$U:$U,Report!$T:$T,$A37,Report!$C:$C,"&gt;="&amp;DATE(2027,4,1),Report!$C:$C,"&lt;"&amp;DATE(2027,5,1))</f>
        <v>0</v>
      </c>
      <c r="S37" s="15" t="n">
        <f aca="false">SUMIFS(Report!$U:$U,Report!$T:$T,$A37,Report!$C:$C,"&gt;="&amp;DATE(2027,5,1),Report!$C:$C,"&lt;"&amp;DATE(2027,6,1))</f>
        <v>0</v>
      </c>
      <c r="T37" s="15" t="n">
        <f aca="false">SUMIFS(Report!$U:$U,Report!$T:$T,$A37,Report!$C:$C,"&gt;="&amp;DATE(2027,6,1),Report!$C:$C,"&lt;"&amp;DATE(2027,7,1))</f>
        <v>0</v>
      </c>
      <c r="U37" s="15" t="n">
        <f aca="false">SUMIFS(Report!$U:$U,Report!$T:$T,$A37,Report!$C:$C,"&gt;="&amp;DATE(2027,7,1),Report!$C:$C,"&lt;"&amp;DATE(2027,8,1))</f>
        <v>0</v>
      </c>
      <c r="V37" s="15" t="n">
        <f aca="false">SUMIFS(Report!$U:$U,Report!$T:$T,$A37,Report!$C:$C,"&gt;="&amp;DATE(2027,8,1),Report!$C:$C,"&lt;"&amp;DATE(2027,9,1))</f>
        <v>0</v>
      </c>
      <c r="W37" s="15" t="n">
        <f aca="false">SUMIFS(Report!$U:$U,Report!$T:$T,$A37,Report!$C:$C,"&gt;="&amp;DATE(2027,9,1),Report!$C:$C,"&lt;"&amp;DATE(2027,10,1))</f>
        <v>0</v>
      </c>
      <c r="X37" s="15" t="n">
        <f aca="false">SUMIFS(Report!$U:$U,Report!$T:$T,$A37,Report!$C:$C,"&gt;="&amp;DATE(2027,10,1),Report!$C:$C,"&lt;"&amp;DATE(2027,11,1))</f>
        <v>0</v>
      </c>
      <c r="Y37" s="15" t="n">
        <f aca="false">SUMIFS(Report!$U:$U,Report!$T:$T,$A37,Report!$C:$C,"&gt;="&amp;DATE(2027,11,1),Report!$C:$C,"&lt;"&amp;DATE(2027,12,1))</f>
        <v>0</v>
      </c>
      <c r="Z37" s="15" t="n">
        <f aca="false">SUMIFS(Report!$U:$U,Report!$T:$T,$A37,Report!$C:$C,"&gt;="&amp;DATE(2027,12,1),Report!$C:$C,"&lt;"&amp;DATE(2028,1,1))</f>
        <v>0</v>
      </c>
      <c r="AA37" s="15" t="n">
        <f aca="false">SUM(C37:Z37)</f>
        <v>21481.85</v>
      </c>
    </row>
    <row r="38" customFormat="false" ht="12.75" hidden="false" customHeight="true" outlineLevel="0" collapsed="false">
      <c r="A38" s="0" t="s">
        <v>1928</v>
      </c>
      <c r="B38" s="0" t="str">
        <f aca="false">IFERROR(INDEX('Resumo Grupos'!$AC$3:$AC$200,MATCH($A38,'Resumo Grupos'!$AB$3:$AB$200,0)),"n/d")</f>
        <v>Despesa</v>
      </c>
      <c r="C38" s="15" t="n">
        <f aca="false">SUMIFS(Report!$U:$U,Report!$T:$T,$A38,Report!$C:$C,"&gt;="&amp;DATE(2026,1,1),Report!$C:$C,"&lt;"&amp;DATE(2026,2,1))</f>
        <v>0</v>
      </c>
      <c r="D38" s="15" t="n">
        <f aca="false">SUMIFS(Report!$U:$U,Report!$T:$T,$A38,Report!$C:$C,"&gt;="&amp;DATE(2026,2,1),Report!$C:$C,"&lt;"&amp;DATE(2026,3,1))</f>
        <v>0</v>
      </c>
      <c r="E38" s="15" t="n">
        <f aca="false">SUMIFS(Report!$U:$U,Report!$T:$T,$A38,Report!$C:$C,"&gt;="&amp;DATE(2026,3,1),Report!$C:$C,"&lt;"&amp;DATE(2026,4,1))</f>
        <v>0</v>
      </c>
      <c r="F38" s="15" t="n">
        <f aca="false">SUMIFS(Report!$U:$U,Report!$T:$T,$A38,Report!$C:$C,"&gt;="&amp;DATE(2026,4,1),Report!$C:$C,"&lt;"&amp;DATE(2026,5,1))</f>
        <v>0</v>
      </c>
      <c r="G38" s="15" t="n">
        <f aca="false">SUMIFS(Report!$U:$U,Report!$T:$T,$A38,Report!$C:$C,"&gt;="&amp;DATE(2026,5,1),Report!$C:$C,"&lt;"&amp;DATE(2026,6,1))</f>
        <v>0</v>
      </c>
      <c r="H38" s="15" t="n">
        <f aca="false">SUMIFS(Report!$U:$U,Report!$T:$T,$A38,Report!$C:$C,"&gt;="&amp;DATE(2026,6,1),Report!$C:$C,"&lt;"&amp;DATE(2026,7,1))</f>
        <v>0</v>
      </c>
      <c r="I38" s="15" t="n">
        <f aca="false">SUMIFS(Report!$U:$U,Report!$T:$T,$A38,Report!$C:$C,"&gt;="&amp;DATE(2026,7,1),Report!$C:$C,"&lt;"&amp;DATE(2026,8,1))</f>
        <v>0</v>
      </c>
      <c r="J38" s="15" t="n">
        <f aca="false">SUMIFS(Report!$U:$U,Report!$T:$T,$A38,Report!$C:$C,"&gt;="&amp;DATE(2026,8,1),Report!$C:$C,"&lt;"&amp;DATE(2026,9,1))</f>
        <v>0</v>
      </c>
      <c r="K38" s="15" t="n">
        <f aca="false">SUMIFS(Report!$U:$U,Report!$T:$T,$A38,Report!$C:$C,"&gt;="&amp;DATE(2026,9,1),Report!$C:$C,"&lt;"&amp;DATE(2026,10,1))</f>
        <v>0</v>
      </c>
      <c r="L38" s="15" t="n">
        <f aca="false">SUMIFS(Report!$U:$U,Report!$T:$T,$A38,Report!$C:$C,"&gt;="&amp;DATE(2026,10,1),Report!$C:$C,"&lt;"&amp;DATE(2026,11,1))</f>
        <v>265</v>
      </c>
      <c r="M38" s="15" t="n">
        <f aca="false">SUMIFS(Report!$U:$U,Report!$T:$T,$A38,Report!$C:$C,"&gt;="&amp;DATE(2026,11,1),Report!$C:$C,"&lt;"&amp;DATE(2026,12,1))</f>
        <v>0</v>
      </c>
      <c r="N38" s="15" t="n">
        <f aca="false">SUMIFS(Report!$U:$U,Report!$T:$T,$A38,Report!$C:$C,"&gt;="&amp;DATE(2026,12,1),Report!$C:$C,"&lt;"&amp;DATE(2027,1,1))</f>
        <v>0</v>
      </c>
      <c r="O38" s="15" t="n">
        <f aca="false">SUMIFS(Report!$U:$U,Report!$T:$T,$A38,Report!$C:$C,"&gt;="&amp;DATE(2027,1,1),Report!$C:$C,"&lt;"&amp;DATE(2027,2,1))</f>
        <v>0</v>
      </c>
      <c r="P38" s="15" t="n">
        <f aca="false">SUMIFS(Report!$U:$U,Report!$T:$T,$A38,Report!$C:$C,"&gt;="&amp;DATE(2027,2,1),Report!$C:$C,"&lt;"&amp;DATE(2027,3,1))</f>
        <v>0</v>
      </c>
      <c r="Q38" s="15" t="n">
        <f aca="false">SUMIFS(Report!$U:$U,Report!$T:$T,$A38,Report!$C:$C,"&gt;="&amp;DATE(2027,3,1),Report!$C:$C,"&lt;"&amp;DATE(2027,4,1))</f>
        <v>0</v>
      </c>
      <c r="R38" s="15" t="n">
        <f aca="false">SUMIFS(Report!$U:$U,Report!$T:$T,$A38,Report!$C:$C,"&gt;="&amp;DATE(2027,4,1),Report!$C:$C,"&lt;"&amp;DATE(2027,5,1))</f>
        <v>0</v>
      </c>
      <c r="S38" s="15" t="n">
        <f aca="false">SUMIFS(Report!$U:$U,Report!$T:$T,$A38,Report!$C:$C,"&gt;="&amp;DATE(2027,5,1),Report!$C:$C,"&lt;"&amp;DATE(2027,6,1))</f>
        <v>0</v>
      </c>
      <c r="T38" s="15" t="n">
        <f aca="false">SUMIFS(Report!$U:$U,Report!$T:$T,$A38,Report!$C:$C,"&gt;="&amp;DATE(2027,6,1),Report!$C:$C,"&lt;"&amp;DATE(2027,7,1))</f>
        <v>0</v>
      </c>
      <c r="U38" s="15" t="n">
        <f aca="false">SUMIFS(Report!$U:$U,Report!$T:$T,$A38,Report!$C:$C,"&gt;="&amp;DATE(2027,7,1),Report!$C:$C,"&lt;"&amp;DATE(2027,8,1))</f>
        <v>0</v>
      </c>
      <c r="V38" s="15" t="n">
        <f aca="false">SUMIFS(Report!$U:$U,Report!$T:$T,$A38,Report!$C:$C,"&gt;="&amp;DATE(2027,8,1),Report!$C:$C,"&lt;"&amp;DATE(2027,9,1))</f>
        <v>0</v>
      </c>
      <c r="W38" s="15" t="n">
        <f aca="false">SUMIFS(Report!$U:$U,Report!$T:$T,$A38,Report!$C:$C,"&gt;="&amp;DATE(2027,9,1),Report!$C:$C,"&lt;"&amp;DATE(2027,10,1))</f>
        <v>0</v>
      </c>
      <c r="X38" s="15" t="n">
        <f aca="false">SUMIFS(Report!$U:$U,Report!$T:$T,$A38,Report!$C:$C,"&gt;="&amp;DATE(2027,10,1),Report!$C:$C,"&lt;"&amp;DATE(2027,11,1))</f>
        <v>0</v>
      </c>
      <c r="Y38" s="15" t="n">
        <f aca="false">SUMIFS(Report!$U:$U,Report!$T:$T,$A38,Report!$C:$C,"&gt;="&amp;DATE(2027,11,1),Report!$C:$C,"&lt;"&amp;DATE(2027,12,1))</f>
        <v>0</v>
      </c>
      <c r="Z38" s="15" t="n">
        <f aca="false">SUMIFS(Report!$U:$U,Report!$T:$T,$A38,Report!$C:$C,"&gt;="&amp;DATE(2027,12,1),Report!$C:$C,"&lt;"&amp;DATE(2028,1,1))</f>
        <v>0</v>
      </c>
      <c r="AA38" s="15" t="n">
        <f aca="false">SUM(C38:Z38)</f>
        <v>265</v>
      </c>
    </row>
    <row r="39" customFormat="false" ht="12.75" hidden="false" customHeight="true" outlineLevel="0" collapsed="false">
      <c r="A39" s="0" t="s">
        <v>737</v>
      </c>
      <c r="B39" s="0" t="str">
        <f aca="false">IFERROR(INDEX('Resumo Grupos'!$AC$3:$AC$200,MATCH($A39,'Resumo Grupos'!$AB$3:$AB$200,0)),"n/d")</f>
        <v>Despesa</v>
      </c>
      <c r="C39" s="15" t="n">
        <f aca="false">SUMIFS(Report!$U:$U,Report!$T:$T,$A39,Report!$C:$C,"&gt;="&amp;DATE(2026,1,1),Report!$C:$C,"&lt;"&amp;DATE(2026,2,1))</f>
        <v>0</v>
      </c>
      <c r="D39" s="15" t="n">
        <f aca="false">SUMIFS(Report!$U:$U,Report!$T:$T,$A39,Report!$C:$C,"&gt;="&amp;DATE(2026,2,1),Report!$C:$C,"&lt;"&amp;DATE(2026,3,1))</f>
        <v>0</v>
      </c>
      <c r="E39" s="15" t="n">
        <f aca="false">SUMIFS(Report!$U:$U,Report!$T:$T,$A39,Report!$C:$C,"&gt;="&amp;DATE(2026,3,1),Report!$C:$C,"&lt;"&amp;DATE(2026,4,1))</f>
        <v>0</v>
      </c>
      <c r="F39" s="15" t="n">
        <f aca="false">SUMIFS(Report!$U:$U,Report!$T:$T,$A39,Report!$C:$C,"&gt;="&amp;DATE(2026,4,1),Report!$C:$C,"&lt;"&amp;DATE(2026,5,1))</f>
        <v>0</v>
      </c>
      <c r="G39" s="15" t="n">
        <f aca="false">SUMIFS(Report!$U:$U,Report!$T:$T,$A39,Report!$C:$C,"&gt;="&amp;DATE(2026,5,1),Report!$C:$C,"&lt;"&amp;DATE(2026,6,1))</f>
        <v>0</v>
      </c>
      <c r="H39" s="15" t="n">
        <f aca="false">SUMIFS(Report!$U:$U,Report!$T:$T,$A39,Report!$C:$C,"&gt;="&amp;DATE(2026,6,1),Report!$C:$C,"&lt;"&amp;DATE(2026,7,1))</f>
        <v>0</v>
      </c>
      <c r="I39" s="15" t="n">
        <f aca="false">SUMIFS(Report!$U:$U,Report!$T:$T,$A39,Report!$C:$C,"&gt;="&amp;DATE(2026,7,1),Report!$C:$C,"&lt;"&amp;DATE(2026,8,1))</f>
        <v>1217.33</v>
      </c>
      <c r="J39" s="15" t="n">
        <f aca="false">SUMIFS(Report!$U:$U,Report!$T:$T,$A39,Report!$C:$C,"&gt;="&amp;DATE(2026,8,1),Report!$C:$C,"&lt;"&amp;DATE(2026,9,1))</f>
        <v>0</v>
      </c>
      <c r="K39" s="15" t="n">
        <f aca="false">SUMIFS(Report!$U:$U,Report!$T:$T,$A39,Report!$C:$C,"&gt;="&amp;DATE(2026,9,1),Report!$C:$C,"&lt;"&amp;DATE(2026,10,1))</f>
        <v>1736.58</v>
      </c>
      <c r="L39" s="15" t="n">
        <f aca="false">SUMIFS(Report!$U:$U,Report!$T:$T,$A39,Report!$C:$C,"&gt;="&amp;DATE(2026,10,1),Report!$C:$C,"&lt;"&amp;DATE(2026,11,1))</f>
        <v>984.64</v>
      </c>
      <c r="M39" s="15" t="n">
        <f aca="false">SUMIFS(Report!$U:$U,Report!$T:$T,$A39,Report!$C:$C,"&gt;="&amp;DATE(2026,11,1),Report!$C:$C,"&lt;"&amp;DATE(2026,12,1))</f>
        <v>0</v>
      </c>
      <c r="N39" s="15" t="n">
        <f aca="false">SUMIFS(Report!$U:$U,Report!$T:$T,$A39,Report!$C:$C,"&gt;="&amp;DATE(2026,12,1),Report!$C:$C,"&lt;"&amp;DATE(2027,1,1))</f>
        <v>0</v>
      </c>
      <c r="O39" s="15" t="n">
        <f aca="false">SUMIFS(Report!$U:$U,Report!$T:$T,$A39,Report!$C:$C,"&gt;="&amp;DATE(2027,1,1),Report!$C:$C,"&lt;"&amp;DATE(2027,2,1))</f>
        <v>0</v>
      </c>
      <c r="P39" s="15" t="n">
        <f aca="false">SUMIFS(Report!$U:$U,Report!$T:$T,$A39,Report!$C:$C,"&gt;="&amp;DATE(2027,2,1),Report!$C:$C,"&lt;"&amp;DATE(2027,3,1))</f>
        <v>0</v>
      </c>
      <c r="Q39" s="15" t="n">
        <f aca="false">SUMIFS(Report!$U:$U,Report!$T:$T,$A39,Report!$C:$C,"&gt;="&amp;DATE(2027,3,1),Report!$C:$C,"&lt;"&amp;DATE(2027,4,1))</f>
        <v>0</v>
      </c>
      <c r="R39" s="15" t="n">
        <f aca="false">SUMIFS(Report!$U:$U,Report!$T:$T,$A39,Report!$C:$C,"&gt;="&amp;DATE(2027,4,1),Report!$C:$C,"&lt;"&amp;DATE(2027,5,1))</f>
        <v>0</v>
      </c>
      <c r="S39" s="15" t="n">
        <f aca="false">SUMIFS(Report!$U:$U,Report!$T:$T,$A39,Report!$C:$C,"&gt;="&amp;DATE(2027,5,1),Report!$C:$C,"&lt;"&amp;DATE(2027,6,1))</f>
        <v>0</v>
      </c>
      <c r="T39" s="15" t="n">
        <f aca="false">SUMIFS(Report!$U:$U,Report!$T:$T,$A39,Report!$C:$C,"&gt;="&amp;DATE(2027,6,1),Report!$C:$C,"&lt;"&amp;DATE(2027,7,1))</f>
        <v>0</v>
      </c>
      <c r="U39" s="15" t="n">
        <f aca="false">SUMIFS(Report!$U:$U,Report!$T:$T,$A39,Report!$C:$C,"&gt;="&amp;DATE(2027,7,1),Report!$C:$C,"&lt;"&amp;DATE(2027,8,1))</f>
        <v>0</v>
      </c>
      <c r="V39" s="15" t="n">
        <f aca="false">SUMIFS(Report!$U:$U,Report!$T:$T,$A39,Report!$C:$C,"&gt;="&amp;DATE(2027,8,1),Report!$C:$C,"&lt;"&amp;DATE(2027,9,1))</f>
        <v>0</v>
      </c>
      <c r="W39" s="15" t="n">
        <f aca="false">SUMIFS(Report!$U:$U,Report!$T:$T,$A39,Report!$C:$C,"&gt;="&amp;DATE(2027,9,1),Report!$C:$C,"&lt;"&amp;DATE(2027,10,1))</f>
        <v>0</v>
      </c>
      <c r="X39" s="15" t="n">
        <f aca="false">SUMIFS(Report!$U:$U,Report!$T:$T,$A39,Report!$C:$C,"&gt;="&amp;DATE(2027,10,1),Report!$C:$C,"&lt;"&amp;DATE(2027,11,1))</f>
        <v>0</v>
      </c>
      <c r="Y39" s="15" t="n">
        <f aca="false">SUMIFS(Report!$U:$U,Report!$T:$T,$A39,Report!$C:$C,"&gt;="&amp;DATE(2027,11,1),Report!$C:$C,"&lt;"&amp;DATE(2027,12,1))</f>
        <v>0</v>
      </c>
      <c r="Z39" s="15" t="n">
        <f aca="false">SUMIFS(Report!$U:$U,Report!$T:$T,$A39,Report!$C:$C,"&gt;="&amp;DATE(2027,12,1),Report!$C:$C,"&lt;"&amp;DATE(2028,1,1))</f>
        <v>0</v>
      </c>
      <c r="AA39" s="15" t="n">
        <f aca="false">SUM(C39:Z39)</f>
        <v>3938.55</v>
      </c>
    </row>
    <row r="40" customFormat="false" ht="12.75" hidden="false" customHeight="true" outlineLevel="0" collapsed="false">
      <c r="A40" s="0" t="s">
        <v>320</v>
      </c>
      <c r="B40" s="0" t="str">
        <f aca="false">IFERROR(INDEX('Resumo Grupos'!$AC$3:$AC$200,MATCH($A40,'Resumo Grupos'!$AB$3:$AB$200,0)),"n/d")</f>
        <v>Despesa</v>
      </c>
      <c r="C40" s="15" t="n">
        <f aca="false">SUMIFS(Report!$U:$U,Report!$T:$T,$A40,Report!$C:$C,"&gt;="&amp;DATE(2026,1,1),Report!$C:$C,"&lt;"&amp;DATE(2026,2,1))</f>
        <v>0</v>
      </c>
      <c r="D40" s="15" t="n">
        <f aca="false">SUMIFS(Report!$U:$U,Report!$T:$T,$A40,Report!$C:$C,"&gt;="&amp;DATE(2026,2,1),Report!$C:$C,"&lt;"&amp;DATE(2026,3,1))</f>
        <v>0</v>
      </c>
      <c r="E40" s="15" t="n">
        <f aca="false">SUMIFS(Report!$U:$U,Report!$T:$T,$A40,Report!$C:$C,"&gt;="&amp;DATE(2026,3,1),Report!$C:$C,"&lt;"&amp;DATE(2026,4,1))</f>
        <v>0</v>
      </c>
      <c r="F40" s="15" t="n">
        <f aca="false">SUMIFS(Report!$U:$U,Report!$T:$T,$A40,Report!$C:$C,"&gt;="&amp;DATE(2026,4,1),Report!$C:$C,"&lt;"&amp;DATE(2026,5,1))</f>
        <v>0</v>
      </c>
      <c r="G40" s="15" t="n">
        <f aca="false">SUMIFS(Report!$U:$U,Report!$T:$T,$A40,Report!$C:$C,"&gt;="&amp;DATE(2026,5,1),Report!$C:$C,"&lt;"&amp;DATE(2026,6,1))</f>
        <v>0</v>
      </c>
      <c r="H40" s="15" t="n">
        <f aca="false">SUMIFS(Report!$U:$U,Report!$T:$T,$A40,Report!$C:$C,"&gt;="&amp;DATE(2026,6,1),Report!$C:$C,"&lt;"&amp;DATE(2026,7,1))</f>
        <v>2561.26</v>
      </c>
      <c r="I40" s="15" t="n">
        <f aca="false">SUMIFS(Report!$U:$U,Report!$T:$T,$A40,Report!$C:$C,"&gt;="&amp;DATE(2026,7,1),Report!$C:$C,"&lt;"&amp;DATE(2026,8,1))</f>
        <v>835.26</v>
      </c>
      <c r="J40" s="15" t="n">
        <f aca="false">SUMIFS(Report!$U:$U,Report!$T:$T,$A40,Report!$C:$C,"&gt;="&amp;DATE(2026,8,1),Report!$C:$C,"&lt;"&amp;DATE(2026,9,1))</f>
        <v>415.26</v>
      </c>
      <c r="K40" s="15" t="n">
        <f aca="false">SUMIFS(Report!$U:$U,Report!$T:$T,$A40,Report!$C:$C,"&gt;="&amp;DATE(2026,9,1),Report!$C:$C,"&lt;"&amp;DATE(2026,10,1))</f>
        <v>79.9</v>
      </c>
      <c r="L40" s="15" t="n">
        <f aca="false">SUMIFS(Report!$U:$U,Report!$T:$T,$A40,Report!$C:$C,"&gt;="&amp;DATE(2026,10,1),Report!$C:$C,"&lt;"&amp;DATE(2026,11,1))</f>
        <v>79.9</v>
      </c>
      <c r="M40" s="15" t="n">
        <f aca="false">SUMIFS(Report!$U:$U,Report!$T:$T,$A40,Report!$C:$C,"&gt;="&amp;DATE(2026,11,1),Report!$C:$C,"&lt;"&amp;DATE(2026,12,1))</f>
        <v>79.9</v>
      </c>
      <c r="N40" s="15" t="n">
        <f aca="false">SUMIFS(Report!$U:$U,Report!$T:$T,$A40,Report!$C:$C,"&gt;="&amp;DATE(2026,12,1),Report!$C:$C,"&lt;"&amp;DATE(2027,1,1))</f>
        <v>79.9</v>
      </c>
      <c r="O40" s="15" t="n">
        <f aca="false">SUMIFS(Report!$U:$U,Report!$T:$T,$A40,Report!$C:$C,"&gt;="&amp;DATE(2027,1,1),Report!$C:$C,"&lt;"&amp;DATE(2027,2,1))</f>
        <v>0</v>
      </c>
      <c r="P40" s="15" t="n">
        <f aca="false">SUMIFS(Report!$U:$U,Report!$T:$T,$A40,Report!$C:$C,"&gt;="&amp;DATE(2027,2,1),Report!$C:$C,"&lt;"&amp;DATE(2027,3,1))</f>
        <v>0</v>
      </c>
      <c r="Q40" s="15" t="n">
        <f aca="false">SUMIFS(Report!$U:$U,Report!$T:$T,$A40,Report!$C:$C,"&gt;="&amp;DATE(2027,3,1),Report!$C:$C,"&lt;"&amp;DATE(2027,4,1))</f>
        <v>0</v>
      </c>
      <c r="R40" s="15" t="n">
        <f aca="false">SUMIFS(Report!$U:$U,Report!$T:$T,$A40,Report!$C:$C,"&gt;="&amp;DATE(2027,4,1),Report!$C:$C,"&lt;"&amp;DATE(2027,5,1))</f>
        <v>0</v>
      </c>
      <c r="S40" s="15" t="n">
        <f aca="false">SUMIFS(Report!$U:$U,Report!$T:$T,$A40,Report!$C:$C,"&gt;="&amp;DATE(2027,5,1),Report!$C:$C,"&lt;"&amp;DATE(2027,6,1))</f>
        <v>0</v>
      </c>
      <c r="T40" s="15" t="n">
        <f aca="false">SUMIFS(Report!$U:$U,Report!$T:$T,$A40,Report!$C:$C,"&gt;="&amp;DATE(2027,6,1),Report!$C:$C,"&lt;"&amp;DATE(2027,7,1))</f>
        <v>0</v>
      </c>
      <c r="U40" s="15" t="n">
        <f aca="false">SUMIFS(Report!$U:$U,Report!$T:$T,$A40,Report!$C:$C,"&gt;="&amp;DATE(2027,7,1),Report!$C:$C,"&lt;"&amp;DATE(2027,8,1))</f>
        <v>0</v>
      </c>
      <c r="V40" s="15" t="n">
        <f aca="false">SUMIFS(Report!$U:$U,Report!$T:$T,$A40,Report!$C:$C,"&gt;="&amp;DATE(2027,8,1),Report!$C:$C,"&lt;"&amp;DATE(2027,9,1))</f>
        <v>0</v>
      </c>
      <c r="W40" s="15" t="n">
        <f aca="false">SUMIFS(Report!$U:$U,Report!$T:$T,$A40,Report!$C:$C,"&gt;="&amp;DATE(2027,9,1),Report!$C:$C,"&lt;"&amp;DATE(2027,10,1))</f>
        <v>0</v>
      </c>
      <c r="X40" s="15" t="n">
        <f aca="false">SUMIFS(Report!$U:$U,Report!$T:$T,$A40,Report!$C:$C,"&gt;="&amp;DATE(2027,10,1),Report!$C:$C,"&lt;"&amp;DATE(2027,11,1))</f>
        <v>0</v>
      </c>
      <c r="Y40" s="15" t="n">
        <f aca="false">SUMIFS(Report!$U:$U,Report!$T:$T,$A40,Report!$C:$C,"&gt;="&amp;DATE(2027,11,1),Report!$C:$C,"&lt;"&amp;DATE(2027,12,1))</f>
        <v>0</v>
      </c>
      <c r="Z40" s="15" t="n">
        <f aca="false">SUMIFS(Report!$U:$U,Report!$T:$T,$A40,Report!$C:$C,"&gt;="&amp;DATE(2027,12,1),Report!$C:$C,"&lt;"&amp;DATE(2028,1,1))</f>
        <v>0</v>
      </c>
      <c r="AA40" s="15" t="n">
        <f aca="false">SUM(C40:Z40)</f>
        <v>4131.38</v>
      </c>
    </row>
    <row r="41" customFormat="false" ht="12.75" hidden="false" customHeight="true" outlineLevel="0" collapsed="false">
      <c r="A41" s="0" t="s">
        <v>99</v>
      </c>
      <c r="B41" s="0" t="str">
        <f aca="false">IFERROR(INDEX('Resumo Grupos'!$AC$3:$AC$200,MATCH($A41,'Resumo Grupos'!$AB$3:$AB$200,0)),"n/d")</f>
        <v>Despesa</v>
      </c>
      <c r="C41" s="15" t="n">
        <f aca="false">SUMIFS(Report!$U:$U,Report!$T:$T,$A41,Report!$C:$C,"&gt;="&amp;DATE(2026,1,1),Report!$C:$C,"&lt;"&amp;DATE(2026,2,1))</f>
        <v>0</v>
      </c>
      <c r="D41" s="15" t="n">
        <f aca="false">SUMIFS(Report!$U:$U,Report!$T:$T,$A41,Report!$C:$C,"&gt;="&amp;DATE(2026,2,1),Report!$C:$C,"&lt;"&amp;DATE(2026,3,1))</f>
        <v>0</v>
      </c>
      <c r="E41" s="15" t="n">
        <f aca="false">SUMIFS(Report!$U:$U,Report!$T:$T,$A41,Report!$C:$C,"&gt;="&amp;DATE(2026,3,1),Report!$C:$C,"&lt;"&amp;DATE(2026,4,1))</f>
        <v>0</v>
      </c>
      <c r="F41" s="15" t="n">
        <f aca="false">SUMIFS(Report!$U:$U,Report!$T:$T,$A41,Report!$C:$C,"&gt;="&amp;DATE(2026,4,1),Report!$C:$C,"&lt;"&amp;DATE(2026,5,1))</f>
        <v>0</v>
      </c>
      <c r="G41" s="15" t="n">
        <f aca="false">SUMIFS(Report!$U:$U,Report!$T:$T,$A41,Report!$C:$C,"&gt;="&amp;DATE(2026,5,1),Report!$C:$C,"&lt;"&amp;DATE(2026,6,1))</f>
        <v>0</v>
      </c>
      <c r="H41" s="15" t="n">
        <f aca="false">SUMIFS(Report!$U:$U,Report!$T:$T,$A41,Report!$C:$C,"&gt;="&amp;DATE(2026,6,1),Report!$C:$C,"&lt;"&amp;DATE(2026,7,1))</f>
        <v>1898</v>
      </c>
      <c r="I41" s="15" t="n">
        <f aca="false">SUMIFS(Report!$U:$U,Report!$T:$T,$A41,Report!$C:$C,"&gt;="&amp;DATE(2026,7,1),Report!$C:$C,"&lt;"&amp;DATE(2026,8,1))</f>
        <v>1898</v>
      </c>
      <c r="J41" s="15" t="n">
        <f aca="false">SUMIFS(Report!$U:$U,Report!$T:$T,$A41,Report!$C:$C,"&gt;="&amp;DATE(2026,8,1),Report!$C:$C,"&lt;"&amp;DATE(2026,9,1))</f>
        <v>1898</v>
      </c>
      <c r="K41" s="15" t="n">
        <f aca="false">SUMIFS(Report!$U:$U,Report!$T:$T,$A41,Report!$C:$C,"&gt;="&amp;DATE(2026,9,1),Report!$C:$C,"&lt;"&amp;DATE(2026,10,1))</f>
        <v>1898</v>
      </c>
      <c r="L41" s="15" t="n">
        <f aca="false">SUMIFS(Report!$U:$U,Report!$T:$T,$A41,Report!$C:$C,"&gt;="&amp;DATE(2026,10,1),Report!$C:$C,"&lt;"&amp;DATE(2026,11,1))</f>
        <v>0</v>
      </c>
      <c r="M41" s="15" t="n">
        <f aca="false">SUMIFS(Report!$U:$U,Report!$T:$T,$A41,Report!$C:$C,"&gt;="&amp;DATE(2026,11,1),Report!$C:$C,"&lt;"&amp;DATE(2026,12,1))</f>
        <v>0</v>
      </c>
      <c r="N41" s="15" t="n">
        <f aca="false">SUMIFS(Report!$U:$U,Report!$T:$T,$A41,Report!$C:$C,"&gt;="&amp;DATE(2026,12,1),Report!$C:$C,"&lt;"&amp;DATE(2027,1,1))</f>
        <v>0</v>
      </c>
      <c r="O41" s="15" t="n">
        <f aca="false">SUMIFS(Report!$U:$U,Report!$T:$T,$A41,Report!$C:$C,"&gt;="&amp;DATE(2027,1,1),Report!$C:$C,"&lt;"&amp;DATE(2027,2,1))</f>
        <v>0</v>
      </c>
      <c r="P41" s="15" t="n">
        <f aca="false">SUMIFS(Report!$U:$U,Report!$T:$T,$A41,Report!$C:$C,"&gt;="&amp;DATE(2027,2,1),Report!$C:$C,"&lt;"&amp;DATE(2027,3,1))</f>
        <v>0</v>
      </c>
      <c r="Q41" s="15" t="n">
        <f aca="false">SUMIFS(Report!$U:$U,Report!$T:$T,$A41,Report!$C:$C,"&gt;="&amp;DATE(2027,3,1),Report!$C:$C,"&lt;"&amp;DATE(2027,4,1))</f>
        <v>0</v>
      </c>
      <c r="R41" s="15" t="n">
        <f aca="false">SUMIFS(Report!$U:$U,Report!$T:$T,$A41,Report!$C:$C,"&gt;="&amp;DATE(2027,4,1),Report!$C:$C,"&lt;"&amp;DATE(2027,5,1))</f>
        <v>0</v>
      </c>
      <c r="S41" s="15" t="n">
        <f aca="false">SUMIFS(Report!$U:$U,Report!$T:$T,$A41,Report!$C:$C,"&gt;="&amp;DATE(2027,5,1),Report!$C:$C,"&lt;"&amp;DATE(2027,6,1))</f>
        <v>0</v>
      </c>
      <c r="T41" s="15" t="n">
        <f aca="false">SUMIFS(Report!$U:$U,Report!$T:$T,$A41,Report!$C:$C,"&gt;="&amp;DATE(2027,6,1),Report!$C:$C,"&lt;"&amp;DATE(2027,7,1))</f>
        <v>0</v>
      </c>
      <c r="U41" s="15" t="n">
        <f aca="false">SUMIFS(Report!$U:$U,Report!$T:$T,$A41,Report!$C:$C,"&gt;="&amp;DATE(2027,7,1),Report!$C:$C,"&lt;"&amp;DATE(2027,8,1))</f>
        <v>0</v>
      </c>
      <c r="V41" s="15" t="n">
        <f aca="false">SUMIFS(Report!$U:$U,Report!$T:$T,$A41,Report!$C:$C,"&gt;="&amp;DATE(2027,8,1),Report!$C:$C,"&lt;"&amp;DATE(2027,9,1))</f>
        <v>0</v>
      </c>
      <c r="W41" s="15" t="n">
        <f aca="false">SUMIFS(Report!$U:$U,Report!$T:$T,$A41,Report!$C:$C,"&gt;="&amp;DATE(2027,9,1),Report!$C:$C,"&lt;"&amp;DATE(2027,10,1))</f>
        <v>0</v>
      </c>
      <c r="X41" s="15" t="n">
        <f aca="false">SUMIFS(Report!$U:$U,Report!$T:$T,$A41,Report!$C:$C,"&gt;="&amp;DATE(2027,10,1),Report!$C:$C,"&lt;"&amp;DATE(2027,11,1))</f>
        <v>0</v>
      </c>
      <c r="Y41" s="15" t="n">
        <f aca="false">SUMIFS(Report!$U:$U,Report!$T:$T,$A41,Report!$C:$C,"&gt;="&amp;DATE(2027,11,1),Report!$C:$C,"&lt;"&amp;DATE(2027,12,1))</f>
        <v>0</v>
      </c>
      <c r="Z41" s="15" t="n">
        <f aca="false">SUMIFS(Report!$U:$U,Report!$T:$T,$A41,Report!$C:$C,"&gt;="&amp;DATE(2027,12,1),Report!$C:$C,"&lt;"&amp;DATE(2028,1,1))</f>
        <v>0</v>
      </c>
      <c r="AA41" s="15" t="n">
        <f aca="false">SUM(C41:Z41)</f>
        <v>7592</v>
      </c>
    </row>
    <row r="42" customFormat="false" ht="12.75" hidden="false" customHeight="true" outlineLevel="0" collapsed="false">
      <c r="A42" s="0" t="s">
        <v>40</v>
      </c>
      <c r="B42" s="0" t="str">
        <f aca="false">IFERROR(INDEX('Resumo Grupos'!$AC$3:$AC$200,MATCH($A42,'Resumo Grupos'!$AB$3:$AB$200,0)),"n/d")</f>
        <v>Despesa</v>
      </c>
      <c r="C42" s="15" t="n">
        <f aca="false">SUMIFS(Report!$U:$U,Report!$T:$T,$A42,Report!$C:$C,"&gt;="&amp;DATE(2026,1,1),Report!$C:$C,"&lt;"&amp;DATE(2026,2,1))</f>
        <v>0</v>
      </c>
      <c r="D42" s="15" t="n">
        <f aca="false">SUMIFS(Report!$U:$U,Report!$T:$T,$A42,Report!$C:$C,"&gt;="&amp;DATE(2026,2,1),Report!$C:$C,"&lt;"&amp;DATE(2026,3,1))</f>
        <v>0</v>
      </c>
      <c r="E42" s="15" t="n">
        <f aca="false">SUMIFS(Report!$U:$U,Report!$T:$T,$A42,Report!$C:$C,"&gt;="&amp;DATE(2026,3,1),Report!$C:$C,"&lt;"&amp;DATE(2026,4,1))</f>
        <v>0</v>
      </c>
      <c r="F42" s="15" t="n">
        <f aca="false">SUMIFS(Report!$U:$U,Report!$T:$T,$A42,Report!$C:$C,"&gt;="&amp;DATE(2026,4,1),Report!$C:$C,"&lt;"&amp;DATE(2026,5,1))</f>
        <v>0</v>
      </c>
      <c r="G42" s="15" t="n">
        <f aca="false">SUMIFS(Report!$U:$U,Report!$T:$T,$A42,Report!$C:$C,"&gt;="&amp;DATE(2026,5,1),Report!$C:$C,"&lt;"&amp;DATE(2026,6,1))</f>
        <v>0</v>
      </c>
      <c r="H42" s="15" t="n">
        <f aca="false">SUMIFS(Report!$U:$U,Report!$T:$T,$A42,Report!$C:$C,"&gt;="&amp;DATE(2026,6,1),Report!$C:$C,"&lt;"&amp;DATE(2026,7,1))</f>
        <v>831.67</v>
      </c>
      <c r="I42" s="15" t="n">
        <f aca="false">SUMIFS(Report!$U:$U,Report!$T:$T,$A42,Report!$C:$C,"&gt;="&amp;DATE(2026,7,1),Report!$C:$C,"&lt;"&amp;DATE(2026,8,1))</f>
        <v>831.65</v>
      </c>
      <c r="J42" s="15" t="n">
        <f aca="false">SUMIFS(Report!$U:$U,Report!$T:$T,$A42,Report!$C:$C,"&gt;="&amp;DATE(2026,8,1),Report!$C:$C,"&lt;"&amp;DATE(2026,9,1))</f>
        <v>0</v>
      </c>
      <c r="K42" s="15" t="n">
        <f aca="false">SUMIFS(Report!$U:$U,Report!$T:$T,$A42,Report!$C:$C,"&gt;="&amp;DATE(2026,9,1),Report!$C:$C,"&lt;"&amp;DATE(2026,10,1))</f>
        <v>0</v>
      </c>
      <c r="L42" s="15" t="n">
        <f aca="false">SUMIFS(Report!$U:$U,Report!$T:$T,$A42,Report!$C:$C,"&gt;="&amp;DATE(2026,10,1),Report!$C:$C,"&lt;"&amp;DATE(2026,11,1))</f>
        <v>0</v>
      </c>
      <c r="M42" s="15" t="n">
        <f aca="false">SUMIFS(Report!$U:$U,Report!$T:$T,$A42,Report!$C:$C,"&gt;="&amp;DATE(2026,11,1),Report!$C:$C,"&lt;"&amp;DATE(2026,12,1))</f>
        <v>0</v>
      </c>
      <c r="N42" s="15" t="n">
        <f aca="false">SUMIFS(Report!$U:$U,Report!$T:$T,$A42,Report!$C:$C,"&gt;="&amp;DATE(2026,12,1),Report!$C:$C,"&lt;"&amp;DATE(2027,1,1))</f>
        <v>0</v>
      </c>
      <c r="O42" s="15" t="n">
        <f aca="false">SUMIFS(Report!$U:$U,Report!$T:$T,$A42,Report!$C:$C,"&gt;="&amp;DATE(2027,1,1),Report!$C:$C,"&lt;"&amp;DATE(2027,2,1))</f>
        <v>0</v>
      </c>
      <c r="P42" s="15" t="n">
        <f aca="false">SUMIFS(Report!$U:$U,Report!$T:$T,$A42,Report!$C:$C,"&gt;="&amp;DATE(2027,2,1),Report!$C:$C,"&lt;"&amp;DATE(2027,3,1))</f>
        <v>0</v>
      </c>
      <c r="Q42" s="15" t="n">
        <f aca="false">SUMIFS(Report!$U:$U,Report!$T:$T,$A42,Report!$C:$C,"&gt;="&amp;DATE(2027,3,1),Report!$C:$C,"&lt;"&amp;DATE(2027,4,1))</f>
        <v>0</v>
      </c>
      <c r="R42" s="15" t="n">
        <f aca="false">SUMIFS(Report!$U:$U,Report!$T:$T,$A42,Report!$C:$C,"&gt;="&amp;DATE(2027,4,1),Report!$C:$C,"&lt;"&amp;DATE(2027,5,1))</f>
        <v>0</v>
      </c>
      <c r="S42" s="15" t="n">
        <f aca="false">SUMIFS(Report!$U:$U,Report!$T:$T,$A42,Report!$C:$C,"&gt;="&amp;DATE(2027,5,1),Report!$C:$C,"&lt;"&amp;DATE(2027,6,1))</f>
        <v>0</v>
      </c>
      <c r="T42" s="15" t="n">
        <f aca="false">SUMIFS(Report!$U:$U,Report!$T:$T,$A42,Report!$C:$C,"&gt;="&amp;DATE(2027,6,1),Report!$C:$C,"&lt;"&amp;DATE(2027,7,1))</f>
        <v>0</v>
      </c>
      <c r="U42" s="15" t="n">
        <f aca="false">SUMIFS(Report!$U:$U,Report!$T:$T,$A42,Report!$C:$C,"&gt;="&amp;DATE(2027,7,1),Report!$C:$C,"&lt;"&amp;DATE(2027,8,1))</f>
        <v>0</v>
      </c>
      <c r="V42" s="15" t="n">
        <f aca="false">SUMIFS(Report!$U:$U,Report!$T:$T,$A42,Report!$C:$C,"&gt;="&amp;DATE(2027,8,1),Report!$C:$C,"&lt;"&amp;DATE(2027,9,1))</f>
        <v>0</v>
      </c>
      <c r="W42" s="15" t="n">
        <f aca="false">SUMIFS(Report!$U:$U,Report!$T:$T,$A42,Report!$C:$C,"&gt;="&amp;DATE(2027,9,1),Report!$C:$C,"&lt;"&amp;DATE(2027,10,1))</f>
        <v>0</v>
      </c>
      <c r="X42" s="15" t="n">
        <f aca="false">SUMIFS(Report!$U:$U,Report!$T:$T,$A42,Report!$C:$C,"&gt;="&amp;DATE(2027,10,1),Report!$C:$C,"&lt;"&amp;DATE(2027,11,1))</f>
        <v>0</v>
      </c>
      <c r="Y42" s="15" t="n">
        <f aca="false">SUMIFS(Report!$U:$U,Report!$T:$T,$A42,Report!$C:$C,"&gt;="&amp;DATE(2027,11,1),Report!$C:$C,"&lt;"&amp;DATE(2027,12,1))</f>
        <v>0</v>
      </c>
      <c r="Z42" s="15" t="n">
        <f aca="false">SUMIFS(Report!$U:$U,Report!$T:$T,$A42,Report!$C:$C,"&gt;="&amp;DATE(2027,12,1),Report!$C:$C,"&lt;"&amp;DATE(2028,1,1))</f>
        <v>0</v>
      </c>
      <c r="AA42" s="15" t="n">
        <f aca="false">SUM(C42:Z42)</f>
        <v>1663.32</v>
      </c>
    </row>
    <row r="43" customFormat="false" ht="12.75" hidden="false" customHeight="true" outlineLevel="0" collapsed="false">
      <c r="A43" s="0" t="s">
        <v>608</v>
      </c>
      <c r="B43" s="0" t="str">
        <f aca="false">IFERROR(INDEX('Resumo Grupos'!$AC$3:$AC$200,MATCH($A43,'Resumo Grupos'!$AB$3:$AB$200,0)),"n/d")</f>
        <v>Despesa</v>
      </c>
      <c r="C43" s="15" t="n">
        <f aca="false">SUMIFS(Report!$U:$U,Report!$T:$T,$A43,Report!$C:$C,"&gt;="&amp;DATE(2026,1,1),Report!$C:$C,"&lt;"&amp;DATE(2026,2,1))</f>
        <v>0</v>
      </c>
      <c r="D43" s="15" t="n">
        <f aca="false">SUMIFS(Report!$U:$U,Report!$T:$T,$A43,Report!$C:$C,"&gt;="&amp;DATE(2026,2,1),Report!$C:$C,"&lt;"&amp;DATE(2026,3,1))</f>
        <v>0</v>
      </c>
      <c r="E43" s="15" t="n">
        <f aca="false">SUMIFS(Report!$U:$U,Report!$T:$T,$A43,Report!$C:$C,"&gt;="&amp;DATE(2026,3,1),Report!$C:$C,"&lt;"&amp;DATE(2026,4,1))</f>
        <v>0</v>
      </c>
      <c r="F43" s="15" t="n">
        <f aca="false">SUMIFS(Report!$U:$U,Report!$T:$T,$A43,Report!$C:$C,"&gt;="&amp;DATE(2026,4,1),Report!$C:$C,"&lt;"&amp;DATE(2026,5,1))</f>
        <v>0</v>
      </c>
      <c r="G43" s="15" t="n">
        <f aca="false">SUMIFS(Report!$U:$U,Report!$T:$T,$A43,Report!$C:$C,"&gt;="&amp;DATE(2026,5,1),Report!$C:$C,"&lt;"&amp;DATE(2026,6,1))</f>
        <v>0</v>
      </c>
      <c r="H43" s="15" t="n">
        <f aca="false">SUMIFS(Report!$U:$U,Report!$T:$T,$A43,Report!$C:$C,"&gt;="&amp;DATE(2026,6,1),Report!$C:$C,"&lt;"&amp;DATE(2026,7,1))</f>
        <v>50.91</v>
      </c>
      <c r="I43" s="15" t="n">
        <f aca="false">SUMIFS(Report!$U:$U,Report!$T:$T,$A43,Report!$C:$C,"&gt;="&amp;DATE(2026,7,1),Report!$C:$C,"&lt;"&amp;DATE(2026,8,1))</f>
        <v>0</v>
      </c>
      <c r="J43" s="15" t="n">
        <f aca="false">SUMIFS(Report!$U:$U,Report!$T:$T,$A43,Report!$C:$C,"&gt;="&amp;DATE(2026,8,1),Report!$C:$C,"&lt;"&amp;DATE(2026,9,1))</f>
        <v>56.51</v>
      </c>
      <c r="K43" s="15" t="n">
        <f aca="false">SUMIFS(Report!$U:$U,Report!$T:$T,$A43,Report!$C:$C,"&gt;="&amp;DATE(2026,9,1),Report!$C:$C,"&lt;"&amp;DATE(2026,10,1))</f>
        <v>56.53</v>
      </c>
      <c r="L43" s="15" t="n">
        <f aca="false">SUMIFS(Report!$U:$U,Report!$T:$T,$A43,Report!$C:$C,"&gt;="&amp;DATE(2026,10,1),Report!$C:$C,"&lt;"&amp;DATE(2026,11,1))</f>
        <v>0</v>
      </c>
      <c r="M43" s="15" t="n">
        <f aca="false">SUMIFS(Report!$U:$U,Report!$T:$T,$A43,Report!$C:$C,"&gt;="&amp;DATE(2026,11,1),Report!$C:$C,"&lt;"&amp;DATE(2026,12,1))</f>
        <v>0</v>
      </c>
      <c r="N43" s="15" t="n">
        <f aca="false">SUMIFS(Report!$U:$U,Report!$T:$T,$A43,Report!$C:$C,"&gt;="&amp;DATE(2026,12,1),Report!$C:$C,"&lt;"&amp;DATE(2027,1,1))</f>
        <v>0</v>
      </c>
      <c r="O43" s="15" t="n">
        <f aca="false">SUMIFS(Report!$U:$U,Report!$T:$T,$A43,Report!$C:$C,"&gt;="&amp;DATE(2027,1,1),Report!$C:$C,"&lt;"&amp;DATE(2027,2,1))</f>
        <v>0</v>
      </c>
      <c r="P43" s="15" t="n">
        <f aca="false">SUMIFS(Report!$U:$U,Report!$T:$T,$A43,Report!$C:$C,"&gt;="&amp;DATE(2027,2,1),Report!$C:$C,"&lt;"&amp;DATE(2027,3,1))</f>
        <v>0</v>
      </c>
      <c r="Q43" s="15" t="n">
        <f aca="false">SUMIFS(Report!$U:$U,Report!$T:$T,$A43,Report!$C:$C,"&gt;="&amp;DATE(2027,3,1),Report!$C:$C,"&lt;"&amp;DATE(2027,4,1))</f>
        <v>0</v>
      </c>
      <c r="R43" s="15" t="n">
        <f aca="false">SUMIFS(Report!$U:$U,Report!$T:$T,$A43,Report!$C:$C,"&gt;="&amp;DATE(2027,4,1),Report!$C:$C,"&lt;"&amp;DATE(2027,5,1))</f>
        <v>0</v>
      </c>
      <c r="S43" s="15" t="n">
        <f aca="false">SUMIFS(Report!$U:$U,Report!$T:$T,$A43,Report!$C:$C,"&gt;="&amp;DATE(2027,5,1),Report!$C:$C,"&lt;"&amp;DATE(2027,6,1))</f>
        <v>0</v>
      </c>
      <c r="T43" s="15" t="n">
        <f aca="false">SUMIFS(Report!$U:$U,Report!$T:$T,$A43,Report!$C:$C,"&gt;="&amp;DATE(2027,6,1),Report!$C:$C,"&lt;"&amp;DATE(2027,7,1))</f>
        <v>0</v>
      </c>
      <c r="U43" s="15" t="n">
        <f aca="false">SUMIFS(Report!$U:$U,Report!$T:$T,$A43,Report!$C:$C,"&gt;="&amp;DATE(2027,7,1),Report!$C:$C,"&lt;"&amp;DATE(2027,8,1))</f>
        <v>0</v>
      </c>
      <c r="V43" s="15" t="n">
        <f aca="false">SUMIFS(Report!$U:$U,Report!$T:$T,$A43,Report!$C:$C,"&gt;="&amp;DATE(2027,8,1),Report!$C:$C,"&lt;"&amp;DATE(2027,9,1))</f>
        <v>0</v>
      </c>
      <c r="W43" s="15" t="n">
        <f aca="false">SUMIFS(Report!$U:$U,Report!$T:$T,$A43,Report!$C:$C,"&gt;="&amp;DATE(2027,9,1),Report!$C:$C,"&lt;"&amp;DATE(2027,10,1))</f>
        <v>0</v>
      </c>
      <c r="X43" s="15" t="n">
        <f aca="false">SUMIFS(Report!$U:$U,Report!$T:$T,$A43,Report!$C:$C,"&gt;="&amp;DATE(2027,10,1),Report!$C:$C,"&lt;"&amp;DATE(2027,11,1))</f>
        <v>0</v>
      </c>
      <c r="Y43" s="15" t="n">
        <f aca="false">SUMIFS(Report!$U:$U,Report!$T:$T,$A43,Report!$C:$C,"&gt;="&amp;DATE(2027,11,1),Report!$C:$C,"&lt;"&amp;DATE(2027,12,1))</f>
        <v>0</v>
      </c>
      <c r="Z43" s="15" t="n">
        <f aca="false">SUMIFS(Report!$U:$U,Report!$T:$T,$A43,Report!$C:$C,"&gt;="&amp;DATE(2027,12,1),Report!$C:$C,"&lt;"&amp;DATE(2028,1,1))</f>
        <v>0</v>
      </c>
      <c r="AA43" s="15" t="n">
        <f aca="false">SUM(C43:Z43)</f>
        <v>163.95</v>
      </c>
    </row>
    <row r="44" customFormat="false" ht="12.75" hidden="false" customHeight="true" outlineLevel="0" collapsed="false">
      <c r="A44" s="24" t="s">
        <v>207</v>
      </c>
      <c r="B44" s="24" t="str">
        <f aca="false">IFERROR(INDEX('Resumo Grupos'!$AC$3:$AC$200,MATCH($A44,'Resumo Grupos'!$AB$3:$AB$200,0)),"n/d")</f>
        <v>Despesa</v>
      </c>
      <c r="C44" s="27" t="n">
        <f aca="false">SUMIFS(Report!$U:$U,Report!$T:$T,$A44,Report!$C:$C,"&gt;="&amp;DATE(2026,1,1),Report!$C:$C,"&lt;"&amp;DATE(2026,2,1))</f>
        <v>0</v>
      </c>
      <c r="D44" s="27" t="n">
        <f aca="false">SUMIFS(Report!$U:$U,Report!$T:$T,$A44,Report!$C:$C,"&gt;="&amp;DATE(2026,2,1),Report!$C:$C,"&lt;"&amp;DATE(2026,3,1))</f>
        <v>0</v>
      </c>
      <c r="E44" s="27" t="n">
        <f aca="false">SUMIFS(Report!$U:$U,Report!$T:$T,$A44,Report!$C:$C,"&gt;="&amp;DATE(2026,3,1),Report!$C:$C,"&lt;"&amp;DATE(2026,4,1))</f>
        <v>0</v>
      </c>
      <c r="F44" s="27" t="n">
        <f aca="false">SUMIFS(Report!$U:$U,Report!$T:$T,$A44,Report!$C:$C,"&gt;="&amp;DATE(2026,4,1),Report!$C:$C,"&lt;"&amp;DATE(2026,5,1))</f>
        <v>0</v>
      </c>
      <c r="G44" s="27" t="n">
        <f aca="false">SUMIFS(Report!$U:$U,Report!$T:$T,$A44,Report!$C:$C,"&gt;="&amp;DATE(2026,5,1),Report!$C:$C,"&lt;"&amp;DATE(2026,6,1))</f>
        <v>0</v>
      </c>
      <c r="H44" s="27" t="n">
        <f aca="false">SUMIFS(Report!$U:$U,Report!$T:$T,$A44,Report!$C:$C,"&gt;="&amp;DATE(2026,6,1),Report!$C:$C,"&lt;"&amp;DATE(2026,7,1))</f>
        <v>258</v>
      </c>
      <c r="I44" s="27" t="n">
        <f aca="false">SUMIFS(Report!$U:$U,Report!$T:$T,$A44,Report!$C:$C,"&gt;="&amp;DATE(2026,7,1),Report!$C:$C,"&lt;"&amp;DATE(2026,8,1))</f>
        <v>258</v>
      </c>
      <c r="J44" s="27" t="n">
        <f aca="false">SUMIFS(Report!$U:$U,Report!$T:$T,$A44,Report!$C:$C,"&gt;="&amp;DATE(2026,8,1),Report!$C:$C,"&lt;"&amp;DATE(2026,9,1))</f>
        <v>270.9</v>
      </c>
      <c r="K44" s="27" t="n">
        <f aca="false">SUMIFS(Report!$U:$U,Report!$T:$T,$A44,Report!$C:$C,"&gt;="&amp;DATE(2026,9,1),Report!$C:$C,"&lt;"&amp;DATE(2026,10,1))</f>
        <v>270.9</v>
      </c>
      <c r="L44" s="27" t="n">
        <f aca="false">SUMIFS(Report!$U:$U,Report!$T:$T,$A44,Report!$C:$C,"&gt;="&amp;DATE(2026,10,1),Report!$C:$C,"&lt;"&amp;DATE(2026,11,1))</f>
        <v>270.9</v>
      </c>
      <c r="M44" s="27" t="n">
        <f aca="false">SUMIFS(Report!$U:$U,Report!$T:$T,$A44,Report!$C:$C,"&gt;="&amp;DATE(2026,11,1),Report!$C:$C,"&lt;"&amp;DATE(2026,12,1))</f>
        <v>0</v>
      </c>
      <c r="N44" s="27" t="n">
        <f aca="false">SUMIFS(Report!$U:$U,Report!$T:$T,$A44,Report!$C:$C,"&gt;="&amp;DATE(2026,12,1),Report!$C:$C,"&lt;"&amp;DATE(2027,1,1))</f>
        <v>0</v>
      </c>
      <c r="O44" s="27" t="n">
        <f aca="false">SUMIFS(Report!$U:$U,Report!$T:$T,$A44,Report!$C:$C,"&gt;="&amp;DATE(2027,1,1),Report!$C:$C,"&lt;"&amp;DATE(2027,2,1))</f>
        <v>0</v>
      </c>
      <c r="P44" s="27" t="n">
        <f aca="false">SUMIFS(Report!$U:$U,Report!$T:$T,$A44,Report!$C:$C,"&gt;="&amp;DATE(2027,2,1),Report!$C:$C,"&lt;"&amp;DATE(2027,3,1))</f>
        <v>0</v>
      </c>
      <c r="Q44" s="27" t="n">
        <f aca="false">SUMIFS(Report!$U:$U,Report!$T:$T,$A44,Report!$C:$C,"&gt;="&amp;DATE(2027,3,1),Report!$C:$C,"&lt;"&amp;DATE(2027,4,1))</f>
        <v>0</v>
      </c>
      <c r="R44" s="27" t="n">
        <f aca="false">SUMIFS(Report!$U:$U,Report!$T:$T,$A44,Report!$C:$C,"&gt;="&amp;DATE(2027,4,1),Report!$C:$C,"&lt;"&amp;DATE(2027,5,1))</f>
        <v>0</v>
      </c>
      <c r="S44" s="27" t="n">
        <f aca="false">SUMIFS(Report!$U:$U,Report!$T:$T,$A44,Report!$C:$C,"&gt;="&amp;DATE(2027,5,1),Report!$C:$C,"&lt;"&amp;DATE(2027,6,1))</f>
        <v>0</v>
      </c>
      <c r="T44" s="27" t="n">
        <f aca="false">SUMIFS(Report!$U:$U,Report!$T:$T,$A44,Report!$C:$C,"&gt;="&amp;DATE(2027,6,1),Report!$C:$C,"&lt;"&amp;DATE(2027,7,1))</f>
        <v>0</v>
      </c>
      <c r="U44" s="27" t="n">
        <f aca="false">SUMIFS(Report!$U:$U,Report!$T:$T,$A44,Report!$C:$C,"&gt;="&amp;DATE(2027,7,1),Report!$C:$C,"&lt;"&amp;DATE(2027,8,1))</f>
        <v>0</v>
      </c>
      <c r="V44" s="27" t="n">
        <f aca="false">SUMIFS(Report!$U:$U,Report!$T:$T,$A44,Report!$C:$C,"&gt;="&amp;DATE(2027,8,1),Report!$C:$C,"&lt;"&amp;DATE(2027,9,1))</f>
        <v>0</v>
      </c>
      <c r="W44" s="27" t="n">
        <f aca="false">SUMIFS(Report!$U:$U,Report!$T:$T,$A44,Report!$C:$C,"&gt;="&amp;DATE(2027,9,1),Report!$C:$C,"&lt;"&amp;DATE(2027,10,1))</f>
        <v>0</v>
      </c>
      <c r="X44" s="27" t="n">
        <f aca="false">SUMIFS(Report!$U:$U,Report!$T:$T,$A44,Report!$C:$C,"&gt;="&amp;DATE(2027,10,1),Report!$C:$C,"&lt;"&amp;DATE(2027,11,1))</f>
        <v>0</v>
      </c>
      <c r="Y44" s="27" t="n">
        <f aca="false">SUMIFS(Report!$U:$U,Report!$T:$T,$A44,Report!$C:$C,"&gt;="&amp;DATE(2027,11,1),Report!$C:$C,"&lt;"&amp;DATE(2027,12,1))</f>
        <v>0</v>
      </c>
      <c r="Z44" s="27" t="n">
        <f aca="false">SUMIFS(Report!$U:$U,Report!$T:$T,$A44,Report!$C:$C,"&gt;="&amp;DATE(2027,12,1),Report!$C:$C,"&lt;"&amp;DATE(2028,1,1))</f>
        <v>0</v>
      </c>
      <c r="AA44" s="27" t="n">
        <f aca="false">SUM(C44:Z44)</f>
        <v>1328.7</v>
      </c>
    </row>
    <row r="45" customFormat="false" ht="12.75" hidden="false" customHeight="true" outlineLevel="0" collapsed="false">
      <c r="A45" s="0" t="s">
        <v>48</v>
      </c>
      <c r="B45" s="0" t="str">
        <f aca="false">IFERROR(INDEX('Resumo Grupos'!$AC$3:$AC$200,MATCH($A45,'Resumo Grupos'!$AB$3:$AB$200,0)),"n/d")</f>
        <v>Mercadoria</v>
      </c>
      <c r="C45" s="15" t="n">
        <f aca="false">SUMIFS(Report!$U:$U,Report!$T:$T,$A45,Report!$C:$C,"&gt;="&amp;DATE(2026,1,1),Report!$C:$C,"&lt;"&amp;DATE(2026,2,1))</f>
        <v>0</v>
      </c>
      <c r="D45" s="15" t="n">
        <f aca="false">SUMIFS(Report!$U:$U,Report!$T:$T,$A45,Report!$C:$C,"&gt;="&amp;DATE(2026,2,1),Report!$C:$C,"&lt;"&amp;DATE(2026,3,1))</f>
        <v>0</v>
      </c>
      <c r="E45" s="15" t="n">
        <f aca="false">SUMIFS(Report!$U:$U,Report!$T:$T,$A45,Report!$C:$C,"&gt;="&amp;DATE(2026,3,1),Report!$C:$C,"&lt;"&amp;DATE(2026,4,1))</f>
        <v>0</v>
      </c>
      <c r="F45" s="15" t="n">
        <f aca="false">SUMIFS(Report!$U:$U,Report!$T:$T,$A45,Report!$C:$C,"&gt;="&amp;DATE(2026,4,1),Report!$C:$C,"&lt;"&amp;DATE(2026,5,1))</f>
        <v>0</v>
      </c>
      <c r="G45" s="15" t="n">
        <f aca="false">SUMIFS(Report!$U:$U,Report!$T:$T,$A45,Report!$C:$C,"&gt;="&amp;DATE(2026,5,1),Report!$C:$C,"&lt;"&amp;DATE(2026,6,1))</f>
        <v>0</v>
      </c>
      <c r="H45" s="15" t="n">
        <f aca="false">SUMIFS(Report!$U:$U,Report!$T:$T,$A45,Report!$C:$C,"&gt;="&amp;DATE(2026,6,1),Report!$C:$C,"&lt;"&amp;DATE(2026,7,1))</f>
        <v>278857.68</v>
      </c>
      <c r="I45" s="15" t="n">
        <f aca="false">SUMIFS(Report!$U:$U,Report!$T:$T,$A45,Report!$C:$C,"&gt;="&amp;DATE(2026,7,1),Report!$C:$C,"&lt;"&amp;DATE(2026,8,1))</f>
        <v>301549.13</v>
      </c>
      <c r="J45" s="15" t="n">
        <f aca="false">SUMIFS(Report!$U:$U,Report!$T:$T,$A45,Report!$C:$C,"&gt;="&amp;DATE(2026,8,1),Report!$C:$C,"&lt;"&amp;DATE(2026,9,1))</f>
        <v>283912.43</v>
      </c>
      <c r="K45" s="15" t="n">
        <f aca="false">SUMIFS(Report!$U:$U,Report!$T:$T,$A45,Report!$C:$C,"&gt;="&amp;DATE(2026,9,1),Report!$C:$C,"&lt;"&amp;DATE(2026,10,1))</f>
        <v>299933.52</v>
      </c>
      <c r="L45" s="15" t="n">
        <f aca="false">SUMIFS(Report!$U:$U,Report!$T:$T,$A45,Report!$C:$C,"&gt;="&amp;DATE(2026,10,1),Report!$C:$C,"&lt;"&amp;DATE(2026,11,1))</f>
        <v>115260.44</v>
      </c>
      <c r="M45" s="15" t="n">
        <f aca="false">SUMIFS(Report!$U:$U,Report!$T:$T,$A45,Report!$C:$C,"&gt;="&amp;DATE(2026,11,1),Report!$C:$C,"&lt;"&amp;DATE(2026,12,1))</f>
        <v>8079.71</v>
      </c>
      <c r="N45" s="15" t="n">
        <f aca="false">SUMIFS(Report!$U:$U,Report!$T:$T,$A45,Report!$C:$C,"&gt;="&amp;DATE(2026,12,1),Report!$C:$C,"&lt;"&amp;DATE(2027,1,1))</f>
        <v>3323.62</v>
      </c>
      <c r="O45" s="15" t="n">
        <f aca="false">SUMIFS(Report!$U:$U,Report!$T:$T,$A45,Report!$C:$C,"&gt;="&amp;DATE(2027,1,1),Report!$C:$C,"&lt;"&amp;DATE(2027,2,1))</f>
        <v>0</v>
      </c>
      <c r="P45" s="15" t="n">
        <f aca="false">SUMIFS(Report!$U:$U,Report!$T:$T,$A45,Report!$C:$C,"&gt;="&amp;DATE(2027,2,1),Report!$C:$C,"&lt;"&amp;DATE(2027,3,1))</f>
        <v>0</v>
      </c>
      <c r="Q45" s="15" t="n">
        <f aca="false">SUMIFS(Report!$U:$U,Report!$T:$T,$A45,Report!$C:$C,"&gt;="&amp;DATE(2027,3,1),Report!$C:$C,"&lt;"&amp;DATE(2027,4,1))</f>
        <v>0</v>
      </c>
      <c r="R45" s="15" t="n">
        <f aca="false">SUMIFS(Report!$U:$U,Report!$T:$T,$A45,Report!$C:$C,"&gt;="&amp;DATE(2027,4,1),Report!$C:$C,"&lt;"&amp;DATE(2027,5,1))</f>
        <v>0</v>
      </c>
      <c r="S45" s="15" t="n">
        <f aca="false">SUMIFS(Report!$U:$U,Report!$T:$T,$A45,Report!$C:$C,"&gt;="&amp;DATE(2027,5,1),Report!$C:$C,"&lt;"&amp;DATE(2027,6,1))</f>
        <v>0</v>
      </c>
      <c r="T45" s="15" t="n">
        <f aca="false">SUMIFS(Report!$U:$U,Report!$T:$T,$A45,Report!$C:$C,"&gt;="&amp;DATE(2027,6,1),Report!$C:$C,"&lt;"&amp;DATE(2027,7,1))</f>
        <v>0</v>
      </c>
      <c r="U45" s="15" t="n">
        <f aca="false">SUMIFS(Report!$U:$U,Report!$T:$T,$A45,Report!$C:$C,"&gt;="&amp;DATE(2027,7,1),Report!$C:$C,"&lt;"&amp;DATE(2027,8,1))</f>
        <v>0</v>
      </c>
      <c r="V45" s="15" t="n">
        <f aca="false">SUMIFS(Report!$U:$U,Report!$T:$T,$A45,Report!$C:$C,"&gt;="&amp;DATE(2027,8,1),Report!$C:$C,"&lt;"&amp;DATE(2027,9,1))</f>
        <v>0</v>
      </c>
      <c r="W45" s="15" t="n">
        <f aca="false">SUMIFS(Report!$U:$U,Report!$T:$T,$A45,Report!$C:$C,"&gt;="&amp;DATE(2027,9,1),Report!$C:$C,"&lt;"&amp;DATE(2027,10,1))</f>
        <v>0</v>
      </c>
      <c r="X45" s="15" t="n">
        <f aca="false">SUMIFS(Report!$U:$U,Report!$T:$T,$A45,Report!$C:$C,"&gt;="&amp;DATE(2027,10,1),Report!$C:$C,"&lt;"&amp;DATE(2027,11,1))</f>
        <v>0</v>
      </c>
      <c r="Y45" s="15" t="n">
        <f aca="false">SUMIFS(Report!$U:$U,Report!$T:$T,$A45,Report!$C:$C,"&gt;="&amp;DATE(2027,11,1),Report!$C:$C,"&lt;"&amp;DATE(2027,12,1))</f>
        <v>0</v>
      </c>
      <c r="Z45" s="15" t="n">
        <f aca="false">SUMIFS(Report!$U:$U,Report!$T:$T,$A45,Report!$C:$C,"&gt;="&amp;DATE(2027,12,1),Report!$C:$C,"&lt;"&amp;DATE(2028,1,1))</f>
        <v>0</v>
      </c>
      <c r="AA45" s="15" t="n">
        <f aca="false">SUM(C45:Z45)</f>
        <v>1290916.53</v>
      </c>
    </row>
    <row r="46" customFormat="false" ht="12.75" hidden="false" customHeight="true" outlineLevel="0" collapsed="false">
      <c r="A46" s="0" t="s">
        <v>480</v>
      </c>
      <c r="B46" s="0" t="str">
        <f aca="false">IFERROR(INDEX('Resumo Grupos'!$AC$3:$AC$200,MATCH($A46,'Resumo Grupos'!$AB$3:$AB$200,0)),"n/d")</f>
        <v>Despesa</v>
      </c>
      <c r="C46" s="15" t="n">
        <f aca="false">SUMIFS(Report!$U:$U,Report!$T:$T,$A46,Report!$C:$C,"&gt;="&amp;DATE(2026,1,1),Report!$C:$C,"&lt;"&amp;DATE(2026,2,1))</f>
        <v>0</v>
      </c>
      <c r="D46" s="15" t="n">
        <f aca="false">SUMIFS(Report!$U:$U,Report!$T:$T,$A46,Report!$C:$C,"&gt;="&amp;DATE(2026,2,1),Report!$C:$C,"&lt;"&amp;DATE(2026,3,1))</f>
        <v>0</v>
      </c>
      <c r="E46" s="15" t="n">
        <f aca="false">SUMIFS(Report!$U:$U,Report!$T:$T,$A46,Report!$C:$C,"&gt;="&amp;DATE(2026,3,1),Report!$C:$C,"&lt;"&amp;DATE(2026,4,1))</f>
        <v>0</v>
      </c>
      <c r="F46" s="15" t="n">
        <f aca="false">SUMIFS(Report!$U:$U,Report!$T:$T,$A46,Report!$C:$C,"&gt;="&amp;DATE(2026,4,1),Report!$C:$C,"&lt;"&amp;DATE(2026,5,1))</f>
        <v>0</v>
      </c>
      <c r="G46" s="15" t="n">
        <f aca="false">SUMIFS(Report!$U:$U,Report!$T:$T,$A46,Report!$C:$C,"&gt;="&amp;DATE(2026,5,1),Report!$C:$C,"&lt;"&amp;DATE(2026,6,1))</f>
        <v>0</v>
      </c>
      <c r="H46" s="15" t="n">
        <f aca="false">SUMIFS(Report!$U:$U,Report!$T:$T,$A46,Report!$C:$C,"&gt;="&amp;DATE(2026,6,1),Report!$C:$C,"&lt;"&amp;DATE(2026,7,1))</f>
        <v>2600</v>
      </c>
      <c r="I46" s="15" t="n">
        <f aca="false">SUMIFS(Report!$U:$U,Report!$T:$T,$A46,Report!$C:$C,"&gt;="&amp;DATE(2026,7,1),Report!$C:$C,"&lt;"&amp;DATE(2026,8,1))</f>
        <v>0</v>
      </c>
      <c r="J46" s="15" t="n">
        <f aca="false">SUMIFS(Report!$U:$U,Report!$T:$T,$A46,Report!$C:$C,"&gt;="&amp;DATE(2026,8,1),Report!$C:$C,"&lt;"&amp;DATE(2026,9,1))</f>
        <v>0</v>
      </c>
      <c r="K46" s="15" t="n">
        <f aca="false">SUMIFS(Report!$U:$U,Report!$T:$T,$A46,Report!$C:$C,"&gt;="&amp;DATE(2026,9,1),Report!$C:$C,"&lt;"&amp;DATE(2026,10,1))</f>
        <v>0</v>
      </c>
      <c r="L46" s="15" t="n">
        <f aca="false">SUMIFS(Report!$U:$U,Report!$T:$T,$A46,Report!$C:$C,"&gt;="&amp;DATE(2026,10,1),Report!$C:$C,"&lt;"&amp;DATE(2026,11,1))</f>
        <v>0</v>
      </c>
      <c r="M46" s="15" t="n">
        <f aca="false">SUMIFS(Report!$U:$U,Report!$T:$T,$A46,Report!$C:$C,"&gt;="&amp;DATE(2026,11,1),Report!$C:$C,"&lt;"&amp;DATE(2026,12,1))</f>
        <v>0</v>
      </c>
      <c r="N46" s="15" t="n">
        <f aca="false">SUMIFS(Report!$U:$U,Report!$T:$T,$A46,Report!$C:$C,"&gt;="&amp;DATE(2026,12,1),Report!$C:$C,"&lt;"&amp;DATE(2027,1,1))</f>
        <v>0</v>
      </c>
      <c r="O46" s="15" t="n">
        <f aca="false">SUMIFS(Report!$U:$U,Report!$T:$T,$A46,Report!$C:$C,"&gt;="&amp;DATE(2027,1,1),Report!$C:$C,"&lt;"&amp;DATE(2027,2,1))</f>
        <v>0</v>
      </c>
      <c r="P46" s="15" t="n">
        <f aca="false">SUMIFS(Report!$U:$U,Report!$T:$T,$A46,Report!$C:$C,"&gt;="&amp;DATE(2027,2,1),Report!$C:$C,"&lt;"&amp;DATE(2027,3,1))</f>
        <v>0</v>
      </c>
      <c r="Q46" s="15" t="n">
        <f aca="false">SUMIFS(Report!$U:$U,Report!$T:$T,$A46,Report!$C:$C,"&gt;="&amp;DATE(2027,3,1),Report!$C:$C,"&lt;"&amp;DATE(2027,4,1))</f>
        <v>0</v>
      </c>
      <c r="R46" s="15" t="n">
        <f aca="false">SUMIFS(Report!$U:$U,Report!$T:$T,$A46,Report!$C:$C,"&gt;="&amp;DATE(2027,4,1),Report!$C:$C,"&lt;"&amp;DATE(2027,5,1))</f>
        <v>0</v>
      </c>
      <c r="S46" s="15" t="n">
        <f aca="false">SUMIFS(Report!$U:$U,Report!$T:$T,$A46,Report!$C:$C,"&gt;="&amp;DATE(2027,5,1),Report!$C:$C,"&lt;"&amp;DATE(2027,6,1))</f>
        <v>0</v>
      </c>
      <c r="T46" s="15" t="n">
        <f aca="false">SUMIFS(Report!$U:$U,Report!$T:$T,$A46,Report!$C:$C,"&gt;="&amp;DATE(2027,6,1),Report!$C:$C,"&lt;"&amp;DATE(2027,7,1))</f>
        <v>0</v>
      </c>
      <c r="U46" s="15" t="n">
        <f aca="false">SUMIFS(Report!$U:$U,Report!$T:$T,$A46,Report!$C:$C,"&gt;="&amp;DATE(2027,7,1),Report!$C:$C,"&lt;"&amp;DATE(2027,8,1))</f>
        <v>0</v>
      </c>
      <c r="V46" s="15" t="n">
        <f aca="false">SUMIFS(Report!$U:$U,Report!$T:$T,$A46,Report!$C:$C,"&gt;="&amp;DATE(2027,8,1),Report!$C:$C,"&lt;"&amp;DATE(2027,9,1))</f>
        <v>0</v>
      </c>
      <c r="W46" s="15" t="n">
        <f aca="false">SUMIFS(Report!$U:$U,Report!$T:$T,$A46,Report!$C:$C,"&gt;="&amp;DATE(2027,9,1),Report!$C:$C,"&lt;"&amp;DATE(2027,10,1))</f>
        <v>0</v>
      </c>
      <c r="X46" s="15" t="n">
        <f aca="false">SUMIFS(Report!$U:$U,Report!$T:$T,$A46,Report!$C:$C,"&gt;="&amp;DATE(2027,10,1),Report!$C:$C,"&lt;"&amp;DATE(2027,11,1))</f>
        <v>0</v>
      </c>
      <c r="Y46" s="15" t="n">
        <f aca="false">SUMIFS(Report!$U:$U,Report!$T:$T,$A46,Report!$C:$C,"&gt;="&amp;DATE(2027,11,1),Report!$C:$C,"&lt;"&amp;DATE(2027,12,1))</f>
        <v>0</v>
      </c>
      <c r="Z46" s="15" t="n">
        <f aca="false">SUMIFS(Report!$U:$U,Report!$T:$T,$A46,Report!$C:$C,"&gt;="&amp;DATE(2027,12,1),Report!$C:$C,"&lt;"&amp;DATE(2028,1,1))</f>
        <v>0</v>
      </c>
      <c r="AA46" s="15" t="n">
        <f aca="false">SUM(C46:Z46)</f>
        <v>2600</v>
      </c>
    </row>
    <row r="47" customFormat="false" ht="12.75" hidden="false" customHeight="true" outlineLevel="0" collapsed="false">
      <c r="A47" s="0" t="s">
        <v>82</v>
      </c>
      <c r="B47" s="0" t="str">
        <f aca="false">IFERROR(INDEX('Resumo Grupos'!$AC$3:$AC$200,MATCH($A47,'Resumo Grupos'!$AB$3:$AB$200,0)),"n/d")</f>
        <v>Pagamentos outros não operacionais</v>
      </c>
      <c r="C47" s="15" t="n">
        <f aca="false">SUMIFS(Report!$U:$U,Report!$T:$T,$A47,Report!$C:$C,"&gt;="&amp;DATE(2026,1,1),Report!$C:$C,"&lt;"&amp;DATE(2026,2,1))</f>
        <v>0</v>
      </c>
      <c r="D47" s="15" t="n">
        <f aca="false">SUMIFS(Report!$U:$U,Report!$T:$T,$A47,Report!$C:$C,"&gt;="&amp;DATE(2026,2,1),Report!$C:$C,"&lt;"&amp;DATE(2026,3,1))</f>
        <v>0</v>
      </c>
      <c r="E47" s="15" t="n">
        <f aca="false">SUMIFS(Report!$U:$U,Report!$T:$T,$A47,Report!$C:$C,"&gt;="&amp;DATE(2026,3,1),Report!$C:$C,"&lt;"&amp;DATE(2026,4,1))</f>
        <v>0</v>
      </c>
      <c r="F47" s="15" t="n">
        <f aca="false">SUMIFS(Report!$U:$U,Report!$T:$T,$A47,Report!$C:$C,"&gt;="&amp;DATE(2026,4,1),Report!$C:$C,"&lt;"&amp;DATE(2026,5,1))</f>
        <v>0</v>
      </c>
      <c r="G47" s="15" t="n">
        <f aca="false">SUMIFS(Report!$U:$U,Report!$T:$T,$A47,Report!$C:$C,"&gt;="&amp;DATE(2026,5,1),Report!$C:$C,"&lt;"&amp;DATE(2026,6,1))</f>
        <v>0</v>
      </c>
      <c r="H47" s="15" t="n">
        <f aca="false">SUMIFS(Report!$U:$U,Report!$T:$T,$A47,Report!$C:$C,"&gt;="&amp;DATE(2026,6,1),Report!$C:$C,"&lt;"&amp;DATE(2026,7,1))</f>
        <v>13993.94</v>
      </c>
      <c r="I47" s="15" t="n">
        <f aca="false">SUMIFS(Report!$U:$U,Report!$T:$T,$A47,Report!$C:$C,"&gt;="&amp;DATE(2026,7,1),Report!$C:$C,"&lt;"&amp;DATE(2026,8,1))</f>
        <v>9541.27</v>
      </c>
      <c r="J47" s="15" t="n">
        <f aca="false">SUMIFS(Report!$U:$U,Report!$T:$T,$A47,Report!$C:$C,"&gt;="&amp;DATE(2026,8,1),Report!$C:$C,"&lt;"&amp;DATE(2026,9,1))</f>
        <v>3380.74</v>
      </c>
      <c r="K47" s="15" t="n">
        <f aca="false">SUMIFS(Report!$U:$U,Report!$T:$T,$A47,Report!$C:$C,"&gt;="&amp;DATE(2026,9,1),Report!$C:$C,"&lt;"&amp;DATE(2026,10,1))</f>
        <v>2224.55</v>
      </c>
      <c r="L47" s="15" t="n">
        <f aca="false">SUMIFS(Report!$U:$U,Report!$T:$T,$A47,Report!$C:$C,"&gt;="&amp;DATE(2026,10,1),Report!$C:$C,"&lt;"&amp;DATE(2026,11,1))</f>
        <v>2544.8</v>
      </c>
      <c r="M47" s="15" t="n">
        <f aca="false">SUMIFS(Report!$U:$U,Report!$T:$T,$A47,Report!$C:$C,"&gt;="&amp;DATE(2026,11,1),Report!$C:$C,"&lt;"&amp;DATE(2026,12,1))</f>
        <v>469.76</v>
      </c>
      <c r="N47" s="15" t="n">
        <f aca="false">SUMIFS(Report!$U:$U,Report!$T:$T,$A47,Report!$C:$C,"&gt;="&amp;DATE(2026,12,1),Report!$C:$C,"&lt;"&amp;DATE(2027,1,1))</f>
        <v>469.76</v>
      </c>
      <c r="O47" s="15" t="n">
        <f aca="false">SUMIFS(Report!$U:$U,Report!$T:$T,$A47,Report!$C:$C,"&gt;="&amp;DATE(2027,1,1),Report!$C:$C,"&lt;"&amp;DATE(2027,2,1))</f>
        <v>0</v>
      </c>
      <c r="P47" s="15" t="n">
        <f aca="false">SUMIFS(Report!$U:$U,Report!$T:$T,$A47,Report!$C:$C,"&gt;="&amp;DATE(2027,2,1),Report!$C:$C,"&lt;"&amp;DATE(2027,3,1))</f>
        <v>0</v>
      </c>
      <c r="Q47" s="15" t="n">
        <f aca="false">SUMIFS(Report!$U:$U,Report!$T:$T,$A47,Report!$C:$C,"&gt;="&amp;DATE(2027,3,1),Report!$C:$C,"&lt;"&amp;DATE(2027,4,1))</f>
        <v>0</v>
      </c>
      <c r="R47" s="15" t="n">
        <f aca="false">SUMIFS(Report!$U:$U,Report!$T:$T,$A47,Report!$C:$C,"&gt;="&amp;DATE(2027,4,1),Report!$C:$C,"&lt;"&amp;DATE(2027,5,1))</f>
        <v>0</v>
      </c>
      <c r="S47" s="15" t="n">
        <f aca="false">SUMIFS(Report!$U:$U,Report!$T:$T,$A47,Report!$C:$C,"&gt;="&amp;DATE(2027,5,1),Report!$C:$C,"&lt;"&amp;DATE(2027,6,1))</f>
        <v>0</v>
      </c>
      <c r="T47" s="15" t="n">
        <f aca="false">SUMIFS(Report!$U:$U,Report!$T:$T,$A47,Report!$C:$C,"&gt;="&amp;DATE(2027,6,1),Report!$C:$C,"&lt;"&amp;DATE(2027,7,1))</f>
        <v>0</v>
      </c>
      <c r="U47" s="15" t="n">
        <f aca="false">SUMIFS(Report!$U:$U,Report!$T:$T,$A47,Report!$C:$C,"&gt;="&amp;DATE(2027,7,1),Report!$C:$C,"&lt;"&amp;DATE(2027,8,1))</f>
        <v>0</v>
      </c>
      <c r="V47" s="15" t="n">
        <f aca="false">SUMIFS(Report!$U:$U,Report!$T:$T,$A47,Report!$C:$C,"&gt;="&amp;DATE(2027,8,1),Report!$C:$C,"&lt;"&amp;DATE(2027,9,1))</f>
        <v>0</v>
      </c>
      <c r="W47" s="15" t="n">
        <f aca="false">SUMIFS(Report!$U:$U,Report!$T:$T,$A47,Report!$C:$C,"&gt;="&amp;DATE(2027,9,1),Report!$C:$C,"&lt;"&amp;DATE(2027,10,1))</f>
        <v>0</v>
      </c>
      <c r="X47" s="15" t="n">
        <f aca="false">SUMIFS(Report!$U:$U,Report!$T:$T,$A47,Report!$C:$C,"&gt;="&amp;DATE(2027,10,1),Report!$C:$C,"&lt;"&amp;DATE(2027,11,1))</f>
        <v>0</v>
      </c>
      <c r="Y47" s="15" t="n">
        <f aca="false">SUMIFS(Report!$U:$U,Report!$T:$T,$A47,Report!$C:$C,"&gt;="&amp;DATE(2027,11,1),Report!$C:$C,"&lt;"&amp;DATE(2027,12,1))</f>
        <v>0</v>
      </c>
      <c r="Z47" s="15" t="n">
        <f aca="false">SUMIFS(Report!$U:$U,Report!$T:$T,$A47,Report!$C:$C,"&gt;="&amp;DATE(2027,12,1),Report!$C:$C,"&lt;"&amp;DATE(2028,1,1))</f>
        <v>0</v>
      </c>
      <c r="AA47" s="15" t="n">
        <f aca="false">SUM(C47:Z47)</f>
        <v>32624.82</v>
      </c>
    </row>
    <row r="48" customFormat="false" ht="12.75" hidden="false" customHeight="true" outlineLevel="0" collapsed="false">
      <c r="A48" s="0" t="s">
        <v>1101</v>
      </c>
      <c r="B48" s="0" t="str">
        <f aca="false">IFERROR(INDEX('Resumo Grupos'!$AC$3:$AC$200,MATCH($A48,'Resumo Grupos'!$AB$3:$AB$200,0)),"n/d")</f>
        <v>Despesa</v>
      </c>
      <c r="C48" s="15" t="n">
        <f aca="false">SUMIFS(Report!$U:$U,Report!$T:$T,$A48,Report!$C:$C,"&gt;="&amp;DATE(2026,1,1),Report!$C:$C,"&lt;"&amp;DATE(2026,2,1))</f>
        <v>0</v>
      </c>
      <c r="D48" s="15" t="n">
        <f aca="false">SUMIFS(Report!$U:$U,Report!$T:$T,$A48,Report!$C:$C,"&gt;="&amp;DATE(2026,2,1),Report!$C:$C,"&lt;"&amp;DATE(2026,3,1))</f>
        <v>0</v>
      </c>
      <c r="E48" s="15" t="n">
        <f aca="false">SUMIFS(Report!$U:$U,Report!$T:$T,$A48,Report!$C:$C,"&gt;="&amp;DATE(2026,3,1),Report!$C:$C,"&lt;"&amp;DATE(2026,4,1))</f>
        <v>0</v>
      </c>
      <c r="F48" s="15" t="n">
        <f aca="false">SUMIFS(Report!$U:$U,Report!$T:$T,$A48,Report!$C:$C,"&gt;="&amp;DATE(2026,4,1),Report!$C:$C,"&lt;"&amp;DATE(2026,5,1))</f>
        <v>0</v>
      </c>
      <c r="G48" s="15" t="n">
        <f aca="false">SUMIFS(Report!$U:$U,Report!$T:$T,$A48,Report!$C:$C,"&gt;="&amp;DATE(2026,5,1),Report!$C:$C,"&lt;"&amp;DATE(2026,6,1))</f>
        <v>0</v>
      </c>
      <c r="H48" s="15" t="n">
        <f aca="false">SUMIFS(Report!$U:$U,Report!$T:$T,$A48,Report!$C:$C,"&gt;="&amp;DATE(2026,6,1),Report!$C:$C,"&lt;"&amp;DATE(2026,7,1))</f>
        <v>0</v>
      </c>
      <c r="I48" s="15" t="n">
        <f aca="false">SUMIFS(Report!$U:$U,Report!$T:$T,$A48,Report!$C:$C,"&gt;="&amp;DATE(2026,7,1),Report!$C:$C,"&lt;"&amp;DATE(2026,8,1))</f>
        <v>945</v>
      </c>
      <c r="J48" s="15" t="n">
        <f aca="false">SUMIFS(Report!$U:$U,Report!$T:$T,$A48,Report!$C:$C,"&gt;="&amp;DATE(2026,8,1),Report!$C:$C,"&lt;"&amp;DATE(2026,9,1))</f>
        <v>351.66</v>
      </c>
      <c r="K48" s="15" t="n">
        <f aca="false">SUMIFS(Report!$U:$U,Report!$T:$T,$A48,Report!$C:$C,"&gt;="&amp;DATE(2026,9,1),Report!$C:$C,"&lt;"&amp;DATE(2026,10,1))</f>
        <v>354.92</v>
      </c>
      <c r="L48" s="15" t="n">
        <f aca="false">SUMIFS(Report!$U:$U,Report!$T:$T,$A48,Report!$C:$C,"&gt;="&amp;DATE(2026,10,1),Report!$C:$C,"&lt;"&amp;DATE(2026,11,1))</f>
        <v>0</v>
      </c>
      <c r="M48" s="15" t="n">
        <f aca="false">SUMIFS(Report!$U:$U,Report!$T:$T,$A48,Report!$C:$C,"&gt;="&amp;DATE(2026,11,1),Report!$C:$C,"&lt;"&amp;DATE(2026,12,1))</f>
        <v>0</v>
      </c>
      <c r="N48" s="15" t="n">
        <f aca="false">SUMIFS(Report!$U:$U,Report!$T:$T,$A48,Report!$C:$C,"&gt;="&amp;DATE(2026,12,1),Report!$C:$C,"&lt;"&amp;DATE(2027,1,1))</f>
        <v>0</v>
      </c>
      <c r="O48" s="15" t="n">
        <f aca="false">SUMIFS(Report!$U:$U,Report!$T:$T,$A48,Report!$C:$C,"&gt;="&amp;DATE(2027,1,1),Report!$C:$C,"&lt;"&amp;DATE(2027,2,1))</f>
        <v>0</v>
      </c>
      <c r="P48" s="15" t="n">
        <f aca="false">SUMIFS(Report!$U:$U,Report!$T:$T,$A48,Report!$C:$C,"&gt;="&amp;DATE(2027,2,1),Report!$C:$C,"&lt;"&amp;DATE(2027,3,1))</f>
        <v>0</v>
      </c>
      <c r="Q48" s="15" t="n">
        <f aca="false">SUMIFS(Report!$U:$U,Report!$T:$T,$A48,Report!$C:$C,"&gt;="&amp;DATE(2027,3,1),Report!$C:$C,"&lt;"&amp;DATE(2027,4,1))</f>
        <v>0</v>
      </c>
      <c r="R48" s="15" t="n">
        <f aca="false">SUMIFS(Report!$U:$U,Report!$T:$T,$A48,Report!$C:$C,"&gt;="&amp;DATE(2027,4,1),Report!$C:$C,"&lt;"&amp;DATE(2027,5,1))</f>
        <v>0</v>
      </c>
      <c r="S48" s="15" t="n">
        <f aca="false">SUMIFS(Report!$U:$U,Report!$T:$T,$A48,Report!$C:$C,"&gt;="&amp;DATE(2027,5,1),Report!$C:$C,"&lt;"&amp;DATE(2027,6,1))</f>
        <v>0</v>
      </c>
      <c r="T48" s="15" t="n">
        <f aca="false">SUMIFS(Report!$U:$U,Report!$T:$T,$A48,Report!$C:$C,"&gt;="&amp;DATE(2027,6,1),Report!$C:$C,"&lt;"&amp;DATE(2027,7,1))</f>
        <v>0</v>
      </c>
      <c r="U48" s="15" t="n">
        <f aca="false">SUMIFS(Report!$U:$U,Report!$T:$T,$A48,Report!$C:$C,"&gt;="&amp;DATE(2027,7,1),Report!$C:$C,"&lt;"&amp;DATE(2027,8,1))</f>
        <v>0</v>
      </c>
      <c r="V48" s="15" t="n">
        <f aca="false">SUMIFS(Report!$U:$U,Report!$T:$T,$A48,Report!$C:$C,"&gt;="&amp;DATE(2027,8,1),Report!$C:$C,"&lt;"&amp;DATE(2027,9,1))</f>
        <v>0</v>
      </c>
      <c r="W48" s="15" t="n">
        <f aca="false">SUMIFS(Report!$U:$U,Report!$T:$T,$A48,Report!$C:$C,"&gt;="&amp;DATE(2027,9,1),Report!$C:$C,"&lt;"&amp;DATE(2027,10,1))</f>
        <v>0</v>
      </c>
      <c r="X48" s="15" t="n">
        <f aca="false">SUMIFS(Report!$U:$U,Report!$T:$T,$A48,Report!$C:$C,"&gt;="&amp;DATE(2027,10,1),Report!$C:$C,"&lt;"&amp;DATE(2027,11,1))</f>
        <v>0</v>
      </c>
      <c r="Y48" s="15" t="n">
        <f aca="false">SUMIFS(Report!$U:$U,Report!$T:$T,$A48,Report!$C:$C,"&gt;="&amp;DATE(2027,11,1),Report!$C:$C,"&lt;"&amp;DATE(2027,12,1))</f>
        <v>0</v>
      </c>
      <c r="Z48" s="15" t="n">
        <f aca="false">SUMIFS(Report!$U:$U,Report!$T:$T,$A48,Report!$C:$C,"&gt;="&amp;DATE(2027,12,1),Report!$C:$C,"&lt;"&amp;DATE(2028,1,1))</f>
        <v>0</v>
      </c>
      <c r="AA48" s="15" t="n">
        <f aca="false">SUM(C48:Z48)</f>
        <v>1651.58</v>
      </c>
    </row>
    <row r="49" customFormat="false" ht="12.75" hidden="false" customHeight="true" outlineLevel="0" collapsed="false">
      <c r="A49" s="0" t="s">
        <v>450</v>
      </c>
      <c r="B49" s="0" t="str">
        <f aca="false">IFERROR(INDEX('Resumo Grupos'!$AC$3:$AC$200,MATCH($A49,'Resumo Grupos'!$AB$3:$AB$200,0)),"n/d")</f>
        <v>Salários</v>
      </c>
      <c r="C49" s="15" t="n">
        <f aca="false">SUMIFS(Report!$U:$U,Report!$T:$T,$A49,Report!$C:$C,"&gt;="&amp;DATE(2026,1,1),Report!$C:$C,"&lt;"&amp;DATE(2026,2,1))</f>
        <v>0</v>
      </c>
      <c r="D49" s="15" t="n">
        <f aca="false">SUMIFS(Report!$U:$U,Report!$T:$T,$A49,Report!$C:$C,"&gt;="&amp;DATE(2026,2,1),Report!$C:$C,"&lt;"&amp;DATE(2026,3,1))</f>
        <v>0</v>
      </c>
      <c r="E49" s="15" t="n">
        <f aca="false">SUMIFS(Report!$U:$U,Report!$T:$T,$A49,Report!$C:$C,"&gt;="&amp;DATE(2026,3,1),Report!$C:$C,"&lt;"&amp;DATE(2026,4,1))</f>
        <v>0</v>
      </c>
      <c r="F49" s="15" t="n">
        <f aca="false">SUMIFS(Report!$U:$U,Report!$T:$T,$A49,Report!$C:$C,"&gt;="&amp;DATE(2026,4,1),Report!$C:$C,"&lt;"&amp;DATE(2026,5,1))</f>
        <v>0</v>
      </c>
      <c r="G49" s="15" t="n">
        <f aca="false">SUMIFS(Report!$U:$U,Report!$T:$T,$A49,Report!$C:$C,"&gt;="&amp;DATE(2026,5,1),Report!$C:$C,"&lt;"&amp;DATE(2026,6,1))</f>
        <v>0</v>
      </c>
      <c r="H49" s="15" t="n">
        <f aca="false">SUMIFS(Report!$U:$U,Report!$T:$T,$A49,Report!$C:$C,"&gt;="&amp;DATE(2026,6,1),Report!$C:$C,"&lt;"&amp;DATE(2026,7,1))</f>
        <v>1396.73</v>
      </c>
      <c r="I49" s="15" t="n">
        <f aca="false">SUMIFS(Report!$U:$U,Report!$T:$T,$A49,Report!$C:$C,"&gt;="&amp;DATE(2026,7,1),Report!$C:$C,"&lt;"&amp;DATE(2026,8,1))</f>
        <v>0</v>
      </c>
      <c r="J49" s="15" t="n">
        <f aca="false">SUMIFS(Report!$U:$U,Report!$T:$T,$A49,Report!$C:$C,"&gt;="&amp;DATE(2026,8,1),Report!$C:$C,"&lt;"&amp;DATE(2026,9,1))</f>
        <v>0</v>
      </c>
      <c r="K49" s="15" t="n">
        <f aca="false">SUMIFS(Report!$U:$U,Report!$T:$T,$A49,Report!$C:$C,"&gt;="&amp;DATE(2026,9,1),Report!$C:$C,"&lt;"&amp;DATE(2026,10,1))</f>
        <v>0</v>
      </c>
      <c r="L49" s="15" t="n">
        <f aca="false">SUMIFS(Report!$U:$U,Report!$T:$T,$A49,Report!$C:$C,"&gt;="&amp;DATE(2026,10,1),Report!$C:$C,"&lt;"&amp;DATE(2026,11,1))</f>
        <v>0</v>
      </c>
      <c r="M49" s="15" t="n">
        <f aca="false">SUMIFS(Report!$U:$U,Report!$T:$T,$A49,Report!$C:$C,"&gt;="&amp;DATE(2026,11,1),Report!$C:$C,"&lt;"&amp;DATE(2026,12,1))</f>
        <v>0</v>
      </c>
      <c r="N49" s="15" t="n">
        <f aca="false">SUMIFS(Report!$U:$U,Report!$T:$T,$A49,Report!$C:$C,"&gt;="&amp;DATE(2026,12,1),Report!$C:$C,"&lt;"&amp;DATE(2027,1,1))</f>
        <v>0</v>
      </c>
      <c r="O49" s="15" t="n">
        <f aca="false">SUMIFS(Report!$U:$U,Report!$T:$T,$A49,Report!$C:$C,"&gt;="&amp;DATE(2027,1,1),Report!$C:$C,"&lt;"&amp;DATE(2027,2,1))</f>
        <v>0</v>
      </c>
      <c r="P49" s="15" t="n">
        <f aca="false">SUMIFS(Report!$U:$U,Report!$T:$T,$A49,Report!$C:$C,"&gt;="&amp;DATE(2027,2,1),Report!$C:$C,"&lt;"&amp;DATE(2027,3,1))</f>
        <v>0</v>
      </c>
      <c r="Q49" s="15" t="n">
        <f aca="false">SUMIFS(Report!$U:$U,Report!$T:$T,$A49,Report!$C:$C,"&gt;="&amp;DATE(2027,3,1),Report!$C:$C,"&lt;"&amp;DATE(2027,4,1))</f>
        <v>0</v>
      </c>
      <c r="R49" s="15" t="n">
        <f aca="false">SUMIFS(Report!$U:$U,Report!$T:$T,$A49,Report!$C:$C,"&gt;="&amp;DATE(2027,4,1),Report!$C:$C,"&lt;"&amp;DATE(2027,5,1))</f>
        <v>0</v>
      </c>
      <c r="S49" s="15" t="n">
        <f aca="false">SUMIFS(Report!$U:$U,Report!$T:$T,$A49,Report!$C:$C,"&gt;="&amp;DATE(2027,5,1),Report!$C:$C,"&lt;"&amp;DATE(2027,6,1))</f>
        <v>0</v>
      </c>
      <c r="T49" s="15" t="n">
        <f aca="false">SUMIFS(Report!$U:$U,Report!$T:$T,$A49,Report!$C:$C,"&gt;="&amp;DATE(2027,6,1),Report!$C:$C,"&lt;"&amp;DATE(2027,7,1))</f>
        <v>0</v>
      </c>
      <c r="U49" s="15" t="n">
        <f aca="false">SUMIFS(Report!$U:$U,Report!$T:$T,$A49,Report!$C:$C,"&gt;="&amp;DATE(2027,7,1),Report!$C:$C,"&lt;"&amp;DATE(2027,8,1))</f>
        <v>0</v>
      </c>
      <c r="V49" s="15" t="n">
        <f aca="false">SUMIFS(Report!$U:$U,Report!$T:$T,$A49,Report!$C:$C,"&gt;="&amp;DATE(2027,8,1),Report!$C:$C,"&lt;"&amp;DATE(2027,9,1))</f>
        <v>0</v>
      </c>
      <c r="W49" s="15" t="n">
        <f aca="false">SUMIFS(Report!$U:$U,Report!$T:$T,$A49,Report!$C:$C,"&gt;="&amp;DATE(2027,9,1),Report!$C:$C,"&lt;"&amp;DATE(2027,10,1))</f>
        <v>0</v>
      </c>
      <c r="X49" s="15" t="n">
        <f aca="false">SUMIFS(Report!$U:$U,Report!$T:$T,$A49,Report!$C:$C,"&gt;="&amp;DATE(2027,10,1),Report!$C:$C,"&lt;"&amp;DATE(2027,11,1))</f>
        <v>0</v>
      </c>
      <c r="Y49" s="15" t="n">
        <f aca="false">SUMIFS(Report!$U:$U,Report!$T:$T,$A49,Report!$C:$C,"&gt;="&amp;DATE(2027,11,1),Report!$C:$C,"&lt;"&amp;DATE(2027,12,1))</f>
        <v>0</v>
      </c>
      <c r="Z49" s="15" t="n">
        <f aca="false">SUMIFS(Report!$U:$U,Report!$T:$T,$A49,Report!$C:$C,"&gt;="&amp;DATE(2027,12,1),Report!$C:$C,"&lt;"&amp;DATE(2028,1,1))</f>
        <v>0</v>
      </c>
      <c r="AA49" s="15" t="n">
        <f aca="false">SUM(C49:Z49)</f>
        <v>1396.73</v>
      </c>
    </row>
    <row r="50" customFormat="false" ht="13.5" hidden="false" customHeight="true" outlineLevel="0" collapsed="false">
      <c r="A50" s="0" t="s">
        <v>496</v>
      </c>
      <c r="B50" s="0" t="str">
        <f aca="false">IFERROR(INDEX('Resumo Grupos'!$AC$3:$AC$200,MATCH($A50,'Resumo Grupos'!$AB$3:$AB$200,0)),"n/d")</f>
        <v>Despesa</v>
      </c>
      <c r="C50" s="15" t="n">
        <f aca="false">SUMIFS(Report!$U:$U,Report!$T:$T,$A50,Report!$C:$C,"&gt;="&amp;DATE(2026,1,1),Report!$C:$C,"&lt;"&amp;DATE(2026,2,1))</f>
        <v>0</v>
      </c>
      <c r="D50" s="15" t="n">
        <f aca="false">SUMIFS(Report!$U:$U,Report!$T:$T,$A50,Report!$C:$C,"&gt;="&amp;DATE(2026,2,1),Report!$C:$C,"&lt;"&amp;DATE(2026,3,1))</f>
        <v>0</v>
      </c>
      <c r="E50" s="15" t="n">
        <f aca="false">SUMIFS(Report!$U:$U,Report!$T:$T,$A50,Report!$C:$C,"&gt;="&amp;DATE(2026,3,1),Report!$C:$C,"&lt;"&amp;DATE(2026,4,1))</f>
        <v>0</v>
      </c>
      <c r="F50" s="15" t="n">
        <f aca="false">SUMIFS(Report!$U:$U,Report!$T:$T,$A50,Report!$C:$C,"&gt;="&amp;DATE(2026,4,1),Report!$C:$C,"&lt;"&amp;DATE(2026,5,1))</f>
        <v>0</v>
      </c>
      <c r="G50" s="15" t="n">
        <f aca="false">SUMIFS(Report!$U:$U,Report!$T:$T,$A50,Report!$C:$C,"&gt;="&amp;DATE(2026,5,1),Report!$C:$C,"&lt;"&amp;DATE(2026,6,1))</f>
        <v>0</v>
      </c>
      <c r="H50" s="15" t="n">
        <f aca="false">SUMIFS(Report!$U:$U,Report!$T:$T,$A50,Report!$C:$C,"&gt;="&amp;DATE(2026,6,1),Report!$C:$C,"&lt;"&amp;DATE(2026,7,1))</f>
        <v>280.48</v>
      </c>
      <c r="I50" s="15" t="n">
        <f aca="false">SUMIFS(Report!$U:$U,Report!$T:$T,$A50,Report!$C:$C,"&gt;="&amp;DATE(2026,7,1),Report!$C:$C,"&lt;"&amp;DATE(2026,8,1))</f>
        <v>138.43</v>
      </c>
      <c r="J50" s="15" t="n">
        <f aca="false">SUMIFS(Report!$U:$U,Report!$T:$T,$A50,Report!$C:$C,"&gt;="&amp;DATE(2026,8,1),Report!$C:$C,"&lt;"&amp;DATE(2026,9,1))</f>
        <v>154.85</v>
      </c>
      <c r="K50" s="15" t="n">
        <f aca="false">SUMIFS(Report!$U:$U,Report!$T:$T,$A50,Report!$C:$C,"&gt;="&amp;DATE(2026,9,1),Report!$C:$C,"&lt;"&amp;DATE(2026,10,1))</f>
        <v>156.76</v>
      </c>
      <c r="L50" s="15" t="n">
        <f aca="false">SUMIFS(Report!$U:$U,Report!$T:$T,$A50,Report!$C:$C,"&gt;="&amp;DATE(2026,10,1),Report!$C:$C,"&lt;"&amp;DATE(2026,11,1))</f>
        <v>152.62</v>
      </c>
      <c r="M50" s="15" t="n">
        <f aca="false">SUMIFS(Report!$U:$U,Report!$T:$T,$A50,Report!$C:$C,"&gt;="&amp;DATE(2026,11,1),Report!$C:$C,"&lt;"&amp;DATE(2026,12,1))</f>
        <v>152.62</v>
      </c>
      <c r="N50" s="15" t="n">
        <f aca="false">SUMIFS(Report!$U:$U,Report!$T:$T,$A50,Report!$C:$C,"&gt;="&amp;DATE(2026,12,1),Report!$C:$C,"&lt;"&amp;DATE(2027,1,1))</f>
        <v>0</v>
      </c>
      <c r="O50" s="15" t="n">
        <f aca="false">SUMIFS(Report!$U:$U,Report!$T:$T,$A50,Report!$C:$C,"&gt;="&amp;DATE(2027,1,1),Report!$C:$C,"&lt;"&amp;DATE(2027,2,1))</f>
        <v>0</v>
      </c>
      <c r="P50" s="15" t="n">
        <f aca="false">SUMIFS(Report!$U:$U,Report!$T:$T,$A50,Report!$C:$C,"&gt;="&amp;DATE(2027,2,1),Report!$C:$C,"&lt;"&amp;DATE(2027,3,1))</f>
        <v>0</v>
      </c>
      <c r="Q50" s="15" t="n">
        <f aca="false">SUMIFS(Report!$U:$U,Report!$T:$T,$A50,Report!$C:$C,"&gt;="&amp;DATE(2027,3,1),Report!$C:$C,"&lt;"&amp;DATE(2027,4,1))</f>
        <v>0</v>
      </c>
      <c r="R50" s="15" t="n">
        <f aca="false">SUMIFS(Report!$U:$U,Report!$T:$T,$A50,Report!$C:$C,"&gt;="&amp;DATE(2027,4,1),Report!$C:$C,"&lt;"&amp;DATE(2027,5,1))</f>
        <v>0</v>
      </c>
      <c r="S50" s="15" t="n">
        <f aca="false">SUMIFS(Report!$U:$U,Report!$T:$T,$A50,Report!$C:$C,"&gt;="&amp;DATE(2027,5,1),Report!$C:$C,"&lt;"&amp;DATE(2027,6,1))</f>
        <v>0</v>
      </c>
      <c r="T50" s="15" t="n">
        <f aca="false">SUMIFS(Report!$U:$U,Report!$T:$T,$A50,Report!$C:$C,"&gt;="&amp;DATE(2027,6,1),Report!$C:$C,"&lt;"&amp;DATE(2027,7,1))</f>
        <v>0</v>
      </c>
      <c r="U50" s="15" t="n">
        <f aca="false">SUMIFS(Report!$U:$U,Report!$T:$T,$A50,Report!$C:$C,"&gt;="&amp;DATE(2027,7,1),Report!$C:$C,"&lt;"&amp;DATE(2027,8,1))</f>
        <v>0</v>
      </c>
      <c r="V50" s="15" t="n">
        <f aca="false">SUMIFS(Report!$U:$U,Report!$T:$T,$A50,Report!$C:$C,"&gt;="&amp;DATE(2027,8,1),Report!$C:$C,"&lt;"&amp;DATE(2027,9,1))</f>
        <v>0</v>
      </c>
      <c r="W50" s="15" t="n">
        <f aca="false">SUMIFS(Report!$U:$U,Report!$T:$T,$A50,Report!$C:$C,"&gt;="&amp;DATE(2027,9,1),Report!$C:$C,"&lt;"&amp;DATE(2027,10,1))</f>
        <v>0</v>
      </c>
      <c r="X50" s="15" t="n">
        <f aca="false">SUMIFS(Report!$U:$U,Report!$T:$T,$A50,Report!$C:$C,"&gt;="&amp;DATE(2027,10,1),Report!$C:$C,"&lt;"&amp;DATE(2027,11,1))</f>
        <v>0</v>
      </c>
      <c r="Y50" s="15" t="n">
        <f aca="false">SUMIFS(Report!$U:$U,Report!$T:$T,$A50,Report!$C:$C,"&gt;="&amp;DATE(2027,11,1),Report!$C:$C,"&lt;"&amp;DATE(2027,12,1))</f>
        <v>0</v>
      </c>
      <c r="Z50" s="15" t="n">
        <f aca="false">SUMIFS(Report!$U:$U,Report!$T:$T,$A50,Report!$C:$C,"&gt;="&amp;DATE(2027,12,1),Report!$C:$C,"&lt;"&amp;DATE(2028,1,1))</f>
        <v>0</v>
      </c>
      <c r="AA50" s="15" t="n">
        <f aca="false">SUM(C50:Z50)</f>
        <v>1035.76</v>
      </c>
    </row>
    <row r="51" customFormat="false" ht="13.5" hidden="false" customHeight="true" outlineLevel="0" collapsed="false">
      <c r="A51" s="0" t="s">
        <v>225</v>
      </c>
      <c r="B51" s="0" t="str">
        <f aca="false">IFERROR(INDEX('Resumo Grupos'!$AC$3:$AC$200,MATCH($A51,'Resumo Grupos'!$AB$3:$AB$200,0)),"n/d")</f>
        <v>Salários</v>
      </c>
      <c r="C51" s="15" t="n">
        <f aca="false">SUMIFS(Report!$U:$U,Report!$T:$T,$A51,Report!$C:$C,"&gt;="&amp;DATE(2026,1,1),Report!$C:$C,"&lt;"&amp;DATE(2026,2,1))</f>
        <v>0</v>
      </c>
      <c r="D51" s="15" t="n">
        <f aca="false">SUMIFS(Report!$U:$U,Report!$T:$T,$A51,Report!$C:$C,"&gt;="&amp;DATE(2026,2,1),Report!$C:$C,"&lt;"&amp;DATE(2026,3,1))</f>
        <v>0</v>
      </c>
      <c r="E51" s="15" t="n">
        <f aca="false">SUMIFS(Report!$U:$U,Report!$T:$T,$A51,Report!$C:$C,"&gt;="&amp;DATE(2026,3,1),Report!$C:$C,"&lt;"&amp;DATE(2026,4,1))</f>
        <v>0</v>
      </c>
      <c r="F51" s="15" t="n">
        <f aca="false">SUMIFS(Report!$U:$U,Report!$T:$T,$A51,Report!$C:$C,"&gt;="&amp;DATE(2026,4,1),Report!$C:$C,"&lt;"&amp;DATE(2026,5,1))</f>
        <v>0</v>
      </c>
      <c r="G51" s="15" t="n">
        <f aca="false">SUMIFS(Report!$U:$U,Report!$T:$T,$A51,Report!$C:$C,"&gt;="&amp;DATE(2026,5,1),Report!$C:$C,"&lt;"&amp;DATE(2026,6,1))</f>
        <v>0</v>
      </c>
      <c r="H51" s="15" t="n">
        <f aca="false">SUMIFS(Report!$U:$U,Report!$T:$T,$A51,Report!$C:$C,"&gt;="&amp;DATE(2026,6,1),Report!$C:$C,"&lt;"&amp;DATE(2026,7,1))</f>
        <v>2147.05</v>
      </c>
      <c r="I51" s="15" t="n">
        <f aca="false">SUMIFS(Report!$U:$U,Report!$T:$T,$A51,Report!$C:$C,"&gt;="&amp;DATE(2026,7,1),Report!$C:$C,"&lt;"&amp;DATE(2026,8,1))</f>
        <v>0</v>
      </c>
      <c r="J51" s="15" t="n">
        <f aca="false">SUMIFS(Report!$U:$U,Report!$T:$T,$A51,Report!$C:$C,"&gt;="&amp;DATE(2026,8,1),Report!$C:$C,"&lt;"&amp;DATE(2026,9,1))</f>
        <v>0</v>
      </c>
      <c r="K51" s="15" t="n">
        <f aca="false">SUMIFS(Report!$U:$U,Report!$T:$T,$A51,Report!$C:$C,"&gt;="&amp;DATE(2026,9,1),Report!$C:$C,"&lt;"&amp;DATE(2026,10,1))</f>
        <v>0</v>
      </c>
      <c r="L51" s="15" t="n">
        <f aca="false">SUMIFS(Report!$U:$U,Report!$T:$T,$A51,Report!$C:$C,"&gt;="&amp;DATE(2026,10,1),Report!$C:$C,"&lt;"&amp;DATE(2026,11,1))</f>
        <v>0</v>
      </c>
      <c r="M51" s="15" t="n">
        <f aca="false">SUMIFS(Report!$U:$U,Report!$T:$T,$A51,Report!$C:$C,"&gt;="&amp;DATE(2026,11,1),Report!$C:$C,"&lt;"&amp;DATE(2026,12,1))</f>
        <v>0</v>
      </c>
      <c r="N51" s="15" t="n">
        <f aca="false">SUMIFS(Report!$U:$U,Report!$T:$T,$A51,Report!$C:$C,"&gt;="&amp;DATE(2026,12,1),Report!$C:$C,"&lt;"&amp;DATE(2027,1,1))</f>
        <v>0</v>
      </c>
      <c r="O51" s="15" t="n">
        <f aca="false">SUMIFS(Report!$U:$U,Report!$T:$T,$A51,Report!$C:$C,"&gt;="&amp;DATE(2027,1,1),Report!$C:$C,"&lt;"&amp;DATE(2027,2,1))</f>
        <v>0</v>
      </c>
      <c r="P51" s="15" t="n">
        <f aca="false">SUMIFS(Report!$U:$U,Report!$T:$T,$A51,Report!$C:$C,"&gt;="&amp;DATE(2027,2,1),Report!$C:$C,"&lt;"&amp;DATE(2027,3,1))</f>
        <v>0</v>
      </c>
      <c r="Q51" s="15" t="n">
        <f aca="false">SUMIFS(Report!$U:$U,Report!$T:$T,$A51,Report!$C:$C,"&gt;="&amp;DATE(2027,3,1),Report!$C:$C,"&lt;"&amp;DATE(2027,4,1))</f>
        <v>0</v>
      </c>
      <c r="R51" s="15" t="n">
        <f aca="false">SUMIFS(Report!$U:$U,Report!$T:$T,$A51,Report!$C:$C,"&gt;="&amp;DATE(2027,4,1),Report!$C:$C,"&lt;"&amp;DATE(2027,5,1))</f>
        <v>0</v>
      </c>
      <c r="S51" s="15" t="n">
        <f aca="false">SUMIFS(Report!$U:$U,Report!$T:$T,$A51,Report!$C:$C,"&gt;="&amp;DATE(2027,5,1),Report!$C:$C,"&lt;"&amp;DATE(2027,6,1))</f>
        <v>0</v>
      </c>
      <c r="T51" s="15" t="n">
        <f aca="false">SUMIFS(Report!$U:$U,Report!$T:$T,$A51,Report!$C:$C,"&gt;="&amp;DATE(2027,6,1),Report!$C:$C,"&lt;"&amp;DATE(2027,7,1))</f>
        <v>0</v>
      </c>
      <c r="U51" s="15" t="n">
        <f aca="false">SUMIFS(Report!$U:$U,Report!$T:$T,$A51,Report!$C:$C,"&gt;="&amp;DATE(2027,7,1),Report!$C:$C,"&lt;"&amp;DATE(2027,8,1))</f>
        <v>0</v>
      </c>
      <c r="V51" s="15" t="n">
        <f aca="false">SUMIFS(Report!$U:$U,Report!$T:$T,$A51,Report!$C:$C,"&gt;="&amp;DATE(2027,8,1),Report!$C:$C,"&lt;"&amp;DATE(2027,9,1))</f>
        <v>0</v>
      </c>
      <c r="W51" s="15" t="n">
        <f aca="false">SUMIFS(Report!$U:$U,Report!$T:$T,$A51,Report!$C:$C,"&gt;="&amp;DATE(2027,9,1),Report!$C:$C,"&lt;"&amp;DATE(2027,10,1))</f>
        <v>0</v>
      </c>
      <c r="X51" s="15" t="n">
        <f aca="false">SUMIFS(Report!$U:$U,Report!$T:$T,$A51,Report!$C:$C,"&gt;="&amp;DATE(2027,10,1),Report!$C:$C,"&lt;"&amp;DATE(2027,11,1))</f>
        <v>0</v>
      </c>
      <c r="Y51" s="15" t="n">
        <f aca="false">SUMIFS(Report!$U:$U,Report!$T:$T,$A51,Report!$C:$C,"&gt;="&amp;DATE(2027,11,1),Report!$C:$C,"&lt;"&amp;DATE(2027,12,1))</f>
        <v>0</v>
      </c>
      <c r="Z51" s="15" t="n">
        <f aca="false">SUMIFS(Report!$U:$U,Report!$T:$T,$A51,Report!$C:$C,"&gt;="&amp;DATE(2027,12,1),Report!$C:$C,"&lt;"&amp;DATE(2028,1,1))</f>
        <v>0</v>
      </c>
      <c r="AA51" s="15" t="n">
        <f aca="false">SUM(C51:Z51)</f>
        <v>2147.05</v>
      </c>
    </row>
    <row r="52" customFormat="false" ht="13.5" hidden="false" customHeight="true" outlineLevel="0" collapsed="false">
      <c r="A52" s="26" t="s">
        <v>220</v>
      </c>
      <c r="B52" s="26" t="str">
        <f aca="false">IFERROR(INDEX('Resumo Grupos'!$AC$3:$AC$200,MATCH($A52,'Resumo Grupos'!$AB$3:$AB$200,0)),"n/d")</f>
        <v>Salários</v>
      </c>
      <c r="C52" s="22" t="n">
        <f aca="false">SUMIFS(Report!$U:$U,Report!$T:$T,$A52,Report!$C:$C,"&gt;="&amp;DATE(2026,1,1),Report!$C:$C,"&lt;"&amp;DATE(2026,2,1))</f>
        <v>0</v>
      </c>
      <c r="D52" s="22" t="n">
        <f aca="false">SUMIFS(Report!$U:$U,Report!$T:$T,$A52,Report!$C:$C,"&gt;="&amp;DATE(2026,2,1),Report!$C:$C,"&lt;"&amp;DATE(2026,3,1))</f>
        <v>0</v>
      </c>
      <c r="E52" s="22" t="n">
        <f aca="false">SUMIFS(Report!$U:$U,Report!$T:$T,$A52,Report!$C:$C,"&gt;="&amp;DATE(2026,3,1),Report!$C:$C,"&lt;"&amp;DATE(2026,4,1))</f>
        <v>0</v>
      </c>
      <c r="F52" s="22" t="n">
        <f aca="false">SUMIFS(Report!$U:$U,Report!$T:$T,$A52,Report!$C:$C,"&gt;="&amp;DATE(2026,4,1),Report!$C:$C,"&lt;"&amp;DATE(2026,5,1))</f>
        <v>0</v>
      </c>
      <c r="G52" s="22" t="n">
        <f aca="false">SUMIFS(Report!$U:$U,Report!$T:$T,$A52,Report!$C:$C,"&gt;="&amp;DATE(2026,5,1),Report!$C:$C,"&lt;"&amp;DATE(2026,6,1))</f>
        <v>0</v>
      </c>
      <c r="H52" s="22" t="n">
        <f aca="false">SUMIFS(Report!$U:$U,Report!$T:$T,$A52,Report!$C:$C,"&gt;="&amp;DATE(2026,6,1),Report!$C:$C,"&lt;"&amp;DATE(2026,7,1))</f>
        <v>15892.41</v>
      </c>
      <c r="I52" s="22" t="n">
        <f aca="false">SUMIFS(Report!$U:$U,Report!$T:$T,$A52,Report!$C:$C,"&gt;="&amp;DATE(2026,7,1),Report!$C:$C,"&lt;"&amp;DATE(2026,8,1))</f>
        <v>18220.08</v>
      </c>
      <c r="J52" s="22" t="n">
        <f aca="false">SUMIFS(Report!$U:$U,Report!$T:$T,$A52,Report!$C:$C,"&gt;="&amp;DATE(2026,8,1),Report!$C:$C,"&lt;"&amp;DATE(2026,9,1))</f>
        <v>14233.41</v>
      </c>
      <c r="K52" s="22" t="n">
        <f aca="false">SUMIFS(Report!$U:$U,Report!$T:$T,$A52,Report!$C:$C,"&gt;="&amp;DATE(2026,9,1),Report!$C:$C,"&lt;"&amp;DATE(2026,10,1))</f>
        <v>15129.54</v>
      </c>
      <c r="L52" s="22" t="n">
        <f aca="false">SUMIFS(Report!$U:$U,Report!$T:$T,$A52,Report!$C:$C,"&gt;="&amp;DATE(2026,10,1),Report!$C:$C,"&lt;"&amp;DATE(2026,11,1))</f>
        <v>765.76</v>
      </c>
      <c r="M52" s="22" t="n">
        <f aca="false">SUMIFS(Report!$U:$U,Report!$T:$T,$A52,Report!$C:$C,"&gt;="&amp;DATE(2026,11,1),Report!$C:$C,"&lt;"&amp;DATE(2026,12,1))</f>
        <v>750.1</v>
      </c>
      <c r="N52" s="22" t="n">
        <f aca="false">SUMIFS(Report!$U:$U,Report!$T:$T,$A52,Report!$C:$C,"&gt;="&amp;DATE(2026,12,1),Report!$C:$C,"&lt;"&amp;DATE(2027,1,1))</f>
        <v>250.1</v>
      </c>
      <c r="O52" s="22" t="n">
        <f aca="false">SUMIFS(Report!$U:$U,Report!$T:$T,$A52,Report!$C:$C,"&gt;="&amp;DATE(2027,1,1),Report!$C:$C,"&lt;"&amp;DATE(2027,2,1))</f>
        <v>0</v>
      </c>
      <c r="P52" s="22" t="n">
        <f aca="false">SUMIFS(Report!$U:$U,Report!$T:$T,$A52,Report!$C:$C,"&gt;="&amp;DATE(2027,2,1),Report!$C:$C,"&lt;"&amp;DATE(2027,3,1))</f>
        <v>0</v>
      </c>
      <c r="Q52" s="22" t="n">
        <f aca="false">SUMIFS(Report!$U:$U,Report!$T:$T,$A52,Report!$C:$C,"&gt;="&amp;DATE(2027,3,1),Report!$C:$C,"&lt;"&amp;DATE(2027,4,1))</f>
        <v>0</v>
      </c>
      <c r="R52" s="22" t="n">
        <f aca="false">SUMIFS(Report!$U:$U,Report!$T:$T,$A52,Report!$C:$C,"&gt;="&amp;DATE(2027,4,1),Report!$C:$C,"&lt;"&amp;DATE(2027,5,1))</f>
        <v>0</v>
      </c>
      <c r="S52" s="22" t="n">
        <f aca="false">SUMIFS(Report!$U:$U,Report!$T:$T,$A52,Report!$C:$C,"&gt;="&amp;DATE(2027,5,1),Report!$C:$C,"&lt;"&amp;DATE(2027,6,1))</f>
        <v>0</v>
      </c>
      <c r="T52" s="22" t="n">
        <f aca="false">SUMIFS(Report!$U:$U,Report!$T:$T,$A52,Report!$C:$C,"&gt;="&amp;DATE(2027,6,1),Report!$C:$C,"&lt;"&amp;DATE(2027,7,1))</f>
        <v>0</v>
      </c>
      <c r="U52" s="22" t="n">
        <f aca="false">SUMIFS(Report!$U:$U,Report!$T:$T,$A52,Report!$C:$C,"&gt;="&amp;DATE(2027,7,1),Report!$C:$C,"&lt;"&amp;DATE(2027,8,1))</f>
        <v>0</v>
      </c>
      <c r="V52" s="22" t="n">
        <f aca="false">SUMIFS(Report!$U:$U,Report!$T:$T,$A52,Report!$C:$C,"&gt;="&amp;DATE(2027,8,1),Report!$C:$C,"&lt;"&amp;DATE(2027,9,1))</f>
        <v>0</v>
      </c>
      <c r="W52" s="22" t="n">
        <f aca="false">SUMIFS(Report!$U:$U,Report!$T:$T,$A52,Report!$C:$C,"&gt;="&amp;DATE(2027,9,1),Report!$C:$C,"&lt;"&amp;DATE(2027,10,1))</f>
        <v>0</v>
      </c>
      <c r="X52" s="22" t="n">
        <f aca="false">SUMIFS(Report!$U:$U,Report!$T:$T,$A52,Report!$C:$C,"&gt;="&amp;DATE(2027,10,1),Report!$C:$C,"&lt;"&amp;DATE(2027,11,1))</f>
        <v>0</v>
      </c>
      <c r="Y52" s="22" t="n">
        <f aca="false">SUMIFS(Report!$U:$U,Report!$T:$T,$A52,Report!$C:$C,"&gt;="&amp;DATE(2027,11,1),Report!$C:$C,"&lt;"&amp;DATE(2027,12,1))</f>
        <v>0</v>
      </c>
      <c r="Z52" s="22" t="n">
        <f aca="false">SUMIFS(Report!$U:$U,Report!$T:$T,$A52,Report!$C:$C,"&gt;="&amp;DATE(2027,12,1),Report!$C:$C,"&lt;"&amp;DATE(2028,1,1))</f>
        <v>0</v>
      </c>
      <c r="AA52" s="22" t="n">
        <f aca="false">SUM(C52:Z52)</f>
        <v>65241.4</v>
      </c>
    </row>
    <row r="53" customFormat="false" ht="12.75" hidden="false" customHeight="true" outlineLevel="0" collapsed="false">
      <c r="A53" s="0" t="s">
        <v>510</v>
      </c>
      <c r="B53" s="0" t="str">
        <f aca="false">IFERROR(INDEX('Resumo Grupos'!$AC$3:$AC$200,MATCH($A53,'Resumo Grupos'!$AB$3:$AB$200,0)),"n/d")</f>
        <v>Impostos</v>
      </c>
      <c r="C53" s="15" t="n">
        <f aca="false">SUMIFS(Report!$U:$U,Report!$T:$T,$A53,Report!$C:$C,"&gt;="&amp;DATE(2026,1,1),Report!$C:$C,"&lt;"&amp;DATE(2026,2,1))</f>
        <v>0</v>
      </c>
      <c r="D53" s="15" t="n">
        <f aca="false">SUMIFS(Report!$U:$U,Report!$T:$T,$A53,Report!$C:$C,"&gt;="&amp;DATE(2026,2,1),Report!$C:$C,"&lt;"&amp;DATE(2026,3,1))</f>
        <v>0</v>
      </c>
      <c r="E53" s="15" t="n">
        <f aca="false">SUMIFS(Report!$U:$U,Report!$T:$T,$A53,Report!$C:$C,"&gt;="&amp;DATE(2026,3,1),Report!$C:$C,"&lt;"&amp;DATE(2026,4,1))</f>
        <v>0</v>
      </c>
      <c r="F53" s="15" t="n">
        <f aca="false">SUMIFS(Report!$U:$U,Report!$T:$T,$A53,Report!$C:$C,"&gt;="&amp;DATE(2026,4,1),Report!$C:$C,"&lt;"&amp;DATE(2026,5,1))</f>
        <v>0</v>
      </c>
      <c r="G53" s="15" t="n">
        <f aca="false">SUMIFS(Report!$U:$U,Report!$T:$T,$A53,Report!$C:$C,"&gt;="&amp;DATE(2026,5,1),Report!$C:$C,"&lt;"&amp;DATE(2026,6,1))</f>
        <v>0</v>
      </c>
      <c r="H53" s="15" t="n">
        <f aca="false">SUMIFS(Report!$U:$U,Report!$T:$T,$A53,Report!$C:$C,"&gt;="&amp;DATE(2026,6,1),Report!$C:$C,"&lt;"&amp;DATE(2026,7,1))</f>
        <v>1546.42</v>
      </c>
      <c r="I53" s="15" t="n">
        <f aca="false">SUMIFS(Report!$U:$U,Report!$T:$T,$A53,Report!$C:$C,"&gt;="&amp;DATE(2026,7,1),Report!$C:$C,"&lt;"&amp;DATE(2026,8,1))</f>
        <v>1596.41</v>
      </c>
      <c r="J53" s="15" t="n">
        <f aca="false">SUMIFS(Report!$U:$U,Report!$T:$T,$A53,Report!$C:$C,"&gt;="&amp;DATE(2026,8,1),Report!$C:$C,"&lt;"&amp;DATE(2026,9,1))</f>
        <v>1877.14</v>
      </c>
      <c r="K53" s="15" t="n">
        <f aca="false">SUMIFS(Report!$U:$U,Report!$T:$T,$A53,Report!$C:$C,"&gt;="&amp;DATE(2026,9,1),Report!$C:$C,"&lt;"&amp;DATE(2026,10,1))</f>
        <v>1638.57</v>
      </c>
      <c r="L53" s="15" t="n">
        <f aca="false">SUMIFS(Report!$U:$U,Report!$T:$T,$A53,Report!$C:$C,"&gt;="&amp;DATE(2026,10,1),Report!$C:$C,"&lt;"&amp;DATE(2026,11,1))</f>
        <v>0</v>
      </c>
      <c r="M53" s="15" t="n">
        <f aca="false">SUMIFS(Report!$U:$U,Report!$T:$T,$A53,Report!$C:$C,"&gt;="&amp;DATE(2026,11,1),Report!$C:$C,"&lt;"&amp;DATE(2026,12,1))</f>
        <v>0</v>
      </c>
      <c r="N53" s="15" t="n">
        <f aca="false">SUMIFS(Report!$U:$U,Report!$T:$T,$A53,Report!$C:$C,"&gt;="&amp;DATE(2026,12,1),Report!$C:$C,"&lt;"&amp;DATE(2027,1,1))</f>
        <v>0</v>
      </c>
      <c r="O53" s="15" t="n">
        <f aca="false">SUMIFS(Report!$U:$U,Report!$T:$T,$A53,Report!$C:$C,"&gt;="&amp;DATE(2027,1,1),Report!$C:$C,"&lt;"&amp;DATE(2027,2,1))</f>
        <v>0</v>
      </c>
      <c r="P53" s="15" t="n">
        <f aca="false">SUMIFS(Report!$U:$U,Report!$T:$T,$A53,Report!$C:$C,"&gt;="&amp;DATE(2027,2,1),Report!$C:$C,"&lt;"&amp;DATE(2027,3,1))</f>
        <v>0</v>
      </c>
      <c r="Q53" s="15" t="n">
        <f aca="false">SUMIFS(Report!$U:$U,Report!$T:$T,$A53,Report!$C:$C,"&gt;="&amp;DATE(2027,3,1),Report!$C:$C,"&lt;"&amp;DATE(2027,4,1))</f>
        <v>0</v>
      </c>
      <c r="R53" s="15" t="n">
        <f aca="false">SUMIFS(Report!$U:$U,Report!$T:$T,$A53,Report!$C:$C,"&gt;="&amp;DATE(2027,4,1),Report!$C:$C,"&lt;"&amp;DATE(2027,5,1))</f>
        <v>0</v>
      </c>
      <c r="S53" s="15" t="n">
        <f aca="false">SUMIFS(Report!$U:$U,Report!$T:$T,$A53,Report!$C:$C,"&gt;="&amp;DATE(2027,5,1),Report!$C:$C,"&lt;"&amp;DATE(2027,6,1))</f>
        <v>0</v>
      </c>
      <c r="T53" s="15" t="n">
        <f aca="false">SUMIFS(Report!$U:$U,Report!$T:$T,$A53,Report!$C:$C,"&gt;="&amp;DATE(2027,6,1),Report!$C:$C,"&lt;"&amp;DATE(2027,7,1))</f>
        <v>0</v>
      </c>
      <c r="U53" s="15" t="n">
        <f aca="false">SUMIFS(Report!$U:$U,Report!$T:$T,$A53,Report!$C:$C,"&gt;="&amp;DATE(2027,7,1),Report!$C:$C,"&lt;"&amp;DATE(2027,8,1))</f>
        <v>0</v>
      </c>
      <c r="V53" s="15" t="n">
        <f aca="false">SUMIFS(Report!$U:$U,Report!$T:$T,$A53,Report!$C:$C,"&gt;="&amp;DATE(2027,8,1),Report!$C:$C,"&lt;"&amp;DATE(2027,9,1))</f>
        <v>0</v>
      </c>
      <c r="W53" s="15" t="n">
        <f aca="false">SUMIFS(Report!$U:$U,Report!$T:$T,$A53,Report!$C:$C,"&gt;="&amp;DATE(2027,9,1),Report!$C:$C,"&lt;"&amp;DATE(2027,10,1))</f>
        <v>0</v>
      </c>
      <c r="X53" s="15" t="n">
        <f aca="false">SUMIFS(Report!$U:$U,Report!$T:$T,$A53,Report!$C:$C,"&gt;="&amp;DATE(2027,10,1),Report!$C:$C,"&lt;"&amp;DATE(2027,11,1))</f>
        <v>0</v>
      </c>
      <c r="Y53" s="15" t="n">
        <f aca="false">SUMIFS(Report!$U:$U,Report!$T:$T,$A53,Report!$C:$C,"&gt;="&amp;DATE(2027,11,1),Report!$C:$C,"&lt;"&amp;DATE(2027,12,1))</f>
        <v>0</v>
      </c>
      <c r="Z53" s="15" t="n">
        <f aca="false">SUMIFS(Report!$U:$U,Report!$T:$T,$A53,Report!$C:$C,"&gt;="&amp;DATE(2027,12,1),Report!$C:$C,"&lt;"&amp;DATE(2028,1,1))</f>
        <v>0</v>
      </c>
      <c r="AA53" s="15" t="n">
        <f aca="false">SUM(C53:Z53)</f>
        <v>6658.54</v>
      </c>
    </row>
    <row r="54" customFormat="false" ht="12.75" hidden="false" customHeight="true" outlineLevel="0" collapsed="false">
      <c r="A54" s="0" t="s">
        <v>59</v>
      </c>
      <c r="B54" s="0" t="str">
        <f aca="false">IFERROR(INDEX('Resumo Grupos'!$AC$3:$AC$200,MATCH($A54,'Resumo Grupos'!$AB$3:$AB$200,0)),"n/d")</f>
        <v>Despesa</v>
      </c>
      <c r="C54" s="15" t="n">
        <f aca="false">SUMIFS(Report!$U:$U,Report!$T:$T,$A54,Report!$C:$C,"&gt;="&amp;DATE(2026,1,1),Report!$C:$C,"&lt;"&amp;DATE(2026,2,1))</f>
        <v>0</v>
      </c>
      <c r="D54" s="15" t="n">
        <f aca="false">SUMIFS(Report!$U:$U,Report!$T:$T,$A54,Report!$C:$C,"&gt;="&amp;DATE(2026,2,1),Report!$C:$C,"&lt;"&amp;DATE(2026,3,1))</f>
        <v>0</v>
      </c>
      <c r="E54" s="15" t="n">
        <f aca="false">SUMIFS(Report!$U:$U,Report!$T:$T,$A54,Report!$C:$C,"&gt;="&amp;DATE(2026,3,1),Report!$C:$C,"&lt;"&amp;DATE(2026,4,1))</f>
        <v>0</v>
      </c>
      <c r="F54" s="15" t="n">
        <f aca="false">SUMIFS(Report!$U:$U,Report!$T:$T,$A54,Report!$C:$C,"&gt;="&amp;DATE(2026,4,1),Report!$C:$C,"&lt;"&amp;DATE(2026,5,1))</f>
        <v>0</v>
      </c>
      <c r="G54" s="15" t="n">
        <f aca="false">SUMIFS(Report!$U:$U,Report!$T:$T,$A54,Report!$C:$C,"&gt;="&amp;DATE(2026,5,1),Report!$C:$C,"&lt;"&amp;DATE(2026,6,1))</f>
        <v>0</v>
      </c>
      <c r="H54" s="15" t="n">
        <f aca="false">SUMIFS(Report!$U:$U,Report!$T:$T,$A54,Report!$C:$C,"&gt;="&amp;DATE(2026,6,1),Report!$C:$C,"&lt;"&amp;DATE(2026,7,1))</f>
        <v>1071.45</v>
      </c>
      <c r="I54" s="15" t="n">
        <f aca="false">SUMIFS(Report!$U:$U,Report!$T:$T,$A54,Report!$C:$C,"&gt;="&amp;DATE(2026,7,1),Report!$C:$C,"&lt;"&amp;DATE(2026,8,1))</f>
        <v>1071.45</v>
      </c>
      <c r="J54" s="15" t="n">
        <f aca="false">SUMIFS(Report!$U:$U,Report!$T:$T,$A54,Report!$C:$C,"&gt;="&amp;DATE(2026,8,1),Report!$C:$C,"&lt;"&amp;DATE(2026,9,1))</f>
        <v>0</v>
      </c>
      <c r="K54" s="15" t="n">
        <f aca="false">SUMIFS(Report!$U:$U,Report!$T:$T,$A54,Report!$C:$C,"&gt;="&amp;DATE(2026,9,1),Report!$C:$C,"&lt;"&amp;DATE(2026,10,1))</f>
        <v>0</v>
      </c>
      <c r="L54" s="15" t="n">
        <f aca="false">SUMIFS(Report!$U:$U,Report!$T:$T,$A54,Report!$C:$C,"&gt;="&amp;DATE(2026,10,1),Report!$C:$C,"&lt;"&amp;DATE(2026,11,1))</f>
        <v>0</v>
      </c>
      <c r="M54" s="15" t="n">
        <f aca="false">SUMIFS(Report!$U:$U,Report!$T:$T,$A54,Report!$C:$C,"&gt;="&amp;DATE(2026,11,1),Report!$C:$C,"&lt;"&amp;DATE(2026,12,1))</f>
        <v>0</v>
      </c>
      <c r="N54" s="15" t="n">
        <f aca="false">SUMIFS(Report!$U:$U,Report!$T:$T,$A54,Report!$C:$C,"&gt;="&amp;DATE(2026,12,1),Report!$C:$C,"&lt;"&amp;DATE(2027,1,1))</f>
        <v>0</v>
      </c>
      <c r="O54" s="15" t="n">
        <f aca="false">SUMIFS(Report!$U:$U,Report!$T:$T,$A54,Report!$C:$C,"&gt;="&amp;DATE(2027,1,1),Report!$C:$C,"&lt;"&amp;DATE(2027,2,1))</f>
        <v>0</v>
      </c>
      <c r="P54" s="15" t="n">
        <f aca="false">SUMIFS(Report!$U:$U,Report!$T:$T,$A54,Report!$C:$C,"&gt;="&amp;DATE(2027,2,1),Report!$C:$C,"&lt;"&amp;DATE(2027,3,1))</f>
        <v>0</v>
      </c>
      <c r="Q54" s="15" t="n">
        <f aca="false">SUMIFS(Report!$U:$U,Report!$T:$T,$A54,Report!$C:$C,"&gt;="&amp;DATE(2027,3,1),Report!$C:$C,"&lt;"&amp;DATE(2027,4,1))</f>
        <v>0</v>
      </c>
      <c r="R54" s="15" t="n">
        <f aca="false">SUMIFS(Report!$U:$U,Report!$T:$T,$A54,Report!$C:$C,"&gt;="&amp;DATE(2027,4,1),Report!$C:$C,"&lt;"&amp;DATE(2027,5,1))</f>
        <v>0</v>
      </c>
      <c r="S54" s="15" t="n">
        <f aca="false">SUMIFS(Report!$U:$U,Report!$T:$T,$A54,Report!$C:$C,"&gt;="&amp;DATE(2027,5,1),Report!$C:$C,"&lt;"&amp;DATE(2027,6,1))</f>
        <v>0</v>
      </c>
      <c r="T54" s="15" t="n">
        <f aca="false">SUMIFS(Report!$U:$U,Report!$T:$T,$A54,Report!$C:$C,"&gt;="&amp;DATE(2027,6,1),Report!$C:$C,"&lt;"&amp;DATE(2027,7,1))</f>
        <v>0</v>
      </c>
      <c r="U54" s="15" t="n">
        <f aca="false">SUMIFS(Report!$U:$U,Report!$T:$T,$A54,Report!$C:$C,"&gt;="&amp;DATE(2027,7,1),Report!$C:$C,"&lt;"&amp;DATE(2027,8,1))</f>
        <v>0</v>
      </c>
      <c r="V54" s="15" t="n">
        <f aca="false">SUMIFS(Report!$U:$U,Report!$T:$T,$A54,Report!$C:$C,"&gt;="&amp;DATE(2027,8,1),Report!$C:$C,"&lt;"&amp;DATE(2027,9,1))</f>
        <v>0</v>
      </c>
      <c r="W54" s="15" t="n">
        <f aca="false">SUMIFS(Report!$U:$U,Report!$T:$T,$A54,Report!$C:$C,"&gt;="&amp;DATE(2027,9,1),Report!$C:$C,"&lt;"&amp;DATE(2027,10,1))</f>
        <v>0</v>
      </c>
      <c r="X54" s="15" t="n">
        <f aca="false">SUMIFS(Report!$U:$U,Report!$T:$T,$A54,Report!$C:$C,"&gt;="&amp;DATE(2027,10,1),Report!$C:$C,"&lt;"&amp;DATE(2027,11,1))</f>
        <v>0</v>
      </c>
      <c r="Y54" s="15" t="n">
        <f aca="false">SUMIFS(Report!$U:$U,Report!$T:$T,$A54,Report!$C:$C,"&gt;="&amp;DATE(2027,11,1),Report!$C:$C,"&lt;"&amp;DATE(2027,12,1))</f>
        <v>0</v>
      </c>
      <c r="Z54" s="15" t="n">
        <f aca="false">SUMIFS(Report!$U:$U,Report!$T:$T,$A54,Report!$C:$C,"&gt;="&amp;DATE(2027,12,1),Report!$C:$C,"&lt;"&amp;DATE(2028,1,1))</f>
        <v>0</v>
      </c>
      <c r="AA54" s="15" t="n">
        <f aca="false">SUM(C54:Z54)</f>
        <v>2142.9</v>
      </c>
    </row>
    <row r="55" customFormat="false" ht="12.75" hidden="false" customHeight="true" outlineLevel="0" collapsed="false">
      <c r="A55" s="0" t="s">
        <v>1256</v>
      </c>
      <c r="B55" s="0" t="str">
        <f aca="false">IFERROR(INDEX('Resumo Grupos'!$AC$3:$AC$200,MATCH($A55,'Resumo Grupos'!$AB$3:$AB$200,0)),"n/d")</f>
        <v>Despesa</v>
      </c>
      <c r="C55" s="15" t="n">
        <f aca="false">SUMIFS(Report!$U:$U,Report!$T:$T,$A55,Report!$C:$C,"&gt;="&amp;DATE(2026,1,1),Report!$C:$C,"&lt;"&amp;DATE(2026,2,1))</f>
        <v>0</v>
      </c>
      <c r="D55" s="15" t="n">
        <f aca="false">SUMIFS(Report!$U:$U,Report!$T:$T,$A55,Report!$C:$C,"&gt;="&amp;DATE(2026,2,1),Report!$C:$C,"&lt;"&amp;DATE(2026,3,1))</f>
        <v>0</v>
      </c>
      <c r="E55" s="15" t="n">
        <f aca="false">SUMIFS(Report!$U:$U,Report!$T:$T,$A55,Report!$C:$C,"&gt;="&amp;DATE(2026,3,1),Report!$C:$C,"&lt;"&amp;DATE(2026,4,1))</f>
        <v>0</v>
      </c>
      <c r="F55" s="15" t="n">
        <f aca="false">SUMIFS(Report!$U:$U,Report!$T:$T,$A55,Report!$C:$C,"&gt;="&amp;DATE(2026,4,1),Report!$C:$C,"&lt;"&amp;DATE(2026,5,1))</f>
        <v>0</v>
      </c>
      <c r="G55" s="15" t="n">
        <f aca="false">SUMIFS(Report!$U:$U,Report!$T:$T,$A55,Report!$C:$C,"&gt;="&amp;DATE(2026,5,1),Report!$C:$C,"&lt;"&amp;DATE(2026,6,1))</f>
        <v>0</v>
      </c>
      <c r="H55" s="15" t="n">
        <f aca="false">SUMIFS(Report!$U:$U,Report!$T:$T,$A55,Report!$C:$C,"&gt;="&amp;DATE(2026,6,1),Report!$C:$C,"&lt;"&amp;DATE(2026,7,1))</f>
        <v>0</v>
      </c>
      <c r="I55" s="15" t="n">
        <f aca="false">SUMIFS(Report!$U:$U,Report!$T:$T,$A55,Report!$C:$C,"&gt;="&amp;DATE(2026,7,1),Report!$C:$C,"&lt;"&amp;DATE(2026,8,1))</f>
        <v>0</v>
      </c>
      <c r="J55" s="15" t="n">
        <f aca="false">SUMIFS(Report!$U:$U,Report!$T:$T,$A55,Report!$C:$C,"&gt;="&amp;DATE(2026,8,1),Report!$C:$C,"&lt;"&amp;DATE(2026,9,1))</f>
        <v>666.67</v>
      </c>
      <c r="K55" s="15" t="n">
        <f aca="false">SUMIFS(Report!$U:$U,Report!$T:$T,$A55,Report!$C:$C,"&gt;="&amp;DATE(2026,9,1),Report!$C:$C,"&lt;"&amp;DATE(2026,10,1))</f>
        <v>666.67</v>
      </c>
      <c r="L55" s="15" t="n">
        <f aca="false">SUMIFS(Report!$U:$U,Report!$T:$T,$A55,Report!$C:$C,"&gt;="&amp;DATE(2026,10,1),Report!$C:$C,"&lt;"&amp;DATE(2026,11,1))</f>
        <v>1189.17</v>
      </c>
      <c r="M55" s="15" t="n">
        <f aca="false">SUMIFS(Report!$U:$U,Report!$T:$T,$A55,Report!$C:$C,"&gt;="&amp;DATE(2026,11,1),Report!$C:$C,"&lt;"&amp;DATE(2026,12,1))</f>
        <v>666.67</v>
      </c>
      <c r="N55" s="15" t="n">
        <f aca="false">SUMIFS(Report!$U:$U,Report!$T:$T,$A55,Report!$C:$C,"&gt;="&amp;DATE(2026,12,1),Report!$C:$C,"&lt;"&amp;DATE(2027,1,1))</f>
        <v>666.67</v>
      </c>
      <c r="O55" s="15" t="n">
        <f aca="false">SUMIFS(Report!$U:$U,Report!$T:$T,$A55,Report!$C:$C,"&gt;="&amp;DATE(2027,1,1),Report!$C:$C,"&lt;"&amp;DATE(2027,2,1))</f>
        <v>0</v>
      </c>
      <c r="P55" s="15" t="n">
        <f aca="false">SUMIFS(Report!$U:$U,Report!$T:$T,$A55,Report!$C:$C,"&gt;="&amp;DATE(2027,2,1),Report!$C:$C,"&lt;"&amp;DATE(2027,3,1))</f>
        <v>0</v>
      </c>
      <c r="Q55" s="15" t="n">
        <f aca="false">SUMIFS(Report!$U:$U,Report!$T:$T,$A55,Report!$C:$C,"&gt;="&amp;DATE(2027,3,1),Report!$C:$C,"&lt;"&amp;DATE(2027,4,1))</f>
        <v>0</v>
      </c>
      <c r="R55" s="15" t="n">
        <f aca="false">SUMIFS(Report!$U:$U,Report!$T:$T,$A55,Report!$C:$C,"&gt;="&amp;DATE(2027,4,1),Report!$C:$C,"&lt;"&amp;DATE(2027,5,1))</f>
        <v>0</v>
      </c>
      <c r="S55" s="15" t="n">
        <f aca="false">SUMIFS(Report!$U:$U,Report!$T:$T,$A55,Report!$C:$C,"&gt;="&amp;DATE(2027,5,1),Report!$C:$C,"&lt;"&amp;DATE(2027,6,1))</f>
        <v>0</v>
      </c>
      <c r="T55" s="15" t="n">
        <f aca="false">SUMIFS(Report!$U:$U,Report!$T:$T,$A55,Report!$C:$C,"&gt;="&amp;DATE(2027,6,1),Report!$C:$C,"&lt;"&amp;DATE(2027,7,1))</f>
        <v>0</v>
      </c>
      <c r="U55" s="15" t="n">
        <f aca="false">SUMIFS(Report!$U:$U,Report!$T:$T,$A55,Report!$C:$C,"&gt;="&amp;DATE(2027,7,1),Report!$C:$C,"&lt;"&amp;DATE(2027,8,1))</f>
        <v>0</v>
      </c>
      <c r="V55" s="15" t="n">
        <f aca="false">SUMIFS(Report!$U:$U,Report!$T:$T,$A55,Report!$C:$C,"&gt;="&amp;DATE(2027,8,1),Report!$C:$C,"&lt;"&amp;DATE(2027,9,1))</f>
        <v>0</v>
      </c>
      <c r="W55" s="15" t="n">
        <f aca="false">SUMIFS(Report!$U:$U,Report!$T:$T,$A55,Report!$C:$C,"&gt;="&amp;DATE(2027,9,1),Report!$C:$C,"&lt;"&amp;DATE(2027,10,1))</f>
        <v>0</v>
      </c>
      <c r="X55" s="15" t="n">
        <f aca="false">SUMIFS(Report!$U:$U,Report!$T:$T,$A55,Report!$C:$C,"&gt;="&amp;DATE(2027,10,1),Report!$C:$C,"&lt;"&amp;DATE(2027,11,1))</f>
        <v>0</v>
      </c>
      <c r="Y55" s="15" t="n">
        <f aca="false">SUMIFS(Report!$U:$U,Report!$T:$T,$A55,Report!$C:$C,"&gt;="&amp;DATE(2027,11,1),Report!$C:$C,"&lt;"&amp;DATE(2027,12,1))</f>
        <v>0</v>
      </c>
      <c r="Z55" s="15" t="n">
        <f aca="false">SUMIFS(Report!$U:$U,Report!$T:$T,$A55,Report!$C:$C,"&gt;="&amp;DATE(2027,12,1),Report!$C:$C,"&lt;"&amp;DATE(2028,1,1))</f>
        <v>0</v>
      </c>
      <c r="AA55" s="15" t="n">
        <f aca="false">SUM(C55:Z55)</f>
        <v>3855.85</v>
      </c>
    </row>
    <row r="56" customFormat="false" ht="12.75" hidden="false" customHeight="false" outlineLevel="0" collapsed="false">
      <c r="A56" s="0" t="s">
        <v>72</v>
      </c>
      <c r="B56" s="0" t="str">
        <f aca="false">IFERROR(INDEX('Resumo Grupos'!$AC$3:$AC$200,MATCH($A56,'Resumo Grupos'!$AB$3:$AB$200,0)),"n/d")</f>
        <v>Salários</v>
      </c>
      <c r="C56" s="15" t="n">
        <f aca="false">SUMIFS(Report!$U:$U,Report!$T:$T,$A56,Report!$C:$C,"&gt;="&amp;DATE(2026,1,1),Report!$C:$C,"&lt;"&amp;DATE(2026,2,1))</f>
        <v>0</v>
      </c>
      <c r="D56" s="15" t="n">
        <f aca="false">SUMIFS(Report!$U:$U,Report!$T:$T,$A56,Report!$C:$C,"&gt;="&amp;DATE(2026,2,1),Report!$C:$C,"&lt;"&amp;DATE(2026,3,1))</f>
        <v>0</v>
      </c>
      <c r="E56" s="15" t="n">
        <f aca="false">SUMIFS(Report!$U:$U,Report!$T:$T,$A56,Report!$C:$C,"&gt;="&amp;DATE(2026,3,1),Report!$C:$C,"&lt;"&amp;DATE(2026,4,1))</f>
        <v>0</v>
      </c>
      <c r="F56" s="15" t="n">
        <f aca="false">SUMIFS(Report!$U:$U,Report!$T:$T,$A56,Report!$C:$C,"&gt;="&amp;DATE(2026,4,1),Report!$C:$C,"&lt;"&amp;DATE(2026,5,1))</f>
        <v>0</v>
      </c>
      <c r="G56" s="15" t="n">
        <f aca="false">SUMIFS(Report!$U:$U,Report!$T:$T,$A56,Report!$C:$C,"&gt;="&amp;DATE(2026,5,1),Report!$C:$C,"&lt;"&amp;DATE(2026,6,1))</f>
        <v>0</v>
      </c>
      <c r="H56" s="15" t="n">
        <f aca="false">SUMIFS(Report!$U:$U,Report!$T:$T,$A56,Report!$C:$C,"&gt;="&amp;DATE(2026,6,1),Report!$C:$C,"&lt;"&amp;DATE(2026,7,1))</f>
        <v>770</v>
      </c>
      <c r="I56" s="15" t="n">
        <f aca="false">SUMIFS(Report!$U:$U,Report!$T:$T,$A56,Report!$C:$C,"&gt;="&amp;DATE(2026,7,1),Report!$C:$C,"&lt;"&amp;DATE(2026,8,1))</f>
        <v>810</v>
      </c>
      <c r="J56" s="15" t="n">
        <f aca="false">SUMIFS(Report!$U:$U,Report!$T:$T,$A56,Report!$C:$C,"&gt;="&amp;DATE(2026,8,1),Report!$C:$C,"&lt;"&amp;DATE(2026,9,1))</f>
        <v>780</v>
      </c>
      <c r="K56" s="15" t="n">
        <f aca="false">SUMIFS(Report!$U:$U,Report!$T:$T,$A56,Report!$C:$C,"&gt;="&amp;DATE(2026,9,1),Report!$C:$C,"&lt;"&amp;DATE(2026,10,1))</f>
        <v>1010</v>
      </c>
      <c r="L56" s="15" t="n">
        <f aca="false">SUMIFS(Report!$U:$U,Report!$T:$T,$A56,Report!$C:$C,"&gt;="&amp;DATE(2026,10,1),Report!$C:$C,"&lt;"&amp;DATE(2026,11,1))</f>
        <v>570</v>
      </c>
      <c r="M56" s="15" t="n">
        <f aca="false">SUMIFS(Report!$U:$U,Report!$T:$T,$A56,Report!$C:$C,"&gt;="&amp;DATE(2026,11,1),Report!$C:$C,"&lt;"&amp;DATE(2026,12,1))</f>
        <v>0</v>
      </c>
      <c r="N56" s="15" t="n">
        <f aca="false">SUMIFS(Report!$U:$U,Report!$T:$T,$A56,Report!$C:$C,"&gt;="&amp;DATE(2026,12,1),Report!$C:$C,"&lt;"&amp;DATE(2027,1,1))</f>
        <v>0</v>
      </c>
      <c r="O56" s="15" t="n">
        <f aca="false">SUMIFS(Report!$U:$U,Report!$T:$T,$A56,Report!$C:$C,"&gt;="&amp;DATE(2027,1,1),Report!$C:$C,"&lt;"&amp;DATE(2027,2,1))</f>
        <v>0</v>
      </c>
      <c r="P56" s="15" t="n">
        <f aca="false">SUMIFS(Report!$U:$U,Report!$T:$T,$A56,Report!$C:$C,"&gt;="&amp;DATE(2027,2,1),Report!$C:$C,"&lt;"&amp;DATE(2027,3,1))</f>
        <v>0</v>
      </c>
      <c r="Q56" s="15" t="n">
        <f aca="false">SUMIFS(Report!$U:$U,Report!$T:$T,$A56,Report!$C:$C,"&gt;="&amp;DATE(2027,3,1),Report!$C:$C,"&lt;"&amp;DATE(2027,4,1))</f>
        <v>0</v>
      </c>
      <c r="R56" s="15" t="n">
        <f aca="false">SUMIFS(Report!$U:$U,Report!$T:$T,$A56,Report!$C:$C,"&gt;="&amp;DATE(2027,4,1),Report!$C:$C,"&lt;"&amp;DATE(2027,5,1))</f>
        <v>0</v>
      </c>
      <c r="S56" s="15" t="n">
        <f aca="false">SUMIFS(Report!$U:$U,Report!$T:$T,$A56,Report!$C:$C,"&gt;="&amp;DATE(2027,5,1),Report!$C:$C,"&lt;"&amp;DATE(2027,6,1))</f>
        <v>0</v>
      </c>
      <c r="T56" s="15" t="n">
        <f aca="false">SUMIFS(Report!$U:$U,Report!$T:$T,$A56,Report!$C:$C,"&gt;="&amp;DATE(2027,6,1),Report!$C:$C,"&lt;"&amp;DATE(2027,7,1))</f>
        <v>0</v>
      </c>
      <c r="U56" s="15" t="n">
        <f aca="false">SUMIFS(Report!$U:$U,Report!$T:$T,$A56,Report!$C:$C,"&gt;="&amp;DATE(2027,7,1),Report!$C:$C,"&lt;"&amp;DATE(2027,8,1))</f>
        <v>0</v>
      </c>
      <c r="V56" s="15" t="n">
        <f aca="false">SUMIFS(Report!$U:$U,Report!$T:$T,$A56,Report!$C:$C,"&gt;="&amp;DATE(2027,8,1),Report!$C:$C,"&lt;"&amp;DATE(2027,9,1))</f>
        <v>0</v>
      </c>
      <c r="W56" s="15" t="n">
        <f aca="false">SUMIFS(Report!$U:$U,Report!$T:$T,$A56,Report!$C:$C,"&gt;="&amp;DATE(2027,9,1),Report!$C:$C,"&lt;"&amp;DATE(2027,10,1))</f>
        <v>0</v>
      </c>
      <c r="X56" s="15" t="n">
        <f aca="false">SUMIFS(Report!$U:$U,Report!$T:$T,$A56,Report!$C:$C,"&gt;="&amp;DATE(2027,10,1),Report!$C:$C,"&lt;"&amp;DATE(2027,11,1))</f>
        <v>0</v>
      </c>
      <c r="Y56" s="15" t="n">
        <f aca="false">SUMIFS(Report!$U:$U,Report!$T:$T,$A56,Report!$C:$C,"&gt;="&amp;DATE(2027,11,1),Report!$C:$C,"&lt;"&amp;DATE(2027,12,1))</f>
        <v>0</v>
      </c>
      <c r="Z56" s="15" t="n">
        <f aca="false">SUMIFS(Report!$U:$U,Report!$T:$T,$A56,Report!$C:$C,"&gt;="&amp;DATE(2027,12,1),Report!$C:$C,"&lt;"&amp;DATE(2028,1,1))</f>
        <v>0</v>
      </c>
      <c r="AA56" s="15" t="n">
        <f aca="false">SUM(C56:Z56)</f>
        <v>3940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E24" activeCellId="0" sqref="E24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4" width="24.67"/>
    <col collapsed="false" customWidth="true" hidden="false" outlineLevel="0" max="2" min="2" style="15" width="16.11"/>
    <col collapsed="false" customWidth="true" hidden="false" outlineLevel="0" max="3" min="3" style="15" width="21.88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15" width="13.11"/>
  </cols>
  <sheetData>
    <row r="1" customFormat="false" ht="12.75" hidden="false" customHeight="true" outlineLevel="0" collapsed="false">
      <c r="A1" s="28" t="s">
        <v>2126</v>
      </c>
      <c r="B1" s="29" t="n">
        <f aca="false">SUMIFS(Report!$U:$U,Report!$T:$T,"&lt;&gt;"&amp;"MERCADORIAS P/REVENDA",Report!$AA:$AA,"SIM",Report!$C:$C,"&gt;="&amp;DATE(2026,1,1),Report!$C:$C,"&lt;="&amp;DATE(2027,12,31))</f>
        <v>717984.47</v>
      </c>
      <c r="C1" s="29" t="n">
        <f aca="false">SUMIFS(Report!$U:$U,Report!$T:$T,"MERCADORIAS P/REVENDA",Report!$AA:$AA,"SIM",Report!$C:$C,"&gt;="&amp;DATE(2026,1,1),Report!$C:$C,"&lt;="&amp;DATE(2027,12,31))</f>
        <v>1290916.53</v>
      </c>
      <c r="D1" s="30" t="s">
        <v>2127</v>
      </c>
      <c r="E1" s="29" t="n">
        <f aca="false">SUMIFS(Report!$U:$U,Report!$AA:$AA,"NAO",Report!$C:$C,"&gt;="&amp;DATE(2026,1,1),Report!$C:$C,"&lt;="&amp;DATE(2027,12,31))</f>
        <v>0</v>
      </c>
      <c r="F1" s="29" t="n">
        <f aca="false">B1+C1</f>
        <v>2008901</v>
      </c>
      <c r="I1" s="15"/>
    </row>
    <row r="2" customFormat="false" ht="12.75" hidden="false" customHeight="true" outlineLevel="0" collapsed="false">
      <c r="A2" s="16" t="s">
        <v>2128</v>
      </c>
      <c r="B2" s="18" t="s">
        <v>2080</v>
      </c>
      <c r="C2" s="18" t="s">
        <v>2081</v>
      </c>
      <c r="D2" s="30" t="s">
        <v>2129</v>
      </c>
      <c r="E2" s="29" t="n">
        <f aca="false">F1+E1</f>
        <v>2008901</v>
      </c>
      <c r="F2" s="18" t="s">
        <v>2130</v>
      </c>
      <c r="I2" s="15"/>
    </row>
    <row r="3" customFormat="false" ht="12.75" hidden="false" customHeight="true" outlineLevel="0" collapsed="false">
      <c r="A3" s="14" t="n">
        <v>46023</v>
      </c>
      <c r="B3" s="15" t="n">
        <f aca="false">SUMIFS(Report!$U:$U,Report!$T:$T,"&lt;&gt;"&amp;"MERCADORIAS P/REVENDA",Report!$AA:$AA,"SIM",Report!$C:$C,A3)</f>
        <v>0</v>
      </c>
      <c r="C3" s="15" t="n">
        <f aca="false">SUMIFS(Report!$U:$U,Report!$T:$T,"MERCADORIAS P/REVENDA",Report!$AA:$AA,"SIM",Report!$C:$C,A3)</f>
        <v>0</v>
      </c>
      <c r="F3" s="15" t="n">
        <f aca="false">B3+C3</f>
        <v>0</v>
      </c>
    </row>
    <row r="4" customFormat="false" ht="12.75" hidden="false" customHeight="true" outlineLevel="0" collapsed="false">
      <c r="A4" s="14" t="n">
        <v>46024</v>
      </c>
      <c r="B4" s="15" t="n">
        <f aca="false">SUMIFS(Report!$U:$U,Report!$T:$T,"&lt;&gt;"&amp;"MERCADORIAS P/REVENDA",Report!$AA:$AA,"SIM",Report!$C:$C,A4)</f>
        <v>0</v>
      </c>
      <c r="C4" s="15" t="n">
        <f aca="false">SUMIFS(Report!$U:$U,Report!$T:$T,"MERCADORIAS P/REVENDA",Report!$AA:$AA,"SIM",Report!$C:$C,A4)</f>
        <v>0</v>
      </c>
      <c r="F4" s="15" t="n">
        <f aca="false">B4+C4</f>
        <v>0</v>
      </c>
    </row>
    <row r="5" customFormat="false" ht="12.75" hidden="false" customHeight="true" outlineLevel="0" collapsed="false">
      <c r="A5" s="31" t="n">
        <v>46025</v>
      </c>
      <c r="B5" s="32" t="n">
        <f aca="false">SUMIFS(Report!$U:$U,Report!$T:$T,"&lt;&gt;"&amp;"MERCADORIAS P/REVENDA",Report!$AA:$AA,"SIM",Report!$C:$C,A5)</f>
        <v>0</v>
      </c>
      <c r="C5" s="32" t="n">
        <f aca="false">SUMIFS(Report!$U:$U,Report!$T:$T,"MERCADORIAS P/REVENDA",Report!$AA:$AA,"SIM",Report!$C:$C,A5)</f>
        <v>0</v>
      </c>
      <c r="D5" s="33"/>
      <c r="E5" s="33"/>
      <c r="F5" s="32" t="n">
        <f aca="false">B5+C5</f>
        <v>0</v>
      </c>
    </row>
    <row r="6" customFormat="false" ht="12.75" hidden="false" customHeight="true" outlineLevel="0" collapsed="false">
      <c r="A6" s="31" t="n">
        <v>46026</v>
      </c>
      <c r="B6" s="32" t="n">
        <f aca="false">SUMIFS(Report!$U:$U,Report!$T:$T,"&lt;&gt;"&amp;"MERCADORIAS P/REVENDA",Report!$AA:$AA,"SIM",Report!$C:$C,A6)</f>
        <v>0</v>
      </c>
      <c r="C6" s="32" t="n">
        <f aca="false">SUMIFS(Report!$U:$U,Report!$T:$T,"MERCADORIAS P/REVENDA",Report!$AA:$AA,"SIM",Report!$C:$C,A6)</f>
        <v>0</v>
      </c>
      <c r="D6" s="33"/>
      <c r="E6" s="33"/>
      <c r="F6" s="32" t="n">
        <f aca="false">B6+C6</f>
        <v>0</v>
      </c>
    </row>
    <row r="7" customFormat="false" ht="12.75" hidden="false" customHeight="true" outlineLevel="0" collapsed="false">
      <c r="A7" s="31" t="n">
        <v>46027</v>
      </c>
      <c r="B7" s="32" t="n">
        <f aca="false">SUMIFS(Report!$U:$U,Report!$T:$T,"&lt;&gt;"&amp;"MERCADORIAS P/REVENDA",Report!$AA:$AA,"SIM",Report!$C:$C,A7)</f>
        <v>0</v>
      </c>
      <c r="C7" s="32" t="n">
        <f aca="false">SUMIFS(Report!$U:$U,Report!$T:$T,"MERCADORIAS P/REVENDA",Report!$AA:$AA,"SIM",Report!$C:$C,A7)</f>
        <v>0</v>
      </c>
      <c r="D7" s="33"/>
      <c r="E7" s="33"/>
      <c r="F7" s="32" t="n">
        <f aca="false">B7+C7</f>
        <v>0</v>
      </c>
    </row>
    <row r="8" customFormat="false" ht="12.75" hidden="false" customHeight="true" outlineLevel="0" collapsed="false">
      <c r="A8" s="34" t="s">
        <v>2131</v>
      </c>
      <c r="B8" s="22" t="n">
        <f aca="false">SUM(B3:B7)</f>
        <v>0</v>
      </c>
      <c r="C8" s="22" t="n">
        <f aca="false">SUM(C3:C7)</f>
        <v>0</v>
      </c>
      <c r="D8" s="26"/>
      <c r="E8" s="26"/>
      <c r="F8" s="22" t="n">
        <f aca="false">B8+C8</f>
        <v>0</v>
      </c>
    </row>
    <row r="9" customFormat="false" ht="12.75" hidden="false" customHeight="true" outlineLevel="0" collapsed="false">
      <c r="A9" s="14" t="n">
        <v>46028</v>
      </c>
      <c r="B9" s="15" t="n">
        <f aca="false">SUMIFS(Report!$U:$U,Report!$T:$T,"&lt;&gt;"&amp;"MERCADORIAS P/REVENDA",Report!$AA:$AA,"SIM",Report!$C:$C,A9)</f>
        <v>0</v>
      </c>
      <c r="C9" s="15" t="n">
        <f aca="false">SUMIFS(Report!$U:$U,Report!$T:$T,"MERCADORIAS P/REVENDA",Report!$AA:$AA,"SIM",Report!$C:$C,A9)</f>
        <v>0</v>
      </c>
      <c r="F9" s="15" t="n">
        <f aca="false">B9+C9</f>
        <v>0</v>
      </c>
    </row>
    <row r="10" customFormat="false" ht="12.75" hidden="false" customHeight="true" outlineLevel="0" collapsed="false">
      <c r="A10" s="14" t="n">
        <v>46029</v>
      </c>
      <c r="B10" s="15" t="n">
        <f aca="false">SUMIFS(Report!$U:$U,Report!$T:$T,"&lt;&gt;"&amp;"MERCADORIAS P/REVENDA",Report!$AA:$AA,"SIM",Report!$C:$C,A10)</f>
        <v>0</v>
      </c>
      <c r="C10" s="15" t="n">
        <f aca="false">SUMIFS(Report!$U:$U,Report!$T:$T,"MERCADORIAS P/REVENDA",Report!$AA:$AA,"SIM",Report!$C:$C,A10)</f>
        <v>0</v>
      </c>
      <c r="F10" s="15" t="n">
        <f aca="false">B10+C10</f>
        <v>0</v>
      </c>
    </row>
    <row r="11" customFormat="false" ht="12.75" hidden="false" customHeight="true" outlineLevel="0" collapsed="false">
      <c r="A11" s="14" t="n">
        <v>46030</v>
      </c>
      <c r="B11" s="15" t="n">
        <f aca="false">SUMIFS(Report!$U:$U,Report!$T:$T,"&lt;&gt;"&amp;"MERCADORIAS P/REVENDA",Report!$AA:$AA,"SIM",Report!$C:$C,A11)</f>
        <v>0</v>
      </c>
      <c r="C11" s="15" t="n">
        <f aca="false">SUMIFS(Report!$U:$U,Report!$T:$T,"MERCADORIAS P/REVENDA",Report!$AA:$AA,"SIM",Report!$C:$C,A11)</f>
        <v>0</v>
      </c>
      <c r="F11" s="15" t="n">
        <f aca="false">B11+C11</f>
        <v>0</v>
      </c>
    </row>
    <row r="12" customFormat="false" ht="12.75" hidden="false" customHeight="true" outlineLevel="0" collapsed="false">
      <c r="A12" s="14" t="n">
        <v>46031</v>
      </c>
      <c r="B12" s="15" t="n">
        <f aca="false">SUMIFS(Report!$U:$U,Report!$T:$T,"&lt;&gt;"&amp;"MERCADORIAS P/REVENDA",Report!$AA:$AA,"SIM",Report!$C:$C,A12)</f>
        <v>0</v>
      </c>
      <c r="C12" s="15" t="n">
        <f aca="false">SUMIFS(Report!$U:$U,Report!$T:$T,"MERCADORIAS P/REVENDA",Report!$AA:$AA,"SIM",Report!$C:$C,A12)</f>
        <v>0</v>
      </c>
      <c r="F12" s="15" t="n">
        <f aca="false">B12+C12</f>
        <v>0</v>
      </c>
    </row>
    <row r="13" customFormat="false" ht="12.75" hidden="false" customHeight="true" outlineLevel="0" collapsed="false">
      <c r="A13" s="31" t="n">
        <v>46032</v>
      </c>
      <c r="B13" s="32" t="n">
        <f aca="false">SUMIFS(Report!$U:$U,Report!$T:$T,"&lt;&gt;"&amp;"MERCADORIAS P/REVENDA",Report!$AA:$AA,"SIM",Report!$C:$C,A13)</f>
        <v>0</v>
      </c>
      <c r="C13" s="32" t="n">
        <f aca="false">SUMIFS(Report!$U:$U,Report!$T:$T,"MERCADORIAS P/REVENDA",Report!$AA:$AA,"SIM",Report!$C:$C,A13)</f>
        <v>0</v>
      </c>
      <c r="D13" s="33"/>
      <c r="E13" s="33"/>
      <c r="F13" s="32" t="n">
        <f aca="false">B13+C13</f>
        <v>0</v>
      </c>
    </row>
    <row r="14" customFormat="false" ht="12.75" hidden="false" customHeight="true" outlineLevel="0" collapsed="false">
      <c r="A14" s="31" t="n">
        <v>46033</v>
      </c>
      <c r="B14" s="32" t="n">
        <f aca="false">SUMIFS(Report!$U:$U,Report!$T:$T,"&lt;&gt;"&amp;"MERCADORIAS P/REVENDA",Report!$AA:$AA,"SIM",Report!$C:$C,A14)</f>
        <v>0</v>
      </c>
      <c r="C14" s="32" t="n">
        <f aca="false">SUMIFS(Report!$U:$U,Report!$T:$T,"MERCADORIAS P/REVENDA",Report!$AA:$AA,"SIM",Report!$C:$C,A14)</f>
        <v>0</v>
      </c>
      <c r="D14" s="33"/>
      <c r="E14" s="33"/>
      <c r="F14" s="32" t="n">
        <f aca="false">B14+C14</f>
        <v>0</v>
      </c>
    </row>
    <row r="15" customFormat="false" ht="12.75" hidden="false" customHeight="true" outlineLevel="0" collapsed="false">
      <c r="A15" s="31" t="n">
        <v>46034</v>
      </c>
      <c r="B15" s="32" t="n">
        <f aca="false">SUMIFS(Report!$U:$U,Report!$T:$T,"&lt;&gt;"&amp;"MERCADORIAS P/REVENDA",Report!$AA:$AA,"SIM",Report!$C:$C,A15)</f>
        <v>0</v>
      </c>
      <c r="C15" s="32" t="n">
        <f aca="false">SUMIFS(Report!$U:$U,Report!$T:$T,"MERCADORIAS P/REVENDA",Report!$AA:$AA,"SIM",Report!$C:$C,A15)</f>
        <v>0</v>
      </c>
      <c r="D15" s="33"/>
      <c r="E15" s="33"/>
      <c r="F15" s="32" t="n">
        <f aca="false">B15+C15</f>
        <v>0</v>
      </c>
    </row>
    <row r="16" customFormat="false" ht="12.75" hidden="false" customHeight="true" outlineLevel="0" collapsed="false">
      <c r="A16" s="34" t="s">
        <v>2132</v>
      </c>
      <c r="B16" s="22" t="n">
        <f aca="false">SUM(B9:B15)</f>
        <v>0</v>
      </c>
      <c r="C16" s="22" t="n">
        <f aca="false">SUM(C9:C15)</f>
        <v>0</v>
      </c>
      <c r="D16" s="26"/>
      <c r="E16" s="26"/>
      <c r="F16" s="22" t="n">
        <f aca="false">B16+C16</f>
        <v>0</v>
      </c>
    </row>
    <row r="17" customFormat="false" ht="12.75" hidden="false" customHeight="true" outlineLevel="0" collapsed="false">
      <c r="A17" s="14" t="n">
        <v>46035</v>
      </c>
      <c r="B17" s="15" t="n">
        <f aca="false">SUMIFS(Report!$U:$U,Report!$T:$T,"&lt;&gt;"&amp;"MERCADORIAS P/REVENDA",Report!$AA:$AA,"SIM",Report!$C:$C,A17)</f>
        <v>0</v>
      </c>
      <c r="C17" s="15" t="n">
        <f aca="false">SUMIFS(Report!$U:$U,Report!$T:$T,"MERCADORIAS P/REVENDA",Report!$AA:$AA,"SIM",Report!$C:$C,A17)</f>
        <v>0</v>
      </c>
      <c r="F17" s="15" t="n">
        <f aca="false">B17+C17</f>
        <v>0</v>
      </c>
    </row>
    <row r="18" customFormat="false" ht="12.75" hidden="false" customHeight="true" outlineLevel="0" collapsed="false">
      <c r="A18" s="14" t="n">
        <v>46036</v>
      </c>
      <c r="B18" s="15" t="n">
        <f aca="false">SUMIFS(Report!$U:$U,Report!$T:$T,"&lt;&gt;"&amp;"MERCADORIAS P/REVENDA",Report!$AA:$AA,"SIM",Report!$C:$C,A18)</f>
        <v>0</v>
      </c>
      <c r="C18" s="15" t="n">
        <f aca="false">SUMIFS(Report!$U:$U,Report!$T:$T,"MERCADORIAS P/REVENDA",Report!$AA:$AA,"SIM",Report!$C:$C,A18)</f>
        <v>0</v>
      </c>
      <c r="F18" s="15" t="n">
        <f aca="false">B18+C18</f>
        <v>0</v>
      </c>
    </row>
    <row r="19" customFormat="false" ht="12.75" hidden="false" customHeight="true" outlineLevel="0" collapsed="false">
      <c r="A19" s="14" t="n">
        <v>46037</v>
      </c>
      <c r="B19" s="15" t="n">
        <f aca="false">SUMIFS(Report!$U:$U,Report!$T:$T,"&lt;&gt;"&amp;"MERCADORIAS P/REVENDA",Report!$AA:$AA,"SIM",Report!$C:$C,A19)</f>
        <v>0</v>
      </c>
      <c r="C19" s="15" t="n">
        <f aca="false">SUMIFS(Report!$U:$U,Report!$T:$T,"MERCADORIAS P/REVENDA",Report!$AA:$AA,"SIM",Report!$C:$C,A19)</f>
        <v>0</v>
      </c>
      <c r="F19" s="15" t="n">
        <f aca="false">B19+C19</f>
        <v>0</v>
      </c>
    </row>
    <row r="20" customFormat="false" ht="12.75" hidden="false" customHeight="true" outlineLevel="0" collapsed="false">
      <c r="A20" s="14" t="n">
        <v>46038</v>
      </c>
      <c r="B20" s="15" t="n">
        <f aca="false">SUMIFS(Report!$U:$U,Report!$T:$T,"&lt;&gt;"&amp;"MERCADORIAS P/REVENDA",Report!$AA:$AA,"SIM",Report!$C:$C,A20)</f>
        <v>0</v>
      </c>
      <c r="C20" s="15" t="n">
        <f aca="false">SUMIFS(Report!$U:$U,Report!$T:$T,"MERCADORIAS P/REVENDA",Report!$AA:$AA,"SIM",Report!$C:$C,A20)</f>
        <v>0</v>
      </c>
      <c r="F20" s="15" t="n">
        <f aca="false">B20+C20</f>
        <v>0</v>
      </c>
    </row>
    <row r="21" customFormat="false" ht="12.75" hidden="false" customHeight="true" outlineLevel="0" collapsed="false">
      <c r="A21" s="31" t="n">
        <v>46039</v>
      </c>
      <c r="B21" s="32" t="n">
        <f aca="false">SUMIFS(Report!$U:$U,Report!$T:$T,"&lt;&gt;"&amp;"MERCADORIAS P/REVENDA",Report!$AA:$AA,"SIM",Report!$C:$C,A21)</f>
        <v>0</v>
      </c>
      <c r="C21" s="32" t="n">
        <f aca="false">SUMIFS(Report!$U:$U,Report!$T:$T,"MERCADORIAS P/REVENDA",Report!$AA:$AA,"SIM",Report!$C:$C,A21)</f>
        <v>0</v>
      </c>
      <c r="D21" s="33"/>
      <c r="E21" s="33"/>
      <c r="F21" s="32" t="n">
        <f aca="false">B21+C21</f>
        <v>0</v>
      </c>
    </row>
    <row r="22" customFormat="false" ht="12.75" hidden="false" customHeight="true" outlineLevel="0" collapsed="false">
      <c r="A22" s="31" t="n">
        <v>46040</v>
      </c>
      <c r="B22" s="32" t="n">
        <f aca="false">SUMIFS(Report!$U:$U,Report!$T:$T,"&lt;&gt;"&amp;"MERCADORIAS P/REVENDA",Report!$AA:$AA,"SIM",Report!$C:$C,A22)</f>
        <v>0</v>
      </c>
      <c r="C22" s="32" t="n">
        <f aca="false">SUMIFS(Report!$U:$U,Report!$T:$T,"MERCADORIAS P/REVENDA",Report!$AA:$AA,"SIM",Report!$C:$C,A22)</f>
        <v>0</v>
      </c>
      <c r="D22" s="33"/>
      <c r="E22" s="33"/>
      <c r="F22" s="32" t="n">
        <f aca="false">B22+C22</f>
        <v>0</v>
      </c>
    </row>
    <row r="23" customFormat="false" ht="12.75" hidden="false" customHeight="true" outlineLevel="0" collapsed="false">
      <c r="A23" s="31" t="n">
        <v>46041</v>
      </c>
      <c r="B23" s="32" t="n">
        <f aca="false">SUMIFS(Report!$U:$U,Report!$T:$T,"&lt;&gt;"&amp;"MERCADORIAS P/REVENDA",Report!$AA:$AA,"SIM",Report!$C:$C,A23)</f>
        <v>0</v>
      </c>
      <c r="C23" s="32" t="n">
        <f aca="false">SUMIFS(Report!$U:$U,Report!$T:$T,"MERCADORIAS P/REVENDA",Report!$AA:$AA,"SIM",Report!$C:$C,A23)</f>
        <v>0</v>
      </c>
      <c r="D23" s="33"/>
      <c r="E23" s="33"/>
      <c r="F23" s="32" t="n">
        <f aca="false">B23+C23</f>
        <v>0</v>
      </c>
    </row>
    <row r="24" customFormat="false" ht="12.75" hidden="false" customHeight="true" outlineLevel="0" collapsed="false">
      <c r="A24" s="34" t="s">
        <v>2133</v>
      </c>
      <c r="B24" s="22" t="n">
        <f aca="false">SUM(B17:B23)</f>
        <v>0</v>
      </c>
      <c r="C24" s="22" t="n">
        <f aca="false">SUM(C17:C23)</f>
        <v>0</v>
      </c>
      <c r="D24" s="26"/>
      <c r="E24" s="26"/>
      <c r="F24" s="22" t="n">
        <f aca="false">B24+C24</f>
        <v>0</v>
      </c>
    </row>
    <row r="25" customFormat="false" ht="12.75" hidden="false" customHeight="true" outlineLevel="0" collapsed="false">
      <c r="A25" s="14" t="n">
        <v>46042</v>
      </c>
      <c r="B25" s="15" t="n">
        <f aca="false">SUMIFS(Report!$U:$U,Report!$T:$T,"&lt;&gt;"&amp;"MERCADORIAS P/REVENDA",Report!$AA:$AA,"SIM",Report!$C:$C,A25)</f>
        <v>0</v>
      </c>
      <c r="C25" s="15" t="n">
        <f aca="false">SUMIFS(Report!$U:$U,Report!$T:$T,"MERCADORIAS P/REVENDA",Report!$AA:$AA,"SIM",Report!$C:$C,A25)</f>
        <v>0</v>
      </c>
      <c r="F25" s="15" t="n">
        <f aca="false">B25+C25</f>
        <v>0</v>
      </c>
    </row>
    <row r="26" customFormat="false" ht="12.75" hidden="false" customHeight="true" outlineLevel="0" collapsed="false">
      <c r="A26" s="14" t="n">
        <v>46043</v>
      </c>
      <c r="B26" s="15" t="n">
        <f aca="false">SUMIFS(Report!$U:$U,Report!$T:$T,"&lt;&gt;"&amp;"MERCADORIAS P/REVENDA",Report!$AA:$AA,"SIM",Report!$C:$C,A26)</f>
        <v>0</v>
      </c>
      <c r="C26" s="15" t="n">
        <f aca="false">SUMIFS(Report!$U:$U,Report!$T:$T,"MERCADORIAS P/REVENDA",Report!$AA:$AA,"SIM",Report!$C:$C,A26)</f>
        <v>0</v>
      </c>
      <c r="F26" s="15" t="n">
        <f aca="false">B26+C26</f>
        <v>0</v>
      </c>
    </row>
    <row r="27" customFormat="false" ht="12.75" hidden="false" customHeight="true" outlineLevel="0" collapsed="false">
      <c r="A27" s="14" t="n">
        <v>46044</v>
      </c>
      <c r="B27" s="15" t="n">
        <f aca="false">SUMIFS(Report!$U:$U,Report!$T:$T,"&lt;&gt;"&amp;"MERCADORIAS P/REVENDA",Report!$AA:$AA,"SIM",Report!$C:$C,A27)</f>
        <v>0</v>
      </c>
      <c r="C27" s="15" t="n">
        <f aca="false">SUMIFS(Report!$U:$U,Report!$T:$T,"MERCADORIAS P/REVENDA",Report!$AA:$AA,"SIM",Report!$C:$C,A27)</f>
        <v>0</v>
      </c>
      <c r="F27" s="15" t="n">
        <f aca="false">B27+C27</f>
        <v>0</v>
      </c>
    </row>
    <row r="28" customFormat="false" ht="12.75" hidden="false" customHeight="true" outlineLevel="0" collapsed="false">
      <c r="A28" s="14" t="n">
        <v>46045</v>
      </c>
      <c r="B28" s="15" t="n">
        <f aca="false">SUMIFS(Report!$U:$U,Report!$T:$T,"&lt;&gt;"&amp;"MERCADORIAS P/REVENDA",Report!$AA:$AA,"SIM",Report!$C:$C,A28)</f>
        <v>0</v>
      </c>
      <c r="C28" s="15" t="n">
        <f aca="false">SUMIFS(Report!$U:$U,Report!$T:$T,"MERCADORIAS P/REVENDA",Report!$AA:$AA,"SIM",Report!$C:$C,A28)</f>
        <v>0</v>
      </c>
      <c r="F28" s="15" t="n">
        <f aca="false">B28+C28</f>
        <v>0</v>
      </c>
    </row>
    <row r="29" customFormat="false" ht="12.75" hidden="false" customHeight="true" outlineLevel="0" collapsed="false">
      <c r="A29" s="31" t="n">
        <v>46046</v>
      </c>
      <c r="B29" s="32" t="n">
        <f aca="false">SUMIFS(Report!$U:$U,Report!$T:$T,"&lt;&gt;"&amp;"MERCADORIAS P/REVENDA",Report!$AA:$AA,"SIM",Report!$C:$C,A29)</f>
        <v>0</v>
      </c>
      <c r="C29" s="32" t="n">
        <f aca="false">SUMIFS(Report!$U:$U,Report!$T:$T,"MERCADORIAS P/REVENDA",Report!$AA:$AA,"SIM",Report!$C:$C,A29)</f>
        <v>0</v>
      </c>
      <c r="D29" s="33"/>
      <c r="E29" s="33"/>
      <c r="F29" s="32" t="n">
        <f aca="false">B29+C29</f>
        <v>0</v>
      </c>
    </row>
    <row r="30" customFormat="false" ht="12.75" hidden="false" customHeight="true" outlineLevel="0" collapsed="false">
      <c r="A30" s="31" t="n">
        <v>46047</v>
      </c>
      <c r="B30" s="32" t="n">
        <f aca="false">SUMIFS(Report!$U:$U,Report!$T:$T,"&lt;&gt;"&amp;"MERCADORIAS P/REVENDA",Report!$AA:$AA,"SIM",Report!$C:$C,A30)</f>
        <v>0</v>
      </c>
      <c r="C30" s="32" t="n">
        <f aca="false">SUMIFS(Report!$U:$U,Report!$T:$T,"MERCADORIAS P/REVENDA",Report!$AA:$AA,"SIM",Report!$C:$C,A30)</f>
        <v>0</v>
      </c>
      <c r="D30" s="33"/>
      <c r="E30" s="33"/>
      <c r="F30" s="32" t="n">
        <f aca="false">B30+C30</f>
        <v>0</v>
      </c>
    </row>
    <row r="31" customFormat="false" ht="12.75" hidden="false" customHeight="true" outlineLevel="0" collapsed="false">
      <c r="A31" s="31" t="n">
        <v>46048</v>
      </c>
      <c r="B31" s="32" t="n">
        <f aca="false">SUMIFS(Report!$U:$U,Report!$T:$T,"&lt;&gt;"&amp;"MERCADORIAS P/REVENDA",Report!$AA:$AA,"SIM",Report!$C:$C,A31)</f>
        <v>0</v>
      </c>
      <c r="C31" s="32" t="n">
        <f aca="false">SUMIFS(Report!$U:$U,Report!$T:$T,"MERCADORIAS P/REVENDA",Report!$AA:$AA,"SIM",Report!$C:$C,A31)</f>
        <v>0</v>
      </c>
      <c r="D31" s="33"/>
      <c r="E31" s="33"/>
      <c r="F31" s="32" t="n">
        <f aca="false">B31+C31</f>
        <v>0</v>
      </c>
    </row>
    <row r="32" customFormat="false" ht="12.75" hidden="false" customHeight="true" outlineLevel="0" collapsed="false">
      <c r="A32" s="34" t="s">
        <v>2134</v>
      </c>
      <c r="B32" s="22" t="n">
        <f aca="false">SUM(B25:B31)</f>
        <v>0</v>
      </c>
      <c r="C32" s="22" t="n">
        <f aca="false">SUM(C25:C31)</f>
        <v>0</v>
      </c>
      <c r="D32" s="26"/>
      <c r="E32" s="26"/>
      <c r="F32" s="22" t="n">
        <f aca="false">B32+C32</f>
        <v>0</v>
      </c>
    </row>
    <row r="33" customFormat="false" ht="12.75" hidden="false" customHeight="true" outlineLevel="0" collapsed="false">
      <c r="A33" s="14" t="n">
        <v>46049</v>
      </c>
      <c r="B33" s="15" t="n">
        <f aca="false">SUMIFS(Report!$U:$U,Report!$T:$T,"&lt;&gt;"&amp;"MERCADORIAS P/REVENDA",Report!$AA:$AA,"SIM",Report!$C:$C,A33)</f>
        <v>0</v>
      </c>
      <c r="C33" s="15" t="n">
        <f aca="false">SUMIFS(Report!$U:$U,Report!$T:$T,"MERCADORIAS P/REVENDA",Report!$AA:$AA,"SIM",Report!$C:$C,A33)</f>
        <v>0</v>
      </c>
      <c r="F33" s="15" t="n">
        <f aca="false">B33+C33</f>
        <v>0</v>
      </c>
    </row>
    <row r="34" customFormat="false" ht="12.75" hidden="false" customHeight="true" outlineLevel="0" collapsed="false">
      <c r="A34" s="14" t="n">
        <v>46050</v>
      </c>
      <c r="B34" s="15" t="n">
        <f aca="false">SUMIFS(Report!$U:$U,Report!$T:$T,"&lt;&gt;"&amp;"MERCADORIAS P/REVENDA",Report!$AA:$AA,"SIM",Report!$C:$C,A34)</f>
        <v>0</v>
      </c>
      <c r="C34" s="15" t="n">
        <f aca="false">SUMIFS(Report!$U:$U,Report!$T:$T,"MERCADORIAS P/REVENDA",Report!$AA:$AA,"SIM",Report!$C:$C,A34)</f>
        <v>0</v>
      </c>
      <c r="F34" s="15" t="n">
        <f aca="false">B34+C34</f>
        <v>0</v>
      </c>
    </row>
    <row r="35" customFormat="false" ht="12.75" hidden="false" customHeight="true" outlineLevel="0" collapsed="false">
      <c r="A35" s="14" t="n">
        <v>46051</v>
      </c>
      <c r="B35" s="15" t="n">
        <f aca="false">SUMIFS(Report!$U:$U,Report!$T:$T,"&lt;&gt;"&amp;"MERCADORIAS P/REVENDA",Report!$AA:$AA,"SIM",Report!$C:$C,A35)</f>
        <v>0</v>
      </c>
      <c r="C35" s="15" t="n">
        <f aca="false">SUMIFS(Report!$U:$U,Report!$T:$T,"MERCADORIAS P/REVENDA",Report!$AA:$AA,"SIM",Report!$C:$C,A35)</f>
        <v>0</v>
      </c>
      <c r="F35" s="15" t="n">
        <f aca="false">B35+C35</f>
        <v>0</v>
      </c>
    </row>
    <row r="36" customFormat="false" ht="12.75" hidden="false" customHeight="true" outlineLevel="0" collapsed="false">
      <c r="A36" s="14" t="n">
        <v>46052</v>
      </c>
      <c r="B36" s="15" t="n">
        <f aca="false">SUMIFS(Report!$U:$U,Report!$T:$T,"&lt;&gt;"&amp;"MERCADORIAS P/REVENDA",Report!$AA:$AA,"SIM",Report!$C:$C,A36)</f>
        <v>0</v>
      </c>
      <c r="C36" s="15" t="n">
        <f aca="false">SUMIFS(Report!$U:$U,Report!$T:$T,"MERCADORIAS P/REVENDA",Report!$AA:$AA,"SIM",Report!$C:$C,A36)</f>
        <v>0</v>
      </c>
      <c r="F36" s="15" t="n">
        <f aca="false">B36+C36</f>
        <v>0</v>
      </c>
    </row>
    <row r="37" customFormat="false" ht="12.75" hidden="false" customHeight="true" outlineLevel="0" collapsed="false">
      <c r="A37" s="31" t="n">
        <v>46053</v>
      </c>
      <c r="B37" s="32" t="n">
        <f aca="false">SUMIFS(Report!$U:$U,Report!$T:$T,"&lt;&gt;"&amp;"MERCADORIAS P/REVENDA",Report!$AA:$AA,"SIM",Report!$C:$C,A37)</f>
        <v>0</v>
      </c>
      <c r="C37" s="32" t="n">
        <f aca="false">SUMIFS(Report!$U:$U,Report!$T:$T,"MERCADORIAS P/REVENDA",Report!$AA:$AA,"SIM",Report!$C:$C,A37)</f>
        <v>0</v>
      </c>
      <c r="D37" s="33"/>
      <c r="E37" s="33"/>
      <c r="F37" s="32" t="n">
        <f aca="false">B37+C37</f>
        <v>0</v>
      </c>
    </row>
    <row r="38" customFormat="false" ht="12.75" hidden="false" customHeight="true" outlineLevel="0" collapsed="false">
      <c r="A38" s="31" t="n">
        <v>46054</v>
      </c>
      <c r="B38" s="32" t="n">
        <f aca="false">SUMIFS(Report!$U:$U,Report!$T:$T,"&lt;&gt;"&amp;"MERCADORIAS P/REVENDA",Report!$AA:$AA,"SIM",Report!$C:$C,A38)</f>
        <v>0</v>
      </c>
      <c r="C38" s="32" t="n">
        <f aca="false">SUMIFS(Report!$U:$U,Report!$T:$T,"MERCADORIAS P/REVENDA",Report!$AA:$AA,"SIM",Report!$C:$C,A38)</f>
        <v>0</v>
      </c>
      <c r="D38" s="33"/>
      <c r="E38" s="33"/>
      <c r="F38" s="32" t="n">
        <f aca="false">B38+C38</f>
        <v>0</v>
      </c>
    </row>
    <row r="39" customFormat="false" ht="12.75" hidden="false" customHeight="true" outlineLevel="0" collapsed="false">
      <c r="A39" s="31" t="n">
        <v>46055</v>
      </c>
      <c r="B39" s="32" t="n">
        <f aca="false">SUMIFS(Report!$U:$U,Report!$T:$T,"&lt;&gt;"&amp;"MERCADORIAS P/REVENDA",Report!$AA:$AA,"SIM",Report!$C:$C,A39)</f>
        <v>0</v>
      </c>
      <c r="C39" s="32" t="n">
        <f aca="false">SUMIFS(Report!$U:$U,Report!$T:$T,"MERCADORIAS P/REVENDA",Report!$AA:$AA,"SIM",Report!$C:$C,A39)</f>
        <v>0</v>
      </c>
      <c r="D39" s="33"/>
      <c r="E39" s="33"/>
      <c r="F39" s="32" t="n">
        <f aca="false">B39+C39</f>
        <v>0</v>
      </c>
    </row>
    <row r="40" customFormat="false" ht="12.75" hidden="false" customHeight="true" outlineLevel="0" collapsed="false">
      <c r="A40" s="34" t="s">
        <v>2135</v>
      </c>
      <c r="B40" s="22" t="n">
        <f aca="false">SUM(B33:B39)</f>
        <v>0</v>
      </c>
      <c r="C40" s="22" t="n">
        <f aca="false">SUM(C33:C39)</f>
        <v>0</v>
      </c>
      <c r="D40" s="26"/>
      <c r="E40" s="26"/>
      <c r="F40" s="22" t="n">
        <f aca="false">B40+C40</f>
        <v>0</v>
      </c>
    </row>
    <row r="41" customFormat="false" ht="12.75" hidden="false" customHeight="true" outlineLevel="0" collapsed="false">
      <c r="A41" s="14" t="n">
        <v>46056</v>
      </c>
      <c r="B41" s="15" t="n">
        <f aca="false">SUMIFS(Report!$U:$U,Report!$T:$T,"&lt;&gt;"&amp;"MERCADORIAS P/REVENDA",Report!$AA:$AA,"SIM",Report!$C:$C,A41)</f>
        <v>0</v>
      </c>
      <c r="C41" s="15" t="n">
        <f aca="false">SUMIFS(Report!$U:$U,Report!$T:$T,"MERCADORIAS P/REVENDA",Report!$AA:$AA,"SIM",Report!$C:$C,A41)</f>
        <v>0</v>
      </c>
      <c r="F41" s="15" t="n">
        <f aca="false">B41+C41</f>
        <v>0</v>
      </c>
    </row>
    <row r="42" customFormat="false" ht="12.75" hidden="false" customHeight="true" outlineLevel="0" collapsed="false">
      <c r="A42" s="14" t="n">
        <v>46057</v>
      </c>
      <c r="B42" s="15" t="n">
        <f aca="false">SUMIFS(Report!$U:$U,Report!$T:$T,"&lt;&gt;"&amp;"MERCADORIAS P/REVENDA",Report!$AA:$AA,"SIM",Report!$C:$C,A42)</f>
        <v>0</v>
      </c>
      <c r="C42" s="15" t="n">
        <f aca="false">SUMIFS(Report!$U:$U,Report!$T:$T,"MERCADORIAS P/REVENDA",Report!$AA:$AA,"SIM",Report!$C:$C,A42)</f>
        <v>0</v>
      </c>
      <c r="F42" s="15" t="n">
        <f aca="false">B42+C42</f>
        <v>0</v>
      </c>
    </row>
    <row r="43" customFormat="false" ht="12.75" hidden="false" customHeight="true" outlineLevel="0" collapsed="false">
      <c r="A43" s="14" t="n">
        <v>46058</v>
      </c>
      <c r="B43" s="15" t="n">
        <f aca="false">SUMIFS(Report!$U:$U,Report!$T:$T,"&lt;&gt;"&amp;"MERCADORIAS P/REVENDA",Report!$AA:$AA,"SIM",Report!$C:$C,A43)</f>
        <v>0</v>
      </c>
      <c r="C43" s="15" t="n">
        <f aca="false">SUMIFS(Report!$U:$U,Report!$T:$T,"MERCADORIAS P/REVENDA",Report!$AA:$AA,"SIM",Report!$C:$C,A43)</f>
        <v>0</v>
      </c>
      <c r="F43" s="15" t="n">
        <f aca="false">B43+C43</f>
        <v>0</v>
      </c>
    </row>
    <row r="44" customFormat="false" ht="12.75" hidden="false" customHeight="true" outlineLevel="0" collapsed="false">
      <c r="A44" s="14" t="n">
        <v>46059</v>
      </c>
      <c r="B44" s="15" t="n">
        <f aca="false">SUMIFS(Report!$U:$U,Report!$T:$T,"&lt;&gt;"&amp;"MERCADORIAS P/REVENDA",Report!$AA:$AA,"SIM",Report!$C:$C,A44)</f>
        <v>0</v>
      </c>
      <c r="C44" s="15" t="n">
        <f aca="false">SUMIFS(Report!$U:$U,Report!$T:$T,"MERCADORIAS P/REVENDA",Report!$AA:$AA,"SIM",Report!$C:$C,A44)</f>
        <v>0</v>
      </c>
      <c r="F44" s="15" t="n">
        <f aca="false">B44+C44</f>
        <v>0</v>
      </c>
    </row>
    <row r="45" customFormat="false" ht="12.75" hidden="false" customHeight="true" outlineLevel="0" collapsed="false">
      <c r="A45" s="31" t="n">
        <v>46060</v>
      </c>
      <c r="B45" s="32" t="n">
        <f aca="false">SUMIFS(Report!$U:$U,Report!$T:$T,"&lt;&gt;"&amp;"MERCADORIAS P/REVENDA",Report!$AA:$AA,"SIM",Report!$C:$C,A45)</f>
        <v>0</v>
      </c>
      <c r="C45" s="32" t="n">
        <f aca="false">SUMIFS(Report!$U:$U,Report!$T:$T,"MERCADORIAS P/REVENDA",Report!$AA:$AA,"SIM",Report!$C:$C,A45)</f>
        <v>0</v>
      </c>
      <c r="D45" s="33"/>
      <c r="E45" s="33"/>
      <c r="F45" s="32" t="n">
        <f aca="false">B45+C45</f>
        <v>0</v>
      </c>
    </row>
    <row r="46" customFormat="false" ht="12.75" hidden="false" customHeight="true" outlineLevel="0" collapsed="false">
      <c r="A46" s="31" t="n">
        <v>46061</v>
      </c>
      <c r="B46" s="32" t="n">
        <f aca="false">SUMIFS(Report!$U:$U,Report!$T:$T,"&lt;&gt;"&amp;"MERCADORIAS P/REVENDA",Report!$AA:$AA,"SIM",Report!$C:$C,A46)</f>
        <v>0</v>
      </c>
      <c r="C46" s="32" t="n">
        <f aca="false">SUMIFS(Report!$U:$U,Report!$T:$T,"MERCADORIAS P/REVENDA",Report!$AA:$AA,"SIM",Report!$C:$C,A46)</f>
        <v>0</v>
      </c>
      <c r="D46" s="33"/>
      <c r="E46" s="33"/>
      <c r="F46" s="32" t="n">
        <f aca="false">B46+C46</f>
        <v>0</v>
      </c>
    </row>
    <row r="47" customFormat="false" ht="12.75" hidden="false" customHeight="true" outlineLevel="0" collapsed="false">
      <c r="A47" s="31" t="n">
        <v>46062</v>
      </c>
      <c r="B47" s="32" t="n">
        <f aca="false">SUMIFS(Report!$U:$U,Report!$T:$T,"&lt;&gt;"&amp;"MERCADORIAS P/REVENDA",Report!$AA:$AA,"SIM",Report!$C:$C,A47)</f>
        <v>0</v>
      </c>
      <c r="C47" s="32" t="n">
        <f aca="false">SUMIFS(Report!$U:$U,Report!$T:$T,"MERCADORIAS P/REVENDA",Report!$AA:$AA,"SIM",Report!$C:$C,A47)</f>
        <v>0</v>
      </c>
      <c r="D47" s="33"/>
      <c r="E47" s="33"/>
      <c r="F47" s="32" t="n">
        <f aca="false">B47+C47</f>
        <v>0</v>
      </c>
    </row>
    <row r="48" customFormat="false" ht="12.75" hidden="false" customHeight="true" outlineLevel="0" collapsed="false">
      <c r="A48" s="34" t="s">
        <v>2136</v>
      </c>
      <c r="B48" s="22" t="n">
        <f aca="false">SUM(B41:B47)</f>
        <v>0</v>
      </c>
      <c r="C48" s="22" t="n">
        <f aca="false">SUM(C41:C47)</f>
        <v>0</v>
      </c>
      <c r="D48" s="26"/>
      <c r="E48" s="26"/>
      <c r="F48" s="22" t="n">
        <f aca="false">B48+C48</f>
        <v>0</v>
      </c>
    </row>
    <row r="49" customFormat="false" ht="12.75" hidden="false" customHeight="true" outlineLevel="0" collapsed="false">
      <c r="A49" s="14" t="n">
        <v>46063</v>
      </c>
      <c r="B49" s="15" t="n">
        <f aca="false">SUMIFS(Report!$U:$U,Report!$T:$T,"&lt;&gt;"&amp;"MERCADORIAS P/REVENDA",Report!$AA:$AA,"SIM",Report!$C:$C,A49)</f>
        <v>0</v>
      </c>
      <c r="C49" s="15" t="n">
        <f aca="false">SUMIFS(Report!$U:$U,Report!$T:$T,"MERCADORIAS P/REVENDA",Report!$AA:$AA,"SIM",Report!$C:$C,A49)</f>
        <v>0</v>
      </c>
      <c r="F49" s="15" t="n">
        <f aca="false">B49+C49</f>
        <v>0</v>
      </c>
    </row>
    <row r="50" customFormat="false" ht="12.75" hidden="false" customHeight="true" outlineLevel="0" collapsed="false">
      <c r="A50" s="14" t="n">
        <v>46064</v>
      </c>
      <c r="B50" s="15" t="n">
        <f aca="false">SUMIFS(Report!$U:$U,Report!$T:$T,"&lt;&gt;"&amp;"MERCADORIAS P/REVENDA",Report!$AA:$AA,"SIM",Report!$C:$C,A50)</f>
        <v>0</v>
      </c>
      <c r="C50" s="15" t="n">
        <f aca="false">SUMIFS(Report!$U:$U,Report!$T:$T,"MERCADORIAS P/REVENDA",Report!$AA:$AA,"SIM",Report!$C:$C,A50)</f>
        <v>0</v>
      </c>
      <c r="F50" s="15" t="n">
        <f aca="false">B50+C50</f>
        <v>0</v>
      </c>
    </row>
    <row r="51" customFormat="false" ht="12.75" hidden="false" customHeight="true" outlineLevel="0" collapsed="false">
      <c r="A51" s="14" t="n">
        <v>46065</v>
      </c>
      <c r="B51" s="15" t="n">
        <f aca="false">SUMIFS(Report!$U:$U,Report!$T:$T,"&lt;&gt;"&amp;"MERCADORIAS P/REVENDA",Report!$AA:$AA,"SIM",Report!$C:$C,A51)</f>
        <v>0</v>
      </c>
      <c r="C51" s="15" t="n">
        <f aca="false">SUMIFS(Report!$U:$U,Report!$T:$T,"MERCADORIAS P/REVENDA",Report!$AA:$AA,"SIM",Report!$C:$C,A51)</f>
        <v>0</v>
      </c>
      <c r="F51" s="15" t="n">
        <f aca="false">B51+C51</f>
        <v>0</v>
      </c>
    </row>
    <row r="52" customFormat="false" ht="12.75" hidden="false" customHeight="true" outlineLevel="0" collapsed="false">
      <c r="A52" s="14" t="n">
        <v>46066</v>
      </c>
      <c r="B52" s="15" t="n">
        <f aca="false">SUMIFS(Report!$U:$U,Report!$T:$T,"&lt;&gt;"&amp;"MERCADORIAS P/REVENDA",Report!$AA:$AA,"SIM",Report!$C:$C,A52)</f>
        <v>0</v>
      </c>
      <c r="C52" s="15" t="n">
        <f aca="false">SUMIFS(Report!$U:$U,Report!$T:$T,"MERCADORIAS P/REVENDA",Report!$AA:$AA,"SIM",Report!$C:$C,A52)</f>
        <v>0</v>
      </c>
      <c r="F52" s="15" t="n">
        <f aca="false">B52+C52</f>
        <v>0</v>
      </c>
    </row>
    <row r="53" customFormat="false" ht="12.75" hidden="false" customHeight="true" outlineLevel="0" collapsed="false">
      <c r="A53" s="31" t="n">
        <v>46067</v>
      </c>
      <c r="B53" s="32" t="n">
        <f aca="false">SUMIFS(Report!$U:$U,Report!$T:$T,"&lt;&gt;"&amp;"MERCADORIAS P/REVENDA",Report!$AA:$AA,"SIM",Report!$C:$C,A53)</f>
        <v>0</v>
      </c>
      <c r="C53" s="32" t="n">
        <f aca="false">SUMIFS(Report!$U:$U,Report!$T:$T,"MERCADORIAS P/REVENDA",Report!$AA:$AA,"SIM",Report!$C:$C,A53)</f>
        <v>0</v>
      </c>
      <c r="D53" s="33"/>
      <c r="E53" s="33"/>
      <c r="F53" s="32" t="n">
        <f aca="false">B53+C53</f>
        <v>0</v>
      </c>
    </row>
    <row r="54" customFormat="false" ht="12.75" hidden="false" customHeight="true" outlineLevel="0" collapsed="false">
      <c r="A54" s="31" t="n">
        <v>46068</v>
      </c>
      <c r="B54" s="32" t="n">
        <f aca="false">SUMIFS(Report!$U:$U,Report!$T:$T,"&lt;&gt;"&amp;"MERCADORIAS P/REVENDA",Report!$AA:$AA,"SIM",Report!$C:$C,A54)</f>
        <v>0</v>
      </c>
      <c r="C54" s="32" t="n">
        <f aca="false">SUMIFS(Report!$U:$U,Report!$T:$T,"MERCADORIAS P/REVENDA",Report!$AA:$AA,"SIM",Report!$C:$C,A54)</f>
        <v>0</v>
      </c>
      <c r="D54" s="33"/>
      <c r="E54" s="33"/>
      <c r="F54" s="32" t="n">
        <f aca="false">B54+C54</f>
        <v>0</v>
      </c>
    </row>
    <row r="55" customFormat="false" ht="12.75" hidden="false" customHeight="true" outlineLevel="0" collapsed="false">
      <c r="A55" s="31" t="n">
        <v>46069</v>
      </c>
      <c r="B55" s="32" t="n">
        <f aca="false">SUMIFS(Report!$U:$U,Report!$T:$T,"&lt;&gt;"&amp;"MERCADORIAS P/REVENDA",Report!$AA:$AA,"SIM",Report!$C:$C,A55)</f>
        <v>0</v>
      </c>
      <c r="C55" s="32" t="n">
        <f aca="false">SUMIFS(Report!$U:$U,Report!$T:$T,"MERCADORIAS P/REVENDA",Report!$AA:$AA,"SIM",Report!$C:$C,A55)</f>
        <v>0</v>
      </c>
      <c r="D55" s="33"/>
      <c r="E55" s="33"/>
      <c r="F55" s="32" t="n">
        <f aca="false">B55+C55</f>
        <v>0</v>
      </c>
    </row>
    <row r="56" customFormat="false" ht="12.75" hidden="false" customHeight="true" outlineLevel="0" collapsed="false">
      <c r="A56" s="34" t="s">
        <v>2137</v>
      </c>
      <c r="B56" s="22" t="n">
        <f aca="false">SUM(B49:B55)</f>
        <v>0</v>
      </c>
      <c r="C56" s="22" t="n">
        <f aca="false">SUM(C49:C55)</f>
        <v>0</v>
      </c>
      <c r="D56" s="26"/>
      <c r="E56" s="26"/>
      <c r="F56" s="22" t="n">
        <f aca="false">B56+C56</f>
        <v>0</v>
      </c>
    </row>
    <row r="57" customFormat="false" ht="12.75" hidden="false" customHeight="true" outlineLevel="0" collapsed="false">
      <c r="A57" s="14" t="n">
        <v>46070</v>
      </c>
      <c r="B57" s="15" t="n">
        <f aca="false">SUMIFS(Report!$U:$U,Report!$T:$T,"&lt;&gt;"&amp;"MERCADORIAS P/REVENDA",Report!$AA:$AA,"SIM",Report!$C:$C,A57)</f>
        <v>0</v>
      </c>
      <c r="C57" s="15" t="n">
        <f aca="false">SUMIFS(Report!$U:$U,Report!$T:$T,"MERCADORIAS P/REVENDA",Report!$AA:$AA,"SIM",Report!$C:$C,A57)</f>
        <v>0</v>
      </c>
      <c r="F57" s="15" t="n">
        <f aca="false">B57+C57</f>
        <v>0</v>
      </c>
    </row>
    <row r="58" customFormat="false" ht="12.75" hidden="false" customHeight="true" outlineLevel="0" collapsed="false">
      <c r="A58" s="14" t="n">
        <v>46071</v>
      </c>
      <c r="B58" s="15" t="n">
        <f aca="false">SUMIFS(Report!$U:$U,Report!$T:$T,"&lt;&gt;"&amp;"MERCADORIAS P/REVENDA",Report!$AA:$AA,"SIM",Report!$C:$C,A58)</f>
        <v>0</v>
      </c>
      <c r="C58" s="15" t="n">
        <f aca="false">SUMIFS(Report!$U:$U,Report!$T:$T,"MERCADORIAS P/REVENDA",Report!$AA:$AA,"SIM",Report!$C:$C,A58)</f>
        <v>0</v>
      </c>
      <c r="F58" s="15" t="n">
        <f aca="false">B58+C58</f>
        <v>0</v>
      </c>
    </row>
    <row r="59" customFormat="false" ht="12.75" hidden="false" customHeight="true" outlineLevel="0" collapsed="false">
      <c r="A59" s="14" t="n">
        <v>46072</v>
      </c>
      <c r="B59" s="15" t="n">
        <f aca="false">SUMIFS(Report!$U:$U,Report!$T:$T,"&lt;&gt;"&amp;"MERCADORIAS P/REVENDA",Report!$AA:$AA,"SIM",Report!$C:$C,A59)</f>
        <v>0</v>
      </c>
      <c r="C59" s="15" t="n">
        <f aca="false">SUMIFS(Report!$U:$U,Report!$T:$T,"MERCADORIAS P/REVENDA",Report!$AA:$AA,"SIM",Report!$C:$C,A59)</f>
        <v>0</v>
      </c>
      <c r="F59" s="15" t="n">
        <f aca="false">B59+C59</f>
        <v>0</v>
      </c>
    </row>
    <row r="60" customFormat="false" ht="12.75" hidden="false" customHeight="true" outlineLevel="0" collapsed="false">
      <c r="A60" s="14" t="n">
        <v>46073</v>
      </c>
      <c r="B60" s="15" t="n">
        <f aca="false">SUMIFS(Report!$U:$U,Report!$T:$T,"&lt;&gt;"&amp;"MERCADORIAS P/REVENDA",Report!$AA:$AA,"SIM",Report!$C:$C,A60)</f>
        <v>0</v>
      </c>
      <c r="C60" s="15" t="n">
        <f aca="false">SUMIFS(Report!$U:$U,Report!$T:$T,"MERCADORIAS P/REVENDA",Report!$AA:$AA,"SIM",Report!$C:$C,A60)</f>
        <v>0</v>
      </c>
      <c r="F60" s="15" t="n">
        <f aca="false">B60+C60</f>
        <v>0</v>
      </c>
    </row>
    <row r="61" customFormat="false" ht="12.75" hidden="false" customHeight="true" outlineLevel="0" collapsed="false">
      <c r="A61" s="31" t="n">
        <v>46074</v>
      </c>
      <c r="B61" s="32" t="n">
        <f aca="false">SUMIFS(Report!$U:$U,Report!$T:$T,"&lt;&gt;"&amp;"MERCADORIAS P/REVENDA",Report!$AA:$AA,"SIM",Report!$C:$C,A61)</f>
        <v>0</v>
      </c>
      <c r="C61" s="32" t="n">
        <f aca="false">SUMIFS(Report!$U:$U,Report!$T:$T,"MERCADORIAS P/REVENDA",Report!$AA:$AA,"SIM",Report!$C:$C,A61)</f>
        <v>0</v>
      </c>
      <c r="D61" s="33"/>
      <c r="E61" s="33"/>
      <c r="F61" s="32" t="n">
        <f aca="false">B61+C61</f>
        <v>0</v>
      </c>
    </row>
    <row r="62" customFormat="false" ht="12.75" hidden="false" customHeight="true" outlineLevel="0" collapsed="false">
      <c r="A62" s="31" t="n">
        <v>46075</v>
      </c>
      <c r="B62" s="32" t="n">
        <f aca="false">SUMIFS(Report!$U:$U,Report!$T:$T,"&lt;&gt;"&amp;"MERCADORIAS P/REVENDA",Report!$AA:$AA,"SIM",Report!$C:$C,A62)</f>
        <v>0</v>
      </c>
      <c r="C62" s="32" t="n">
        <f aca="false">SUMIFS(Report!$U:$U,Report!$T:$T,"MERCADORIAS P/REVENDA",Report!$AA:$AA,"SIM",Report!$C:$C,A62)</f>
        <v>0</v>
      </c>
      <c r="D62" s="33"/>
      <c r="E62" s="33"/>
      <c r="F62" s="32" t="n">
        <f aca="false">B62+C62</f>
        <v>0</v>
      </c>
    </row>
    <row r="63" customFormat="false" ht="12.75" hidden="false" customHeight="true" outlineLevel="0" collapsed="false">
      <c r="A63" s="31" t="n">
        <v>46076</v>
      </c>
      <c r="B63" s="32" t="n">
        <f aca="false">SUMIFS(Report!$U:$U,Report!$T:$T,"&lt;&gt;"&amp;"MERCADORIAS P/REVENDA",Report!$AA:$AA,"SIM",Report!$C:$C,A63)</f>
        <v>0</v>
      </c>
      <c r="C63" s="32" t="n">
        <f aca="false">SUMIFS(Report!$U:$U,Report!$T:$T,"MERCADORIAS P/REVENDA",Report!$AA:$AA,"SIM",Report!$C:$C,A63)</f>
        <v>0</v>
      </c>
      <c r="D63" s="33"/>
      <c r="E63" s="33"/>
      <c r="F63" s="32" t="n">
        <f aca="false">B63+C63</f>
        <v>0</v>
      </c>
    </row>
    <row r="64" customFormat="false" ht="12.75" hidden="false" customHeight="true" outlineLevel="0" collapsed="false">
      <c r="A64" s="34" t="s">
        <v>2138</v>
      </c>
      <c r="B64" s="22" t="n">
        <f aca="false">SUM(B57:B63)</f>
        <v>0</v>
      </c>
      <c r="C64" s="22" t="n">
        <f aca="false">SUM(C57:C63)</f>
        <v>0</v>
      </c>
      <c r="D64" s="26"/>
      <c r="E64" s="26"/>
      <c r="F64" s="22" t="n">
        <f aca="false">B64+C64</f>
        <v>0</v>
      </c>
    </row>
    <row r="65" customFormat="false" ht="12.75" hidden="false" customHeight="true" outlineLevel="0" collapsed="false">
      <c r="A65" s="14" t="n">
        <v>46077</v>
      </c>
      <c r="B65" s="15" t="n">
        <f aca="false">SUMIFS(Report!$U:$U,Report!$T:$T,"&lt;&gt;"&amp;"MERCADORIAS P/REVENDA",Report!$AA:$AA,"SIM",Report!$C:$C,A65)</f>
        <v>0</v>
      </c>
      <c r="C65" s="15" t="n">
        <f aca="false">SUMIFS(Report!$U:$U,Report!$T:$T,"MERCADORIAS P/REVENDA",Report!$AA:$AA,"SIM",Report!$C:$C,A65)</f>
        <v>0</v>
      </c>
      <c r="F65" s="15" t="n">
        <f aca="false">B65+C65</f>
        <v>0</v>
      </c>
    </row>
    <row r="66" customFormat="false" ht="12.75" hidden="false" customHeight="true" outlineLevel="0" collapsed="false">
      <c r="A66" s="14" t="n">
        <v>46078</v>
      </c>
      <c r="B66" s="15" t="n">
        <f aca="false">SUMIFS(Report!$U:$U,Report!$T:$T,"&lt;&gt;"&amp;"MERCADORIAS P/REVENDA",Report!$AA:$AA,"SIM",Report!$C:$C,A66)</f>
        <v>0</v>
      </c>
      <c r="C66" s="15" t="n">
        <f aca="false">SUMIFS(Report!$U:$U,Report!$T:$T,"MERCADORIAS P/REVENDA",Report!$AA:$AA,"SIM",Report!$C:$C,A66)</f>
        <v>0</v>
      </c>
      <c r="F66" s="15" t="n">
        <f aca="false">B66+C66</f>
        <v>0</v>
      </c>
    </row>
    <row r="67" customFormat="false" ht="12.75" hidden="false" customHeight="true" outlineLevel="0" collapsed="false">
      <c r="A67" s="14" t="n">
        <v>46079</v>
      </c>
      <c r="B67" s="15" t="n">
        <f aca="false">SUMIFS(Report!$U:$U,Report!$T:$T,"&lt;&gt;"&amp;"MERCADORIAS P/REVENDA",Report!$AA:$AA,"SIM",Report!$C:$C,A67)</f>
        <v>0</v>
      </c>
      <c r="C67" s="15" t="n">
        <f aca="false">SUMIFS(Report!$U:$U,Report!$T:$T,"MERCADORIAS P/REVENDA",Report!$AA:$AA,"SIM",Report!$C:$C,A67)</f>
        <v>0</v>
      </c>
      <c r="F67" s="15" t="n">
        <f aca="false">B67+C67</f>
        <v>0</v>
      </c>
    </row>
    <row r="68" customFormat="false" ht="12.75" hidden="false" customHeight="true" outlineLevel="0" collapsed="false">
      <c r="A68" s="14" t="n">
        <v>46080</v>
      </c>
      <c r="B68" s="15" t="n">
        <f aca="false">SUMIFS(Report!$U:$U,Report!$T:$T,"&lt;&gt;"&amp;"MERCADORIAS P/REVENDA",Report!$AA:$AA,"SIM",Report!$C:$C,A68)</f>
        <v>0</v>
      </c>
      <c r="C68" s="15" t="n">
        <f aca="false">SUMIFS(Report!$U:$U,Report!$T:$T,"MERCADORIAS P/REVENDA",Report!$AA:$AA,"SIM",Report!$C:$C,A68)</f>
        <v>0</v>
      </c>
      <c r="F68" s="15" t="n">
        <f aca="false">B68+C68</f>
        <v>0</v>
      </c>
    </row>
    <row r="69" customFormat="false" ht="12.75" hidden="false" customHeight="true" outlineLevel="0" collapsed="false">
      <c r="A69" s="31" t="n">
        <v>46081</v>
      </c>
      <c r="B69" s="32" t="n">
        <f aca="false">SUMIFS(Report!$U:$U,Report!$T:$T,"&lt;&gt;"&amp;"MERCADORIAS P/REVENDA",Report!$AA:$AA,"SIM",Report!$C:$C,A69)</f>
        <v>0</v>
      </c>
      <c r="C69" s="32" t="n">
        <f aca="false">SUMIFS(Report!$U:$U,Report!$T:$T,"MERCADORIAS P/REVENDA",Report!$AA:$AA,"SIM",Report!$C:$C,A69)</f>
        <v>0</v>
      </c>
      <c r="D69" s="33"/>
      <c r="E69" s="33"/>
      <c r="F69" s="32" t="n">
        <f aca="false">B69+C69</f>
        <v>0</v>
      </c>
    </row>
    <row r="70" customFormat="false" ht="12.75" hidden="false" customHeight="true" outlineLevel="0" collapsed="false">
      <c r="A70" s="31" t="n">
        <v>46082</v>
      </c>
      <c r="B70" s="32" t="n">
        <f aca="false">SUMIFS(Report!$U:$U,Report!$T:$T,"&lt;&gt;"&amp;"MERCADORIAS P/REVENDA",Report!$AA:$AA,"SIM",Report!$C:$C,A70)</f>
        <v>0</v>
      </c>
      <c r="C70" s="32" t="n">
        <f aca="false">SUMIFS(Report!$U:$U,Report!$T:$T,"MERCADORIAS P/REVENDA",Report!$AA:$AA,"SIM",Report!$C:$C,A70)</f>
        <v>0</v>
      </c>
      <c r="D70" s="33"/>
      <c r="E70" s="33"/>
      <c r="F70" s="32" t="n">
        <f aca="false">B70+C70</f>
        <v>0</v>
      </c>
    </row>
    <row r="71" customFormat="false" ht="12.75" hidden="false" customHeight="true" outlineLevel="0" collapsed="false">
      <c r="A71" s="31" t="n">
        <v>46083</v>
      </c>
      <c r="B71" s="32" t="n">
        <f aca="false">SUMIFS(Report!$U:$U,Report!$T:$T,"&lt;&gt;"&amp;"MERCADORIAS P/REVENDA",Report!$AA:$AA,"SIM",Report!$C:$C,A71)</f>
        <v>0</v>
      </c>
      <c r="C71" s="32" t="n">
        <f aca="false">SUMIFS(Report!$U:$U,Report!$T:$T,"MERCADORIAS P/REVENDA",Report!$AA:$AA,"SIM",Report!$C:$C,A71)</f>
        <v>0</v>
      </c>
      <c r="D71" s="33"/>
      <c r="E71" s="33"/>
      <c r="F71" s="32" t="n">
        <f aca="false">B71+C71</f>
        <v>0</v>
      </c>
    </row>
    <row r="72" customFormat="false" ht="12.75" hidden="false" customHeight="true" outlineLevel="0" collapsed="false">
      <c r="A72" s="34" t="s">
        <v>2139</v>
      </c>
      <c r="B72" s="22" t="n">
        <f aca="false">SUM(B65:B71)</f>
        <v>0</v>
      </c>
      <c r="C72" s="22" t="n">
        <f aca="false">SUM(C65:C71)</f>
        <v>0</v>
      </c>
      <c r="D72" s="26"/>
      <c r="E72" s="26"/>
      <c r="F72" s="22" t="n">
        <f aca="false">B72+C72</f>
        <v>0</v>
      </c>
    </row>
    <row r="73" customFormat="false" ht="12.75" hidden="false" customHeight="true" outlineLevel="0" collapsed="false">
      <c r="A73" s="14" t="n">
        <v>46084</v>
      </c>
      <c r="B73" s="15" t="n">
        <f aca="false">SUMIFS(Report!$U:$U,Report!$T:$T,"&lt;&gt;"&amp;"MERCADORIAS P/REVENDA",Report!$AA:$AA,"SIM",Report!$C:$C,A73)</f>
        <v>0</v>
      </c>
      <c r="C73" s="15" t="n">
        <f aca="false">SUMIFS(Report!$U:$U,Report!$T:$T,"MERCADORIAS P/REVENDA",Report!$AA:$AA,"SIM",Report!$C:$C,A73)</f>
        <v>0</v>
      </c>
      <c r="F73" s="15" t="n">
        <f aca="false">B73+C73</f>
        <v>0</v>
      </c>
    </row>
    <row r="74" customFormat="false" ht="12.75" hidden="false" customHeight="true" outlineLevel="0" collapsed="false">
      <c r="A74" s="14" t="n">
        <v>46085</v>
      </c>
      <c r="B74" s="15" t="n">
        <f aca="false">SUMIFS(Report!$U:$U,Report!$T:$T,"&lt;&gt;"&amp;"MERCADORIAS P/REVENDA",Report!$AA:$AA,"SIM",Report!$C:$C,A74)</f>
        <v>0</v>
      </c>
      <c r="C74" s="15" t="n">
        <f aca="false">SUMIFS(Report!$U:$U,Report!$T:$T,"MERCADORIAS P/REVENDA",Report!$AA:$AA,"SIM",Report!$C:$C,A74)</f>
        <v>0</v>
      </c>
      <c r="F74" s="15" t="n">
        <f aca="false">B74+C74</f>
        <v>0</v>
      </c>
    </row>
    <row r="75" customFormat="false" ht="12.75" hidden="false" customHeight="true" outlineLevel="0" collapsed="false">
      <c r="A75" s="14" t="n">
        <v>46086</v>
      </c>
      <c r="B75" s="15" t="n">
        <f aca="false">SUMIFS(Report!$U:$U,Report!$T:$T,"&lt;&gt;"&amp;"MERCADORIAS P/REVENDA",Report!$AA:$AA,"SIM",Report!$C:$C,A75)</f>
        <v>0</v>
      </c>
      <c r="C75" s="15" t="n">
        <f aca="false">SUMIFS(Report!$U:$U,Report!$T:$T,"MERCADORIAS P/REVENDA",Report!$AA:$AA,"SIM",Report!$C:$C,A75)</f>
        <v>0</v>
      </c>
      <c r="F75" s="15" t="n">
        <f aca="false">B75+C75</f>
        <v>0</v>
      </c>
    </row>
    <row r="76" customFormat="false" ht="12.75" hidden="false" customHeight="true" outlineLevel="0" collapsed="false">
      <c r="A76" s="14" t="n">
        <v>46087</v>
      </c>
      <c r="B76" s="15" t="n">
        <f aca="false">SUMIFS(Report!$U:$U,Report!$T:$T,"&lt;&gt;"&amp;"MERCADORIAS P/REVENDA",Report!$AA:$AA,"SIM",Report!$C:$C,A76)</f>
        <v>0</v>
      </c>
      <c r="C76" s="15" t="n">
        <f aca="false">SUMIFS(Report!$U:$U,Report!$T:$T,"MERCADORIAS P/REVENDA",Report!$AA:$AA,"SIM",Report!$C:$C,A76)</f>
        <v>0</v>
      </c>
      <c r="F76" s="15" t="n">
        <f aca="false">B76+C76</f>
        <v>0</v>
      </c>
    </row>
    <row r="77" customFormat="false" ht="12.75" hidden="false" customHeight="true" outlineLevel="0" collapsed="false">
      <c r="A77" s="31" t="n">
        <v>46088</v>
      </c>
      <c r="B77" s="32" t="n">
        <f aca="false">SUMIFS(Report!$U:$U,Report!$T:$T,"&lt;&gt;"&amp;"MERCADORIAS P/REVENDA",Report!$AA:$AA,"SIM",Report!$C:$C,A77)</f>
        <v>0</v>
      </c>
      <c r="C77" s="32" t="n">
        <f aca="false">SUMIFS(Report!$U:$U,Report!$T:$T,"MERCADORIAS P/REVENDA",Report!$AA:$AA,"SIM",Report!$C:$C,A77)</f>
        <v>0</v>
      </c>
      <c r="D77" s="33"/>
      <c r="E77" s="33"/>
      <c r="F77" s="32" t="n">
        <f aca="false">B77+C77</f>
        <v>0</v>
      </c>
    </row>
    <row r="78" customFormat="false" ht="12.75" hidden="false" customHeight="true" outlineLevel="0" collapsed="false">
      <c r="A78" s="31" t="n">
        <v>46089</v>
      </c>
      <c r="B78" s="32" t="n">
        <f aca="false">SUMIFS(Report!$U:$U,Report!$T:$T,"&lt;&gt;"&amp;"MERCADORIAS P/REVENDA",Report!$AA:$AA,"SIM",Report!$C:$C,A78)</f>
        <v>0</v>
      </c>
      <c r="C78" s="32" t="n">
        <f aca="false">SUMIFS(Report!$U:$U,Report!$T:$T,"MERCADORIAS P/REVENDA",Report!$AA:$AA,"SIM",Report!$C:$C,A78)</f>
        <v>0</v>
      </c>
      <c r="D78" s="33"/>
      <c r="E78" s="33"/>
      <c r="F78" s="32" t="n">
        <f aca="false">B78+C78</f>
        <v>0</v>
      </c>
    </row>
    <row r="79" customFormat="false" ht="12.75" hidden="false" customHeight="true" outlineLevel="0" collapsed="false">
      <c r="A79" s="31" t="n">
        <v>46090</v>
      </c>
      <c r="B79" s="32" t="n">
        <f aca="false">SUMIFS(Report!$U:$U,Report!$T:$T,"&lt;&gt;"&amp;"MERCADORIAS P/REVENDA",Report!$AA:$AA,"SIM",Report!$C:$C,A79)</f>
        <v>0</v>
      </c>
      <c r="C79" s="32" t="n">
        <f aca="false">SUMIFS(Report!$U:$U,Report!$T:$T,"MERCADORIAS P/REVENDA",Report!$AA:$AA,"SIM",Report!$C:$C,A79)</f>
        <v>0</v>
      </c>
      <c r="D79" s="33"/>
      <c r="E79" s="33"/>
      <c r="F79" s="32" t="n">
        <f aca="false">B79+C79</f>
        <v>0</v>
      </c>
    </row>
    <row r="80" customFormat="false" ht="12.75" hidden="false" customHeight="true" outlineLevel="0" collapsed="false">
      <c r="A80" s="34" t="s">
        <v>2140</v>
      </c>
      <c r="B80" s="22" t="n">
        <f aca="false">SUM(B73:B79)</f>
        <v>0</v>
      </c>
      <c r="C80" s="22" t="n">
        <f aca="false">SUM(C73:C79)</f>
        <v>0</v>
      </c>
      <c r="D80" s="26"/>
      <c r="E80" s="26"/>
      <c r="F80" s="22" t="n">
        <f aca="false">B80+C80</f>
        <v>0</v>
      </c>
    </row>
    <row r="81" customFormat="false" ht="12.75" hidden="false" customHeight="true" outlineLevel="0" collapsed="false">
      <c r="A81" s="14" t="n">
        <v>46091</v>
      </c>
      <c r="B81" s="15" t="n">
        <f aca="false">SUMIFS(Report!$U:$U,Report!$T:$T,"&lt;&gt;"&amp;"MERCADORIAS P/REVENDA",Report!$AA:$AA,"SIM",Report!$C:$C,A81)</f>
        <v>0</v>
      </c>
      <c r="C81" s="15" t="n">
        <f aca="false">SUMIFS(Report!$U:$U,Report!$T:$T,"MERCADORIAS P/REVENDA",Report!$AA:$AA,"SIM",Report!$C:$C,A81)</f>
        <v>0</v>
      </c>
      <c r="F81" s="15" t="n">
        <f aca="false">B81+C81</f>
        <v>0</v>
      </c>
    </row>
    <row r="82" customFormat="false" ht="12.75" hidden="false" customHeight="true" outlineLevel="0" collapsed="false">
      <c r="A82" s="14" t="n">
        <v>46092</v>
      </c>
      <c r="B82" s="15" t="n">
        <f aca="false">SUMIFS(Report!$U:$U,Report!$T:$T,"&lt;&gt;"&amp;"MERCADORIAS P/REVENDA",Report!$AA:$AA,"SIM",Report!$C:$C,A82)</f>
        <v>0</v>
      </c>
      <c r="C82" s="15" t="n">
        <f aca="false">SUMIFS(Report!$U:$U,Report!$T:$T,"MERCADORIAS P/REVENDA",Report!$AA:$AA,"SIM",Report!$C:$C,A82)</f>
        <v>0</v>
      </c>
      <c r="F82" s="15" t="n">
        <f aca="false">B82+C82</f>
        <v>0</v>
      </c>
    </row>
    <row r="83" customFormat="false" ht="12.75" hidden="false" customHeight="true" outlineLevel="0" collapsed="false">
      <c r="A83" s="14" t="n">
        <v>46093</v>
      </c>
      <c r="B83" s="15" t="n">
        <f aca="false">SUMIFS(Report!$U:$U,Report!$T:$T,"&lt;&gt;"&amp;"MERCADORIAS P/REVENDA",Report!$AA:$AA,"SIM",Report!$C:$C,A83)</f>
        <v>0</v>
      </c>
      <c r="C83" s="15" t="n">
        <f aca="false">SUMIFS(Report!$U:$U,Report!$T:$T,"MERCADORIAS P/REVENDA",Report!$AA:$AA,"SIM",Report!$C:$C,A83)</f>
        <v>0</v>
      </c>
      <c r="F83" s="15" t="n">
        <f aca="false">B83+C83</f>
        <v>0</v>
      </c>
    </row>
    <row r="84" customFormat="false" ht="12.75" hidden="false" customHeight="true" outlineLevel="0" collapsed="false">
      <c r="A84" s="14" t="n">
        <v>46094</v>
      </c>
      <c r="B84" s="15" t="n">
        <f aca="false">SUMIFS(Report!$U:$U,Report!$T:$T,"&lt;&gt;"&amp;"MERCADORIAS P/REVENDA",Report!$AA:$AA,"SIM",Report!$C:$C,A84)</f>
        <v>0</v>
      </c>
      <c r="C84" s="15" t="n">
        <f aca="false">SUMIFS(Report!$U:$U,Report!$T:$T,"MERCADORIAS P/REVENDA",Report!$AA:$AA,"SIM",Report!$C:$C,A84)</f>
        <v>0</v>
      </c>
      <c r="F84" s="15" t="n">
        <f aca="false">B84+C84</f>
        <v>0</v>
      </c>
    </row>
    <row r="85" customFormat="false" ht="12.75" hidden="false" customHeight="true" outlineLevel="0" collapsed="false">
      <c r="A85" s="31" t="n">
        <v>46095</v>
      </c>
      <c r="B85" s="32" t="n">
        <f aca="false">SUMIFS(Report!$U:$U,Report!$T:$T,"&lt;&gt;"&amp;"MERCADORIAS P/REVENDA",Report!$AA:$AA,"SIM",Report!$C:$C,A85)</f>
        <v>0</v>
      </c>
      <c r="C85" s="32" t="n">
        <f aca="false">SUMIFS(Report!$U:$U,Report!$T:$T,"MERCADORIAS P/REVENDA",Report!$AA:$AA,"SIM",Report!$C:$C,A85)</f>
        <v>0</v>
      </c>
      <c r="D85" s="33"/>
      <c r="E85" s="33"/>
      <c r="F85" s="32" t="n">
        <f aca="false">B85+C85</f>
        <v>0</v>
      </c>
    </row>
    <row r="86" customFormat="false" ht="12.75" hidden="false" customHeight="true" outlineLevel="0" collapsed="false">
      <c r="A86" s="31" t="n">
        <v>46096</v>
      </c>
      <c r="B86" s="32" t="n">
        <f aca="false">SUMIFS(Report!$U:$U,Report!$T:$T,"&lt;&gt;"&amp;"MERCADORIAS P/REVENDA",Report!$AA:$AA,"SIM",Report!$C:$C,A86)</f>
        <v>0</v>
      </c>
      <c r="C86" s="32" t="n">
        <f aca="false">SUMIFS(Report!$U:$U,Report!$T:$T,"MERCADORIAS P/REVENDA",Report!$AA:$AA,"SIM",Report!$C:$C,A86)</f>
        <v>0</v>
      </c>
      <c r="D86" s="33"/>
      <c r="E86" s="33"/>
      <c r="F86" s="32" t="n">
        <f aca="false">B86+C86</f>
        <v>0</v>
      </c>
    </row>
    <row r="87" customFormat="false" ht="12.75" hidden="false" customHeight="true" outlineLevel="0" collapsed="false">
      <c r="A87" s="31" t="n">
        <v>46097</v>
      </c>
      <c r="B87" s="32" t="n">
        <f aca="false">SUMIFS(Report!$U:$U,Report!$T:$T,"&lt;&gt;"&amp;"MERCADORIAS P/REVENDA",Report!$AA:$AA,"SIM",Report!$C:$C,A87)</f>
        <v>0</v>
      </c>
      <c r="C87" s="32" t="n">
        <f aca="false">SUMIFS(Report!$U:$U,Report!$T:$T,"MERCADORIAS P/REVENDA",Report!$AA:$AA,"SIM",Report!$C:$C,A87)</f>
        <v>0</v>
      </c>
      <c r="D87" s="33"/>
      <c r="E87" s="33"/>
      <c r="F87" s="32" t="n">
        <f aca="false">B87+C87</f>
        <v>0</v>
      </c>
    </row>
    <row r="88" customFormat="false" ht="12.75" hidden="false" customHeight="true" outlineLevel="0" collapsed="false">
      <c r="A88" s="34" t="s">
        <v>2141</v>
      </c>
      <c r="B88" s="22" t="n">
        <f aca="false">SUM(B81:B87)</f>
        <v>0</v>
      </c>
      <c r="C88" s="22" t="n">
        <f aca="false">SUM(C81:C87)</f>
        <v>0</v>
      </c>
      <c r="D88" s="26"/>
      <c r="E88" s="26"/>
      <c r="F88" s="22" t="n">
        <f aca="false">B88+C88</f>
        <v>0</v>
      </c>
    </row>
    <row r="89" customFormat="false" ht="12.75" hidden="false" customHeight="true" outlineLevel="0" collapsed="false">
      <c r="A89" s="14" t="n">
        <v>46098</v>
      </c>
      <c r="B89" s="15" t="n">
        <f aca="false">SUMIFS(Report!$U:$U,Report!$T:$T,"&lt;&gt;"&amp;"MERCADORIAS P/REVENDA",Report!$AA:$AA,"SIM",Report!$C:$C,A89)</f>
        <v>0</v>
      </c>
      <c r="C89" s="15" t="n">
        <f aca="false">SUMIFS(Report!$U:$U,Report!$T:$T,"MERCADORIAS P/REVENDA",Report!$AA:$AA,"SIM",Report!$C:$C,A89)</f>
        <v>0</v>
      </c>
      <c r="F89" s="15" t="n">
        <f aca="false">B89+C89</f>
        <v>0</v>
      </c>
    </row>
    <row r="90" customFormat="false" ht="12.75" hidden="false" customHeight="true" outlineLevel="0" collapsed="false">
      <c r="A90" s="14" t="n">
        <v>46099</v>
      </c>
      <c r="B90" s="15" t="n">
        <f aca="false">SUMIFS(Report!$U:$U,Report!$T:$T,"&lt;&gt;"&amp;"MERCADORIAS P/REVENDA",Report!$AA:$AA,"SIM",Report!$C:$C,A90)</f>
        <v>0</v>
      </c>
      <c r="C90" s="15" t="n">
        <f aca="false">SUMIFS(Report!$U:$U,Report!$T:$T,"MERCADORIAS P/REVENDA",Report!$AA:$AA,"SIM",Report!$C:$C,A90)</f>
        <v>0</v>
      </c>
      <c r="F90" s="15" t="n">
        <f aca="false">B90+C90</f>
        <v>0</v>
      </c>
    </row>
    <row r="91" customFormat="false" ht="12.75" hidden="false" customHeight="true" outlineLevel="0" collapsed="false">
      <c r="A91" s="14" t="n">
        <v>46100</v>
      </c>
      <c r="B91" s="15" t="n">
        <f aca="false">SUMIFS(Report!$U:$U,Report!$T:$T,"&lt;&gt;"&amp;"MERCADORIAS P/REVENDA",Report!$AA:$AA,"SIM",Report!$C:$C,A91)</f>
        <v>0</v>
      </c>
      <c r="C91" s="15" t="n">
        <f aca="false">SUMIFS(Report!$U:$U,Report!$T:$T,"MERCADORIAS P/REVENDA",Report!$AA:$AA,"SIM",Report!$C:$C,A91)</f>
        <v>0</v>
      </c>
      <c r="F91" s="15" t="n">
        <f aca="false">B91+C91</f>
        <v>0</v>
      </c>
    </row>
    <row r="92" customFormat="false" ht="12.75" hidden="false" customHeight="true" outlineLevel="0" collapsed="false">
      <c r="A92" s="14" t="n">
        <v>46101</v>
      </c>
      <c r="B92" s="15" t="n">
        <f aca="false">SUMIFS(Report!$U:$U,Report!$T:$T,"&lt;&gt;"&amp;"MERCADORIAS P/REVENDA",Report!$AA:$AA,"SIM",Report!$C:$C,A92)</f>
        <v>0</v>
      </c>
      <c r="C92" s="15" t="n">
        <f aca="false">SUMIFS(Report!$U:$U,Report!$T:$T,"MERCADORIAS P/REVENDA",Report!$AA:$AA,"SIM",Report!$C:$C,A92)</f>
        <v>0</v>
      </c>
      <c r="F92" s="15" t="n">
        <f aca="false">B92+C92</f>
        <v>0</v>
      </c>
    </row>
    <row r="93" customFormat="false" ht="12.75" hidden="false" customHeight="true" outlineLevel="0" collapsed="false">
      <c r="A93" s="31" t="n">
        <v>46102</v>
      </c>
      <c r="B93" s="32" t="n">
        <f aca="false">SUMIFS(Report!$U:$U,Report!$T:$T,"&lt;&gt;"&amp;"MERCADORIAS P/REVENDA",Report!$AA:$AA,"SIM",Report!$C:$C,A93)</f>
        <v>0</v>
      </c>
      <c r="C93" s="32" t="n">
        <f aca="false">SUMIFS(Report!$U:$U,Report!$T:$T,"MERCADORIAS P/REVENDA",Report!$AA:$AA,"SIM",Report!$C:$C,A93)</f>
        <v>0</v>
      </c>
      <c r="D93" s="33"/>
      <c r="E93" s="33"/>
      <c r="F93" s="32" t="n">
        <f aca="false">B93+C93</f>
        <v>0</v>
      </c>
    </row>
    <row r="94" customFormat="false" ht="12.75" hidden="false" customHeight="true" outlineLevel="0" collapsed="false">
      <c r="A94" s="31" t="n">
        <v>46103</v>
      </c>
      <c r="B94" s="32" t="n">
        <f aca="false">SUMIFS(Report!$U:$U,Report!$T:$T,"&lt;&gt;"&amp;"MERCADORIAS P/REVENDA",Report!$AA:$AA,"SIM",Report!$C:$C,A94)</f>
        <v>0</v>
      </c>
      <c r="C94" s="32" t="n">
        <f aca="false">SUMIFS(Report!$U:$U,Report!$T:$T,"MERCADORIAS P/REVENDA",Report!$AA:$AA,"SIM",Report!$C:$C,A94)</f>
        <v>0</v>
      </c>
      <c r="D94" s="33"/>
      <c r="E94" s="33"/>
      <c r="F94" s="32" t="n">
        <f aca="false">B94+C94</f>
        <v>0</v>
      </c>
    </row>
    <row r="95" customFormat="false" ht="12.75" hidden="false" customHeight="true" outlineLevel="0" collapsed="false">
      <c r="A95" s="31" t="n">
        <v>46104</v>
      </c>
      <c r="B95" s="32" t="n">
        <f aca="false">SUMIFS(Report!$U:$U,Report!$T:$T,"&lt;&gt;"&amp;"MERCADORIAS P/REVENDA",Report!$AA:$AA,"SIM",Report!$C:$C,A95)</f>
        <v>0</v>
      </c>
      <c r="C95" s="32" t="n">
        <f aca="false">SUMIFS(Report!$U:$U,Report!$T:$T,"MERCADORIAS P/REVENDA",Report!$AA:$AA,"SIM",Report!$C:$C,A95)</f>
        <v>0</v>
      </c>
      <c r="D95" s="33"/>
      <c r="E95" s="33"/>
      <c r="F95" s="32" t="n">
        <f aca="false">B95+C95</f>
        <v>0</v>
      </c>
    </row>
    <row r="96" customFormat="false" ht="12.75" hidden="false" customHeight="true" outlineLevel="0" collapsed="false">
      <c r="A96" s="34" t="s">
        <v>2142</v>
      </c>
      <c r="B96" s="22" t="n">
        <f aca="false">SUM(B89:B95)</f>
        <v>0</v>
      </c>
      <c r="C96" s="22" t="n">
        <f aca="false">SUM(C89:C95)</f>
        <v>0</v>
      </c>
      <c r="D96" s="26"/>
      <c r="E96" s="26"/>
      <c r="F96" s="22" t="n">
        <f aca="false">B96+C96</f>
        <v>0</v>
      </c>
    </row>
    <row r="97" customFormat="false" ht="12.75" hidden="false" customHeight="true" outlineLevel="0" collapsed="false">
      <c r="A97" s="14" t="n">
        <v>46105</v>
      </c>
      <c r="B97" s="15" t="n">
        <f aca="false">SUMIFS(Report!$U:$U,Report!$T:$T,"&lt;&gt;"&amp;"MERCADORIAS P/REVENDA",Report!$AA:$AA,"SIM",Report!$C:$C,A97)</f>
        <v>0</v>
      </c>
      <c r="C97" s="15" t="n">
        <f aca="false">SUMIFS(Report!$U:$U,Report!$T:$T,"MERCADORIAS P/REVENDA",Report!$AA:$AA,"SIM",Report!$C:$C,A97)</f>
        <v>0</v>
      </c>
      <c r="F97" s="15" t="n">
        <f aca="false">B97+C97</f>
        <v>0</v>
      </c>
    </row>
    <row r="98" customFormat="false" ht="12.75" hidden="false" customHeight="true" outlineLevel="0" collapsed="false">
      <c r="A98" s="14" t="n">
        <v>46106</v>
      </c>
      <c r="B98" s="15" t="n">
        <f aca="false">SUMIFS(Report!$U:$U,Report!$T:$T,"&lt;&gt;"&amp;"MERCADORIAS P/REVENDA",Report!$AA:$AA,"SIM",Report!$C:$C,A98)</f>
        <v>0</v>
      </c>
      <c r="C98" s="15" t="n">
        <f aca="false">SUMIFS(Report!$U:$U,Report!$T:$T,"MERCADORIAS P/REVENDA",Report!$AA:$AA,"SIM",Report!$C:$C,A98)</f>
        <v>0</v>
      </c>
      <c r="F98" s="15" t="n">
        <f aca="false">B98+C98</f>
        <v>0</v>
      </c>
    </row>
    <row r="99" customFormat="false" ht="12.75" hidden="false" customHeight="true" outlineLevel="0" collapsed="false">
      <c r="A99" s="14" t="n">
        <v>46107</v>
      </c>
      <c r="B99" s="15" t="n">
        <f aca="false">SUMIFS(Report!$U:$U,Report!$T:$T,"&lt;&gt;"&amp;"MERCADORIAS P/REVENDA",Report!$AA:$AA,"SIM",Report!$C:$C,A99)</f>
        <v>0</v>
      </c>
      <c r="C99" s="15" t="n">
        <f aca="false">SUMIFS(Report!$U:$U,Report!$T:$T,"MERCADORIAS P/REVENDA",Report!$AA:$AA,"SIM",Report!$C:$C,A99)</f>
        <v>0</v>
      </c>
      <c r="F99" s="15" t="n">
        <f aca="false">B99+C99</f>
        <v>0</v>
      </c>
    </row>
    <row r="100" customFormat="false" ht="12.75" hidden="false" customHeight="true" outlineLevel="0" collapsed="false">
      <c r="A100" s="14" t="n">
        <v>46108</v>
      </c>
      <c r="B100" s="15" t="n">
        <f aca="false">SUMIFS(Report!$U:$U,Report!$T:$T,"&lt;&gt;"&amp;"MERCADORIAS P/REVENDA",Report!$AA:$AA,"SIM",Report!$C:$C,A100)</f>
        <v>0</v>
      </c>
      <c r="C100" s="15" t="n">
        <f aca="false">SUMIFS(Report!$U:$U,Report!$T:$T,"MERCADORIAS P/REVENDA",Report!$AA:$AA,"SIM",Report!$C:$C,A100)</f>
        <v>0</v>
      </c>
      <c r="F100" s="15" t="n">
        <f aca="false">B100+C100</f>
        <v>0</v>
      </c>
    </row>
    <row r="101" customFormat="false" ht="12.75" hidden="false" customHeight="true" outlineLevel="0" collapsed="false">
      <c r="A101" s="31" t="n">
        <v>46109</v>
      </c>
      <c r="B101" s="32" t="n">
        <f aca="false">SUMIFS(Report!$U:$U,Report!$T:$T,"&lt;&gt;"&amp;"MERCADORIAS P/REVENDA",Report!$AA:$AA,"SIM",Report!$C:$C,A101)</f>
        <v>0</v>
      </c>
      <c r="C101" s="32" t="n">
        <f aca="false">SUMIFS(Report!$U:$U,Report!$T:$T,"MERCADORIAS P/REVENDA",Report!$AA:$AA,"SIM",Report!$C:$C,A101)</f>
        <v>0</v>
      </c>
      <c r="D101" s="33"/>
      <c r="E101" s="33"/>
      <c r="F101" s="32" t="n">
        <f aca="false">B101+C101</f>
        <v>0</v>
      </c>
    </row>
    <row r="102" customFormat="false" ht="12.75" hidden="false" customHeight="true" outlineLevel="0" collapsed="false">
      <c r="A102" s="31" t="n">
        <v>46110</v>
      </c>
      <c r="B102" s="32" t="n">
        <f aca="false">SUMIFS(Report!$U:$U,Report!$T:$T,"&lt;&gt;"&amp;"MERCADORIAS P/REVENDA",Report!$AA:$AA,"SIM",Report!$C:$C,A102)</f>
        <v>0</v>
      </c>
      <c r="C102" s="32" t="n">
        <f aca="false">SUMIFS(Report!$U:$U,Report!$T:$T,"MERCADORIAS P/REVENDA",Report!$AA:$AA,"SIM",Report!$C:$C,A102)</f>
        <v>0</v>
      </c>
      <c r="D102" s="33"/>
      <c r="E102" s="33"/>
      <c r="F102" s="32" t="n">
        <f aca="false">B102+C102</f>
        <v>0</v>
      </c>
    </row>
    <row r="103" customFormat="false" ht="12.75" hidden="false" customHeight="true" outlineLevel="0" collapsed="false">
      <c r="A103" s="31" t="n">
        <v>46111</v>
      </c>
      <c r="B103" s="32" t="n">
        <f aca="false">SUMIFS(Report!$U:$U,Report!$T:$T,"&lt;&gt;"&amp;"MERCADORIAS P/REVENDA",Report!$AA:$AA,"SIM",Report!$C:$C,A103)</f>
        <v>0</v>
      </c>
      <c r="C103" s="32" t="n">
        <f aca="false">SUMIFS(Report!$U:$U,Report!$T:$T,"MERCADORIAS P/REVENDA",Report!$AA:$AA,"SIM",Report!$C:$C,A103)</f>
        <v>0</v>
      </c>
      <c r="D103" s="33"/>
      <c r="E103" s="33"/>
      <c r="F103" s="32" t="n">
        <f aca="false">B103+C103</f>
        <v>0</v>
      </c>
    </row>
    <row r="104" customFormat="false" ht="12.75" hidden="false" customHeight="true" outlineLevel="0" collapsed="false">
      <c r="A104" s="34" t="s">
        <v>2143</v>
      </c>
      <c r="B104" s="22" t="n">
        <f aca="false">SUM(B97:B103)</f>
        <v>0</v>
      </c>
      <c r="C104" s="22" t="n">
        <f aca="false">SUM(C97:C103)</f>
        <v>0</v>
      </c>
      <c r="D104" s="26"/>
      <c r="E104" s="26"/>
      <c r="F104" s="22" t="n">
        <f aca="false">B104+C104</f>
        <v>0</v>
      </c>
    </row>
    <row r="105" customFormat="false" ht="12.75" hidden="false" customHeight="true" outlineLevel="0" collapsed="false">
      <c r="A105" s="14" t="n">
        <v>46112</v>
      </c>
      <c r="B105" s="15" t="n">
        <f aca="false">SUMIFS(Report!$U:$U,Report!$T:$T,"&lt;&gt;"&amp;"MERCADORIAS P/REVENDA",Report!$AA:$AA,"SIM",Report!$C:$C,A105)</f>
        <v>0</v>
      </c>
      <c r="C105" s="15" t="n">
        <f aca="false">SUMIFS(Report!$U:$U,Report!$T:$T,"MERCADORIAS P/REVENDA",Report!$AA:$AA,"SIM",Report!$C:$C,A105)</f>
        <v>0</v>
      </c>
      <c r="F105" s="15" t="n">
        <f aca="false">B105+C105</f>
        <v>0</v>
      </c>
    </row>
    <row r="106" customFormat="false" ht="12.75" hidden="false" customHeight="true" outlineLevel="0" collapsed="false">
      <c r="A106" s="14" t="n">
        <v>46113</v>
      </c>
      <c r="B106" s="15" t="n">
        <f aca="false">SUMIFS(Report!$U:$U,Report!$T:$T,"&lt;&gt;"&amp;"MERCADORIAS P/REVENDA",Report!$AA:$AA,"SIM",Report!$C:$C,A106)</f>
        <v>0</v>
      </c>
      <c r="C106" s="15" t="n">
        <f aca="false">SUMIFS(Report!$U:$U,Report!$T:$T,"MERCADORIAS P/REVENDA",Report!$AA:$AA,"SIM",Report!$C:$C,A106)</f>
        <v>0</v>
      </c>
      <c r="F106" s="15" t="n">
        <f aca="false">B106+C106</f>
        <v>0</v>
      </c>
    </row>
    <row r="107" customFormat="false" ht="12.75" hidden="false" customHeight="true" outlineLevel="0" collapsed="false">
      <c r="A107" s="14" t="n">
        <v>46114</v>
      </c>
      <c r="B107" s="15" t="n">
        <f aca="false">SUMIFS(Report!$U:$U,Report!$T:$T,"&lt;&gt;"&amp;"MERCADORIAS P/REVENDA",Report!$AA:$AA,"SIM",Report!$C:$C,A107)</f>
        <v>0</v>
      </c>
      <c r="C107" s="15" t="n">
        <f aca="false">SUMIFS(Report!$U:$U,Report!$T:$T,"MERCADORIAS P/REVENDA",Report!$AA:$AA,"SIM",Report!$C:$C,A107)</f>
        <v>0</v>
      </c>
      <c r="F107" s="15" t="n">
        <f aca="false">B107+C107</f>
        <v>0</v>
      </c>
    </row>
    <row r="108" customFormat="false" ht="12.75" hidden="false" customHeight="true" outlineLevel="0" collapsed="false">
      <c r="A108" s="14" t="n">
        <v>46115</v>
      </c>
      <c r="B108" s="15" t="n">
        <f aca="false">SUMIFS(Report!$U:$U,Report!$T:$T,"&lt;&gt;"&amp;"MERCADORIAS P/REVENDA",Report!$AA:$AA,"SIM",Report!$C:$C,A108)</f>
        <v>0</v>
      </c>
      <c r="C108" s="15" t="n">
        <f aca="false">SUMIFS(Report!$U:$U,Report!$T:$T,"MERCADORIAS P/REVENDA",Report!$AA:$AA,"SIM",Report!$C:$C,A108)</f>
        <v>0</v>
      </c>
      <c r="F108" s="15" t="n">
        <f aca="false">B108+C108</f>
        <v>0</v>
      </c>
    </row>
    <row r="109" customFormat="false" ht="12.75" hidden="false" customHeight="true" outlineLevel="0" collapsed="false">
      <c r="A109" s="31" t="n">
        <v>46116</v>
      </c>
      <c r="B109" s="32" t="n">
        <f aca="false">SUMIFS(Report!$U:$U,Report!$T:$T,"&lt;&gt;"&amp;"MERCADORIAS P/REVENDA",Report!$AA:$AA,"SIM",Report!$C:$C,A109)</f>
        <v>0</v>
      </c>
      <c r="C109" s="32" t="n">
        <f aca="false">SUMIFS(Report!$U:$U,Report!$T:$T,"MERCADORIAS P/REVENDA",Report!$AA:$AA,"SIM",Report!$C:$C,A109)</f>
        <v>0</v>
      </c>
      <c r="D109" s="33"/>
      <c r="E109" s="33"/>
      <c r="F109" s="32" t="n">
        <f aca="false">B109+C109</f>
        <v>0</v>
      </c>
    </row>
    <row r="110" customFormat="false" ht="12.75" hidden="false" customHeight="true" outlineLevel="0" collapsed="false">
      <c r="A110" s="31" t="n">
        <v>46117</v>
      </c>
      <c r="B110" s="32" t="n">
        <f aca="false">SUMIFS(Report!$U:$U,Report!$T:$T,"&lt;&gt;"&amp;"MERCADORIAS P/REVENDA",Report!$AA:$AA,"SIM",Report!$C:$C,A110)</f>
        <v>0</v>
      </c>
      <c r="C110" s="32" t="n">
        <f aca="false">SUMIFS(Report!$U:$U,Report!$T:$T,"MERCADORIAS P/REVENDA",Report!$AA:$AA,"SIM",Report!$C:$C,A110)</f>
        <v>0</v>
      </c>
      <c r="D110" s="33"/>
      <c r="E110" s="33"/>
      <c r="F110" s="32" t="n">
        <f aca="false">B110+C110</f>
        <v>0</v>
      </c>
    </row>
    <row r="111" customFormat="false" ht="12.75" hidden="false" customHeight="true" outlineLevel="0" collapsed="false">
      <c r="A111" s="31" t="n">
        <v>46118</v>
      </c>
      <c r="B111" s="32" t="n">
        <f aca="false">SUMIFS(Report!$U:$U,Report!$T:$T,"&lt;&gt;"&amp;"MERCADORIAS P/REVENDA",Report!$AA:$AA,"SIM",Report!$C:$C,A111)</f>
        <v>0</v>
      </c>
      <c r="C111" s="32" t="n">
        <f aca="false">SUMIFS(Report!$U:$U,Report!$T:$T,"MERCADORIAS P/REVENDA",Report!$AA:$AA,"SIM",Report!$C:$C,A111)</f>
        <v>0</v>
      </c>
      <c r="D111" s="33"/>
      <c r="E111" s="33"/>
      <c r="F111" s="32" t="n">
        <f aca="false">B111+C111</f>
        <v>0</v>
      </c>
    </row>
    <row r="112" customFormat="false" ht="12.75" hidden="false" customHeight="true" outlineLevel="0" collapsed="false">
      <c r="A112" s="34" t="s">
        <v>2144</v>
      </c>
      <c r="B112" s="22" t="n">
        <f aca="false">SUM(B105:B111)</f>
        <v>0</v>
      </c>
      <c r="C112" s="22" t="n">
        <f aca="false">SUM(C105:C111)</f>
        <v>0</v>
      </c>
      <c r="D112" s="26"/>
      <c r="E112" s="26"/>
      <c r="F112" s="22" t="n">
        <f aca="false">B112+C112</f>
        <v>0</v>
      </c>
    </row>
    <row r="113" customFormat="false" ht="12.75" hidden="false" customHeight="true" outlineLevel="0" collapsed="false">
      <c r="A113" s="14" t="n">
        <v>46119</v>
      </c>
      <c r="B113" s="15" t="n">
        <f aca="false">SUMIFS(Report!$U:$U,Report!$T:$T,"&lt;&gt;"&amp;"MERCADORIAS P/REVENDA",Report!$AA:$AA,"SIM",Report!$C:$C,A113)</f>
        <v>0</v>
      </c>
      <c r="C113" s="15" t="n">
        <f aca="false">SUMIFS(Report!$U:$U,Report!$T:$T,"MERCADORIAS P/REVENDA",Report!$AA:$AA,"SIM",Report!$C:$C,A113)</f>
        <v>0</v>
      </c>
      <c r="F113" s="15" t="n">
        <f aca="false">B113+C113</f>
        <v>0</v>
      </c>
    </row>
    <row r="114" customFormat="false" ht="12.75" hidden="false" customHeight="true" outlineLevel="0" collapsed="false">
      <c r="A114" s="14" t="n">
        <v>46120</v>
      </c>
      <c r="B114" s="15" t="n">
        <f aca="false">SUMIFS(Report!$U:$U,Report!$T:$T,"&lt;&gt;"&amp;"MERCADORIAS P/REVENDA",Report!$AA:$AA,"SIM",Report!$C:$C,A114)</f>
        <v>0</v>
      </c>
      <c r="C114" s="15" t="n">
        <f aca="false">SUMIFS(Report!$U:$U,Report!$T:$T,"MERCADORIAS P/REVENDA",Report!$AA:$AA,"SIM",Report!$C:$C,A114)</f>
        <v>0</v>
      </c>
      <c r="F114" s="15" t="n">
        <f aca="false">B114+C114</f>
        <v>0</v>
      </c>
    </row>
    <row r="115" customFormat="false" ht="12.75" hidden="false" customHeight="true" outlineLevel="0" collapsed="false">
      <c r="A115" s="14" t="n">
        <v>46121</v>
      </c>
      <c r="B115" s="15" t="n">
        <f aca="false">SUMIFS(Report!$U:$U,Report!$T:$T,"&lt;&gt;"&amp;"MERCADORIAS P/REVENDA",Report!$AA:$AA,"SIM",Report!$C:$C,A115)</f>
        <v>0</v>
      </c>
      <c r="C115" s="15" t="n">
        <f aca="false">SUMIFS(Report!$U:$U,Report!$T:$T,"MERCADORIAS P/REVENDA",Report!$AA:$AA,"SIM",Report!$C:$C,A115)</f>
        <v>0</v>
      </c>
      <c r="F115" s="15" t="n">
        <f aca="false">B115+C115</f>
        <v>0</v>
      </c>
    </row>
    <row r="116" customFormat="false" ht="12.75" hidden="false" customHeight="true" outlineLevel="0" collapsed="false">
      <c r="A116" s="14" t="n">
        <v>46122</v>
      </c>
      <c r="B116" s="15" t="n">
        <f aca="false">SUMIFS(Report!$U:$U,Report!$T:$T,"&lt;&gt;"&amp;"MERCADORIAS P/REVENDA",Report!$AA:$AA,"SIM",Report!$C:$C,A116)</f>
        <v>0</v>
      </c>
      <c r="C116" s="15" t="n">
        <f aca="false">SUMIFS(Report!$U:$U,Report!$T:$T,"MERCADORIAS P/REVENDA",Report!$AA:$AA,"SIM",Report!$C:$C,A116)</f>
        <v>0</v>
      </c>
      <c r="F116" s="15" t="n">
        <f aca="false">B116+C116</f>
        <v>0</v>
      </c>
    </row>
    <row r="117" customFormat="false" ht="12.75" hidden="false" customHeight="true" outlineLevel="0" collapsed="false">
      <c r="A117" s="31" t="n">
        <v>46123</v>
      </c>
      <c r="B117" s="32" t="n">
        <f aca="false">SUMIFS(Report!$U:$U,Report!$T:$T,"&lt;&gt;"&amp;"MERCADORIAS P/REVENDA",Report!$AA:$AA,"SIM",Report!$C:$C,A117)</f>
        <v>0</v>
      </c>
      <c r="C117" s="32" t="n">
        <f aca="false">SUMIFS(Report!$U:$U,Report!$T:$T,"MERCADORIAS P/REVENDA",Report!$AA:$AA,"SIM",Report!$C:$C,A117)</f>
        <v>0</v>
      </c>
      <c r="D117" s="33"/>
      <c r="E117" s="33"/>
      <c r="F117" s="32" t="n">
        <f aca="false">B117+C117</f>
        <v>0</v>
      </c>
    </row>
    <row r="118" customFormat="false" ht="12.75" hidden="false" customHeight="true" outlineLevel="0" collapsed="false">
      <c r="A118" s="31" t="n">
        <v>46124</v>
      </c>
      <c r="B118" s="32" t="n">
        <f aca="false">SUMIFS(Report!$U:$U,Report!$T:$T,"&lt;&gt;"&amp;"MERCADORIAS P/REVENDA",Report!$AA:$AA,"SIM",Report!$C:$C,A118)</f>
        <v>0</v>
      </c>
      <c r="C118" s="32" t="n">
        <f aca="false">SUMIFS(Report!$U:$U,Report!$T:$T,"MERCADORIAS P/REVENDA",Report!$AA:$AA,"SIM",Report!$C:$C,A118)</f>
        <v>0</v>
      </c>
      <c r="D118" s="33"/>
      <c r="E118" s="33"/>
      <c r="F118" s="32" t="n">
        <f aca="false">B118+C118</f>
        <v>0</v>
      </c>
    </row>
    <row r="119" customFormat="false" ht="12.75" hidden="false" customHeight="true" outlineLevel="0" collapsed="false">
      <c r="A119" s="31" t="n">
        <v>46125</v>
      </c>
      <c r="B119" s="32" t="n">
        <f aca="false">SUMIFS(Report!$U:$U,Report!$T:$T,"&lt;&gt;"&amp;"MERCADORIAS P/REVENDA",Report!$AA:$AA,"SIM",Report!$C:$C,A119)</f>
        <v>0</v>
      </c>
      <c r="C119" s="32" t="n">
        <f aca="false">SUMIFS(Report!$U:$U,Report!$T:$T,"MERCADORIAS P/REVENDA",Report!$AA:$AA,"SIM",Report!$C:$C,A119)</f>
        <v>0</v>
      </c>
      <c r="D119" s="33"/>
      <c r="E119" s="33"/>
      <c r="F119" s="32" t="n">
        <f aca="false">B119+C119</f>
        <v>0</v>
      </c>
    </row>
    <row r="120" customFormat="false" ht="12.75" hidden="false" customHeight="true" outlineLevel="0" collapsed="false">
      <c r="A120" s="34" t="s">
        <v>2145</v>
      </c>
      <c r="B120" s="22" t="n">
        <f aca="false">SUM(B113:B119)</f>
        <v>0</v>
      </c>
      <c r="C120" s="22" t="n">
        <f aca="false">SUM(C113:C119)</f>
        <v>0</v>
      </c>
      <c r="D120" s="26"/>
      <c r="E120" s="26"/>
      <c r="F120" s="22" t="n">
        <f aca="false">B120+C120</f>
        <v>0</v>
      </c>
    </row>
    <row r="121" customFormat="false" ht="12.75" hidden="false" customHeight="true" outlineLevel="0" collapsed="false">
      <c r="A121" s="14" t="n">
        <v>46126</v>
      </c>
      <c r="B121" s="15" t="n">
        <f aca="false">SUMIFS(Report!$U:$U,Report!$T:$T,"&lt;&gt;"&amp;"MERCADORIAS P/REVENDA",Report!$AA:$AA,"SIM",Report!$C:$C,A121)</f>
        <v>0</v>
      </c>
      <c r="C121" s="15" t="n">
        <f aca="false">SUMIFS(Report!$U:$U,Report!$T:$T,"MERCADORIAS P/REVENDA",Report!$AA:$AA,"SIM",Report!$C:$C,A121)</f>
        <v>0</v>
      </c>
      <c r="F121" s="15" t="n">
        <f aca="false">B121+C121</f>
        <v>0</v>
      </c>
    </row>
    <row r="122" customFormat="false" ht="12.75" hidden="false" customHeight="true" outlineLevel="0" collapsed="false">
      <c r="A122" s="14" t="n">
        <v>46127</v>
      </c>
      <c r="B122" s="15" t="n">
        <f aca="false">SUMIFS(Report!$U:$U,Report!$T:$T,"&lt;&gt;"&amp;"MERCADORIAS P/REVENDA",Report!$AA:$AA,"SIM",Report!$C:$C,A122)</f>
        <v>0</v>
      </c>
      <c r="C122" s="15" t="n">
        <f aca="false">SUMIFS(Report!$U:$U,Report!$T:$T,"MERCADORIAS P/REVENDA",Report!$AA:$AA,"SIM",Report!$C:$C,A122)</f>
        <v>0</v>
      </c>
      <c r="F122" s="15" t="n">
        <f aca="false">B122+C122</f>
        <v>0</v>
      </c>
    </row>
    <row r="123" customFormat="false" ht="12.75" hidden="false" customHeight="true" outlineLevel="0" collapsed="false">
      <c r="A123" s="14" t="n">
        <v>46128</v>
      </c>
      <c r="B123" s="15" t="n">
        <f aca="false">SUMIFS(Report!$U:$U,Report!$T:$T,"&lt;&gt;"&amp;"MERCADORIAS P/REVENDA",Report!$AA:$AA,"SIM",Report!$C:$C,A123)</f>
        <v>0</v>
      </c>
      <c r="C123" s="15" t="n">
        <f aca="false">SUMIFS(Report!$U:$U,Report!$T:$T,"MERCADORIAS P/REVENDA",Report!$AA:$AA,"SIM",Report!$C:$C,A123)</f>
        <v>0</v>
      </c>
      <c r="F123" s="15" t="n">
        <f aca="false">B123+C123</f>
        <v>0</v>
      </c>
    </row>
    <row r="124" customFormat="false" ht="12.75" hidden="false" customHeight="true" outlineLevel="0" collapsed="false">
      <c r="A124" s="14" t="n">
        <v>46129</v>
      </c>
      <c r="B124" s="15" t="n">
        <f aca="false">SUMIFS(Report!$U:$U,Report!$T:$T,"&lt;&gt;"&amp;"MERCADORIAS P/REVENDA",Report!$AA:$AA,"SIM",Report!$C:$C,A124)</f>
        <v>0</v>
      </c>
      <c r="C124" s="15" t="n">
        <f aca="false">SUMIFS(Report!$U:$U,Report!$T:$T,"MERCADORIAS P/REVENDA",Report!$AA:$AA,"SIM",Report!$C:$C,A124)</f>
        <v>0</v>
      </c>
      <c r="F124" s="15" t="n">
        <f aca="false">B124+C124</f>
        <v>0</v>
      </c>
    </row>
    <row r="125" customFormat="false" ht="12.75" hidden="false" customHeight="true" outlineLevel="0" collapsed="false">
      <c r="A125" s="31" t="n">
        <v>46130</v>
      </c>
      <c r="B125" s="32" t="n">
        <f aca="false">SUMIFS(Report!$U:$U,Report!$T:$T,"&lt;&gt;"&amp;"MERCADORIAS P/REVENDA",Report!$AA:$AA,"SIM",Report!$C:$C,A125)</f>
        <v>0</v>
      </c>
      <c r="C125" s="32" t="n">
        <f aca="false">SUMIFS(Report!$U:$U,Report!$T:$T,"MERCADORIAS P/REVENDA",Report!$AA:$AA,"SIM",Report!$C:$C,A125)</f>
        <v>0</v>
      </c>
      <c r="D125" s="33"/>
      <c r="E125" s="33"/>
      <c r="F125" s="32" t="n">
        <f aca="false">B125+C125</f>
        <v>0</v>
      </c>
    </row>
    <row r="126" customFormat="false" ht="12.75" hidden="false" customHeight="true" outlineLevel="0" collapsed="false">
      <c r="A126" s="31" t="n">
        <v>46131</v>
      </c>
      <c r="B126" s="32" t="n">
        <f aca="false">SUMIFS(Report!$U:$U,Report!$T:$T,"&lt;&gt;"&amp;"MERCADORIAS P/REVENDA",Report!$AA:$AA,"SIM",Report!$C:$C,A126)</f>
        <v>0</v>
      </c>
      <c r="C126" s="32" t="n">
        <f aca="false">SUMIFS(Report!$U:$U,Report!$T:$T,"MERCADORIAS P/REVENDA",Report!$AA:$AA,"SIM",Report!$C:$C,A126)</f>
        <v>0</v>
      </c>
      <c r="D126" s="33"/>
      <c r="E126" s="33"/>
      <c r="F126" s="32" t="n">
        <f aca="false">B126+C126</f>
        <v>0</v>
      </c>
    </row>
    <row r="127" customFormat="false" ht="12.75" hidden="false" customHeight="true" outlineLevel="0" collapsed="false">
      <c r="A127" s="31" t="n">
        <v>46132</v>
      </c>
      <c r="B127" s="32" t="n">
        <f aca="false">SUMIFS(Report!$U:$U,Report!$T:$T,"&lt;&gt;"&amp;"MERCADORIAS P/REVENDA",Report!$AA:$AA,"SIM",Report!$C:$C,A127)</f>
        <v>0</v>
      </c>
      <c r="C127" s="32" t="n">
        <f aca="false">SUMIFS(Report!$U:$U,Report!$T:$T,"MERCADORIAS P/REVENDA",Report!$AA:$AA,"SIM",Report!$C:$C,A127)</f>
        <v>0</v>
      </c>
      <c r="D127" s="33"/>
      <c r="E127" s="33"/>
      <c r="F127" s="32" t="n">
        <f aca="false">B127+C127</f>
        <v>0</v>
      </c>
    </row>
    <row r="128" customFormat="false" ht="12.75" hidden="false" customHeight="true" outlineLevel="0" collapsed="false">
      <c r="A128" s="34" t="s">
        <v>2146</v>
      </c>
      <c r="B128" s="22" t="n">
        <f aca="false">SUM(B121:B127)</f>
        <v>0</v>
      </c>
      <c r="C128" s="22" t="n">
        <f aca="false">SUM(C121:C127)</f>
        <v>0</v>
      </c>
      <c r="D128" s="26"/>
      <c r="E128" s="26"/>
      <c r="F128" s="22" t="n">
        <f aca="false">B128+C128</f>
        <v>0</v>
      </c>
    </row>
    <row r="129" customFormat="false" ht="12.75" hidden="false" customHeight="true" outlineLevel="0" collapsed="false">
      <c r="A129" s="14" t="n">
        <v>46133</v>
      </c>
      <c r="B129" s="15" t="n">
        <f aca="false">SUMIFS(Report!$U:$U,Report!$T:$T,"&lt;&gt;"&amp;"MERCADORIAS P/REVENDA",Report!$AA:$AA,"SIM",Report!$C:$C,A129)</f>
        <v>0</v>
      </c>
      <c r="C129" s="15" t="n">
        <f aca="false">SUMIFS(Report!$U:$U,Report!$T:$T,"MERCADORIAS P/REVENDA",Report!$AA:$AA,"SIM",Report!$C:$C,A129)</f>
        <v>0</v>
      </c>
      <c r="F129" s="15" t="n">
        <f aca="false">B129+C129</f>
        <v>0</v>
      </c>
    </row>
    <row r="130" customFormat="false" ht="12.75" hidden="false" customHeight="true" outlineLevel="0" collapsed="false">
      <c r="A130" s="14" t="n">
        <v>46134</v>
      </c>
      <c r="B130" s="15" t="n">
        <f aca="false">SUMIFS(Report!$U:$U,Report!$T:$T,"&lt;&gt;"&amp;"MERCADORIAS P/REVENDA",Report!$AA:$AA,"SIM",Report!$C:$C,A130)</f>
        <v>0</v>
      </c>
      <c r="C130" s="15" t="n">
        <f aca="false">SUMIFS(Report!$U:$U,Report!$T:$T,"MERCADORIAS P/REVENDA",Report!$AA:$AA,"SIM",Report!$C:$C,A130)</f>
        <v>0</v>
      </c>
      <c r="F130" s="15" t="n">
        <f aca="false">B130+C130</f>
        <v>0</v>
      </c>
    </row>
    <row r="131" customFormat="false" ht="12.75" hidden="false" customHeight="true" outlineLevel="0" collapsed="false">
      <c r="A131" s="14" t="n">
        <v>46135</v>
      </c>
      <c r="B131" s="15" t="n">
        <f aca="false">SUMIFS(Report!$U:$U,Report!$T:$T,"&lt;&gt;"&amp;"MERCADORIAS P/REVENDA",Report!$AA:$AA,"SIM",Report!$C:$C,A131)</f>
        <v>0</v>
      </c>
      <c r="C131" s="15" t="n">
        <f aca="false">SUMIFS(Report!$U:$U,Report!$T:$T,"MERCADORIAS P/REVENDA",Report!$AA:$AA,"SIM",Report!$C:$C,A131)</f>
        <v>0</v>
      </c>
      <c r="F131" s="15" t="n">
        <f aca="false">B131+C131</f>
        <v>0</v>
      </c>
    </row>
    <row r="132" customFormat="false" ht="12.75" hidden="false" customHeight="true" outlineLevel="0" collapsed="false">
      <c r="A132" s="14" t="n">
        <v>46136</v>
      </c>
      <c r="B132" s="15" t="n">
        <f aca="false">SUMIFS(Report!$U:$U,Report!$T:$T,"&lt;&gt;"&amp;"MERCADORIAS P/REVENDA",Report!$AA:$AA,"SIM",Report!$C:$C,A132)</f>
        <v>0</v>
      </c>
      <c r="C132" s="15" t="n">
        <f aca="false">SUMIFS(Report!$U:$U,Report!$T:$T,"MERCADORIAS P/REVENDA",Report!$AA:$AA,"SIM",Report!$C:$C,A132)</f>
        <v>0</v>
      </c>
      <c r="F132" s="15" t="n">
        <f aca="false">B132+C132</f>
        <v>0</v>
      </c>
    </row>
    <row r="133" customFormat="false" ht="12.75" hidden="false" customHeight="true" outlineLevel="0" collapsed="false">
      <c r="A133" s="31" t="n">
        <v>46137</v>
      </c>
      <c r="B133" s="32" t="n">
        <f aca="false">SUMIFS(Report!$U:$U,Report!$T:$T,"&lt;&gt;"&amp;"MERCADORIAS P/REVENDA",Report!$AA:$AA,"SIM",Report!$C:$C,A133)</f>
        <v>0</v>
      </c>
      <c r="C133" s="32" t="n">
        <f aca="false">SUMIFS(Report!$U:$U,Report!$T:$T,"MERCADORIAS P/REVENDA",Report!$AA:$AA,"SIM",Report!$C:$C,A133)</f>
        <v>0</v>
      </c>
      <c r="D133" s="33"/>
      <c r="E133" s="33"/>
      <c r="F133" s="32" t="n">
        <f aca="false">B133+C133</f>
        <v>0</v>
      </c>
    </row>
    <row r="134" customFormat="false" ht="12.75" hidden="false" customHeight="true" outlineLevel="0" collapsed="false">
      <c r="A134" s="31" t="n">
        <v>46138</v>
      </c>
      <c r="B134" s="32" t="n">
        <f aca="false">SUMIFS(Report!$U:$U,Report!$T:$T,"&lt;&gt;"&amp;"MERCADORIAS P/REVENDA",Report!$AA:$AA,"SIM",Report!$C:$C,A134)</f>
        <v>0</v>
      </c>
      <c r="C134" s="32" t="n">
        <f aca="false">SUMIFS(Report!$U:$U,Report!$T:$T,"MERCADORIAS P/REVENDA",Report!$AA:$AA,"SIM",Report!$C:$C,A134)</f>
        <v>0</v>
      </c>
      <c r="D134" s="33"/>
      <c r="E134" s="33"/>
      <c r="F134" s="32" t="n">
        <f aca="false">B134+C134</f>
        <v>0</v>
      </c>
    </row>
    <row r="135" customFormat="false" ht="12.75" hidden="false" customHeight="true" outlineLevel="0" collapsed="false">
      <c r="A135" s="31" t="n">
        <v>46139</v>
      </c>
      <c r="B135" s="32" t="n">
        <f aca="false">SUMIFS(Report!$U:$U,Report!$T:$T,"&lt;&gt;"&amp;"MERCADORIAS P/REVENDA",Report!$AA:$AA,"SIM",Report!$C:$C,A135)</f>
        <v>0</v>
      </c>
      <c r="C135" s="32" t="n">
        <f aca="false">SUMIFS(Report!$U:$U,Report!$T:$T,"MERCADORIAS P/REVENDA",Report!$AA:$AA,"SIM",Report!$C:$C,A135)</f>
        <v>0</v>
      </c>
      <c r="D135" s="33"/>
      <c r="E135" s="33"/>
      <c r="F135" s="32" t="n">
        <f aca="false">B135+C135</f>
        <v>0</v>
      </c>
    </row>
    <row r="136" customFormat="false" ht="12.75" hidden="false" customHeight="true" outlineLevel="0" collapsed="false">
      <c r="A136" s="34" t="s">
        <v>2147</v>
      </c>
      <c r="B136" s="22" t="n">
        <f aca="false">SUM(B129:B135)</f>
        <v>0</v>
      </c>
      <c r="C136" s="22" t="n">
        <f aca="false">SUM(C129:C135)</f>
        <v>0</v>
      </c>
      <c r="D136" s="26"/>
      <c r="E136" s="26"/>
      <c r="F136" s="22" t="n">
        <f aca="false">B136+C136</f>
        <v>0</v>
      </c>
    </row>
    <row r="137" customFormat="false" ht="12.75" hidden="false" customHeight="true" outlineLevel="0" collapsed="false">
      <c r="A137" s="14" t="n">
        <v>46140</v>
      </c>
      <c r="B137" s="15" t="n">
        <f aca="false">SUMIFS(Report!$U:$U,Report!$T:$T,"&lt;&gt;"&amp;"MERCADORIAS P/REVENDA",Report!$AA:$AA,"SIM",Report!$C:$C,A137)</f>
        <v>0</v>
      </c>
      <c r="C137" s="15" t="n">
        <f aca="false">SUMIFS(Report!$U:$U,Report!$T:$T,"MERCADORIAS P/REVENDA",Report!$AA:$AA,"SIM",Report!$C:$C,A137)</f>
        <v>0</v>
      </c>
      <c r="F137" s="15" t="n">
        <f aca="false">B137+C137</f>
        <v>0</v>
      </c>
    </row>
    <row r="138" customFormat="false" ht="12.75" hidden="false" customHeight="true" outlineLevel="0" collapsed="false">
      <c r="A138" s="14" t="n">
        <v>46141</v>
      </c>
      <c r="B138" s="15" t="n">
        <f aca="false">SUMIFS(Report!$U:$U,Report!$T:$T,"&lt;&gt;"&amp;"MERCADORIAS P/REVENDA",Report!$AA:$AA,"SIM",Report!$C:$C,A138)</f>
        <v>0</v>
      </c>
      <c r="C138" s="15" t="n">
        <f aca="false">SUMIFS(Report!$U:$U,Report!$T:$T,"MERCADORIAS P/REVENDA",Report!$AA:$AA,"SIM",Report!$C:$C,A138)</f>
        <v>0</v>
      </c>
      <c r="F138" s="15" t="n">
        <f aca="false">B138+C138</f>
        <v>0</v>
      </c>
    </row>
    <row r="139" customFormat="false" ht="12.75" hidden="false" customHeight="true" outlineLevel="0" collapsed="false">
      <c r="A139" s="14" t="n">
        <v>46142</v>
      </c>
      <c r="B139" s="15" t="n">
        <f aca="false">SUMIFS(Report!$U:$U,Report!$T:$T,"&lt;&gt;"&amp;"MERCADORIAS P/REVENDA",Report!$AA:$AA,"SIM",Report!$C:$C,A139)</f>
        <v>0</v>
      </c>
      <c r="C139" s="15" t="n">
        <f aca="false">SUMIFS(Report!$U:$U,Report!$T:$T,"MERCADORIAS P/REVENDA",Report!$AA:$AA,"SIM",Report!$C:$C,A139)</f>
        <v>0</v>
      </c>
      <c r="F139" s="15" t="n">
        <f aca="false">B139+C139</f>
        <v>0</v>
      </c>
    </row>
    <row r="140" customFormat="false" ht="12.75" hidden="false" customHeight="true" outlineLevel="0" collapsed="false">
      <c r="A140" s="14" t="n">
        <v>46143</v>
      </c>
      <c r="B140" s="15" t="n">
        <f aca="false">SUMIFS(Report!$U:$U,Report!$T:$T,"&lt;&gt;"&amp;"MERCADORIAS P/REVENDA",Report!$AA:$AA,"SIM",Report!$C:$C,A140)</f>
        <v>0</v>
      </c>
      <c r="C140" s="15" t="n">
        <f aca="false">SUMIFS(Report!$U:$U,Report!$T:$T,"MERCADORIAS P/REVENDA",Report!$AA:$AA,"SIM",Report!$C:$C,A140)</f>
        <v>0</v>
      </c>
      <c r="F140" s="15" t="n">
        <f aca="false">B140+C140</f>
        <v>0</v>
      </c>
    </row>
    <row r="141" customFormat="false" ht="12.75" hidden="false" customHeight="true" outlineLevel="0" collapsed="false">
      <c r="A141" s="31" t="n">
        <v>46144</v>
      </c>
      <c r="B141" s="32" t="n">
        <f aca="false">SUMIFS(Report!$U:$U,Report!$T:$T,"&lt;&gt;"&amp;"MERCADORIAS P/REVENDA",Report!$AA:$AA,"SIM",Report!$C:$C,A141)</f>
        <v>0</v>
      </c>
      <c r="C141" s="32" t="n">
        <f aca="false">SUMIFS(Report!$U:$U,Report!$T:$T,"MERCADORIAS P/REVENDA",Report!$AA:$AA,"SIM",Report!$C:$C,A141)</f>
        <v>0</v>
      </c>
      <c r="D141" s="33"/>
      <c r="E141" s="33"/>
      <c r="F141" s="32" t="n">
        <f aca="false">B141+C141</f>
        <v>0</v>
      </c>
    </row>
    <row r="142" customFormat="false" ht="12.75" hidden="false" customHeight="true" outlineLevel="0" collapsed="false">
      <c r="A142" s="31" t="n">
        <v>46145</v>
      </c>
      <c r="B142" s="32" t="n">
        <f aca="false">SUMIFS(Report!$U:$U,Report!$T:$T,"&lt;&gt;"&amp;"MERCADORIAS P/REVENDA",Report!$AA:$AA,"SIM",Report!$C:$C,A142)</f>
        <v>0</v>
      </c>
      <c r="C142" s="32" t="n">
        <f aca="false">SUMIFS(Report!$U:$U,Report!$T:$T,"MERCADORIAS P/REVENDA",Report!$AA:$AA,"SIM",Report!$C:$C,A142)</f>
        <v>0</v>
      </c>
      <c r="D142" s="33"/>
      <c r="E142" s="33"/>
      <c r="F142" s="32" t="n">
        <f aca="false">B142+C142</f>
        <v>0</v>
      </c>
    </row>
    <row r="143" customFormat="false" ht="12.75" hidden="false" customHeight="true" outlineLevel="0" collapsed="false">
      <c r="A143" s="31" t="n">
        <v>46146</v>
      </c>
      <c r="B143" s="32" t="n">
        <f aca="false">SUMIFS(Report!$U:$U,Report!$T:$T,"&lt;&gt;"&amp;"MERCADORIAS P/REVENDA",Report!$AA:$AA,"SIM",Report!$C:$C,A143)</f>
        <v>0</v>
      </c>
      <c r="C143" s="32" t="n">
        <f aca="false">SUMIFS(Report!$U:$U,Report!$T:$T,"MERCADORIAS P/REVENDA",Report!$AA:$AA,"SIM",Report!$C:$C,A143)</f>
        <v>0</v>
      </c>
      <c r="D143" s="33"/>
      <c r="E143" s="33"/>
      <c r="F143" s="32" t="n">
        <f aca="false">B143+C143</f>
        <v>0</v>
      </c>
    </row>
    <row r="144" customFormat="false" ht="12.75" hidden="false" customHeight="true" outlineLevel="0" collapsed="false">
      <c r="A144" s="34" t="s">
        <v>2148</v>
      </c>
      <c r="B144" s="22" t="n">
        <f aca="false">SUM(B137:B143)</f>
        <v>0</v>
      </c>
      <c r="C144" s="22" t="n">
        <f aca="false">SUM(C137:C143)</f>
        <v>0</v>
      </c>
      <c r="D144" s="26"/>
      <c r="E144" s="26"/>
      <c r="F144" s="22" t="n">
        <f aca="false">B144+C144</f>
        <v>0</v>
      </c>
    </row>
    <row r="145" customFormat="false" ht="12.75" hidden="false" customHeight="true" outlineLevel="0" collapsed="false">
      <c r="A145" s="14" t="n">
        <v>46147</v>
      </c>
      <c r="B145" s="15" t="n">
        <f aca="false">SUMIFS(Report!$U:$U,Report!$T:$T,"&lt;&gt;"&amp;"MERCADORIAS P/REVENDA",Report!$AA:$AA,"SIM",Report!$C:$C,A145)</f>
        <v>0</v>
      </c>
      <c r="C145" s="15" t="n">
        <f aca="false">SUMIFS(Report!$U:$U,Report!$T:$T,"MERCADORIAS P/REVENDA",Report!$AA:$AA,"SIM",Report!$C:$C,A145)</f>
        <v>0</v>
      </c>
      <c r="F145" s="15" t="n">
        <f aca="false">B145+C145</f>
        <v>0</v>
      </c>
    </row>
    <row r="146" customFormat="false" ht="12.75" hidden="false" customHeight="true" outlineLevel="0" collapsed="false">
      <c r="A146" s="14" t="n">
        <v>46148</v>
      </c>
      <c r="B146" s="15" t="n">
        <f aca="false">SUMIFS(Report!$U:$U,Report!$T:$T,"&lt;&gt;"&amp;"MERCADORIAS P/REVENDA",Report!$AA:$AA,"SIM",Report!$C:$C,A146)</f>
        <v>0</v>
      </c>
      <c r="C146" s="15" t="n">
        <f aca="false">SUMIFS(Report!$U:$U,Report!$T:$T,"MERCADORIAS P/REVENDA",Report!$AA:$AA,"SIM",Report!$C:$C,A146)</f>
        <v>0</v>
      </c>
      <c r="F146" s="15" t="n">
        <f aca="false">B146+C146</f>
        <v>0</v>
      </c>
    </row>
    <row r="147" customFormat="false" ht="12.75" hidden="false" customHeight="true" outlineLevel="0" collapsed="false">
      <c r="A147" s="14" t="n">
        <v>46149</v>
      </c>
      <c r="B147" s="15" t="n">
        <f aca="false">SUMIFS(Report!$U:$U,Report!$T:$T,"&lt;&gt;"&amp;"MERCADORIAS P/REVENDA",Report!$AA:$AA,"SIM",Report!$C:$C,A147)</f>
        <v>0</v>
      </c>
      <c r="C147" s="15" t="n">
        <f aca="false">SUMIFS(Report!$U:$U,Report!$T:$T,"MERCADORIAS P/REVENDA",Report!$AA:$AA,"SIM",Report!$C:$C,A147)</f>
        <v>0</v>
      </c>
      <c r="F147" s="15" t="n">
        <f aca="false">B147+C147</f>
        <v>0</v>
      </c>
    </row>
    <row r="148" customFormat="false" ht="12.75" hidden="false" customHeight="true" outlineLevel="0" collapsed="false">
      <c r="A148" s="14" t="n">
        <v>46150</v>
      </c>
      <c r="B148" s="15" t="n">
        <f aca="false">SUMIFS(Report!$U:$U,Report!$T:$T,"&lt;&gt;"&amp;"MERCADORIAS P/REVENDA",Report!$AA:$AA,"SIM",Report!$C:$C,A148)</f>
        <v>0</v>
      </c>
      <c r="C148" s="15" t="n">
        <f aca="false">SUMIFS(Report!$U:$U,Report!$T:$T,"MERCADORIAS P/REVENDA",Report!$AA:$AA,"SIM",Report!$C:$C,A148)</f>
        <v>0</v>
      </c>
      <c r="F148" s="15" t="n">
        <f aca="false">B148+C148</f>
        <v>0</v>
      </c>
    </row>
    <row r="149" customFormat="false" ht="12.75" hidden="false" customHeight="true" outlineLevel="0" collapsed="false">
      <c r="A149" s="31" t="n">
        <v>46151</v>
      </c>
      <c r="B149" s="32" t="n">
        <f aca="false">SUMIFS(Report!$U:$U,Report!$T:$T,"&lt;&gt;"&amp;"MERCADORIAS P/REVENDA",Report!$AA:$AA,"SIM",Report!$C:$C,A149)</f>
        <v>0</v>
      </c>
      <c r="C149" s="32" t="n">
        <f aca="false">SUMIFS(Report!$U:$U,Report!$T:$T,"MERCADORIAS P/REVENDA",Report!$AA:$AA,"SIM",Report!$C:$C,A149)</f>
        <v>0</v>
      </c>
      <c r="D149" s="33"/>
      <c r="E149" s="33"/>
      <c r="F149" s="32" t="n">
        <f aca="false">B149+C149</f>
        <v>0</v>
      </c>
    </row>
    <row r="150" customFormat="false" ht="12.75" hidden="false" customHeight="true" outlineLevel="0" collapsed="false">
      <c r="A150" s="31" t="n">
        <v>46152</v>
      </c>
      <c r="B150" s="32" t="n">
        <f aca="false">SUMIFS(Report!$U:$U,Report!$T:$T,"&lt;&gt;"&amp;"MERCADORIAS P/REVENDA",Report!$AA:$AA,"SIM",Report!$C:$C,A150)</f>
        <v>0</v>
      </c>
      <c r="C150" s="32" t="n">
        <f aca="false">SUMIFS(Report!$U:$U,Report!$T:$T,"MERCADORIAS P/REVENDA",Report!$AA:$AA,"SIM",Report!$C:$C,A150)</f>
        <v>0</v>
      </c>
      <c r="D150" s="33"/>
      <c r="E150" s="33"/>
      <c r="F150" s="32" t="n">
        <f aca="false">B150+C150</f>
        <v>0</v>
      </c>
    </row>
    <row r="151" customFormat="false" ht="12.75" hidden="false" customHeight="true" outlineLevel="0" collapsed="false">
      <c r="A151" s="31" t="n">
        <v>46153</v>
      </c>
      <c r="B151" s="32" t="n">
        <f aca="false">SUMIFS(Report!$U:$U,Report!$T:$T,"&lt;&gt;"&amp;"MERCADORIAS P/REVENDA",Report!$AA:$AA,"SIM",Report!$C:$C,A151)</f>
        <v>0</v>
      </c>
      <c r="C151" s="32" t="n">
        <f aca="false">SUMIFS(Report!$U:$U,Report!$T:$T,"MERCADORIAS P/REVENDA",Report!$AA:$AA,"SIM",Report!$C:$C,A151)</f>
        <v>0</v>
      </c>
      <c r="D151" s="33"/>
      <c r="E151" s="33"/>
      <c r="F151" s="32" t="n">
        <f aca="false">B151+C151</f>
        <v>0</v>
      </c>
    </row>
    <row r="152" customFormat="false" ht="12.75" hidden="false" customHeight="true" outlineLevel="0" collapsed="false">
      <c r="A152" s="34" t="s">
        <v>2149</v>
      </c>
      <c r="B152" s="22" t="n">
        <f aca="false">SUM(B145:B151)</f>
        <v>0</v>
      </c>
      <c r="C152" s="22" t="n">
        <f aca="false">SUM(C145:C151)</f>
        <v>0</v>
      </c>
      <c r="D152" s="26"/>
      <c r="E152" s="26"/>
      <c r="F152" s="22" t="n">
        <f aca="false">B152+C152</f>
        <v>0</v>
      </c>
    </row>
    <row r="153" customFormat="false" ht="12.75" hidden="false" customHeight="true" outlineLevel="0" collapsed="false">
      <c r="A153" s="14" t="n">
        <v>46154</v>
      </c>
      <c r="B153" s="15" t="n">
        <f aca="false">SUMIFS(Report!$U:$U,Report!$T:$T,"&lt;&gt;"&amp;"MERCADORIAS P/REVENDA",Report!$AA:$AA,"SIM",Report!$C:$C,A153)</f>
        <v>0</v>
      </c>
      <c r="C153" s="15" t="n">
        <f aca="false">SUMIFS(Report!$U:$U,Report!$T:$T,"MERCADORIAS P/REVENDA",Report!$AA:$AA,"SIM",Report!$C:$C,A153)</f>
        <v>0</v>
      </c>
      <c r="F153" s="15" t="n">
        <f aca="false">B153+C153</f>
        <v>0</v>
      </c>
    </row>
    <row r="154" customFormat="false" ht="12.75" hidden="false" customHeight="true" outlineLevel="0" collapsed="false">
      <c r="A154" s="14" t="n">
        <v>46155</v>
      </c>
      <c r="B154" s="15" t="n">
        <f aca="false">SUMIFS(Report!$U:$U,Report!$T:$T,"&lt;&gt;"&amp;"MERCADORIAS P/REVENDA",Report!$AA:$AA,"SIM",Report!$C:$C,A154)</f>
        <v>0</v>
      </c>
      <c r="C154" s="15" t="n">
        <f aca="false">SUMIFS(Report!$U:$U,Report!$T:$T,"MERCADORIAS P/REVENDA",Report!$AA:$AA,"SIM",Report!$C:$C,A154)</f>
        <v>0</v>
      </c>
      <c r="F154" s="15" t="n">
        <f aca="false">B154+C154</f>
        <v>0</v>
      </c>
    </row>
    <row r="155" customFormat="false" ht="12.75" hidden="false" customHeight="true" outlineLevel="0" collapsed="false">
      <c r="A155" s="14" t="n">
        <v>46156</v>
      </c>
      <c r="B155" s="15" t="n">
        <f aca="false">SUMIFS(Report!$U:$U,Report!$T:$T,"&lt;&gt;"&amp;"MERCADORIAS P/REVENDA",Report!$AA:$AA,"SIM",Report!$C:$C,A155)</f>
        <v>0</v>
      </c>
      <c r="C155" s="15" t="n">
        <f aca="false">SUMIFS(Report!$U:$U,Report!$T:$T,"MERCADORIAS P/REVENDA",Report!$AA:$AA,"SIM",Report!$C:$C,A155)</f>
        <v>0</v>
      </c>
      <c r="F155" s="15" t="n">
        <f aca="false">B155+C155</f>
        <v>0</v>
      </c>
    </row>
    <row r="156" customFormat="false" ht="12.75" hidden="false" customHeight="true" outlineLevel="0" collapsed="false">
      <c r="A156" s="14" t="n">
        <v>46157</v>
      </c>
      <c r="B156" s="15" t="n">
        <f aca="false">SUMIFS(Report!$U:$U,Report!$T:$T,"&lt;&gt;"&amp;"MERCADORIAS P/REVENDA",Report!$AA:$AA,"SIM",Report!$C:$C,A156)</f>
        <v>0</v>
      </c>
      <c r="C156" s="15" t="n">
        <f aca="false">SUMIFS(Report!$U:$U,Report!$T:$T,"MERCADORIAS P/REVENDA",Report!$AA:$AA,"SIM",Report!$C:$C,A156)</f>
        <v>0</v>
      </c>
      <c r="F156" s="15" t="n">
        <f aca="false">B156+C156</f>
        <v>0</v>
      </c>
    </row>
    <row r="157" customFormat="false" ht="12.75" hidden="false" customHeight="true" outlineLevel="0" collapsed="false">
      <c r="A157" s="31" t="n">
        <v>46158</v>
      </c>
      <c r="B157" s="32" t="n">
        <f aca="false">SUMIFS(Report!$U:$U,Report!$T:$T,"&lt;&gt;"&amp;"MERCADORIAS P/REVENDA",Report!$AA:$AA,"SIM",Report!$C:$C,A157)</f>
        <v>0</v>
      </c>
      <c r="C157" s="32" t="n">
        <f aca="false">SUMIFS(Report!$U:$U,Report!$T:$T,"MERCADORIAS P/REVENDA",Report!$AA:$AA,"SIM",Report!$C:$C,A157)</f>
        <v>0</v>
      </c>
      <c r="D157" s="33"/>
      <c r="E157" s="33"/>
      <c r="F157" s="32" t="n">
        <f aca="false">B157+C157</f>
        <v>0</v>
      </c>
    </row>
    <row r="158" customFormat="false" ht="12.75" hidden="false" customHeight="true" outlineLevel="0" collapsed="false">
      <c r="A158" s="31" t="n">
        <v>46159</v>
      </c>
      <c r="B158" s="32" t="n">
        <f aca="false">SUMIFS(Report!$U:$U,Report!$T:$T,"&lt;&gt;"&amp;"MERCADORIAS P/REVENDA",Report!$AA:$AA,"SIM",Report!$C:$C,A158)</f>
        <v>0</v>
      </c>
      <c r="C158" s="32" t="n">
        <f aca="false">SUMIFS(Report!$U:$U,Report!$T:$T,"MERCADORIAS P/REVENDA",Report!$AA:$AA,"SIM",Report!$C:$C,A158)</f>
        <v>0</v>
      </c>
      <c r="D158" s="33"/>
      <c r="E158" s="33"/>
      <c r="F158" s="32" t="n">
        <f aca="false">B158+C158</f>
        <v>0</v>
      </c>
    </row>
    <row r="159" customFormat="false" ht="12.75" hidden="false" customHeight="true" outlineLevel="0" collapsed="false">
      <c r="A159" s="31" t="n">
        <v>46160</v>
      </c>
      <c r="B159" s="32" t="n">
        <f aca="false">SUMIFS(Report!$U:$U,Report!$T:$T,"&lt;&gt;"&amp;"MERCADORIAS P/REVENDA",Report!$AA:$AA,"SIM",Report!$C:$C,A159)</f>
        <v>0</v>
      </c>
      <c r="C159" s="32" t="n">
        <f aca="false">SUMIFS(Report!$U:$U,Report!$T:$T,"MERCADORIAS P/REVENDA",Report!$AA:$AA,"SIM",Report!$C:$C,A159)</f>
        <v>0</v>
      </c>
      <c r="D159" s="33"/>
      <c r="E159" s="33"/>
      <c r="F159" s="32" t="n">
        <f aca="false">B159+C159</f>
        <v>0</v>
      </c>
    </row>
    <row r="160" customFormat="false" ht="12.75" hidden="false" customHeight="true" outlineLevel="0" collapsed="false">
      <c r="A160" s="34" t="s">
        <v>2150</v>
      </c>
      <c r="B160" s="22" t="n">
        <f aca="false">SUM(B153:B159)</f>
        <v>0</v>
      </c>
      <c r="C160" s="22" t="n">
        <f aca="false">SUM(C153:C159)</f>
        <v>0</v>
      </c>
      <c r="D160" s="26"/>
      <c r="E160" s="26"/>
      <c r="F160" s="22" t="n">
        <f aca="false">B160+C160</f>
        <v>0</v>
      </c>
    </row>
    <row r="161" customFormat="false" ht="12.75" hidden="false" customHeight="true" outlineLevel="0" collapsed="false">
      <c r="A161" s="14" t="n">
        <v>46161</v>
      </c>
      <c r="B161" s="15" t="n">
        <f aca="false">SUMIFS(Report!$U:$U,Report!$T:$T,"&lt;&gt;"&amp;"MERCADORIAS P/REVENDA",Report!$AA:$AA,"SIM",Report!$C:$C,A161)</f>
        <v>0</v>
      </c>
      <c r="C161" s="15" t="n">
        <f aca="false">SUMIFS(Report!$U:$U,Report!$T:$T,"MERCADORIAS P/REVENDA",Report!$AA:$AA,"SIM",Report!$C:$C,A161)</f>
        <v>0</v>
      </c>
      <c r="F161" s="15" t="n">
        <f aca="false">B161+C161</f>
        <v>0</v>
      </c>
    </row>
    <row r="162" customFormat="false" ht="12.75" hidden="false" customHeight="true" outlineLevel="0" collapsed="false">
      <c r="A162" s="14" t="n">
        <v>46162</v>
      </c>
      <c r="B162" s="15" t="n">
        <f aca="false">SUMIFS(Report!$U:$U,Report!$T:$T,"&lt;&gt;"&amp;"MERCADORIAS P/REVENDA",Report!$AA:$AA,"SIM",Report!$C:$C,A162)</f>
        <v>0</v>
      </c>
      <c r="C162" s="15" t="n">
        <f aca="false">SUMIFS(Report!$U:$U,Report!$T:$T,"MERCADORIAS P/REVENDA",Report!$AA:$AA,"SIM",Report!$C:$C,A162)</f>
        <v>0</v>
      </c>
      <c r="F162" s="15" t="n">
        <f aca="false">B162+C162</f>
        <v>0</v>
      </c>
    </row>
    <row r="163" customFormat="false" ht="12.75" hidden="false" customHeight="true" outlineLevel="0" collapsed="false">
      <c r="A163" s="14" t="n">
        <v>46163</v>
      </c>
      <c r="B163" s="15" t="n">
        <f aca="false">SUMIFS(Report!$U:$U,Report!$T:$T,"&lt;&gt;"&amp;"MERCADORIAS P/REVENDA",Report!$AA:$AA,"SIM",Report!$C:$C,A163)</f>
        <v>0</v>
      </c>
      <c r="C163" s="15" t="n">
        <f aca="false">SUMIFS(Report!$U:$U,Report!$T:$T,"MERCADORIAS P/REVENDA",Report!$AA:$AA,"SIM",Report!$C:$C,A163)</f>
        <v>0</v>
      </c>
      <c r="F163" s="15" t="n">
        <f aca="false">B163+C163</f>
        <v>0</v>
      </c>
    </row>
    <row r="164" customFormat="false" ht="12.75" hidden="false" customHeight="true" outlineLevel="0" collapsed="false">
      <c r="A164" s="14" t="n">
        <v>46164</v>
      </c>
      <c r="B164" s="15" t="n">
        <f aca="false">SUMIFS(Report!$U:$U,Report!$T:$T,"&lt;&gt;"&amp;"MERCADORIAS P/REVENDA",Report!$AA:$AA,"SIM",Report!$C:$C,A164)</f>
        <v>0</v>
      </c>
      <c r="C164" s="15" t="n">
        <f aca="false">SUMIFS(Report!$U:$U,Report!$T:$T,"MERCADORIAS P/REVENDA",Report!$AA:$AA,"SIM",Report!$C:$C,A164)</f>
        <v>0</v>
      </c>
      <c r="F164" s="15" t="n">
        <f aca="false">B164+C164</f>
        <v>0</v>
      </c>
    </row>
    <row r="165" customFormat="false" ht="12.75" hidden="false" customHeight="true" outlineLevel="0" collapsed="false">
      <c r="A165" s="31" t="n">
        <v>46165</v>
      </c>
      <c r="B165" s="32" t="n">
        <f aca="false">SUMIFS(Report!$U:$U,Report!$T:$T,"&lt;&gt;"&amp;"MERCADORIAS P/REVENDA",Report!$AA:$AA,"SIM",Report!$C:$C,A165)</f>
        <v>0</v>
      </c>
      <c r="C165" s="32" t="n">
        <f aca="false">SUMIFS(Report!$U:$U,Report!$T:$T,"MERCADORIAS P/REVENDA",Report!$AA:$AA,"SIM",Report!$C:$C,A165)</f>
        <v>0</v>
      </c>
      <c r="D165" s="33"/>
      <c r="E165" s="33"/>
      <c r="F165" s="32" t="n">
        <f aca="false">B165+C165</f>
        <v>0</v>
      </c>
    </row>
    <row r="166" customFormat="false" ht="12.75" hidden="false" customHeight="true" outlineLevel="0" collapsed="false">
      <c r="A166" s="31" t="n">
        <v>46166</v>
      </c>
      <c r="B166" s="32" t="n">
        <f aca="false">SUMIFS(Report!$U:$U,Report!$T:$T,"&lt;&gt;"&amp;"MERCADORIAS P/REVENDA",Report!$AA:$AA,"SIM",Report!$C:$C,A166)</f>
        <v>0</v>
      </c>
      <c r="C166" s="32" t="n">
        <f aca="false">SUMIFS(Report!$U:$U,Report!$T:$T,"MERCADORIAS P/REVENDA",Report!$AA:$AA,"SIM",Report!$C:$C,A166)</f>
        <v>0</v>
      </c>
      <c r="D166" s="33"/>
      <c r="E166" s="33"/>
      <c r="F166" s="32" t="n">
        <f aca="false">B166+C166</f>
        <v>0</v>
      </c>
    </row>
    <row r="167" customFormat="false" ht="12.75" hidden="false" customHeight="true" outlineLevel="0" collapsed="false">
      <c r="A167" s="31" t="n">
        <v>46167</v>
      </c>
      <c r="B167" s="32" t="n">
        <f aca="false">SUMIFS(Report!$U:$U,Report!$T:$T,"&lt;&gt;"&amp;"MERCADORIAS P/REVENDA",Report!$AA:$AA,"SIM",Report!$C:$C,A167)</f>
        <v>0</v>
      </c>
      <c r="C167" s="32" t="n">
        <f aca="false">SUMIFS(Report!$U:$U,Report!$T:$T,"MERCADORIAS P/REVENDA",Report!$AA:$AA,"SIM",Report!$C:$C,A167)</f>
        <v>0</v>
      </c>
      <c r="D167" s="33"/>
      <c r="E167" s="33"/>
      <c r="F167" s="32" t="n">
        <f aca="false">B167+C167</f>
        <v>0</v>
      </c>
    </row>
    <row r="168" customFormat="false" ht="12.75" hidden="false" customHeight="true" outlineLevel="0" collapsed="false">
      <c r="A168" s="34" t="s">
        <v>2151</v>
      </c>
      <c r="B168" s="22" t="n">
        <f aca="false">SUM(B161:B167)</f>
        <v>0</v>
      </c>
      <c r="C168" s="22" t="n">
        <f aca="false">SUM(C161:C167)</f>
        <v>0</v>
      </c>
      <c r="D168" s="26"/>
      <c r="E168" s="26"/>
      <c r="F168" s="22" t="n">
        <f aca="false">B168+C168</f>
        <v>0</v>
      </c>
    </row>
    <row r="169" customFormat="false" ht="12.75" hidden="false" customHeight="true" outlineLevel="0" collapsed="false">
      <c r="A169" s="14" t="n">
        <v>46168</v>
      </c>
      <c r="B169" s="15" t="n">
        <f aca="false">SUMIFS(Report!$U:$U,Report!$T:$T,"&lt;&gt;"&amp;"MERCADORIAS P/REVENDA",Report!$AA:$AA,"SIM",Report!$C:$C,A169)</f>
        <v>0</v>
      </c>
      <c r="C169" s="15" t="n">
        <f aca="false">SUMIFS(Report!$U:$U,Report!$T:$T,"MERCADORIAS P/REVENDA",Report!$AA:$AA,"SIM",Report!$C:$C,A169)</f>
        <v>0</v>
      </c>
      <c r="F169" s="15" t="n">
        <f aca="false">B169+C169</f>
        <v>0</v>
      </c>
    </row>
    <row r="170" customFormat="false" ht="12.75" hidden="false" customHeight="true" outlineLevel="0" collapsed="false">
      <c r="A170" s="14" t="n">
        <v>46169</v>
      </c>
      <c r="B170" s="15" t="n">
        <f aca="false">SUMIFS(Report!$U:$U,Report!$T:$T,"&lt;&gt;"&amp;"MERCADORIAS P/REVENDA",Report!$AA:$AA,"SIM",Report!$C:$C,A170)</f>
        <v>0</v>
      </c>
      <c r="C170" s="15" t="n">
        <f aca="false">SUMIFS(Report!$U:$U,Report!$T:$T,"MERCADORIAS P/REVENDA",Report!$AA:$AA,"SIM",Report!$C:$C,A170)</f>
        <v>0</v>
      </c>
      <c r="F170" s="15" t="n">
        <f aca="false">B170+C170</f>
        <v>0</v>
      </c>
    </row>
    <row r="171" customFormat="false" ht="12.75" hidden="false" customHeight="true" outlineLevel="0" collapsed="false">
      <c r="A171" s="14" t="n">
        <v>46170</v>
      </c>
      <c r="B171" s="15" t="n">
        <f aca="false">SUMIFS(Report!$U:$U,Report!$T:$T,"&lt;&gt;"&amp;"MERCADORIAS P/REVENDA",Report!$AA:$AA,"SIM",Report!$C:$C,A171)</f>
        <v>0</v>
      </c>
      <c r="C171" s="15" t="n">
        <f aca="false">SUMIFS(Report!$U:$U,Report!$T:$T,"MERCADORIAS P/REVENDA",Report!$AA:$AA,"SIM",Report!$C:$C,A171)</f>
        <v>0</v>
      </c>
      <c r="F171" s="15" t="n">
        <f aca="false">B171+C171</f>
        <v>0</v>
      </c>
    </row>
    <row r="172" customFormat="false" ht="12.75" hidden="false" customHeight="true" outlineLevel="0" collapsed="false">
      <c r="A172" s="14" t="n">
        <v>46171</v>
      </c>
      <c r="B172" s="15" t="n">
        <f aca="false">SUMIFS(Report!$U:$U,Report!$T:$T,"&lt;&gt;"&amp;"MERCADORIAS P/REVENDA",Report!$AA:$AA,"SIM",Report!$C:$C,A172)</f>
        <v>0</v>
      </c>
      <c r="C172" s="15" t="n">
        <f aca="false">SUMIFS(Report!$U:$U,Report!$T:$T,"MERCADORIAS P/REVENDA",Report!$AA:$AA,"SIM",Report!$C:$C,A172)</f>
        <v>0</v>
      </c>
      <c r="F172" s="15" t="n">
        <f aca="false">B172+C172</f>
        <v>0</v>
      </c>
    </row>
    <row r="173" customFormat="false" ht="12.75" hidden="false" customHeight="true" outlineLevel="0" collapsed="false">
      <c r="A173" s="31" t="n">
        <v>46172</v>
      </c>
      <c r="B173" s="32" t="n">
        <f aca="false">SUMIFS(Report!$U:$U,Report!$T:$T,"&lt;&gt;"&amp;"MERCADORIAS P/REVENDA",Report!$AA:$AA,"SIM",Report!$C:$C,A173)</f>
        <v>0</v>
      </c>
      <c r="C173" s="32" t="n">
        <f aca="false">SUMIFS(Report!$U:$U,Report!$T:$T,"MERCADORIAS P/REVENDA",Report!$AA:$AA,"SIM",Report!$C:$C,A173)</f>
        <v>0</v>
      </c>
      <c r="D173" s="33"/>
      <c r="E173" s="33"/>
      <c r="F173" s="32" t="n">
        <f aca="false">B173+C173</f>
        <v>0</v>
      </c>
    </row>
    <row r="174" customFormat="false" ht="12.75" hidden="false" customHeight="true" outlineLevel="0" collapsed="false">
      <c r="A174" s="31" t="n">
        <v>46173</v>
      </c>
      <c r="B174" s="32" t="n">
        <f aca="false">SUMIFS(Report!$U:$U,Report!$T:$T,"&lt;&gt;"&amp;"MERCADORIAS P/REVENDA",Report!$AA:$AA,"SIM",Report!$C:$C,A174)</f>
        <v>0</v>
      </c>
      <c r="C174" s="32" t="n">
        <f aca="false">SUMIFS(Report!$U:$U,Report!$T:$T,"MERCADORIAS P/REVENDA",Report!$AA:$AA,"SIM",Report!$C:$C,A174)</f>
        <v>0</v>
      </c>
      <c r="D174" s="33"/>
      <c r="E174" s="33"/>
      <c r="F174" s="32" t="n">
        <f aca="false">B174+C174</f>
        <v>0</v>
      </c>
    </row>
    <row r="175" customFormat="false" ht="12.75" hidden="false" customHeight="true" outlineLevel="0" collapsed="false">
      <c r="A175" s="31" t="n">
        <v>46174</v>
      </c>
      <c r="B175" s="32" t="n">
        <f aca="false">SUMIFS(Report!$U:$U,Report!$T:$T,"&lt;&gt;"&amp;"MERCADORIAS P/REVENDA",Report!$AA:$AA,"SIM",Report!$C:$C,A175)</f>
        <v>9879.25</v>
      </c>
      <c r="C175" s="32" t="n">
        <f aca="false">SUMIFS(Report!$U:$U,Report!$T:$T,"MERCADORIAS P/REVENDA",Report!$AA:$AA,"SIM",Report!$C:$C,A175)</f>
        <v>7658.53</v>
      </c>
      <c r="D175" s="33"/>
      <c r="E175" s="33"/>
      <c r="F175" s="32" t="n">
        <f aca="false">B175+C175</f>
        <v>17537.78</v>
      </c>
    </row>
    <row r="176" customFormat="false" ht="12.75" hidden="false" customHeight="true" outlineLevel="0" collapsed="false">
      <c r="A176" s="34" t="s">
        <v>2152</v>
      </c>
      <c r="B176" s="22" t="n">
        <f aca="false">SUM(B169:B175)</f>
        <v>9879.25</v>
      </c>
      <c r="C176" s="22" t="n">
        <f aca="false">SUM(C169:C175)</f>
        <v>7658.53</v>
      </c>
      <c r="D176" s="26"/>
      <c r="E176" s="26"/>
      <c r="F176" s="22" t="n">
        <f aca="false">B176+C176</f>
        <v>17537.78</v>
      </c>
    </row>
    <row r="177" customFormat="false" ht="12.75" hidden="false" customHeight="true" outlineLevel="0" collapsed="false">
      <c r="A177" s="14" t="n">
        <v>46175</v>
      </c>
      <c r="B177" s="15" t="n">
        <f aca="false">SUMIFS(Report!$U:$U,Report!$T:$T,"&lt;&gt;"&amp;"MERCADORIAS P/REVENDA",Report!$AA:$AA,"SIM",Report!$C:$C,A177)</f>
        <v>5584.38</v>
      </c>
      <c r="C177" s="15" t="n">
        <f aca="false">SUMIFS(Report!$U:$U,Report!$T:$T,"MERCADORIAS P/REVENDA",Report!$AA:$AA,"SIM",Report!$C:$C,A177)</f>
        <v>11181.32</v>
      </c>
      <c r="F177" s="15" t="n">
        <f aca="false">B177+C177</f>
        <v>16765.7</v>
      </c>
    </row>
    <row r="178" customFormat="false" ht="12.75" hidden="false" customHeight="true" outlineLevel="0" collapsed="false">
      <c r="A178" s="14" t="n">
        <v>46176</v>
      </c>
      <c r="B178" s="15" t="n">
        <f aca="false">SUMIFS(Report!$U:$U,Report!$T:$T,"&lt;&gt;"&amp;"MERCADORIAS P/REVENDA",Report!$AA:$AA,"SIM",Report!$C:$C,A178)</f>
        <v>2790</v>
      </c>
      <c r="C178" s="15" t="n">
        <f aca="false">SUMIFS(Report!$U:$U,Report!$T:$T,"MERCADORIAS P/REVENDA",Report!$AA:$AA,"SIM",Report!$C:$C,A178)</f>
        <v>9127.46</v>
      </c>
      <c r="F178" s="15" t="n">
        <f aca="false">B178+C178</f>
        <v>11917.46</v>
      </c>
    </row>
    <row r="179" customFormat="false" ht="12.75" hidden="false" customHeight="true" outlineLevel="0" collapsed="false">
      <c r="A179" s="14" t="n">
        <v>46177</v>
      </c>
      <c r="B179" s="15" t="n">
        <f aca="false">SUMIFS(Report!$U:$U,Report!$T:$T,"&lt;&gt;"&amp;"MERCADORIAS P/REVENDA",Report!$AA:$AA,"SIM",Report!$C:$C,A179)</f>
        <v>2878.88</v>
      </c>
      <c r="C179" s="15" t="n">
        <f aca="false">SUMIFS(Report!$U:$U,Report!$T:$T,"MERCADORIAS P/REVENDA",Report!$AA:$AA,"SIM",Report!$C:$C,A179)</f>
        <v>7350.14</v>
      </c>
      <c r="F179" s="15" t="n">
        <f aca="false">B179+C179</f>
        <v>10229.02</v>
      </c>
    </row>
    <row r="180" customFormat="false" ht="12.75" hidden="false" customHeight="true" outlineLevel="0" collapsed="false">
      <c r="A180" s="14" t="n">
        <v>46178</v>
      </c>
      <c r="B180" s="15" t="n">
        <f aca="false">SUMIFS(Report!$U:$U,Report!$T:$T,"&lt;&gt;"&amp;"MERCADORIAS P/REVENDA",Report!$AA:$AA,"SIM",Report!$C:$C,A180)</f>
        <v>16890.63</v>
      </c>
      <c r="C180" s="15" t="n">
        <f aca="false">SUMIFS(Report!$U:$U,Report!$T:$T,"MERCADORIAS P/REVENDA",Report!$AA:$AA,"SIM",Report!$C:$C,A180)</f>
        <v>16160.39</v>
      </c>
      <c r="F180" s="15" t="n">
        <f aca="false">B180+C180</f>
        <v>33051.02</v>
      </c>
    </row>
    <row r="181" customFormat="false" ht="12.75" hidden="false" customHeight="true" outlineLevel="0" collapsed="false">
      <c r="A181" s="31" t="n">
        <v>46179</v>
      </c>
      <c r="B181" s="32" t="n">
        <f aca="false">SUMIFS(Report!$U:$U,Report!$T:$T,"&lt;&gt;"&amp;"MERCADORIAS P/REVENDA",Report!$AA:$AA,"SIM",Report!$C:$C,A181)</f>
        <v>3550</v>
      </c>
      <c r="C181" s="32" t="n">
        <f aca="false">SUMIFS(Report!$U:$U,Report!$T:$T,"MERCADORIAS P/REVENDA",Report!$AA:$AA,"SIM",Report!$C:$C,A181)</f>
        <v>8636.65</v>
      </c>
      <c r="D181" s="33"/>
      <c r="E181" s="33"/>
      <c r="F181" s="32" t="n">
        <f aca="false">B181+C181</f>
        <v>12186.65</v>
      </c>
    </row>
    <row r="182" customFormat="false" ht="12.75" hidden="false" customHeight="true" outlineLevel="0" collapsed="false">
      <c r="A182" s="31" t="n">
        <v>46180</v>
      </c>
      <c r="B182" s="32" t="n">
        <f aca="false">SUMIFS(Report!$U:$U,Report!$T:$T,"&lt;&gt;"&amp;"MERCADORIAS P/REVENDA",Report!$AA:$AA,"SIM",Report!$C:$C,A182)</f>
        <v>1885.97</v>
      </c>
      <c r="C182" s="32" t="n">
        <f aca="false">SUMIFS(Report!$U:$U,Report!$T:$T,"MERCADORIAS P/REVENDA",Report!$AA:$AA,"SIM",Report!$C:$C,A182)</f>
        <v>644.97</v>
      </c>
      <c r="D182" s="33"/>
      <c r="E182" s="33"/>
      <c r="F182" s="32" t="n">
        <f aca="false">B182+C182</f>
        <v>2530.94</v>
      </c>
    </row>
    <row r="183" customFormat="false" ht="12.75" hidden="false" customHeight="true" outlineLevel="0" collapsed="false">
      <c r="A183" s="31" t="n">
        <v>46181</v>
      </c>
      <c r="B183" s="32" t="n">
        <f aca="false">SUMIFS(Report!$U:$U,Report!$T:$T,"&lt;&gt;"&amp;"MERCADORIAS P/REVENDA",Report!$AA:$AA,"SIM",Report!$C:$C,A183)</f>
        <v>3530.38</v>
      </c>
      <c r="C183" s="32" t="n">
        <f aca="false">SUMIFS(Report!$U:$U,Report!$T:$T,"MERCADORIAS P/REVENDA",Report!$AA:$AA,"SIM",Report!$C:$C,A183)</f>
        <v>8613.99</v>
      </c>
      <c r="D183" s="33"/>
      <c r="E183" s="33"/>
      <c r="F183" s="32" t="n">
        <f aca="false">B183+C183</f>
        <v>12144.37</v>
      </c>
    </row>
    <row r="184" customFormat="false" ht="12.75" hidden="false" customHeight="true" outlineLevel="0" collapsed="false">
      <c r="A184" s="34" t="s">
        <v>2153</v>
      </c>
      <c r="B184" s="22" t="n">
        <f aca="false">SUM(B177:B183)</f>
        <v>37110.24</v>
      </c>
      <c r="C184" s="22" t="n">
        <f aca="false">SUM(C177:C183)</f>
        <v>61714.92</v>
      </c>
      <c r="D184" s="26"/>
      <c r="E184" s="26"/>
      <c r="F184" s="22" t="n">
        <f aca="false">B184+C184</f>
        <v>98825.16</v>
      </c>
    </row>
    <row r="185" customFormat="false" ht="12.75" hidden="false" customHeight="true" outlineLevel="0" collapsed="false">
      <c r="A185" s="14" t="n">
        <v>46182</v>
      </c>
      <c r="B185" s="15" t="n">
        <f aca="false">SUMIFS(Report!$U:$U,Report!$T:$T,"&lt;&gt;"&amp;"MERCADORIAS P/REVENDA",Report!$AA:$AA,"SIM",Report!$C:$C,A185)</f>
        <v>4684.28</v>
      </c>
      <c r="C185" s="15" t="n">
        <f aca="false">SUMIFS(Report!$U:$U,Report!$T:$T,"MERCADORIAS P/REVENDA",Report!$AA:$AA,"SIM",Report!$C:$C,A185)</f>
        <v>5268.89</v>
      </c>
      <c r="F185" s="15" t="n">
        <f aca="false">B185+C185</f>
        <v>9953.17</v>
      </c>
    </row>
    <row r="186" customFormat="false" ht="12.75" hidden="false" customHeight="true" outlineLevel="0" collapsed="false">
      <c r="A186" s="14" t="n">
        <v>46183</v>
      </c>
      <c r="B186" s="15" t="n">
        <f aca="false">SUMIFS(Report!$U:$U,Report!$T:$T,"&lt;&gt;"&amp;"MERCADORIAS P/REVENDA",Report!$AA:$AA,"SIM",Report!$C:$C,A186)</f>
        <v>7915.12</v>
      </c>
      <c r="C186" s="15" t="n">
        <f aca="false">SUMIFS(Report!$U:$U,Report!$T:$T,"MERCADORIAS P/REVENDA",Report!$AA:$AA,"SIM",Report!$C:$C,A186)</f>
        <v>17221.82</v>
      </c>
      <c r="F186" s="15" t="n">
        <f aca="false">B186+C186</f>
        <v>25136.94</v>
      </c>
    </row>
    <row r="187" customFormat="false" ht="12.75" hidden="false" customHeight="true" outlineLevel="0" collapsed="false">
      <c r="A187" s="14" t="n">
        <v>46184</v>
      </c>
      <c r="B187" s="15" t="n">
        <f aca="false">SUMIFS(Report!$U:$U,Report!$T:$T,"&lt;&gt;"&amp;"MERCADORIAS P/REVENDA",Report!$AA:$AA,"SIM",Report!$C:$C,A187)</f>
        <v>2200</v>
      </c>
      <c r="C187" s="15" t="n">
        <f aca="false">SUMIFS(Report!$U:$U,Report!$T:$T,"MERCADORIAS P/REVENDA",Report!$AA:$AA,"SIM",Report!$C:$C,A187)</f>
        <v>8812.95</v>
      </c>
      <c r="F187" s="15" t="n">
        <f aca="false">B187+C187</f>
        <v>11012.95</v>
      </c>
    </row>
    <row r="188" customFormat="false" ht="12.75" hidden="false" customHeight="true" outlineLevel="0" collapsed="false">
      <c r="A188" s="14" t="n">
        <v>46185</v>
      </c>
      <c r="B188" s="15" t="n">
        <f aca="false">SUMIFS(Report!$U:$U,Report!$T:$T,"&lt;&gt;"&amp;"MERCADORIAS P/REVENDA",Report!$AA:$AA,"SIM",Report!$C:$C,A188)</f>
        <v>9030.5</v>
      </c>
      <c r="C188" s="15" t="n">
        <f aca="false">SUMIFS(Report!$U:$U,Report!$T:$T,"MERCADORIAS P/REVENDA",Report!$AA:$AA,"SIM",Report!$C:$C,A188)</f>
        <v>17305.61</v>
      </c>
      <c r="F188" s="15" t="n">
        <f aca="false">B188+C188</f>
        <v>26336.11</v>
      </c>
    </row>
    <row r="189" customFormat="false" ht="12.75" hidden="false" customHeight="true" outlineLevel="0" collapsed="false">
      <c r="A189" s="31" t="n">
        <v>46186</v>
      </c>
      <c r="B189" s="32" t="n">
        <f aca="false">SUMIFS(Report!$U:$U,Report!$T:$T,"&lt;&gt;"&amp;"MERCADORIAS P/REVENDA",Report!$AA:$AA,"SIM",Report!$C:$C,A189)</f>
        <v>2750</v>
      </c>
      <c r="C189" s="32" t="n">
        <f aca="false">SUMIFS(Report!$U:$U,Report!$T:$T,"MERCADORIAS P/REVENDA",Report!$AA:$AA,"SIM",Report!$C:$C,A189)</f>
        <v>3761.67</v>
      </c>
      <c r="D189" s="33"/>
      <c r="E189" s="33"/>
      <c r="F189" s="32" t="n">
        <f aca="false">B189+C189</f>
        <v>6511.67</v>
      </c>
    </row>
    <row r="190" customFormat="false" ht="12.75" hidden="false" customHeight="true" outlineLevel="0" collapsed="false">
      <c r="A190" s="31" t="n">
        <v>46187</v>
      </c>
      <c r="B190" s="32" t="n">
        <f aca="false">SUMIFS(Report!$U:$U,Report!$T:$T,"&lt;&gt;"&amp;"MERCADORIAS P/REVENDA",Report!$AA:$AA,"SIM",Report!$C:$C,A190)</f>
        <v>2310</v>
      </c>
      <c r="C190" s="32" t="n">
        <f aca="false">SUMIFS(Report!$U:$U,Report!$T:$T,"MERCADORIAS P/REVENDA",Report!$AA:$AA,"SIM",Report!$C:$C,A190)</f>
        <v>2080.52</v>
      </c>
      <c r="D190" s="33"/>
      <c r="E190" s="33"/>
      <c r="F190" s="32" t="n">
        <f aca="false">B190+C190</f>
        <v>4390.52</v>
      </c>
    </row>
    <row r="191" customFormat="false" ht="12.75" hidden="false" customHeight="true" outlineLevel="0" collapsed="false">
      <c r="A191" s="31" t="n">
        <v>46188</v>
      </c>
      <c r="B191" s="32" t="n">
        <f aca="false">SUMIFS(Report!$U:$U,Report!$T:$T,"&lt;&gt;"&amp;"MERCADORIAS P/REVENDA",Report!$AA:$AA,"SIM",Report!$C:$C,A191)</f>
        <v>11688.68</v>
      </c>
      <c r="C191" s="32" t="n">
        <f aca="false">SUMIFS(Report!$U:$U,Report!$T:$T,"MERCADORIAS P/REVENDA",Report!$AA:$AA,"SIM",Report!$C:$C,A191)</f>
        <v>17271.06</v>
      </c>
      <c r="D191" s="33"/>
      <c r="E191" s="33"/>
      <c r="F191" s="32" t="n">
        <f aca="false">B191+C191</f>
        <v>28959.74</v>
      </c>
    </row>
    <row r="192" customFormat="false" ht="12.75" hidden="false" customHeight="true" outlineLevel="0" collapsed="false">
      <c r="A192" s="34" t="s">
        <v>2154</v>
      </c>
      <c r="B192" s="22" t="n">
        <f aca="false">SUM(B185:B191)</f>
        <v>40578.58</v>
      </c>
      <c r="C192" s="22" t="n">
        <f aca="false">SUM(C185:C191)</f>
        <v>71722.52</v>
      </c>
      <c r="D192" s="26"/>
      <c r="E192" s="26"/>
      <c r="F192" s="22" t="n">
        <f aca="false">B192+C192</f>
        <v>112301.1</v>
      </c>
    </row>
    <row r="193" customFormat="false" ht="12.75" hidden="false" customHeight="true" outlineLevel="0" collapsed="false">
      <c r="A193" s="14" t="n">
        <v>46189</v>
      </c>
      <c r="B193" s="15" t="n">
        <f aca="false">SUMIFS(Report!$U:$U,Report!$T:$T,"&lt;&gt;"&amp;"MERCADORIAS P/REVENDA",Report!$AA:$AA,"SIM",Report!$C:$C,A193)</f>
        <v>2470</v>
      </c>
      <c r="C193" s="15" t="n">
        <f aca="false">SUMIFS(Report!$U:$U,Report!$T:$T,"MERCADORIAS P/REVENDA",Report!$AA:$AA,"SIM",Report!$C:$C,A193)</f>
        <v>8476.32</v>
      </c>
      <c r="F193" s="15" t="n">
        <f aca="false">B193+C193</f>
        <v>10946.32</v>
      </c>
    </row>
    <row r="194" customFormat="false" ht="12.75" hidden="false" customHeight="true" outlineLevel="0" collapsed="false">
      <c r="A194" s="14" t="n">
        <v>46190</v>
      </c>
      <c r="B194" s="15" t="n">
        <f aca="false">SUMIFS(Report!$U:$U,Report!$T:$T,"&lt;&gt;"&amp;"MERCADORIAS P/REVENDA",Report!$AA:$AA,"SIM",Report!$C:$C,A194)</f>
        <v>3857.08</v>
      </c>
      <c r="C194" s="15" t="n">
        <f aca="false">SUMIFS(Report!$U:$U,Report!$T:$T,"MERCADORIAS P/REVENDA",Report!$AA:$AA,"SIM",Report!$C:$C,A194)</f>
        <v>10249.35</v>
      </c>
      <c r="F194" s="15" t="n">
        <f aca="false">B194+C194</f>
        <v>14106.43</v>
      </c>
    </row>
    <row r="195" customFormat="false" ht="12.75" hidden="false" customHeight="true" outlineLevel="0" collapsed="false">
      <c r="A195" s="14" t="n">
        <v>46191</v>
      </c>
      <c r="B195" s="15" t="n">
        <f aca="false">SUMIFS(Report!$U:$U,Report!$T:$T,"&lt;&gt;"&amp;"MERCADORIAS P/REVENDA",Report!$AA:$AA,"SIM",Report!$C:$C,A195)</f>
        <v>2550</v>
      </c>
      <c r="C195" s="15" t="n">
        <f aca="false">SUMIFS(Report!$U:$U,Report!$T:$T,"MERCADORIAS P/REVENDA",Report!$AA:$AA,"SIM",Report!$C:$C,A195)</f>
        <v>6245.48</v>
      </c>
      <c r="F195" s="15" t="n">
        <f aca="false">B195+C195</f>
        <v>8795.48</v>
      </c>
    </row>
    <row r="196" customFormat="false" ht="12.75" hidden="false" customHeight="true" outlineLevel="0" collapsed="false">
      <c r="A196" s="14" t="n">
        <v>46192</v>
      </c>
      <c r="B196" s="15" t="n">
        <f aca="false">SUMIFS(Report!$U:$U,Report!$T:$T,"&lt;&gt;"&amp;"MERCADORIAS P/REVENDA",Report!$AA:$AA,"SIM",Report!$C:$C,A196)</f>
        <v>12838.05</v>
      </c>
      <c r="C196" s="15" t="n">
        <f aca="false">SUMIFS(Report!$U:$U,Report!$T:$T,"MERCADORIAS P/REVENDA",Report!$AA:$AA,"SIM",Report!$C:$C,A196)</f>
        <v>8195.18</v>
      </c>
      <c r="F196" s="15" t="n">
        <f aca="false">B196+C196</f>
        <v>21033.23</v>
      </c>
    </row>
    <row r="197" customFormat="false" ht="12.75" hidden="false" customHeight="true" outlineLevel="0" collapsed="false">
      <c r="A197" s="31" t="n">
        <v>46193</v>
      </c>
      <c r="B197" s="32" t="n">
        <f aca="false">SUMIFS(Report!$U:$U,Report!$T:$T,"&lt;&gt;"&amp;"MERCADORIAS P/REVENDA",Report!$AA:$AA,"SIM",Report!$C:$C,A197)</f>
        <v>3660.07</v>
      </c>
      <c r="C197" s="32" t="n">
        <f aca="false">SUMIFS(Report!$U:$U,Report!$T:$T,"MERCADORIAS P/REVENDA",Report!$AA:$AA,"SIM",Report!$C:$C,A197)</f>
        <v>1362.17</v>
      </c>
      <c r="D197" s="33"/>
      <c r="E197" s="33"/>
      <c r="F197" s="32" t="n">
        <f aca="false">B197+C197</f>
        <v>5022.24</v>
      </c>
    </row>
    <row r="198" customFormat="false" ht="12.75" hidden="false" customHeight="true" outlineLevel="0" collapsed="false">
      <c r="A198" s="31" t="n">
        <v>46194</v>
      </c>
      <c r="B198" s="32" t="n">
        <f aca="false">SUMIFS(Report!$U:$U,Report!$T:$T,"&lt;&gt;"&amp;"MERCADORIAS P/REVENDA",Report!$AA:$AA,"SIM",Report!$C:$C,A198)</f>
        <v>1846</v>
      </c>
      <c r="C198" s="32" t="n">
        <f aca="false">SUMIFS(Report!$U:$U,Report!$T:$T,"MERCADORIAS P/REVENDA",Report!$AA:$AA,"SIM",Report!$C:$C,A198)</f>
        <v>0</v>
      </c>
      <c r="D198" s="33"/>
      <c r="E198" s="33"/>
      <c r="F198" s="32" t="n">
        <f aca="false">B198+C198</f>
        <v>1846</v>
      </c>
    </row>
    <row r="199" customFormat="false" ht="12.75" hidden="false" customHeight="true" outlineLevel="0" collapsed="false">
      <c r="A199" s="31" t="n">
        <v>46195</v>
      </c>
      <c r="B199" s="32" t="n">
        <f aca="false">SUMIFS(Report!$U:$U,Report!$T:$T,"&lt;&gt;"&amp;"MERCADORIAS P/REVENDA",Report!$AA:$AA,"SIM",Report!$C:$C,A199)</f>
        <v>15464.33</v>
      </c>
      <c r="C199" s="32" t="n">
        <f aca="false">SUMIFS(Report!$U:$U,Report!$T:$T,"MERCADORIAS P/REVENDA",Report!$AA:$AA,"SIM",Report!$C:$C,A199)</f>
        <v>13427.7</v>
      </c>
      <c r="D199" s="33"/>
      <c r="E199" s="33"/>
      <c r="F199" s="32" t="n">
        <f aca="false">B199+C199</f>
        <v>28892.03</v>
      </c>
    </row>
    <row r="200" customFormat="false" ht="12.75" hidden="false" customHeight="true" outlineLevel="0" collapsed="false">
      <c r="A200" s="34" t="s">
        <v>2155</v>
      </c>
      <c r="B200" s="22" t="n">
        <f aca="false">SUM(B193:B199)</f>
        <v>42685.53</v>
      </c>
      <c r="C200" s="22" t="n">
        <f aca="false">SUM(C193:C199)</f>
        <v>47956.2</v>
      </c>
      <c r="D200" s="26"/>
      <c r="E200" s="26"/>
      <c r="F200" s="22" t="n">
        <f aca="false">B200+C200</f>
        <v>90641.73</v>
      </c>
    </row>
    <row r="201" customFormat="false" ht="12.75" hidden="false" customHeight="true" outlineLevel="0" collapsed="false">
      <c r="A201" s="14" t="n">
        <v>46196</v>
      </c>
      <c r="B201" s="15" t="n">
        <f aca="false">SUMIFS(Report!$U:$U,Report!$T:$T,"&lt;&gt;"&amp;"MERCADORIAS P/REVENDA",Report!$AA:$AA,"SIM",Report!$C:$C,A201)</f>
        <v>9670</v>
      </c>
      <c r="C201" s="15" t="n">
        <f aca="false">SUMIFS(Report!$U:$U,Report!$T:$T,"MERCADORIAS P/REVENDA",Report!$AA:$AA,"SIM",Report!$C:$C,A201)</f>
        <v>11395.34</v>
      </c>
      <c r="F201" s="15" t="n">
        <f aca="false">B201+C201</f>
        <v>21065.34</v>
      </c>
    </row>
    <row r="202" customFormat="false" ht="12.75" hidden="false" customHeight="true" outlineLevel="0" collapsed="false">
      <c r="A202" s="14" t="n">
        <v>46197</v>
      </c>
      <c r="B202" s="15" t="n">
        <f aca="false">SUMIFS(Report!$U:$U,Report!$T:$T,"&lt;&gt;"&amp;"MERCADORIAS P/REVENDA",Report!$AA:$AA,"SIM",Report!$C:$C,A202)</f>
        <v>15502.26</v>
      </c>
      <c r="C202" s="15" t="n">
        <f aca="false">SUMIFS(Report!$U:$U,Report!$T:$T,"MERCADORIAS P/REVENDA",Report!$AA:$AA,"SIM",Report!$C:$C,A202)</f>
        <v>13711.65</v>
      </c>
      <c r="F202" s="15" t="n">
        <f aca="false">B202+C202</f>
        <v>29213.91</v>
      </c>
    </row>
    <row r="203" customFormat="false" ht="12.75" hidden="false" customHeight="true" outlineLevel="0" collapsed="false">
      <c r="A203" s="14" t="n">
        <v>46198</v>
      </c>
      <c r="B203" s="15" t="n">
        <f aca="false">SUMIFS(Report!$U:$U,Report!$T:$T,"&lt;&gt;"&amp;"MERCADORIAS P/REVENDA",Report!$AA:$AA,"SIM",Report!$C:$C,A203)</f>
        <v>3015.01</v>
      </c>
      <c r="C203" s="15" t="n">
        <f aca="false">SUMIFS(Report!$U:$U,Report!$T:$T,"MERCADORIAS P/REVENDA",Report!$AA:$AA,"SIM",Report!$C:$C,A203)</f>
        <v>16800.27</v>
      </c>
      <c r="F203" s="15" t="n">
        <f aca="false">B203+C203</f>
        <v>19815.28</v>
      </c>
    </row>
    <row r="204" customFormat="false" ht="12.75" hidden="false" customHeight="true" outlineLevel="0" collapsed="false">
      <c r="A204" s="14" t="n">
        <v>46199</v>
      </c>
      <c r="B204" s="15" t="n">
        <f aca="false">SUMIFS(Report!$U:$U,Report!$T:$T,"&lt;&gt;"&amp;"MERCADORIAS P/REVENDA",Report!$AA:$AA,"SIM",Report!$C:$C,A204)</f>
        <v>12366.49</v>
      </c>
      <c r="C204" s="15" t="n">
        <f aca="false">SUMIFS(Report!$U:$U,Report!$T:$T,"MERCADORIAS P/REVENDA",Report!$AA:$AA,"SIM",Report!$C:$C,A204)</f>
        <v>10828.69</v>
      </c>
      <c r="F204" s="15" t="n">
        <f aca="false">B204+C204</f>
        <v>23195.18</v>
      </c>
    </row>
    <row r="205" customFormat="false" ht="12.75" hidden="false" customHeight="true" outlineLevel="0" collapsed="false">
      <c r="A205" s="31" t="n">
        <v>46200</v>
      </c>
      <c r="B205" s="32" t="n">
        <f aca="false">SUMIFS(Report!$U:$U,Report!$T:$T,"&lt;&gt;"&amp;"MERCADORIAS P/REVENDA",Report!$AA:$AA,"SIM",Report!$C:$C,A205)</f>
        <v>2650</v>
      </c>
      <c r="C205" s="32" t="n">
        <f aca="false">SUMIFS(Report!$U:$U,Report!$T:$T,"MERCADORIAS P/REVENDA",Report!$AA:$AA,"SIM",Report!$C:$C,A205)</f>
        <v>7347.72</v>
      </c>
      <c r="D205" s="33"/>
      <c r="E205" s="33"/>
      <c r="F205" s="32" t="n">
        <f aca="false">B205+C205</f>
        <v>9997.72</v>
      </c>
    </row>
    <row r="206" customFormat="false" ht="12.75" hidden="false" customHeight="true" outlineLevel="0" collapsed="false">
      <c r="A206" s="31" t="n">
        <v>46201</v>
      </c>
      <c r="B206" s="32" t="n">
        <f aca="false">SUMIFS(Report!$U:$U,Report!$T:$T,"&lt;&gt;"&amp;"MERCADORIAS P/REVENDA",Report!$AA:$AA,"SIM",Report!$C:$C,A206)</f>
        <v>1694</v>
      </c>
      <c r="C206" s="32" t="n">
        <f aca="false">SUMIFS(Report!$U:$U,Report!$T:$T,"MERCADORIAS P/REVENDA",Report!$AA:$AA,"SIM",Report!$C:$C,A206)</f>
        <v>1589.28</v>
      </c>
      <c r="D206" s="33"/>
      <c r="E206" s="33"/>
      <c r="F206" s="32" t="n">
        <f aca="false">B206+C206</f>
        <v>3283.28</v>
      </c>
    </row>
    <row r="207" customFormat="false" ht="12.75" hidden="false" customHeight="true" outlineLevel="0" collapsed="false">
      <c r="A207" s="31" t="n">
        <v>46202</v>
      </c>
      <c r="B207" s="32" t="n">
        <f aca="false">SUMIFS(Report!$U:$U,Report!$T:$T,"&lt;&gt;"&amp;"MERCADORIAS P/REVENDA",Report!$AA:$AA,"SIM",Report!$C:$C,A207)</f>
        <v>3855</v>
      </c>
      <c r="C207" s="32" t="n">
        <f aca="false">SUMIFS(Report!$U:$U,Report!$T:$T,"MERCADORIAS P/REVENDA",Report!$AA:$AA,"SIM",Report!$C:$C,A207)</f>
        <v>14050.67</v>
      </c>
      <c r="D207" s="33"/>
      <c r="E207" s="33"/>
      <c r="F207" s="32" t="n">
        <f aca="false">B207+C207</f>
        <v>17905.67</v>
      </c>
    </row>
    <row r="208" customFormat="false" ht="12.75" hidden="false" customHeight="true" outlineLevel="0" collapsed="false">
      <c r="A208" s="34" t="s">
        <v>2156</v>
      </c>
      <c r="B208" s="22" t="n">
        <f aca="false">SUM(B201:B207)</f>
        <v>48752.76</v>
      </c>
      <c r="C208" s="22" t="n">
        <f aca="false">SUM(C201:C207)</f>
        <v>75723.62</v>
      </c>
      <c r="D208" s="26"/>
      <c r="E208" s="26"/>
      <c r="F208" s="22" t="n">
        <f aca="false">B208+C208</f>
        <v>124476.38</v>
      </c>
    </row>
    <row r="209" customFormat="false" ht="12.75" hidden="false" customHeight="true" outlineLevel="0" collapsed="false">
      <c r="A209" s="14" t="n">
        <v>46203</v>
      </c>
      <c r="B209" s="15" t="n">
        <f aca="false">SUMIFS(Report!$U:$U,Report!$T:$T,"&lt;&gt;"&amp;"MERCADORIAS P/REVENDA",Report!$AA:$AA,"SIM",Report!$C:$C,A209)</f>
        <v>6745.5</v>
      </c>
      <c r="C209" s="15" t="n">
        <f aca="false">SUMIFS(Report!$U:$U,Report!$T:$T,"MERCADORIAS P/REVENDA",Report!$AA:$AA,"SIM",Report!$C:$C,A209)</f>
        <v>14081.89</v>
      </c>
      <c r="F209" s="15" t="n">
        <f aca="false">B209+C209</f>
        <v>20827.39</v>
      </c>
    </row>
    <row r="210" customFormat="false" ht="12.75" hidden="false" customHeight="true" outlineLevel="0" collapsed="false">
      <c r="A210" s="14" t="n">
        <v>46204</v>
      </c>
      <c r="B210" s="15" t="n">
        <f aca="false">SUMIFS(Report!$U:$U,Report!$T:$T,"&lt;&gt;"&amp;"MERCADORIAS P/REVENDA",Report!$AA:$AA,"SIM",Report!$C:$C,A210)</f>
        <v>10931.05</v>
      </c>
      <c r="C210" s="15" t="n">
        <f aca="false">SUMIFS(Report!$U:$U,Report!$T:$T,"MERCADORIAS P/REVENDA",Report!$AA:$AA,"SIM",Report!$C:$C,A210)</f>
        <v>14448.33</v>
      </c>
      <c r="F210" s="15" t="n">
        <f aca="false">B210+C210</f>
        <v>25379.38</v>
      </c>
    </row>
    <row r="211" customFormat="false" ht="12.75" hidden="false" customHeight="true" outlineLevel="0" collapsed="false">
      <c r="A211" s="14" t="n">
        <v>46205</v>
      </c>
      <c r="B211" s="15" t="n">
        <f aca="false">SUMIFS(Report!$U:$U,Report!$T:$T,"&lt;&gt;"&amp;"MERCADORIAS P/REVENDA",Report!$AA:$AA,"SIM",Report!$C:$C,A211)</f>
        <v>3105.01</v>
      </c>
      <c r="C211" s="15" t="n">
        <f aca="false">SUMIFS(Report!$U:$U,Report!$T:$T,"MERCADORIAS P/REVENDA",Report!$AA:$AA,"SIM",Report!$C:$C,A211)</f>
        <v>12314.65</v>
      </c>
      <c r="F211" s="15" t="n">
        <f aca="false">B211+C211</f>
        <v>15419.66</v>
      </c>
    </row>
    <row r="212" customFormat="false" ht="12.75" hidden="false" customHeight="true" outlineLevel="0" collapsed="false">
      <c r="A212" s="14" t="n">
        <v>46206</v>
      </c>
      <c r="B212" s="15" t="n">
        <f aca="false">SUMIFS(Report!$U:$U,Report!$T:$T,"&lt;&gt;"&amp;"MERCADORIAS P/REVENDA",Report!$AA:$AA,"SIM",Report!$C:$C,A212)</f>
        <v>20173.9</v>
      </c>
      <c r="C212" s="15" t="n">
        <f aca="false">SUMIFS(Report!$U:$U,Report!$T:$T,"MERCADORIAS P/REVENDA",Report!$AA:$AA,"SIM",Report!$C:$C,A212)</f>
        <v>21573.42</v>
      </c>
      <c r="F212" s="15" t="n">
        <f aca="false">B212+C212</f>
        <v>41747.32</v>
      </c>
    </row>
    <row r="213" customFormat="false" ht="12.75" hidden="false" customHeight="true" outlineLevel="0" collapsed="false">
      <c r="A213" s="31" t="n">
        <v>46207</v>
      </c>
      <c r="B213" s="32" t="n">
        <f aca="false">SUMIFS(Report!$U:$U,Report!$T:$T,"&lt;&gt;"&amp;"MERCADORIAS P/REVENDA",Report!$AA:$AA,"SIM",Report!$C:$C,A213)</f>
        <v>3458</v>
      </c>
      <c r="C213" s="32" t="n">
        <f aca="false">SUMIFS(Report!$U:$U,Report!$T:$T,"MERCADORIAS P/REVENDA",Report!$AA:$AA,"SIM",Report!$C:$C,A213)</f>
        <v>8204.38</v>
      </c>
      <c r="D213" s="33"/>
      <c r="E213" s="33"/>
      <c r="F213" s="32" t="n">
        <f aca="false">B213+C213</f>
        <v>11662.38</v>
      </c>
    </row>
    <row r="214" customFormat="false" ht="12.75" hidden="false" customHeight="true" outlineLevel="0" collapsed="false">
      <c r="A214" s="31" t="n">
        <v>46208</v>
      </c>
      <c r="B214" s="32" t="n">
        <f aca="false">SUMIFS(Report!$U:$U,Report!$T:$T,"&lt;&gt;"&amp;"MERCADORIAS P/REVENDA",Report!$AA:$AA,"SIM",Report!$C:$C,A214)</f>
        <v>2434.02</v>
      </c>
      <c r="C214" s="32" t="n">
        <f aca="false">SUMIFS(Report!$U:$U,Report!$T:$T,"MERCADORIAS P/REVENDA",Report!$AA:$AA,"SIM",Report!$C:$C,A214)</f>
        <v>0</v>
      </c>
      <c r="D214" s="33"/>
      <c r="E214" s="33"/>
      <c r="F214" s="32" t="n">
        <f aca="false">B214+C214</f>
        <v>2434.02</v>
      </c>
    </row>
    <row r="215" customFormat="false" ht="12.75" hidden="false" customHeight="true" outlineLevel="0" collapsed="false">
      <c r="A215" s="31" t="n">
        <v>46209</v>
      </c>
      <c r="B215" s="32" t="n">
        <f aca="false">SUMIFS(Report!$U:$U,Report!$T:$T,"&lt;&gt;"&amp;"MERCADORIAS P/REVENDA",Report!$AA:$AA,"SIM",Report!$C:$C,A215)</f>
        <v>7971.3</v>
      </c>
      <c r="C215" s="32" t="n">
        <f aca="false">SUMIFS(Report!$U:$U,Report!$T:$T,"MERCADORIAS P/REVENDA",Report!$AA:$AA,"SIM",Report!$C:$C,A215)</f>
        <v>4940.99</v>
      </c>
      <c r="D215" s="33"/>
      <c r="E215" s="33"/>
      <c r="F215" s="32" t="n">
        <f aca="false">B215+C215</f>
        <v>12912.29</v>
      </c>
    </row>
    <row r="216" customFormat="false" ht="12.75" hidden="false" customHeight="true" outlineLevel="0" collapsed="false">
      <c r="A216" s="34" t="s">
        <v>2157</v>
      </c>
      <c r="B216" s="22" t="n">
        <f aca="false">SUM(B209:B215)</f>
        <v>54818.78</v>
      </c>
      <c r="C216" s="22" t="n">
        <f aca="false">SUM(C209:C215)</f>
        <v>75563.66</v>
      </c>
      <c r="D216" s="26"/>
      <c r="E216" s="26"/>
      <c r="F216" s="22" t="n">
        <f aca="false">B216+C216</f>
        <v>130382.44</v>
      </c>
    </row>
    <row r="217" customFormat="false" ht="12.75" hidden="false" customHeight="true" outlineLevel="0" collapsed="false">
      <c r="A217" s="14" t="n">
        <v>46210</v>
      </c>
      <c r="B217" s="15" t="n">
        <f aca="false">SUMIFS(Report!$U:$U,Report!$T:$T,"&lt;&gt;"&amp;"MERCADORIAS P/REVENDA",Report!$AA:$AA,"SIM",Report!$C:$C,A217)</f>
        <v>2477.63</v>
      </c>
      <c r="C217" s="15" t="n">
        <f aca="false">SUMIFS(Report!$U:$U,Report!$T:$T,"MERCADORIAS P/REVENDA",Report!$AA:$AA,"SIM",Report!$C:$C,A217)</f>
        <v>13035.31</v>
      </c>
      <c r="F217" s="15" t="n">
        <f aca="false">B217+C217</f>
        <v>15512.94</v>
      </c>
    </row>
    <row r="218" customFormat="false" ht="12.75" hidden="false" customHeight="true" outlineLevel="0" collapsed="false">
      <c r="A218" s="14" t="n">
        <v>46211</v>
      </c>
      <c r="B218" s="15" t="n">
        <f aca="false">SUMIFS(Report!$U:$U,Report!$T:$T,"&lt;&gt;"&amp;"MERCADORIAS P/REVENDA",Report!$AA:$AA,"SIM",Report!$C:$C,A218)</f>
        <v>3031.47</v>
      </c>
      <c r="C218" s="15" t="n">
        <f aca="false">SUMIFS(Report!$U:$U,Report!$T:$T,"MERCADORIAS P/REVENDA",Report!$AA:$AA,"SIM",Report!$C:$C,A218)</f>
        <v>9310.83</v>
      </c>
      <c r="F218" s="15" t="n">
        <f aca="false">B218+C218</f>
        <v>12342.3</v>
      </c>
    </row>
    <row r="219" customFormat="false" ht="12.75" hidden="false" customHeight="true" outlineLevel="0" collapsed="false">
      <c r="A219" s="14" t="n">
        <v>46212</v>
      </c>
      <c r="B219" s="15" t="n">
        <f aca="false">SUMIFS(Report!$U:$U,Report!$T:$T,"&lt;&gt;"&amp;"MERCADORIAS P/REVENDA",Report!$AA:$AA,"SIM",Report!$C:$C,A219)</f>
        <v>2210</v>
      </c>
      <c r="C219" s="15" t="n">
        <f aca="false">SUMIFS(Report!$U:$U,Report!$T:$T,"MERCADORIAS P/REVENDA",Report!$AA:$AA,"SIM",Report!$C:$C,A219)</f>
        <v>14468.47</v>
      </c>
      <c r="F219" s="15" t="n">
        <f aca="false">B219+C219</f>
        <v>16678.47</v>
      </c>
    </row>
    <row r="220" customFormat="false" ht="12.75" hidden="false" customHeight="true" outlineLevel="0" collapsed="false">
      <c r="A220" s="14" t="n">
        <v>46213</v>
      </c>
      <c r="B220" s="15" t="n">
        <f aca="false">SUMIFS(Report!$U:$U,Report!$T:$T,"&lt;&gt;"&amp;"MERCADORIAS P/REVENDA",Report!$AA:$AA,"SIM",Report!$C:$C,A220)</f>
        <v>7138.63</v>
      </c>
      <c r="C220" s="15" t="n">
        <f aca="false">SUMIFS(Report!$U:$U,Report!$T:$T,"MERCADORIAS P/REVENDA",Report!$AA:$AA,"SIM",Report!$C:$C,A220)</f>
        <v>25320.98</v>
      </c>
      <c r="F220" s="15" t="n">
        <f aca="false">B220+C220</f>
        <v>32459.61</v>
      </c>
    </row>
    <row r="221" customFormat="false" ht="12.75" hidden="false" customHeight="true" outlineLevel="0" collapsed="false">
      <c r="A221" s="31" t="n">
        <v>46214</v>
      </c>
      <c r="B221" s="32" t="n">
        <f aca="false">SUMIFS(Report!$U:$U,Report!$T:$T,"&lt;&gt;"&amp;"MERCADORIAS P/REVENDA",Report!$AA:$AA,"SIM",Report!$C:$C,A221)</f>
        <v>2280</v>
      </c>
      <c r="C221" s="32" t="n">
        <f aca="false">SUMIFS(Report!$U:$U,Report!$T:$T,"MERCADORIAS P/REVENDA",Report!$AA:$AA,"SIM",Report!$C:$C,A221)</f>
        <v>2664.11</v>
      </c>
      <c r="D221" s="33"/>
      <c r="E221" s="33"/>
      <c r="F221" s="32" t="n">
        <f aca="false">B221+C221</f>
        <v>4944.11</v>
      </c>
    </row>
    <row r="222" customFormat="false" ht="12.75" hidden="false" customHeight="true" outlineLevel="0" collapsed="false">
      <c r="A222" s="31" t="n">
        <v>46215</v>
      </c>
      <c r="B222" s="32" t="n">
        <f aca="false">SUMIFS(Report!$U:$U,Report!$T:$T,"&lt;&gt;"&amp;"MERCADORIAS P/REVENDA",Report!$AA:$AA,"SIM",Report!$C:$C,A222)</f>
        <v>1660</v>
      </c>
      <c r="C222" s="32" t="n">
        <f aca="false">SUMIFS(Report!$U:$U,Report!$T:$T,"MERCADORIAS P/REVENDA",Report!$AA:$AA,"SIM",Report!$C:$C,A222)</f>
        <v>1361.81</v>
      </c>
      <c r="D222" s="33"/>
      <c r="E222" s="33"/>
      <c r="F222" s="32" t="n">
        <f aca="false">B222+C222</f>
        <v>3021.81</v>
      </c>
    </row>
    <row r="223" customFormat="false" ht="12.75" hidden="false" customHeight="true" outlineLevel="0" collapsed="false">
      <c r="A223" s="31" t="n">
        <v>46216</v>
      </c>
      <c r="B223" s="32" t="n">
        <f aca="false">SUMIFS(Report!$U:$U,Report!$T:$T,"&lt;&gt;"&amp;"MERCADORIAS P/REVENDA",Report!$AA:$AA,"SIM",Report!$C:$C,A223)</f>
        <v>2527.43</v>
      </c>
      <c r="C223" s="32" t="n">
        <f aca="false">SUMIFS(Report!$U:$U,Report!$T:$T,"MERCADORIAS P/REVENDA",Report!$AA:$AA,"SIM",Report!$C:$C,A223)</f>
        <v>7819.88</v>
      </c>
      <c r="D223" s="33"/>
      <c r="E223" s="33"/>
      <c r="F223" s="32" t="n">
        <f aca="false">B223+C223</f>
        <v>10347.31</v>
      </c>
    </row>
    <row r="224" customFormat="false" ht="12.75" hidden="false" customHeight="true" outlineLevel="0" collapsed="false">
      <c r="A224" s="34" t="s">
        <v>2158</v>
      </c>
      <c r="B224" s="22" t="n">
        <f aca="false">SUM(B217:B223)</f>
        <v>21325.16</v>
      </c>
      <c r="C224" s="22" t="n">
        <f aca="false">SUM(C217:C223)</f>
        <v>73981.39</v>
      </c>
      <c r="D224" s="26"/>
      <c r="E224" s="26"/>
      <c r="F224" s="22" t="n">
        <f aca="false">B224+C224</f>
        <v>95306.55</v>
      </c>
    </row>
    <row r="225" customFormat="false" ht="12.75" hidden="false" customHeight="true" outlineLevel="0" collapsed="false">
      <c r="A225" s="14" t="n">
        <v>46217</v>
      </c>
      <c r="B225" s="15" t="n">
        <f aca="false">SUMIFS(Report!$U:$U,Report!$T:$T,"&lt;&gt;"&amp;"MERCADORIAS P/REVENDA",Report!$AA:$AA,"SIM",Report!$C:$C,A225)</f>
        <v>5439.66</v>
      </c>
      <c r="C225" s="15" t="n">
        <f aca="false">SUMIFS(Report!$U:$U,Report!$T:$T,"MERCADORIAS P/REVENDA",Report!$AA:$AA,"SIM",Report!$C:$C,A225)</f>
        <v>11010.07</v>
      </c>
      <c r="F225" s="15" t="n">
        <f aca="false">B225+C225</f>
        <v>16449.73</v>
      </c>
    </row>
    <row r="226" customFormat="false" ht="12.75" hidden="false" customHeight="true" outlineLevel="0" collapsed="false">
      <c r="A226" s="14" t="n">
        <v>46218</v>
      </c>
      <c r="B226" s="15" t="n">
        <f aca="false">SUMIFS(Report!$U:$U,Report!$T:$T,"&lt;&gt;"&amp;"MERCADORIAS P/REVENDA",Report!$AA:$AA,"SIM",Report!$C:$C,A226)</f>
        <v>8438.88</v>
      </c>
      <c r="C226" s="15" t="n">
        <f aca="false">SUMIFS(Report!$U:$U,Report!$T:$T,"MERCADORIAS P/REVENDA",Report!$AA:$AA,"SIM",Report!$C:$C,A226)</f>
        <v>6943.07</v>
      </c>
      <c r="F226" s="15" t="n">
        <f aca="false">B226+C226</f>
        <v>15381.95</v>
      </c>
    </row>
    <row r="227" customFormat="false" ht="12.75" hidden="false" customHeight="true" outlineLevel="0" collapsed="false">
      <c r="A227" s="14" t="n">
        <v>46219</v>
      </c>
      <c r="B227" s="15" t="n">
        <f aca="false">SUMIFS(Report!$U:$U,Report!$T:$T,"&lt;&gt;"&amp;"MERCADORIAS P/REVENDA",Report!$AA:$AA,"SIM",Report!$C:$C,A227)</f>
        <v>3250</v>
      </c>
      <c r="C227" s="15" t="n">
        <f aca="false">SUMIFS(Report!$U:$U,Report!$T:$T,"MERCADORIAS P/REVENDA",Report!$AA:$AA,"SIM",Report!$C:$C,A227)</f>
        <v>11014.99</v>
      </c>
      <c r="F227" s="15" t="n">
        <f aca="false">B227+C227</f>
        <v>14264.99</v>
      </c>
    </row>
    <row r="228" customFormat="false" ht="12.75" hidden="false" customHeight="true" outlineLevel="0" collapsed="false">
      <c r="A228" s="14" t="n">
        <v>46220</v>
      </c>
      <c r="B228" s="15" t="n">
        <f aca="false">SUMIFS(Report!$U:$U,Report!$T:$T,"&lt;&gt;"&amp;"MERCADORIAS P/REVENDA",Report!$AA:$AA,"SIM",Report!$C:$C,A228)</f>
        <v>3231</v>
      </c>
      <c r="C228" s="15" t="n">
        <f aca="false">SUMIFS(Report!$U:$U,Report!$T:$T,"MERCADORIAS P/REVENDA",Report!$AA:$AA,"SIM",Report!$C:$C,A228)</f>
        <v>19817.83</v>
      </c>
      <c r="F228" s="15" t="n">
        <f aca="false">B228+C228</f>
        <v>23048.83</v>
      </c>
    </row>
    <row r="229" customFormat="false" ht="12.75" hidden="false" customHeight="true" outlineLevel="0" collapsed="false">
      <c r="A229" s="31" t="n">
        <v>46221</v>
      </c>
      <c r="B229" s="32" t="n">
        <f aca="false">SUMIFS(Report!$U:$U,Report!$T:$T,"&lt;&gt;"&amp;"MERCADORIAS P/REVENDA",Report!$AA:$AA,"SIM",Report!$C:$C,A229)</f>
        <v>3567.27</v>
      </c>
      <c r="C229" s="32" t="n">
        <f aca="false">SUMIFS(Report!$U:$U,Report!$T:$T,"MERCADORIAS P/REVENDA",Report!$AA:$AA,"SIM",Report!$C:$C,A229)</f>
        <v>6413.08</v>
      </c>
      <c r="D229" s="33"/>
      <c r="E229" s="33"/>
      <c r="F229" s="32" t="n">
        <f aca="false">B229+C229</f>
        <v>9980.35</v>
      </c>
    </row>
    <row r="230" customFormat="false" ht="12.75" hidden="false" customHeight="true" outlineLevel="0" collapsed="false">
      <c r="A230" s="31" t="n">
        <v>46222</v>
      </c>
      <c r="B230" s="32" t="n">
        <f aca="false">SUMIFS(Report!$U:$U,Report!$T:$T,"&lt;&gt;"&amp;"MERCADORIAS P/REVENDA",Report!$AA:$AA,"SIM",Report!$C:$C,A230)</f>
        <v>1888</v>
      </c>
      <c r="C230" s="32" t="n">
        <f aca="false">SUMIFS(Report!$U:$U,Report!$T:$T,"MERCADORIAS P/REVENDA",Report!$AA:$AA,"SIM",Report!$C:$C,A230)</f>
        <v>2273.8</v>
      </c>
      <c r="D230" s="33"/>
      <c r="E230" s="33"/>
      <c r="F230" s="32" t="n">
        <f aca="false">B230+C230</f>
        <v>4161.8</v>
      </c>
    </row>
    <row r="231" customFormat="false" ht="12.75" hidden="false" customHeight="true" outlineLevel="0" collapsed="false">
      <c r="A231" s="31" t="n">
        <v>46223</v>
      </c>
      <c r="B231" s="32" t="n">
        <f aca="false">SUMIFS(Report!$U:$U,Report!$T:$T,"&lt;&gt;"&amp;"MERCADORIAS P/REVENDA",Report!$AA:$AA,"SIM",Report!$C:$C,A231)</f>
        <v>10504.28</v>
      </c>
      <c r="C231" s="32" t="n">
        <f aca="false">SUMIFS(Report!$U:$U,Report!$T:$T,"MERCADORIAS P/REVENDA",Report!$AA:$AA,"SIM",Report!$C:$C,A231)</f>
        <v>3792.93</v>
      </c>
      <c r="D231" s="33"/>
      <c r="E231" s="33"/>
      <c r="F231" s="32" t="n">
        <f aca="false">B231+C231</f>
        <v>14297.21</v>
      </c>
    </row>
    <row r="232" customFormat="false" ht="12.75" hidden="false" customHeight="true" outlineLevel="0" collapsed="false">
      <c r="A232" s="34" t="s">
        <v>2159</v>
      </c>
      <c r="B232" s="22" t="n">
        <f aca="false">SUM(B225:B231)</f>
        <v>36319.09</v>
      </c>
      <c r="C232" s="22" t="n">
        <f aca="false">SUM(C225:C231)</f>
        <v>61265.77</v>
      </c>
      <c r="D232" s="26"/>
      <c r="E232" s="26"/>
      <c r="F232" s="22" t="n">
        <f aca="false">B232+C232</f>
        <v>97584.86</v>
      </c>
    </row>
    <row r="233" customFormat="false" ht="12.75" hidden="false" customHeight="true" outlineLevel="0" collapsed="false">
      <c r="A233" s="14" t="n">
        <v>46224</v>
      </c>
      <c r="B233" s="15" t="n">
        <f aca="false">SUMIFS(Report!$U:$U,Report!$T:$T,"&lt;&gt;"&amp;"MERCADORIAS P/REVENDA",Report!$AA:$AA,"SIM",Report!$C:$C,A233)</f>
        <v>7819.61</v>
      </c>
      <c r="C233" s="15" t="n">
        <f aca="false">SUMIFS(Report!$U:$U,Report!$T:$T,"MERCADORIAS P/REVENDA",Report!$AA:$AA,"SIM",Report!$C:$C,A233)</f>
        <v>10780.55</v>
      </c>
      <c r="F233" s="15" t="n">
        <f aca="false">B233+C233</f>
        <v>18600.16</v>
      </c>
    </row>
    <row r="234" customFormat="false" ht="12.75" hidden="false" customHeight="true" outlineLevel="0" collapsed="false">
      <c r="A234" s="14" t="n">
        <v>46225</v>
      </c>
      <c r="B234" s="15" t="n">
        <f aca="false">SUMIFS(Report!$U:$U,Report!$T:$T,"&lt;&gt;"&amp;"MERCADORIAS P/REVENDA",Report!$AA:$AA,"SIM",Report!$C:$C,A234)</f>
        <v>2070</v>
      </c>
      <c r="C234" s="15" t="n">
        <f aca="false">SUMIFS(Report!$U:$U,Report!$T:$T,"MERCADORIAS P/REVENDA",Report!$AA:$AA,"SIM",Report!$C:$C,A234)</f>
        <v>12023.9</v>
      </c>
      <c r="F234" s="15" t="n">
        <f aca="false">B234+C234</f>
        <v>14093.9</v>
      </c>
    </row>
    <row r="235" customFormat="false" ht="12.75" hidden="false" customHeight="true" outlineLevel="0" collapsed="false">
      <c r="A235" s="14" t="n">
        <v>46226</v>
      </c>
      <c r="B235" s="15" t="n">
        <f aca="false">SUMIFS(Report!$U:$U,Report!$T:$T,"&lt;&gt;"&amp;"MERCADORIAS P/REVENDA",Report!$AA:$AA,"SIM",Report!$C:$C,A235)</f>
        <v>11718.54</v>
      </c>
      <c r="C235" s="15" t="n">
        <f aca="false">SUMIFS(Report!$U:$U,Report!$T:$T,"MERCADORIAS P/REVENDA",Report!$AA:$AA,"SIM",Report!$C:$C,A235)</f>
        <v>13795.49</v>
      </c>
      <c r="F235" s="15" t="n">
        <f aca="false">B235+C235</f>
        <v>25514.03</v>
      </c>
    </row>
    <row r="236" customFormat="false" ht="12.75" hidden="false" customHeight="true" outlineLevel="0" collapsed="false">
      <c r="A236" s="14" t="n">
        <v>46227</v>
      </c>
      <c r="B236" s="15" t="n">
        <f aca="false">SUMIFS(Report!$U:$U,Report!$T:$T,"&lt;&gt;"&amp;"MERCADORIAS P/REVENDA",Report!$AA:$AA,"SIM",Report!$C:$C,A236)</f>
        <v>8273.28</v>
      </c>
      <c r="C236" s="15" t="n">
        <f aca="false">SUMIFS(Report!$U:$U,Report!$T:$T,"MERCADORIAS P/REVENDA",Report!$AA:$AA,"SIM",Report!$C:$C,A236)</f>
        <v>12734</v>
      </c>
      <c r="F236" s="15" t="n">
        <f aca="false">B236+C236</f>
        <v>21007.28</v>
      </c>
    </row>
    <row r="237" customFormat="false" ht="12.75" hidden="false" customHeight="true" outlineLevel="0" collapsed="false">
      <c r="A237" s="31" t="n">
        <v>46228</v>
      </c>
      <c r="B237" s="32" t="n">
        <f aca="false">SUMIFS(Report!$U:$U,Report!$T:$T,"&lt;&gt;"&amp;"MERCADORIAS P/REVENDA",Report!$AA:$AA,"SIM",Report!$C:$C,A237)</f>
        <v>3296.17</v>
      </c>
      <c r="C237" s="32" t="n">
        <f aca="false">SUMIFS(Report!$U:$U,Report!$T:$T,"MERCADORIAS P/REVENDA",Report!$AA:$AA,"SIM",Report!$C:$C,A237)</f>
        <v>4344</v>
      </c>
      <c r="D237" s="33"/>
      <c r="E237" s="33"/>
      <c r="F237" s="32" t="n">
        <f aca="false">B237+C237</f>
        <v>7640.17</v>
      </c>
    </row>
    <row r="238" customFormat="false" ht="12.75" hidden="false" customHeight="true" outlineLevel="0" collapsed="false">
      <c r="A238" s="31" t="n">
        <v>46229</v>
      </c>
      <c r="B238" s="32" t="n">
        <f aca="false">SUMIFS(Report!$U:$U,Report!$T:$T,"&lt;&gt;"&amp;"MERCADORIAS P/REVENDA",Report!$AA:$AA,"SIM",Report!$C:$C,A238)</f>
        <v>1924</v>
      </c>
      <c r="C238" s="32" t="n">
        <f aca="false">SUMIFS(Report!$U:$U,Report!$T:$T,"MERCADORIAS P/REVENDA",Report!$AA:$AA,"SIM",Report!$C:$C,A238)</f>
        <v>819.53</v>
      </c>
      <c r="D238" s="33"/>
      <c r="E238" s="33"/>
      <c r="F238" s="32" t="n">
        <f aca="false">B238+C238</f>
        <v>2743.53</v>
      </c>
    </row>
    <row r="239" customFormat="false" ht="12.75" hidden="false" customHeight="true" outlineLevel="0" collapsed="false">
      <c r="A239" s="31" t="n">
        <v>46230</v>
      </c>
      <c r="B239" s="32" t="n">
        <f aca="false">SUMIFS(Report!$U:$U,Report!$T:$T,"&lt;&gt;"&amp;"MERCADORIAS P/REVENDA",Report!$AA:$AA,"SIM",Report!$C:$C,A239)</f>
        <v>9634.11</v>
      </c>
      <c r="C239" s="32" t="n">
        <f aca="false">SUMIFS(Report!$U:$U,Report!$T:$T,"MERCADORIAS P/REVENDA",Report!$AA:$AA,"SIM",Report!$C:$C,A239)</f>
        <v>6271.3</v>
      </c>
      <c r="D239" s="33"/>
      <c r="E239" s="33"/>
      <c r="F239" s="32" t="n">
        <f aca="false">B239+C239</f>
        <v>15905.41</v>
      </c>
    </row>
    <row r="240" customFormat="false" ht="12.75" hidden="false" customHeight="true" outlineLevel="0" collapsed="false">
      <c r="A240" s="34" t="s">
        <v>2160</v>
      </c>
      <c r="B240" s="22" t="n">
        <f aca="false">SUM(B233:B239)</f>
        <v>44735.71</v>
      </c>
      <c r="C240" s="22" t="n">
        <f aca="false">SUM(C233:C239)</f>
        <v>60768.77</v>
      </c>
      <c r="D240" s="26"/>
      <c r="E240" s="26"/>
      <c r="F240" s="22" t="n">
        <f aca="false">B240+C240</f>
        <v>105504.48</v>
      </c>
    </row>
    <row r="241" customFormat="false" ht="12.75" hidden="false" customHeight="true" outlineLevel="0" collapsed="false">
      <c r="A241" s="14" t="n">
        <v>46231</v>
      </c>
      <c r="B241" s="15" t="n">
        <f aca="false">SUMIFS(Report!$U:$U,Report!$T:$T,"&lt;&gt;"&amp;"MERCADORIAS P/REVENDA",Report!$AA:$AA,"SIM",Report!$C:$C,A241)</f>
        <v>2808.47</v>
      </c>
      <c r="C241" s="15" t="n">
        <f aca="false">SUMIFS(Report!$U:$U,Report!$T:$T,"MERCADORIAS P/REVENDA",Report!$AA:$AA,"SIM",Report!$C:$C,A241)</f>
        <v>8401.16</v>
      </c>
      <c r="F241" s="15" t="n">
        <f aca="false">B241+C241</f>
        <v>11209.63</v>
      </c>
    </row>
    <row r="242" customFormat="false" ht="12.75" hidden="false" customHeight="true" outlineLevel="0" collapsed="false">
      <c r="A242" s="14" t="n">
        <v>46232</v>
      </c>
      <c r="B242" s="15" t="n">
        <f aca="false">SUMIFS(Report!$U:$U,Report!$T:$T,"&lt;&gt;"&amp;"MERCADORIAS P/REVENDA",Report!$AA:$AA,"SIM",Report!$C:$C,A242)</f>
        <v>3086.18</v>
      </c>
      <c r="C242" s="15" t="n">
        <f aca="false">SUMIFS(Report!$U:$U,Report!$T:$T,"MERCADORIAS P/REVENDA",Report!$AA:$AA,"SIM",Report!$C:$C,A242)</f>
        <v>12172.08</v>
      </c>
      <c r="F242" s="15" t="n">
        <f aca="false">B242+C242</f>
        <v>15258.26</v>
      </c>
    </row>
    <row r="243" customFormat="false" ht="12.75" hidden="false" customHeight="true" outlineLevel="0" collapsed="false">
      <c r="A243" s="14" t="n">
        <v>46233</v>
      </c>
      <c r="B243" s="15" t="n">
        <f aca="false">SUMIFS(Report!$U:$U,Report!$T:$T,"&lt;&gt;"&amp;"MERCADORIAS P/REVENDA",Report!$AA:$AA,"SIM",Report!$C:$C,A243)</f>
        <v>6356.86</v>
      </c>
      <c r="C243" s="15" t="n">
        <f aca="false">SUMIFS(Report!$U:$U,Report!$T:$T,"MERCADORIAS P/REVENDA",Report!$AA:$AA,"SIM",Report!$C:$C,A243)</f>
        <v>7246.69</v>
      </c>
      <c r="F243" s="15" t="n">
        <f aca="false">B243+C243</f>
        <v>13603.55</v>
      </c>
    </row>
    <row r="244" customFormat="false" ht="12.75" hidden="false" customHeight="true" outlineLevel="0" collapsed="false">
      <c r="A244" s="14" t="n">
        <v>46234</v>
      </c>
      <c r="B244" s="15" t="n">
        <f aca="false">SUMIFS(Report!$U:$U,Report!$T:$T,"&lt;&gt;"&amp;"MERCADORIAS P/REVENDA",Report!$AA:$AA,"SIM",Report!$C:$C,A244)</f>
        <v>5115.82</v>
      </c>
      <c r="C244" s="15" t="n">
        <f aca="false">SUMIFS(Report!$U:$U,Report!$T:$T,"MERCADORIAS P/REVENDA",Report!$AA:$AA,"SIM",Report!$C:$C,A244)</f>
        <v>16231.5</v>
      </c>
      <c r="F244" s="15" t="n">
        <f aca="false">B244+C244</f>
        <v>21347.32</v>
      </c>
    </row>
    <row r="245" customFormat="false" ht="12.75" hidden="false" customHeight="true" outlineLevel="0" collapsed="false">
      <c r="A245" s="31" t="n">
        <v>46235</v>
      </c>
      <c r="B245" s="32" t="n">
        <f aca="false">SUMIFS(Report!$U:$U,Report!$T:$T,"&lt;&gt;"&amp;"MERCADORIAS P/REVENDA",Report!$AA:$AA,"SIM",Report!$C:$C,A245)</f>
        <v>6306.82</v>
      </c>
      <c r="C245" s="32" t="n">
        <f aca="false">SUMIFS(Report!$U:$U,Report!$T:$T,"MERCADORIAS P/REVENDA",Report!$AA:$AA,"SIM",Report!$C:$C,A245)</f>
        <v>12984.07</v>
      </c>
      <c r="D245" s="33"/>
      <c r="E245" s="33"/>
      <c r="F245" s="32" t="n">
        <f aca="false">B245+C245</f>
        <v>19290.89</v>
      </c>
    </row>
    <row r="246" customFormat="false" ht="12.75" hidden="false" customHeight="true" outlineLevel="0" collapsed="false">
      <c r="A246" s="31" t="n">
        <v>46236</v>
      </c>
      <c r="B246" s="32" t="n">
        <f aca="false">SUMIFS(Report!$U:$U,Report!$T:$T,"&lt;&gt;"&amp;"MERCADORIAS P/REVENDA",Report!$AA:$AA,"SIM",Report!$C:$C,A246)</f>
        <v>2482</v>
      </c>
      <c r="C246" s="32" t="n">
        <f aca="false">SUMIFS(Report!$U:$U,Report!$T:$T,"MERCADORIAS P/REVENDA",Report!$AA:$AA,"SIM",Report!$C:$C,A246)</f>
        <v>0</v>
      </c>
      <c r="D246" s="33"/>
      <c r="E246" s="33"/>
      <c r="F246" s="32" t="n">
        <f aca="false">B246+C246</f>
        <v>2482</v>
      </c>
    </row>
    <row r="247" customFormat="false" ht="12.75" hidden="false" customHeight="true" outlineLevel="0" collapsed="false">
      <c r="A247" s="31" t="n">
        <v>46237</v>
      </c>
      <c r="B247" s="32" t="n">
        <f aca="false">SUMIFS(Report!$U:$U,Report!$T:$T,"&lt;&gt;"&amp;"MERCADORIAS P/REVENDA",Report!$AA:$AA,"SIM",Report!$C:$C,A247)</f>
        <v>3387.39</v>
      </c>
      <c r="C247" s="32" t="n">
        <f aca="false">SUMIFS(Report!$U:$U,Report!$T:$T,"MERCADORIAS P/REVENDA",Report!$AA:$AA,"SIM",Report!$C:$C,A247)</f>
        <v>8325.77</v>
      </c>
      <c r="D247" s="33"/>
      <c r="E247" s="33"/>
      <c r="F247" s="32" t="n">
        <f aca="false">B247+C247</f>
        <v>11713.16</v>
      </c>
    </row>
    <row r="248" customFormat="false" ht="12.75" hidden="false" customHeight="true" outlineLevel="0" collapsed="false">
      <c r="A248" s="34" t="s">
        <v>2161</v>
      </c>
      <c r="B248" s="22" t="n">
        <f aca="false">SUM(B241:B247)</f>
        <v>29543.54</v>
      </c>
      <c r="C248" s="22" t="n">
        <f aca="false">SUM(C241:C247)</f>
        <v>65361.27</v>
      </c>
      <c r="D248" s="26"/>
      <c r="E248" s="26"/>
      <c r="F248" s="22" t="n">
        <f aca="false">B248+C248</f>
        <v>94904.81</v>
      </c>
    </row>
    <row r="249" customFormat="false" ht="12.75" hidden="false" customHeight="true" outlineLevel="0" collapsed="false">
      <c r="A249" s="14" t="n">
        <v>46238</v>
      </c>
      <c r="B249" s="15" t="n">
        <f aca="false">SUMIFS(Report!$U:$U,Report!$T:$T,"&lt;&gt;"&amp;"MERCADORIAS P/REVENDA",Report!$AA:$AA,"SIM",Report!$C:$C,A249)</f>
        <v>7354.14</v>
      </c>
      <c r="C249" s="15" t="n">
        <f aca="false">SUMIFS(Report!$U:$U,Report!$T:$T,"MERCADORIAS P/REVENDA",Report!$AA:$AA,"SIM",Report!$C:$C,A249)</f>
        <v>6126.8</v>
      </c>
      <c r="F249" s="15" t="n">
        <f aca="false">B249+C249</f>
        <v>13480.94</v>
      </c>
    </row>
    <row r="250" customFormat="false" ht="12.75" hidden="false" customHeight="true" outlineLevel="0" collapsed="false">
      <c r="A250" s="14" t="n">
        <v>46239</v>
      </c>
      <c r="B250" s="15" t="n">
        <f aca="false">SUMIFS(Report!$U:$U,Report!$T:$T,"&lt;&gt;"&amp;"MERCADORIAS P/REVENDA",Report!$AA:$AA,"SIM",Report!$C:$C,A250)</f>
        <v>18609.82</v>
      </c>
      <c r="C250" s="15" t="n">
        <f aca="false">SUMIFS(Report!$U:$U,Report!$T:$T,"MERCADORIAS P/REVENDA",Report!$AA:$AA,"SIM",Report!$C:$C,A250)</f>
        <v>15636.57</v>
      </c>
      <c r="F250" s="15" t="n">
        <f aca="false">B250+C250</f>
        <v>34246.39</v>
      </c>
    </row>
    <row r="251" customFormat="false" ht="12.75" hidden="false" customHeight="true" outlineLevel="0" collapsed="false">
      <c r="A251" s="14" t="n">
        <v>46240</v>
      </c>
      <c r="B251" s="15" t="n">
        <f aca="false">SUMIFS(Report!$U:$U,Report!$T:$T,"&lt;&gt;"&amp;"MERCADORIAS P/REVENDA",Report!$AA:$AA,"SIM",Report!$C:$C,A251)</f>
        <v>2286.5</v>
      </c>
      <c r="C251" s="15" t="n">
        <f aca="false">SUMIFS(Report!$U:$U,Report!$T:$T,"MERCADORIAS P/REVENDA",Report!$AA:$AA,"SIM",Report!$C:$C,A251)</f>
        <v>8485.38</v>
      </c>
      <c r="F251" s="15" t="n">
        <f aca="false">B251+C251</f>
        <v>10771.88</v>
      </c>
    </row>
    <row r="252" customFormat="false" ht="12.75" hidden="false" customHeight="true" outlineLevel="0" collapsed="false">
      <c r="A252" s="14" t="n">
        <v>46241</v>
      </c>
      <c r="B252" s="15" t="n">
        <f aca="false">SUMIFS(Report!$U:$U,Report!$T:$T,"&lt;&gt;"&amp;"MERCADORIAS P/REVENDA",Report!$AA:$AA,"SIM",Report!$C:$C,A252)</f>
        <v>4709.12</v>
      </c>
      <c r="C252" s="15" t="n">
        <f aca="false">SUMIFS(Report!$U:$U,Report!$T:$T,"MERCADORIAS P/REVENDA",Report!$AA:$AA,"SIM",Report!$C:$C,A252)</f>
        <v>12901.93</v>
      </c>
      <c r="F252" s="15" t="n">
        <f aca="false">B252+C252</f>
        <v>17611.05</v>
      </c>
    </row>
    <row r="253" customFormat="false" ht="12.75" hidden="false" customHeight="true" outlineLevel="0" collapsed="false">
      <c r="A253" s="31" t="n">
        <v>46242</v>
      </c>
      <c r="B253" s="32" t="n">
        <f aca="false">SUMIFS(Report!$U:$U,Report!$T:$T,"&lt;&gt;"&amp;"MERCADORIAS P/REVENDA",Report!$AA:$AA,"SIM",Report!$C:$C,A253)</f>
        <v>3050</v>
      </c>
      <c r="C253" s="32" t="n">
        <f aca="false">SUMIFS(Report!$U:$U,Report!$T:$T,"MERCADORIAS P/REVENDA",Report!$AA:$AA,"SIM",Report!$C:$C,A253)</f>
        <v>8307.55</v>
      </c>
      <c r="D253" s="33"/>
      <c r="E253" s="33"/>
      <c r="F253" s="32" t="n">
        <f aca="false">B253+C253</f>
        <v>11357.55</v>
      </c>
    </row>
    <row r="254" customFormat="false" ht="12.75" hidden="false" customHeight="true" outlineLevel="0" collapsed="false">
      <c r="A254" s="31" t="n">
        <v>46243</v>
      </c>
      <c r="B254" s="32" t="n">
        <f aca="false">SUMIFS(Report!$U:$U,Report!$T:$T,"&lt;&gt;"&amp;"MERCADORIAS P/REVENDA",Report!$AA:$AA,"SIM",Report!$C:$C,A254)</f>
        <v>3039.65</v>
      </c>
      <c r="C254" s="32" t="n">
        <f aca="false">SUMIFS(Report!$U:$U,Report!$T:$T,"MERCADORIAS P/REVENDA",Report!$AA:$AA,"SIM",Report!$C:$C,A254)</f>
        <v>0</v>
      </c>
      <c r="D254" s="33"/>
      <c r="E254" s="33"/>
      <c r="F254" s="32" t="n">
        <f aca="false">B254+C254</f>
        <v>3039.65</v>
      </c>
    </row>
    <row r="255" customFormat="false" ht="12.75" hidden="false" customHeight="true" outlineLevel="0" collapsed="false">
      <c r="A255" s="31" t="n">
        <v>46244</v>
      </c>
      <c r="B255" s="32" t="n">
        <f aca="false">SUMIFS(Report!$U:$U,Report!$T:$T,"&lt;&gt;"&amp;"MERCADORIAS P/REVENDA",Report!$AA:$AA,"SIM",Report!$C:$C,A255)</f>
        <v>7617.24</v>
      </c>
      <c r="C255" s="32" t="n">
        <f aca="false">SUMIFS(Report!$U:$U,Report!$T:$T,"MERCADORIAS P/REVENDA",Report!$AA:$AA,"SIM",Report!$C:$C,A255)</f>
        <v>15280.87</v>
      </c>
      <c r="D255" s="33"/>
      <c r="E255" s="33"/>
      <c r="F255" s="32" t="n">
        <f aca="false">B255+C255</f>
        <v>22898.11</v>
      </c>
    </row>
    <row r="256" customFormat="false" ht="12.75" hidden="false" customHeight="true" outlineLevel="0" collapsed="false">
      <c r="A256" s="34" t="s">
        <v>2162</v>
      </c>
      <c r="B256" s="22" t="n">
        <f aca="false">SUM(B249:B255)</f>
        <v>46666.47</v>
      </c>
      <c r="C256" s="22" t="n">
        <f aca="false">SUM(C249:C255)</f>
        <v>66739.1</v>
      </c>
      <c r="D256" s="26"/>
      <c r="E256" s="26"/>
      <c r="F256" s="22" t="n">
        <f aca="false">B256+C256</f>
        <v>113405.57</v>
      </c>
    </row>
    <row r="257" customFormat="false" ht="12.75" hidden="false" customHeight="true" outlineLevel="0" collapsed="false">
      <c r="A257" s="14" t="n">
        <v>46245</v>
      </c>
      <c r="B257" s="15" t="n">
        <f aca="false">SUMIFS(Report!$U:$U,Report!$T:$T,"&lt;&gt;"&amp;"MERCADORIAS P/REVENDA",Report!$AA:$AA,"SIM",Report!$C:$C,A257)</f>
        <v>3373.67</v>
      </c>
      <c r="C257" s="15" t="n">
        <f aca="false">SUMIFS(Report!$U:$U,Report!$T:$T,"MERCADORIAS P/REVENDA",Report!$AA:$AA,"SIM",Report!$C:$C,A257)</f>
        <v>9469.28</v>
      </c>
      <c r="F257" s="15" t="n">
        <f aca="false">B257+C257</f>
        <v>12842.95</v>
      </c>
    </row>
    <row r="258" customFormat="false" ht="12.75" hidden="false" customHeight="true" outlineLevel="0" collapsed="false">
      <c r="A258" s="14" t="n">
        <v>46246</v>
      </c>
      <c r="B258" s="15" t="n">
        <f aca="false">SUMIFS(Report!$U:$U,Report!$T:$T,"&lt;&gt;"&amp;"MERCADORIAS P/REVENDA",Report!$AA:$AA,"SIM",Report!$C:$C,A258)</f>
        <v>2885</v>
      </c>
      <c r="C258" s="15" t="n">
        <f aca="false">SUMIFS(Report!$U:$U,Report!$T:$T,"MERCADORIAS P/REVENDA",Report!$AA:$AA,"SIM",Report!$C:$C,A258)</f>
        <v>12379.7</v>
      </c>
      <c r="F258" s="15" t="n">
        <f aca="false">B258+C258</f>
        <v>15264.7</v>
      </c>
    </row>
    <row r="259" customFormat="false" ht="12.75" hidden="false" customHeight="true" outlineLevel="0" collapsed="false">
      <c r="A259" s="14" t="n">
        <v>46247</v>
      </c>
      <c r="B259" s="15" t="n">
        <f aca="false">SUMIFS(Report!$U:$U,Report!$T:$T,"&lt;&gt;"&amp;"MERCADORIAS P/REVENDA",Report!$AA:$AA,"SIM",Report!$C:$C,A259)</f>
        <v>4963.8</v>
      </c>
      <c r="C259" s="15" t="n">
        <f aca="false">SUMIFS(Report!$U:$U,Report!$T:$T,"MERCADORIAS P/REVENDA",Report!$AA:$AA,"SIM",Report!$C:$C,A259)</f>
        <v>11733.16</v>
      </c>
      <c r="F259" s="15" t="n">
        <f aca="false">B259+C259</f>
        <v>16696.96</v>
      </c>
    </row>
    <row r="260" customFormat="false" ht="12.75" hidden="false" customHeight="true" outlineLevel="0" collapsed="false">
      <c r="A260" s="14" t="n">
        <v>46248</v>
      </c>
      <c r="B260" s="15" t="n">
        <f aca="false">SUMIFS(Report!$U:$U,Report!$T:$T,"&lt;&gt;"&amp;"MERCADORIAS P/REVENDA",Report!$AA:$AA,"SIM",Report!$C:$C,A260)</f>
        <v>2275</v>
      </c>
      <c r="C260" s="15" t="n">
        <f aca="false">SUMIFS(Report!$U:$U,Report!$T:$T,"MERCADORIAS P/REVENDA",Report!$AA:$AA,"SIM",Report!$C:$C,A260)</f>
        <v>26503.73</v>
      </c>
      <c r="F260" s="15" t="n">
        <f aca="false">B260+C260</f>
        <v>28778.73</v>
      </c>
    </row>
    <row r="261" customFormat="false" ht="12.75" hidden="false" customHeight="true" outlineLevel="0" collapsed="false">
      <c r="A261" s="31" t="n">
        <v>46249</v>
      </c>
      <c r="B261" s="32" t="n">
        <f aca="false">SUMIFS(Report!$U:$U,Report!$T:$T,"&lt;&gt;"&amp;"MERCADORIAS P/REVENDA",Report!$AA:$AA,"SIM",Report!$C:$C,A261)</f>
        <v>9118.88</v>
      </c>
      <c r="C261" s="32" t="n">
        <f aca="false">SUMIFS(Report!$U:$U,Report!$T:$T,"MERCADORIAS P/REVENDA",Report!$AA:$AA,"SIM",Report!$C:$C,A261)</f>
        <v>15834.76</v>
      </c>
      <c r="D261" s="33"/>
      <c r="E261" s="33"/>
      <c r="F261" s="32" t="n">
        <f aca="false">B261+C261</f>
        <v>24953.64</v>
      </c>
    </row>
    <row r="262" customFormat="false" ht="12.75" hidden="false" customHeight="true" outlineLevel="0" collapsed="false">
      <c r="A262" s="31" t="n">
        <v>46250</v>
      </c>
      <c r="B262" s="32" t="n">
        <f aca="false">SUMIFS(Report!$U:$U,Report!$T:$T,"&lt;&gt;"&amp;"MERCADORIAS P/REVENDA",Report!$AA:$AA,"SIM",Report!$C:$C,A262)</f>
        <v>2641</v>
      </c>
      <c r="C262" s="32" t="n">
        <f aca="false">SUMIFS(Report!$U:$U,Report!$T:$T,"MERCADORIAS P/REVENDA",Report!$AA:$AA,"SIM",Report!$C:$C,A262)</f>
        <v>0</v>
      </c>
      <c r="D262" s="33"/>
      <c r="E262" s="33"/>
      <c r="F262" s="32" t="n">
        <f aca="false">B262+C262</f>
        <v>2641</v>
      </c>
    </row>
    <row r="263" customFormat="false" ht="12.75" hidden="false" customHeight="true" outlineLevel="0" collapsed="false">
      <c r="A263" s="31" t="n">
        <v>46251</v>
      </c>
      <c r="B263" s="32" t="n">
        <f aca="false">SUMIFS(Report!$U:$U,Report!$T:$T,"&lt;&gt;"&amp;"MERCADORIAS P/REVENDA",Report!$AA:$AA,"SIM",Report!$C:$C,A263)</f>
        <v>2135</v>
      </c>
      <c r="C263" s="32" t="n">
        <f aca="false">SUMIFS(Report!$U:$U,Report!$T:$T,"MERCADORIAS P/REVENDA",Report!$AA:$AA,"SIM",Report!$C:$C,A263)</f>
        <v>9579.11</v>
      </c>
      <c r="D263" s="33"/>
      <c r="E263" s="33"/>
      <c r="F263" s="32" t="n">
        <f aca="false">B263+C263</f>
        <v>11714.11</v>
      </c>
    </row>
    <row r="264" customFormat="false" ht="12.75" hidden="false" customHeight="true" outlineLevel="0" collapsed="false">
      <c r="A264" s="34" t="s">
        <v>2163</v>
      </c>
      <c r="B264" s="22" t="n">
        <f aca="false">SUM(B257:B263)</f>
        <v>27392.35</v>
      </c>
      <c r="C264" s="22" t="n">
        <f aca="false">SUM(C257:C263)</f>
        <v>85499.74</v>
      </c>
      <c r="D264" s="26"/>
      <c r="E264" s="26"/>
      <c r="F264" s="22" t="n">
        <f aca="false">B264+C264</f>
        <v>112892.09</v>
      </c>
    </row>
    <row r="265" customFormat="false" ht="12.75" hidden="false" customHeight="true" outlineLevel="0" collapsed="false">
      <c r="A265" s="14" t="n">
        <v>46252</v>
      </c>
      <c r="B265" s="15" t="n">
        <f aca="false">SUMIFS(Report!$U:$U,Report!$T:$T,"&lt;&gt;"&amp;"MERCADORIAS P/REVENDA",Report!$AA:$AA,"SIM",Report!$C:$C,A265)</f>
        <v>2869.27</v>
      </c>
      <c r="C265" s="15" t="n">
        <f aca="false">SUMIFS(Report!$U:$U,Report!$T:$T,"MERCADORIAS P/REVENDA",Report!$AA:$AA,"SIM",Report!$C:$C,A265)</f>
        <v>2273.64</v>
      </c>
      <c r="F265" s="15" t="n">
        <f aca="false">B265+C265</f>
        <v>5142.91</v>
      </c>
    </row>
    <row r="266" customFormat="false" ht="12.75" hidden="false" customHeight="true" outlineLevel="0" collapsed="false">
      <c r="A266" s="14" t="n">
        <v>46253</v>
      </c>
      <c r="B266" s="15" t="n">
        <f aca="false">SUMIFS(Report!$U:$U,Report!$T:$T,"&lt;&gt;"&amp;"MERCADORIAS P/REVENDA",Report!$AA:$AA,"SIM",Report!$C:$C,A266)</f>
        <v>2765</v>
      </c>
      <c r="C266" s="15" t="n">
        <f aca="false">SUMIFS(Report!$U:$U,Report!$T:$T,"MERCADORIAS P/REVENDA",Report!$AA:$AA,"SIM",Report!$C:$C,A266)</f>
        <v>6074.26</v>
      </c>
      <c r="F266" s="15" t="n">
        <f aca="false">B266+C266</f>
        <v>8839.26</v>
      </c>
    </row>
    <row r="267" customFormat="false" ht="12.75" hidden="false" customHeight="true" outlineLevel="0" collapsed="false">
      <c r="A267" s="14" t="n">
        <v>46254</v>
      </c>
      <c r="B267" s="15" t="n">
        <f aca="false">SUMIFS(Report!$U:$U,Report!$T:$T,"&lt;&gt;"&amp;"MERCADORIAS P/REVENDA",Report!$AA:$AA,"SIM",Report!$C:$C,A267)</f>
        <v>11388.74</v>
      </c>
      <c r="C267" s="15" t="n">
        <f aca="false">SUMIFS(Report!$U:$U,Report!$T:$T,"MERCADORIAS P/REVENDA",Report!$AA:$AA,"SIM",Report!$C:$C,A267)</f>
        <v>2860.5</v>
      </c>
      <c r="F267" s="15" t="n">
        <f aca="false">B267+C267</f>
        <v>14249.24</v>
      </c>
    </row>
    <row r="268" customFormat="false" ht="12.75" hidden="false" customHeight="true" outlineLevel="0" collapsed="false">
      <c r="A268" s="14" t="n">
        <v>46255</v>
      </c>
      <c r="B268" s="15" t="n">
        <f aca="false">SUMIFS(Report!$U:$U,Report!$T:$T,"&lt;&gt;"&amp;"MERCADORIAS P/REVENDA",Report!$AA:$AA,"SIM",Report!$C:$C,A268)</f>
        <v>2720.17</v>
      </c>
      <c r="C268" s="15" t="n">
        <f aca="false">SUMIFS(Report!$U:$U,Report!$T:$T,"MERCADORIAS P/REVENDA",Report!$AA:$AA,"SIM",Report!$C:$C,A268)</f>
        <v>15805.77</v>
      </c>
      <c r="F268" s="15" t="n">
        <f aca="false">B268+C268</f>
        <v>18525.94</v>
      </c>
    </row>
    <row r="269" customFormat="false" ht="12.75" hidden="false" customHeight="true" outlineLevel="0" collapsed="false">
      <c r="A269" s="31" t="n">
        <v>46256</v>
      </c>
      <c r="B269" s="32" t="n">
        <f aca="false">SUMIFS(Report!$U:$U,Report!$T:$T,"&lt;&gt;"&amp;"MERCADORIAS P/REVENDA",Report!$AA:$AA,"SIM",Report!$C:$C,A269)</f>
        <v>2790</v>
      </c>
      <c r="C269" s="32" t="n">
        <f aca="false">SUMIFS(Report!$U:$U,Report!$T:$T,"MERCADORIAS P/REVENDA",Report!$AA:$AA,"SIM",Report!$C:$C,A269)</f>
        <v>11498.76</v>
      </c>
      <c r="D269" s="33"/>
      <c r="E269" s="33"/>
      <c r="F269" s="32" t="n">
        <f aca="false">B269+C269</f>
        <v>14288.76</v>
      </c>
    </row>
    <row r="270" customFormat="false" ht="12.75" hidden="false" customHeight="true" outlineLevel="0" collapsed="false">
      <c r="A270" s="31" t="n">
        <v>46257</v>
      </c>
      <c r="B270" s="32" t="n">
        <f aca="false">SUMIFS(Report!$U:$U,Report!$T:$T,"&lt;&gt;"&amp;"MERCADORIAS P/REVENDA",Report!$AA:$AA,"SIM",Report!$C:$C,A270)</f>
        <v>2387</v>
      </c>
      <c r="C270" s="32" t="n">
        <f aca="false">SUMIFS(Report!$U:$U,Report!$T:$T,"MERCADORIAS P/REVENDA",Report!$AA:$AA,"SIM",Report!$C:$C,A270)</f>
        <v>3814.8</v>
      </c>
      <c r="D270" s="33"/>
      <c r="E270" s="33"/>
      <c r="F270" s="32" t="n">
        <f aca="false">B270+C270</f>
        <v>6201.8</v>
      </c>
    </row>
    <row r="271" customFormat="false" ht="12.75" hidden="false" customHeight="true" outlineLevel="0" collapsed="false">
      <c r="A271" s="31" t="n">
        <v>46258</v>
      </c>
      <c r="B271" s="32" t="n">
        <f aca="false">SUMIFS(Report!$U:$U,Report!$T:$T,"&lt;&gt;"&amp;"MERCADORIAS P/REVENDA",Report!$AA:$AA,"SIM",Report!$C:$C,A271)</f>
        <v>18751.15</v>
      </c>
      <c r="C271" s="32" t="n">
        <f aca="false">SUMIFS(Report!$U:$U,Report!$T:$T,"MERCADORIAS P/REVENDA",Report!$AA:$AA,"SIM",Report!$C:$C,A271)</f>
        <v>9136.62</v>
      </c>
      <c r="D271" s="33"/>
      <c r="E271" s="33"/>
      <c r="F271" s="32" t="n">
        <f aca="false">B271+C271</f>
        <v>27887.77</v>
      </c>
    </row>
    <row r="272" customFormat="false" ht="12.75" hidden="false" customHeight="true" outlineLevel="0" collapsed="false">
      <c r="A272" s="34" t="s">
        <v>2164</v>
      </c>
      <c r="B272" s="22" t="n">
        <f aca="false">SUM(B265:B271)</f>
        <v>43671.33</v>
      </c>
      <c r="C272" s="22" t="n">
        <f aca="false">SUM(C265:C271)</f>
        <v>51464.35</v>
      </c>
      <c r="D272" s="26"/>
      <c r="E272" s="26"/>
      <c r="F272" s="22" t="n">
        <f aca="false">B272+C272</f>
        <v>95135.68</v>
      </c>
    </row>
    <row r="273" customFormat="false" ht="12.75" hidden="false" customHeight="true" outlineLevel="0" collapsed="false">
      <c r="A273" s="14" t="n">
        <v>46259</v>
      </c>
      <c r="B273" s="15" t="n">
        <f aca="false">SUMIFS(Report!$U:$U,Report!$T:$T,"&lt;&gt;"&amp;"MERCADORIAS P/REVENDA",Report!$AA:$AA,"SIM",Report!$C:$C,A273)</f>
        <v>8037.68</v>
      </c>
      <c r="C273" s="15" t="n">
        <f aca="false">SUMIFS(Report!$U:$U,Report!$T:$T,"MERCADORIAS P/REVENDA",Report!$AA:$AA,"SIM",Report!$C:$C,A273)</f>
        <v>3595.93</v>
      </c>
      <c r="F273" s="15" t="n">
        <f aca="false">B273+C273</f>
        <v>11633.61</v>
      </c>
    </row>
    <row r="274" customFormat="false" ht="12.75" hidden="false" customHeight="true" outlineLevel="0" collapsed="false">
      <c r="A274" s="14" t="n">
        <v>46260</v>
      </c>
      <c r="B274" s="15" t="n">
        <f aca="false">SUMIFS(Report!$U:$U,Report!$T:$T,"&lt;&gt;"&amp;"MERCADORIAS P/REVENDA",Report!$AA:$AA,"SIM",Report!$C:$C,A274)</f>
        <v>6878.41</v>
      </c>
      <c r="C274" s="15" t="n">
        <f aca="false">SUMIFS(Report!$U:$U,Report!$T:$T,"MERCADORIAS P/REVENDA",Report!$AA:$AA,"SIM",Report!$C:$C,A274)</f>
        <v>8504.05</v>
      </c>
      <c r="F274" s="15" t="n">
        <f aca="false">B274+C274</f>
        <v>15382.46</v>
      </c>
    </row>
    <row r="275" customFormat="false" ht="12.75" hidden="false" customHeight="true" outlineLevel="0" collapsed="false">
      <c r="A275" s="14" t="n">
        <v>46261</v>
      </c>
      <c r="B275" s="15" t="n">
        <f aca="false">SUMIFS(Report!$U:$U,Report!$T:$T,"&lt;&gt;"&amp;"MERCADORIAS P/REVENDA",Report!$AA:$AA,"SIM",Report!$C:$C,A275)</f>
        <v>3955.47</v>
      </c>
      <c r="C275" s="15" t="n">
        <f aca="false">SUMIFS(Report!$U:$U,Report!$T:$T,"MERCADORIAS P/REVENDA",Report!$AA:$AA,"SIM",Report!$C:$C,A275)</f>
        <v>7794.27</v>
      </c>
      <c r="F275" s="15" t="n">
        <f aca="false">B275+C275</f>
        <v>11749.74</v>
      </c>
    </row>
    <row r="276" customFormat="false" ht="12.75" hidden="false" customHeight="true" outlineLevel="0" collapsed="false">
      <c r="A276" s="14" t="n">
        <v>46262</v>
      </c>
      <c r="B276" s="15" t="n">
        <f aca="false">SUMIFS(Report!$U:$U,Report!$T:$T,"&lt;&gt;"&amp;"MERCADORIAS P/REVENDA",Report!$AA:$AA,"SIM",Report!$C:$C,A276)</f>
        <v>4250.32</v>
      </c>
      <c r="C276" s="15" t="n">
        <f aca="false">SUMIFS(Report!$U:$U,Report!$T:$T,"MERCADORIAS P/REVENDA",Report!$AA:$AA,"SIM",Report!$C:$C,A276)</f>
        <v>20490.02</v>
      </c>
      <c r="F276" s="15" t="n">
        <f aca="false">B276+C276</f>
        <v>24740.34</v>
      </c>
    </row>
    <row r="277" customFormat="false" ht="12.75" hidden="false" customHeight="true" outlineLevel="0" collapsed="false">
      <c r="A277" s="31" t="n">
        <v>46263</v>
      </c>
      <c r="B277" s="32" t="n">
        <f aca="false">SUMIFS(Report!$U:$U,Report!$T:$T,"&lt;&gt;"&amp;"MERCADORIAS P/REVENDA",Report!$AA:$AA,"SIM",Report!$C:$C,A277)</f>
        <v>3540</v>
      </c>
      <c r="C277" s="32" t="n">
        <f aca="false">SUMIFS(Report!$U:$U,Report!$T:$T,"MERCADORIAS P/REVENDA",Report!$AA:$AA,"SIM",Report!$C:$C,A277)</f>
        <v>7005.41</v>
      </c>
      <c r="D277" s="33"/>
      <c r="E277" s="33"/>
      <c r="F277" s="32" t="n">
        <f aca="false">B277+C277</f>
        <v>10545.41</v>
      </c>
    </row>
    <row r="278" customFormat="false" ht="12.75" hidden="false" customHeight="true" outlineLevel="0" collapsed="false">
      <c r="A278" s="31" t="n">
        <v>46264</v>
      </c>
      <c r="B278" s="32" t="n">
        <f aca="false">SUMIFS(Report!$U:$U,Report!$T:$T,"&lt;&gt;"&amp;"MERCADORIAS P/REVENDA",Report!$AA:$AA,"SIM",Report!$C:$C,A278)</f>
        <v>2571</v>
      </c>
      <c r="C278" s="32" t="n">
        <f aca="false">SUMIFS(Report!$U:$U,Report!$T:$T,"MERCADORIAS P/REVENDA",Report!$AA:$AA,"SIM",Report!$C:$C,A278)</f>
        <v>4874.43</v>
      </c>
      <c r="D278" s="33"/>
      <c r="E278" s="33"/>
      <c r="F278" s="32" t="n">
        <f aca="false">B278+C278</f>
        <v>7445.43</v>
      </c>
    </row>
    <row r="279" customFormat="false" ht="12.75" hidden="false" customHeight="true" outlineLevel="0" collapsed="false">
      <c r="A279" s="31" t="n">
        <v>46265</v>
      </c>
      <c r="B279" s="32" t="n">
        <f aca="false">SUMIFS(Report!$U:$U,Report!$T:$T,"&lt;&gt;"&amp;"MERCADORIAS P/REVENDA",Report!$AA:$AA,"SIM",Report!$C:$C,A279)</f>
        <v>4354.86</v>
      </c>
      <c r="C279" s="32" t="n">
        <f aca="false">SUMIFS(Report!$U:$U,Report!$T:$T,"MERCADORIAS P/REVENDA",Report!$AA:$AA,"SIM",Report!$C:$C,A279)</f>
        <v>6635.29</v>
      </c>
      <c r="D279" s="33"/>
      <c r="E279" s="33"/>
      <c r="F279" s="32" t="n">
        <f aca="false">B279+C279</f>
        <v>10990.15</v>
      </c>
    </row>
    <row r="280" customFormat="false" ht="12.75" hidden="false" customHeight="true" outlineLevel="0" collapsed="false">
      <c r="A280" s="34" t="s">
        <v>2165</v>
      </c>
      <c r="B280" s="22" t="n">
        <f aca="false">SUM(B273:B279)</f>
        <v>33587.74</v>
      </c>
      <c r="C280" s="22" t="n">
        <f aca="false">SUM(C273:C279)</f>
        <v>58899.4</v>
      </c>
      <c r="D280" s="26"/>
      <c r="E280" s="26"/>
      <c r="F280" s="22" t="n">
        <f aca="false">B280+C280</f>
        <v>92487.14</v>
      </c>
    </row>
    <row r="281" customFormat="false" ht="12.75" hidden="false" customHeight="true" outlineLevel="0" collapsed="false">
      <c r="A281" s="14" t="n">
        <v>46266</v>
      </c>
      <c r="B281" s="15" t="n">
        <f aca="false">SUMIFS(Report!$U:$U,Report!$T:$T,"&lt;&gt;"&amp;"MERCADORIAS P/REVENDA",Report!$AA:$AA,"SIM",Report!$C:$C,A281)</f>
        <v>7765.97</v>
      </c>
      <c r="C281" s="15" t="n">
        <f aca="false">SUMIFS(Report!$U:$U,Report!$T:$T,"MERCADORIAS P/REVENDA",Report!$AA:$AA,"SIM",Report!$C:$C,A281)</f>
        <v>19914.02</v>
      </c>
      <c r="F281" s="15" t="n">
        <f aca="false">B281+C281</f>
        <v>27679.99</v>
      </c>
    </row>
    <row r="282" customFormat="false" ht="12.75" hidden="false" customHeight="true" outlineLevel="0" collapsed="false">
      <c r="A282" s="14" t="n">
        <v>46267</v>
      </c>
      <c r="B282" s="15" t="n">
        <f aca="false">SUMIFS(Report!$U:$U,Report!$T:$T,"&lt;&gt;"&amp;"MERCADORIAS P/REVENDA",Report!$AA:$AA,"SIM",Report!$C:$C,A282)</f>
        <v>4550.32</v>
      </c>
      <c r="C282" s="15" t="n">
        <f aca="false">SUMIFS(Report!$U:$U,Report!$T:$T,"MERCADORIAS P/REVENDA",Report!$AA:$AA,"SIM",Report!$C:$C,A282)</f>
        <v>11608.95</v>
      </c>
      <c r="F282" s="15" t="n">
        <f aca="false">B282+C282</f>
        <v>16159.27</v>
      </c>
    </row>
    <row r="283" customFormat="false" ht="12.75" hidden="false" customHeight="true" outlineLevel="0" collapsed="false">
      <c r="A283" s="14" t="n">
        <v>46268</v>
      </c>
      <c r="B283" s="15" t="n">
        <f aca="false">SUMIFS(Report!$U:$U,Report!$T:$T,"&lt;&gt;"&amp;"MERCADORIAS P/REVENDA",Report!$AA:$AA,"SIM",Report!$C:$C,A283)</f>
        <v>2904.46</v>
      </c>
      <c r="C283" s="15" t="n">
        <f aca="false">SUMIFS(Report!$U:$U,Report!$T:$T,"MERCADORIAS P/REVENDA",Report!$AA:$AA,"SIM",Report!$C:$C,A283)</f>
        <v>11980.56</v>
      </c>
      <c r="F283" s="15" t="n">
        <f aca="false">B283+C283</f>
        <v>14885.02</v>
      </c>
    </row>
    <row r="284" customFormat="false" ht="12.75" hidden="false" customHeight="true" outlineLevel="0" collapsed="false">
      <c r="A284" s="14" t="n">
        <v>46269</v>
      </c>
      <c r="B284" s="15" t="n">
        <f aca="false">SUMIFS(Report!$U:$U,Report!$T:$T,"&lt;&gt;"&amp;"MERCADORIAS P/REVENDA",Report!$AA:$AA,"SIM",Report!$C:$C,A284)</f>
        <v>16488.59</v>
      </c>
      <c r="C284" s="15" t="n">
        <f aca="false">SUMIFS(Report!$U:$U,Report!$T:$T,"MERCADORIAS P/REVENDA",Report!$AA:$AA,"SIM",Report!$C:$C,A284)</f>
        <v>14574.5</v>
      </c>
      <c r="F284" s="15" t="n">
        <f aca="false">B284+C284</f>
        <v>31063.09</v>
      </c>
    </row>
    <row r="285" customFormat="false" ht="12.75" hidden="false" customHeight="true" outlineLevel="0" collapsed="false">
      <c r="A285" s="31" t="n">
        <v>46270</v>
      </c>
      <c r="B285" s="32" t="n">
        <f aca="false">SUMIFS(Report!$U:$U,Report!$T:$T,"&lt;&gt;"&amp;"MERCADORIAS P/REVENDA",Report!$AA:$AA,"SIM",Report!$C:$C,A285)</f>
        <v>6434.63</v>
      </c>
      <c r="C285" s="32" t="n">
        <f aca="false">SUMIFS(Report!$U:$U,Report!$T:$T,"MERCADORIAS P/REVENDA",Report!$AA:$AA,"SIM",Report!$C:$C,A285)</f>
        <v>4011.83</v>
      </c>
      <c r="D285" s="33"/>
      <c r="E285" s="33"/>
      <c r="F285" s="32" t="n">
        <f aca="false">B285+C285</f>
        <v>10446.46</v>
      </c>
    </row>
    <row r="286" customFormat="false" ht="12.75" hidden="false" customHeight="true" outlineLevel="0" collapsed="false">
      <c r="A286" s="31" t="n">
        <v>46271</v>
      </c>
      <c r="B286" s="32" t="n">
        <f aca="false">SUMIFS(Report!$U:$U,Report!$T:$T,"&lt;&gt;"&amp;"MERCADORIAS P/REVENDA",Report!$AA:$AA,"SIM",Report!$C:$C,A286)</f>
        <v>1682</v>
      </c>
      <c r="C286" s="32" t="n">
        <f aca="false">SUMIFS(Report!$U:$U,Report!$T:$T,"MERCADORIAS P/REVENDA",Report!$AA:$AA,"SIM",Report!$C:$C,A286)</f>
        <v>0</v>
      </c>
      <c r="D286" s="33"/>
      <c r="E286" s="33"/>
      <c r="F286" s="32" t="n">
        <f aca="false">B286+C286</f>
        <v>1682</v>
      </c>
    </row>
    <row r="287" customFormat="false" ht="12.75" hidden="false" customHeight="true" outlineLevel="0" collapsed="false">
      <c r="A287" s="31" t="n">
        <v>46272</v>
      </c>
      <c r="B287" s="32" t="n">
        <f aca="false">SUMIFS(Report!$U:$U,Report!$T:$T,"&lt;&gt;"&amp;"MERCADORIAS P/REVENDA",Report!$AA:$AA,"SIM",Report!$C:$C,A287)</f>
        <v>1765.97</v>
      </c>
      <c r="C287" s="32" t="n">
        <f aca="false">SUMIFS(Report!$U:$U,Report!$T:$T,"MERCADORIAS P/REVENDA",Report!$AA:$AA,"SIM",Report!$C:$C,A287)</f>
        <v>5141.75</v>
      </c>
      <c r="D287" s="33"/>
      <c r="E287" s="33"/>
      <c r="F287" s="32" t="n">
        <f aca="false">B287+C287</f>
        <v>6907.72</v>
      </c>
    </row>
    <row r="288" customFormat="false" ht="12.75" hidden="false" customHeight="true" outlineLevel="0" collapsed="false">
      <c r="A288" s="34" t="s">
        <v>2166</v>
      </c>
      <c r="B288" s="22" t="n">
        <f aca="false">SUM(B281:B287)</f>
        <v>41591.94</v>
      </c>
      <c r="C288" s="22" t="n">
        <f aca="false">SUM(C281:C287)</f>
        <v>67231.61</v>
      </c>
      <c r="D288" s="26"/>
      <c r="E288" s="26"/>
      <c r="F288" s="22" t="n">
        <f aca="false">B288+C288</f>
        <v>108823.55</v>
      </c>
    </row>
    <row r="289" customFormat="false" ht="12.75" hidden="false" customHeight="true" outlineLevel="0" collapsed="false">
      <c r="A289" s="14" t="n">
        <v>46273</v>
      </c>
      <c r="B289" s="15" t="n">
        <f aca="false">SUMIFS(Report!$U:$U,Report!$T:$T,"&lt;&gt;"&amp;"MERCADORIAS P/REVENDA",Report!$AA:$AA,"SIM",Report!$C:$C,A289)</f>
        <v>6569.83</v>
      </c>
      <c r="C289" s="15" t="n">
        <f aca="false">SUMIFS(Report!$U:$U,Report!$T:$T,"MERCADORIAS P/REVENDA",Report!$AA:$AA,"SIM",Report!$C:$C,A289)</f>
        <v>22866.2</v>
      </c>
      <c r="F289" s="15" t="n">
        <f aca="false">B289+C289</f>
        <v>29436.03</v>
      </c>
    </row>
    <row r="290" customFormat="false" ht="12.75" hidden="false" customHeight="true" outlineLevel="0" collapsed="false">
      <c r="A290" s="14" t="n">
        <v>46274</v>
      </c>
      <c r="B290" s="15" t="n">
        <f aca="false">SUMIFS(Report!$U:$U,Report!$T:$T,"&lt;&gt;"&amp;"MERCADORIAS P/REVENDA",Report!$AA:$AA,"SIM",Report!$C:$C,A290)</f>
        <v>2810.32</v>
      </c>
      <c r="C290" s="15" t="n">
        <f aca="false">SUMIFS(Report!$U:$U,Report!$T:$T,"MERCADORIAS P/REVENDA",Report!$AA:$AA,"SIM",Report!$C:$C,A290)</f>
        <v>15014.8</v>
      </c>
      <c r="F290" s="15" t="n">
        <f aca="false">B290+C290</f>
        <v>17825.12</v>
      </c>
    </row>
    <row r="291" customFormat="false" ht="12.75" hidden="false" customHeight="true" outlineLevel="0" collapsed="false">
      <c r="A291" s="14" t="n">
        <v>46275</v>
      </c>
      <c r="B291" s="15" t="n">
        <f aca="false">SUMIFS(Report!$U:$U,Report!$T:$T,"&lt;&gt;"&amp;"MERCADORIAS P/REVENDA",Report!$AA:$AA,"SIM",Report!$C:$C,A291)</f>
        <v>6750.85</v>
      </c>
      <c r="C291" s="15" t="n">
        <f aca="false">SUMIFS(Report!$U:$U,Report!$T:$T,"MERCADORIAS P/REVENDA",Report!$AA:$AA,"SIM",Report!$C:$C,A291)</f>
        <v>14929.28</v>
      </c>
      <c r="F291" s="15" t="n">
        <f aca="false">B291+C291</f>
        <v>21680.13</v>
      </c>
    </row>
    <row r="292" customFormat="false" ht="12.75" hidden="false" customHeight="true" outlineLevel="0" collapsed="false">
      <c r="A292" s="14" t="n">
        <v>46276</v>
      </c>
      <c r="B292" s="15" t="n">
        <f aca="false">SUMIFS(Report!$U:$U,Report!$T:$T,"&lt;&gt;"&amp;"MERCADORIAS P/REVENDA",Report!$AA:$AA,"SIM",Report!$C:$C,A292)</f>
        <v>2870</v>
      </c>
      <c r="C292" s="15" t="n">
        <f aca="false">SUMIFS(Report!$U:$U,Report!$T:$T,"MERCADORIAS P/REVENDA",Report!$AA:$AA,"SIM",Report!$C:$C,A292)</f>
        <v>12612.42</v>
      </c>
      <c r="F292" s="15" t="n">
        <f aca="false">B292+C292</f>
        <v>15482.42</v>
      </c>
    </row>
    <row r="293" customFormat="false" ht="12.75" hidden="false" customHeight="true" outlineLevel="0" collapsed="false">
      <c r="A293" s="31" t="n">
        <v>46277</v>
      </c>
      <c r="B293" s="32" t="n">
        <f aca="false">SUMIFS(Report!$U:$U,Report!$T:$T,"&lt;&gt;"&amp;"MERCADORIAS P/REVENDA",Report!$AA:$AA,"SIM",Report!$C:$C,A293)</f>
        <v>2370</v>
      </c>
      <c r="C293" s="32" t="n">
        <f aca="false">SUMIFS(Report!$U:$U,Report!$T:$T,"MERCADORIAS P/REVENDA",Report!$AA:$AA,"SIM",Report!$C:$C,A293)</f>
        <v>3075.4</v>
      </c>
      <c r="D293" s="33"/>
      <c r="E293" s="33"/>
      <c r="F293" s="32" t="n">
        <f aca="false">B293+C293</f>
        <v>5445.4</v>
      </c>
    </row>
    <row r="294" customFormat="false" ht="12.75" hidden="false" customHeight="true" outlineLevel="0" collapsed="false">
      <c r="A294" s="31" t="n">
        <v>46278</v>
      </c>
      <c r="B294" s="32" t="n">
        <f aca="false">SUMIFS(Report!$U:$U,Report!$T:$T,"&lt;&gt;"&amp;"MERCADORIAS P/REVENDA",Report!$AA:$AA,"SIM",Report!$C:$C,A294)</f>
        <v>2326.5</v>
      </c>
      <c r="C294" s="32" t="n">
        <f aca="false">SUMIFS(Report!$U:$U,Report!$T:$T,"MERCADORIAS P/REVENDA",Report!$AA:$AA,"SIM",Report!$C:$C,A294)</f>
        <v>660</v>
      </c>
      <c r="D294" s="33"/>
      <c r="E294" s="33"/>
      <c r="F294" s="32" t="n">
        <f aca="false">B294+C294</f>
        <v>2986.5</v>
      </c>
    </row>
    <row r="295" customFormat="false" ht="12.75" hidden="false" customHeight="true" outlineLevel="0" collapsed="false">
      <c r="A295" s="31" t="n">
        <v>46279</v>
      </c>
      <c r="B295" s="32" t="n">
        <f aca="false">SUMIFS(Report!$U:$U,Report!$T:$T,"&lt;&gt;"&amp;"MERCADORIAS P/REVENDA",Report!$AA:$AA,"SIM",Report!$C:$C,A295)</f>
        <v>4459.55</v>
      </c>
      <c r="C295" s="32" t="n">
        <f aca="false">SUMIFS(Report!$U:$U,Report!$T:$T,"MERCADORIAS P/REVENDA",Report!$AA:$AA,"SIM",Report!$C:$C,A295)</f>
        <v>8600.97</v>
      </c>
      <c r="D295" s="33"/>
      <c r="E295" s="33"/>
      <c r="F295" s="32" t="n">
        <f aca="false">B295+C295</f>
        <v>13060.52</v>
      </c>
    </row>
    <row r="296" customFormat="false" ht="12.75" hidden="false" customHeight="true" outlineLevel="0" collapsed="false">
      <c r="A296" s="34" t="s">
        <v>2167</v>
      </c>
      <c r="B296" s="22" t="n">
        <f aca="false">SUM(B289:B295)</f>
        <v>28157.05</v>
      </c>
      <c r="C296" s="22" t="n">
        <f aca="false">SUM(C289:C295)</f>
        <v>77759.07</v>
      </c>
      <c r="D296" s="26"/>
      <c r="E296" s="26"/>
      <c r="F296" s="22" t="n">
        <f aca="false">B296+C296</f>
        <v>105916.12</v>
      </c>
    </row>
    <row r="297" customFormat="false" ht="12.75" hidden="false" customHeight="true" outlineLevel="0" collapsed="false">
      <c r="A297" s="14" t="n">
        <v>46280</v>
      </c>
      <c r="B297" s="15" t="n">
        <f aca="false">SUMIFS(Report!$U:$U,Report!$T:$T,"&lt;&gt;"&amp;"MERCADORIAS P/REVENDA",Report!$AA:$AA,"SIM",Report!$C:$C,A297)</f>
        <v>7718.38</v>
      </c>
      <c r="C297" s="15" t="n">
        <f aca="false">SUMIFS(Report!$U:$U,Report!$T:$T,"MERCADORIAS P/REVENDA",Report!$AA:$AA,"SIM",Report!$C:$C,A297)</f>
        <v>14352.92</v>
      </c>
      <c r="F297" s="15" t="n">
        <f aca="false">B297+C297</f>
        <v>22071.3</v>
      </c>
    </row>
    <row r="298" customFormat="false" ht="12.75" hidden="false" customHeight="true" outlineLevel="0" collapsed="false">
      <c r="A298" s="14" t="n">
        <v>46281</v>
      </c>
      <c r="B298" s="15" t="n">
        <f aca="false">SUMIFS(Report!$U:$U,Report!$T:$T,"&lt;&gt;"&amp;"MERCADORIAS P/REVENDA",Report!$AA:$AA,"SIM",Report!$C:$C,A298)</f>
        <v>518</v>
      </c>
      <c r="C298" s="15" t="n">
        <f aca="false">SUMIFS(Report!$U:$U,Report!$T:$T,"MERCADORIAS P/REVENDA",Report!$AA:$AA,"SIM",Report!$C:$C,A298)</f>
        <v>17960.65</v>
      </c>
      <c r="F298" s="15" t="n">
        <f aca="false">B298+C298</f>
        <v>18478.65</v>
      </c>
    </row>
    <row r="299" customFormat="false" ht="12.75" hidden="false" customHeight="true" outlineLevel="0" collapsed="false">
      <c r="A299" s="14" t="n">
        <v>46282</v>
      </c>
      <c r="B299" s="15" t="n">
        <f aca="false">SUMIFS(Report!$U:$U,Report!$T:$T,"&lt;&gt;"&amp;"MERCADORIAS P/REVENDA",Report!$AA:$AA,"SIM",Report!$C:$C,A299)</f>
        <v>381</v>
      </c>
      <c r="C299" s="15" t="n">
        <f aca="false">SUMIFS(Report!$U:$U,Report!$T:$T,"MERCADORIAS P/REVENDA",Report!$AA:$AA,"SIM",Report!$C:$C,A299)</f>
        <v>11204.08</v>
      </c>
      <c r="F299" s="15" t="n">
        <f aca="false">B299+C299</f>
        <v>11585.08</v>
      </c>
    </row>
    <row r="300" customFormat="false" ht="12.75" hidden="false" customHeight="true" outlineLevel="0" collapsed="false">
      <c r="A300" s="14" t="n">
        <v>46283</v>
      </c>
      <c r="B300" s="15" t="n">
        <f aca="false">SUMIFS(Report!$U:$U,Report!$T:$T,"&lt;&gt;"&amp;"MERCADORIAS P/REVENDA",Report!$AA:$AA,"SIM",Report!$C:$C,A300)</f>
        <v>5113.45</v>
      </c>
      <c r="C300" s="15" t="n">
        <f aca="false">SUMIFS(Report!$U:$U,Report!$T:$T,"MERCADORIAS P/REVENDA",Report!$AA:$AA,"SIM",Report!$C:$C,A300)</f>
        <v>10807.52</v>
      </c>
      <c r="F300" s="15" t="n">
        <f aca="false">B300+C300</f>
        <v>15920.97</v>
      </c>
    </row>
    <row r="301" customFormat="false" ht="12.75" hidden="false" customHeight="true" outlineLevel="0" collapsed="false">
      <c r="A301" s="31" t="n">
        <v>46284</v>
      </c>
      <c r="B301" s="32" t="n">
        <f aca="false">SUMIFS(Report!$U:$U,Report!$T:$T,"&lt;&gt;"&amp;"MERCADORIAS P/REVENDA",Report!$AA:$AA,"SIM",Report!$C:$C,A301)</f>
        <v>740</v>
      </c>
      <c r="C301" s="32" t="n">
        <f aca="false">SUMIFS(Report!$U:$U,Report!$T:$T,"MERCADORIAS P/REVENDA",Report!$AA:$AA,"SIM",Report!$C:$C,A301)</f>
        <v>5894.77</v>
      </c>
      <c r="D301" s="33"/>
      <c r="E301" s="33"/>
      <c r="F301" s="32" t="n">
        <f aca="false">B301+C301</f>
        <v>6634.77</v>
      </c>
    </row>
    <row r="302" customFormat="false" ht="12.75" hidden="false" customHeight="true" outlineLevel="0" collapsed="false">
      <c r="A302" s="31" t="n">
        <v>46285</v>
      </c>
      <c r="B302" s="32" t="n">
        <f aca="false">SUMIFS(Report!$U:$U,Report!$T:$T,"&lt;&gt;"&amp;"MERCADORIAS P/REVENDA",Report!$AA:$AA,"SIM",Report!$C:$C,A302)</f>
        <v>924.66</v>
      </c>
      <c r="C302" s="32" t="n">
        <f aca="false">SUMIFS(Report!$U:$U,Report!$T:$T,"MERCADORIAS P/REVENDA",Report!$AA:$AA,"SIM",Report!$C:$C,A302)</f>
        <v>0</v>
      </c>
      <c r="D302" s="33"/>
      <c r="E302" s="33"/>
      <c r="F302" s="32" t="n">
        <f aca="false">B302+C302</f>
        <v>924.66</v>
      </c>
    </row>
    <row r="303" customFormat="false" ht="12.75" hidden="false" customHeight="true" outlineLevel="0" collapsed="false">
      <c r="A303" s="31" t="n">
        <v>46286</v>
      </c>
      <c r="B303" s="32" t="n">
        <f aca="false">SUMIFS(Report!$U:$U,Report!$T:$T,"&lt;&gt;"&amp;"MERCADORIAS P/REVENDA",Report!$AA:$AA,"SIM",Report!$C:$C,A303)</f>
        <v>3215.22</v>
      </c>
      <c r="C303" s="32" t="n">
        <f aca="false">SUMIFS(Report!$U:$U,Report!$T:$T,"MERCADORIAS P/REVENDA",Report!$AA:$AA,"SIM",Report!$C:$C,A303)</f>
        <v>4846.18</v>
      </c>
      <c r="D303" s="33"/>
      <c r="E303" s="33"/>
      <c r="F303" s="32" t="n">
        <f aca="false">B303+C303</f>
        <v>8061.4</v>
      </c>
    </row>
    <row r="304" customFormat="false" ht="12.75" hidden="false" customHeight="true" outlineLevel="0" collapsed="false">
      <c r="A304" s="34" t="s">
        <v>2168</v>
      </c>
      <c r="B304" s="22" t="n">
        <f aca="false">SUM(B297:B303)</f>
        <v>18610.71</v>
      </c>
      <c r="C304" s="22" t="n">
        <f aca="false">SUM(C297:C303)</f>
        <v>65066.12</v>
      </c>
      <c r="D304" s="26"/>
      <c r="E304" s="26"/>
      <c r="F304" s="22" t="n">
        <f aca="false">B304+C304</f>
        <v>83676.83</v>
      </c>
    </row>
    <row r="305" customFormat="false" ht="12.75" hidden="false" customHeight="true" outlineLevel="0" collapsed="false">
      <c r="A305" s="14" t="n">
        <v>46287</v>
      </c>
      <c r="B305" s="15" t="n">
        <f aca="false">SUMIFS(Report!$U:$U,Report!$T:$T,"&lt;&gt;"&amp;"MERCADORIAS P/REVENDA",Report!$AA:$AA,"SIM",Report!$C:$C,A305)</f>
        <v>5965.96</v>
      </c>
      <c r="C305" s="15" t="n">
        <f aca="false">SUMIFS(Report!$U:$U,Report!$T:$T,"MERCADORIAS P/REVENDA",Report!$AA:$AA,"SIM",Report!$C:$C,A305)</f>
        <v>15436.31</v>
      </c>
      <c r="F305" s="15" t="n">
        <f aca="false">B305+C305</f>
        <v>21402.27</v>
      </c>
    </row>
    <row r="306" customFormat="false" ht="12.75" hidden="false" customHeight="true" outlineLevel="0" collapsed="false">
      <c r="A306" s="14" t="n">
        <v>46288</v>
      </c>
      <c r="B306" s="15" t="n">
        <f aca="false">SUMIFS(Report!$U:$U,Report!$T:$T,"&lt;&gt;"&amp;"MERCADORIAS P/REVENDA",Report!$AA:$AA,"SIM",Report!$C:$C,A306)</f>
        <v>10934.87</v>
      </c>
      <c r="C306" s="15" t="n">
        <f aca="false">SUMIFS(Report!$U:$U,Report!$T:$T,"MERCADORIAS P/REVENDA",Report!$AA:$AA,"SIM",Report!$C:$C,A306)</f>
        <v>13725.96</v>
      </c>
      <c r="F306" s="15" t="n">
        <f aca="false">B306+C306</f>
        <v>24660.83</v>
      </c>
    </row>
    <row r="307" customFormat="false" ht="12.75" hidden="false" customHeight="true" outlineLevel="0" collapsed="false">
      <c r="A307" s="14" t="n">
        <v>46289</v>
      </c>
      <c r="B307" s="15" t="n">
        <f aca="false">SUMIFS(Report!$U:$U,Report!$T:$T,"&lt;&gt;"&amp;"MERCADORIAS P/REVENDA",Report!$AA:$AA,"SIM",Report!$C:$C,A307)</f>
        <v>2188.6</v>
      </c>
      <c r="C307" s="15" t="n">
        <f aca="false">SUMIFS(Report!$U:$U,Report!$T:$T,"MERCADORIAS P/REVENDA",Report!$AA:$AA,"SIM",Report!$C:$C,A307)</f>
        <v>13111.71</v>
      </c>
      <c r="F307" s="15" t="n">
        <f aca="false">B307+C307</f>
        <v>15300.31</v>
      </c>
    </row>
    <row r="308" customFormat="false" ht="12.75" hidden="false" customHeight="true" outlineLevel="0" collapsed="false">
      <c r="A308" s="14" t="n">
        <v>46290</v>
      </c>
      <c r="B308" s="15" t="n">
        <f aca="false">SUMIFS(Report!$U:$U,Report!$T:$T,"&lt;&gt;"&amp;"MERCADORIAS P/REVENDA",Report!$AA:$AA,"SIM",Report!$C:$C,A308)</f>
        <v>2649.71</v>
      </c>
      <c r="C308" s="15" t="n">
        <f aca="false">SUMIFS(Report!$U:$U,Report!$T:$T,"MERCADORIAS P/REVENDA",Report!$AA:$AA,"SIM",Report!$C:$C,A308)</f>
        <v>6649.68</v>
      </c>
      <c r="F308" s="15" t="n">
        <f aca="false">B308+C308</f>
        <v>9299.39</v>
      </c>
    </row>
    <row r="309" customFormat="false" ht="12.75" hidden="false" customHeight="true" outlineLevel="0" collapsed="false">
      <c r="A309" s="31" t="n">
        <v>46291</v>
      </c>
      <c r="B309" s="32" t="n">
        <f aca="false">SUMIFS(Report!$U:$U,Report!$T:$T,"&lt;&gt;"&amp;"MERCADORIAS P/REVENDA",Report!$AA:$AA,"SIM",Report!$C:$C,A309)</f>
        <v>430</v>
      </c>
      <c r="C309" s="32" t="n">
        <f aca="false">SUMIFS(Report!$U:$U,Report!$T:$T,"MERCADORIAS P/REVENDA",Report!$AA:$AA,"SIM",Report!$C:$C,A309)</f>
        <v>6200.73</v>
      </c>
      <c r="D309" s="33"/>
      <c r="E309" s="33"/>
      <c r="F309" s="32" t="n">
        <f aca="false">B309+C309</f>
        <v>6630.73</v>
      </c>
    </row>
    <row r="310" customFormat="false" ht="12.75" hidden="false" customHeight="true" outlineLevel="0" collapsed="false">
      <c r="A310" s="31" t="n">
        <v>46292</v>
      </c>
      <c r="B310" s="32" t="n">
        <f aca="false">SUMIFS(Report!$U:$U,Report!$T:$T,"&lt;&gt;"&amp;"MERCADORIAS P/REVENDA",Report!$AA:$AA,"SIM",Report!$C:$C,A310)</f>
        <v>168</v>
      </c>
      <c r="C310" s="32" t="n">
        <f aca="false">SUMIFS(Report!$U:$U,Report!$T:$T,"MERCADORIAS P/REVENDA",Report!$AA:$AA,"SIM",Report!$C:$C,A310)</f>
        <v>0</v>
      </c>
      <c r="D310" s="33"/>
      <c r="E310" s="33"/>
      <c r="F310" s="32" t="n">
        <f aca="false">B310+C310</f>
        <v>168</v>
      </c>
    </row>
    <row r="311" customFormat="false" ht="12.75" hidden="false" customHeight="true" outlineLevel="0" collapsed="false">
      <c r="A311" s="31" t="n">
        <v>46293</v>
      </c>
      <c r="B311" s="32" t="n">
        <f aca="false">SUMIFS(Report!$U:$U,Report!$T:$T,"&lt;&gt;"&amp;"MERCADORIAS P/REVENDA",Report!$AA:$AA,"SIM",Report!$C:$C,A311)</f>
        <v>9019.52</v>
      </c>
      <c r="C311" s="32" t="n">
        <f aca="false">SUMIFS(Report!$U:$U,Report!$T:$T,"MERCADORIAS P/REVENDA",Report!$AA:$AA,"SIM",Report!$C:$C,A311)</f>
        <v>9126.41</v>
      </c>
      <c r="D311" s="33"/>
      <c r="E311" s="33"/>
      <c r="F311" s="32" t="n">
        <f aca="false">B311+C311</f>
        <v>18145.93</v>
      </c>
    </row>
    <row r="312" customFormat="false" ht="12.75" hidden="false" customHeight="true" outlineLevel="0" collapsed="false">
      <c r="A312" s="34" t="s">
        <v>2169</v>
      </c>
      <c r="B312" s="22" t="n">
        <f aca="false">SUM(B305:B311)</f>
        <v>31356.66</v>
      </c>
      <c r="C312" s="22" t="n">
        <f aca="false">SUM(C305:C311)</f>
        <v>64250.8</v>
      </c>
      <c r="D312" s="26"/>
      <c r="E312" s="26"/>
      <c r="F312" s="22" t="n">
        <f aca="false">B312+C312</f>
        <v>95607.46</v>
      </c>
    </row>
    <row r="313" customFormat="false" ht="12.75" hidden="false" customHeight="true" outlineLevel="0" collapsed="false">
      <c r="A313" s="14" t="n">
        <v>46294</v>
      </c>
      <c r="B313" s="15" t="n">
        <f aca="false">SUMIFS(Report!$U:$U,Report!$T:$T,"&lt;&gt;"&amp;"MERCADORIAS P/REVENDA",Report!$AA:$AA,"SIM",Report!$C:$C,A313)</f>
        <v>1621.45</v>
      </c>
      <c r="C313" s="15" t="n">
        <f aca="false">SUMIFS(Report!$U:$U,Report!$T:$T,"MERCADORIAS P/REVENDA",Report!$AA:$AA,"SIM",Report!$C:$C,A313)</f>
        <v>18329.41</v>
      </c>
      <c r="F313" s="15" t="n">
        <f aca="false">B313+C313</f>
        <v>19950.86</v>
      </c>
    </row>
    <row r="314" customFormat="false" ht="12.75" hidden="false" customHeight="true" outlineLevel="0" collapsed="false">
      <c r="A314" s="14" t="n">
        <v>46295</v>
      </c>
      <c r="B314" s="15" t="n">
        <f aca="false">SUMIFS(Report!$U:$U,Report!$T:$T,"&lt;&gt;"&amp;"MERCADORIAS P/REVENDA",Report!$AA:$AA,"SIM",Report!$C:$C,A314)</f>
        <v>1270</v>
      </c>
      <c r="C314" s="15" t="n">
        <f aca="false">SUMIFS(Report!$U:$U,Report!$T:$T,"MERCADORIAS P/REVENDA",Report!$AA:$AA,"SIM",Report!$C:$C,A314)</f>
        <v>7296.51</v>
      </c>
      <c r="F314" s="15" t="n">
        <f aca="false">B314+C314</f>
        <v>8566.51</v>
      </c>
    </row>
    <row r="315" customFormat="false" ht="12.75" hidden="false" customHeight="true" outlineLevel="0" collapsed="false">
      <c r="A315" s="14" t="n">
        <v>46296</v>
      </c>
      <c r="B315" s="15" t="n">
        <f aca="false">SUMIFS(Report!$U:$U,Report!$T:$T,"&lt;&gt;"&amp;"MERCADORIAS P/REVENDA",Report!$AA:$AA,"SIM",Report!$C:$C,A315)</f>
        <v>2889.57</v>
      </c>
      <c r="C315" s="15" t="n">
        <f aca="false">SUMIFS(Report!$U:$U,Report!$T:$T,"MERCADORIAS P/REVENDA",Report!$AA:$AA,"SIM",Report!$C:$C,A315)</f>
        <v>9399.86</v>
      </c>
      <c r="F315" s="15" t="n">
        <f aca="false">B315+C315</f>
        <v>12289.43</v>
      </c>
    </row>
    <row r="316" customFormat="false" ht="12.75" hidden="false" customHeight="true" outlineLevel="0" collapsed="false">
      <c r="A316" s="14" t="n">
        <v>46297</v>
      </c>
      <c r="B316" s="15" t="n">
        <f aca="false">SUMIFS(Report!$U:$U,Report!$T:$T,"&lt;&gt;"&amp;"MERCADORIAS P/REVENDA",Report!$AA:$AA,"SIM",Report!$C:$C,A316)</f>
        <v>2255.2</v>
      </c>
      <c r="C316" s="15" t="n">
        <f aca="false">SUMIFS(Report!$U:$U,Report!$T:$T,"MERCADORIAS P/REVENDA",Report!$AA:$AA,"SIM",Report!$C:$C,A316)</f>
        <v>14213.23</v>
      </c>
      <c r="F316" s="15" t="n">
        <f aca="false">B316+C316</f>
        <v>16468.43</v>
      </c>
    </row>
    <row r="317" customFormat="false" ht="12.75" hidden="false" customHeight="true" outlineLevel="0" collapsed="false">
      <c r="A317" s="31" t="n">
        <v>46298</v>
      </c>
      <c r="B317" s="32" t="n">
        <f aca="false">SUMIFS(Report!$U:$U,Report!$T:$T,"&lt;&gt;"&amp;"MERCADORIAS P/REVENDA",Report!$AA:$AA,"SIM",Report!$C:$C,A317)</f>
        <v>650</v>
      </c>
      <c r="C317" s="32" t="n">
        <f aca="false">SUMIFS(Report!$U:$U,Report!$T:$T,"MERCADORIAS P/REVENDA",Report!$AA:$AA,"SIM",Report!$C:$C,A317)</f>
        <v>8020.6</v>
      </c>
      <c r="D317" s="33"/>
      <c r="E317" s="33"/>
      <c r="F317" s="32" t="n">
        <f aca="false">B317+C317</f>
        <v>8670.6</v>
      </c>
    </row>
    <row r="318" customFormat="false" ht="12.75" hidden="false" customHeight="true" outlineLevel="0" collapsed="false">
      <c r="A318" s="31" t="n">
        <v>46299</v>
      </c>
      <c r="B318" s="32" t="n">
        <f aca="false">SUMIFS(Report!$U:$U,Report!$T:$T,"&lt;&gt;"&amp;"MERCADORIAS P/REVENDA",Report!$AA:$AA,"SIM",Report!$C:$C,A318)</f>
        <v>650.9</v>
      </c>
      <c r="C318" s="32" t="n">
        <f aca="false">SUMIFS(Report!$U:$U,Report!$T:$T,"MERCADORIAS P/REVENDA",Report!$AA:$AA,"SIM",Report!$C:$C,A318)</f>
        <v>0</v>
      </c>
      <c r="D318" s="33"/>
      <c r="E318" s="33"/>
      <c r="F318" s="32" t="n">
        <f aca="false">B318+C318</f>
        <v>650.9</v>
      </c>
    </row>
    <row r="319" customFormat="false" ht="12.75" hidden="false" customHeight="true" outlineLevel="0" collapsed="false">
      <c r="A319" s="31" t="n">
        <v>46300</v>
      </c>
      <c r="B319" s="32" t="n">
        <f aca="false">SUMIFS(Report!$U:$U,Report!$T:$T,"&lt;&gt;"&amp;"MERCADORIAS P/REVENDA",Report!$AA:$AA,"SIM",Report!$C:$C,A319)</f>
        <v>6906.32</v>
      </c>
      <c r="C319" s="32" t="n">
        <f aca="false">SUMIFS(Report!$U:$U,Report!$T:$T,"MERCADORIAS P/REVENDA",Report!$AA:$AA,"SIM",Report!$C:$C,A319)</f>
        <v>11497.45</v>
      </c>
      <c r="D319" s="33"/>
      <c r="E319" s="33"/>
      <c r="F319" s="32" t="n">
        <f aca="false">B319+C319</f>
        <v>18403.77</v>
      </c>
    </row>
    <row r="320" customFormat="false" ht="12.75" hidden="false" customHeight="true" outlineLevel="0" collapsed="false">
      <c r="A320" s="34" t="s">
        <v>2170</v>
      </c>
      <c r="B320" s="22" t="n">
        <f aca="false">SUM(B313:B319)</f>
        <v>16243.44</v>
      </c>
      <c r="C320" s="22" t="n">
        <f aca="false">SUM(C313:C319)</f>
        <v>68757.06</v>
      </c>
      <c r="D320" s="26"/>
      <c r="E320" s="26"/>
      <c r="F320" s="22" t="n">
        <f aca="false">B320+C320</f>
        <v>85000.5</v>
      </c>
    </row>
    <row r="321" customFormat="false" ht="12.75" hidden="false" customHeight="true" outlineLevel="0" collapsed="false">
      <c r="A321" s="14" t="n">
        <v>46301</v>
      </c>
      <c r="B321" s="15" t="n">
        <f aca="false">SUMIFS(Report!$U:$U,Report!$T:$T,"&lt;&gt;"&amp;"MERCADORIAS P/REVENDA",Report!$AA:$AA,"SIM",Report!$C:$C,A321)</f>
        <v>0</v>
      </c>
      <c r="C321" s="15" t="n">
        <f aca="false">SUMIFS(Report!$U:$U,Report!$T:$T,"MERCADORIAS P/REVENDA",Report!$AA:$AA,"SIM",Report!$C:$C,A321)</f>
        <v>8797.97</v>
      </c>
      <c r="F321" s="15" t="n">
        <f aca="false">B321+C321</f>
        <v>8797.97</v>
      </c>
    </row>
    <row r="322" customFormat="false" ht="12.75" hidden="false" customHeight="true" outlineLevel="0" collapsed="false">
      <c r="A322" s="14" t="n">
        <v>46302</v>
      </c>
      <c r="B322" s="15" t="n">
        <f aca="false">SUMIFS(Report!$U:$U,Report!$T:$T,"&lt;&gt;"&amp;"MERCADORIAS P/REVENDA",Report!$AA:$AA,"SIM",Report!$C:$C,A322)</f>
        <v>740.85</v>
      </c>
      <c r="C322" s="15" t="n">
        <f aca="false">SUMIFS(Report!$U:$U,Report!$T:$T,"MERCADORIAS P/REVENDA",Report!$AA:$AA,"SIM",Report!$C:$C,A322)</f>
        <v>5513.7</v>
      </c>
      <c r="F322" s="15" t="n">
        <f aca="false">B322+C322</f>
        <v>6254.55</v>
      </c>
    </row>
    <row r="323" customFormat="false" ht="12.75" hidden="false" customHeight="true" outlineLevel="0" collapsed="false">
      <c r="A323" s="14" t="n">
        <v>46303</v>
      </c>
      <c r="B323" s="15" t="n">
        <f aca="false">SUMIFS(Report!$U:$U,Report!$T:$T,"&lt;&gt;"&amp;"MERCADORIAS P/REVENDA",Report!$AA:$AA,"SIM",Report!$C:$C,A323)</f>
        <v>0</v>
      </c>
      <c r="C323" s="15" t="n">
        <f aca="false">SUMIFS(Report!$U:$U,Report!$T:$T,"MERCADORIAS P/REVENDA",Report!$AA:$AA,"SIM",Report!$C:$C,A323)</f>
        <v>5562.03</v>
      </c>
      <c r="F323" s="15" t="n">
        <f aca="false">B323+C323</f>
        <v>5562.03</v>
      </c>
    </row>
    <row r="324" customFormat="false" ht="12.75" hidden="false" customHeight="true" outlineLevel="0" collapsed="false">
      <c r="A324" s="14" t="n">
        <v>46304</v>
      </c>
      <c r="B324" s="15" t="n">
        <f aca="false">SUMIFS(Report!$U:$U,Report!$T:$T,"&lt;&gt;"&amp;"MERCADORIAS P/REVENDA",Report!$AA:$AA,"SIM",Report!$C:$C,A324)</f>
        <v>0</v>
      </c>
      <c r="C324" s="15" t="n">
        <f aca="false">SUMIFS(Report!$U:$U,Report!$T:$T,"MERCADORIAS P/REVENDA",Report!$AA:$AA,"SIM",Report!$C:$C,A324)</f>
        <v>12482.54</v>
      </c>
      <c r="F324" s="15" t="n">
        <f aca="false">B324+C324</f>
        <v>12482.54</v>
      </c>
    </row>
    <row r="325" customFormat="false" ht="12.75" hidden="false" customHeight="true" outlineLevel="0" collapsed="false">
      <c r="A325" s="31" t="n">
        <v>46305</v>
      </c>
      <c r="B325" s="32" t="n">
        <f aca="false">SUMIFS(Report!$U:$U,Report!$T:$T,"&lt;&gt;"&amp;"MERCADORIAS P/REVENDA",Report!$AA:$AA,"SIM",Report!$C:$C,A325)</f>
        <v>1887.49</v>
      </c>
      <c r="C325" s="32" t="n">
        <f aca="false">SUMIFS(Report!$U:$U,Report!$T:$T,"MERCADORIAS P/REVENDA",Report!$AA:$AA,"SIM",Report!$C:$C,A325)</f>
        <v>2656</v>
      </c>
      <c r="D325" s="33"/>
      <c r="E325" s="33"/>
      <c r="F325" s="32" t="n">
        <f aca="false">B325+C325</f>
        <v>4543.49</v>
      </c>
    </row>
    <row r="326" customFormat="false" ht="12.75" hidden="false" customHeight="true" outlineLevel="0" collapsed="false">
      <c r="A326" s="31" t="n">
        <v>46306</v>
      </c>
      <c r="B326" s="32" t="n">
        <f aca="false">SUMIFS(Report!$U:$U,Report!$T:$T,"&lt;&gt;"&amp;"MERCADORIAS P/REVENDA",Report!$AA:$AA,"SIM",Report!$C:$C,A326)</f>
        <v>0</v>
      </c>
      <c r="C326" s="32" t="n">
        <f aca="false">SUMIFS(Report!$U:$U,Report!$T:$T,"MERCADORIAS P/REVENDA",Report!$AA:$AA,"SIM",Report!$C:$C,A326)</f>
        <v>0</v>
      </c>
      <c r="D326" s="33"/>
      <c r="E326" s="33"/>
      <c r="F326" s="32" t="n">
        <f aca="false">B326+C326</f>
        <v>0</v>
      </c>
    </row>
    <row r="327" customFormat="false" ht="12.75" hidden="false" customHeight="true" outlineLevel="0" collapsed="false">
      <c r="A327" s="31" t="n">
        <v>46307</v>
      </c>
      <c r="B327" s="32" t="n">
        <f aca="false">SUMIFS(Report!$U:$U,Report!$T:$T,"&lt;&gt;"&amp;"MERCADORIAS P/REVENDA",Report!$AA:$AA,"SIM",Report!$C:$C,A327)</f>
        <v>0</v>
      </c>
      <c r="C327" s="32" t="n">
        <f aca="false">SUMIFS(Report!$U:$U,Report!$T:$T,"MERCADORIAS P/REVENDA",Report!$AA:$AA,"SIM",Report!$C:$C,A327)</f>
        <v>1175.68</v>
      </c>
      <c r="D327" s="33"/>
      <c r="E327" s="33"/>
      <c r="F327" s="32" t="n">
        <f aca="false">B327+C327</f>
        <v>1175.68</v>
      </c>
    </row>
    <row r="328" customFormat="false" ht="12.75" hidden="false" customHeight="true" outlineLevel="0" collapsed="false">
      <c r="A328" s="34" t="s">
        <v>2171</v>
      </c>
      <c r="B328" s="22" t="n">
        <f aca="false">SUM(B321:B327)</f>
        <v>2628.34</v>
      </c>
      <c r="C328" s="22" t="n">
        <f aca="false">SUM(C321:C327)</f>
        <v>36187.92</v>
      </c>
      <c r="D328" s="26"/>
      <c r="E328" s="26"/>
      <c r="F328" s="22" t="n">
        <f aca="false">B328+C328</f>
        <v>38816.26</v>
      </c>
    </row>
    <row r="329" customFormat="false" ht="12.75" hidden="false" customHeight="true" outlineLevel="0" collapsed="false">
      <c r="A329" s="14" t="n">
        <v>46308</v>
      </c>
      <c r="B329" s="15" t="n">
        <f aca="false">SUMIFS(Report!$U:$U,Report!$T:$T,"&lt;&gt;"&amp;"MERCADORIAS P/REVENDA",Report!$AA:$AA,"SIM",Report!$C:$C,A329)</f>
        <v>6038.64</v>
      </c>
      <c r="C329" s="15" t="n">
        <f aca="false">SUMIFS(Report!$U:$U,Report!$T:$T,"MERCADORIAS P/REVENDA",Report!$AA:$AA,"SIM",Report!$C:$C,A329)</f>
        <v>8993.31</v>
      </c>
      <c r="F329" s="15" t="n">
        <f aca="false">B329+C329</f>
        <v>15031.95</v>
      </c>
    </row>
    <row r="330" customFormat="false" ht="12.75" hidden="false" customHeight="true" outlineLevel="0" collapsed="false">
      <c r="A330" s="14" t="n">
        <v>46309</v>
      </c>
      <c r="B330" s="15" t="n">
        <f aca="false">SUMIFS(Report!$U:$U,Report!$T:$T,"&lt;&gt;"&amp;"MERCADORIAS P/REVENDA",Report!$AA:$AA,"SIM",Report!$C:$C,A330)</f>
        <v>0</v>
      </c>
      <c r="C330" s="15" t="n">
        <f aca="false">SUMIFS(Report!$U:$U,Report!$T:$T,"MERCADORIAS P/REVENDA",Report!$AA:$AA,"SIM",Report!$C:$C,A330)</f>
        <v>5145.76</v>
      </c>
      <c r="F330" s="15" t="n">
        <f aca="false">B330+C330</f>
        <v>5145.76</v>
      </c>
    </row>
    <row r="331" customFormat="false" ht="12.75" hidden="false" customHeight="true" outlineLevel="0" collapsed="false">
      <c r="A331" s="14" t="n">
        <v>46310</v>
      </c>
      <c r="B331" s="15" t="n">
        <f aca="false">SUMIFS(Report!$U:$U,Report!$T:$T,"&lt;&gt;"&amp;"MERCADORIAS P/REVENDA",Report!$AA:$AA,"SIM",Report!$C:$C,A331)</f>
        <v>6566.88</v>
      </c>
      <c r="C331" s="15" t="n">
        <f aca="false">SUMIFS(Report!$U:$U,Report!$T:$T,"MERCADORIAS P/REVENDA",Report!$AA:$AA,"SIM",Report!$C:$C,A331)</f>
        <v>4418.17</v>
      </c>
      <c r="F331" s="15" t="n">
        <f aca="false">B331+C331</f>
        <v>10985.05</v>
      </c>
    </row>
    <row r="332" customFormat="false" ht="12.75" hidden="false" customHeight="true" outlineLevel="0" collapsed="false">
      <c r="A332" s="14" t="n">
        <v>46311</v>
      </c>
      <c r="B332" s="15" t="n">
        <f aca="false">SUMIFS(Report!$U:$U,Report!$T:$T,"&lt;&gt;"&amp;"MERCADORIAS P/REVENDA",Report!$AA:$AA,"SIM",Report!$C:$C,A332)</f>
        <v>0</v>
      </c>
      <c r="C332" s="15" t="n">
        <f aca="false">SUMIFS(Report!$U:$U,Report!$T:$T,"MERCADORIAS P/REVENDA",Report!$AA:$AA,"SIM",Report!$C:$C,A332)</f>
        <v>5064.79</v>
      </c>
      <c r="F332" s="15" t="n">
        <f aca="false">B332+C332</f>
        <v>5064.79</v>
      </c>
    </row>
    <row r="333" customFormat="false" ht="12.75" hidden="false" customHeight="true" outlineLevel="0" collapsed="false">
      <c r="A333" s="31" t="n">
        <v>46312</v>
      </c>
      <c r="B333" s="32" t="n">
        <f aca="false">SUMIFS(Report!$U:$U,Report!$T:$T,"&lt;&gt;"&amp;"MERCADORIAS P/REVENDA",Report!$AA:$AA,"SIM",Report!$C:$C,A333)</f>
        <v>0</v>
      </c>
      <c r="C333" s="32" t="n">
        <f aca="false">SUMIFS(Report!$U:$U,Report!$T:$T,"MERCADORIAS P/REVENDA",Report!$AA:$AA,"SIM",Report!$C:$C,A333)</f>
        <v>0</v>
      </c>
      <c r="D333" s="33"/>
      <c r="E333" s="33"/>
      <c r="F333" s="32" t="n">
        <f aca="false">B333+C333</f>
        <v>0</v>
      </c>
    </row>
    <row r="334" customFormat="false" ht="12.75" hidden="false" customHeight="true" outlineLevel="0" collapsed="false">
      <c r="A334" s="31" t="n">
        <v>46313</v>
      </c>
      <c r="B334" s="32" t="n">
        <f aca="false">SUMIFS(Report!$U:$U,Report!$T:$T,"&lt;&gt;"&amp;"MERCADORIAS P/REVENDA",Report!$AA:$AA,"SIM",Report!$C:$C,A334)</f>
        <v>247.27</v>
      </c>
      <c r="C334" s="32" t="n">
        <f aca="false">SUMIFS(Report!$U:$U,Report!$T:$T,"MERCADORIAS P/REVENDA",Report!$AA:$AA,"SIM",Report!$C:$C,A334)</f>
        <v>0</v>
      </c>
      <c r="D334" s="33"/>
      <c r="E334" s="33"/>
      <c r="F334" s="32" t="n">
        <f aca="false">B334+C334</f>
        <v>247.27</v>
      </c>
    </row>
    <row r="335" customFormat="false" ht="12.75" hidden="false" customHeight="true" outlineLevel="0" collapsed="false">
      <c r="A335" s="31" t="n">
        <v>46314</v>
      </c>
      <c r="B335" s="32" t="n">
        <f aca="false">SUMIFS(Report!$U:$U,Report!$T:$T,"&lt;&gt;"&amp;"MERCADORIAS P/REVENDA",Report!$AA:$AA,"SIM",Report!$C:$C,A335)</f>
        <v>0</v>
      </c>
      <c r="C335" s="32" t="n">
        <f aca="false">SUMIFS(Report!$U:$U,Report!$T:$T,"MERCADORIAS P/REVENDA",Report!$AA:$AA,"SIM",Report!$C:$C,A335)</f>
        <v>4158.32</v>
      </c>
      <c r="D335" s="33"/>
      <c r="E335" s="33"/>
      <c r="F335" s="32" t="n">
        <f aca="false">B335+C335</f>
        <v>4158.32</v>
      </c>
    </row>
    <row r="336" customFormat="false" ht="12.75" hidden="false" customHeight="true" outlineLevel="0" collapsed="false">
      <c r="A336" s="34" t="s">
        <v>2172</v>
      </c>
      <c r="B336" s="22" t="n">
        <f aca="false">SUM(B329:B335)</f>
        <v>12852.79</v>
      </c>
      <c r="C336" s="22" t="n">
        <f aca="false">SUM(C329:C335)</f>
        <v>27780.35</v>
      </c>
      <c r="D336" s="26"/>
      <c r="E336" s="26"/>
      <c r="F336" s="22" t="n">
        <f aca="false">B336+C336</f>
        <v>40633.14</v>
      </c>
    </row>
    <row r="337" customFormat="false" ht="12.75" hidden="false" customHeight="true" outlineLevel="0" collapsed="false">
      <c r="A337" s="14" t="n">
        <v>46315</v>
      </c>
      <c r="B337" s="15" t="n">
        <f aca="false">SUMIFS(Report!$U:$U,Report!$T:$T,"&lt;&gt;"&amp;"MERCADORIAS P/REVENDA",Report!$AA:$AA,"SIM",Report!$C:$C,A337)</f>
        <v>748.52</v>
      </c>
      <c r="C337" s="15" t="n">
        <f aca="false">SUMIFS(Report!$U:$U,Report!$T:$T,"MERCADORIAS P/REVENDA",Report!$AA:$AA,"SIM",Report!$C:$C,A337)</f>
        <v>235.72</v>
      </c>
      <c r="F337" s="15" t="n">
        <f aca="false">B337+C337</f>
        <v>984.24</v>
      </c>
    </row>
    <row r="338" customFormat="false" ht="12.75" hidden="false" customHeight="true" outlineLevel="0" collapsed="false">
      <c r="A338" s="14" t="n">
        <v>46316</v>
      </c>
      <c r="B338" s="15" t="n">
        <f aca="false">SUMIFS(Report!$U:$U,Report!$T:$T,"&lt;&gt;"&amp;"MERCADORIAS P/REVENDA",Report!$AA:$AA,"SIM",Report!$C:$C,A338)</f>
        <v>0</v>
      </c>
      <c r="C338" s="15" t="n">
        <f aca="false">SUMIFS(Report!$U:$U,Report!$T:$T,"MERCADORIAS P/REVENDA",Report!$AA:$AA,"SIM",Report!$C:$C,A338)</f>
        <v>680.47</v>
      </c>
      <c r="F338" s="15" t="n">
        <f aca="false">B338+C338</f>
        <v>680.47</v>
      </c>
    </row>
    <row r="339" customFormat="false" ht="12.75" hidden="false" customHeight="true" outlineLevel="0" collapsed="false">
      <c r="A339" s="14" t="n">
        <v>46317</v>
      </c>
      <c r="B339" s="15" t="n">
        <f aca="false">SUMIFS(Report!$U:$U,Report!$T:$T,"&lt;&gt;"&amp;"MERCADORIAS P/REVENDA",Report!$AA:$AA,"SIM",Report!$C:$C,A339)</f>
        <v>0</v>
      </c>
      <c r="C339" s="15" t="n">
        <f aca="false">SUMIFS(Report!$U:$U,Report!$T:$T,"MERCADORIAS P/REVENDA",Report!$AA:$AA,"SIM",Report!$C:$C,A339)</f>
        <v>803.5</v>
      </c>
      <c r="F339" s="15" t="n">
        <f aca="false">B339+C339</f>
        <v>803.5</v>
      </c>
    </row>
    <row r="340" customFormat="false" ht="12.75" hidden="false" customHeight="true" outlineLevel="0" collapsed="false">
      <c r="A340" s="14" t="n">
        <v>46318</v>
      </c>
      <c r="B340" s="15" t="n">
        <f aca="false">SUMIFS(Report!$U:$U,Report!$T:$T,"&lt;&gt;"&amp;"MERCADORIAS P/REVENDA",Report!$AA:$AA,"SIM",Report!$C:$C,A340)</f>
        <v>10413.34</v>
      </c>
      <c r="C340" s="15" t="n">
        <f aca="false">SUMIFS(Report!$U:$U,Report!$T:$T,"MERCADORIAS P/REVENDA",Report!$AA:$AA,"SIM",Report!$C:$C,A340)</f>
        <v>999.33</v>
      </c>
      <c r="F340" s="15" t="n">
        <f aca="false">B340+C340</f>
        <v>11412.67</v>
      </c>
    </row>
    <row r="341" customFormat="false" ht="12.75" hidden="false" customHeight="true" outlineLevel="0" collapsed="false">
      <c r="A341" s="31" t="n">
        <v>46319</v>
      </c>
      <c r="B341" s="32" t="n">
        <f aca="false">SUMIFS(Report!$U:$U,Report!$T:$T,"&lt;&gt;"&amp;"MERCADORIAS P/REVENDA",Report!$AA:$AA,"SIM",Report!$C:$C,A341)</f>
        <v>0</v>
      </c>
      <c r="C341" s="32" t="n">
        <f aca="false">SUMIFS(Report!$U:$U,Report!$T:$T,"MERCADORIAS P/REVENDA",Report!$AA:$AA,"SIM",Report!$C:$C,A341)</f>
        <v>0</v>
      </c>
      <c r="D341" s="33"/>
      <c r="E341" s="33"/>
      <c r="F341" s="32" t="n">
        <f aca="false">B341+C341</f>
        <v>0</v>
      </c>
    </row>
    <row r="342" customFormat="false" ht="12.75" hidden="false" customHeight="true" outlineLevel="0" collapsed="false">
      <c r="A342" s="31" t="n">
        <v>46320</v>
      </c>
      <c r="B342" s="32" t="n">
        <f aca="false">SUMIFS(Report!$U:$U,Report!$T:$T,"&lt;&gt;"&amp;"MERCADORIAS P/REVENDA",Report!$AA:$AA,"SIM",Report!$C:$C,A342)</f>
        <v>995.83</v>
      </c>
      <c r="C342" s="32" t="n">
        <f aca="false">SUMIFS(Report!$U:$U,Report!$T:$T,"MERCADORIAS P/REVENDA",Report!$AA:$AA,"SIM",Report!$C:$C,A342)</f>
        <v>786.59</v>
      </c>
      <c r="D342" s="33"/>
      <c r="E342" s="33"/>
      <c r="F342" s="32" t="n">
        <f aca="false">B342+C342</f>
        <v>1782.42</v>
      </c>
    </row>
    <row r="343" customFormat="false" ht="12.75" hidden="false" customHeight="true" outlineLevel="0" collapsed="false">
      <c r="A343" s="31" t="n">
        <v>46321</v>
      </c>
      <c r="B343" s="32" t="n">
        <f aca="false">SUMIFS(Report!$U:$U,Report!$T:$T,"&lt;&gt;"&amp;"MERCADORIAS P/REVENDA",Report!$AA:$AA,"SIM",Report!$C:$C,A343)</f>
        <v>4168.41</v>
      </c>
      <c r="C343" s="32" t="n">
        <f aca="false">SUMIFS(Report!$U:$U,Report!$T:$T,"MERCADORIAS P/REVENDA",Report!$AA:$AA,"SIM",Report!$C:$C,A343)</f>
        <v>2647.96</v>
      </c>
      <c r="D343" s="33"/>
      <c r="E343" s="33"/>
      <c r="F343" s="32" t="n">
        <f aca="false">B343+C343</f>
        <v>6816.37</v>
      </c>
    </row>
    <row r="344" customFormat="false" ht="12.75" hidden="false" customHeight="true" outlineLevel="0" collapsed="false">
      <c r="A344" s="34" t="s">
        <v>2173</v>
      </c>
      <c r="B344" s="22" t="n">
        <f aca="false">SUM(B337:B343)</f>
        <v>16326.1</v>
      </c>
      <c r="C344" s="22" t="n">
        <f aca="false">SUM(C337:C343)</f>
        <v>6153.57</v>
      </c>
      <c r="D344" s="26"/>
      <c r="E344" s="26"/>
      <c r="F344" s="22" t="n">
        <f aca="false">B344+C344</f>
        <v>22479.67</v>
      </c>
    </row>
    <row r="345" customFormat="false" ht="12.75" hidden="false" customHeight="true" outlineLevel="0" collapsed="false">
      <c r="A345" s="14" t="n">
        <v>46322</v>
      </c>
      <c r="B345" s="15" t="n">
        <f aca="false">SUMIFS(Report!$U:$U,Report!$T:$T,"&lt;&gt;"&amp;"MERCADORIAS P/REVENDA",Report!$AA:$AA,"SIM",Report!$C:$C,A345)</f>
        <v>0</v>
      </c>
      <c r="C345" s="15" t="n">
        <f aca="false">SUMIFS(Report!$U:$U,Report!$T:$T,"MERCADORIAS P/REVENDA",Report!$AA:$AA,"SIM",Report!$C:$C,A345)</f>
        <v>0</v>
      </c>
      <c r="F345" s="15" t="n">
        <f aca="false">B345+C345</f>
        <v>0</v>
      </c>
    </row>
    <row r="346" customFormat="false" ht="12.75" hidden="false" customHeight="true" outlineLevel="0" collapsed="false">
      <c r="A346" s="14" t="n">
        <v>46323</v>
      </c>
      <c r="B346" s="15" t="n">
        <f aca="false">SUMIFS(Report!$U:$U,Report!$T:$T,"&lt;&gt;"&amp;"MERCADORIAS P/REVENDA",Report!$AA:$AA,"SIM",Report!$C:$C,A346)</f>
        <v>483.51</v>
      </c>
      <c r="C346" s="15" t="n">
        <f aca="false">SUMIFS(Report!$U:$U,Report!$T:$T,"MERCADORIAS P/REVENDA",Report!$AA:$AA,"SIM",Report!$C:$C,A346)</f>
        <v>0</v>
      </c>
      <c r="F346" s="15" t="n">
        <f aca="false">B346+C346</f>
        <v>483.51</v>
      </c>
    </row>
    <row r="347" customFormat="false" ht="12.75" hidden="false" customHeight="true" outlineLevel="0" collapsed="false">
      <c r="A347" s="14" t="n">
        <v>46324</v>
      </c>
      <c r="B347" s="15" t="n">
        <f aca="false">SUMIFS(Report!$U:$U,Report!$T:$T,"&lt;&gt;"&amp;"MERCADORIAS P/REVENDA",Report!$AA:$AA,"SIM",Report!$C:$C,A347)</f>
        <v>0</v>
      </c>
      <c r="C347" s="15" t="n">
        <f aca="false">SUMIFS(Report!$U:$U,Report!$T:$T,"MERCADORIAS P/REVENDA",Report!$AA:$AA,"SIM",Report!$C:$C,A347)</f>
        <v>1596.96</v>
      </c>
      <c r="F347" s="15" t="n">
        <f aca="false">B347+C347</f>
        <v>1596.96</v>
      </c>
    </row>
    <row r="348" customFormat="false" ht="12.75" hidden="false" customHeight="true" outlineLevel="0" collapsed="false">
      <c r="A348" s="14" t="n">
        <v>46325</v>
      </c>
      <c r="B348" s="15" t="n">
        <f aca="false">SUMIFS(Report!$U:$U,Report!$T:$T,"&lt;&gt;"&amp;"MERCADORIAS P/REVENDA",Report!$AA:$AA,"SIM",Report!$C:$C,A348)</f>
        <v>241.82</v>
      </c>
      <c r="C348" s="15" t="n">
        <f aca="false">SUMIFS(Report!$U:$U,Report!$T:$T,"MERCADORIAS P/REVENDA",Report!$AA:$AA,"SIM",Report!$C:$C,A348)</f>
        <v>410.5</v>
      </c>
      <c r="F348" s="15" t="n">
        <f aca="false">B348+C348</f>
        <v>652.32</v>
      </c>
    </row>
    <row r="349" customFormat="false" ht="12.75" hidden="false" customHeight="true" outlineLevel="0" collapsed="false">
      <c r="A349" s="31" t="n">
        <v>46326</v>
      </c>
      <c r="B349" s="32" t="n">
        <f aca="false">SUMIFS(Report!$U:$U,Report!$T:$T,"&lt;&gt;"&amp;"MERCADORIAS P/REVENDA",Report!$AA:$AA,"SIM",Report!$C:$C,A349)</f>
        <v>0</v>
      </c>
      <c r="C349" s="32" t="n">
        <f aca="false">SUMIFS(Report!$U:$U,Report!$T:$T,"MERCADORIAS P/REVENDA",Report!$AA:$AA,"SIM",Report!$C:$C,A349)</f>
        <v>0</v>
      </c>
      <c r="D349" s="33"/>
      <c r="E349" s="33"/>
      <c r="F349" s="32" t="n">
        <f aca="false">B349+C349</f>
        <v>0</v>
      </c>
    </row>
    <row r="350" customFormat="false" ht="12.75" hidden="false" customHeight="true" outlineLevel="0" collapsed="false">
      <c r="A350" s="31" t="n">
        <v>46327</v>
      </c>
      <c r="B350" s="32" t="n">
        <f aca="false">SUMIFS(Report!$U:$U,Report!$T:$T,"&lt;&gt;"&amp;"MERCADORIAS P/REVENDA",Report!$AA:$AA,"SIM",Report!$C:$C,A350)</f>
        <v>1031.99</v>
      </c>
      <c r="C350" s="32" t="n">
        <f aca="false">SUMIFS(Report!$U:$U,Report!$T:$T,"MERCADORIAS P/REVENDA",Report!$AA:$AA,"SIM",Report!$C:$C,A350)</f>
        <v>1713.5</v>
      </c>
      <c r="D350" s="33"/>
      <c r="E350" s="33"/>
      <c r="F350" s="32" t="n">
        <f aca="false">B350+C350</f>
        <v>2745.49</v>
      </c>
    </row>
    <row r="351" customFormat="false" ht="12.75" hidden="false" customHeight="true" outlineLevel="0" collapsed="false">
      <c r="A351" s="31" t="n">
        <v>46328</v>
      </c>
      <c r="B351" s="32" t="n">
        <f aca="false">SUMIFS(Report!$U:$U,Report!$T:$T,"&lt;&gt;"&amp;"MERCADORIAS P/REVENDA",Report!$AA:$AA,"SIM",Report!$C:$C,A351)</f>
        <v>0</v>
      </c>
      <c r="C351" s="32" t="n">
        <f aca="false">SUMIFS(Report!$U:$U,Report!$T:$T,"MERCADORIAS P/REVENDA",Report!$AA:$AA,"SIM",Report!$C:$C,A351)</f>
        <v>0</v>
      </c>
      <c r="D351" s="33"/>
      <c r="E351" s="33"/>
      <c r="F351" s="32" t="n">
        <f aca="false">B351+C351</f>
        <v>0</v>
      </c>
    </row>
    <row r="352" customFormat="false" ht="12.75" hidden="false" customHeight="true" outlineLevel="0" collapsed="false">
      <c r="A352" s="34" t="s">
        <v>2174</v>
      </c>
      <c r="B352" s="22" t="n">
        <f aca="false">SUM(B345:B351)</f>
        <v>1757.32</v>
      </c>
      <c r="C352" s="22" t="n">
        <f aca="false">SUM(C345:C351)</f>
        <v>3720.96</v>
      </c>
      <c r="D352" s="26"/>
      <c r="E352" s="26"/>
      <c r="F352" s="22" t="n">
        <f aca="false">B352+C352</f>
        <v>5478.28</v>
      </c>
    </row>
    <row r="353" customFormat="false" ht="12.75" hidden="false" customHeight="true" outlineLevel="0" collapsed="false">
      <c r="A353" s="14" t="n">
        <v>46329</v>
      </c>
      <c r="B353" s="15" t="n">
        <f aca="false">SUMIFS(Report!$U:$U,Report!$T:$T,"&lt;&gt;"&amp;"MERCADORIAS P/REVENDA",Report!$AA:$AA,"SIM",Report!$C:$C,A353)</f>
        <v>0</v>
      </c>
      <c r="C353" s="15" t="n">
        <f aca="false">SUMIFS(Report!$U:$U,Report!$T:$T,"MERCADORIAS P/REVENDA",Report!$AA:$AA,"SIM",Report!$C:$C,A353)</f>
        <v>0</v>
      </c>
      <c r="F353" s="15" t="n">
        <f aca="false">B353+C353</f>
        <v>0</v>
      </c>
    </row>
    <row r="354" customFormat="false" ht="12.75" hidden="false" customHeight="true" outlineLevel="0" collapsed="false">
      <c r="A354" s="14" t="n">
        <v>46330</v>
      </c>
      <c r="B354" s="15" t="n">
        <f aca="false">SUMIFS(Report!$U:$U,Report!$T:$T,"&lt;&gt;"&amp;"MERCADORIAS P/REVENDA",Report!$AA:$AA,"SIM",Report!$C:$C,A354)</f>
        <v>0</v>
      </c>
      <c r="C354" s="15" t="n">
        <f aca="false">SUMIFS(Report!$U:$U,Report!$T:$T,"MERCADORIAS P/REVENDA",Report!$AA:$AA,"SIM",Report!$C:$C,A354)</f>
        <v>786.59</v>
      </c>
      <c r="F354" s="15" t="n">
        <f aca="false">B354+C354</f>
        <v>786.59</v>
      </c>
    </row>
    <row r="355" customFormat="false" ht="12.75" hidden="false" customHeight="true" outlineLevel="0" collapsed="false">
      <c r="A355" s="14" t="n">
        <v>46331</v>
      </c>
      <c r="B355" s="15" t="n">
        <f aca="false">SUMIFS(Report!$U:$U,Report!$T:$T,"&lt;&gt;"&amp;"MERCADORIAS P/REVENDA",Report!$AA:$AA,"SIM",Report!$C:$C,A355)</f>
        <v>3181.6</v>
      </c>
      <c r="C355" s="15" t="n">
        <f aca="false">SUMIFS(Report!$U:$U,Report!$T:$T,"MERCADORIAS P/REVENDA",Report!$AA:$AA,"SIM",Report!$C:$C,A355)</f>
        <v>803.5</v>
      </c>
      <c r="F355" s="15" t="n">
        <f aca="false">B355+C355</f>
        <v>3985.1</v>
      </c>
    </row>
    <row r="356" customFormat="false" ht="12.75" hidden="false" customHeight="true" outlineLevel="0" collapsed="false">
      <c r="A356" s="14" t="n">
        <v>46332</v>
      </c>
      <c r="B356" s="15" t="n">
        <f aca="false">SUMIFS(Report!$U:$U,Report!$T:$T,"&lt;&gt;"&amp;"MERCADORIAS P/REVENDA",Report!$AA:$AA,"SIM",Report!$C:$C,A356)</f>
        <v>0</v>
      </c>
      <c r="C356" s="15" t="n">
        <f aca="false">SUMIFS(Report!$U:$U,Report!$T:$T,"MERCADORIAS P/REVENDA",Report!$AA:$AA,"SIM",Report!$C:$C,A356)</f>
        <v>0</v>
      </c>
      <c r="F356" s="15" t="n">
        <f aca="false">B356+C356</f>
        <v>0</v>
      </c>
    </row>
    <row r="357" customFormat="false" ht="12.75" hidden="false" customHeight="true" outlineLevel="0" collapsed="false">
      <c r="A357" s="31" t="n">
        <v>46333</v>
      </c>
      <c r="B357" s="32" t="n">
        <f aca="false">SUMIFS(Report!$U:$U,Report!$T:$T,"&lt;&gt;"&amp;"MERCADORIAS P/REVENDA",Report!$AA:$AA,"SIM",Report!$C:$C,A357)</f>
        <v>119.97</v>
      </c>
      <c r="C357" s="32" t="n">
        <f aca="false">SUMIFS(Report!$U:$U,Report!$T:$T,"MERCADORIAS P/REVENDA",Report!$AA:$AA,"SIM",Report!$C:$C,A357)</f>
        <v>0</v>
      </c>
      <c r="D357" s="33"/>
      <c r="E357" s="33"/>
      <c r="F357" s="32" t="n">
        <f aca="false">B357+C357</f>
        <v>119.97</v>
      </c>
    </row>
    <row r="358" customFormat="false" ht="12.75" hidden="false" customHeight="true" outlineLevel="0" collapsed="false">
      <c r="A358" s="31" t="n">
        <v>46334</v>
      </c>
      <c r="B358" s="32" t="n">
        <f aca="false">SUMIFS(Report!$U:$U,Report!$T:$T,"&lt;&gt;"&amp;"MERCADORIAS P/REVENDA",Report!$AA:$AA,"SIM",Report!$C:$C,A358)</f>
        <v>0</v>
      </c>
      <c r="C358" s="32" t="n">
        <f aca="false">SUMIFS(Report!$U:$U,Report!$T:$T,"MERCADORIAS P/REVENDA",Report!$AA:$AA,"SIM",Report!$C:$C,A358)</f>
        <v>792.51</v>
      </c>
      <c r="D358" s="33"/>
      <c r="E358" s="33"/>
      <c r="F358" s="32" t="n">
        <f aca="false">B358+C358</f>
        <v>792.51</v>
      </c>
    </row>
    <row r="359" customFormat="false" ht="12.75" hidden="false" customHeight="true" outlineLevel="0" collapsed="false">
      <c r="A359" s="31" t="n">
        <v>46335</v>
      </c>
      <c r="B359" s="32" t="n">
        <f aca="false">SUMIFS(Report!$U:$U,Report!$T:$T,"&lt;&gt;"&amp;"MERCADORIAS P/REVENDA",Report!$AA:$AA,"SIM",Report!$C:$C,A359)</f>
        <v>0</v>
      </c>
      <c r="C359" s="32" t="n">
        <f aca="false">SUMIFS(Report!$U:$U,Report!$T:$T,"MERCADORIAS P/REVENDA",Report!$AA:$AA,"SIM",Report!$C:$C,A359)</f>
        <v>0</v>
      </c>
      <c r="D359" s="33"/>
      <c r="E359" s="33"/>
      <c r="F359" s="32" t="n">
        <f aca="false">B359+C359</f>
        <v>0</v>
      </c>
    </row>
    <row r="360" customFormat="false" ht="12.75" hidden="false" customHeight="true" outlineLevel="0" collapsed="false">
      <c r="A360" s="34" t="s">
        <v>2175</v>
      </c>
      <c r="B360" s="22" t="n">
        <f aca="false">SUM(B353:B359)</f>
        <v>3301.57</v>
      </c>
      <c r="C360" s="22" t="n">
        <f aca="false">SUM(C353:C359)</f>
        <v>2382.6</v>
      </c>
      <c r="D360" s="26"/>
      <c r="E360" s="26"/>
      <c r="F360" s="22" t="n">
        <f aca="false">B360+C360</f>
        <v>5684.17</v>
      </c>
    </row>
    <row r="361" customFormat="false" ht="12.75" hidden="false" customHeight="true" outlineLevel="0" collapsed="false">
      <c r="A361" s="14" t="n">
        <v>46336</v>
      </c>
      <c r="B361" s="15" t="n">
        <f aca="false">SUMIFS(Report!$U:$U,Report!$T:$T,"&lt;&gt;"&amp;"MERCADORIAS P/REVENDA",Report!$AA:$AA,"SIM",Report!$C:$C,A361)</f>
        <v>1005.23</v>
      </c>
      <c r="C361" s="15" t="n">
        <f aca="false">SUMIFS(Report!$U:$U,Report!$T:$T,"MERCADORIAS P/REVENDA",Report!$AA:$AA,"SIM",Report!$C:$C,A361)</f>
        <v>0</v>
      </c>
      <c r="F361" s="15" t="n">
        <f aca="false">B361+C361</f>
        <v>1005.23</v>
      </c>
    </row>
    <row r="362" customFormat="false" ht="12.75" hidden="false" customHeight="true" outlineLevel="0" collapsed="false">
      <c r="A362" s="14" t="n">
        <v>46337</v>
      </c>
      <c r="B362" s="15" t="n">
        <f aca="false">SUMIFS(Report!$U:$U,Report!$T:$T,"&lt;&gt;"&amp;"MERCADORIAS P/REVENDA",Report!$AA:$AA,"SIM",Report!$C:$C,A362)</f>
        <v>0</v>
      </c>
      <c r="C362" s="15" t="n">
        <f aca="false">SUMIFS(Report!$U:$U,Report!$T:$T,"MERCADORIAS P/REVENDA",Report!$AA:$AA,"SIM",Report!$C:$C,A362)</f>
        <v>0</v>
      </c>
      <c r="F362" s="15" t="n">
        <f aca="false">B362+C362</f>
        <v>0</v>
      </c>
    </row>
    <row r="363" customFormat="false" ht="12.75" hidden="false" customHeight="true" outlineLevel="0" collapsed="false">
      <c r="A363" s="14" t="n">
        <v>46338</v>
      </c>
      <c r="B363" s="15" t="n">
        <f aca="false">SUMIFS(Report!$U:$U,Report!$T:$T,"&lt;&gt;"&amp;"MERCADORIAS P/REVENDA",Report!$AA:$AA,"SIM",Report!$C:$C,A363)</f>
        <v>0</v>
      </c>
      <c r="C363" s="15" t="n">
        <f aca="false">SUMIFS(Report!$U:$U,Report!$T:$T,"MERCADORIAS P/REVENDA",Report!$AA:$AA,"SIM",Report!$C:$C,A363)</f>
        <v>803.5</v>
      </c>
      <c r="F363" s="15" t="n">
        <f aca="false">B363+C363</f>
        <v>803.5</v>
      </c>
    </row>
    <row r="364" customFormat="false" ht="12.75" hidden="false" customHeight="true" outlineLevel="0" collapsed="false">
      <c r="A364" s="14" t="n">
        <v>46339</v>
      </c>
      <c r="B364" s="15" t="n">
        <f aca="false">SUMIFS(Report!$U:$U,Report!$T:$T,"&lt;&gt;"&amp;"MERCADORIAS P/REVENDA",Report!$AA:$AA,"SIM",Report!$C:$C,A364)</f>
        <v>0</v>
      </c>
      <c r="C364" s="15" t="n">
        <f aca="false">SUMIFS(Report!$U:$U,Report!$T:$T,"MERCADORIAS P/REVENDA",Report!$AA:$AA,"SIM",Report!$C:$C,A364)</f>
        <v>0</v>
      </c>
      <c r="F364" s="15" t="n">
        <f aca="false">B364+C364</f>
        <v>0</v>
      </c>
    </row>
    <row r="365" customFormat="false" ht="12.75" hidden="false" customHeight="true" outlineLevel="0" collapsed="false">
      <c r="A365" s="31" t="n">
        <v>46340</v>
      </c>
      <c r="B365" s="32" t="n">
        <f aca="false">SUMIFS(Report!$U:$U,Report!$T:$T,"&lt;&gt;"&amp;"MERCADORIAS P/REVENDA",Report!$AA:$AA,"SIM",Report!$C:$C,A365)</f>
        <v>0</v>
      </c>
      <c r="C365" s="32" t="n">
        <f aca="false">SUMIFS(Report!$U:$U,Report!$T:$T,"MERCADORIAS P/REVENDA",Report!$AA:$AA,"SIM",Report!$C:$C,A365)</f>
        <v>786.55</v>
      </c>
      <c r="D365" s="33"/>
      <c r="E365" s="33"/>
      <c r="F365" s="32" t="n">
        <f aca="false">B365+C365</f>
        <v>786.55</v>
      </c>
    </row>
    <row r="366" customFormat="false" ht="12.75" hidden="false" customHeight="true" outlineLevel="0" collapsed="false">
      <c r="A366" s="31" t="n">
        <v>46341</v>
      </c>
      <c r="B366" s="32" t="n">
        <f aca="false">SUMIFS(Report!$U:$U,Report!$T:$T,"&lt;&gt;"&amp;"MERCADORIAS P/REVENDA",Report!$AA:$AA,"SIM",Report!$C:$C,A366)</f>
        <v>5928.88</v>
      </c>
      <c r="C366" s="32" t="n">
        <f aca="false">SUMIFS(Report!$U:$U,Report!$T:$T,"MERCADORIAS P/REVENDA",Report!$AA:$AA,"SIM",Report!$C:$C,A366)</f>
        <v>0</v>
      </c>
      <c r="D366" s="33"/>
      <c r="E366" s="33"/>
      <c r="F366" s="32" t="n">
        <f aca="false">B366+C366</f>
        <v>5928.88</v>
      </c>
    </row>
    <row r="367" customFormat="false" ht="12.75" hidden="false" customHeight="true" outlineLevel="0" collapsed="false">
      <c r="A367" s="31" t="n">
        <v>46342</v>
      </c>
      <c r="B367" s="32" t="n">
        <f aca="false">SUMIFS(Report!$U:$U,Report!$T:$T,"&lt;&gt;"&amp;"MERCADORIAS P/REVENDA",Report!$AA:$AA,"SIM",Report!$C:$C,A367)</f>
        <v>0</v>
      </c>
      <c r="C367" s="32" t="n">
        <f aca="false">SUMIFS(Report!$U:$U,Report!$T:$T,"MERCADORIAS P/REVENDA",Report!$AA:$AA,"SIM",Report!$C:$C,A367)</f>
        <v>0</v>
      </c>
      <c r="D367" s="33"/>
      <c r="E367" s="33"/>
      <c r="F367" s="32" t="n">
        <f aca="false">B367+C367</f>
        <v>0</v>
      </c>
    </row>
    <row r="368" customFormat="false" ht="12.75" hidden="false" customHeight="true" outlineLevel="0" collapsed="false">
      <c r="A368" s="34" t="s">
        <v>2176</v>
      </c>
      <c r="B368" s="22" t="n">
        <f aca="false">SUM(B361:B367)</f>
        <v>6934.11</v>
      </c>
      <c r="C368" s="22" t="n">
        <f aca="false">SUM(C361:C367)</f>
        <v>1590.05</v>
      </c>
      <c r="D368" s="26"/>
      <c r="E368" s="26"/>
      <c r="F368" s="22" t="n">
        <f aca="false">B368+C368</f>
        <v>8524.16</v>
      </c>
    </row>
    <row r="369" customFormat="false" ht="12.75" hidden="false" customHeight="true" outlineLevel="0" collapsed="false">
      <c r="A369" s="14" t="n">
        <v>46343</v>
      </c>
      <c r="B369" s="15" t="n">
        <f aca="false">SUMIFS(Report!$U:$U,Report!$T:$T,"&lt;&gt;"&amp;"MERCADORIAS P/REVENDA",Report!$AA:$AA,"SIM",Report!$C:$C,A369)</f>
        <v>0</v>
      </c>
      <c r="C369" s="15" t="n">
        <f aca="false">SUMIFS(Report!$U:$U,Report!$T:$T,"MERCADORIAS P/REVENDA",Report!$AA:$AA,"SIM",Report!$C:$C,A369)</f>
        <v>0</v>
      </c>
      <c r="F369" s="15" t="n">
        <f aca="false">B369+C369</f>
        <v>0</v>
      </c>
    </row>
    <row r="370" customFormat="false" ht="12.75" hidden="false" customHeight="true" outlineLevel="0" collapsed="false">
      <c r="A370" s="14" t="n">
        <v>46344</v>
      </c>
      <c r="B370" s="15" t="n">
        <f aca="false">SUMIFS(Report!$U:$U,Report!$T:$T,"&lt;&gt;"&amp;"MERCADORIAS P/REVENDA",Report!$AA:$AA,"SIM",Report!$C:$C,A370)</f>
        <v>247.27</v>
      </c>
      <c r="C370" s="15" t="n">
        <f aca="false">SUMIFS(Report!$U:$U,Report!$T:$T,"MERCADORIAS P/REVENDA",Report!$AA:$AA,"SIM",Report!$C:$C,A370)</f>
        <v>0</v>
      </c>
      <c r="F370" s="15" t="n">
        <f aca="false">B370+C370</f>
        <v>247.27</v>
      </c>
    </row>
    <row r="371" customFormat="false" ht="12.75" hidden="false" customHeight="true" outlineLevel="0" collapsed="false">
      <c r="A371" s="14" t="n">
        <v>46345</v>
      </c>
      <c r="B371" s="15" t="n">
        <f aca="false">SUMIFS(Report!$U:$U,Report!$T:$T,"&lt;&gt;"&amp;"MERCADORIAS P/REVENDA",Report!$AA:$AA,"SIM",Report!$C:$C,A371)</f>
        <v>0</v>
      </c>
      <c r="C371" s="15" t="n">
        <f aca="false">SUMIFS(Report!$U:$U,Report!$T:$T,"MERCADORIAS P/REVENDA",Report!$AA:$AA,"SIM",Report!$C:$C,A371)</f>
        <v>803.5</v>
      </c>
      <c r="F371" s="15" t="n">
        <f aca="false">B371+C371</f>
        <v>803.5</v>
      </c>
    </row>
    <row r="372" customFormat="false" ht="12.75" hidden="false" customHeight="true" outlineLevel="0" collapsed="false">
      <c r="A372" s="14" t="n">
        <v>46346</v>
      </c>
      <c r="B372" s="15" t="n">
        <f aca="false">SUMIFS(Report!$U:$U,Report!$T:$T,"&lt;&gt;"&amp;"MERCADORIAS P/REVENDA",Report!$AA:$AA,"SIM",Report!$C:$C,A372)</f>
        <v>152.62</v>
      </c>
      <c r="C372" s="15" t="n">
        <f aca="false">SUMIFS(Report!$U:$U,Report!$T:$T,"MERCADORIAS P/REVENDA",Report!$AA:$AA,"SIM",Report!$C:$C,A372)</f>
        <v>0</v>
      </c>
      <c r="F372" s="15" t="n">
        <f aca="false">B372+C372</f>
        <v>152.62</v>
      </c>
    </row>
    <row r="373" customFormat="false" ht="12.75" hidden="false" customHeight="true" outlineLevel="0" collapsed="false">
      <c r="A373" s="31" t="n">
        <v>46347</v>
      </c>
      <c r="B373" s="32" t="n">
        <f aca="false">SUMIFS(Report!$U:$U,Report!$T:$T,"&lt;&gt;"&amp;"MERCADORIAS P/REVENDA",Report!$AA:$AA,"SIM",Report!$C:$C,A373)</f>
        <v>0</v>
      </c>
      <c r="C373" s="32" t="n">
        <f aca="false">SUMIFS(Report!$U:$U,Report!$T:$T,"MERCADORIAS P/REVENDA",Report!$AA:$AA,"SIM",Report!$C:$C,A373)</f>
        <v>0</v>
      </c>
      <c r="D373" s="33"/>
      <c r="E373" s="33"/>
      <c r="F373" s="32" t="n">
        <f aca="false">B373+C373</f>
        <v>0</v>
      </c>
    </row>
    <row r="374" customFormat="false" ht="12.75" hidden="false" customHeight="true" outlineLevel="0" collapsed="false">
      <c r="A374" s="31" t="n">
        <v>46348</v>
      </c>
      <c r="B374" s="32" t="n">
        <f aca="false">SUMIFS(Report!$U:$U,Report!$T:$T,"&lt;&gt;"&amp;"MERCADORIAS P/REVENDA",Report!$AA:$AA,"SIM",Report!$C:$C,A374)</f>
        <v>0</v>
      </c>
      <c r="C374" s="32" t="n">
        <f aca="false">SUMIFS(Report!$U:$U,Report!$T:$T,"MERCADORIAS P/REVENDA",Report!$AA:$AA,"SIM",Report!$C:$C,A374)</f>
        <v>0</v>
      </c>
      <c r="D374" s="33"/>
      <c r="E374" s="33"/>
      <c r="F374" s="32" t="n">
        <f aca="false">B374+C374</f>
        <v>0</v>
      </c>
    </row>
    <row r="375" customFormat="false" ht="12.75" hidden="false" customHeight="true" outlineLevel="0" collapsed="false">
      <c r="A375" s="31" t="n">
        <v>46349</v>
      </c>
      <c r="B375" s="32" t="n">
        <f aca="false">SUMIFS(Report!$U:$U,Report!$T:$T,"&lt;&gt;"&amp;"MERCADORIAS P/REVENDA",Report!$AA:$AA,"SIM",Report!$C:$C,A375)</f>
        <v>0</v>
      </c>
      <c r="C375" s="32" t="n">
        <f aca="false">SUMIFS(Report!$U:$U,Report!$T:$T,"MERCADORIAS P/REVENDA",Report!$AA:$AA,"SIM",Report!$C:$C,A375)</f>
        <v>0</v>
      </c>
      <c r="D375" s="33"/>
      <c r="E375" s="33"/>
      <c r="F375" s="32" t="n">
        <f aca="false">B375+C375</f>
        <v>0</v>
      </c>
    </row>
    <row r="376" customFormat="false" ht="12.75" hidden="false" customHeight="true" outlineLevel="0" collapsed="false">
      <c r="A376" s="34" t="s">
        <v>2177</v>
      </c>
      <c r="B376" s="22" t="n">
        <f aca="false">SUM(B369:B375)</f>
        <v>399.89</v>
      </c>
      <c r="C376" s="22" t="n">
        <f aca="false">SUM(C369:C375)</f>
        <v>803.5</v>
      </c>
      <c r="D376" s="26"/>
      <c r="E376" s="26"/>
      <c r="F376" s="22" t="n">
        <f aca="false">B376+C376</f>
        <v>1203.39</v>
      </c>
    </row>
    <row r="377" customFormat="false" ht="12.75" hidden="false" customHeight="true" outlineLevel="0" collapsed="false">
      <c r="A377" s="14" t="n">
        <v>46350</v>
      </c>
      <c r="B377" s="15" t="n">
        <f aca="false">SUMIFS(Report!$U:$U,Report!$T:$T,"&lt;&gt;"&amp;"MERCADORIAS P/REVENDA",Report!$AA:$AA,"SIM",Report!$C:$C,A377)</f>
        <v>0</v>
      </c>
      <c r="C377" s="15" t="n">
        <f aca="false">SUMIFS(Report!$U:$U,Report!$T:$T,"MERCADORIAS P/REVENDA",Report!$AA:$AA,"SIM",Report!$C:$C,A377)</f>
        <v>786.56</v>
      </c>
      <c r="F377" s="15" t="n">
        <f aca="false">B377+C377</f>
        <v>786.56</v>
      </c>
    </row>
    <row r="378" customFormat="false" ht="12.75" hidden="false" customHeight="true" outlineLevel="0" collapsed="false">
      <c r="A378" s="14" t="n">
        <v>46351</v>
      </c>
      <c r="B378" s="15" t="n">
        <f aca="false">SUMIFS(Report!$U:$U,Report!$T:$T,"&lt;&gt;"&amp;"MERCADORIAS P/REVENDA",Report!$AA:$AA,"SIM",Report!$C:$C,A378)</f>
        <v>549.66</v>
      </c>
      <c r="C378" s="15" t="n">
        <f aca="false">SUMIFS(Report!$U:$U,Report!$T:$T,"MERCADORIAS P/REVENDA",Report!$AA:$AA,"SIM",Report!$C:$C,A378)</f>
        <v>0</v>
      </c>
      <c r="F378" s="15" t="n">
        <f aca="false">B378+C378</f>
        <v>549.66</v>
      </c>
    </row>
    <row r="379" customFormat="false" ht="12.75" hidden="false" customHeight="true" outlineLevel="0" collapsed="false">
      <c r="A379" s="14" t="n">
        <v>46352</v>
      </c>
      <c r="B379" s="15" t="n">
        <f aca="false">SUMIFS(Report!$U:$U,Report!$T:$T,"&lt;&gt;"&amp;"MERCADORIAS P/REVENDA",Report!$AA:$AA,"SIM",Report!$C:$C,A379)</f>
        <v>4168.41</v>
      </c>
      <c r="C379" s="15" t="n">
        <f aca="false">SUMIFS(Report!$U:$U,Report!$T:$T,"MERCADORIAS P/REVENDA",Report!$AA:$AA,"SIM",Report!$C:$C,A379)</f>
        <v>803.5</v>
      </c>
      <c r="F379" s="15" t="n">
        <f aca="false">B379+C379</f>
        <v>4971.91</v>
      </c>
    </row>
    <row r="380" customFormat="false" ht="12.75" hidden="false" customHeight="true" outlineLevel="0" collapsed="false">
      <c r="A380" s="14" t="n">
        <v>46353</v>
      </c>
      <c r="B380" s="15" t="n">
        <f aca="false">SUMIFS(Report!$U:$U,Report!$T:$T,"&lt;&gt;"&amp;"MERCADORIAS P/REVENDA",Report!$AA:$AA,"SIM",Report!$C:$C,A380)</f>
        <v>0</v>
      </c>
      <c r="C380" s="15" t="n">
        <f aca="false">SUMIFS(Report!$U:$U,Report!$T:$T,"MERCADORIAS P/REVENDA",Report!$AA:$AA,"SIM",Report!$C:$C,A380)</f>
        <v>0</v>
      </c>
      <c r="F380" s="15" t="n">
        <f aca="false">B380+C380</f>
        <v>0</v>
      </c>
    </row>
    <row r="381" customFormat="false" ht="12.75" hidden="false" customHeight="true" outlineLevel="0" collapsed="false">
      <c r="A381" s="31" t="n">
        <v>46354</v>
      </c>
      <c r="B381" s="32" t="n">
        <f aca="false">SUMIFS(Report!$U:$U,Report!$T:$T,"&lt;&gt;"&amp;"MERCADORIAS P/REVENDA",Report!$AA:$AA,"SIM",Report!$C:$C,A381)</f>
        <v>0</v>
      </c>
      <c r="C381" s="32" t="n">
        <f aca="false">SUMIFS(Report!$U:$U,Report!$T:$T,"MERCADORIAS P/REVENDA",Report!$AA:$AA,"SIM",Report!$C:$C,A381)</f>
        <v>0</v>
      </c>
      <c r="D381" s="33"/>
      <c r="E381" s="33"/>
      <c r="F381" s="32" t="n">
        <f aca="false">B381+C381</f>
        <v>0</v>
      </c>
    </row>
    <row r="382" customFormat="false" ht="12.75" hidden="false" customHeight="true" outlineLevel="0" collapsed="false">
      <c r="A382" s="31" t="n">
        <v>46355</v>
      </c>
      <c r="B382" s="32" t="n">
        <f aca="false">SUMIFS(Report!$U:$U,Report!$T:$T,"&lt;&gt;"&amp;"MERCADORIAS P/REVENDA",Report!$AA:$AA,"SIM",Report!$C:$C,A382)</f>
        <v>241.83</v>
      </c>
      <c r="C382" s="32" t="n">
        <f aca="false">SUMIFS(Report!$U:$U,Report!$T:$T,"MERCADORIAS P/REVENDA",Report!$AA:$AA,"SIM",Report!$C:$C,A382)</f>
        <v>0</v>
      </c>
      <c r="D382" s="33"/>
      <c r="E382" s="33"/>
      <c r="F382" s="32" t="n">
        <f aca="false">B382+C382</f>
        <v>241.83</v>
      </c>
    </row>
    <row r="383" customFormat="false" ht="12.75" hidden="false" customHeight="true" outlineLevel="0" collapsed="false">
      <c r="A383" s="31" t="n">
        <v>46356</v>
      </c>
      <c r="B383" s="32" t="n">
        <f aca="false">SUMIFS(Report!$U:$U,Report!$T:$T,"&lt;&gt;"&amp;"MERCADORIAS P/REVENDA",Report!$AA:$AA,"SIM",Report!$C:$C,A383)</f>
        <v>0</v>
      </c>
      <c r="C383" s="32" t="n">
        <f aca="false">SUMIFS(Report!$U:$U,Report!$T:$T,"MERCADORIAS P/REVENDA",Report!$AA:$AA,"SIM",Report!$C:$C,A383)</f>
        <v>0</v>
      </c>
      <c r="D383" s="33"/>
      <c r="E383" s="33"/>
      <c r="F383" s="32" t="n">
        <f aca="false">B383+C383</f>
        <v>0</v>
      </c>
    </row>
    <row r="384" customFormat="false" ht="12.75" hidden="false" customHeight="true" outlineLevel="0" collapsed="false">
      <c r="A384" s="34" t="s">
        <v>2178</v>
      </c>
      <c r="B384" s="22" t="n">
        <f aca="false">SUM(B377:B383)</f>
        <v>4959.9</v>
      </c>
      <c r="C384" s="22" t="n">
        <f aca="false">SUM(C377:C383)</f>
        <v>1590.06</v>
      </c>
      <c r="D384" s="26"/>
      <c r="E384" s="26"/>
      <c r="F384" s="22" t="n">
        <f aca="false">B384+C384</f>
        <v>6549.96</v>
      </c>
    </row>
    <row r="385" customFormat="false" ht="12.75" hidden="false" customHeight="true" outlineLevel="0" collapsed="false">
      <c r="A385" s="14" t="n">
        <v>46357</v>
      </c>
      <c r="B385" s="15" t="n">
        <f aca="false">SUMIFS(Report!$U:$U,Report!$T:$T,"&lt;&gt;"&amp;"MERCADORIAS P/REVENDA",Report!$AA:$AA,"SIM",Report!$C:$C,A385)</f>
        <v>797.99</v>
      </c>
      <c r="C385" s="15" t="n">
        <f aca="false">SUMIFS(Report!$U:$U,Report!$T:$T,"MERCADORIAS P/REVENDA",Report!$AA:$AA,"SIM",Report!$C:$C,A385)</f>
        <v>1713.5</v>
      </c>
      <c r="F385" s="15" t="n">
        <f aca="false">B385+C385</f>
        <v>2511.49</v>
      </c>
    </row>
    <row r="386" customFormat="false" ht="12.75" hidden="false" customHeight="true" outlineLevel="0" collapsed="false">
      <c r="A386" s="14" t="n">
        <v>46358</v>
      </c>
      <c r="B386" s="15" t="n">
        <f aca="false">SUMIFS(Report!$U:$U,Report!$T:$T,"&lt;&gt;"&amp;"MERCADORIAS P/REVENDA",Report!$AA:$AA,"SIM",Report!$C:$C,A386)</f>
        <v>0</v>
      </c>
      <c r="C386" s="15" t="n">
        <f aca="false">SUMIFS(Report!$U:$U,Report!$T:$T,"MERCADORIAS P/REVENDA",Report!$AA:$AA,"SIM",Report!$C:$C,A386)</f>
        <v>0</v>
      </c>
      <c r="F386" s="15" t="n">
        <f aca="false">B386+C386</f>
        <v>0</v>
      </c>
    </row>
    <row r="387" customFormat="false" ht="12.75" hidden="false" customHeight="true" outlineLevel="0" collapsed="false">
      <c r="A387" s="14" t="n">
        <v>46359</v>
      </c>
      <c r="B387" s="15" t="n">
        <f aca="false">SUMIFS(Report!$U:$U,Report!$T:$T,"&lt;&gt;"&amp;"MERCADORIAS P/REVENDA",Report!$AA:$AA,"SIM",Report!$C:$C,A387)</f>
        <v>0</v>
      </c>
      <c r="C387" s="15" t="n">
        <f aca="false">SUMIFS(Report!$U:$U,Report!$T:$T,"MERCADORIAS P/REVENDA",Report!$AA:$AA,"SIM",Report!$C:$C,A387)</f>
        <v>803.5</v>
      </c>
      <c r="F387" s="15" t="n">
        <f aca="false">B387+C387</f>
        <v>803.5</v>
      </c>
    </row>
    <row r="388" customFormat="false" ht="12.75" hidden="false" customHeight="true" outlineLevel="0" collapsed="false">
      <c r="A388" s="14" t="n">
        <v>46360</v>
      </c>
      <c r="B388" s="15" t="n">
        <f aca="false">SUMIFS(Report!$U:$U,Report!$T:$T,"&lt;&gt;"&amp;"MERCADORIAS P/REVENDA",Report!$AA:$AA,"SIM",Report!$C:$C,A388)</f>
        <v>0</v>
      </c>
      <c r="C388" s="15" t="n">
        <f aca="false">SUMIFS(Report!$U:$U,Report!$T:$T,"MERCADORIAS P/REVENDA",Report!$AA:$AA,"SIM",Report!$C:$C,A388)</f>
        <v>0</v>
      </c>
      <c r="F388" s="15" t="n">
        <f aca="false">B388+C388</f>
        <v>0</v>
      </c>
    </row>
    <row r="389" customFormat="false" ht="12.75" hidden="false" customHeight="true" outlineLevel="0" collapsed="false">
      <c r="A389" s="31" t="n">
        <v>46361</v>
      </c>
      <c r="B389" s="32" t="n">
        <f aca="false">SUMIFS(Report!$U:$U,Report!$T:$T,"&lt;&gt;"&amp;"MERCADORIAS P/REVENDA",Report!$AA:$AA,"SIM",Report!$C:$C,A389)</f>
        <v>2681.6</v>
      </c>
      <c r="C389" s="32" t="n">
        <f aca="false">SUMIFS(Report!$U:$U,Report!$T:$T,"MERCADORIAS P/REVENDA",Report!$AA:$AA,"SIM",Report!$C:$C,A389)</f>
        <v>0</v>
      </c>
      <c r="D389" s="33"/>
      <c r="E389" s="33"/>
      <c r="F389" s="32" t="n">
        <f aca="false">B389+C389</f>
        <v>2681.6</v>
      </c>
    </row>
    <row r="390" customFormat="false" ht="12.75" hidden="false" customHeight="true" outlineLevel="0" collapsed="false">
      <c r="A390" s="31" t="n">
        <v>46362</v>
      </c>
      <c r="B390" s="32" t="n">
        <f aca="false">SUMIFS(Report!$U:$U,Report!$T:$T,"&lt;&gt;"&amp;"MERCADORIAS P/REVENDA",Report!$AA:$AA,"SIM",Report!$C:$C,A390)</f>
        <v>0</v>
      </c>
      <c r="C390" s="32" t="n">
        <f aca="false">SUMIFS(Report!$U:$U,Report!$T:$T,"MERCADORIAS P/REVENDA",Report!$AA:$AA,"SIM",Report!$C:$C,A390)</f>
        <v>0</v>
      </c>
      <c r="D390" s="33"/>
      <c r="E390" s="33"/>
      <c r="F390" s="32" t="n">
        <f aca="false">B390+C390</f>
        <v>0</v>
      </c>
    </row>
    <row r="391" customFormat="false" ht="12.75" hidden="false" customHeight="true" outlineLevel="0" collapsed="false">
      <c r="A391" s="31" t="n">
        <v>46363</v>
      </c>
      <c r="B391" s="32" t="n">
        <f aca="false">SUMIFS(Report!$U:$U,Report!$T:$T,"&lt;&gt;"&amp;"MERCADORIAS P/REVENDA",Report!$AA:$AA,"SIM",Report!$C:$C,A391)</f>
        <v>0</v>
      </c>
      <c r="C391" s="32" t="n">
        <f aca="false">SUMIFS(Report!$U:$U,Report!$T:$T,"MERCADORIAS P/REVENDA",Report!$AA:$AA,"SIM",Report!$C:$C,A391)</f>
        <v>0</v>
      </c>
      <c r="D391" s="33"/>
      <c r="E391" s="33"/>
      <c r="F391" s="32" t="n">
        <f aca="false">B391+C391</f>
        <v>0</v>
      </c>
    </row>
    <row r="392" customFormat="false" ht="12.75" hidden="false" customHeight="true" outlineLevel="0" collapsed="false">
      <c r="A392" s="34" t="s">
        <v>2179</v>
      </c>
      <c r="B392" s="22" t="n">
        <f aca="false">SUM(B385:B391)</f>
        <v>3479.59</v>
      </c>
      <c r="C392" s="22" t="n">
        <f aca="false">SUM(C385:C391)</f>
        <v>2517</v>
      </c>
      <c r="D392" s="26"/>
      <c r="E392" s="26"/>
      <c r="F392" s="22" t="n">
        <f aca="false">B392+C392</f>
        <v>5996.59</v>
      </c>
    </row>
    <row r="393" customFormat="false" ht="12.75" hidden="false" customHeight="true" outlineLevel="0" collapsed="false">
      <c r="A393" s="14" t="n">
        <v>46364</v>
      </c>
      <c r="B393" s="15" t="n">
        <f aca="false">SUMIFS(Report!$U:$U,Report!$T:$T,"&lt;&gt;"&amp;"MERCADORIAS P/REVENDA",Report!$AA:$AA,"SIM",Report!$C:$C,A393)</f>
        <v>0</v>
      </c>
      <c r="C393" s="15" t="n">
        <f aca="false">SUMIFS(Report!$U:$U,Report!$T:$T,"MERCADORIAS P/REVENDA",Report!$AA:$AA,"SIM",Report!$C:$C,A393)</f>
        <v>0</v>
      </c>
      <c r="F393" s="15" t="n">
        <f aca="false">B393+C393</f>
        <v>0</v>
      </c>
    </row>
    <row r="394" customFormat="false" ht="12.75" hidden="false" customHeight="true" outlineLevel="0" collapsed="false">
      <c r="A394" s="14" t="n">
        <v>46365</v>
      </c>
      <c r="B394" s="15" t="n">
        <f aca="false">SUMIFS(Report!$U:$U,Report!$T:$T,"&lt;&gt;"&amp;"MERCADORIAS P/REVENDA",Report!$AA:$AA,"SIM",Report!$C:$C,A394)</f>
        <v>0</v>
      </c>
      <c r="C394" s="15" t="n">
        <f aca="false">SUMIFS(Report!$U:$U,Report!$T:$T,"MERCADORIAS P/REVENDA",Report!$AA:$AA,"SIM",Report!$C:$C,A394)</f>
        <v>0</v>
      </c>
      <c r="F394" s="15" t="n">
        <f aca="false">B394+C394</f>
        <v>0</v>
      </c>
    </row>
    <row r="395" customFormat="false" ht="12.75" hidden="false" customHeight="true" outlineLevel="0" collapsed="false">
      <c r="A395" s="14" t="n">
        <v>46366</v>
      </c>
      <c r="B395" s="15" t="n">
        <f aca="false">SUMIFS(Report!$U:$U,Report!$T:$T,"&lt;&gt;"&amp;"MERCADORIAS P/REVENDA",Report!$AA:$AA,"SIM",Report!$C:$C,A395)</f>
        <v>828.41</v>
      </c>
      <c r="C395" s="15" t="n">
        <f aca="false">SUMIFS(Report!$U:$U,Report!$T:$T,"MERCADORIAS P/REVENDA",Report!$AA:$AA,"SIM",Report!$C:$C,A395)</f>
        <v>806.62</v>
      </c>
      <c r="F395" s="15" t="n">
        <f aca="false">B395+C395</f>
        <v>1635.03</v>
      </c>
    </row>
    <row r="396" customFormat="false" ht="12.75" hidden="false" customHeight="true" outlineLevel="0" collapsed="false">
      <c r="A396" s="14" t="n">
        <v>46367</v>
      </c>
      <c r="B396" s="15" t="n">
        <f aca="false">SUMIFS(Report!$U:$U,Report!$T:$T,"&lt;&gt;"&amp;"MERCADORIAS P/REVENDA",Report!$AA:$AA,"SIM",Report!$C:$C,A396)</f>
        <v>0</v>
      </c>
      <c r="C396" s="15" t="n">
        <f aca="false">SUMIFS(Report!$U:$U,Report!$T:$T,"MERCADORIAS P/REVENDA",Report!$AA:$AA,"SIM",Report!$C:$C,A396)</f>
        <v>0</v>
      </c>
      <c r="F396" s="15" t="n">
        <f aca="false">B396+C396</f>
        <v>0</v>
      </c>
    </row>
    <row r="397" customFormat="false" ht="12.75" hidden="false" customHeight="true" outlineLevel="0" collapsed="false">
      <c r="A397" s="31" t="n">
        <v>46368</v>
      </c>
      <c r="B397" s="32" t="n">
        <f aca="false">SUMIFS(Report!$U:$U,Report!$T:$T,"&lt;&gt;"&amp;"MERCADORIAS P/REVENDA",Report!$AA:$AA,"SIM",Report!$C:$C,A397)</f>
        <v>0</v>
      </c>
      <c r="C397" s="32" t="n">
        <f aca="false">SUMIFS(Report!$U:$U,Report!$T:$T,"MERCADORIAS P/REVENDA",Report!$AA:$AA,"SIM",Report!$C:$C,A397)</f>
        <v>0</v>
      </c>
      <c r="D397" s="33"/>
      <c r="E397" s="33"/>
      <c r="F397" s="32" t="n">
        <f aca="false">B397+C397</f>
        <v>0</v>
      </c>
    </row>
    <row r="398" customFormat="false" ht="12.75" hidden="false" customHeight="true" outlineLevel="0" collapsed="false">
      <c r="A398" s="31" t="n">
        <v>46369</v>
      </c>
      <c r="B398" s="32" t="n">
        <f aca="false">SUMIFS(Report!$U:$U,Report!$T:$T,"&lt;&gt;"&amp;"MERCADORIAS P/REVENDA",Report!$AA:$AA,"SIM",Report!$C:$C,A398)</f>
        <v>0</v>
      </c>
      <c r="C398" s="32" t="n">
        <f aca="false">SUMIFS(Report!$U:$U,Report!$T:$T,"MERCADORIAS P/REVENDA",Report!$AA:$AA,"SIM",Report!$C:$C,A398)</f>
        <v>0</v>
      </c>
      <c r="D398" s="33"/>
      <c r="E398" s="33"/>
      <c r="F398" s="32" t="n">
        <f aca="false">B398+C398</f>
        <v>0</v>
      </c>
    </row>
    <row r="399" customFormat="false" ht="12.75" hidden="false" customHeight="true" outlineLevel="0" collapsed="false">
      <c r="A399" s="31" t="n">
        <v>46370</v>
      </c>
      <c r="B399" s="32" t="n">
        <f aca="false">SUMIFS(Report!$U:$U,Report!$T:$T,"&lt;&gt;"&amp;"MERCADORIAS P/REVENDA",Report!$AA:$AA,"SIM",Report!$C:$C,A399)</f>
        <v>0</v>
      </c>
      <c r="C399" s="32" t="n">
        <f aca="false">SUMIFS(Report!$U:$U,Report!$T:$T,"MERCADORIAS P/REVENDA",Report!$AA:$AA,"SIM",Report!$C:$C,A399)</f>
        <v>0</v>
      </c>
      <c r="D399" s="33"/>
      <c r="E399" s="33"/>
      <c r="F399" s="32" t="n">
        <f aca="false">B399+C399</f>
        <v>0</v>
      </c>
    </row>
    <row r="400" customFormat="false" ht="12.75" hidden="false" customHeight="true" outlineLevel="0" collapsed="false">
      <c r="A400" s="34" t="s">
        <v>2180</v>
      </c>
      <c r="B400" s="22" t="n">
        <f aca="false">SUM(B393:B399)</f>
        <v>828.41</v>
      </c>
      <c r="C400" s="22" t="n">
        <f aca="false">SUM(C393:C399)</f>
        <v>806.62</v>
      </c>
      <c r="D400" s="26"/>
      <c r="E400" s="26"/>
      <c r="F400" s="22" t="n">
        <f aca="false">B400+C400</f>
        <v>1635.03</v>
      </c>
    </row>
    <row r="401" customFormat="false" ht="12.75" hidden="false" customHeight="true" outlineLevel="0" collapsed="false">
      <c r="A401" s="14" t="n">
        <v>46371</v>
      </c>
      <c r="B401" s="15" t="n">
        <f aca="false">SUMIFS(Report!$U:$U,Report!$T:$T,"&lt;&gt;"&amp;"MERCADORIAS P/REVENDA",Report!$AA:$AA,"SIM",Report!$C:$C,A401)</f>
        <v>5928.88</v>
      </c>
      <c r="C401" s="15" t="n">
        <f aca="false">SUMIFS(Report!$U:$U,Report!$T:$T,"MERCADORIAS P/REVENDA",Report!$AA:$AA,"SIM",Report!$C:$C,A401)</f>
        <v>0</v>
      </c>
      <c r="F401" s="15" t="n">
        <f aca="false">B401+C401</f>
        <v>5928.88</v>
      </c>
    </row>
    <row r="402" customFormat="false" ht="12.75" hidden="false" customHeight="true" outlineLevel="0" collapsed="false">
      <c r="A402" s="14" t="n">
        <v>46372</v>
      </c>
      <c r="B402" s="15" t="n">
        <f aca="false">SUMIFS(Report!$U:$U,Report!$T:$T,"&lt;&gt;"&amp;"MERCADORIAS P/REVENDA",Report!$AA:$AA,"SIM",Report!$C:$C,A402)</f>
        <v>0</v>
      </c>
      <c r="C402" s="15" t="n">
        <f aca="false">SUMIFS(Report!$U:$U,Report!$T:$T,"MERCADORIAS P/REVENDA",Report!$AA:$AA,"SIM",Report!$C:$C,A402)</f>
        <v>0</v>
      </c>
      <c r="F402" s="15" t="n">
        <f aca="false">B402+C402</f>
        <v>0</v>
      </c>
    </row>
    <row r="403" customFormat="false" ht="12.75" hidden="false" customHeight="true" outlineLevel="0" collapsed="false">
      <c r="A403" s="14" t="n">
        <v>46373</v>
      </c>
      <c r="B403" s="15" t="n">
        <f aca="false">SUMIFS(Report!$U:$U,Report!$T:$T,"&lt;&gt;"&amp;"MERCADORIAS P/REVENDA",Report!$AA:$AA,"SIM",Report!$C:$C,A403)</f>
        <v>0</v>
      </c>
      <c r="C403" s="15" t="n">
        <f aca="false">SUMIFS(Report!$U:$U,Report!$T:$T,"MERCADORIAS P/REVENDA",Report!$AA:$AA,"SIM",Report!$C:$C,A403)</f>
        <v>0</v>
      </c>
      <c r="F403" s="15" t="n">
        <f aca="false">B403+C403</f>
        <v>0</v>
      </c>
    </row>
    <row r="404" customFormat="false" ht="12.75" hidden="false" customHeight="true" outlineLevel="0" collapsed="false">
      <c r="A404" s="14" t="n">
        <v>46374</v>
      </c>
      <c r="B404" s="15" t="n">
        <f aca="false">SUMIFS(Report!$U:$U,Report!$T:$T,"&lt;&gt;"&amp;"MERCADORIAS P/REVENDA",Report!$AA:$AA,"SIM",Report!$C:$C,A404)</f>
        <v>247.27</v>
      </c>
      <c r="C404" s="15" t="n">
        <f aca="false">SUMIFS(Report!$U:$U,Report!$T:$T,"MERCADORIAS P/REVENDA",Report!$AA:$AA,"SIM",Report!$C:$C,A404)</f>
        <v>0</v>
      </c>
      <c r="F404" s="15" t="n">
        <f aca="false">B404+C404</f>
        <v>247.27</v>
      </c>
    </row>
    <row r="405" customFormat="false" ht="12.75" hidden="false" customHeight="true" outlineLevel="0" collapsed="false">
      <c r="A405" s="31" t="n">
        <v>46375</v>
      </c>
      <c r="B405" s="32" t="n">
        <f aca="false">SUMIFS(Report!$U:$U,Report!$T:$T,"&lt;&gt;"&amp;"MERCADORIAS P/REVENDA",Report!$AA:$AA,"SIM",Report!$C:$C,A405)</f>
        <v>0</v>
      </c>
      <c r="C405" s="32" t="n">
        <f aca="false">SUMIFS(Report!$U:$U,Report!$T:$T,"MERCADORIAS P/REVENDA",Report!$AA:$AA,"SIM",Report!$C:$C,A405)</f>
        <v>0</v>
      </c>
      <c r="D405" s="33"/>
      <c r="E405" s="33"/>
      <c r="F405" s="32" t="n">
        <f aca="false">B405+C405</f>
        <v>0</v>
      </c>
    </row>
    <row r="406" customFormat="false" ht="12.75" hidden="false" customHeight="true" outlineLevel="0" collapsed="false">
      <c r="A406" s="31" t="n">
        <v>46376</v>
      </c>
      <c r="B406" s="32" t="n">
        <f aca="false">SUMIFS(Report!$U:$U,Report!$T:$T,"&lt;&gt;"&amp;"MERCADORIAS P/REVENDA",Report!$AA:$AA,"SIM",Report!$C:$C,A406)</f>
        <v>595.9</v>
      </c>
      <c r="C406" s="32" t="n">
        <f aca="false">SUMIFS(Report!$U:$U,Report!$T:$T,"MERCADORIAS P/REVENDA",Report!$AA:$AA,"SIM",Report!$C:$C,A406)</f>
        <v>0</v>
      </c>
      <c r="D406" s="33"/>
      <c r="E406" s="33"/>
      <c r="F406" s="32" t="n">
        <f aca="false">B406+C406</f>
        <v>595.9</v>
      </c>
    </row>
    <row r="407" customFormat="false" ht="12.75" hidden="false" customHeight="true" outlineLevel="0" collapsed="false">
      <c r="A407" s="31" t="n">
        <v>46377</v>
      </c>
      <c r="B407" s="32" t="n">
        <f aca="false">SUMIFS(Report!$U:$U,Report!$T:$T,"&lt;&gt;"&amp;"MERCADORIAS P/REVENDA",Report!$AA:$AA,"SIM",Report!$C:$C,A407)</f>
        <v>0</v>
      </c>
      <c r="C407" s="32" t="n">
        <f aca="false">SUMIFS(Report!$U:$U,Report!$T:$T,"MERCADORIAS P/REVENDA",Report!$AA:$AA,"SIM",Report!$C:$C,A407)</f>
        <v>0</v>
      </c>
      <c r="D407" s="33"/>
      <c r="E407" s="33"/>
      <c r="F407" s="32" t="n">
        <f aca="false">B407+C407</f>
        <v>0</v>
      </c>
    </row>
    <row r="408" customFormat="false" ht="12.75" hidden="false" customHeight="true" outlineLevel="0" collapsed="false">
      <c r="A408" s="34" t="s">
        <v>2181</v>
      </c>
      <c r="B408" s="22" t="n">
        <f aca="false">SUM(B401:B407)</f>
        <v>6772.05</v>
      </c>
      <c r="C408" s="22" t="n">
        <f aca="false">SUM(C401:C407)</f>
        <v>0</v>
      </c>
      <c r="D408" s="26"/>
      <c r="E408" s="26"/>
      <c r="F408" s="22" t="n">
        <f aca="false">B408+C408</f>
        <v>6772.05</v>
      </c>
    </row>
    <row r="409" customFormat="false" ht="12.75" hidden="false" customHeight="true" outlineLevel="0" collapsed="false">
      <c r="A409" s="14" t="n">
        <v>46378</v>
      </c>
      <c r="B409" s="15" t="n">
        <f aca="false">SUMIFS(Report!$U:$U,Report!$T:$T,"&lt;&gt;"&amp;"MERCADORIAS P/REVENDA",Report!$AA:$AA,"SIM",Report!$C:$C,A409)</f>
        <v>0</v>
      </c>
      <c r="C409" s="15" t="n">
        <f aca="false">SUMIFS(Report!$U:$U,Report!$T:$T,"MERCADORIAS P/REVENDA",Report!$AA:$AA,"SIM",Report!$C:$C,A409)</f>
        <v>0</v>
      </c>
      <c r="F409" s="15" t="n">
        <f aca="false">B409+C409</f>
        <v>0</v>
      </c>
    </row>
    <row r="410" customFormat="false" ht="12.75" hidden="false" customHeight="true" outlineLevel="0" collapsed="false">
      <c r="A410" s="14" t="n">
        <v>46379</v>
      </c>
      <c r="B410" s="15" t="n">
        <f aca="false">SUMIFS(Report!$U:$U,Report!$T:$T,"&lt;&gt;"&amp;"MERCADORIAS P/REVENDA",Report!$AA:$AA,"SIM",Report!$C:$C,A410)</f>
        <v>0</v>
      </c>
      <c r="C410" s="15" t="n">
        <f aca="false">SUMIFS(Report!$U:$U,Report!$T:$T,"MERCADORIAS P/REVENDA",Report!$AA:$AA,"SIM",Report!$C:$C,A410)</f>
        <v>0</v>
      </c>
      <c r="F410" s="15" t="n">
        <f aca="false">B410+C410</f>
        <v>0</v>
      </c>
    </row>
    <row r="411" customFormat="false" ht="12.75" hidden="false" customHeight="true" outlineLevel="0" collapsed="false">
      <c r="A411" s="14" t="n">
        <v>46380</v>
      </c>
      <c r="B411" s="15" t="n">
        <f aca="false">SUMIFS(Report!$U:$U,Report!$T:$T,"&lt;&gt;"&amp;"MERCADORIAS P/REVENDA",Report!$AA:$AA,"SIM",Report!$C:$C,A411)</f>
        <v>0</v>
      </c>
      <c r="C411" s="15" t="n">
        <f aca="false">SUMIFS(Report!$U:$U,Report!$T:$T,"MERCADORIAS P/REVENDA",Report!$AA:$AA,"SIM",Report!$C:$C,A411)</f>
        <v>0</v>
      </c>
      <c r="F411" s="15" t="n">
        <f aca="false">B411+C411</f>
        <v>0</v>
      </c>
    </row>
    <row r="412" customFormat="false" ht="12.75" hidden="false" customHeight="true" outlineLevel="0" collapsed="false">
      <c r="A412" s="14" t="n">
        <v>46381</v>
      </c>
      <c r="B412" s="15" t="n">
        <f aca="false">SUMIFS(Report!$U:$U,Report!$T:$T,"&lt;&gt;"&amp;"MERCADORIAS P/REVENDA",Report!$AA:$AA,"SIM",Report!$C:$C,A412)</f>
        <v>549.66</v>
      </c>
      <c r="C412" s="15" t="n">
        <f aca="false">SUMIFS(Report!$U:$U,Report!$T:$T,"MERCADORIAS P/REVENDA",Report!$AA:$AA,"SIM",Report!$C:$C,A412)</f>
        <v>0</v>
      </c>
      <c r="F412" s="15" t="n">
        <f aca="false">B412+C412</f>
        <v>549.66</v>
      </c>
    </row>
    <row r="413" customFormat="false" ht="12.75" hidden="false" customHeight="true" outlineLevel="0" collapsed="false">
      <c r="A413" s="31" t="n">
        <v>46382</v>
      </c>
      <c r="B413" s="32" t="n">
        <f aca="false">SUMIFS(Report!$U:$U,Report!$T:$T,"&lt;&gt;"&amp;"MERCADORIAS P/REVENDA",Report!$AA:$AA,"SIM",Report!$C:$C,A413)</f>
        <v>0</v>
      </c>
      <c r="C413" s="32" t="n">
        <f aca="false">SUMIFS(Report!$U:$U,Report!$T:$T,"MERCADORIAS P/REVENDA",Report!$AA:$AA,"SIM",Report!$C:$C,A413)</f>
        <v>0</v>
      </c>
      <c r="D413" s="33"/>
      <c r="E413" s="33"/>
      <c r="F413" s="32" t="n">
        <f aca="false">B413+C413</f>
        <v>0</v>
      </c>
    </row>
    <row r="414" customFormat="false" ht="12.75" hidden="false" customHeight="true" outlineLevel="0" collapsed="false">
      <c r="A414" s="31" t="n">
        <v>46383</v>
      </c>
      <c r="B414" s="32" t="n">
        <f aca="false">SUMIFS(Report!$U:$U,Report!$T:$T,"&lt;&gt;"&amp;"MERCADORIAS P/REVENDA",Report!$AA:$AA,"SIM",Report!$C:$C,A414)</f>
        <v>4168.41</v>
      </c>
      <c r="C414" s="32" t="n">
        <f aca="false">SUMIFS(Report!$U:$U,Report!$T:$T,"MERCADORIAS P/REVENDA",Report!$AA:$AA,"SIM",Report!$C:$C,A414)</f>
        <v>0</v>
      </c>
      <c r="D414" s="33"/>
      <c r="E414" s="33"/>
      <c r="F414" s="32" t="n">
        <f aca="false">B414+C414</f>
        <v>4168.41</v>
      </c>
    </row>
    <row r="415" customFormat="false" ht="12.75" hidden="false" customHeight="true" outlineLevel="0" collapsed="false">
      <c r="A415" s="31" t="n">
        <v>46384</v>
      </c>
      <c r="B415" s="32" t="n">
        <f aca="false">SUMIFS(Report!$U:$U,Report!$T:$T,"&lt;&gt;"&amp;"MERCADORIAS P/REVENDA",Report!$AA:$AA,"SIM",Report!$C:$C,A415)</f>
        <v>0</v>
      </c>
      <c r="C415" s="32" t="n">
        <f aca="false">SUMIFS(Report!$U:$U,Report!$T:$T,"MERCADORIAS P/REVENDA",Report!$AA:$AA,"SIM",Report!$C:$C,A415)</f>
        <v>0</v>
      </c>
      <c r="D415" s="33"/>
      <c r="E415" s="33"/>
      <c r="F415" s="32" t="n">
        <f aca="false">B415+C415</f>
        <v>0</v>
      </c>
    </row>
    <row r="416" customFormat="false" ht="12.75" hidden="false" customHeight="true" outlineLevel="0" collapsed="false">
      <c r="A416" s="34" t="s">
        <v>2182</v>
      </c>
      <c r="B416" s="22" t="n">
        <f aca="false">SUM(B409:B415)</f>
        <v>4718.07</v>
      </c>
      <c r="C416" s="22" t="n">
        <f aca="false">SUM(C409:C415)</f>
        <v>0</v>
      </c>
      <c r="D416" s="26"/>
      <c r="E416" s="26"/>
      <c r="F416" s="22" t="n">
        <f aca="false">B416+C416</f>
        <v>4718.07</v>
      </c>
    </row>
    <row r="417" customFormat="false" ht="12.75" hidden="false" customHeight="true" outlineLevel="0" collapsed="false">
      <c r="A417" s="14" t="n">
        <v>46385</v>
      </c>
      <c r="B417" s="15" t="n">
        <f aca="false">SUMIFS(Report!$U:$U,Report!$T:$T,"&lt;&gt;"&amp;"MERCADORIAS P/REVENDA",Report!$AA:$AA,"SIM",Report!$C:$C,A417)</f>
        <v>0</v>
      </c>
      <c r="C417" s="15" t="n">
        <f aca="false">SUMIFS(Report!$U:$U,Report!$T:$T,"MERCADORIAS P/REVENDA",Report!$AA:$AA,"SIM",Report!$C:$C,A417)</f>
        <v>0</v>
      </c>
      <c r="F417" s="15" t="n">
        <f aca="false">B417+C417</f>
        <v>0</v>
      </c>
    </row>
    <row r="418" customFormat="false" ht="12.75" hidden="false" customHeight="true" outlineLevel="0" collapsed="false">
      <c r="A418" s="14" t="n">
        <v>46386</v>
      </c>
      <c r="B418" s="15" t="n">
        <f aca="false">SUMIFS(Report!$U:$U,Report!$T:$T,"&lt;&gt;"&amp;"MERCADORIAS P/REVENDA",Report!$AA:$AA,"SIM",Report!$C:$C,A418)</f>
        <v>0</v>
      </c>
      <c r="C418" s="15" t="n">
        <f aca="false">SUMIFS(Report!$U:$U,Report!$T:$T,"MERCADORIAS P/REVENDA",Report!$AA:$AA,"SIM",Report!$C:$C,A418)</f>
        <v>0</v>
      </c>
      <c r="F418" s="15" t="n">
        <f aca="false">B418+C418</f>
        <v>0</v>
      </c>
    </row>
    <row r="419" customFormat="false" ht="12.75" hidden="false" customHeight="true" outlineLevel="0" collapsed="false">
      <c r="A419" s="14" t="n">
        <v>46387</v>
      </c>
      <c r="B419" s="15" t="n">
        <f aca="false">SUMIFS(Report!$U:$U,Report!$T:$T,"&lt;&gt;"&amp;"MERCADORIAS P/REVENDA",Report!$AA:$AA,"SIM",Report!$C:$C,A419)</f>
        <v>0</v>
      </c>
      <c r="C419" s="15" t="n">
        <f aca="false">SUMIFS(Report!$U:$U,Report!$T:$T,"MERCADORIAS P/REVENDA",Report!$AA:$AA,"SIM",Report!$C:$C,A419)</f>
        <v>0</v>
      </c>
      <c r="F419" s="15" t="n">
        <f aca="false">B419+C419</f>
        <v>0</v>
      </c>
    </row>
    <row r="420" customFormat="false" ht="12.75" hidden="false" customHeight="true" outlineLevel="0" collapsed="false">
      <c r="A420" s="14" t="n">
        <v>46388</v>
      </c>
      <c r="B420" s="15" t="n">
        <f aca="false">SUMIFS(Report!$U:$U,Report!$T:$T,"&lt;&gt;"&amp;"MERCADORIAS P/REVENDA",Report!$AA:$AA,"SIM",Report!$C:$C,A420)</f>
        <v>0</v>
      </c>
      <c r="C420" s="15" t="n">
        <f aca="false">SUMIFS(Report!$U:$U,Report!$T:$T,"MERCADORIAS P/REVENDA",Report!$AA:$AA,"SIM",Report!$C:$C,A420)</f>
        <v>0</v>
      </c>
      <c r="F420" s="15" t="n">
        <f aca="false">B420+C420</f>
        <v>0</v>
      </c>
    </row>
    <row r="421" customFormat="false" ht="12.75" hidden="false" customHeight="true" outlineLevel="0" collapsed="false">
      <c r="A421" s="31" t="n">
        <v>46389</v>
      </c>
      <c r="B421" s="32" t="n">
        <f aca="false">SUMIFS(Report!$U:$U,Report!$T:$T,"&lt;&gt;"&amp;"MERCADORIAS P/REVENDA",Report!$AA:$AA,"SIM",Report!$C:$C,A421)</f>
        <v>0</v>
      </c>
      <c r="C421" s="32" t="n">
        <f aca="false">SUMIFS(Report!$U:$U,Report!$T:$T,"MERCADORIAS P/REVENDA",Report!$AA:$AA,"SIM",Report!$C:$C,A421)</f>
        <v>0</v>
      </c>
      <c r="D421" s="33"/>
      <c r="E421" s="33"/>
      <c r="F421" s="32" t="n">
        <f aca="false">B421+C421</f>
        <v>0</v>
      </c>
    </row>
    <row r="422" customFormat="false" ht="12.75" hidden="false" customHeight="true" outlineLevel="0" collapsed="false">
      <c r="A422" s="31" t="n">
        <v>46390</v>
      </c>
      <c r="B422" s="32" t="n">
        <f aca="false">SUMIFS(Report!$U:$U,Report!$T:$T,"&lt;&gt;"&amp;"MERCADORIAS P/REVENDA",Report!$AA:$AA,"SIM",Report!$C:$C,A422)</f>
        <v>0</v>
      </c>
      <c r="C422" s="32" t="n">
        <f aca="false">SUMIFS(Report!$U:$U,Report!$T:$T,"MERCADORIAS P/REVENDA",Report!$AA:$AA,"SIM",Report!$C:$C,A422)</f>
        <v>0</v>
      </c>
      <c r="D422" s="33"/>
      <c r="E422" s="33"/>
      <c r="F422" s="32" t="n">
        <f aca="false">B422+C422</f>
        <v>0</v>
      </c>
    </row>
    <row r="423" customFormat="false" ht="12.75" hidden="false" customHeight="true" outlineLevel="0" collapsed="false">
      <c r="A423" s="31" t="n">
        <v>46391</v>
      </c>
      <c r="B423" s="32" t="n">
        <f aca="false">SUMIFS(Report!$U:$U,Report!$T:$T,"&lt;&gt;"&amp;"MERCADORIAS P/REVENDA",Report!$AA:$AA,"SIM",Report!$C:$C,A423)</f>
        <v>0</v>
      </c>
      <c r="C423" s="32" t="n">
        <f aca="false">SUMIFS(Report!$U:$U,Report!$T:$T,"MERCADORIAS P/REVENDA",Report!$AA:$AA,"SIM",Report!$C:$C,A423)</f>
        <v>0</v>
      </c>
      <c r="D423" s="33"/>
      <c r="E423" s="33"/>
      <c r="F423" s="32" t="n">
        <f aca="false">B423+C423</f>
        <v>0</v>
      </c>
    </row>
    <row r="424" customFormat="false" ht="12.75" hidden="false" customHeight="true" outlineLevel="0" collapsed="false">
      <c r="A424" s="34" t="s">
        <v>2183</v>
      </c>
      <c r="B424" s="22" t="n">
        <f aca="false">SUM(B417:B423)</f>
        <v>0</v>
      </c>
      <c r="C424" s="22" t="n">
        <f aca="false">SUM(C417:C423)</f>
        <v>0</v>
      </c>
      <c r="D424" s="26"/>
      <c r="E424" s="26"/>
      <c r="F424" s="22" t="n">
        <f aca="false">B424+C424</f>
        <v>0</v>
      </c>
    </row>
    <row r="425" customFormat="false" ht="12.75" hidden="false" customHeight="true" outlineLevel="0" collapsed="false">
      <c r="A425" s="14" t="n">
        <v>46392</v>
      </c>
      <c r="B425" s="15" t="n">
        <f aca="false">SUMIFS(Report!$U:$U,Report!$T:$T,"&lt;&gt;"&amp;"MERCADORIAS P/REVENDA",Report!$AA:$AA,"SIM",Report!$C:$C,A425)</f>
        <v>0</v>
      </c>
      <c r="C425" s="15" t="n">
        <f aca="false">SUMIFS(Report!$U:$U,Report!$T:$T,"MERCADORIAS P/REVENDA",Report!$AA:$AA,"SIM",Report!$C:$C,A425)</f>
        <v>0</v>
      </c>
      <c r="F425" s="15" t="n">
        <f aca="false">B425+C425</f>
        <v>0</v>
      </c>
    </row>
    <row r="426" customFormat="false" ht="12.75" hidden="false" customHeight="true" outlineLevel="0" collapsed="false">
      <c r="A426" s="14" t="n">
        <v>46393</v>
      </c>
      <c r="B426" s="15" t="n">
        <f aca="false">SUMIFS(Report!$U:$U,Report!$T:$T,"&lt;&gt;"&amp;"MERCADORIAS P/REVENDA",Report!$AA:$AA,"SIM",Report!$C:$C,A426)</f>
        <v>0</v>
      </c>
      <c r="C426" s="15" t="n">
        <f aca="false">SUMIFS(Report!$U:$U,Report!$T:$T,"MERCADORIAS P/REVENDA",Report!$AA:$AA,"SIM",Report!$C:$C,A426)</f>
        <v>0</v>
      </c>
      <c r="F426" s="15" t="n">
        <f aca="false">B426+C426</f>
        <v>0</v>
      </c>
    </row>
    <row r="427" customFormat="false" ht="12.75" hidden="false" customHeight="true" outlineLevel="0" collapsed="false">
      <c r="A427" s="14" t="n">
        <v>46394</v>
      </c>
      <c r="B427" s="15" t="n">
        <f aca="false">SUMIFS(Report!$U:$U,Report!$T:$T,"&lt;&gt;"&amp;"MERCADORIAS P/REVENDA",Report!$AA:$AA,"SIM",Report!$C:$C,A427)</f>
        <v>0</v>
      </c>
      <c r="C427" s="15" t="n">
        <f aca="false">SUMIFS(Report!$U:$U,Report!$T:$T,"MERCADORIAS P/REVENDA",Report!$AA:$AA,"SIM",Report!$C:$C,A427)</f>
        <v>0</v>
      </c>
      <c r="F427" s="15" t="n">
        <f aca="false">B427+C427</f>
        <v>0</v>
      </c>
    </row>
    <row r="428" customFormat="false" ht="12.75" hidden="false" customHeight="true" outlineLevel="0" collapsed="false">
      <c r="A428" s="14" t="n">
        <v>46395</v>
      </c>
      <c r="B428" s="15" t="n">
        <f aca="false">SUMIFS(Report!$U:$U,Report!$T:$T,"&lt;&gt;"&amp;"MERCADORIAS P/REVENDA",Report!$AA:$AA,"SIM",Report!$C:$C,A428)</f>
        <v>0</v>
      </c>
      <c r="C428" s="15" t="n">
        <f aca="false">SUMIFS(Report!$U:$U,Report!$T:$T,"MERCADORIAS P/REVENDA",Report!$AA:$AA,"SIM",Report!$C:$C,A428)</f>
        <v>0</v>
      </c>
      <c r="F428" s="15" t="n">
        <f aca="false">B428+C428</f>
        <v>0</v>
      </c>
    </row>
    <row r="429" customFormat="false" ht="12.75" hidden="false" customHeight="true" outlineLevel="0" collapsed="false">
      <c r="A429" s="31" t="n">
        <v>46396</v>
      </c>
      <c r="B429" s="32" t="n">
        <f aca="false">SUMIFS(Report!$U:$U,Report!$T:$T,"&lt;&gt;"&amp;"MERCADORIAS P/REVENDA",Report!$AA:$AA,"SIM",Report!$C:$C,A429)</f>
        <v>0</v>
      </c>
      <c r="C429" s="32" t="n">
        <f aca="false">SUMIFS(Report!$U:$U,Report!$T:$T,"MERCADORIAS P/REVENDA",Report!$AA:$AA,"SIM",Report!$C:$C,A429)</f>
        <v>0</v>
      </c>
      <c r="D429" s="33"/>
      <c r="E429" s="33"/>
      <c r="F429" s="32" t="n">
        <f aca="false">B429+C429</f>
        <v>0</v>
      </c>
    </row>
    <row r="430" customFormat="false" ht="12.75" hidden="false" customHeight="true" outlineLevel="0" collapsed="false">
      <c r="A430" s="31" t="n">
        <v>46397</v>
      </c>
      <c r="B430" s="32" t="n">
        <f aca="false">SUMIFS(Report!$U:$U,Report!$T:$T,"&lt;&gt;"&amp;"MERCADORIAS P/REVENDA",Report!$AA:$AA,"SIM",Report!$C:$C,A430)</f>
        <v>0</v>
      </c>
      <c r="C430" s="32" t="n">
        <f aca="false">SUMIFS(Report!$U:$U,Report!$T:$T,"MERCADORIAS P/REVENDA",Report!$AA:$AA,"SIM",Report!$C:$C,A430)</f>
        <v>0</v>
      </c>
      <c r="D430" s="33"/>
      <c r="E430" s="33"/>
      <c r="F430" s="32" t="n">
        <f aca="false">B430+C430</f>
        <v>0</v>
      </c>
    </row>
    <row r="431" customFormat="false" ht="12.75" hidden="false" customHeight="true" outlineLevel="0" collapsed="false">
      <c r="A431" s="31" t="n">
        <v>46398</v>
      </c>
      <c r="B431" s="32" t="n">
        <f aca="false">SUMIFS(Report!$U:$U,Report!$T:$T,"&lt;&gt;"&amp;"MERCADORIAS P/REVENDA",Report!$AA:$AA,"SIM",Report!$C:$C,A431)</f>
        <v>0</v>
      </c>
      <c r="C431" s="32" t="n">
        <f aca="false">SUMIFS(Report!$U:$U,Report!$T:$T,"MERCADORIAS P/REVENDA",Report!$AA:$AA,"SIM",Report!$C:$C,A431)</f>
        <v>0</v>
      </c>
      <c r="D431" s="33"/>
      <c r="E431" s="33"/>
      <c r="F431" s="32" t="n">
        <f aca="false">B431+C431</f>
        <v>0</v>
      </c>
    </row>
    <row r="432" customFormat="false" ht="12.75" hidden="false" customHeight="true" outlineLevel="0" collapsed="false">
      <c r="A432" s="34" t="s">
        <v>2184</v>
      </c>
      <c r="B432" s="22" t="n">
        <f aca="false">SUM(B425:B431)</f>
        <v>0</v>
      </c>
      <c r="C432" s="22" t="n">
        <f aca="false">SUM(C425:C431)</f>
        <v>0</v>
      </c>
      <c r="D432" s="26"/>
      <c r="E432" s="26"/>
      <c r="F432" s="22" t="n">
        <f aca="false">B432+C432</f>
        <v>0</v>
      </c>
    </row>
    <row r="433" customFormat="false" ht="12.75" hidden="false" customHeight="true" outlineLevel="0" collapsed="false">
      <c r="A433" s="14" t="n">
        <v>46399</v>
      </c>
      <c r="B433" s="15" t="n">
        <f aca="false">SUMIFS(Report!$U:$U,Report!$T:$T,"&lt;&gt;"&amp;"MERCADORIAS P/REVENDA",Report!$AA:$AA,"SIM",Report!$C:$C,A433)</f>
        <v>0</v>
      </c>
      <c r="C433" s="15" t="n">
        <f aca="false">SUMIFS(Report!$U:$U,Report!$T:$T,"MERCADORIAS P/REVENDA",Report!$AA:$AA,"SIM",Report!$C:$C,A433)</f>
        <v>0</v>
      </c>
      <c r="F433" s="15" t="n">
        <f aca="false">B433+C433</f>
        <v>0</v>
      </c>
    </row>
    <row r="434" customFormat="false" ht="12.75" hidden="false" customHeight="true" outlineLevel="0" collapsed="false">
      <c r="A434" s="14" t="n">
        <v>46400</v>
      </c>
      <c r="B434" s="15" t="n">
        <f aca="false">SUMIFS(Report!$U:$U,Report!$T:$T,"&lt;&gt;"&amp;"MERCADORIAS P/REVENDA",Report!$AA:$AA,"SIM",Report!$C:$C,A434)</f>
        <v>0</v>
      </c>
      <c r="C434" s="15" t="n">
        <f aca="false">SUMIFS(Report!$U:$U,Report!$T:$T,"MERCADORIAS P/REVENDA",Report!$AA:$AA,"SIM",Report!$C:$C,A434)</f>
        <v>0</v>
      </c>
      <c r="F434" s="15" t="n">
        <f aca="false">B434+C434</f>
        <v>0</v>
      </c>
    </row>
    <row r="435" customFormat="false" ht="12.75" hidden="false" customHeight="true" outlineLevel="0" collapsed="false">
      <c r="A435" s="14" t="n">
        <v>46401</v>
      </c>
      <c r="B435" s="15" t="n">
        <f aca="false">SUMIFS(Report!$U:$U,Report!$T:$T,"&lt;&gt;"&amp;"MERCADORIAS P/REVENDA",Report!$AA:$AA,"SIM",Report!$C:$C,A435)</f>
        <v>0</v>
      </c>
      <c r="C435" s="15" t="n">
        <f aca="false">SUMIFS(Report!$U:$U,Report!$T:$T,"MERCADORIAS P/REVENDA",Report!$AA:$AA,"SIM",Report!$C:$C,A435)</f>
        <v>0</v>
      </c>
      <c r="F435" s="15" t="n">
        <f aca="false">B435+C435</f>
        <v>0</v>
      </c>
    </row>
    <row r="436" customFormat="false" ht="12.75" hidden="false" customHeight="true" outlineLevel="0" collapsed="false">
      <c r="A436" s="14" t="n">
        <v>46402</v>
      </c>
      <c r="B436" s="15" t="n">
        <f aca="false">SUMIFS(Report!$U:$U,Report!$T:$T,"&lt;&gt;"&amp;"MERCADORIAS P/REVENDA",Report!$AA:$AA,"SIM",Report!$C:$C,A436)</f>
        <v>0</v>
      </c>
      <c r="C436" s="15" t="n">
        <f aca="false">SUMIFS(Report!$U:$U,Report!$T:$T,"MERCADORIAS P/REVENDA",Report!$AA:$AA,"SIM",Report!$C:$C,A436)</f>
        <v>0</v>
      </c>
      <c r="F436" s="15" t="n">
        <f aca="false">B436+C436</f>
        <v>0</v>
      </c>
    </row>
    <row r="437" customFormat="false" ht="12.75" hidden="false" customHeight="true" outlineLevel="0" collapsed="false">
      <c r="A437" s="31" t="n">
        <v>46403</v>
      </c>
      <c r="B437" s="32" t="n">
        <f aca="false">SUMIFS(Report!$U:$U,Report!$T:$T,"&lt;&gt;"&amp;"MERCADORIAS P/REVENDA",Report!$AA:$AA,"SIM",Report!$C:$C,A437)</f>
        <v>0</v>
      </c>
      <c r="C437" s="32" t="n">
        <f aca="false">SUMIFS(Report!$U:$U,Report!$T:$T,"MERCADORIAS P/REVENDA",Report!$AA:$AA,"SIM",Report!$C:$C,A437)</f>
        <v>0</v>
      </c>
      <c r="D437" s="33"/>
      <c r="E437" s="33"/>
      <c r="F437" s="32" t="n">
        <f aca="false">B437+C437</f>
        <v>0</v>
      </c>
    </row>
    <row r="438" customFormat="false" ht="12.75" hidden="false" customHeight="true" outlineLevel="0" collapsed="false">
      <c r="A438" s="31" t="n">
        <v>46404</v>
      </c>
      <c r="B438" s="32" t="n">
        <f aca="false">SUMIFS(Report!$U:$U,Report!$T:$T,"&lt;&gt;"&amp;"MERCADORIAS P/REVENDA",Report!$AA:$AA,"SIM",Report!$C:$C,A438)</f>
        <v>0</v>
      </c>
      <c r="C438" s="32" t="n">
        <f aca="false">SUMIFS(Report!$U:$U,Report!$T:$T,"MERCADORIAS P/REVENDA",Report!$AA:$AA,"SIM",Report!$C:$C,A438)</f>
        <v>0</v>
      </c>
      <c r="D438" s="33"/>
      <c r="E438" s="33"/>
      <c r="F438" s="32" t="n">
        <f aca="false">B438+C438</f>
        <v>0</v>
      </c>
    </row>
    <row r="439" customFormat="false" ht="12.75" hidden="false" customHeight="true" outlineLevel="0" collapsed="false">
      <c r="A439" s="31" t="n">
        <v>46405</v>
      </c>
      <c r="B439" s="32" t="n">
        <f aca="false">SUMIFS(Report!$U:$U,Report!$T:$T,"&lt;&gt;"&amp;"MERCADORIAS P/REVENDA",Report!$AA:$AA,"SIM",Report!$C:$C,A439)</f>
        <v>0</v>
      </c>
      <c r="C439" s="32" t="n">
        <f aca="false">SUMIFS(Report!$U:$U,Report!$T:$T,"MERCADORIAS P/REVENDA",Report!$AA:$AA,"SIM",Report!$C:$C,A439)</f>
        <v>0</v>
      </c>
      <c r="D439" s="33"/>
      <c r="E439" s="33"/>
      <c r="F439" s="32" t="n">
        <f aca="false">B439+C439</f>
        <v>0</v>
      </c>
    </row>
    <row r="440" customFormat="false" ht="12.75" hidden="false" customHeight="true" outlineLevel="0" collapsed="false">
      <c r="A440" s="34" t="s">
        <v>2185</v>
      </c>
      <c r="B440" s="22" t="n">
        <f aca="false">SUM(B433:B439)</f>
        <v>0</v>
      </c>
      <c r="C440" s="22" t="n">
        <f aca="false">SUM(C433:C439)</f>
        <v>0</v>
      </c>
      <c r="D440" s="26"/>
      <c r="E440" s="26"/>
      <c r="F440" s="22" t="n">
        <f aca="false">B440+C440</f>
        <v>0</v>
      </c>
    </row>
    <row r="441" customFormat="false" ht="12.75" hidden="false" customHeight="true" outlineLevel="0" collapsed="false">
      <c r="A441" s="14" t="n">
        <v>46406</v>
      </c>
      <c r="B441" s="15" t="n">
        <f aca="false">SUMIFS(Report!$U:$U,Report!$T:$T,"&lt;&gt;"&amp;"MERCADORIAS P/REVENDA",Report!$AA:$AA,"SIM",Report!$C:$C,A441)</f>
        <v>0</v>
      </c>
      <c r="C441" s="15" t="n">
        <f aca="false">SUMIFS(Report!$U:$U,Report!$T:$T,"MERCADORIAS P/REVENDA",Report!$AA:$AA,"SIM",Report!$C:$C,A441)</f>
        <v>0</v>
      </c>
      <c r="F441" s="15" t="n">
        <f aca="false">B441+C441</f>
        <v>0</v>
      </c>
    </row>
    <row r="442" customFormat="false" ht="12.75" hidden="false" customHeight="true" outlineLevel="0" collapsed="false">
      <c r="A442" s="14" t="n">
        <v>46407</v>
      </c>
      <c r="B442" s="15" t="n">
        <f aca="false">SUMIFS(Report!$U:$U,Report!$T:$T,"&lt;&gt;"&amp;"MERCADORIAS P/REVENDA",Report!$AA:$AA,"SIM",Report!$C:$C,A442)</f>
        <v>0</v>
      </c>
      <c r="C442" s="15" t="n">
        <f aca="false">SUMIFS(Report!$U:$U,Report!$T:$T,"MERCADORIAS P/REVENDA",Report!$AA:$AA,"SIM",Report!$C:$C,A442)</f>
        <v>0</v>
      </c>
      <c r="F442" s="15" t="n">
        <f aca="false">B442+C442</f>
        <v>0</v>
      </c>
    </row>
    <row r="443" customFormat="false" ht="12.75" hidden="false" customHeight="true" outlineLevel="0" collapsed="false">
      <c r="A443" s="14" t="n">
        <v>46408</v>
      </c>
      <c r="B443" s="15" t="n">
        <f aca="false">SUMIFS(Report!$U:$U,Report!$T:$T,"&lt;&gt;"&amp;"MERCADORIAS P/REVENDA",Report!$AA:$AA,"SIM",Report!$C:$C,A443)</f>
        <v>0</v>
      </c>
      <c r="C443" s="15" t="n">
        <f aca="false">SUMIFS(Report!$U:$U,Report!$T:$T,"MERCADORIAS P/REVENDA",Report!$AA:$AA,"SIM",Report!$C:$C,A443)</f>
        <v>0</v>
      </c>
      <c r="F443" s="15" t="n">
        <f aca="false">B443+C443</f>
        <v>0</v>
      </c>
    </row>
    <row r="444" customFormat="false" ht="12.75" hidden="false" customHeight="true" outlineLevel="0" collapsed="false">
      <c r="A444" s="14" t="n">
        <v>46409</v>
      </c>
      <c r="B444" s="15" t="n">
        <f aca="false">SUMIFS(Report!$U:$U,Report!$T:$T,"&lt;&gt;"&amp;"MERCADORIAS P/REVENDA",Report!$AA:$AA,"SIM",Report!$C:$C,A444)</f>
        <v>0</v>
      </c>
      <c r="C444" s="15" t="n">
        <f aca="false">SUMIFS(Report!$U:$U,Report!$T:$T,"MERCADORIAS P/REVENDA",Report!$AA:$AA,"SIM",Report!$C:$C,A444)</f>
        <v>0</v>
      </c>
      <c r="F444" s="15" t="n">
        <f aca="false">B444+C444</f>
        <v>0</v>
      </c>
    </row>
    <row r="445" customFormat="false" ht="12.75" hidden="false" customHeight="true" outlineLevel="0" collapsed="false">
      <c r="A445" s="31" t="n">
        <v>46410</v>
      </c>
      <c r="B445" s="32" t="n">
        <f aca="false">SUMIFS(Report!$U:$U,Report!$T:$T,"&lt;&gt;"&amp;"MERCADORIAS P/REVENDA",Report!$AA:$AA,"SIM",Report!$C:$C,A445)</f>
        <v>0</v>
      </c>
      <c r="C445" s="32" t="n">
        <f aca="false">SUMIFS(Report!$U:$U,Report!$T:$T,"MERCADORIAS P/REVENDA",Report!$AA:$AA,"SIM",Report!$C:$C,A445)</f>
        <v>0</v>
      </c>
      <c r="D445" s="33"/>
      <c r="E445" s="33"/>
      <c r="F445" s="32" t="n">
        <f aca="false">B445+C445</f>
        <v>0</v>
      </c>
    </row>
    <row r="446" customFormat="false" ht="12.75" hidden="false" customHeight="true" outlineLevel="0" collapsed="false">
      <c r="A446" s="31" t="n">
        <v>46411</v>
      </c>
      <c r="B446" s="32" t="n">
        <f aca="false">SUMIFS(Report!$U:$U,Report!$T:$T,"&lt;&gt;"&amp;"MERCADORIAS P/REVENDA",Report!$AA:$AA,"SIM",Report!$C:$C,A446)</f>
        <v>0</v>
      </c>
      <c r="C446" s="32" t="n">
        <f aca="false">SUMIFS(Report!$U:$U,Report!$T:$T,"MERCADORIAS P/REVENDA",Report!$AA:$AA,"SIM",Report!$C:$C,A446)</f>
        <v>0</v>
      </c>
      <c r="D446" s="33"/>
      <c r="E446" s="33"/>
      <c r="F446" s="32" t="n">
        <f aca="false">B446+C446</f>
        <v>0</v>
      </c>
    </row>
    <row r="447" customFormat="false" ht="12.75" hidden="false" customHeight="true" outlineLevel="0" collapsed="false">
      <c r="A447" s="31" t="n">
        <v>46412</v>
      </c>
      <c r="B447" s="32" t="n">
        <f aca="false">SUMIFS(Report!$U:$U,Report!$T:$T,"&lt;&gt;"&amp;"MERCADORIAS P/REVENDA",Report!$AA:$AA,"SIM",Report!$C:$C,A447)</f>
        <v>0</v>
      </c>
      <c r="C447" s="32" t="n">
        <f aca="false">SUMIFS(Report!$U:$U,Report!$T:$T,"MERCADORIAS P/REVENDA",Report!$AA:$AA,"SIM",Report!$C:$C,A447)</f>
        <v>0</v>
      </c>
      <c r="D447" s="33"/>
      <c r="E447" s="33"/>
      <c r="F447" s="32" t="n">
        <f aca="false">B447+C447</f>
        <v>0</v>
      </c>
    </row>
    <row r="448" customFormat="false" ht="12.75" hidden="false" customHeight="true" outlineLevel="0" collapsed="false">
      <c r="A448" s="34" t="s">
        <v>2186</v>
      </c>
      <c r="B448" s="22" t="n">
        <f aca="false">SUM(B441:B447)</f>
        <v>0</v>
      </c>
      <c r="C448" s="22" t="n">
        <f aca="false">SUM(C441:C447)</f>
        <v>0</v>
      </c>
      <c r="D448" s="26"/>
      <c r="E448" s="26"/>
      <c r="F448" s="22" t="n">
        <f aca="false">B448+C448</f>
        <v>0</v>
      </c>
    </row>
    <row r="449" customFormat="false" ht="12.75" hidden="false" customHeight="true" outlineLevel="0" collapsed="false">
      <c r="A449" s="14" t="n">
        <v>46413</v>
      </c>
      <c r="B449" s="15" t="n">
        <f aca="false">SUMIFS(Report!$U:$U,Report!$T:$T,"&lt;&gt;"&amp;"MERCADORIAS P/REVENDA",Report!$AA:$AA,"SIM",Report!$C:$C,A449)</f>
        <v>0</v>
      </c>
      <c r="C449" s="15" t="n">
        <f aca="false">SUMIFS(Report!$U:$U,Report!$T:$T,"MERCADORIAS P/REVENDA",Report!$AA:$AA,"SIM",Report!$C:$C,A449)</f>
        <v>0</v>
      </c>
      <c r="F449" s="15" t="n">
        <f aca="false">B449+C449</f>
        <v>0</v>
      </c>
    </row>
    <row r="450" customFormat="false" ht="12.75" hidden="false" customHeight="true" outlineLevel="0" collapsed="false">
      <c r="A450" s="14" t="n">
        <v>46414</v>
      </c>
      <c r="B450" s="15" t="n">
        <f aca="false">SUMIFS(Report!$U:$U,Report!$T:$T,"&lt;&gt;"&amp;"MERCADORIAS P/REVENDA",Report!$AA:$AA,"SIM",Report!$C:$C,A450)</f>
        <v>0</v>
      </c>
      <c r="C450" s="15" t="n">
        <f aca="false">SUMIFS(Report!$U:$U,Report!$T:$T,"MERCADORIAS P/REVENDA",Report!$AA:$AA,"SIM",Report!$C:$C,A450)</f>
        <v>0</v>
      </c>
      <c r="F450" s="15" t="n">
        <f aca="false">B450+C450</f>
        <v>0</v>
      </c>
    </row>
    <row r="451" customFormat="false" ht="12.75" hidden="false" customHeight="true" outlineLevel="0" collapsed="false">
      <c r="A451" s="14" t="n">
        <v>46415</v>
      </c>
      <c r="B451" s="15" t="n">
        <f aca="false">SUMIFS(Report!$U:$U,Report!$T:$T,"&lt;&gt;"&amp;"MERCADORIAS P/REVENDA",Report!$AA:$AA,"SIM",Report!$C:$C,A451)</f>
        <v>0</v>
      </c>
      <c r="C451" s="15" t="n">
        <f aca="false">SUMIFS(Report!$U:$U,Report!$T:$T,"MERCADORIAS P/REVENDA",Report!$AA:$AA,"SIM",Report!$C:$C,A451)</f>
        <v>0</v>
      </c>
      <c r="F451" s="15" t="n">
        <f aca="false">B451+C451</f>
        <v>0</v>
      </c>
    </row>
    <row r="452" customFormat="false" ht="12.75" hidden="false" customHeight="true" outlineLevel="0" collapsed="false">
      <c r="A452" s="14" t="n">
        <v>46416</v>
      </c>
      <c r="B452" s="15" t="n">
        <f aca="false">SUMIFS(Report!$U:$U,Report!$T:$T,"&lt;&gt;"&amp;"MERCADORIAS P/REVENDA",Report!$AA:$AA,"SIM",Report!$C:$C,A452)</f>
        <v>0</v>
      </c>
      <c r="C452" s="15" t="n">
        <f aca="false">SUMIFS(Report!$U:$U,Report!$T:$T,"MERCADORIAS P/REVENDA",Report!$AA:$AA,"SIM",Report!$C:$C,A452)</f>
        <v>0</v>
      </c>
      <c r="F452" s="15" t="n">
        <f aca="false">B452+C452</f>
        <v>0</v>
      </c>
    </row>
    <row r="453" customFormat="false" ht="12.75" hidden="false" customHeight="true" outlineLevel="0" collapsed="false">
      <c r="A453" s="31" t="n">
        <v>46417</v>
      </c>
      <c r="B453" s="32" t="n">
        <f aca="false">SUMIFS(Report!$U:$U,Report!$T:$T,"&lt;&gt;"&amp;"MERCADORIAS P/REVENDA",Report!$AA:$AA,"SIM",Report!$C:$C,A453)</f>
        <v>0</v>
      </c>
      <c r="C453" s="32" t="n">
        <f aca="false">SUMIFS(Report!$U:$U,Report!$T:$T,"MERCADORIAS P/REVENDA",Report!$AA:$AA,"SIM",Report!$C:$C,A453)</f>
        <v>0</v>
      </c>
      <c r="D453" s="33"/>
      <c r="E453" s="33"/>
      <c r="F453" s="32" t="n">
        <f aca="false">B453+C453</f>
        <v>0</v>
      </c>
    </row>
    <row r="454" customFormat="false" ht="12.75" hidden="false" customHeight="true" outlineLevel="0" collapsed="false">
      <c r="A454" s="31" t="n">
        <v>46418</v>
      </c>
      <c r="B454" s="32" t="n">
        <f aca="false">SUMIFS(Report!$U:$U,Report!$T:$T,"&lt;&gt;"&amp;"MERCADORIAS P/REVENDA",Report!$AA:$AA,"SIM",Report!$C:$C,A454)</f>
        <v>0</v>
      </c>
      <c r="C454" s="32" t="n">
        <f aca="false">SUMIFS(Report!$U:$U,Report!$T:$T,"MERCADORIAS P/REVENDA",Report!$AA:$AA,"SIM",Report!$C:$C,A454)</f>
        <v>0</v>
      </c>
      <c r="D454" s="33"/>
      <c r="E454" s="33"/>
      <c r="F454" s="32" t="n">
        <f aca="false">B454+C454</f>
        <v>0</v>
      </c>
    </row>
    <row r="455" customFormat="false" ht="12.75" hidden="false" customHeight="true" outlineLevel="0" collapsed="false">
      <c r="A455" s="31" t="n">
        <v>46419</v>
      </c>
      <c r="B455" s="32" t="n">
        <f aca="false">SUMIFS(Report!$U:$U,Report!$T:$T,"&lt;&gt;"&amp;"MERCADORIAS P/REVENDA",Report!$AA:$AA,"SIM",Report!$C:$C,A455)</f>
        <v>0</v>
      </c>
      <c r="C455" s="32" t="n">
        <f aca="false">SUMIFS(Report!$U:$U,Report!$T:$T,"MERCADORIAS P/REVENDA",Report!$AA:$AA,"SIM",Report!$C:$C,A455)</f>
        <v>0</v>
      </c>
      <c r="D455" s="33"/>
      <c r="E455" s="33"/>
      <c r="F455" s="32" t="n">
        <f aca="false">B455+C455</f>
        <v>0</v>
      </c>
    </row>
    <row r="456" customFormat="false" ht="12.75" hidden="false" customHeight="true" outlineLevel="0" collapsed="false">
      <c r="A456" s="34" t="s">
        <v>2187</v>
      </c>
      <c r="B456" s="22" t="n">
        <f aca="false">SUM(B449:B455)</f>
        <v>0</v>
      </c>
      <c r="C456" s="22" t="n">
        <f aca="false">SUM(C449:C455)</f>
        <v>0</v>
      </c>
      <c r="D456" s="26"/>
      <c r="E456" s="26"/>
      <c r="F456" s="22" t="n">
        <f aca="false">B456+C456</f>
        <v>0</v>
      </c>
    </row>
    <row r="457" customFormat="false" ht="12.75" hidden="false" customHeight="true" outlineLevel="0" collapsed="false">
      <c r="A457" s="14" t="n">
        <v>46420</v>
      </c>
      <c r="B457" s="15" t="n">
        <f aca="false">SUMIFS(Report!$U:$U,Report!$T:$T,"&lt;&gt;"&amp;"MERCADORIAS P/REVENDA",Report!$AA:$AA,"SIM",Report!$C:$C,A457)</f>
        <v>0</v>
      </c>
      <c r="C457" s="15" t="n">
        <f aca="false">SUMIFS(Report!$U:$U,Report!$T:$T,"MERCADORIAS P/REVENDA",Report!$AA:$AA,"SIM",Report!$C:$C,A457)</f>
        <v>0</v>
      </c>
      <c r="F457" s="15" t="n">
        <f aca="false">B457+C457</f>
        <v>0</v>
      </c>
    </row>
    <row r="458" customFormat="false" ht="12.75" hidden="false" customHeight="true" outlineLevel="0" collapsed="false">
      <c r="A458" s="14" t="n">
        <v>46421</v>
      </c>
      <c r="B458" s="15" t="n">
        <f aca="false">SUMIFS(Report!$U:$U,Report!$T:$T,"&lt;&gt;"&amp;"MERCADORIAS P/REVENDA",Report!$AA:$AA,"SIM",Report!$C:$C,A458)</f>
        <v>0</v>
      </c>
      <c r="C458" s="15" t="n">
        <f aca="false">SUMIFS(Report!$U:$U,Report!$T:$T,"MERCADORIAS P/REVENDA",Report!$AA:$AA,"SIM",Report!$C:$C,A458)</f>
        <v>0</v>
      </c>
      <c r="F458" s="15" t="n">
        <f aca="false">B458+C458</f>
        <v>0</v>
      </c>
    </row>
    <row r="459" customFormat="false" ht="12.75" hidden="false" customHeight="true" outlineLevel="0" collapsed="false">
      <c r="A459" s="14" t="n">
        <v>46422</v>
      </c>
      <c r="B459" s="15" t="n">
        <f aca="false">SUMIFS(Report!$U:$U,Report!$T:$T,"&lt;&gt;"&amp;"MERCADORIAS P/REVENDA",Report!$AA:$AA,"SIM",Report!$C:$C,A459)</f>
        <v>0</v>
      </c>
      <c r="C459" s="15" t="n">
        <f aca="false">SUMIFS(Report!$U:$U,Report!$T:$T,"MERCADORIAS P/REVENDA",Report!$AA:$AA,"SIM",Report!$C:$C,A459)</f>
        <v>0</v>
      </c>
      <c r="F459" s="15" t="n">
        <f aca="false">B459+C459</f>
        <v>0</v>
      </c>
    </row>
    <row r="460" customFormat="false" ht="12.75" hidden="false" customHeight="true" outlineLevel="0" collapsed="false">
      <c r="A460" s="14" t="n">
        <v>46423</v>
      </c>
      <c r="B460" s="15" t="n">
        <f aca="false">SUMIFS(Report!$U:$U,Report!$T:$T,"&lt;&gt;"&amp;"MERCADORIAS P/REVENDA",Report!$AA:$AA,"SIM",Report!$C:$C,A460)</f>
        <v>0</v>
      </c>
      <c r="C460" s="15" t="n">
        <f aca="false">SUMIFS(Report!$U:$U,Report!$T:$T,"MERCADORIAS P/REVENDA",Report!$AA:$AA,"SIM",Report!$C:$C,A460)</f>
        <v>0</v>
      </c>
      <c r="F460" s="15" t="n">
        <f aca="false">B460+C460</f>
        <v>0</v>
      </c>
    </row>
    <row r="461" customFormat="false" ht="12.75" hidden="false" customHeight="true" outlineLevel="0" collapsed="false">
      <c r="A461" s="31" t="n">
        <v>46424</v>
      </c>
      <c r="B461" s="32" t="n">
        <f aca="false">SUMIFS(Report!$U:$U,Report!$T:$T,"&lt;&gt;"&amp;"MERCADORIAS P/REVENDA",Report!$AA:$AA,"SIM",Report!$C:$C,A461)</f>
        <v>0</v>
      </c>
      <c r="C461" s="32" t="n">
        <f aca="false">SUMIFS(Report!$U:$U,Report!$T:$T,"MERCADORIAS P/REVENDA",Report!$AA:$AA,"SIM",Report!$C:$C,A461)</f>
        <v>0</v>
      </c>
      <c r="D461" s="33"/>
      <c r="E461" s="33"/>
      <c r="F461" s="32" t="n">
        <f aca="false">B461+C461</f>
        <v>0</v>
      </c>
    </row>
    <row r="462" customFormat="false" ht="12.75" hidden="false" customHeight="true" outlineLevel="0" collapsed="false">
      <c r="A462" s="31" t="n">
        <v>46425</v>
      </c>
      <c r="B462" s="32" t="n">
        <f aca="false">SUMIFS(Report!$U:$U,Report!$T:$T,"&lt;&gt;"&amp;"MERCADORIAS P/REVENDA",Report!$AA:$AA,"SIM",Report!$C:$C,A462)</f>
        <v>0</v>
      </c>
      <c r="C462" s="32" t="n">
        <f aca="false">SUMIFS(Report!$U:$U,Report!$T:$T,"MERCADORIAS P/REVENDA",Report!$AA:$AA,"SIM",Report!$C:$C,A462)</f>
        <v>0</v>
      </c>
      <c r="D462" s="33"/>
      <c r="E462" s="33"/>
      <c r="F462" s="32" t="n">
        <f aca="false">B462+C462</f>
        <v>0</v>
      </c>
    </row>
    <row r="463" customFormat="false" ht="12.75" hidden="false" customHeight="true" outlineLevel="0" collapsed="false">
      <c r="A463" s="31" t="n">
        <v>46426</v>
      </c>
      <c r="B463" s="32" t="n">
        <f aca="false">SUMIFS(Report!$U:$U,Report!$T:$T,"&lt;&gt;"&amp;"MERCADORIAS P/REVENDA",Report!$AA:$AA,"SIM",Report!$C:$C,A463)</f>
        <v>0</v>
      </c>
      <c r="C463" s="32" t="n">
        <f aca="false">SUMIFS(Report!$U:$U,Report!$T:$T,"MERCADORIAS P/REVENDA",Report!$AA:$AA,"SIM",Report!$C:$C,A463)</f>
        <v>0</v>
      </c>
      <c r="D463" s="33"/>
      <c r="E463" s="33"/>
      <c r="F463" s="32" t="n">
        <f aca="false">B463+C463</f>
        <v>0</v>
      </c>
    </row>
    <row r="464" customFormat="false" ht="12.75" hidden="false" customHeight="true" outlineLevel="0" collapsed="false">
      <c r="A464" s="34" t="s">
        <v>2188</v>
      </c>
      <c r="B464" s="22" t="n">
        <f aca="false">SUM(B457:B463)</f>
        <v>0</v>
      </c>
      <c r="C464" s="22" t="n">
        <f aca="false">SUM(C457:C463)</f>
        <v>0</v>
      </c>
      <c r="D464" s="26"/>
      <c r="E464" s="26"/>
      <c r="F464" s="22" t="n">
        <f aca="false">B464+C464</f>
        <v>0</v>
      </c>
    </row>
    <row r="465" customFormat="false" ht="12.75" hidden="false" customHeight="true" outlineLevel="0" collapsed="false">
      <c r="A465" s="14" t="n">
        <v>46427</v>
      </c>
      <c r="B465" s="15" t="n">
        <f aca="false">SUMIFS(Report!$U:$U,Report!$T:$T,"&lt;&gt;"&amp;"MERCADORIAS P/REVENDA",Report!$AA:$AA,"SIM",Report!$C:$C,A465)</f>
        <v>0</v>
      </c>
      <c r="C465" s="15" t="n">
        <f aca="false">SUMIFS(Report!$U:$U,Report!$T:$T,"MERCADORIAS P/REVENDA",Report!$AA:$AA,"SIM",Report!$C:$C,A465)</f>
        <v>0</v>
      </c>
      <c r="F465" s="15" t="n">
        <f aca="false">B465+C465</f>
        <v>0</v>
      </c>
    </row>
    <row r="466" customFormat="false" ht="12.75" hidden="false" customHeight="true" outlineLevel="0" collapsed="false">
      <c r="A466" s="14" t="n">
        <v>46428</v>
      </c>
      <c r="B466" s="15" t="n">
        <f aca="false">SUMIFS(Report!$U:$U,Report!$T:$T,"&lt;&gt;"&amp;"MERCADORIAS P/REVENDA",Report!$AA:$AA,"SIM",Report!$C:$C,A466)</f>
        <v>0</v>
      </c>
      <c r="C466" s="15" t="n">
        <f aca="false">SUMIFS(Report!$U:$U,Report!$T:$T,"MERCADORIAS P/REVENDA",Report!$AA:$AA,"SIM",Report!$C:$C,A466)</f>
        <v>0</v>
      </c>
      <c r="F466" s="15" t="n">
        <f aca="false">B466+C466</f>
        <v>0</v>
      </c>
    </row>
    <row r="467" customFormat="false" ht="12.75" hidden="false" customHeight="true" outlineLevel="0" collapsed="false">
      <c r="A467" s="14" t="n">
        <v>46429</v>
      </c>
      <c r="B467" s="15" t="n">
        <f aca="false">SUMIFS(Report!$U:$U,Report!$T:$T,"&lt;&gt;"&amp;"MERCADORIAS P/REVENDA",Report!$AA:$AA,"SIM",Report!$C:$C,A467)</f>
        <v>0</v>
      </c>
      <c r="C467" s="15" t="n">
        <f aca="false">SUMIFS(Report!$U:$U,Report!$T:$T,"MERCADORIAS P/REVENDA",Report!$AA:$AA,"SIM",Report!$C:$C,A467)</f>
        <v>0</v>
      </c>
      <c r="F467" s="15" t="n">
        <f aca="false">B467+C467</f>
        <v>0</v>
      </c>
    </row>
    <row r="468" customFormat="false" ht="12.75" hidden="false" customHeight="true" outlineLevel="0" collapsed="false">
      <c r="A468" s="14" t="n">
        <v>46430</v>
      </c>
      <c r="B468" s="15" t="n">
        <f aca="false">SUMIFS(Report!$U:$U,Report!$T:$T,"&lt;&gt;"&amp;"MERCADORIAS P/REVENDA",Report!$AA:$AA,"SIM",Report!$C:$C,A468)</f>
        <v>0</v>
      </c>
      <c r="C468" s="15" t="n">
        <f aca="false">SUMIFS(Report!$U:$U,Report!$T:$T,"MERCADORIAS P/REVENDA",Report!$AA:$AA,"SIM",Report!$C:$C,A468)</f>
        <v>0</v>
      </c>
      <c r="F468" s="15" t="n">
        <f aca="false">B468+C468</f>
        <v>0</v>
      </c>
    </row>
    <row r="469" customFormat="false" ht="12.75" hidden="false" customHeight="true" outlineLevel="0" collapsed="false">
      <c r="A469" s="31" t="n">
        <v>46431</v>
      </c>
      <c r="B469" s="32" t="n">
        <f aca="false">SUMIFS(Report!$U:$U,Report!$T:$T,"&lt;&gt;"&amp;"MERCADORIAS P/REVENDA",Report!$AA:$AA,"SIM",Report!$C:$C,A469)</f>
        <v>0</v>
      </c>
      <c r="C469" s="32" t="n">
        <f aca="false">SUMIFS(Report!$U:$U,Report!$T:$T,"MERCADORIAS P/REVENDA",Report!$AA:$AA,"SIM",Report!$C:$C,A469)</f>
        <v>0</v>
      </c>
      <c r="D469" s="33"/>
      <c r="E469" s="33"/>
      <c r="F469" s="32" t="n">
        <f aca="false">B469+C469</f>
        <v>0</v>
      </c>
    </row>
    <row r="470" customFormat="false" ht="12.75" hidden="false" customHeight="true" outlineLevel="0" collapsed="false">
      <c r="A470" s="31" t="n">
        <v>46432</v>
      </c>
      <c r="B470" s="32" t="n">
        <f aca="false">SUMIFS(Report!$U:$U,Report!$T:$T,"&lt;&gt;"&amp;"MERCADORIAS P/REVENDA",Report!$AA:$AA,"SIM",Report!$C:$C,A470)</f>
        <v>0</v>
      </c>
      <c r="C470" s="32" t="n">
        <f aca="false">SUMIFS(Report!$U:$U,Report!$T:$T,"MERCADORIAS P/REVENDA",Report!$AA:$AA,"SIM",Report!$C:$C,A470)</f>
        <v>0</v>
      </c>
      <c r="D470" s="33"/>
      <c r="E470" s="33"/>
      <c r="F470" s="32" t="n">
        <f aca="false">B470+C470</f>
        <v>0</v>
      </c>
    </row>
    <row r="471" customFormat="false" ht="12.75" hidden="false" customHeight="true" outlineLevel="0" collapsed="false">
      <c r="A471" s="31" t="n">
        <v>46433</v>
      </c>
      <c r="B471" s="32" t="n">
        <f aca="false">SUMIFS(Report!$U:$U,Report!$T:$T,"&lt;&gt;"&amp;"MERCADORIAS P/REVENDA",Report!$AA:$AA,"SIM",Report!$C:$C,A471)</f>
        <v>0</v>
      </c>
      <c r="C471" s="32" t="n">
        <f aca="false">SUMIFS(Report!$U:$U,Report!$T:$T,"MERCADORIAS P/REVENDA",Report!$AA:$AA,"SIM",Report!$C:$C,A471)</f>
        <v>0</v>
      </c>
      <c r="D471" s="33"/>
      <c r="E471" s="33"/>
      <c r="F471" s="32" t="n">
        <f aca="false">B471+C471</f>
        <v>0</v>
      </c>
    </row>
    <row r="472" customFormat="false" ht="12.75" hidden="false" customHeight="true" outlineLevel="0" collapsed="false">
      <c r="A472" s="34" t="s">
        <v>2189</v>
      </c>
      <c r="B472" s="22" t="n">
        <f aca="false">SUM(B465:B471)</f>
        <v>0</v>
      </c>
      <c r="C472" s="22" t="n">
        <f aca="false">SUM(C465:C471)</f>
        <v>0</v>
      </c>
      <c r="D472" s="26"/>
      <c r="E472" s="26"/>
      <c r="F472" s="22" t="n">
        <f aca="false">B472+C472</f>
        <v>0</v>
      </c>
    </row>
    <row r="473" customFormat="false" ht="12.75" hidden="false" customHeight="true" outlineLevel="0" collapsed="false">
      <c r="A473" s="14" t="n">
        <v>46434</v>
      </c>
      <c r="B473" s="15" t="n">
        <f aca="false">SUMIFS(Report!$U:$U,Report!$T:$T,"&lt;&gt;"&amp;"MERCADORIAS P/REVENDA",Report!$AA:$AA,"SIM",Report!$C:$C,A473)</f>
        <v>0</v>
      </c>
      <c r="C473" s="15" t="n">
        <f aca="false">SUMIFS(Report!$U:$U,Report!$T:$T,"MERCADORIAS P/REVENDA",Report!$AA:$AA,"SIM",Report!$C:$C,A473)</f>
        <v>0</v>
      </c>
      <c r="F473" s="15" t="n">
        <f aca="false">B473+C473</f>
        <v>0</v>
      </c>
    </row>
    <row r="474" customFormat="false" ht="12.75" hidden="false" customHeight="true" outlineLevel="0" collapsed="false">
      <c r="A474" s="14" t="n">
        <v>46435</v>
      </c>
      <c r="B474" s="15" t="n">
        <f aca="false">SUMIFS(Report!$U:$U,Report!$T:$T,"&lt;&gt;"&amp;"MERCADORIAS P/REVENDA",Report!$AA:$AA,"SIM",Report!$C:$C,A474)</f>
        <v>0</v>
      </c>
      <c r="C474" s="15" t="n">
        <f aca="false">SUMIFS(Report!$U:$U,Report!$T:$T,"MERCADORIAS P/REVENDA",Report!$AA:$AA,"SIM",Report!$C:$C,A474)</f>
        <v>0</v>
      </c>
      <c r="F474" s="15" t="n">
        <f aca="false">B474+C474</f>
        <v>0</v>
      </c>
    </row>
    <row r="475" customFormat="false" ht="12.75" hidden="false" customHeight="true" outlineLevel="0" collapsed="false">
      <c r="A475" s="14" t="n">
        <v>46436</v>
      </c>
      <c r="B475" s="15" t="n">
        <f aca="false">SUMIFS(Report!$U:$U,Report!$T:$T,"&lt;&gt;"&amp;"MERCADORIAS P/REVENDA",Report!$AA:$AA,"SIM",Report!$C:$C,A475)</f>
        <v>0</v>
      </c>
      <c r="C475" s="15" t="n">
        <f aca="false">SUMIFS(Report!$U:$U,Report!$T:$T,"MERCADORIAS P/REVENDA",Report!$AA:$AA,"SIM",Report!$C:$C,A475)</f>
        <v>0</v>
      </c>
      <c r="F475" s="15" t="n">
        <f aca="false">B475+C475</f>
        <v>0</v>
      </c>
    </row>
    <row r="476" customFormat="false" ht="12.75" hidden="false" customHeight="true" outlineLevel="0" collapsed="false">
      <c r="A476" s="14" t="n">
        <v>46437</v>
      </c>
      <c r="B476" s="15" t="n">
        <f aca="false">SUMIFS(Report!$U:$U,Report!$T:$T,"&lt;&gt;"&amp;"MERCADORIAS P/REVENDA",Report!$AA:$AA,"SIM",Report!$C:$C,A476)</f>
        <v>0</v>
      </c>
      <c r="C476" s="15" t="n">
        <f aca="false">SUMIFS(Report!$U:$U,Report!$T:$T,"MERCADORIAS P/REVENDA",Report!$AA:$AA,"SIM",Report!$C:$C,A476)</f>
        <v>0</v>
      </c>
      <c r="F476" s="15" t="n">
        <f aca="false">B476+C476</f>
        <v>0</v>
      </c>
    </row>
    <row r="477" customFormat="false" ht="12.75" hidden="false" customHeight="true" outlineLevel="0" collapsed="false">
      <c r="A477" s="31" t="n">
        <v>46438</v>
      </c>
      <c r="B477" s="32" t="n">
        <f aca="false">SUMIFS(Report!$U:$U,Report!$T:$T,"&lt;&gt;"&amp;"MERCADORIAS P/REVENDA",Report!$AA:$AA,"SIM",Report!$C:$C,A477)</f>
        <v>0</v>
      </c>
      <c r="C477" s="32" t="n">
        <f aca="false">SUMIFS(Report!$U:$U,Report!$T:$T,"MERCADORIAS P/REVENDA",Report!$AA:$AA,"SIM",Report!$C:$C,A477)</f>
        <v>0</v>
      </c>
      <c r="D477" s="33"/>
      <c r="E477" s="33"/>
      <c r="F477" s="32" t="n">
        <f aca="false">B477+C477</f>
        <v>0</v>
      </c>
    </row>
    <row r="478" customFormat="false" ht="12.75" hidden="false" customHeight="true" outlineLevel="0" collapsed="false">
      <c r="A478" s="31" t="n">
        <v>46439</v>
      </c>
      <c r="B478" s="32" t="n">
        <f aca="false">SUMIFS(Report!$U:$U,Report!$T:$T,"&lt;&gt;"&amp;"MERCADORIAS P/REVENDA",Report!$AA:$AA,"SIM",Report!$C:$C,A478)</f>
        <v>0</v>
      </c>
      <c r="C478" s="32" t="n">
        <f aca="false">SUMIFS(Report!$U:$U,Report!$T:$T,"MERCADORIAS P/REVENDA",Report!$AA:$AA,"SIM",Report!$C:$C,A478)</f>
        <v>0</v>
      </c>
      <c r="D478" s="33"/>
      <c r="E478" s="33"/>
      <c r="F478" s="32" t="n">
        <f aca="false">B478+C478</f>
        <v>0</v>
      </c>
    </row>
    <row r="479" customFormat="false" ht="12.75" hidden="false" customHeight="true" outlineLevel="0" collapsed="false">
      <c r="A479" s="31" t="n">
        <v>46440</v>
      </c>
      <c r="B479" s="32" t="n">
        <f aca="false">SUMIFS(Report!$U:$U,Report!$T:$T,"&lt;&gt;"&amp;"MERCADORIAS P/REVENDA",Report!$AA:$AA,"SIM",Report!$C:$C,A479)</f>
        <v>0</v>
      </c>
      <c r="C479" s="32" t="n">
        <f aca="false">SUMIFS(Report!$U:$U,Report!$T:$T,"MERCADORIAS P/REVENDA",Report!$AA:$AA,"SIM",Report!$C:$C,A479)</f>
        <v>0</v>
      </c>
      <c r="D479" s="33"/>
      <c r="E479" s="33"/>
      <c r="F479" s="32" t="n">
        <f aca="false">B479+C479</f>
        <v>0</v>
      </c>
    </row>
    <row r="480" customFormat="false" ht="12.75" hidden="false" customHeight="true" outlineLevel="0" collapsed="false">
      <c r="A480" s="34" t="s">
        <v>2190</v>
      </c>
      <c r="B480" s="22" t="n">
        <f aca="false">SUM(B473:B479)</f>
        <v>0</v>
      </c>
      <c r="C480" s="22" t="n">
        <f aca="false">SUM(C473:C479)</f>
        <v>0</v>
      </c>
      <c r="D480" s="26"/>
      <c r="E480" s="26"/>
      <c r="F480" s="22" t="n">
        <f aca="false">B480+C480</f>
        <v>0</v>
      </c>
    </row>
    <row r="481" customFormat="false" ht="12.75" hidden="false" customHeight="true" outlineLevel="0" collapsed="false">
      <c r="A481" s="14" t="n">
        <v>46441</v>
      </c>
      <c r="B481" s="15" t="n">
        <f aca="false">SUMIFS(Report!$U:$U,Report!$T:$T,"&lt;&gt;"&amp;"MERCADORIAS P/REVENDA",Report!$AA:$AA,"SIM",Report!$C:$C,A481)</f>
        <v>0</v>
      </c>
      <c r="C481" s="15" t="n">
        <f aca="false">SUMIFS(Report!$U:$U,Report!$T:$T,"MERCADORIAS P/REVENDA",Report!$AA:$AA,"SIM",Report!$C:$C,A481)</f>
        <v>0</v>
      </c>
      <c r="F481" s="15" t="n">
        <f aca="false">B481+C481</f>
        <v>0</v>
      </c>
    </row>
    <row r="482" customFormat="false" ht="12.75" hidden="false" customHeight="true" outlineLevel="0" collapsed="false">
      <c r="A482" s="14" t="n">
        <v>46442</v>
      </c>
      <c r="B482" s="15" t="n">
        <f aca="false">SUMIFS(Report!$U:$U,Report!$T:$T,"&lt;&gt;"&amp;"MERCADORIAS P/REVENDA",Report!$AA:$AA,"SIM",Report!$C:$C,A482)</f>
        <v>0</v>
      </c>
      <c r="C482" s="15" t="n">
        <f aca="false">SUMIFS(Report!$U:$U,Report!$T:$T,"MERCADORIAS P/REVENDA",Report!$AA:$AA,"SIM",Report!$C:$C,A482)</f>
        <v>0</v>
      </c>
      <c r="F482" s="15" t="n">
        <f aca="false">B482+C482</f>
        <v>0</v>
      </c>
    </row>
    <row r="483" customFormat="false" ht="12.75" hidden="false" customHeight="true" outlineLevel="0" collapsed="false">
      <c r="A483" s="14" t="n">
        <v>46443</v>
      </c>
      <c r="B483" s="15" t="n">
        <f aca="false">SUMIFS(Report!$U:$U,Report!$T:$T,"&lt;&gt;"&amp;"MERCADORIAS P/REVENDA",Report!$AA:$AA,"SIM",Report!$C:$C,A483)</f>
        <v>0</v>
      </c>
      <c r="C483" s="15" t="n">
        <f aca="false">SUMIFS(Report!$U:$U,Report!$T:$T,"MERCADORIAS P/REVENDA",Report!$AA:$AA,"SIM",Report!$C:$C,A483)</f>
        <v>0</v>
      </c>
      <c r="F483" s="15" t="n">
        <f aca="false">B483+C483</f>
        <v>0</v>
      </c>
    </row>
    <row r="484" customFormat="false" ht="12.75" hidden="false" customHeight="true" outlineLevel="0" collapsed="false">
      <c r="A484" s="14" t="n">
        <v>46444</v>
      </c>
      <c r="B484" s="15" t="n">
        <f aca="false">SUMIFS(Report!$U:$U,Report!$T:$T,"&lt;&gt;"&amp;"MERCADORIAS P/REVENDA",Report!$AA:$AA,"SIM",Report!$C:$C,A484)</f>
        <v>0</v>
      </c>
      <c r="C484" s="15" t="n">
        <f aca="false">SUMIFS(Report!$U:$U,Report!$T:$T,"MERCADORIAS P/REVENDA",Report!$AA:$AA,"SIM",Report!$C:$C,A484)</f>
        <v>0</v>
      </c>
      <c r="F484" s="15" t="n">
        <f aca="false">B484+C484</f>
        <v>0</v>
      </c>
    </row>
    <row r="485" customFormat="false" ht="12.75" hidden="false" customHeight="true" outlineLevel="0" collapsed="false">
      <c r="A485" s="31" t="n">
        <v>46445</v>
      </c>
      <c r="B485" s="32" t="n">
        <f aca="false">SUMIFS(Report!$U:$U,Report!$T:$T,"&lt;&gt;"&amp;"MERCADORIAS P/REVENDA",Report!$AA:$AA,"SIM",Report!$C:$C,A485)</f>
        <v>0</v>
      </c>
      <c r="C485" s="32" t="n">
        <f aca="false">SUMIFS(Report!$U:$U,Report!$T:$T,"MERCADORIAS P/REVENDA",Report!$AA:$AA,"SIM",Report!$C:$C,A485)</f>
        <v>0</v>
      </c>
      <c r="D485" s="33"/>
      <c r="E485" s="33"/>
      <c r="F485" s="32" t="n">
        <f aca="false">B485+C485</f>
        <v>0</v>
      </c>
    </row>
    <row r="486" customFormat="false" ht="12.75" hidden="false" customHeight="true" outlineLevel="0" collapsed="false">
      <c r="A486" s="31" t="n">
        <v>46446</v>
      </c>
      <c r="B486" s="32" t="n">
        <f aca="false">SUMIFS(Report!$U:$U,Report!$T:$T,"&lt;&gt;"&amp;"MERCADORIAS P/REVENDA",Report!$AA:$AA,"SIM",Report!$C:$C,A486)</f>
        <v>0</v>
      </c>
      <c r="C486" s="32" t="n">
        <f aca="false">SUMIFS(Report!$U:$U,Report!$T:$T,"MERCADORIAS P/REVENDA",Report!$AA:$AA,"SIM",Report!$C:$C,A486)</f>
        <v>0</v>
      </c>
      <c r="D486" s="33"/>
      <c r="E486" s="33"/>
      <c r="F486" s="32" t="n">
        <f aca="false">B486+C486</f>
        <v>0</v>
      </c>
    </row>
    <row r="487" customFormat="false" ht="12.75" hidden="false" customHeight="true" outlineLevel="0" collapsed="false">
      <c r="A487" s="31" t="n">
        <v>46447</v>
      </c>
      <c r="B487" s="32" t="n">
        <f aca="false">SUMIFS(Report!$U:$U,Report!$T:$T,"&lt;&gt;"&amp;"MERCADORIAS P/REVENDA",Report!$AA:$AA,"SIM",Report!$C:$C,A487)</f>
        <v>0</v>
      </c>
      <c r="C487" s="32" t="n">
        <f aca="false">SUMIFS(Report!$U:$U,Report!$T:$T,"MERCADORIAS P/REVENDA",Report!$AA:$AA,"SIM",Report!$C:$C,A487)</f>
        <v>0</v>
      </c>
      <c r="D487" s="33"/>
      <c r="E487" s="33"/>
      <c r="F487" s="32" t="n">
        <f aca="false">B487+C487</f>
        <v>0</v>
      </c>
    </row>
    <row r="488" customFormat="false" ht="12.75" hidden="false" customHeight="true" outlineLevel="0" collapsed="false">
      <c r="A488" s="34" t="s">
        <v>2191</v>
      </c>
      <c r="B488" s="22" t="n">
        <f aca="false">SUM(B481:B487)</f>
        <v>0</v>
      </c>
      <c r="C488" s="22" t="n">
        <f aca="false">SUM(C481:C487)</f>
        <v>0</v>
      </c>
      <c r="D488" s="26"/>
      <c r="E488" s="26"/>
      <c r="F488" s="22" t="n">
        <f aca="false">B488+C488</f>
        <v>0</v>
      </c>
    </row>
    <row r="489" customFormat="false" ht="12.75" hidden="false" customHeight="true" outlineLevel="0" collapsed="false">
      <c r="A489" s="14" t="n">
        <v>46448</v>
      </c>
      <c r="B489" s="15" t="n">
        <f aca="false">SUMIFS(Report!$U:$U,Report!$T:$T,"&lt;&gt;"&amp;"MERCADORIAS P/REVENDA",Report!$AA:$AA,"SIM",Report!$C:$C,A489)</f>
        <v>0</v>
      </c>
      <c r="C489" s="15" t="n">
        <f aca="false">SUMIFS(Report!$U:$U,Report!$T:$T,"MERCADORIAS P/REVENDA",Report!$AA:$AA,"SIM",Report!$C:$C,A489)</f>
        <v>0</v>
      </c>
      <c r="F489" s="15" t="n">
        <f aca="false">B489+C489</f>
        <v>0</v>
      </c>
    </row>
    <row r="490" customFormat="false" ht="12.75" hidden="false" customHeight="true" outlineLevel="0" collapsed="false">
      <c r="A490" s="14" t="n">
        <v>46449</v>
      </c>
      <c r="B490" s="15" t="n">
        <f aca="false">SUMIFS(Report!$U:$U,Report!$T:$T,"&lt;&gt;"&amp;"MERCADORIAS P/REVENDA",Report!$AA:$AA,"SIM",Report!$C:$C,A490)</f>
        <v>0</v>
      </c>
      <c r="C490" s="15" t="n">
        <f aca="false">SUMIFS(Report!$U:$U,Report!$T:$T,"MERCADORIAS P/REVENDA",Report!$AA:$AA,"SIM",Report!$C:$C,A490)</f>
        <v>0</v>
      </c>
      <c r="F490" s="15" t="n">
        <f aca="false">B490+C490</f>
        <v>0</v>
      </c>
    </row>
    <row r="491" customFormat="false" ht="12.75" hidden="false" customHeight="true" outlineLevel="0" collapsed="false">
      <c r="A491" s="14" t="n">
        <v>46450</v>
      </c>
      <c r="B491" s="15" t="n">
        <f aca="false">SUMIFS(Report!$U:$U,Report!$T:$T,"&lt;&gt;"&amp;"MERCADORIAS P/REVENDA",Report!$AA:$AA,"SIM",Report!$C:$C,A491)</f>
        <v>0</v>
      </c>
      <c r="C491" s="15" t="n">
        <f aca="false">SUMIFS(Report!$U:$U,Report!$T:$T,"MERCADORIAS P/REVENDA",Report!$AA:$AA,"SIM",Report!$C:$C,A491)</f>
        <v>0</v>
      </c>
      <c r="F491" s="15" t="n">
        <f aca="false">B491+C491</f>
        <v>0</v>
      </c>
    </row>
    <row r="492" customFormat="false" ht="12.75" hidden="false" customHeight="true" outlineLevel="0" collapsed="false">
      <c r="A492" s="14" t="n">
        <v>46451</v>
      </c>
      <c r="B492" s="15" t="n">
        <f aca="false">SUMIFS(Report!$U:$U,Report!$T:$T,"&lt;&gt;"&amp;"MERCADORIAS P/REVENDA",Report!$AA:$AA,"SIM",Report!$C:$C,A492)</f>
        <v>0</v>
      </c>
      <c r="C492" s="15" t="n">
        <f aca="false">SUMIFS(Report!$U:$U,Report!$T:$T,"MERCADORIAS P/REVENDA",Report!$AA:$AA,"SIM",Report!$C:$C,A492)</f>
        <v>0</v>
      </c>
      <c r="F492" s="15" t="n">
        <f aca="false">B492+C492</f>
        <v>0</v>
      </c>
    </row>
    <row r="493" customFormat="false" ht="12.75" hidden="false" customHeight="true" outlineLevel="0" collapsed="false">
      <c r="A493" s="31" t="n">
        <v>46452</v>
      </c>
      <c r="B493" s="32" t="n">
        <f aca="false">SUMIFS(Report!$U:$U,Report!$T:$T,"&lt;&gt;"&amp;"MERCADORIAS P/REVENDA",Report!$AA:$AA,"SIM",Report!$C:$C,A493)</f>
        <v>0</v>
      </c>
      <c r="C493" s="32" t="n">
        <f aca="false">SUMIFS(Report!$U:$U,Report!$T:$T,"MERCADORIAS P/REVENDA",Report!$AA:$AA,"SIM",Report!$C:$C,A493)</f>
        <v>0</v>
      </c>
      <c r="D493" s="33"/>
      <c r="E493" s="33"/>
      <c r="F493" s="32" t="n">
        <f aca="false">B493+C493</f>
        <v>0</v>
      </c>
    </row>
    <row r="494" customFormat="false" ht="12.75" hidden="false" customHeight="true" outlineLevel="0" collapsed="false">
      <c r="A494" s="31" t="n">
        <v>46453</v>
      </c>
      <c r="B494" s="32" t="n">
        <f aca="false">SUMIFS(Report!$U:$U,Report!$T:$T,"&lt;&gt;"&amp;"MERCADORIAS P/REVENDA",Report!$AA:$AA,"SIM",Report!$C:$C,A494)</f>
        <v>0</v>
      </c>
      <c r="C494" s="32" t="n">
        <f aca="false">SUMIFS(Report!$U:$U,Report!$T:$T,"MERCADORIAS P/REVENDA",Report!$AA:$AA,"SIM",Report!$C:$C,A494)</f>
        <v>0</v>
      </c>
      <c r="D494" s="33"/>
      <c r="E494" s="33"/>
      <c r="F494" s="32" t="n">
        <f aca="false">B494+C494</f>
        <v>0</v>
      </c>
    </row>
    <row r="495" customFormat="false" ht="12.75" hidden="false" customHeight="true" outlineLevel="0" collapsed="false">
      <c r="A495" s="31" t="n">
        <v>46454</v>
      </c>
      <c r="B495" s="32" t="n">
        <f aca="false">SUMIFS(Report!$U:$U,Report!$T:$T,"&lt;&gt;"&amp;"MERCADORIAS P/REVENDA",Report!$AA:$AA,"SIM",Report!$C:$C,A495)</f>
        <v>0</v>
      </c>
      <c r="C495" s="32" t="n">
        <f aca="false">SUMIFS(Report!$U:$U,Report!$T:$T,"MERCADORIAS P/REVENDA",Report!$AA:$AA,"SIM",Report!$C:$C,A495)</f>
        <v>0</v>
      </c>
      <c r="D495" s="33"/>
      <c r="E495" s="33"/>
      <c r="F495" s="32" t="n">
        <f aca="false">B495+C495</f>
        <v>0</v>
      </c>
    </row>
    <row r="496" customFormat="false" ht="12.75" hidden="false" customHeight="true" outlineLevel="0" collapsed="false">
      <c r="A496" s="34" t="s">
        <v>2192</v>
      </c>
      <c r="B496" s="22" t="n">
        <f aca="false">SUM(B489:B495)</f>
        <v>0</v>
      </c>
      <c r="C496" s="22" t="n">
        <f aca="false">SUM(C489:C495)</f>
        <v>0</v>
      </c>
      <c r="D496" s="26"/>
      <c r="E496" s="26"/>
      <c r="F496" s="22" t="n">
        <f aca="false">B496+C496</f>
        <v>0</v>
      </c>
    </row>
    <row r="497" customFormat="false" ht="12.75" hidden="false" customHeight="true" outlineLevel="0" collapsed="false">
      <c r="A497" s="14" t="n">
        <v>46455</v>
      </c>
      <c r="B497" s="15" t="n">
        <f aca="false">SUMIFS(Report!$U:$U,Report!$T:$T,"&lt;&gt;"&amp;"MERCADORIAS P/REVENDA",Report!$AA:$AA,"SIM",Report!$C:$C,A497)</f>
        <v>0</v>
      </c>
      <c r="C497" s="15" t="n">
        <f aca="false">SUMIFS(Report!$U:$U,Report!$T:$T,"MERCADORIAS P/REVENDA",Report!$AA:$AA,"SIM",Report!$C:$C,A497)</f>
        <v>0</v>
      </c>
      <c r="F497" s="15" t="n">
        <f aca="false">B497+C497</f>
        <v>0</v>
      </c>
    </row>
    <row r="498" customFormat="false" ht="12.75" hidden="false" customHeight="true" outlineLevel="0" collapsed="false">
      <c r="A498" s="14" t="n">
        <v>46456</v>
      </c>
      <c r="B498" s="15" t="n">
        <f aca="false">SUMIFS(Report!$U:$U,Report!$T:$T,"&lt;&gt;"&amp;"MERCADORIAS P/REVENDA",Report!$AA:$AA,"SIM",Report!$C:$C,A498)</f>
        <v>0</v>
      </c>
      <c r="C498" s="15" t="n">
        <f aca="false">SUMIFS(Report!$U:$U,Report!$T:$T,"MERCADORIAS P/REVENDA",Report!$AA:$AA,"SIM",Report!$C:$C,A498)</f>
        <v>0</v>
      </c>
      <c r="F498" s="15" t="n">
        <f aca="false">B498+C498</f>
        <v>0</v>
      </c>
    </row>
    <row r="499" customFormat="false" ht="12.75" hidden="false" customHeight="true" outlineLevel="0" collapsed="false">
      <c r="A499" s="14" t="n">
        <v>46457</v>
      </c>
      <c r="B499" s="15" t="n">
        <f aca="false">SUMIFS(Report!$U:$U,Report!$T:$T,"&lt;&gt;"&amp;"MERCADORIAS P/REVENDA",Report!$AA:$AA,"SIM",Report!$C:$C,A499)</f>
        <v>0</v>
      </c>
      <c r="C499" s="15" t="n">
        <f aca="false">SUMIFS(Report!$U:$U,Report!$T:$T,"MERCADORIAS P/REVENDA",Report!$AA:$AA,"SIM",Report!$C:$C,A499)</f>
        <v>0</v>
      </c>
      <c r="F499" s="15" t="n">
        <f aca="false">B499+C499</f>
        <v>0</v>
      </c>
    </row>
    <row r="500" customFormat="false" ht="12.75" hidden="false" customHeight="true" outlineLevel="0" collapsed="false">
      <c r="A500" s="14" t="n">
        <v>46458</v>
      </c>
      <c r="B500" s="15" t="n">
        <f aca="false">SUMIFS(Report!$U:$U,Report!$T:$T,"&lt;&gt;"&amp;"MERCADORIAS P/REVENDA",Report!$AA:$AA,"SIM",Report!$C:$C,A500)</f>
        <v>0</v>
      </c>
      <c r="C500" s="15" t="n">
        <f aca="false">SUMIFS(Report!$U:$U,Report!$T:$T,"MERCADORIAS P/REVENDA",Report!$AA:$AA,"SIM",Report!$C:$C,A500)</f>
        <v>0</v>
      </c>
      <c r="F500" s="15" t="n">
        <f aca="false">B500+C500</f>
        <v>0</v>
      </c>
    </row>
    <row r="501" customFormat="false" ht="12.75" hidden="false" customHeight="true" outlineLevel="0" collapsed="false">
      <c r="A501" s="31" t="n">
        <v>46459</v>
      </c>
      <c r="B501" s="32" t="n">
        <f aca="false">SUMIFS(Report!$U:$U,Report!$T:$T,"&lt;&gt;"&amp;"MERCADORIAS P/REVENDA",Report!$AA:$AA,"SIM",Report!$C:$C,A501)</f>
        <v>0</v>
      </c>
      <c r="C501" s="32" t="n">
        <f aca="false">SUMIFS(Report!$U:$U,Report!$T:$T,"MERCADORIAS P/REVENDA",Report!$AA:$AA,"SIM",Report!$C:$C,A501)</f>
        <v>0</v>
      </c>
      <c r="D501" s="33"/>
      <c r="E501" s="33"/>
      <c r="F501" s="32" t="n">
        <f aca="false">B501+C501</f>
        <v>0</v>
      </c>
    </row>
    <row r="502" customFormat="false" ht="12.75" hidden="false" customHeight="true" outlineLevel="0" collapsed="false">
      <c r="A502" s="31" t="n">
        <v>46460</v>
      </c>
      <c r="B502" s="32" t="n">
        <f aca="false">SUMIFS(Report!$U:$U,Report!$T:$T,"&lt;&gt;"&amp;"MERCADORIAS P/REVENDA",Report!$AA:$AA,"SIM",Report!$C:$C,A502)</f>
        <v>0</v>
      </c>
      <c r="C502" s="32" t="n">
        <f aca="false">SUMIFS(Report!$U:$U,Report!$T:$T,"MERCADORIAS P/REVENDA",Report!$AA:$AA,"SIM",Report!$C:$C,A502)</f>
        <v>0</v>
      </c>
      <c r="D502" s="33"/>
      <c r="E502" s="33"/>
      <c r="F502" s="32" t="n">
        <f aca="false">B502+C502</f>
        <v>0</v>
      </c>
    </row>
    <row r="503" customFormat="false" ht="12.75" hidden="false" customHeight="true" outlineLevel="0" collapsed="false">
      <c r="A503" s="31" t="n">
        <v>46461</v>
      </c>
      <c r="B503" s="32" t="n">
        <f aca="false">SUMIFS(Report!$U:$U,Report!$T:$T,"&lt;&gt;"&amp;"MERCADORIAS P/REVENDA",Report!$AA:$AA,"SIM",Report!$C:$C,A503)</f>
        <v>0</v>
      </c>
      <c r="C503" s="32" t="n">
        <f aca="false">SUMIFS(Report!$U:$U,Report!$T:$T,"MERCADORIAS P/REVENDA",Report!$AA:$AA,"SIM",Report!$C:$C,A503)</f>
        <v>0</v>
      </c>
      <c r="D503" s="33"/>
      <c r="E503" s="33"/>
      <c r="F503" s="32" t="n">
        <f aca="false">B503+C503</f>
        <v>0</v>
      </c>
    </row>
    <row r="504" customFormat="false" ht="12.75" hidden="false" customHeight="true" outlineLevel="0" collapsed="false">
      <c r="A504" s="34" t="s">
        <v>2193</v>
      </c>
      <c r="B504" s="22" t="n">
        <f aca="false">SUM(B497:B503)</f>
        <v>0</v>
      </c>
      <c r="C504" s="22" t="n">
        <f aca="false">SUM(C497:C503)</f>
        <v>0</v>
      </c>
      <c r="D504" s="26"/>
      <c r="E504" s="26"/>
      <c r="F504" s="22" t="n">
        <f aca="false">B504+C504</f>
        <v>0</v>
      </c>
    </row>
    <row r="505" customFormat="false" ht="12.75" hidden="false" customHeight="true" outlineLevel="0" collapsed="false">
      <c r="A505" s="14" t="n">
        <v>46462</v>
      </c>
      <c r="B505" s="15" t="n">
        <f aca="false">SUMIFS(Report!$U:$U,Report!$T:$T,"&lt;&gt;"&amp;"MERCADORIAS P/REVENDA",Report!$AA:$AA,"SIM",Report!$C:$C,A505)</f>
        <v>0</v>
      </c>
      <c r="C505" s="15" t="n">
        <f aca="false">SUMIFS(Report!$U:$U,Report!$T:$T,"MERCADORIAS P/REVENDA",Report!$AA:$AA,"SIM",Report!$C:$C,A505)</f>
        <v>0</v>
      </c>
      <c r="F505" s="15" t="n">
        <f aca="false">B505+C505</f>
        <v>0</v>
      </c>
    </row>
    <row r="506" customFormat="false" ht="12.75" hidden="false" customHeight="true" outlineLevel="0" collapsed="false">
      <c r="A506" s="14" t="n">
        <v>46463</v>
      </c>
      <c r="B506" s="15" t="n">
        <f aca="false">SUMIFS(Report!$U:$U,Report!$T:$T,"&lt;&gt;"&amp;"MERCADORIAS P/REVENDA",Report!$AA:$AA,"SIM",Report!$C:$C,A506)</f>
        <v>0</v>
      </c>
      <c r="C506" s="15" t="n">
        <f aca="false">SUMIFS(Report!$U:$U,Report!$T:$T,"MERCADORIAS P/REVENDA",Report!$AA:$AA,"SIM",Report!$C:$C,A506)</f>
        <v>0</v>
      </c>
      <c r="F506" s="15" t="n">
        <f aca="false">B506+C506</f>
        <v>0</v>
      </c>
    </row>
    <row r="507" customFormat="false" ht="12.75" hidden="false" customHeight="true" outlineLevel="0" collapsed="false">
      <c r="A507" s="14" t="n">
        <v>46464</v>
      </c>
      <c r="B507" s="15" t="n">
        <f aca="false">SUMIFS(Report!$U:$U,Report!$T:$T,"&lt;&gt;"&amp;"MERCADORIAS P/REVENDA",Report!$AA:$AA,"SIM",Report!$C:$C,A507)</f>
        <v>0</v>
      </c>
      <c r="C507" s="15" t="n">
        <f aca="false">SUMIFS(Report!$U:$U,Report!$T:$T,"MERCADORIAS P/REVENDA",Report!$AA:$AA,"SIM",Report!$C:$C,A507)</f>
        <v>0</v>
      </c>
      <c r="F507" s="15" t="n">
        <f aca="false">B507+C507</f>
        <v>0</v>
      </c>
    </row>
    <row r="508" customFormat="false" ht="12.75" hidden="false" customHeight="true" outlineLevel="0" collapsed="false">
      <c r="A508" s="14" t="n">
        <v>46465</v>
      </c>
      <c r="B508" s="15" t="n">
        <f aca="false">SUMIFS(Report!$U:$U,Report!$T:$T,"&lt;&gt;"&amp;"MERCADORIAS P/REVENDA",Report!$AA:$AA,"SIM",Report!$C:$C,A508)</f>
        <v>0</v>
      </c>
      <c r="C508" s="15" t="n">
        <f aca="false">SUMIFS(Report!$U:$U,Report!$T:$T,"MERCADORIAS P/REVENDA",Report!$AA:$AA,"SIM",Report!$C:$C,A508)</f>
        <v>0</v>
      </c>
      <c r="F508" s="15" t="n">
        <f aca="false">B508+C508</f>
        <v>0</v>
      </c>
    </row>
    <row r="509" customFormat="false" ht="12.75" hidden="false" customHeight="true" outlineLevel="0" collapsed="false">
      <c r="A509" s="31" t="n">
        <v>46466</v>
      </c>
      <c r="B509" s="32" t="n">
        <f aca="false">SUMIFS(Report!$U:$U,Report!$T:$T,"&lt;&gt;"&amp;"MERCADORIAS P/REVENDA",Report!$AA:$AA,"SIM",Report!$C:$C,A509)</f>
        <v>0</v>
      </c>
      <c r="C509" s="32" t="n">
        <f aca="false">SUMIFS(Report!$U:$U,Report!$T:$T,"MERCADORIAS P/REVENDA",Report!$AA:$AA,"SIM",Report!$C:$C,A509)</f>
        <v>0</v>
      </c>
      <c r="D509" s="33"/>
      <c r="E509" s="33"/>
      <c r="F509" s="32" t="n">
        <f aca="false">B509+C509</f>
        <v>0</v>
      </c>
    </row>
    <row r="510" customFormat="false" ht="12.75" hidden="false" customHeight="true" outlineLevel="0" collapsed="false">
      <c r="A510" s="31" t="n">
        <v>46467</v>
      </c>
      <c r="B510" s="32" t="n">
        <f aca="false">SUMIFS(Report!$U:$U,Report!$T:$T,"&lt;&gt;"&amp;"MERCADORIAS P/REVENDA",Report!$AA:$AA,"SIM",Report!$C:$C,A510)</f>
        <v>0</v>
      </c>
      <c r="C510" s="32" t="n">
        <f aca="false">SUMIFS(Report!$U:$U,Report!$T:$T,"MERCADORIAS P/REVENDA",Report!$AA:$AA,"SIM",Report!$C:$C,A510)</f>
        <v>0</v>
      </c>
      <c r="D510" s="33"/>
      <c r="E510" s="33"/>
      <c r="F510" s="32" t="n">
        <f aca="false">B510+C510</f>
        <v>0</v>
      </c>
    </row>
    <row r="511" customFormat="false" ht="12.75" hidden="false" customHeight="true" outlineLevel="0" collapsed="false">
      <c r="A511" s="31" t="n">
        <v>46468</v>
      </c>
      <c r="B511" s="32" t="n">
        <f aca="false">SUMIFS(Report!$U:$U,Report!$T:$T,"&lt;&gt;"&amp;"MERCADORIAS P/REVENDA",Report!$AA:$AA,"SIM",Report!$C:$C,A511)</f>
        <v>0</v>
      </c>
      <c r="C511" s="32" t="n">
        <f aca="false">SUMIFS(Report!$U:$U,Report!$T:$T,"MERCADORIAS P/REVENDA",Report!$AA:$AA,"SIM",Report!$C:$C,A511)</f>
        <v>0</v>
      </c>
      <c r="D511" s="33"/>
      <c r="E511" s="33"/>
      <c r="F511" s="32" t="n">
        <f aca="false">B511+C511</f>
        <v>0</v>
      </c>
    </row>
    <row r="512" customFormat="false" ht="12.75" hidden="false" customHeight="true" outlineLevel="0" collapsed="false">
      <c r="A512" s="34" t="s">
        <v>2194</v>
      </c>
      <c r="B512" s="22" t="n">
        <f aca="false">SUM(B505:B511)</f>
        <v>0</v>
      </c>
      <c r="C512" s="22" t="n">
        <f aca="false">SUM(C505:C511)</f>
        <v>0</v>
      </c>
      <c r="D512" s="26"/>
      <c r="E512" s="26"/>
      <c r="F512" s="22" t="n">
        <f aca="false">B512+C512</f>
        <v>0</v>
      </c>
    </row>
    <row r="513" customFormat="false" ht="12.75" hidden="false" customHeight="true" outlineLevel="0" collapsed="false">
      <c r="A513" s="14" t="n">
        <v>46469</v>
      </c>
      <c r="B513" s="15" t="n">
        <f aca="false">SUMIFS(Report!$U:$U,Report!$T:$T,"&lt;&gt;"&amp;"MERCADORIAS P/REVENDA",Report!$AA:$AA,"SIM",Report!$C:$C,A513)</f>
        <v>0</v>
      </c>
      <c r="C513" s="15" t="n">
        <f aca="false">SUMIFS(Report!$U:$U,Report!$T:$T,"MERCADORIAS P/REVENDA",Report!$AA:$AA,"SIM",Report!$C:$C,A513)</f>
        <v>0</v>
      </c>
      <c r="F513" s="15" t="n">
        <f aca="false">B513+C513</f>
        <v>0</v>
      </c>
    </row>
    <row r="514" customFormat="false" ht="12.75" hidden="false" customHeight="true" outlineLevel="0" collapsed="false">
      <c r="A514" s="14" t="n">
        <v>46470</v>
      </c>
      <c r="B514" s="15" t="n">
        <f aca="false">SUMIFS(Report!$U:$U,Report!$T:$T,"&lt;&gt;"&amp;"MERCADORIAS P/REVENDA",Report!$AA:$AA,"SIM",Report!$C:$C,A514)</f>
        <v>0</v>
      </c>
      <c r="C514" s="15" t="n">
        <f aca="false">SUMIFS(Report!$U:$U,Report!$T:$T,"MERCADORIAS P/REVENDA",Report!$AA:$AA,"SIM",Report!$C:$C,A514)</f>
        <v>0</v>
      </c>
      <c r="F514" s="15" t="n">
        <f aca="false">B514+C514</f>
        <v>0</v>
      </c>
    </row>
    <row r="515" customFormat="false" ht="12.75" hidden="false" customHeight="true" outlineLevel="0" collapsed="false">
      <c r="A515" s="14" t="n">
        <v>46471</v>
      </c>
      <c r="B515" s="15" t="n">
        <f aca="false">SUMIFS(Report!$U:$U,Report!$T:$T,"&lt;&gt;"&amp;"MERCADORIAS P/REVENDA",Report!$AA:$AA,"SIM",Report!$C:$C,A515)</f>
        <v>0</v>
      </c>
      <c r="C515" s="15" t="n">
        <f aca="false">SUMIFS(Report!$U:$U,Report!$T:$T,"MERCADORIAS P/REVENDA",Report!$AA:$AA,"SIM",Report!$C:$C,A515)</f>
        <v>0</v>
      </c>
      <c r="F515" s="15" t="n">
        <f aca="false">B515+C515</f>
        <v>0</v>
      </c>
    </row>
    <row r="516" customFormat="false" ht="12.75" hidden="false" customHeight="true" outlineLevel="0" collapsed="false">
      <c r="A516" s="14" t="n">
        <v>46472</v>
      </c>
      <c r="B516" s="15" t="n">
        <f aca="false">SUMIFS(Report!$U:$U,Report!$T:$T,"&lt;&gt;"&amp;"MERCADORIAS P/REVENDA",Report!$AA:$AA,"SIM",Report!$C:$C,A516)</f>
        <v>0</v>
      </c>
      <c r="C516" s="15" t="n">
        <f aca="false">SUMIFS(Report!$U:$U,Report!$T:$T,"MERCADORIAS P/REVENDA",Report!$AA:$AA,"SIM",Report!$C:$C,A516)</f>
        <v>0</v>
      </c>
      <c r="F516" s="15" t="n">
        <f aca="false">B516+C516</f>
        <v>0</v>
      </c>
    </row>
    <row r="517" customFormat="false" ht="12.75" hidden="false" customHeight="true" outlineLevel="0" collapsed="false">
      <c r="A517" s="31" t="n">
        <v>46473</v>
      </c>
      <c r="B517" s="32" t="n">
        <f aca="false">SUMIFS(Report!$U:$U,Report!$T:$T,"&lt;&gt;"&amp;"MERCADORIAS P/REVENDA",Report!$AA:$AA,"SIM",Report!$C:$C,A517)</f>
        <v>0</v>
      </c>
      <c r="C517" s="32" t="n">
        <f aca="false">SUMIFS(Report!$U:$U,Report!$T:$T,"MERCADORIAS P/REVENDA",Report!$AA:$AA,"SIM",Report!$C:$C,A517)</f>
        <v>0</v>
      </c>
      <c r="D517" s="33"/>
      <c r="E517" s="33"/>
      <c r="F517" s="32" t="n">
        <f aca="false">B517+C517</f>
        <v>0</v>
      </c>
    </row>
    <row r="518" customFormat="false" ht="12.75" hidden="false" customHeight="true" outlineLevel="0" collapsed="false">
      <c r="A518" s="31" t="n">
        <v>46474</v>
      </c>
      <c r="B518" s="32" t="n">
        <f aca="false">SUMIFS(Report!$U:$U,Report!$T:$T,"&lt;&gt;"&amp;"MERCADORIAS P/REVENDA",Report!$AA:$AA,"SIM",Report!$C:$C,A518)</f>
        <v>0</v>
      </c>
      <c r="C518" s="32" t="n">
        <f aca="false">SUMIFS(Report!$U:$U,Report!$T:$T,"MERCADORIAS P/REVENDA",Report!$AA:$AA,"SIM",Report!$C:$C,A518)</f>
        <v>0</v>
      </c>
      <c r="D518" s="33"/>
      <c r="E518" s="33"/>
      <c r="F518" s="32" t="n">
        <f aca="false">B518+C518</f>
        <v>0</v>
      </c>
    </row>
    <row r="519" customFormat="false" ht="12.75" hidden="false" customHeight="true" outlineLevel="0" collapsed="false">
      <c r="A519" s="31" t="n">
        <v>46475</v>
      </c>
      <c r="B519" s="32" t="n">
        <f aca="false">SUMIFS(Report!$U:$U,Report!$T:$T,"&lt;&gt;"&amp;"MERCADORIAS P/REVENDA",Report!$AA:$AA,"SIM",Report!$C:$C,A519)</f>
        <v>0</v>
      </c>
      <c r="C519" s="32" t="n">
        <f aca="false">SUMIFS(Report!$U:$U,Report!$T:$T,"MERCADORIAS P/REVENDA",Report!$AA:$AA,"SIM",Report!$C:$C,A519)</f>
        <v>0</v>
      </c>
      <c r="D519" s="33"/>
      <c r="E519" s="33"/>
      <c r="F519" s="32" t="n">
        <f aca="false">B519+C519</f>
        <v>0</v>
      </c>
    </row>
    <row r="520" customFormat="false" ht="12.75" hidden="false" customHeight="true" outlineLevel="0" collapsed="false">
      <c r="A520" s="34" t="s">
        <v>2195</v>
      </c>
      <c r="B520" s="22" t="n">
        <f aca="false">SUM(B513:B519)</f>
        <v>0</v>
      </c>
      <c r="C520" s="22" t="n">
        <f aca="false">SUM(C513:C519)</f>
        <v>0</v>
      </c>
      <c r="D520" s="26"/>
      <c r="E520" s="26"/>
      <c r="F520" s="22" t="n">
        <f aca="false">B520+C520</f>
        <v>0</v>
      </c>
    </row>
    <row r="521" customFormat="false" ht="12.75" hidden="false" customHeight="true" outlineLevel="0" collapsed="false">
      <c r="A521" s="14" t="n">
        <v>46476</v>
      </c>
      <c r="B521" s="15" t="n">
        <f aca="false">SUMIFS(Report!$U:$U,Report!$T:$T,"&lt;&gt;"&amp;"MERCADORIAS P/REVENDA",Report!$AA:$AA,"SIM",Report!$C:$C,A521)</f>
        <v>0</v>
      </c>
      <c r="C521" s="15" t="n">
        <f aca="false">SUMIFS(Report!$U:$U,Report!$T:$T,"MERCADORIAS P/REVENDA",Report!$AA:$AA,"SIM",Report!$C:$C,A521)</f>
        <v>0</v>
      </c>
      <c r="F521" s="15" t="n">
        <f aca="false">B521+C521</f>
        <v>0</v>
      </c>
    </row>
    <row r="522" customFormat="false" ht="12.75" hidden="false" customHeight="true" outlineLevel="0" collapsed="false">
      <c r="A522" s="14" t="n">
        <v>46477</v>
      </c>
      <c r="B522" s="15" t="n">
        <f aca="false">SUMIFS(Report!$U:$U,Report!$T:$T,"&lt;&gt;"&amp;"MERCADORIAS P/REVENDA",Report!$AA:$AA,"SIM",Report!$C:$C,A522)</f>
        <v>0</v>
      </c>
      <c r="C522" s="15" t="n">
        <f aca="false">SUMIFS(Report!$U:$U,Report!$T:$T,"MERCADORIAS P/REVENDA",Report!$AA:$AA,"SIM",Report!$C:$C,A522)</f>
        <v>0</v>
      </c>
      <c r="F522" s="15" t="n">
        <f aca="false">B522+C522</f>
        <v>0</v>
      </c>
    </row>
    <row r="523" customFormat="false" ht="12.75" hidden="false" customHeight="true" outlineLevel="0" collapsed="false">
      <c r="A523" s="14" t="n">
        <v>46478</v>
      </c>
      <c r="B523" s="15" t="n">
        <f aca="false">SUMIFS(Report!$U:$U,Report!$T:$T,"&lt;&gt;"&amp;"MERCADORIAS P/REVENDA",Report!$AA:$AA,"SIM",Report!$C:$C,A523)</f>
        <v>0</v>
      </c>
      <c r="C523" s="15" t="n">
        <f aca="false">SUMIFS(Report!$U:$U,Report!$T:$T,"MERCADORIAS P/REVENDA",Report!$AA:$AA,"SIM",Report!$C:$C,A523)</f>
        <v>0</v>
      </c>
      <c r="F523" s="15" t="n">
        <f aca="false">B523+C523</f>
        <v>0</v>
      </c>
    </row>
    <row r="524" customFormat="false" ht="12.75" hidden="false" customHeight="true" outlineLevel="0" collapsed="false">
      <c r="A524" s="14" t="n">
        <v>46479</v>
      </c>
      <c r="B524" s="15" t="n">
        <f aca="false">SUMIFS(Report!$U:$U,Report!$T:$T,"&lt;&gt;"&amp;"MERCADORIAS P/REVENDA",Report!$AA:$AA,"SIM",Report!$C:$C,A524)</f>
        <v>0</v>
      </c>
      <c r="C524" s="15" t="n">
        <f aca="false">SUMIFS(Report!$U:$U,Report!$T:$T,"MERCADORIAS P/REVENDA",Report!$AA:$AA,"SIM",Report!$C:$C,A524)</f>
        <v>0</v>
      </c>
      <c r="F524" s="15" t="n">
        <f aca="false">B524+C524</f>
        <v>0</v>
      </c>
    </row>
    <row r="525" customFormat="false" ht="12.75" hidden="false" customHeight="true" outlineLevel="0" collapsed="false">
      <c r="A525" s="31" t="n">
        <v>46480</v>
      </c>
      <c r="B525" s="32" t="n">
        <f aca="false">SUMIFS(Report!$U:$U,Report!$T:$T,"&lt;&gt;"&amp;"MERCADORIAS P/REVENDA",Report!$AA:$AA,"SIM",Report!$C:$C,A525)</f>
        <v>0</v>
      </c>
      <c r="C525" s="32" t="n">
        <f aca="false">SUMIFS(Report!$U:$U,Report!$T:$T,"MERCADORIAS P/REVENDA",Report!$AA:$AA,"SIM",Report!$C:$C,A525)</f>
        <v>0</v>
      </c>
      <c r="D525" s="33"/>
      <c r="E525" s="33"/>
      <c r="F525" s="32" t="n">
        <f aca="false">B525+C525</f>
        <v>0</v>
      </c>
    </row>
    <row r="526" customFormat="false" ht="12.75" hidden="false" customHeight="true" outlineLevel="0" collapsed="false">
      <c r="A526" s="31" t="n">
        <v>46481</v>
      </c>
      <c r="B526" s="32" t="n">
        <f aca="false">SUMIFS(Report!$U:$U,Report!$T:$T,"&lt;&gt;"&amp;"MERCADORIAS P/REVENDA",Report!$AA:$AA,"SIM",Report!$C:$C,A526)</f>
        <v>0</v>
      </c>
      <c r="C526" s="32" t="n">
        <f aca="false">SUMIFS(Report!$U:$U,Report!$T:$T,"MERCADORIAS P/REVENDA",Report!$AA:$AA,"SIM",Report!$C:$C,A526)</f>
        <v>0</v>
      </c>
      <c r="D526" s="33"/>
      <c r="E526" s="33"/>
      <c r="F526" s="32" t="n">
        <f aca="false">B526+C526</f>
        <v>0</v>
      </c>
    </row>
    <row r="527" customFormat="false" ht="12.75" hidden="false" customHeight="true" outlineLevel="0" collapsed="false">
      <c r="A527" s="31" t="n">
        <v>46482</v>
      </c>
      <c r="B527" s="32" t="n">
        <f aca="false">SUMIFS(Report!$U:$U,Report!$T:$T,"&lt;&gt;"&amp;"MERCADORIAS P/REVENDA",Report!$AA:$AA,"SIM",Report!$C:$C,A527)</f>
        <v>0</v>
      </c>
      <c r="C527" s="32" t="n">
        <f aca="false">SUMIFS(Report!$U:$U,Report!$T:$T,"MERCADORIAS P/REVENDA",Report!$AA:$AA,"SIM",Report!$C:$C,A527)</f>
        <v>0</v>
      </c>
      <c r="D527" s="33"/>
      <c r="E527" s="33"/>
      <c r="F527" s="32" t="n">
        <f aca="false">B527+C527</f>
        <v>0</v>
      </c>
    </row>
    <row r="528" customFormat="false" ht="12.75" hidden="false" customHeight="true" outlineLevel="0" collapsed="false">
      <c r="A528" s="34" t="s">
        <v>2196</v>
      </c>
      <c r="B528" s="22" t="n">
        <f aca="false">SUM(B521:B527)</f>
        <v>0</v>
      </c>
      <c r="C528" s="22" t="n">
        <f aca="false">SUM(C521:C527)</f>
        <v>0</v>
      </c>
      <c r="D528" s="26"/>
      <c r="E528" s="26"/>
      <c r="F528" s="22" t="n">
        <f aca="false">B528+C528</f>
        <v>0</v>
      </c>
    </row>
    <row r="529" customFormat="false" ht="12.75" hidden="false" customHeight="true" outlineLevel="0" collapsed="false">
      <c r="A529" s="14" t="n">
        <v>46483</v>
      </c>
      <c r="B529" s="15" t="n">
        <f aca="false">SUMIFS(Report!$U:$U,Report!$T:$T,"&lt;&gt;"&amp;"MERCADORIAS P/REVENDA",Report!$AA:$AA,"SIM",Report!$C:$C,A529)</f>
        <v>0</v>
      </c>
      <c r="C529" s="15" t="n">
        <f aca="false">SUMIFS(Report!$U:$U,Report!$T:$T,"MERCADORIAS P/REVENDA",Report!$AA:$AA,"SIM",Report!$C:$C,A529)</f>
        <v>0</v>
      </c>
      <c r="F529" s="15" t="n">
        <f aca="false">B529+C529</f>
        <v>0</v>
      </c>
    </row>
    <row r="530" customFormat="false" ht="12.75" hidden="false" customHeight="true" outlineLevel="0" collapsed="false">
      <c r="A530" s="14" t="n">
        <v>46484</v>
      </c>
      <c r="B530" s="15" t="n">
        <f aca="false">SUMIFS(Report!$U:$U,Report!$T:$T,"&lt;&gt;"&amp;"MERCADORIAS P/REVENDA",Report!$AA:$AA,"SIM",Report!$C:$C,A530)</f>
        <v>0</v>
      </c>
      <c r="C530" s="15" t="n">
        <f aca="false">SUMIFS(Report!$U:$U,Report!$T:$T,"MERCADORIAS P/REVENDA",Report!$AA:$AA,"SIM",Report!$C:$C,A530)</f>
        <v>0</v>
      </c>
      <c r="F530" s="15" t="n">
        <f aca="false">B530+C530</f>
        <v>0</v>
      </c>
    </row>
    <row r="531" customFormat="false" ht="12.75" hidden="false" customHeight="true" outlineLevel="0" collapsed="false">
      <c r="A531" s="14" t="n">
        <v>46485</v>
      </c>
      <c r="B531" s="15" t="n">
        <f aca="false">SUMIFS(Report!$U:$U,Report!$T:$T,"&lt;&gt;"&amp;"MERCADORIAS P/REVENDA",Report!$AA:$AA,"SIM",Report!$C:$C,A531)</f>
        <v>0</v>
      </c>
      <c r="C531" s="15" t="n">
        <f aca="false">SUMIFS(Report!$U:$U,Report!$T:$T,"MERCADORIAS P/REVENDA",Report!$AA:$AA,"SIM",Report!$C:$C,A531)</f>
        <v>0</v>
      </c>
      <c r="F531" s="15" t="n">
        <f aca="false">B531+C531</f>
        <v>0</v>
      </c>
    </row>
    <row r="532" customFormat="false" ht="12.75" hidden="false" customHeight="true" outlineLevel="0" collapsed="false">
      <c r="A532" s="14" t="n">
        <v>46486</v>
      </c>
      <c r="B532" s="15" t="n">
        <f aca="false">SUMIFS(Report!$U:$U,Report!$T:$T,"&lt;&gt;"&amp;"MERCADORIAS P/REVENDA",Report!$AA:$AA,"SIM",Report!$C:$C,A532)</f>
        <v>0</v>
      </c>
      <c r="C532" s="15" t="n">
        <f aca="false">SUMIFS(Report!$U:$U,Report!$T:$T,"MERCADORIAS P/REVENDA",Report!$AA:$AA,"SIM",Report!$C:$C,A532)</f>
        <v>0</v>
      </c>
      <c r="F532" s="15" t="n">
        <f aca="false">B532+C532</f>
        <v>0</v>
      </c>
    </row>
    <row r="533" customFormat="false" ht="12.75" hidden="false" customHeight="true" outlineLevel="0" collapsed="false">
      <c r="A533" s="31" t="n">
        <v>46487</v>
      </c>
      <c r="B533" s="32" t="n">
        <f aca="false">SUMIFS(Report!$U:$U,Report!$T:$T,"&lt;&gt;"&amp;"MERCADORIAS P/REVENDA",Report!$AA:$AA,"SIM",Report!$C:$C,A533)</f>
        <v>0</v>
      </c>
      <c r="C533" s="32" t="n">
        <f aca="false">SUMIFS(Report!$U:$U,Report!$T:$T,"MERCADORIAS P/REVENDA",Report!$AA:$AA,"SIM",Report!$C:$C,A533)</f>
        <v>0</v>
      </c>
      <c r="D533" s="33"/>
      <c r="E533" s="33"/>
      <c r="F533" s="32" t="n">
        <f aca="false">B533+C533</f>
        <v>0</v>
      </c>
    </row>
    <row r="534" customFormat="false" ht="12.75" hidden="false" customHeight="true" outlineLevel="0" collapsed="false">
      <c r="A534" s="31" t="n">
        <v>46488</v>
      </c>
      <c r="B534" s="32" t="n">
        <f aca="false">SUMIFS(Report!$U:$U,Report!$T:$T,"&lt;&gt;"&amp;"MERCADORIAS P/REVENDA",Report!$AA:$AA,"SIM",Report!$C:$C,A534)</f>
        <v>0</v>
      </c>
      <c r="C534" s="32" t="n">
        <f aca="false">SUMIFS(Report!$U:$U,Report!$T:$T,"MERCADORIAS P/REVENDA",Report!$AA:$AA,"SIM",Report!$C:$C,A534)</f>
        <v>0</v>
      </c>
      <c r="D534" s="33"/>
      <c r="E534" s="33"/>
      <c r="F534" s="32" t="n">
        <f aca="false">B534+C534</f>
        <v>0</v>
      </c>
    </row>
    <row r="535" customFormat="false" ht="12.75" hidden="false" customHeight="true" outlineLevel="0" collapsed="false">
      <c r="A535" s="31" t="n">
        <v>46489</v>
      </c>
      <c r="B535" s="32" t="n">
        <f aca="false">SUMIFS(Report!$U:$U,Report!$T:$T,"&lt;&gt;"&amp;"MERCADORIAS P/REVENDA",Report!$AA:$AA,"SIM",Report!$C:$C,A535)</f>
        <v>0</v>
      </c>
      <c r="C535" s="32" t="n">
        <f aca="false">SUMIFS(Report!$U:$U,Report!$T:$T,"MERCADORIAS P/REVENDA",Report!$AA:$AA,"SIM",Report!$C:$C,A535)</f>
        <v>0</v>
      </c>
      <c r="D535" s="33"/>
      <c r="E535" s="33"/>
      <c r="F535" s="32" t="n">
        <f aca="false">B535+C535</f>
        <v>0</v>
      </c>
    </row>
    <row r="536" customFormat="false" ht="12.75" hidden="false" customHeight="true" outlineLevel="0" collapsed="false">
      <c r="A536" s="34" t="s">
        <v>2197</v>
      </c>
      <c r="B536" s="22" t="n">
        <f aca="false">SUM(B529:B535)</f>
        <v>0</v>
      </c>
      <c r="C536" s="22" t="n">
        <f aca="false">SUM(C529:C535)</f>
        <v>0</v>
      </c>
      <c r="D536" s="26"/>
      <c r="E536" s="26"/>
      <c r="F536" s="22" t="n">
        <f aca="false">B536+C536</f>
        <v>0</v>
      </c>
    </row>
    <row r="537" customFormat="false" ht="12.75" hidden="false" customHeight="true" outlineLevel="0" collapsed="false">
      <c r="A537" s="14" t="n">
        <v>46490</v>
      </c>
      <c r="B537" s="15" t="n">
        <f aca="false">SUMIFS(Report!$U:$U,Report!$T:$T,"&lt;&gt;"&amp;"MERCADORIAS P/REVENDA",Report!$AA:$AA,"SIM",Report!$C:$C,A537)</f>
        <v>0</v>
      </c>
      <c r="C537" s="15" t="n">
        <f aca="false">SUMIFS(Report!$U:$U,Report!$T:$T,"MERCADORIAS P/REVENDA",Report!$AA:$AA,"SIM",Report!$C:$C,A537)</f>
        <v>0</v>
      </c>
      <c r="F537" s="15" t="n">
        <f aca="false">B537+C537</f>
        <v>0</v>
      </c>
    </row>
    <row r="538" customFormat="false" ht="12.75" hidden="false" customHeight="true" outlineLevel="0" collapsed="false">
      <c r="A538" s="14" t="n">
        <v>46491</v>
      </c>
      <c r="B538" s="15" t="n">
        <f aca="false">SUMIFS(Report!$U:$U,Report!$T:$T,"&lt;&gt;"&amp;"MERCADORIAS P/REVENDA",Report!$AA:$AA,"SIM",Report!$C:$C,A538)</f>
        <v>0</v>
      </c>
      <c r="C538" s="15" t="n">
        <f aca="false">SUMIFS(Report!$U:$U,Report!$T:$T,"MERCADORIAS P/REVENDA",Report!$AA:$AA,"SIM",Report!$C:$C,A538)</f>
        <v>0</v>
      </c>
      <c r="F538" s="15" t="n">
        <f aca="false">B538+C538</f>
        <v>0</v>
      </c>
    </row>
    <row r="539" customFormat="false" ht="12.75" hidden="false" customHeight="true" outlineLevel="0" collapsed="false">
      <c r="A539" s="14" t="n">
        <v>46492</v>
      </c>
      <c r="B539" s="15" t="n">
        <f aca="false">SUMIFS(Report!$U:$U,Report!$T:$T,"&lt;&gt;"&amp;"MERCADORIAS P/REVENDA",Report!$AA:$AA,"SIM",Report!$C:$C,A539)</f>
        <v>0</v>
      </c>
      <c r="C539" s="15" t="n">
        <f aca="false">SUMIFS(Report!$U:$U,Report!$T:$T,"MERCADORIAS P/REVENDA",Report!$AA:$AA,"SIM",Report!$C:$C,A539)</f>
        <v>0</v>
      </c>
      <c r="F539" s="15" t="n">
        <f aca="false">B539+C539</f>
        <v>0</v>
      </c>
    </row>
    <row r="540" customFormat="false" ht="12.75" hidden="false" customHeight="true" outlineLevel="0" collapsed="false">
      <c r="A540" s="14" t="n">
        <v>46493</v>
      </c>
      <c r="B540" s="15" t="n">
        <f aca="false">SUMIFS(Report!$U:$U,Report!$T:$T,"&lt;&gt;"&amp;"MERCADORIAS P/REVENDA",Report!$AA:$AA,"SIM",Report!$C:$C,A540)</f>
        <v>0</v>
      </c>
      <c r="C540" s="15" t="n">
        <f aca="false">SUMIFS(Report!$U:$U,Report!$T:$T,"MERCADORIAS P/REVENDA",Report!$AA:$AA,"SIM",Report!$C:$C,A540)</f>
        <v>0</v>
      </c>
      <c r="F540" s="15" t="n">
        <f aca="false">B540+C540</f>
        <v>0</v>
      </c>
    </row>
    <row r="541" customFormat="false" ht="12.75" hidden="false" customHeight="true" outlineLevel="0" collapsed="false">
      <c r="A541" s="31" t="n">
        <v>46494</v>
      </c>
      <c r="B541" s="32" t="n">
        <f aca="false">SUMIFS(Report!$U:$U,Report!$T:$T,"&lt;&gt;"&amp;"MERCADORIAS P/REVENDA",Report!$AA:$AA,"SIM",Report!$C:$C,A541)</f>
        <v>0</v>
      </c>
      <c r="C541" s="32" t="n">
        <f aca="false">SUMIFS(Report!$U:$U,Report!$T:$T,"MERCADORIAS P/REVENDA",Report!$AA:$AA,"SIM",Report!$C:$C,A541)</f>
        <v>0</v>
      </c>
      <c r="D541" s="33"/>
      <c r="E541" s="33"/>
      <c r="F541" s="32" t="n">
        <f aca="false">B541+C541</f>
        <v>0</v>
      </c>
    </row>
    <row r="542" customFormat="false" ht="12.75" hidden="false" customHeight="true" outlineLevel="0" collapsed="false">
      <c r="A542" s="31" t="n">
        <v>46495</v>
      </c>
      <c r="B542" s="32" t="n">
        <f aca="false">SUMIFS(Report!$U:$U,Report!$T:$T,"&lt;&gt;"&amp;"MERCADORIAS P/REVENDA",Report!$AA:$AA,"SIM",Report!$C:$C,A542)</f>
        <v>0</v>
      </c>
      <c r="C542" s="32" t="n">
        <f aca="false">SUMIFS(Report!$U:$U,Report!$T:$T,"MERCADORIAS P/REVENDA",Report!$AA:$AA,"SIM",Report!$C:$C,A542)</f>
        <v>0</v>
      </c>
      <c r="D542" s="33"/>
      <c r="E542" s="33"/>
      <c r="F542" s="32" t="n">
        <f aca="false">B542+C542</f>
        <v>0</v>
      </c>
    </row>
    <row r="543" customFormat="false" ht="12.75" hidden="false" customHeight="true" outlineLevel="0" collapsed="false">
      <c r="A543" s="31" t="n">
        <v>46496</v>
      </c>
      <c r="B543" s="32" t="n">
        <f aca="false">SUMIFS(Report!$U:$U,Report!$T:$T,"&lt;&gt;"&amp;"MERCADORIAS P/REVENDA",Report!$AA:$AA,"SIM",Report!$C:$C,A543)</f>
        <v>0</v>
      </c>
      <c r="C543" s="32" t="n">
        <f aca="false">SUMIFS(Report!$U:$U,Report!$T:$T,"MERCADORIAS P/REVENDA",Report!$AA:$AA,"SIM",Report!$C:$C,A543)</f>
        <v>0</v>
      </c>
      <c r="D543" s="33"/>
      <c r="E543" s="33"/>
      <c r="F543" s="32" t="n">
        <f aca="false">B543+C543</f>
        <v>0</v>
      </c>
    </row>
    <row r="544" customFormat="false" ht="12.75" hidden="false" customHeight="true" outlineLevel="0" collapsed="false">
      <c r="A544" s="34" t="s">
        <v>2198</v>
      </c>
      <c r="B544" s="22" t="n">
        <f aca="false">SUM(B537:B543)</f>
        <v>0</v>
      </c>
      <c r="C544" s="22" t="n">
        <f aca="false">SUM(C537:C543)</f>
        <v>0</v>
      </c>
      <c r="D544" s="26"/>
      <c r="E544" s="26"/>
      <c r="F544" s="22" t="n">
        <f aca="false">B544+C544</f>
        <v>0</v>
      </c>
    </row>
    <row r="545" customFormat="false" ht="12.75" hidden="false" customHeight="true" outlineLevel="0" collapsed="false">
      <c r="A545" s="14" t="n">
        <v>46497</v>
      </c>
      <c r="B545" s="15" t="n">
        <f aca="false">SUMIFS(Report!$U:$U,Report!$T:$T,"&lt;&gt;"&amp;"MERCADORIAS P/REVENDA",Report!$AA:$AA,"SIM",Report!$C:$C,A545)</f>
        <v>0</v>
      </c>
      <c r="C545" s="15" t="n">
        <f aca="false">SUMIFS(Report!$U:$U,Report!$T:$T,"MERCADORIAS P/REVENDA",Report!$AA:$AA,"SIM",Report!$C:$C,A545)</f>
        <v>0</v>
      </c>
      <c r="F545" s="15" t="n">
        <f aca="false">B545+C545</f>
        <v>0</v>
      </c>
    </row>
    <row r="546" customFormat="false" ht="12.75" hidden="false" customHeight="true" outlineLevel="0" collapsed="false">
      <c r="A546" s="14" t="n">
        <v>46498</v>
      </c>
      <c r="B546" s="15" t="n">
        <f aca="false">SUMIFS(Report!$U:$U,Report!$T:$T,"&lt;&gt;"&amp;"MERCADORIAS P/REVENDA",Report!$AA:$AA,"SIM",Report!$C:$C,A546)</f>
        <v>0</v>
      </c>
      <c r="C546" s="15" t="n">
        <f aca="false">SUMIFS(Report!$U:$U,Report!$T:$T,"MERCADORIAS P/REVENDA",Report!$AA:$AA,"SIM",Report!$C:$C,A546)</f>
        <v>0</v>
      </c>
      <c r="F546" s="15" t="n">
        <f aca="false">B546+C546</f>
        <v>0</v>
      </c>
    </row>
    <row r="547" customFormat="false" ht="12.75" hidden="false" customHeight="true" outlineLevel="0" collapsed="false">
      <c r="A547" s="14" t="n">
        <v>46499</v>
      </c>
      <c r="B547" s="15" t="n">
        <f aca="false">SUMIFS(Report!$U:$U,Report!$T:$T,"&lt;&gt;"&amp;"MERCADORIAS P/REVENDA",Report!$AA:$AA,"SIM",Report!$C:$C,A547)</f>
        <v>0</v>
      </c>
      <c r="C547" s="15" t="n">
        <f aca="false">SUMIFS(Report!$U:$U,Report!$T:$T,"MERCADORIAS P/REVENDA",Report!$AA:$AA,"SIM",Report!$C:$C,A547)</f>
        <v>0</v>
      </c>
      <c r="F547" s="15" t="n">
        <f aca="false">B547+C547</f>
        <v>0</v>
      </c>
    </row>
    <row r="548" customFormat="false" ht="12.75" hidden="false" customHeight="true" outlineLevel="0" collapsed="false">
      <c r="A548" s="14" t="n">
        <v>46500</v>
      </c>
      <c r="B548" s="15" t="n">
        <f aca="false">SUMIFS(Report!$U:$U,Report!$T:$T,"&lt;&gt;"&amp;"MERCADORIAS P/REVENDA",Report!$AA:$AA,"SIM",Report!$C:$C,A548)</f>
        <v>0</v>
      </c>
      <c r="C548" s="15" t="n">
        <f aca="false">SUMIFS(Report!$U:$U,Report!$T:$T,"MERCADORIAS P/REVENDA",Report!$AA:$AA,"SIM",Report!$C:$C,A548)</f>
        <v>0</v>
      </c>
      <c r="F548" s="15" t="n">
        <f aca="false">B548+C548</f>
        <v>0</v>
      </c>
    </row>
    <row r="549" customFormat="false" ht="12.75" hidden="false" customHeight="true" outlineLevel="0" collapsed="false">
      <c r="A549" s="31" t="n">
        <v>46501</v>
      </c>
      <c r="B549" s="32" t="n">
        <f aca="false">SUMIFS(Report!$U:$U,Report!$T:$T,"&lt;&gt;"&amp;"MERCADORIAS P/REVENDA",Report!$AA:$AA,"SIM",Report!$C:$C,A549)</f>
        <v>0</v>
      </c>
      <c r="C549" s="32" t="n">
        <f aca="false">SUMIFS(Report!$U:$U,Report!$T:$T,"MERCADORIAS P/REVENDA",Report!$AA:$AA,"SIM",Report!$C:$C,A549)</f>
        <v>0</v>
      </c>
      <c r="D549" s="33"/>
      <c r="E549" s="33"/>
      <c r="F549" s="32" t="n">
        <f aca="false">B549+C549</f>
        <v>0</v>
      </c>
    </row>
    <row r="550" customFormat="false" ht="12.75" hidden="false" customHeight="true" outlineLevel="0" collapsed="false">
      <c r="A550" s="31" t="n">
        <v>46502</v>
      </c>
      <c r="B550" s="32" t="n">
        <f aca="false">SUMIFS(Report!$U:$U,Report!$T:$T,"&lt;&gt;"&amp;"MERCADORIAS P/REVENDA",Report!$AA:$AA,"SIM",Report!$C:$C,A550)</f>
        <v>0</v>
      </c>
      <c r="C550" s="32" t="n">
        <f aca="false">SUMIFS(Report!$U:$U,Report!$T:$T,"MERCADORIAS P/REVENDA",Report!$AA:$AA,"SIM",Report!$C:$C,A550)</f>
        <v>0</v>
      </c>
      <c r="D550" s="33"/>
      <c r="E550" s="33"/>
      <c r="F550" s="32" t="n">
        <f aca="false">B550+C550</f>
        <v>0</v>
      </c>
    </row>
    <row r="551" customFormat="false" ht="12.75" hidden="false" customHeight="true" outlineLevel="0" collapsed="false">
      <c r="A551" s="31" t="n">
        <v>46503</v>
      </c>
      <c r="B551" s="32" t="n">
        <f aca="false">SUMIFS(Report!$U:$U,Report!$T:$T,"&lt;&gt;"&amp;"MERCADORIAS P/REVENDA",Report!$AA:$AA,"SIM",Report!$C:$C,A551)</f>
        <v>0</v>
      </c>
      <c r="C551" s="32" t="n">
        <f aca="false">SUMIFS(Report!$U:$U,Report!$T:$T,"MERCADORIAS P/REVENDA",Report!$AA:$AA,"SIM",Report!$C:$C,A551)</f>
        <v>0</v>
      </c>
      <c r="D551" s="33"/>
      <c r="E551" s="33"/>
      <c r="F551" s="32" t="n">
        <f aca="false">B551+C551</f>
        <v>0</v>
      </c>
    </row>
    <row r="552" customFormat="false" ht="12.75" hidden="false" customHeight="true" outlineLevel="0" collapsed="false">
      <c r="A552" s="34" t="s">
        <v>2199</v>
      </c>
      <c r="B552" s="22" t="n">
        <f aca="false">SUM(B545:B551)</f>
        <v>0</v>
      </c>
      <c r="C552" s="22" t="n">
        <f aca="false">SUM(C545:C551)</f>
        <v>0</v>
      </c>
      <c r="D552" s="26"/>
      <c r="E552" s="26"/>
      <c r="F552" s="22" t="n">
        <f aca="false">B552+C552</f>
        <v>0</v>
      </c>
    </row>
    <row r="553" customFormat="false" ht="12.75" hidden="false" customHeight="true" outlineLevel="0" collapsed="false">
      <c r="A553" s="14" t="n">
        <v>46504</v>
      </c>
      <c r="B553" s="15" t="n">
        <f aca="false">SUMIFS(Report!$U:$U,Report!$T:$T,"&lt;&gt;"&amp;"MERCADORIAS P/REVENDA",Report!$AA:$AA,"SIM",Report!$C:$C,A553)</f>
        <v>0</v>
      </c>
      <c r="C553" s="15" t="n">
        <f aca="false">SUMIFS(Report!$U:$U,Report!$T:$T,"MERCADORIAS P/REVENDA",Report!$AA:$AA,"SIM",Report!$C:$C,A553)</f>
        <v>0</v>
      </c>
      <c r="F553" s="15" t="n">
        <f aca="false">B553+C553</f>
        <v>0</v>
      </c>
    </row>
    <row r="554" customFormat="false" ht="12.75" hidden="false" customHeight="true" outlineLevel="0" collapsed="false">
      <c r="A554" s="14" t="n">
        <v>46505</v>
      </c>
      <c r="B554" s="15" t="n">
        <f aca="false">SUMIFS(Report!$U:$U,Report!$T:$T,"&lt;&gt;"&amp;"MERCADORIAS P/REVENDA",Report!$AA:$AA,"SIM",Report!$C:$C,A554)</f>
        <v>0</v>
      </c>
      <c r="C554" s="15" t="n">
        <f aca="false">SUMIFS(Report!$U:$U,Report!$T:$T,"MERCADORIAS P/REVENDA",Report!$AA:$AA,"SIM",Report!$C:$C,A554)</f>
        <v>0</v>
      </c>
      <c r="F554" s="15" t="n">
        <f aca="false">B554+C554</f>
        <v>0</v>
      </c>
    </row>
    <row r="555" customFormat="false" ht="12.75" hidden="false" customHeight="true" outlineLevel="0" collapsed="false">
      <c r="A555" s="14" t="n">
        <v>46506</v>
      </c>
      <c r="B555" s="15" t="n">
        <f aca="false">SUMIFS(Report!$U:$U,Report!$T:$T,"&lt;&gt;"&amp;"MERCADORIAS P/REVENDA",Report!$AA:$AA,"SIM",Report!$C:$C,A555)</f>
        <v>0</v>
      </c>
      <c r="C555" s="15" t="n">
        <f aca="false">SUMIFS(Report!$U:$U,Report!$T:$T,"MERCADORIAS P/REVENDA",Report!$AA:$AA,"SIM",Report!$C:$C,A555)</f>
        <v>0</v>
      </c>
      <c r="F555" s="15" t="n">
        <f aca="false">B555+C555</f>
        <v>0</v>
      </c>
    </row>
    <row r="556" customFormat="false" ht="12.75" hidden="false" customHeight="true" outlineLevel="0" collapsed="false">
      <c r="A556" s="14" t="n">
        <v>46507</v>
      </c>
      <c r="B556" s="15" t="n">
        <f aca="false">SUMIFS(Report!$U:$U,Report!$T:$T,"&lt;&gt;"&amp;"MERCADORIAS P/REVENDA",Report!$AA:$AA,"SIM",Report!$C:$C,A556)</f>
        <v>0</v>
      </c>
      <c r="C556" s="15" t="n">
        <f aca="false">SUMIFS(Report!$U:$U,Report!$T:$T,"MERCADORIAS P/REVENDA",Report!$AA:$AA,"SIM",Report!$C:$C,A556)</f>
        <v>0</v>
      </c>
      <c r="F556" s="15" t="n">
        <f aca="false">B556+C556</f>
        <v>0</v>
      </c>
    </row>
    <row r="557" customFormat="false" ht="12.75" hidden="false" customHeight="true" outlineLevel="0" collapsed="false">
      <c r="A557" s="31" t="n">
        <v>46508</v>
      </c>
      <c r="B557" s="32" t="n">
        <f aca="false">SUMIFS(Report!$U:$U,Report!$T:$T,"&lt;&gt;"&amp;"MERCADORIAS P/REVENDA",Report!$AA:$AA,"SIM",Report!$C:$C,A557)</f>
        <v>0</v>
      </c>
      <c r="C557" s="32" t="n">
        <f aca="false">SUMIFS(Report!$U:$U,Report!$T:$T,"MERCADORIAS P/REVENDA",Report!$AA:$AA,"SIM",Report!$C:$C,A557)</f>
        <v>0</v>
      </c>
      <c r="D557" s="33"/>
      <c r="E557" s="33"/>
      <c r="F557" s="32" t="n">
        <f aca="false">B557+C557</f>
        <v>0</v>
      </c>
    </row>
    <row r="558" customFormat="false" ht="12.75" hidden="false" customHeight="true" outlineLevel="0" collapsed="false">
      <c r="A558" s="31" t="n">
        <v>46509</v>
      </c>
      <c r="B558" s="32" t="n">
        <f aca="false">SUMIFS(Report!$U:$U,Report!$T:$T,"&lt;&gt;"&amp;"MERCADORIAS P/REVENDA",Report!$AA:$AA,"SIM",Report!$C:$C,A558)</f>
        <v>0</v>
      </c>
      <c r="C558" s="32" t="n">
        <f aca="false">SUMIFS(Report!$U:$U,Report!$T:$T,"MERCADORIAS P/REVENDA",Report!$AA:$AA,"SIM",Report!$C:$C,A558)</f>
        <v>0</v>
      </c>
      <c r="D558" s="33"/>
      <c r="E558" s="33"/>
      <c r="F558" s="32" t="n">
        <f aca="false">B558+C558</f>
        <v>0</v>
      </c>
    </row>
    <row r="559" customFormat="false" ht="12.75" hidden="false" customHeight="true" outlineLevel="0" collapsed="false">
      <c r="A559" s="31" t="n">
        <v>46510</v>
      </c>
      <c r="B559" s="32" t="n">
        <f aca="false">SUMIFS(Report!$U:$U,Report!$T:$T,"&lt;&gt;"&amp;"MERCADORIAS P/REVENDA",Report!$AA:$AA,"SIM",Report!$C:$C,A559)</f>
        <v>0</v>
      </c>
      <c r="C559" s="32" t="n">
        <f aca="false">SUMIFS(Report!$U:$U,Report!$T:$T,"MERCADORIAS P/REVENDA",Report!$AA:$AA,"SIM",Report!$C:$C,A559)</f>
        <v>0</v>
      </c>
      <c r="D559" s="33"/>
      <c r="E559" s="33"/>
      <c r="F559" s="32" t="n">
        <f aca="false">B559+C559</f>
        <v>0</v>
      </c>
    </row>
    <row r="560" customFormat="false" ht="12.75" hidden="false" customHeight="true" outlineLevel="0" collapsed="false">
      <c r="A560" s="34" t="s">
        <v>2200</v>
      </c>
      <c r="B560" s="22" t="n">
        <f aca="false">SUM(B553:B559)</f>
        <v>0</v>
      </c>
      <c r="C560" s="22" t="n">
        <f aca="false">SUM(C553:C559)</f>
        <v>0</v>
      </c>
      <c r="D560" s="26"/>
      <c r="E560" s="26"/>
      <c r="F560" s="22" t="n">
        <f aca="false">B560+C560</f>
        <v>0</v>
      </c>
    </row>
    <row r="561" customFormat="false" ht="12.75" hidden="false" customHeight="true" outlineLevel="0" collapsed="false">
      <c r="A561" s="14" t="n">
        <v>46511</v>
      </c>
      <c r="B561" s="15" t="n">
        <f aca="false">SUMIFS(Report!$U:$U,Report!$T:$T,"&lt;&gt;"&amp;"MERCADORIAS P/REVENDA",Report!$AA:$AA,"SIM",Report!$C:$C,A561)</f>
        <v>0</v>
      </c>
      <c r="C561" s="15" t="n">
        <f aca="false">SUMIFS(Report!$U:$U,Report!$T:$T,"MERCADORIAS P/REVENDA",Report!$AA:$AA,"SIM",Report!$C:$C,A561)</f>
        <v>0</v>
      </c>
      <c r="F561" s="15" t="n">
        <f aca="false">B561+C561</f>
        <v>0</v>
      </c>
    </row>
    <row r="562" customFormat="false" ht="12.75" hidden="false" customHeight="true" outlineLevel="0" collapsed="false">
      <c r="A562" s="14" t="n">
        <v>46512</v>
      </c>
      <c r="B562" s="15" t="n">
        <f aca="false">SUMIFS(Report!$U:$U,Report!$T:$T,"&lt;&gt;"&amp;"MERCADORIAS P/REVENDA",Report!$AA:$AA,"SIM",Report!$C:$C,A562)</f>
        <v>0</v>
      </c>
      <c r="C562" s="15" t="n">
        <f aca="false">SUMIFS(Report!$U:$U,Report!$T:$T,"MERCADORIAS P/REVENDA",Report!$AA:$AA,"SIM",Report!$C:$C,A562)</f>
        <v>0</v>
      </c>
      <c r="F562" s="15" t="n">
        <f aca="false">B562+C562</f>
        <v>0</v>
      </c>
    </row>
    <row r="563" customFormat="false" ht="12.75" hidden="false" customHeight="true" outlineLevel="0" collapsed="false">
      <c r="A563" s="14" t="n">
        <v>46513</v>
      </c>
      <c r="B563" s="15" t="n">
        <f aca="false">SUMIFS(Report!$U:$U,Report!$T:$T,"&lt;&gt;"&amp;"MERCADORIAS P/REVENDA",Report!$AA:$AA,"SIM",Report!$C:$C,A563)</f>
        <v>0</v>
      </c>
      <c r="C563" s="15" t="n">
        <f aca="false">SUMIFS(Report!$U:$U,Report!$T:$T,"MERCADORIAS P/REVENDA",Report!$AA:$AA,"SIM",Report!$C:$C,A563)</f>
        <v>0</v>
      </c>
      <c r="F563" s="15" t="n">
        <f aca="false">B563+C563</f>
        <v>0</v>
      </c>
    </row>
    <row r="564" customFormat="false" ht="12.75" hidden="false" customHeight="true" outlineLevel="0" collapsed="false">
      <c r="A564" s="14" t="n">
        <v>46514</v>
      </c>
      <c r="B564" s="15" t="n">
        <f aca="false">SUMIFS(Report!$U:$U,Report!$T:$T,"&lt;&gt;"&amp;"MERCADORIAS P/REVENDA",Report!$AA:$AA,"SIM",Report!$C:$C,A564)</f>
        <v>0</v>
      </c>
      <c r="C564" s="15" t="n">
        <f aca="false">SUMIFS(Report!$U:$U,Report!$T:$T,"MERCADORIAS P/REVENDA",Report!$AA:$AA,"SIM",Report!$C:$C,A564)</f>
        <v>0</v>
      </c>
      <c r="F564" s="15" t="n">
        <f aca="false">B564+C564</f>
        <v>0</v>
      </c>
    </row>
    <row r="565" customFormat="false" ht="12.75" hidden="false" customHeight="true" outlineLevel="0" collapsed="false">
      <c r="A565" s="31" t="n">
        <v>46515</v>
      </c>
      <c r="B565" s="32" t="n">
        <f aca="false">SUMIFS(Report!$U:$U,Report!$T:$T,"&lt;&gt;"&amp;"MERCADORIAS P/REVENDA",Report!$AA:$AA,"SIM",Report!$C:$C,A565)</f>
        <v>0</v>
      </c>
      <c r="C565" s="32" t="n">
        <f aca="false">SUMIFS(Report!$U:$U,Report!$T:$T,"MERCADORIAS P/REVENDA",Report!$AA:$AA,"SIM",Report!$C:$C,A565)</f>
        <v>0</v>
      </c>
      <c r="D565" s="33"/>
      <c r="E565" s="33"/>
      <c r="F565" s="32" t="n">
        <f aca="false">B565+C565</f>
        <v>0</v>
      </c>
    </row>
    <row r="566" customFormat="false" ht="12.75" hidden="false" customHeight="true" outlineLevel="0" collapsed="false">
      <c r="A566" s="31" t="n">
        <v>46516</v>
      </c>
      <c r="B566" s="32" t="n">
        <f aca="false">SUMIFS(Report!$U:$U,Report!$T:$T,"&lt;&gt;"&amp;"MERCADORIAS P/REVENDA",Report!$AA:$AA,"SIM",Report!$C:$C,A566)</f>
        <v>0</v>
      </c>
      <c r="C566" s="32" t="n">
        <f aca="false">SUMIFS(Report!$U:$U,Report!$T:$T,"MERCADORIAS P/REVENDA",Report!$AA:$AA,"SIM",Report!$C:$C,A566)</f>
        <v>0</v>
      </c>
      <c r="D566" s="33"/>
      <c r="E566" s="33"/>
      <c r="F566" s="32" t="n">
        <f aca="false">B566+C566</f>
        <v>0</v>
      </c>
    </row>
    <row r="567" customFormat="false" ht="12.75" hidden="false" customHeight="true" outlineLevel="0" collapsed="false">
      <c r="A567" s="31" t="n">
        <v>46517</v>
      </c>
      <c r="B567" s="32" t="n">
        <f aca="false">SUMIFS(Report!$U:$U,Report!$T:$T,"&lt;&gt;"&amp;"MERCADORIAS P/REVENDA",Report!$AA:$AA,"SIM",Report!$C:$C,A567)</f>
        <v>0</v>
      </c>
      <c r="C567" s="32" t="n">
        <f aca="false">SUMIFS(Report!$U:$U,Report!$T:$T,"MERCADORIAS P/REVENDA",Report!$AA:$AA,"SIM",Report!$C:$C,A567)</f>
        <v>0</v>
      </c>
      <c r="D567" s="33"/>
      <c r="E567" s="33"/>
      <c r="F567" s="32" t="n">
        <f aca="false">B567+C567</f>
        <v>0</v>
      </c>
    </row>
    <row r="568" customFormat="false" ht="12.75" hidden="false" customHeight="true" outlineLevel="0" collapsed="false">
      <c r="A568" s="34" t="s">
        <v>2201</v>
      </c>
      <c r="B568" s="22" t="n">
        <f aca="false">SUM(B561:B567)</f>
        <v>0</v>
      </c>
      <c r="C568" s="22" t="n">
        <f aca="false">SUM(C561:C567)</f>
        <v>0</v>
      </c>
      <c r="D568" s="26"/>
      <c r="E568" s="26"/>
      <c r="F568" s="22" t="n">
        <f aca="false">B568+C568</f>
        <v>0</v>
      </c>
    </row>
    <row r="569" customFormat="false" ht="12.75" hidden="false" customHeight="true" outlineLevel="0" collapsed="false">
      <c r="A569" s="14" t="n">
        <v>46518</v>
      </c>
      <c r="B569" s="15" t="n">
        <f aca="false">SUMIFS(Report!$U:$U,Report!$T:$T,"&lt;&gt;"&amp;"MERCADORIAS P/REVENDA",Report!$AA:$AA,"SIM",Report!$C:$C,A569)</f>
        <v>0</v>
      </c>
      <c r="C569" s="15" t="n">
        <f aca="false">SUMIFS(Report!$U:$U,Report!$T:$T,"MERCADORIAS P/REVENDA",Report!$AA:$AA,"SIM",Report!$C:$C,A569)</f>
        <v>0</v>
      </c>
      <c r="F569" s="15" t="n">
        <f aca="false">B569+C569</f>
        <v>0</v>
      </c>
    </row>
    <row r="570" customFormat="false" ht="12.75" hidden="false" customHeight="true" outlineLevel="0" collapsed="false">
      <c r="A570" s="14" t="n">
        <v>46519</v>
      </c>
      <c r="B570" s="15" t="n">
        <f aca="false">SUMIFS(Report!$U:$U,Report!$T:$T,"&lt;&gt;"&amp;"MERCADORIAS P/REVENDA",Report!$AA:$AA,"SIM",Report!$C:$C,A570)</f>
        <v>0</v>
      </c>
      <c r="C570" s="15" t="n">
        <f aca="false">SUMIFS(Report!$U:$U,Report!$T:$T,"MERCADORIAS P/REVENDA",Report!$AA:$AA,"SIM",Report!$C:$C,A570)</f>
        <v>0</v>
      </c>
      <c r="F570" s="15" t="n">
        <f aca="false">B570+C570</f>
        <v>0</v>
      </c>
    </row>
    <row r="571" customFormat="false" ht="12.75" hidden="false" customHeight="true" outlineLevel="0" collapsed="false">
      <c r="A571" s="14" t="n">
        <v>46520</v>
      </c>
      <c r="B571" s="15" t="n">
        <f aca="false">SUMIFS(Report!$U:$U,Report!$T:$T,"&lt;&gt;"&amp;"MERCADORIAS P/REVENDA",Report!$AA:$AA,"SIM",Report!$C:$C,A571)</f>
        <v>0</v>
      </c>
      <c r="C571" s="15" t="n">
        <f aca="false">SUMIFS(Report!$U:$U,Report!$T:$T,"MERCADORIAS P/REVENDA",Report!$AA:$AA,"SIM",Report!$C:$C,A571)</f>
        <v>0</v>
      </c>
      <c r="F571" s="15" t="n">
        <f aca="false">B571+C571</f>
        <v>0</v>
      </c>
    </row>
    <row r="572" customFormat="false" ht="12.75" hidden="false" customHeight="true" outlineLevel="0" collapsed="false">
      <c r="A572" s="14" t="n">
        <v>46521</v>
      </c>
      <c r="B572" s="15" t="n">
        <f aca="false">SUMIFS(Report!$U:$U,Report!$T:$T,"&lt;&gt;"&amp;"MERCADORIAS P/REVENDA",Report!$AA:$AA,"SIM",Report!$C:$C,A572)</f>
        <v>0</v>
      </c>
      <c r="C572" s="15" t="n">
        <f aca="false">SUMIFS(Report!$U:$U,Report!$T:$T,"MERCADORIAS P/REVENDA",Report!$AA:$AA,"SIM",Report!$C:$C,A572)</f>
        <v>0</v>
      </c>
      <c r="F572" s="15" t="n">
        <f aca="false">B572+C572</f>
        <v>0</v>
      </c>
    </row>
    <row r="573" customFormat="false" ht="12.75" hidden="false" customHeight="true" outlineLevel="0" collapsed="false">
      <c r="A573" s="31" t="n">
        <v>46522</v>
      </c>
      <c r="B573" s="32" t="n">
        <f aca="false">SUMIFS(Report!$U:$U,Report!$T:$T,"&lt;&gt;"&amp;"MERCADORIAS P/REVENDA",Report!$AA:$AA,"SIM",Report!$C:$C,A573)</f>
        <v>0</v>
      </c>
      <c r="C573" s="32" t="n">
        <f aca="false">SUMIFS(Report!$U:$U,Report!$T:$T,"MERCADORIAS P/REVENDA",Report!$AA:$AA,"SIM",Report!$C:$C,A573)</f>
        <v>0</v>
      </c>
      <c r="D573" s="33"/>
      <c r="E573" s="33"/>
      <c r="F573" s="32" t="n">
        <f aca="false">B573+C573</f>
        <v>0</v>
      </c>
    </row>
    <row r="574" customFormat="false" ht="12.75" hidden="false" customHeight="true" outlineLevel="0" collapsed="false">
      <c r="A574" s="31" t="n">
        <v>46523</v>
      </c>
      <c r="B574" s="32" t="n">
        <f aca="false">SUMIFS(Report!$U:$U,Report!$T:$T,"&lt;&gt;"&amp;"MERCADORIAS P/REVENDA",Report!$AA:$AA,"SIM",Report!$C:$C,A574)</f>
        <v>0</v>
      </c>
      <c r="C574" s="32" t="n">
        <f aca="false">SUMIFS(Report!$U:$U,Report!$T:$T,"MERCADORIAS P/REVENDA",Report!$AA:$AA,"SIM",Report!$C:$C,A574)</f>
        <v>0</v>
      </c>
      <c r="D574" s="33"/>
      <c r="E574" s="33"/>
      <c r="F574" s="32" t="n">
        <f aca="false">B574+C574</f>
        <v>0</v>
      </c>
    </row>
    <row r="575" customFormat="false" ht="12.75" hidden="false" customHeight="true" outlineLevel="0" collapsed="false">
      <c r="A575" s="31" t="n">
        <v>46524</v>
      </c>
      <c r="B575" s="32" t="n">
        <f aca="false">SUMIFS(Report!$U:$U,Report!$T:$T,"&lt;&gt;"&amp;"MERCADORIAS P/REVENDA",Report!$AA:$AA,"SIM",Report!$C:$C,A575)</f>
        <v>0</v>
      </c>
      <c r="C575" s="32" t="n">
        <f aca="false">SUMIFS(Report!$U:$U,Report!$T:$T,"MERCADORIAS P/REVENDA",Report!$AA:$AA,"SIM",Report!$C:$C,A575)</f>
        <v>0</v>
      </c>
      <c r="D575" s="33"/>
      <c r="E575" s="33"/>
      <c r="F575" s="32" t="n">
        <f aca="false">B575+C575</f>
        <v>0</v>
      </c>
    </row>
    <row r="576" customFormat="false" ht="12.75" hidden="false" customHeight="true" outlineLevel="0" collapsed="false">
      <c r="A576" s="34" t="s">
        <v>2202</v>
      </c>
      <c r="B576" s="22" t="n">
        <f aca="false">SUM(B569:B575)</f>
        <v>0</v>
      </c>
      <c r="C576" s="22" t="n">
        <f aca="false">SUM(C569:C575)</f>
        <v>0</v>
      </c>
      <c r="D576" s="26"/>
      <c r="E576" s="26"/>
      <c r="F576" s="22" t="n">
        <f aca="false">B576+C576</f>
        <v>0</v>
      </c>
    </row>
    <row r="577" customFormat="false" ht="12.75" hidden="false" customHeight="true" outlineLevel="0" collapsed="false">
      <c r="A577" s="14" t="n">
        <v>46525</v>
      </c>
      <c r="B577" s="15" t="n">
        <f aca="false">SUMIFS(Report!$U:$U,Report!$T:$T,"&lt;&gt;"&amp;"MERCADORIAS P/REVENDA",Report!$AA:$AA,"SIM",Report!$C:$C,A577)</f>
        <v>0</v>
      </c>
      <c r="C577" s="15" t="n">
        <f aca="false">SUMIFS(Report!$U:$U,Report!$T:$T,"MERCADORIAS P/REVENDA",Report!$AA:$AA,"SIM",Report!$C:$C,A577)</f>
        <v>0</v>
      </c>
      <c r="F577" s="15" t="n">
        <f aca="false">B577+C577</f>
        <v>0</v>
      </c>
    </row>
    <row r="578" customFormat="false" ht="12.75" hidden="false" customHeight="true" outlineLevel="0" collapsed="false">
      <c r="A578" s="14" t="n">
        <v>46526</v>
      </c>
      <c r="B578" s="15" t="n">
        <f aca="false">SUMIFS(Report!$U:$U,Report!$T:$T,"&lt;&gt;"&amp;"MERCADORIAS P/REVENDA",Report!$AA:$AA,"SIM",Report!$C:$C,A578)</f>
        <v>0</v>
      </c>
      <c r="C578" s="15" t="n">
        <f aca="false">SUMIFS(Report!$U:$U,Report!$T:$T,"MERCADORIAS P/REVENDA",Report!$AA:$AA,"SIM",Report!$C:$C,A578)</f>
        <v>0</v>
      </c>
      <c r="F578" s="15" t="n">
        <f aca="false">B578+C578</f>
        <v>0</v>
      </c>
    </row>
    <row r="579" customFormat="false" ht="12.75" hidden="false" customHeight="true" outlineLevel="0" collapsed="false">
      <c r="A579" s="14" t="n">
        <v>46527</v>
      </c>
      <c r="B579" s="15" t="n">
        <f aca="false">SUMIFS(Report!$U:$U,Report!$T:$T,"&lt;&gt;"&amp;"MERCADORIAS P/REVENDA",Report!$AA:$AA,"SIM",Report!$C:$C,A579)</f>
        <v>0</v>
      </c>
      <c r="C579" s="15" t="n">
        <f aca="false">SUMIFS(Report!$U:$U,Report!$T:$T,"MERCADORIAS P/REVENDA",Report!$AA:$AA,"SIM",Report!$C:$C,A579)</f>
        <v>0</v>
      </c>
      <c r="F579" s="15" t="n">
        <f aca="false">B579+C579</f>
        <v>0</v>
      </c>
    </row>
    <row r="580" customFormat="false" ht="12.75" hidden="false" customHeight="true" outlineLevel="0" collapsed="false">
      <c r="A580" s="14" t="n">
        <v>46528</v>
      </c>
      <c r="B580" s="15" t="n">
        <f aca="false">SUMIFS(Report!$U:$U,Report!$T:$T,"&lt;&gt;"&amp;"MERCADORIAS P/REVENDA",Report!$AA:$AA,"SIM",Report!$C:$C,A580)</f>
        <v>0</v>
      </c>
      <c r="C580" s="15" t="n">
        <f aca="false">SUMIFS(Report!$U:$U,Report!$T:$T,"MERCADORIAS P/REVENDA",Report!$AA:$AA,"SIM",Report!$C:$C,A580)</f>
        <v>0</v>
      </c>
      <c r="F580" s="15" t="n">
        <f aca="false">B580+C580</f>
        <v>0</v>
      </c>
    </row>
    <row r="581" customFormat="false" ht="12.75" hidden="false" customHeight="true" outlineLevel="0" collapsed="false">
      <c r="A581" s="31" t="n">
        <v>46529</v>
      </c>
      <c r="B581" s="32" t="n">
        <f aca="false">SUMIFS(Report!$U:$U,Report!$T:$T,"&lt;&gt;"&amp;"MERCADORIAS P/REVENDA",Report!$AA:$AA,"SIM",Report!$C:$C,A581)</f>
        <v>0</v>
      </c>
      <c r="C581" s="32" t="n">
        <f aca="false">SUMIFS(Report!$U:$U,Report!$T:$T,"MERCADORIAS P/REVENDA",Report!$AA:$AA,"SIM",Report!$C:$C,A581)</f>
        <v>0</v>
      </c>
      <c r="D581" s="33"/>
      <c r="E581" s="33"/>
      <c r="F581" s="32" t="n">
        <f aca="false">B581+C581</f>
        <v>0</v>
      </c>
    </row>
    <row r="582" customFormat="false" ht="12.75" hidden="false" customHeight="true" outlineLevel="0" collapsed="false">
      <c r="A582" s="31" t="n">
        <v>46530</v>
      </c>
      <c r="B582" s="32" t="n">
        <f aca="false">SUMIFS(Report!$U:$U,Report!$T:$T,"&lt;&gt;"&amp;"MERCADORIAS P/REVENDA",Report!$AA:$AA,"SIM",Report!$C:$C,A582)</f>
        <v>0</v>
      </c>
      <c r="C582" s="32" t="n">
        <f aca="false">SUMIFS(Report!$U:$U,Report!$T:$T,"MERCADORIAS P/REVENDA",Report!$AA:$AA,"SIM",Report!$C:$C,A582)</f>
        <v>0</v>
      </c>
      <c r="D582" s="33"/>
      <c r="E582" s="33"/>
      <c r="F582" s="32" t="n">
        <f aca="false">B582+C582</f>
        <v>0</v>
      </c>
    </row>
    <row r="583" customFormat="false" ht="12.75" hidden="false" customHeight="true" outlineLevel="0" collapsed="false">
      <c r="A583" s="31" t="n">
        <v>46531</v>
      </c>
      <c r="B583" s="32" t="n">
        <f aca="false">SUMIFS(Report!$U:$U,Report!$T:$T,"&lt;&gt;"&amp;"MERCADORIAS P/REVENDA",Report!$AA:$AA,"SIM",Report!$C:$C,A583)</f>
        <v>0</v>
      </c>
      <c r="C583" s="32" t="n">
        <f aca="false">SUMIFS(Report!$U:$U,Report!$T:$T,"MERCADORIAS P/REVENDA",Report!$AA:$AA,"SIM",Report!$C:$C,A583)</f>
        <v>0</v>
      </c>
      <c r="D583" s="33"/>
      <c r="E583" s="33"/>
      <c r="F583" s="32" t="n">
        <f aca="false">B583+C583</f>
        <v>0</v>
      </c>
    </row>
    <row r="584" customFormat="false" ht="12.75" hidden="false" customHeight="true" outlineLevel="0" collapsed="false">
      <c r="A584" s="34" t="s">
        <v>2203</v>
      </c>
      <c r="B584" s="22" t="n">
        <f aca="false">SUM(B577:B583)</f>
        <v>0</v>
      </c>
      <c r="C584" s="22" t="n">
        <f aca="false">SUM(C577:C583)</f>
        <v>0</v>
      </c>
      <c r="D584" s="26"/>
      <c r="E584" s="26"/>
      <c r="F584" s="22" t="n">
        <f aca="false">B584+C584</f>
        <v>0</v>
      </c>
    </row>
    <row r="585" customFormat="false" ht="12.75" hidden="false" customHeight="true" outlineLevel="0" collapsed="false">
      <c r="A585" s="14" t="n">
        <v>46532</v>
      </c>
      <c r="B585" s="15" t="n">
        <f aca="false">SUMIFS(Report!$U:$U,Report!$T:$T,"&lt;&gt;"&amp;"MERCADORIAS P/REVENDA",Report!$AA:$AA,"SIM",Report!$C:$C,A585)</f>
        <v>0</v>
      </c>
      <c r="C585" s="15" t="n">
        <f aca="false">SUMIFS(Report!$U:$U,Report!$T:$T,"MERCADORIAS P/REVENDA",Report!$AA:$AA,"SIM",Report!$C:$C,A585)</f>
        <v>0</v>
      </c>
      <c r="F585" s="15" t="n">
        <f aca="false">B585+C585</f>
        <v>0</v>
      </c>
    </row>
    <row r="586" customFormat="false" ht="12.75" hidden="false" customHeight="true" outlineLevel="0" collapsed="false">
      <c r="A586" s="14" t="n">
        <v>46533</v>
      </c>
      <c r="B586" s="15" t="n">
        <f aca="false">SUMIFS(Report!$U:$U,Report!$T:$T,"&lt;&gt;"&amp;"MERCADORIAS P/REVENDA",Report!$AA:$AA,"SIM",Report!$C:$C,A586)</f>
        <v>0</v>
      </c>
      <c r="C586" s="15" t="n">
        <f aca="false">SUMIFS(Report!$U:$U,Report!$T:$T,"MERCADORIAS P/REVENDA",Report!$AA:$AA,"SIM",Report!$C:$C,A586)</f>
        <v>0</v>
      </c>
      <c r="F586" s="15" t="n">
        <f aca="false">B586+C586</f>
        <v>0</v>
      </c>
    </row>
    <row r="587" customFormat="false" ht="12.75" hidden="false" customHeight="true" outlineLevel="0" collapsed="false">
      <c r="A587" s="14" t="n">
        <v>46534</v>
      </c>
      <c r="B587" s="15" t="n">
        <f aca="false">SUMIFS(Report!$U:$U,Report!$T:$T,"&lt;&gt;"&amp;"MERCADORIAS P/REVENDA",Report!$AA:$AA,"SIM",Report!$C:$C,A587)</f>
        <v>0</v>
      </c>
      <c r="C587" s="15" t="n">
        <f aca="false">SUMIFS(Report!$U:$U,Report!$T:$T,"MERCADORIAS P/REVENDA",Report!$AA:$AA,"SIM",Report!$C:$C,A587)</f>
        <v>0</v>
      </c>
      <c r="F587" s="15" t="n">
        <f aca="false">B587+C587</f>
        <v>0</v>
      </c>
    </row>
    <row r="588" customFormat="false" ht="12.75" hidden="false" customHeight="true" outlineLevel="0" collapsed="false">
      <c r="A588" s="14" t="n">
        <v>46535</v>
      </c>
      <c r="B588" s="15" t="n">
        <f aca="false">SUMIFS(Report!$U:$U,Report!$T:$T,"&lt;&gt;"&amp;"MERCADORIAS P/REVENDA",Report!$AA:$AA,"SIM",Report!$C:$C,A588)</f>
        <v>0</v>
      </c>
      <c r="C588" s="15" t="n">
        <f aca="false">SUMIFS(Report!$U:$U,Report!$T:$T,"MERCADORIAS P/REVENDA",Report!$AA:$AA,"SIM",Report!$C:$C,A588)</f>
        <v>0</v>
      </c>
      <c r="F588" s="15" t="n">
        <f aca="false">B588+C588</f>
        <v>0</v>
      </c>
    </row>
    <row r="589" customFormat="false" ht="12.75" hidden="false" customHeight="true" outlineLevel="0" collapsed="false">
      <c r="A589" s="31" t="n">
        <v>46536</v>
      </c>
      <c r="B589" s="32" t="n">
        <f aca="false">SUMIFS(Report!$U:$U,Report!$T:$T,"&lt;&gt;"&amp;"MERCADORIAS P/REVENDA",Report!$AA:$AA,"SIM",Report!$C:$C,A589)</f>
        <v>0</v>
      </c>
      <c r="C589" s="32" t="n">
        <f aca="false">SUMIFS(Report!$U:$U,Report!$T:$T,"MERCADORIAS P/REVENDA",Report!$AA:$AA,"SIM",Report!$C:$C,A589)</f>
        <v>0</v>
      </c>
      <c r="D589" s="33"/>
      <c r="E589" s="33"/>
      <c r="F589" s="32" t="n">
        <f aca="false">B589+C589</f>
        <v>0</v>
      </c>
    </row>
    <row r="590" customFormat="false" ht="12.75" hidden="false" customHeight="true" outlineLevel="0" collapsed="false">
      <c r="A590" s="31" t="n">
        <v>46537</v>
      </c>
      <c r="B590" s="32" t="n">
        <f aca="false">SUMIFS(Report!$U:$U,Report!$T:$T,"&lt;&gt;"&amp;"MERCADORIAS P/REVENDA",Report!$AA:$AA,"SIM",Report!$C:$C,A590)</f>
        <v>0</v>
      </c>
      <c r="C590" s="32" t="n">
        <f aca="false">SUMIFS(Report!$U:$U,Report!$T:$T,"MERCADORIAS P/REVENDA",Report!$AA:$AA,"SIM",Report!$C:$C,A590)</f>
        <v>0</v>
      </c>
      <c r="D590" s="33"/>
      <c r="E590" s="33"/>
      <c r="F590" s="32" t="n">
        <f aca="false">B590+C590</f>
        <v>0</v>
      </c>
    </row>
    <row r="591" customFormat="false" ht="12.75" hidden="false" customHeight="true" outlineLevel="0" collapsed="false">
      <c r="A591" s="31" t="n">
        <v>46538</v>
      </c>
      <c r="B591" s="32" t="n">
        <f aca="false">SUMIFS(Report!$U:$U,Report!$T:$T,"&lt;&gt;"&amp;"MERCADORIAS P/REVENDA",Report!$AA:$AA,"SIM",Report!$C:$C,A591)</f>
        <v>0</v>
      </c>
      <c r="C591" s="32" t="n">
        <f aca="false">SUMIFS(Report!$U:$U,Report!$T:$T,"MERCADORIAS P/REVENDA",Report!$AA:$AA,"SIM",Report!$C:$C,A591)</f>
        <v>0</v>
      </c>
      <c r="D591" s="33"/>
      <c r="E591" s="33"/>
      <c r="F591" s="32" t="n">
        <f aca="false">B591+C591</f>
        <v>0</v>
      </c>
    </row>
    <row r="592" customFormat="false" ht="12.75" hidden="false" customHeight="true" outlineLevel="0" collapsed="false">
      <c r="A592" s="34" t="s">
        <v>2204</v>
      </c>
      <c r="B592" s="22" t="n">
        <f aca="false">SUM(B585:B591)</f>
        <v>0</v>
      </c>
      <c r="C592" s="22" t="n">
        <f aca="false">SUM(C585:C591)</f>
        <v>0</v>
      </c>
      <c r="D592" s="26"/>
      <c r="E592" s="26"/>
      <c r="F592" s="22" t="n">
        <f aca="false">B592+C592</f>
        <v>0</v>
      </c>
    </row>
    <row r="593" customFormat="false" ht="12.75" hidden="false" customHeight="true" outlineLevel="0" collapsed="false">
      <c r="A593" s="14" t="n">
        <v>46539</v>
      </c>
      <c r="B593" s="15" t="n">
        <f aca="false">SUMIFS(Report!$U:$U,Report!$T:$T,"&lt;&gt;"&amp;"MERCADORIAS P/REVENDA",Report!$AA:$AA,"SIM",Report!$C:$C,A593)</f>
        <v>0</v>
      </c>
      <c r="C593" s="15" t="n">
        <f aca="false">SUMIFS(Report!$U:$U,Report!$T:$T,"MERCADORIAS P/REVENDA",Report!$AA:$AA,"SIM",Report!$C:$C,A593)</f>
        <v>0</v>
      </c>
      <c r="F593" s="15" t="n">
        <f aca="false">B593+C593</f>
        <v>0</v>
      </c>
    </row>
    <row r="594" customFormat="false" ht="12.75" hidden="false" customHeight="true" outlineLevel="0" collapsed="false">
      <c r="A594" s="14" t="n">
        <v>46540</v>
      </c>
      <c r="B594" s="15" t="n">
        <f aca="false">SUMIFS(Report!$U:$U,Report!$T:$T,"&lt;&gt;"&amp;"MERCADORIAS P/REVENDA",Report!$AA:$AA,"SIM",Report!$C:$C,A594)</f>
        <v>0</v>
      </c>
      <c r="C594" s="15" t="n">
        <f aca="false">SUMIFS(Report!$U:$U,Report!$T:$T,"MERCADORIAS P/REVENDA",Report!$AA:$AA,"SIM",Report!$C:$C,A594)</f>
        <v>0</v>
      </c>
      <c r="F594" s="15" t="n">
        <f aca="false">B594+C594</f>
        <v>0</v>
      </c>
    </row>
    <row r="595" customFormat="false" ht="12.75" hidden="false" customHeight="true" outlineLevel="0" collapsed="false">
      <c r="A595" s="14" t="n">
        <v>46541</v>
      </c>
      <c r="B595" s="15" t="n">
        <f aca="false">SUMIFS(Report!$U:$U,Report!$T:$T,"&lt;&gt;"&amp;"MERCADORIAS P/REVENDA",Report!$AA:$AA,"SIM",Report!$C:$C,A595)</f>
        <v>0</v>
      </c>
      <c r="C595" s="15" t="n">
        <f aca="false">SUMIFS(Report!$U:$U,Report!$T:$T,"MERCADORIAS P/REVENDA",Report!$AA:$AA,"SIM",Report!$C:$C,A595)</f>
        <v>0</v>
      </c>
      <c r="F595" s="15" t="n">
        <f aca="false">B595+C595</f>
        <v>0</v>
      </c>
    </row>
    <row r="596" customFormat="false" ht="12.75" hidden="false" customHeight="true" outlineLevel="0" collapsed="false">
      <c r="A596" s="14" t="n">
        <v>46542</v>
      </c>
      <c r="B596" s="15" t="n">
        <f aca="false">SUMIFS(Report!$U:$U,Report!$T:$T,"&lt;&gt;"&amp;"MERCADORIAS P/REVENDA",Report!$AA:$AA,"SIM",Report!$C:$C,A596)</f>
        <v>0</v>
      </c>
      <c r="C596" s="15" t="n">
        <f aca="false">SUMIFS(Report!$U:$U,Report!$T:$T,"MERCADORIAS P/REVENDA",Report!$AA:$AA,"SIM",Report!$C:$C,A596)</f>
        <v>0</v>
      </c>
      <c r="F596" s="15" t="n">
        <f aca="false">B596+C596</f>
        <v>0</v>
      </c>
    </row>
    <row r="597" customFormat="false" ht="12.75" hidden="false" customHeight="true" outlineLevel="0" collapsed="false">
      <c r="A597" s="31" t="n">
        <v>46543</v>
      </c>
      <c r="B597" s="32" t="n">
        <f aca="false">SUMIFS(Report!$U:$U,Report!$T:$T,"&lt;&gt;"&amp;"MERCADORIAS P/REVENDA",Report!$AA:$AA,"SIM",Report!$C:$C,A597)</f>
        <v>0</v>
      </c>
      <c r="C597" s="32" t="n">
        <f aca="false">SUMIFS(Report!$U:$U,Report!$T:$T,"MERCADORIAS P/REVENDA",Report!$AA:$AA,"SIM",Report!$C:$C,A597)</f>
        <v>0</v>
      </c>
      <c r="D597" s="33"/>
      <c r="E597" s="33"/>
      <c r="F597" s="32" t="n">
        <f aca="false">B597+C597</f>
        <v>0</v>
      </c>
    </row>
    <row r="598" customFormat="false" ht="12.75" hidden="false" customHeight="true" outlineLevel="0" collapsed="false">
      <c r="A598" s="31" t="n">
        <v>46544</v>
      </c>
      <c r="B598" s="32" t="n">
        <f aca="false">SUMIFS(Report!$U:$U,Report!$T:$T,"&lt;&gt;"&amp;"MERCADORIAS P/REVENDA",Report!$AA:$AA,"SIM",Report!$C:$C,A598)</f>
        <v>0</v>
      </c>
      <c r="C598" s="32" t="n">
        <f aca="false">SUMIFS(Report!$U:$U,Report!$T:$T,"MERCADORIAS P/REVENDA",Report!$AA:$AA,"SIM",Report!$C:$C,A598)</f>
        <v>0</v>
      </c>
      <c r="D598" s="33"/>
      <c r="E598" s="33"/>
      <c r="F598" s="32" t="n">
        <f aca="false">B598+C598</f>
        <v>0</v>
      </c>
    </row>
    <row r="599" customFormat="false" ht="12.75" hidden="false" customHeight="true" outlineLevel="0" collapsed="false">
      <c r="A599" s="31" t="n">
        <v>46545</v>
      </c>
      <c r="B599" s="32" t="n">
        <f aca="false">SUMIFS(Report!$U:$U,Report!$T:$T,"&lt;&gt;"&amp;"MERCADORIAS P/REVENDA",Report!$AA:$AA,"SIM",Report!$C:$C,A599)</f>
        <v>0</v>
      </c>
      <c r="C599" s="32" t="n">
        <f aca="false">SUMIFS(Report!$U:$U,Report!$T:$T,"MERCADORIAS P/REVENDA",Report!$AA:$AA,"SIM",Report!$C:$C,A599)</f>
        <v>0</v>
      </c>
      <c r="D599" s="33"/>
      <c r="E599" s="33"/>
      <c r="F599" s="32" t="n">
        <f aca="false">B599+C599</f>
        <v>0</v>
      </c>
    </row>
    <row r="600" customFormat="false" ht="12.75" hidden="false" customHeight="true" outlineLevel="0" collapsed="false">
      <c r="A600" s="34" t="s">
        <v>2205</v>
      </c>
      <c r="B600" s="22" t="n">
        <f aca="false">SUM(B593:B599)</f>
        <v>0</v>
      </c>
      <c r="C600" s="22" t="n">
        <f aca="false">SUM(C593:C599)</f>
        <v>0</v>
      </c>
      <c r="D600" s="26"/>
      <c r="E600" s="26"/>
      <c r="F600" s="22" t="n">
        <f aca="false">B600+C600</f>
        <v>0</v>
      </c>
    </row>
    <row r="601" customFormat="false" ht="12.75" hidden="false" customHeight="true" outlineLevel="0" collapsed="false">
      <c r="A601" s="14" t="n">
        <v>46546</v>
      </c>
      <c r="B601" s="15" t="n">
        <f aca="false">SUMIFS(Report!$U:$U,Report!$T:$T,"&lt;&gt;"&amp;"MERCADORIAS P/REVENDA",Report!$AA:$AA,"SIM",Report!$C:$C,A601)</f>
        <v>0</v>
      </c>
      <c r="C601" s="15" t="n">
        <f aca="false">SUMIFS(Report!$U:$U,Report!$T:$T,"MERCADORIAS P/REVENDA",Report!$AA:$AA,"SIM",Report!$C:$C,A601)</f>
        <v>0</v>
      </c>
      <c r="F601" s="15" t="n">
        <f aca="false">B601+C601</f>
        <v>0</v>
      </c>
    </row>
    <row r="602" customFormat="false" ht="12.75" hidden="false" customHeight="true" outlineLevel="0" collapsed="false">
      <c r="A602" s="14" t="n">
        <v>46547</v>
      </c>
      <c r="B602" s="15" t="n">
        <f aca="false">SUMIFS(Report!$U:$U,Report!$T:$T,"&lt;&gt;"&amp;"MERCADORIAS P/REVENDA",Report!$AA:$AA,"SIM",Report!$C:$C,A602)</f>
        <v>0</v>
      </c>
      <c r="C602" s="15" t="n">
        <f aca="false">SUMIFS(Report!$U:$U,Report!$T:$T,"MERCADORIAS P/REVENDA",Report!$AA:$AA,"SIM",Report!$C:$C,A602)</f>
        <v>0</v>
      </c>
      <c r="F602" s="15" t="n">
        <f aca="false">B602+C602</f>
        <v>0</v>
      </c>
    </row>
    <row r="603" customFormat="false" ht="12.75" hidden="false" customHeight="true" outlineLevel="0" collapsed="false">
      <c r="A603" s="14" t="n">
        <v>46548</v>
      </c>
      <c r="B603" s="15" t="n">
        <f aca="false">SUMIFS(Report!$U:$U,Report!$T:$T,"&lt;&gt;"&amp;"MERCADORIAS P/REVENDA",Report!$AA:$AA,"SIM",Report!$C:$C,A603)</f>
        <v>0</v>
      </c>
      <c r="C603" s="15" t="n">
        <f aca="false">SUMIFS(Report!$U:$U,Report!$T:$T,"MERCADORIAS P/REVENDA",Report!$AA:$AA,"SIM",Report!$C:$C,A603)</f>
        <v>0</v>
      </c>
      <c r="F603" s="15" t="n">
        <f aca="false">B603+C603</f>
        <v>0</v>
      </c>
    </row>
    <row r="604" customFormat="false" ht="12.75" hidden="false" customHeight="true" outlineLevel="0" collapsed="false">
      <c r="A604" s="14" t="n">
        <v>46549</v>
      </c>
      <c r="B604" s="15" t="n">
        <f aca="false">SUMIFS(Report!$U:$U,Report!$T:$T,"&lt;&gt;"&amp;"MERCADORIAS P/REVENDA",Report!$AA:$AA,"SIM",Report!$C:$C,A604)</f>
        <v>0</v>
      </c>
      <c r="C604" s="15" t="n">
        <f aca="false">SUMIFS(Report!$U:$U,Report!$T:$T,"MERCADORIAS P/REVENDA",Report!$AA:$AA,"SIM",Report!$C:$C,A604)</f>
        <v>0</v>
      </c>
      <c r="F604" s="15" t="n">
        <f aca="false">B604+C604</f>
        <v>0</v>
      </c>
    </row>
    <row r="605" customFormat="false" ht="12.75" hidden="false" customHeight="true" outlineLevel="0" collapsed="false">
      <c r="A605" s="31" t="n">
        <v>46550</v>
      </c>
      <c r="B605" s="32" t="n">
        <f aca="false">SUMIFS(Report!$U:$U,Report!$T:$T,"&lt;&gt;"&amp;"MERCADORIAS P/REVENDA",Report!$AA:$AA,"SIM",Report!$C:$C,A605)</f>
        <v>0</v>
      </c>
      <c r="C605" s="32" t="n">
        <f aca="false">SUMIFS(Report!$U:$U,Report!$T:$T,"MERCADORIAS P/REVENDA",Report!$AA:$AA,"SIM",Report!$C:$C,A605)</f>
        <v>0</v>
      </c>
      <c r="D605" s="33"/>
      <c r="E605" s="33"/>
      <c r="F605" s="32" t="n">
        <f aca="false">B605+C605</f>
        <v>0</v>
      </c>
    </row>
    <row r="606" customFormat="false" ht="12.75" hidden="false" customHeight="true" outlineLevel="0" collapsed="false">
      <c r="A606" s="31" t="n">
        <v>46551</v>
      </c>
      <c r="B606" s="32" t="n">
        <f aca="false">SUMIFS(Report!$U:$U,Report!$T:$T,"&lt;&gt;"&amp;"MERCADORIAS P/REVENDA",Report!$AA:$AA,"SIM",Report!$C:$C,A606)</f>
        <v>0</v>
      </c>
      <c r="C606" s="32" t="n">
        <f aca="false">SUMIFS(Report!$U:$U,Report!$T:$T,"MERCADORIAS P/REVENDA",Report!$AA:$AA,"SIM",Report!$C:$C,A606)</f>
        <v>0</v>
      </c>
      <c r="D606" s="33"/>
      <c r="E606" s="33"/>
      <c r="F606" s="32" t="n">
        <f aca="false">B606+C606</f>
        <v>0</v>
      </c>
    </row>
    <row r="607" customFormat="false" ht="12.75" hidden="false" customHeight="true" outlineLevel="0" collapsed="false">
      <c r="A607" s="31" t="n">
        <v>46552</v>
      </c>
      <c r="B607" s="32" t="n">
        <f aca="false">SUMIFS(Report!$U:$U,Report!$T:$T,"&lt;&gt;"&amp;"MERCADORIAS P/REVENDA",Report!$AA:$AA,"SIM",Report!$C:$C,A607)</f>
        <v>0</v>
      </c>
      <c r="C607" s="32" t="n">
        <f aca="false">SUMIFS(Report!$U:$U,Report!$T:$T,"MERCADORIAS P/REVENDA",Report!$AA:$AA,"SIM",Report!$C:$C,A607)</f>
        <v>0</v>
      </c>
      <c r="D607" s="33"/>
      <c r="E607" s="33"/>
      <c r="F607" s="32" t="n">
        <f aca="false">B607+C607</f>
        <v>0</v>
      </c>
    </row>
    <row r="608" customFormat="false" ht="12.75" hidden="false" customHeight="true" outlineLevel="0" collapsed="false">
      <c r="A608" s="34" t="s">
        <v>2206</v>
      </c>
      <c r="B608" s="22" t="n">
        <f aca="false">SUM(B601:B607)</f>
        <v>0</v>
      </c>
      <c r="C608" s="22" t="n">
        <f aca="false">SUM(C601:C607)</f>
        <v>0</v>
      </c>
      <c r="D608" s="26"/>
      <c r="E608" s="26"/>
      <c r="F608" s="22" t="n">
        <f aca="false">B608+C608</f>
        <v>0</v>
      </c>
    </row>
    <row r="609" customFormat="false" ht="12.75" hidden="false" customHeight="true" outlineLevel="0" collapsed="false">
      <c r="A609" s="14" t="n">
        <v>46553</v>
      </c>
      <c r="B609" s="15" t="n">
        <f aca="false">SUMIFS(Report!$U:$U,Report!$T:$T,"&lt;&gt;"&amp;"MERCADORIAS P/REVENDA",Report!$AA:$AA,"SIM",Report!$C:$C,A609)</f>
        <v>0</v>
      </c>
      <c r="C609" s="15" t="n">
        <f aca="false">SUMIFS(Report!$U:$U,Report!$T:$T,"MERCADORIAS P/REVENDA",Report!$AA:$AA,"SIM",Report!$C:$C,A609)</f>
        <v>0</v>
      </c>
      <c r="F609" s="15" t="n">
        <f aca="false">B609+C609</f>
        <v>0</v>
      </c>
    </row>
    <row r="610" customFormat="false" ht="12.75" hidden="false" customHeight="true" outlineLevel="0" collapsed="false">
      <c r="A610" s="14" t="n">
        <v>46554</v>
      </c>
      <c r="B610" s="15" t="n">
        <f aca="false">SUMIFS(Report!$U:$U,Report!$T:$T,"&lt;&gt;"&amp;"MERCADORIAS P/REVENDA",Report!$AA:$AA,"SIM",Report!$C:$C,A610)</f>
        <v>0</v>
      </c>
      <c r="C610" s="15" t="n">
        <f aca="false">SUMIFS(Report!$U:$U,Report!$T:$T,"MERCADORIAS P/REVENDA",Report!$AA:$AA,"SIM",Report!$C:$C,A610)</f>
        <v>0</v>
      </c>
      <c r="F610" s="15" t="n">
        <f aca="false">B610+C610</f>
        <v>0</v>
      </c>
    </row>
    <row r="611" customFormat="false" ht="12.75" hidden="false" customHeight="true" outlineLevel="0" collapsed="false">
      <c r="A611" s="14" t="n">
        <v>46555</v>
      </c>
      <c r="B611" s="15" t="n">
        <f aca="false">SUMIFS(Report!$U:$U,Report!$T:$T,"&lt;&gt;"&amp;"MERCADORIAS P/REVENDA",Report!$AA:$AA,"SIM",Report!$C:$C,A611)</f>
        <v>0</v>
      </c>
      <c r="C611" s="15" t="n">
        <f aca="false">SUMIFS(Report!$U:$U,Report!$T:$T,"MERCADORIAS P/REVENDA",Report!$AA:$AA,"SIM",Report!$C:$C,A611)</f>
        <v>0</v>
      </c>
      <c r="F611" s="15" t="n">
        <f aca="false">B611+C611</f>
        <v>0</v>
      </c>
    </row>
    <row r="612" customFormat="false" ht="12.75" hidden="false" customHeight="true" outlineLevel="0" collapsed="false">
      <c r="A612" s="14" t="n">
        <v>46556</v>
      </c>
      <c r="B612" s="15" t="n">
        <f aca="false">SUMIFS(Report!$U:$U,Report!$T:$T,"&lt;&gt;"&amp;"MERCADORIAS P/REVENDA",Report!$AA:$AA,"SIM",Report!$C:$C,A612)</f>
        <v>0</v>
      </c>
      <c r="C612" s="15" t="n">
        <f aca="false">SUMIFS(Report!$U:$U,Report!$T:$T,"MERCADORIAS P/REVENDA",Report!$AA:$AA,"SIM",Report!$C:$C,A612)</f>
        <v>0</v>
      </c>
      <c r="F612" s="15" t="n">
        <f aca="false">B612+C612</f>
        <v>0</v>
      </c>
    </row>
    <row r="613" customFormat="false" ht="12.75" hidden="false" customHeight="true" outlineLevel="0" collapsed="false">
      <c r="A613" s="31" t="n">
        <v>46557</v>
      </c>
      <c r="B613" s="32" t="n">
        <f aca="false">SUMIFS(Report!$U:$U,Report!$T:$T,"&lt;&gt;"&amp;"MERCADORIAS P/REVENDA",Report!$AA:$AA,"SIM",Report!$C:$C,A613)</f>
        <v>0</v>
      </c>
      <c r="C613" s="32" t="n">
        <f aca="false">SUMIFS(Report!$U:$U,Report!$T:$T,"MERCADORIAS P/REVENDA",Report!$AA:$AA,"SIM",Report!$C:$C,A613)</f>
        <v>0</v>
      </c>
      <c r="D613" s="33"/>
      <c r="E613" s="33"/>
      <c r="F613" s="32" t="n">
        <f aca="false">B613+C613</f>
        <v>0</v>
      </c>
    </row>
    <row r="614" customFormat="false" ht="12.75" hidden="false" customHeight="true" outlineLevel="0" collapsed="false">
      <c r="A614" s="31" t="n">
        <v>46558</v>
      </c>
      <c r="B614" s="32" t="n">
        <f aca="false">SUMIFS(Report!$U:$U,Report!$T:$T,"&lt;&gt;"&amp;"MERCADORIAS P/REVENDA",Report!$AA:$AA,"SIM",Report!$C:$C,A614)</f>
        <v>0</v>
      </c>
      <c r="C614" s="32" t="n">
        <f aca="false">SUMIFS(Report!$U:$U,Report!$T:$T,"MERCADORIAS P/REVENDA",Report!$AA:$AA,"SIM",Report!$C:$C,A614)</f>
        <v>0</v>
      </c>
      <c r="D614" s="33"/>
      <c r="E614" s="33"/>
      <c r="F614" s="32" t="n">
        <f aca="false">B614+C614</f>
        <v>0</v>
      </c>
    </row>
    <row r="615" customFormat="false" ht="12.75" hidden="false" customHeight="true" outlineLevel="0" collapsed="false">
      <c r="A615" s="31" t="n">
        <v>46559</v>
      </c>
      <c r="B615" s="32" t="n">
        <f aca="false">SUMIFS(Report!$U:$U,Report!$T:$T,"&lt;&gt;"&amp;"MERCADORIAS P/REVENDA",Report!$AA:$AA,"SIM",Report!$C:$C,A615)</f>
        <v>0</v>
      </c>
      <c r="C615" s="32" t="n">
        <f aca="false">SUMIFS(Report!$U:$U,Report!$T:$T,"MERCADORIAS P/REVENDA",Report!$AA:$AA,"SIM",Report!$C:$C,A615)</f>
        <v>0</v>
      </c>
      <c r="D615" s="33"/>
      <c r="E615" s="33"/>
      <c r="F615" s="32" t="n">
        <f aca="false">B615+C615</f>
        <v>0</v>
      </c>
    </row>
    <row r="616" customFormat="false" ht="12.75" hidden="false" customHeight="true" outlineLevel="0" collapsed="false">
      <c r="A616" s="34" t="s">
        <v>2207</v>
      </c>
      <c r="B616" s="22" t="n">
        <f aca="false">SUM(B609:B615)</f>
        <v>0</v>
      </c>
      <c r="C616" s="22" t="n">
        <f aca="false">SUM(C609:C615)</f>
        <v>0</v>
      </c>
      <c r="D616" s="26"/>
      <c r="E616" s="26"/>
      <c r="F616" s="22" t="n">
        <f aca="false">B616+C616</f>
        <v>0</v>
      </c>
    </row>
    <row r="617" customFormat="false" ht="12.75" hidden="false" customHeight="true" outlineLevel="0" collapsed="false">
      <c r="A617" s="14" t="n">
        <v>46560</v>
      </c>
      <c r="B617" s="15" t="n">
        <f aca="false">SUMIFS(Report!$U:$U,Report!$T:$T,"&lt;&gt;"&amp;"MERCADORIAS P/REVENDA",Report!$AA:$AA,"SIM",Report!$C:$C,A617)</f>
        <v>0</v>
      </c>
      <c r="C617" s="15" t="n">
        <f aca="false">SUMIFS(Report!$U:$U,Report!$T:$T,"MERCADORIAS P/REVENDA",Report!$AA:$AA,"SIM",Report!$C:$C,A617)</f>
        <v>0</v>
      </c>
      <c r="F617" s="15" t="n">
        <f aca="false">B617+C617</f>
        <v>0</v>
      </c>
    </row>
    <row r="618" customFormat="false" ht="12.75" hidden="false" customHeight="true" outlineLevel="0" collapsed="false">
      <c r="A618" s="14" t="n">
        <v>46561</v>
      </c>
      <c r="B618" s="15" t="n">
        <f aca="false">SUMIFS(Report!$U:$U,Report!$T:$T,"&lt;&gt;"&amp;"MERCADORIAS P/REVENDA",Report!$AA:$AA,"SIM",Report!$C:$C,A618)</f>
        <v>0</v>
      </c>
      <c r="C618" s="15" t="n">
        <f aca="false">SUMIFS(Report!$U:$U,Report!$T:$T,"MERCADORIAS P/REVENDA",Report!$AA:$AA,"SIM",Report!$C:$C,A618)</f>
        <v>0</v>
      </c>
      <c r="F618" s="15" t="n">
        <f aca="false">B618+C618</f>
        <v>0</v>
      </c>
    </row>
    <row r="619" customFormat="false" ht="12.75" hidden="false" customHeight="true" outlineLevel="0" collapsed="false">
      <c r="A619" s="14" t="n">
        <v>46562</v>
      </c>
      <c r="B619" s="15" t="n">
        <f aca="false">SUMIFS(Report!$U:$U,Report!$T:$T,"&lt;&gt;"&amp;"MERCADORIAS P/REVENDA",Report!$AA:$AA,"SIM",Report!$C:$C,A619)</f>
        <v>0</v>
      </c>
      <c r="C619" s="15" t="n">
        <f aca="false">SUMIFS(Report!$U:$U,Report!$T:$T,"MERCADORIAS P/REVENDA",Report!$AA:$AA,"SIM",Report!$C:$C,A619)</f>
        <v>0</v>
      </c>
      <c r="F619" s="15" t="n">
        <f aca="false">B619+C619</f>
        <v>0</v>
      </c>
    </row>
    <row r="620" customFormat="false" ht="12.75" hidden="false" customHeight="true" outlineLevel="0" collapsed="false">
      <c r="A620" s="14" t="n">
        <v>46563</v>
      </c>
      <c r="B620" s="15" t="n">
        <f aca="false">SUMIFS(Report!$U:$U,Report!$T:$T,"&lt;&gt;"&amp;"MERCADORIAS P/REVENDA",Report!$AA:$AA,"SIM",Report!$C:$C,A620)</f>
        <v>0</v>
      </c>
      <c r="C620" s="15" t="n">
        <f aca="false">SUMIFS(Report!$U:$U,Report!$T:$T,"MERCADORIAS P/REVENDA",Report!$AA:$AA,"SIM",Report!$C:$C,A620)</f>
        <v>0</v>
      </c>
      <c r="F620" s="15" t="n">
        <f aca="false">B620+C620</f>
        <v>0</v>
      </c>
    </row>
    <row r="621" customFormat="false" ht="12.75" hidden="false" customHeight="true" outlineLevel="0" collapsed="false">
      <c r="A621" s="31" t="n">
        <v>46564</v>
      </c>
      <c r="B621" s="32" t="n">
        <f aca="false">SUMIFS(Report!$U:$U,Report!$T:$T,"&lt;&gt;"&amp;"MERCADORIAS P/REVENDA",Report!$AA:$AA,"SIM",Report!$C:$C,A621)</f>
        <v>0</v>
      </c>
      <c r="C621" s="32" t="n">
        <f aca="false">SUMIFS(Report!$U:$U,Report!$T:$T,"MERCADORIAS P/REVENDA",Report!$AA:$AA,"SIM",Report!$C:$C,A621)</f>
        <v>0</v>
      </c>
      <c r="D621" s="33"/>
      <c r="E621" s="33"/>
      <c r="F621" s="32" t="n">
        <f aca="false">B621+C621</f>
        <v>0</v>
      </c>
    </row>
    <row r="622" customFormat="false" ht="12.75" hidden="false" customHeight="true" outlineLevel="0" collapsed="false">
      <c r="A622" s="31" t="n">
        <v>46565</v>
      </c>
      <c r="B622" s="32" t="n">
        <f aca="false">SUMIFS(Report!$U:$U,Report!$T:$T,"&lt;&gt;"&amp;"MERCADORIAS P/REVENDA",Report!$AA:$AA,"SIM",Report!$C:$C,A622)</f>
        <v>0</v>
      </c>
      <c r="C622" s="32" t="n">
        <f aca="false">SUMIFS(Report!$U:$U,Report!$T:$T,"MERCADORIAS P/REVENDA",Report!$AA:$AA,"SIM",Report!$C:$C,A622)</f>
        <v>0</v>
      </c>
      <c r="D622" s="33"/>
      <c r="E622" s="33"/>
      <c r="F622" s="32" t="n">
        <f aca="false">B622+C622</f>
        <v>0</v>
      </c>
    </row>
    <row r="623" customFormat="false" ht="12.75" hidden="false" customHeight="true" outlineLevel="0" collapsed="false">
      <c r="A623" s="31" t="n">
        <v>46566</v>
      </c>
      <c r="B623" s="32" t="n">
        <f aca="false">SUMIFS(Report!$U:$U,Report!$T:$T,"&lt;&gt;"&amp;"MERCADORIAS P/REVENDA",Report!$AA:$AA,"SIM",Report!$C:$C,A623)</f>
        <v>0</v>
      </c>
      <c r="C623" s="32" t="n">
        <f aca="false">SUMIFS(Report!$U:$U,Report!$T:$T,"MERCADORIAS P/REVENDA",Report!$AA:$AA,"SIM",Report!$C:$C,A623)</f>
        <v>0</v>
      </c>
      <c r="D623" s="33"/>
      <c r="E623" s="33"/>
      <c r="F623" s="32" t="n">
        <f aca="false">B623+C623</f>
        <v>0</v>
      </c>
    </row>
    <row r="624" customFormat="false" ht="12.75" hidden="false" customHeight="true" outlineLevel="0" collapsed="false">
      <c r="A624" s="34" t="s">
        <v>2208</v>
      </c>
      <c r="B624" s="22" t="n">
        <f aca="false">SUM(B617:B623)</f>
        <v>0</v>
      </c>
      <c r="C624" s="22" t="n">
        <f aca="false">SUM(C617:C623)</f>
        <v>0</v>
      </c>
      <c r="D624" s="26"/>
      <c r="E624" s="26"/>
      <c r="F624" s="22" t="n">
        <f aca="false">B624+C624</f>
        <v>0</v>
      </c>
    </row>
    <row r="625" customFormat="false" ht="12.75" hidden="false" customHeight="true" outlineLevel="0" collapsed="false">
      <c r="A625" s="14" t="n">
        <v>46567</v>
      </c>
      <c r="B625" s="15" t="n">
        <f aca="false">SUMIFS(Report!$U:$U,Report!$T:$T,"&lt;&gt;"&amp;"MERCADORIAS P/REVENDA",Report!$AA:$AA,"SIM",Report!$C:$C,A625)</f>
        <v>0</v>
      </c>
      <c r="C625" s="15" t="n">
        <f aca="false">SUMIFS(Report!$U:$U,Report!$T:$T,"MERCADORIAS P/REVENDA",Report!$AA:$AA,"SIM",Report!$C:$C,A625)</f>
        <v>0</v>
      </c>
      <c r="F625" s="15" t="n">
        <f aca="false">B625+C625</f>
        <v>0</v>
      </c>
    </row>
    <row r="626" customFormat="false" ht="12.75" hidden="false" customHeight="true" outlineLevel="0" collapsed="false">
      <c r="A626" s="14" t="n">
        <v>46568</v>
      </c>
      <c r="B626" s="15" t="n">
        <f aca="false">SUMIFS(Report!$U:$U,Report!$T:$T,"&lt;&gt;"&amp;"MERCADORIAS P/REVENDA",Report!$AA:$AA,"SIM",Report!$C:$C,A626)</f>
        <v>0</v>
      </c>
      <c r="C626" s="15" t="n">
        <f aca="false">SUMIFS(Report!$U:$U,Report!$T:$T,"MERCADORIAS P/REVENDA",Report!$AA:$AA,"SIM",Report!$C:$C,A626)</f>
        <v>0</v>
      </c>
      <c r="F626" s="15" t="n">
        <f aca="false">B626+C626</f>
        <v>0</v>
      </c>
    </row>
    <row r="627" customFormat="false" ht="12.75" hidden="false" customHeight="true" outlineLevel="0" collapsed="false">
      <c r="A627" s="14" t="n">
        <v>46569</v>
      </c>
      <c r="B627" s="15" t="n">
        <f aca="false">SUMIFS(Report!$U:$U,Report!$T:$T,"&lt;&gt;"&amp;"MERCADORIAS P/REVENDA",Report!$AA:$AA,"SIM",Report!$C:$C,A627)</f>
        <v>0</v>
      </c>
      <c r="C627" s="15" t="n">
        <f aca="false">SUMIFS(Report!$U:$U,Report!$T:$T,"MERCADORIAS P/REVENDA",Report!$AA:$AA,"SIM",Report!$C:$C,A627)</f>
        <v>0</v>
      </c>
      <c r="F627" s="15" t="n">
        <f aca="false">B627+C627</f>
        <v>0</v>
      </c>
    </row>
    <row r="628" customFormat="false" ht="12.75" hidden="false" customHeight="true" outlineLevel="0" collapsed="false">
      <c r="A628" s="14" t="n">
        <v>46570</v>
      </c>
      <c r="B628" s="15" t="n">
        <f aca="false">SUMIFS(Report!$U:$U,Report!$T:$T,"&lt;&gt;"&amp;"MERCADORIAS P/REVENDA",Report!$AA:$AA,"SIM",Report!$C:$C,A628)</f>
        <v>0</v>
      </c>
      <c r="C628" s="15" t="n">
        <f aca="false">SUMIFS(Report!$U:$U,Report!$T:$T,"MERCADORIAS P/REVENDA",Report!$AA:$AA,"SIM",Report!$C:$C,A628)</f>
        <v>0</v>
      </c>
      <c r="F628" s="15" t="n">
        <f aca="false">B628+C628</f>
        <v>0</v>
      </c>
    </row>
    <row r="629" customFormat="false" ht="12.75" hidden="false" customHeight="true" outlineLevel="0" collapsed="false">
      <c r="A629" s="31" t="n">
        <v>46571</v>
      </c>
      <c r="B629" s="32" t="n">
        <f aca="false">SUMIFS(Report!$U:$U,Report!$T:$T,"&lt;&gt;"&amp;"MERCADORIAS P/REVENDA",Report!$AA:$AA,"SIM",Report!$C:$C,A629)</f>
        <v>0</v>
      </c>
      <c r="C629" s="32" t="n">
        <f aca="false">SUMIFS(Report!$U:$U,Report!$T:$T,"MERCADORIAS P/REVENDA",Report!$AA:$AA,"SIM",Report!$C:$C,A629)</f>
        <v>0</v>
      </c>
      <c r="D629" s="33"/>
      <c r="E629" s="33"/>
      <c r="F629" s="32" t="n">
        <f aca="false">B629+C629</f>
        <v>0</v>
      </c>
    </row>
    <row r="630" customFormat="false" ht="12.75" hidden="false" customHeight="true" outlineLevel="0" collapsed="false">
      <c r="A630" s="31" t="n">
        <v>46572</v>
      </c>
      <c r="B630" s="32" t="n">
        <f aca="false">SUMIFS(Report!$U:$U,Report!$T:$T,"&lt;&gt;"&amp;"MERCADORIAS P/REVENDA",Report!$AA:$AA,"SIM",Report!$C:$C,A630)</f>
        <v>0</v>
      </c>
      <c r="C630" s="32" t="n">
        <f aca="false">SUMIFS(Report!$U:$U,Report!$T:$T,"MERCADORIAS P/REVENDA",Report!$AA:$AA,"SIM",Report!$C:$C,A630)</f>
        <v>0</v>
      </c>
      <c r="D630" s="33"/>
      <c r="E630" s="33"/>
      <c r="F630" s="32" t="n">
        <f aca="false">B630+C630</f>
        <v>0</v>
      </c>
    </row>
    <row r="631" customFormat="false" ht="12.75" hidden="false" customHeight="true" outlineLevel="0" collapsed="false">
      <c r="A631" s="31" t="n">
        <v>46573</v>
      </c>
      <c r="B631" s="32" t="n">
        <f aca="false">SUMIFS(Report!$U:$U,Report!$T:$T,"&lt;&gt;"&amp;"MERCADORIAS P/REVENDA",Report!$AA:$AA,"SIM",Report!$C:$C,A631)</f>
        <v>0</v>
      </c>
      <c r="C631" s="32" t="n">
        <f aca="false">SUMIFS(Report!$U:$U,Report!$T:$T,"MERCADORIAS P/REVENDA",Report!$AA:$AA,"SIM",Report!$C:$C,A631)</f>
        <v>0</v>
      </c>
      <c r="D631" s="33"/>
      <c r="E631" s="33"/>
      <c r="F631" s="32" t="n">
        <f aca="false">B631+C631</f>
        <v>0</v>
      </c>
    </row>
    <row r="632" customFormat="false" ht="12.75" hidden="false" customHeight="true" outlineLevel="0" collapsed="false">
      <c r="A632" s="34" t="s">
        <v>2209</v>
      </c>
      <c r="B632" s="22" t="n">
        <f aca="false">SUM(B625:B631)</f>
        <v>0</v>
      </c>
      <c r="C632" s="22" t="n">
        <f aca="false">SUM(C625:C631)</f>
        <v>0</v>
      </c>
      <c r="D632" s="26"/>
      <c r="E632" s="26"/>
      <c r="F632" s="22" t="n">
        <f aca="false">B632+C632</f>
        <v>0</v>
      </c>
    </row>
    <row r="633" customFormat="false" ht="12.75" hidden="false" customHeight="true" outlineLevel="0" collapsed="false">
      <c r="A633" s="14" t="n">
        <v>46574</v>
      </c>
      <c r="B633" s="15" t="n">
        <f aca="false">SUMIFS(Report!$U:$U,Report!$T:$T,"&lt;&gt;"&amp;"MERCADORIAS P/REVENDA",Report!$AA:$AA,"SIM",Report!$C:$C,A633)</f>
        <v>0</v>
      </c>
      <c r="C633" s="15" t="n">
        <f aca="false">SUMIFS(Report!$U:$U,Report!$T:$T,"MERCADORIAS P/REVENDA",Report!$AA:$AA,"SIM",Report!$C:$C,A633)</f>
        <v>0</v>
      </c>
      <c r="F633" s="15" t="n">
        <f aca="false">B633+C633</f>
        <v>0</v>
      </c>
    </row>
    <row r="634" customFormat="false" ht="12.75" hidden="false" customHeight="true" outlineLevel="0" collapsed="false">
      <c r="A634" s="14" t="n">
        <v>46575</v>
      </c>
      <c r="B634" s="15" t="n">
        <f aca="false">SUMIFS(Report!$U:$U,Report!$T:$T,"&lt;&gt;"&amp;"MERCADORIAS P/REVENDA",Report!$AA:$AA,"SIM",Report!$C:$C,A634)</f>
        <v>0</v>
      </c>
      <c r="C634" s="15" t="n">
        <f aca="false">SUMIFS(Report!$U:$U,Report!$T:$T,"MERCADORIAS P/REVENDA",Report!$AA:$AA,"SIM",Report!$C:$C,A634)</f>
        <v>0</v>
      </c>
      <c r="F634" s="15" t="n">
        <f aca="false">B634+C634</f>
        <v>0</v>
      </c>
    </row>
    <row r="635" customFormat="false" ht="12.75" hidden="false" customHeight="true" outlineLevel="0" collapsed="false">
      <c r="A635" s="14" t="n">
        <v>46576</v>
      </c>
      <c r="B635" s="15" t="n">
        <f aca="false">SUMIFS(Report!$U:$U,Report!$T:$T,"&lt;&gt;"&amp;"MERCADORIAS P/REVENDA",Report!$AA:$AA,"SIM",Report!$C:$C,A635)</f>
        <v>0</v>
      </c>
      <c r="C635" s="15" t="n">
        <f aca="false">SUMIFS(Report!$U:$U,Report!$T:$T,"MERCADORIAS P/REVENDA",Report!$AA:$AA,"SIM",Report!$C:$C,A635)</f>
        <v>0</v>
      </c>
      <c r="F635" s="15" t="n">
        <f aca="false">B635+C635</f>
        <v>0</v>
      </c>
    </row>
    <row r="636" customFormat="false" ht="12.75" hidden="false" customHeight="true" outlineLevel="0" collapsed="false">
      <c r="A636" s="14" t="n">
        <v>46577</v>
      </c>
      <c r="B636" s="15" t="n">
        <f aca="false">SUMIFS(Report!$U:$U,Report!$T:$T,"&lt;&gt;"&amp;"MERCADORIAS P/REVENDA",Report!$AA:$AA,"SIM",Report!$C:$C,A636)</f>
        <v>0</v>
      </c>
      <c r="C636" s="15" t="n">
        <f aca="false">SUMIFS(Report!$U:$U,Report!$T:$T,"MERCADORIAS P/REVENDA",Report!$AA:$AA,"SIM",Report!$C:$C,A636)</f>
        <v>0</v>
      </c>
      <c r="F636" s="15" t="n">
        <f aca="false">B636+C636</f>
        <v>0</v>
      </c>
    </row>
    <row r="637" customFormat="false" ht="12.75" hidden="false" customHeight="true" outlineLevel="0" collapsed="false">
      <c r="A637" s="31" t="n">
        <v>46578</v>
      </c>
      <c r="B637" s="32" t="n">
        <f aca="false">SUMIFS(Report!$U:$U,Report!$T:$T,"&lt;&gt;"&amp;"MERCADORIAS P/REVENDA",Report!$AA:$AA,"SIM",Report!$C:$C,A637)</f>
        <v>0</v>
      </c>
      <c r="C637" s="32" t="n">
        <f aca="false">SUMIFS(Report!$U:$U,Report!$T:$T,"MERCADORIAS P/REVENDA",Report!$AA:$AA,"SIM",Report!$C:$C,A637)</f>
        <v>0</v>
      </c>
      <c r="D637" s="33"/>
      <c r="E637" s="33"/>
      <c r="F637" s="32" t="n">
        <f aca="false">B637+C637</f>
        <v>0</v>
      </c>
    </row>
    <row r="638" customFormat="false" ht="12.75" hidden="false" customHeight="true" outlineLevel="0" collapsed="false">
      <c r="A638" s="31" t="n">
        <v>46579</v>
      </c>
      <c r="B638" s="32" t="n">
        <f aca="false">SUMIFS(Report!$U:$U,Report!$T:$T,"&lt;&gt;"&amp;"MERCADORIAS P/REVENDA",Report!$AA:$AA,"SIM",Report!$C:$C,A638)</f>
        <v>0</v>
      </c>
      <c r="C638" s="32" t="n">
        <f aca="false">SUMIFS(Report!$U:$U,Report!$T:$T,"MERCADORIAS P/REVENDA",Report!$AA:$AA,"SIM",Report!$C:$C,A638)</f>
        <v>0</v>
      </c>
      <c r="D638" s="33"/>
      <c r="E638" s="33"/>
      <c r="F638" s="32" t="n">
        <f aca="false">B638+C638</f>
        <v>0</v>
      </c>
    </row>
    <row r="639" customFormat="false" ht="12.75" hidden="false" customHeight="true" outlineLevel="0" collapsed="false">
      <c r="A639" s="31" t="n">
        <v>46580</v>
      </c>
      <c r="B639" s="32" t="n">
        <f aca="false">SUMIFS(Report!$U:$U,Report!$T:$T,"&lt;&gt;"&amp;"MERCADORIAS P/REVENDA",Report!$AA:$AA,"SIM",Report!$C:$C,A639)</f>
        <v>0</v>
      </c>
      <c r="C639" s="32" t="n">
        <f aca="false">SUMIFS(Report!$U:$U,Report!$T:$T,"MERCADORIAS P/REVENDA",Report!$AA:$AA,"SIM",Report!$C:$C,A639)</f>
        <v>0</v>
      </c>
      <c r="D639" s="33"/>
      <c r="E639" s="33"/>
      <c r="F639" s="32" t="n">
        <f aca="false">B639+C639</f>
        <v>0</v>
      </c>
    </row>
    <row r="640" customFormat="false" ht="12.75" hidden="false" customHeight="true" outlineLevel="0" collapsed="false">
      <c r="A640" s="34" t="s">
        <v>2210</v>
      </c>
      <c r="B640" s="22" t="n">
        <f aca="false">SUM(B633:B639)</f>
        <v>0</v>
      </c>
      <c r="C640" s="22" t="n">
        <f aca="false">SUM(C633:C639)</f>
        <v>0</v>
      </c>
      <c r="D640" s="26"/>
      <c r="E640" s="26"/>
      <c r="F640" s="22" t="n">
        <f aca="false">B640+C640</f>
        <v>0</v>
      </c>
    </row>
    <row r="641" customFormat="false" ht="12.75" hidden="false" customHeight="true" outlineLevel="0" collapsed="false">
      <c r="A641" s="14" t="n">
        <v>46581</v>
      </c>
      <c r="B641" s="15" t="n">
        <f aca="false">SUMIFS(Report!$U:$U,Report!$T:$T,"&lt;&gt;"&amp;"MERCADORIAS P/REVENDA",Report!$AA:$AA,"SIM",Report!$C:$C,A641)</f>
        <v>0</v>
      </c>
      <c r="C641" s="15" t="n">
        <f aca="false">SUMIFS(Report!$U:$U,Report!$T:$T,"MERCADORIAS P/REVENDA",Report!$AA:$AA,"SIM",Report!$C:$C,A641)</f>
        <v>0</v>
      </c>
      <c r="F641" s="15" t="n">
        <f aca="false">B641+C641</f>
        <v>0</v>
      </c>
    </row>
    <row r="642" customFormat="false" ht="12.75" hidden="false" customHeight="true" outlineLevel="0" collapsed="false">
      <c r="A642" s="14" t="n">
        <v>46582</v>
      </c>
      <c r="B642" s="15" t="n">
        <f aca="false">SUMIFS(Report!$U:$U,Report!$T:$T,"&lt;&gt;"&amp;"MERCADORIAS P/REVENDA",Report!$AA:$AA,"SIM",Report!$C:$C,A642)</f>
        <v>0</v>
      </c>
      <c r="C642" s="15" t="n">
        <f aca="false">SUMIFS(Report!$U:$U,Report!$T:$T,"MERCADORIAS P/REVENDA",Report!$AA:$AA,"SIM",Report!$C:$C,A642)</f>
        <v>0</v>
      </c>
      <c r="F642" s="15" t="n">
        <f aca="false">B642+C642</f>
        <v>0</v>
      </c>
    </row>
    <row r="643" customFormat="false" ht="12.75" hidden="false" customHeight="true" outlineLevel="0" collapsed="false">
      <c r="A643" s="14" t="n">
        <v>46583</v>
      </c>
      <c r="B643" s="15" t="n">
        <f aca="false">SUMIFS(Report!$U:$U,Report!$T:$T,"&lt;&gt;"&amp;"MERCADORIAS P/REVENDA",Report!$AA:$AA,"SIM",Report!$C:$C,A643)</f>
        <v>0</v>
      </c>
      <c r="C643" s="15" t="n">
        <f aca="false">SUMIFS(Report!$U:$U,Report!$T:$T,"MERCADORIAS P/REVENDA",Report!$AA:$AA,"SIM",Report!$C:$C,A643)</f>
        <v>0</v>
      </c>
      <c r="F643" s="15" t="n">
        <f aca="false">B643+C643</f>
        <v>0</v>
      </c>
    </row>
    <row r="644" customFormat="false" ht="12.75" hidden="false" customHeight="true" outlineLevel="0" collapsed="false">
      <c r="A644" s="14" t="n">
        <v>46584</v>
      </c>
      <c r="B644" s="15" t="n">
        <f aca="false">SUMIFS(Report!$U:$U,Report!$T:$T,"&lt;&gt;"&amp;"MERCADORIAS P/REVENDA",Report!$AA:$AA,"SIM",Report!$C:$C,A644)</f>
        <v>0</v>
      </c>
      <c r="C644" s="15" t="n">
        <f aca="false">SUMIFS(Report!$U:$U,Report!$T:$T,"MERCADORIAS P/REVENDA",Report!$AA:$AA,"SIM",Report!$C:$C,A644)</f>
        <v>0</v>
      </c>
      <c r="F644" s="15" t="n">
        <f aca="false">B644+C644</f>
        <v>0</v>
      </c>
    </row>
    <row r="645" customFormat="false" ht="12.75" hidden="false" customHeight="true" outlineLevel="0" collapsed="false">
      <c r="A645" s="31" t="n">
        <v>46585</v>
      </c>
      <c r="B645" s="32" t="n">
        <f aca="false">SUMIFS(Report!$U:$U,Report!$T:$T,"&lt;&gt;"&amp;"MERCADORIAS P/REVENDA",Report!$AA:$AA,"SIM",Report!$C:$C,A645)</f>
        <v>0</v>
      </c>
      <c r="C645" s="32" t="n">
        <f aca="false">SUMIFS(Report!$U:$U,Report!$T:$T,"MERCADORIAS P/REVENDA",Report!$AA:$AA,"SIM",Report!$C:$C,A645)</f>
        <v>0</v>
      </c>
      <c r="D645" s="33"/>
      <c r="E645" s="33"/>
      <c r="F645" s="32" t="n">
        <f aca="false">B645+C645</f>
        <v>0</v>
      </c>
    </row>
    <row r="646" customFormat="false" ht="12.75" hidden="false" customHeight="true" outlineLevel="0" collapsed="false">
      <c r="A646" s="31" t="n">
        <v>46586</v>
      </c>
      <c r="B646" s="32" t="n">
        <f aca="false">SUMIFS(Report!$U:$U,Report!$T:$T,"&lt;&gt;"&amp;"MERCADORIAS P/REVENDA",Report!$AA:$AA,"SIM",Report!$C:$C,A646)</f>
        <v>0</v>
      </c>
      <c r="C646" s="32" t="n">
        <f aca="false">SUMIFS(Report!$U:$U,Report!$T:$T,"MERCADORIAS P/REVENDA",Report!$AA:$AA,"SIM",Report!$C:$C,A646)</f>
        <v>0</v>
      </c>
      <c r="D646" s="33"/>
      <c r="E646" s="33"/>
      <c r="F646" s="32" t="n">
        <f aca="false">B646+C646</f>
        <v>0</v>
      </c>
    </row>
    <row r="647" customFormat="false" ht="12.75" hidden="false" customHeight="true" outlineLevel="0" collapsed="false">
      <c r="A647" s="31" t="n">
        <v>46587</v>
      </c>
      <c r="B647" s="32" t="n">
        <f aca="false">SUMIFS(Report!$U:$U,Report!$T:$T,"&lt;&gt;"&amp;"MERCADORIAS P/REVENDA",Report!$AA:$AA,"SIM",Report!$C:$C,A647)</f>
        <v>0</v>
      </c>
      <c r="C647" s="32" t="n">
        <f aca="false">SUMIFS(Report!$U:$U,Report!$T:$T,"MERCADORIAS P/REVENDA",Report!$AA:$AA,"SIM",Report!$C:$C,A647)</f>
        <v>0</v>
      </c>
      <c r="D647" s="33"/>
      <c r="E647" s="33"/>
      <c r="F647" s="32" t="n">
        <f aca="false">B647+C647</f>
        <v>0</v>
      </c>
    </row>
    <row r="648" customFormat="false" ht="12.75" hidden="false" customHeight="true" outlineLevel="0" collapsed="false">
      <c r="A648" s="34" t="s">
        <v>2211</v>
      </c>
      <c r="B648" s="22" t="n">
        <f aca="false">SUM(B641:B647)</f>
        <v>0</v>
      </c>
      <c r="C648" s="22" t="n">
        <f aca="false">SUM(C641:C647)</f>
        <v>0</v>
      </c>
      <c r="D648" s="26"/>
      <c r="E648" s="26"/>
      <c r="F648" s="22" t="n">
        <f aca="false">B648+C648</f>
        <v>0</v>
      </c>
    </row>
    <row r="649" customFormat="false" ht="12.75" hidden="false" customHeight="true" outlineLevel="0" collapsed="false">
      <c r="A649" s="14" t="n">
        <v>46588</v>
      </c>
      <c r="B649" s="15" t="n">
        <f aca="false">SUMIFS(Report!$U:$U,Report!$T:$T,"&lt;&gt;"&amp;"MERCADORIAS P/REVENDA",Report!$AA:$AA,"SIM",Report!$C:$C,A649)</f>
        <v>0</v>
      </c>
      <c r="C649" s="15" t="n">
        <f aca="false">SUMIFS(Report!$U:$U,Report!$T:$T,"MERCADORIAS P/REVENDA",Report!$AA:$AA,"SIM",Report!$C:$C,A649)</f>
        <v>0</v>
      </c>
      <c r="F649" s="15" t="n">
        <f aca="false">B649+C649</f>
        <v>0</v>
      </c>
    </row>
    <row r="650" customFormat="false" ht="12.75" hidden="false" customHeight="true" outlineLevel="0" collapsed="false">
      <c r="A650" s="14" t="n">
        <v>46589</v>
      </c>
      <c r="B650" s="15" t="n">
        <f aca="false">SUMIFS(Report!$U:$U,Report!$T:$T,"&lt;&gt;"&amp;"MERCADORIAS P/REVENDA",Report!$AA:$AA,"SIM",Report!$C:$C,A650)</f>
        <v>0</v>
      </c>
      <c r="C650" s="15" t="n">
        <f aca="false">SUMIFS(Report!$U:$U,Report!$T:$T,"MERCADORIAS P/REVENDA",Report!$AA:$AA,"SIM",Report!$C:$C,A650)</f>
        <v>0</v>
      </c>
      <c r="F650" s="15" t="n">
        <f aca="false">B650+C650</f>
        <v>0</v>
      </c>
    </row>
    <row r="651" customFormat="false" ht="12.75" hidden="false" customHeight="true" outlineLevel="0" collapsed="false">
      <c r="A651" s="14" t="n">
        <v>46590</v>
      </c>
      <c r="B651" s="15" t="n">
        <f aca="false">SUMIFS(Report!$U:$U,Report!$T:$T,"&lt;&gt;"&amp;"MERCADORIAS P/REVENDA",Report!$AA:$AA,"SIM",Report!$C:$C,A651)</f>
        <v>0</v>
      </c>
      <c r="C651" s="15" t="n">
        <f aca="false">SUMIFS(Report!$U:$U,Report!$T:$T,"MERCADORIAS P/REVENDA",Report!$AA:$AA,"SIM",Report!$C:$C,A651)</f>
        <v>0</v>
      </c>
      <c r="F651" s="15" t="n">
        <f aca="false">B651+C651</f>
        <v>0</v>
      </c>
    </row>
    <row r="652" customFormat="false" ht="12.75" hidden="false" customHeight="true" outlineLevel="0" collapsed="false">
      <c r="A652" s="14" t="n">
        <v>46591</v>
      </c>
      <c r="B652" s="15" t="n">
        <f aca="false">SUMIFS(Report!$U:$U,Report!$T:$T,"&lt;&gt;"&amp;"MERCADORIAS P/REVENDA",Report!$AA:$AA,"SIM",Report!$C:$C,A652)</f>
        <v>0</v>
      </c>
      <c r="C652" s="15" t="n">
        <f aca="false">SUMIFS(Report!$U:$U,Report!$T:$T,"MERCADORIAS P/REVENDA",Report!$AA:$AA,"SIM",Report!$C:$C,A652)</f>
        <v>0</v>
      </c>
      <c r="F652" s="15" t="n">
        <f aca="false">B652+C652</f>
        <v>0</v>
      </c>
    </row>
    <row r="653" customFormat="false" ht="12.75" hidden="false" customHeight="true" outlineLevel="0" collapsed="false">
      <c r="A653" s="31" t="n">
        <v>46592</v>
      </c>
      <c r="B653" s="32" t="n">
        <f aca="false">SUMIFS(Report!$U:$U,Report!$T:$T,"&lt;&gt;"&amp;"MERCADORIAS P/REVENDA",Report!$AA:$AA,"SIM",Report!$C:$C,A653)</f>
        <v>0</v>
      </c>
      <c r="C653" s="32" t="n">
        <f aca="false">SUMIFS(Report!$U:$U,Report!$T:$T,"MERCADORIAS P/REVENDA",Report!$AA:$AA,"SIM",Report!$C:$C,A653)</f>
        <v>0</v>
      </c>
      <c r="D653" s="33"/>
      <c r="E653" s="33"/>
      <c r="F653" s="32" t="n">
        <f aca="false">B653+C653</f>
        <v>0</v>
      </c>
    </row>
    <row r="654" customFormat="false" ht="12.75" hidden="false" customHeight="true" outlineLevel="0" collapsed="false">
      <c r="A654" s="31" t="n">
        <v>46593</v>
      </c>
      <c r="B654" s="32" t="n">
        <f aca="false">SUMIFS(Report!$U:$U,Report!$T:$T,"&lt;&gt;"&amp;"MERCADORIAS P/REVENDA",Report!$AA:$AA,"SIM",Report!$C:$C,A654)</f>
        <v>0</v>
      </c>
      <c r="C654" s="32" t="n">
        <f aca="false">SUMIFS(Report!$U:$U,Report!$T:$T,"MERCADORIAS P/REVENDA",Report!$AA:$AA,"SIM",Report!$C:$C,A654)</f>
        <v>0</v>
      </c>
      <c r="D654" s="33"/>
      <c r="E654" s="33"/>
      <c r="F654" s="32" t="n">
        <f aca="false">B654+C654</f>
        <v>0</v>
      </c>
    </row>
    <row r="655" customFormat="false" ht="12.75" hidden="false" customHeight="true" outlineLevel="0" collapsed="false">
      <c r="A655" s="31" t="n">
        <v>46594</v>
      </c>
      <c r="B655" s="32" t="n">
        <f aca="false">SUMIFS(Report!$U:$U,Report!$T:$T,"&lt;&gt;"&amp;"MERCADORIAS P/REVENDA",Report!$AA:$AA,"SIM",Report!$C:$C,A655)</f>
        <v>0</v>
      </c>
      <c r="C655" s="32" t="n">
        <f aca="false">SUMIFS(Report!$U:$U,Report!$T:$T,"MERCADORIAS P/REVENDA",Report!$AA:$AA,"SIM",Report!$C:$C,A655)</f>
        <v>0</v>
      </c>
      <c r="D655" s="33"/>
      <c r="E655" s="33"/>
      <c r="F655" s="32" t="n">
        <f aca="false">B655+C655</f>
        <v>0</v>
      </c>
    </row>
    <row r="656" customFormat="false" ht="12.75" hidden="false" customHeight="true" outlineLevel="0" collapsed="false">
      <c r="A656" s="34" t="s">
        <v>2212</v>
      </c>
      <c r="B656" s="22" t="n">
        <f aca="false">SUM(B649:B655)</f>
        <v>0</v>
      </c>
      <c r="C656" s="22" t="n">
        <f aca="false">SUM(C649:C655)</f>
        <v>0</v>
      </c>
      <c r="D656" s="26"/>
      <c r="E656" s="26"/>
      <c r="F656" s="22" t="n">
        <f aca="false">B656+C656</f>
        <v>0</v>
      </c>
    </row>
    <row r="657" customFormat="false" ht="12.75" hidden="false" customHeight="true" outlineLevel="0" collapsed="false">
      <c r="A657" s="14" t="n">
        <v>46595</v>
      </c>
      <c r="B657" s="15" t="n">
        <f aca="false">SUMIFS(Report!$U:$U,Report!$T:$T,"&lt;&gt;"&amp;"MERCADORIAS P/REVENDA",Report!$AA:$AA,"SIM",Report!$C:$C,A657)</f>
        <v>0</v>
      </c>
      <c r="C657" s="15" t="n">
        <f aca="false">SUMIFS(Report!$U:$U,Report!$T:$T,"MERCADORIAS P/REVENDA",Report!$AA:$AA,"SIM",Report!$C:$C,A657)</f>
        <v>0</v>
      </c>
      <c r="F657" s="15" t="n">
        <f aca="false">B657+C657</f>
        <v>0</v>
      </c>
    </row>
    <row r="658" customFormat="false" ht="12.75" hidden="false" customHeight="true" outlineLevel="0" collapsed="false">
      <c r="A658" s="14" t="n">
        <v>46596</v>
      </c>
      <c r="B658" s="15" t="n">
        <f aca="false">SUMIFS(Report!$U:$U,Report!$T:$T,"&lt;&gt;"&amp;"MERCADORIAS P/REVENDA",Report!$AA:$AA,"SIM",Report!$C:$C,A658)</f>
        <v>0</v>
      </c>
      <c r="C658" s="15" t="n">
        <f aca="false">SUMIFS(Report!$U:$U,Report!$T:$T,"MERCADORIAS P/REVENDA",Report!$AA:$AA,"SIM",Report!$C:$C,A658)</f>
        <v>0</v>
      </c>
      <c r="F658" s="15" t="n">
        <f aca="false">B658+C658</f>
        <v>0</v>
      </c>
    </row>
    <row r="659" customFormat="false" ht="12.75" hidden="false" customHeight="true" outlineLevel="0" collapsed="false">
      <c r="A659" s="14" t="n">
        <v>46597</v>
      </c>
      <c r="B659" s="15" t="n">
        <f aca="false">SUMIFS(Report!$U:$U,Report!$T:$T,"&lt;&gt;"&amp;"MERCADORIAS P/REVENDA",Report!$AA:$AA,"SIM",Report!$C:$C,A659)</f>
        <v>0</v>
      </c>
      <c r="C659" s="15" t="n">
        <f aca="false">SUMIFS(Report!$U:$U,Report!$T:$T,"MERCADORIAS P/REVENDA",Report!$AA:$AA,"SIM",Report!$C:$C,A659)</f>
        <v>0</v>
      </c>
      <c r="F659" s="15" t="n">
        <f aca="false">B659+C659</f>
        <v>0</v>
      </c>
    </row>
    <row r="660" customFormat="false" ht="12.75" hidden="false" customHeight="true" outlineLevel="0" collapsed="false">
      <c r="A660" s="14" t="n">
        <v>46598</v>
      </c>
      <c r="B660" s="15" t="n">
        <f aca="false">SUMIFS(Report!$U:$U,Report!$T:$T,"&lt;&gt;"&amp;"MERCADORIAS P/REVENDA",Report!$AA:$AA,"SIM",Report!$C:$C,A660)</f>
        <v>0</v>
      </c>
      <c r="C660" s="15" t="n">
        <f aca="false">SUMIFS(Report!$U:$U,Report!$T:$T,"MERCADORIAS P/REVENDA",Report!$AA:$AA,"SIM",Report!$C:$C,A660)</f>
        <v>0</v>
      </c>
      <c r="F660" s="15" t="n">
        <f aca="false">B660+C660</f>
        <v>0</v>
      </c>
    </row>
    <row r="661" customFormat="false" ht="12.75" hidden="false" customHeight="true" outlineLevel="0" collapsed="false">
      <c r="A661" s="31" t="n">
        <v>46599</v>
      </c>
      <c r="B661" s="32" t="n">
        <f aca="false">SUMIFS(Report!$U:$U,Report!$T:$T,"&lt;&gt;"&amp;"MERCADORIAS P/REVENDA",Report!$AA:$AA,"SIM",Report!$C:$C,A661)</f>
        <v>0</v>
      </c>
      <c r="C661" s="32" t="n">
        <f aca="false">SUMIFS(Report!$U:$U,Report!$T:$T,"MERCADORIAS P/REVENDA",Report!$AA:$AA,"SIM",Report!$C:$C,A661)</f>
        <v>0</v>
      </c>
      <c r="D661" s="33"/>
      <c r="E661" s="33"/>
      <c r="F661" s="32" t="n">
        <f aca="false">B661+C661</f>
        <v>0</v>
      </c>
    </row>
    <row r="662" customFormat="false" ht="12.75" hidden="false" customHeight="true" outlineLevel="0" collapsed="false">
      <c r="A662" s="31" t="n">
        <v>46600</v>
      </c>
      <c r="B662" s="32" t="n">
        <f aca="false">SUMIFS(Report!$U:$U,Report!$T:$T,"&lt;&gt;"&amp;"MERCADORIAS P/REVENDA",Report!$AA:$AA,"SIM",Report!$C:$C,A662)</f>
        <v>0</v>
      </c>
      <c r="C662" s="32" t="n">
        <f aca="false">SUMIFS(Report!$U:$U,Report!$T:$T,"MERCADORIAS P/REVENDA",Report!$AA:$AA,"SIM",Report!$C:$C,A662)</f>
        <v>0</v>
      </c>
      <c r="D662" s="33"/>
      <c r="E662" s="33"/>
      <c r="F662" s="32" t="n">
        <f aca="false">B662+C662</f>
        <v>0</v>
      </c>
    </row>
    <row r="663" customFormat="false" ht="12.75" hidden="false" customHeight="true" outlineLevel="0" collapsed="false">
      <c r="A663" s="31" t="n">
        <v>46601</v>
      </c>
      <c r="B663" s="32" t="n">
        <f aca="false">SUMIFS(Report!$U:$U,Report!$T:$T,"&lt;&gt;"&amp;"MERCADORIAS P/REVENDA",Report!$AA:$AA,"SIM",Report!$C:$C,A663)</f>
        <v>0</v>
      </c>
      <c r="C663" s="32" t="n">
        <f aca="false">SUMIFS(Report!$U:$U,Report!$T:$T,"MERCADORIAS P/REVENDA",Report!$AA:$AA,"SIM",Report!$C:$C,A663)</f>
        <v>0</v>
      </c>
      <c r="D663" s="33"/>
      <c r="E663" s="33"/>
      <c r="F663" s="32" t="n">
        <f aca="false">B663+C663</f>
        <v>0</v>
      </c>
    </row>
    <row r="664" customFormat="false" ht="12.75" hidden="false" customHeight="true" outlineLevel="0" collapsed="false">
      <c r="A664" s="34" t="s">
        <v>2213</v>
      </c>
      <c r="B664" s="22" t="n">
        <f aca="false">SUM(B657:B663)</f>
        <v>0</v>
      </c>
      <c r="C664" s="22" t="n">
        <f aca="false">SUM(C657:C663)</f>
        <v>0</v>
      </c>
      <c r="D664" s="26"/>
      <c r="E664" s="26"/>
      <c r="F664" s="22" t="n">
        <f aca="false">B664+C664</f>
        <v>0</v>
      </c>
    </row>
    <row r="665" customFormat="false" ht="12.75" hidden="false" customHeight="true" outlineLevel="0" collapsed="false">
      <c r="A665" s="14" t="n">
        <v>46602</v>
      </c>
      <c r="B665" s="15" t="n">
        <f aca="false">SUMIFS(Report!$U:$U,Report!$T:$T,"&lt;&gt;"&amp;"MERCADORIAS P/REVENDA",Report!$AA:$AA,"SIM",Report!$C:$C,A665)</f>
        <v>0</v>
      </c>
      <c r="C665" s="15" t="n">
        <f aca="false">SUMIFS(Report!$U:$U,Report!$T:$T,"MERCADORIAS P/REVENDA",Report!$AA:$AA,"SIM",Report!$C:$C,A665)</f>
        <v>0</v>
      </c>
      <c r="F665" s="15" t="n">
        <f aca="false">B665+C665</f>
        <v>0</v>
      </c>
    </row>
    <row r="666" customFormat="false" ht="12.75" hidden="false" customHeight="true" outlineLevel="0" collapsed="false">
      <c r="A666" s="14" t="n">
        <v>46603</v>
      </c>
      <c r="B666" s="15" t="n">
        <f aca="false">SUMIFS(Report!$U:$U,Report!$T:$T,"&lt;&gt;"&amp;"MERCADORIAS P/REVENDA",Report!$AA:$AA,"SIM",Report!$C:$C,A666)</f>
        <v>0</v>
      </c>
      <c r="C666" s="15" t="n">
        <f aca="false">SUMIFS(Report!$U:$U,Report!$T:$T,"MERCADORIAS P/REVENDA",Report!$AA:$AA,"SIM",Report!$C:$C,A666)</f>
        <v>0</v>
      </c>
      <c r="F666" s="15" t="n">
        <f aca="false">B666+C666</f>
        <v>0</v>
      </c>
    </row>
    <row r="667" customFormat="false" ht="12.75" hidden="false" customHeight="true" outlineLevel="0" collapsed="false">
      <c r="A667" s="14" t="n">
        <v>46604</v>
      </c>
      <c r="B667" s="15" t="n">
        <f aca="false">SUMIFS(Report!$U:$U,Report!$T:$T,"&lt;&gt;"&amp;"MERCADORIAS P/REVENDA",Report!$AA:$AA,"SIM",Report!$C:$C,A667)</f>
        <v>0</v>
      </c>
      <c r="C667" s="15" t="n">
        <f aca="false">SUMIFS(Report!$U:$U,Report!$T:$T,"MERCADORIAS P/REVENDA",Report!$AA:$AA,"SIM",Report!$C:$C,A667)</f>
        <v>0</v>
      </c>
      <c r="F667" s="15" t="n">
        <f aca="false">B667+C667</f>
        <v>0</v>
      </c>
    </row>
    <row r="668" customFormat="false" ht="12.75" hidden="false" customHeight="true" outlineLevel="0" collapsed="false">
      <c r="A668" s="14" t="n">
        <v>46605</v>
      </c>
      <c r="B668" s="15" t="n">
        <f aca="false">SUMIFS(Report!$U:$U,Report!$T:$T,"&lt;&gt;"&amp;"MERCADORIAS P/REVENDA",Report!$AA:$AA,"SIM",Report!$C:$C,A668)</f>
        <v>0</v>
      </c>
      <c r="C668" s="15" t="n">
        <f aca="false">SUMIFS(Report!$U:$U,Report!$T:$T,"MERCADORIAS P/REVENDA",Report!$AA:$AA,"SIM",Report!$C:$C,A668)</f>
        <v>0</v>
      </c>
      <c r="F668" s="15" t="n">
        <f aca="false">B668+C668</f>
        <v>0</v>
      </c>
    </row>
    <row r="669" customFormat="false" ht="12.75" hidden="false" customHeight="true" outlineLevel="0" collapsed="false">
      <c r="A669" s="31" t="n">
        <v>46606</v>
      </c>
      <c r="B669" s="32" t="n">
        <f aca="false">SUMIFS(Report!$U:$U,Report!$T:$T,"&lt;&gt;"&amp;"MERCADORIAS P/REVENDA",Report!$AA:$AA,"SIM",Report!$C:$C,A669)</f>
        <v>0</v>
      </c>
      <c r="C669" s="32" t="n">
        <f aca="false">SUMIFS(Report!$U:$U,Report!$T:$T,"MERCADORIAS P/REVENDA",Report!$AA:$AA,"SIM",Report!$C:$C,A669)</f>
        <v>0</v>
      </c>
      <c r="D669" s="33"/>
      <c r="E669" s="33"/>
      <c r="F669" s="32" t="n">
        <f aca="false">B669+C669</f>
        <v>0</v>
      </c>
    </row>
    <row r="670" customFormat="false" ht="12.75" hidden="false" customHeight="true" outlineLevel="0" collapsed="false">
      <c r="A670" s="31" t="n">
        <v>46607</v>
      </c>
      <c r="B670" s="32" t="n">
        <f aca="false">SUMIFS(Report!$U:$U,Report!$T:$T,"&lt;&gt;"&amp;"MERCADORIAS P/REVENDA",Report!$AA:$AA,"SIM",Report!$C:$C,A670)</f>
        <v>0</v>
      </c>
      <c r="C670" s="32" t="n">
        <f aca="false">SUMIFS(Report!$U:$U,Report!$T:$T,"MERCADORIAS P/REVENDA",Report!$AA:$AA,"SIM",Report!$C:$C,A670)</f>
        <v>0</v>
      </c>
      <c r="D670" s="33"/>
      <c r="E670" s="33"/>
      <c r="F670" s="32" t="n">
        <f aca="false">B670+C670</f>
        <v>0</v>
      </c>
    </row>
    <row r="671" customFormat="false" ht="12.75" hidden="false" customHeight="true" outlineLevel="0" collapsed="false">
      <c r="A671" s="31" t="n">
        <v>46608</v>
      </c>
      <c r="B671" s="32" t="n">
        <f aca="false">SUMIFS(Report!$U:$U,Report!$T:$T,"&lt;&gt;"&amp;"MERCADORIAS P/REVENDA",Report!$AA:$AA,"SIM",Report!$C:$C,A671)</f>
        <v>0</v>
      </c>
      <c r="C671" s="32" t="n">
        <f aca="false">SUMIFS(Report!$U:$U,Report!$T:$T,"MERCADORIAS P/REVENDA",Report!$AA:$AA,"SIM",Report!$C:$C,A671)</f>
        <v>0</v>
      </c>
      <c r="D671" s="33"/>
      <c r="E671" s="33"/>
      <c r="F671" s="32" t="n">
        <f aca="false">B671+C671</f>
        <v>0</v>
      </c>
    </row>
    <row r="672" customFormat="false" ht="12.75" hidden="false" customHeight="true" outlineLevel="0" collapsed="false">
      <c r="A672" s="34" t="s">
        <v>2214</v>
      </c>
      <c r="B672" s="22" t="n">
        <f aca="false">SUM(B665:B671)</f>
        <v>0</v>
      </c>
      <c r="C672" s="22" t="n">
        <f aca="false">SUM(C665:C671)</f>
        <v>0</v>
      </c>
      <c r="D672" s="26"/>
      <c r="E672" s="26"/>
      <c r="F672" s="22" t="n">
        <f aca="false">B672+C672</f>
        <v>0</v>
      </c>
    </row>
    <row r="673" customFormat="false" ht="12.75" hidden="false" customHeight="true" outlineLevel="0" collapsed="false">
      <c r="A673" s="14" t="n">
        <v>46609</v>
      </c>
      <c r="B673" s="15" t="n">
        <f aca="false">SUMIFS(Report!$U:$U,Report!$T:$T,"&lt;&gt;"&amp;"MERCADORIAS P/REVENDA",Report!$AA:$AA,"SIM",Report!$C:$C,A673)</f>
        <v>0</v>
      </c>
      <c r="C673" s="15" t="n">
        <f aca="false">SUMIFS(Report!$U:$U,Report!$T:$T,"MERCADORIAS P/REVENDA",Report!$AA:$AA,"SIM",Report!$C:$C,A673)</f>
        <v>0</v>
      </c>
      <c r="F673" s="15" t="n">
        <f aca="false">B673+C673</f>
        <v>0</v>
      </c>
    </row>
    <row r="674" customFormat="false" ht="12.75" hidden="false" customHeight="true" outlineLevel="0" collapsed="false">
      <c r="A674" s="14" t="n">
        <v>46610</v>
      </c>
      <c r="B674" s="15" t="n">
        <f aca="false">SUMIFS(Report!$U:$U,Report!$T:$T,"&lt;&gt;"&amp;"MERCADORIAS P/REVENDA",Report!$AA:$AA,"SIM",Report!$C:$C,A674)</f>
        <v>0</v>
      </c>
      <c r="C674" s="15" t="n">
        <f aca="false">SUMIFS(Report!$U:$U,Report!$T:$T,"MERCADORIAS P/REVENDA",Report!$AA:$AA,"SIM",Report!$C:$C,A674)</f>
        <v>0</v>
      </c>
      <c r="F674" s="15" t="n">
        <f aca="false">B674+C674</f>
        <v>0</v>
      </c>
    </row>
    <row r="675" customFormat="false" ht="12.75" hidden="false" customHeight="true" outlineLevel="0" collapsed="false">
      <c r="A675" s="14" t="n">
        <v>46611</v>
      </c>
      <c r="B675" s="15" t="n">
        <f aca="false">SUMIFS(Report!$U:$U,Report!$T:$T,"&lt;&gt;"&amp;"MERCADORIAS P/REVENDA",Report!$AA:$AA,"SIM",Report!$C:$C,A675)</f>
        <v>0</v>
      </c>
      <c r="C675" s="15" t="n">
        <f aca="false">SUMIFS(Report!$U:$U,Report!$T:$T,"MERCADORIAS P/REVENDA",Report!$AA:$AA,"SIM",Report!$C:$C,A675)</f>
        <v>0</v>
      </c>
      <c r="F675" s="15" t="n">
        <f aca="false">B675+C675</f>
        <v>0</v>
      </c>
    </row>
    <row r="676" customFormat="false" ht="12.75" hidden="false" customHeight="true" outlineLevel="0" collapsed="false">
      <c r="A676" s="14" t="n">
        <v>46612</v>
      </c>
      <c r="B676" s="15" t="n">
        <f aca="false">SUMIFS(Report!$U:$U,Report!$T:$T,"&lt;&gt;"&amp;"MERCADORIAS P/REVENDA",Report!$AA:$AA,"SIM",Report!$C:$C,A676)</f>
        <v>0</v>
      </c>
      <c r="C676" s="15" t="n">
        <f aca="false">SUMIFS(Report!$U:$U,Report!$T:$T,"MERCADORIAS P/REVENDA",Report!$AA:$AA,"SIM",Report!$C:$C,A676)</f>
        <v>0</v>
      </c>
      <c r="F676" s="15" t="n">
        <f aca="false">B676+C676</f>
        <v>0</v>
      </c>
    </row>
    <row r="677" customFormat="false" ht="12.75" hidden="false" customHeight="true" outlineLevel="0" collapsed="false">
      <c r="A677" s="31" t="n">
        <v>46613</v>
      </c>
      <c r="B677" s="32" t="n">
        <f aca="false">SUMIFS(Report!$U:$U,Report!$T:$T,"&lt;&gt;"&amp;"MERCADORIAS P/REVENDA",Report!$AA:$AA,"SIM",Report!$C:$C,A677)</f>
        <v>0</v>
      </c>
      <c r="C677" s="32" t="n">
        <f aca="false">SUMIFS(Report!$U:$U,Report!$T:$T,"MERCADORIAS P/REVENDA",Report!$AA:$AA,"SIM",Report!$C:$C,A677)</f>
        <v>0</v>
      </c>
      <c r="D677" s="33"/>
      <c r="E677" s="33"/>
      <c r="F677" s="32" t="n">
        <f aca="false">B677+C677</f>
        <v>0</v>
      </c>
    </row>
    <row r="678" customFormat="false" ht="12.75" hidden="false" customHeight="true" outlineLevel="0" collapsed="false">
      <c r="A678" s="31" t="n">
        <v>46614</v>
      </c>
      <c r="B678" s="32" t="n">
        <f aca="false">SUMIFS(Report!$U:$U,Report!$T:$T,"&lt;&gt;"&amp;"MERCADORIAS P/REVENDA",Report!$AA:$AA,"SIM",Report!$C:$C,A678)</f>
        <v>0</v>
      </c>
      <c r="C678" s="32" t="n">
        <f aca="false">SUMIFS(Report!$U:$U,Report!$T:$T,"MERCADORIAS P/REVENDA",Report!$AA:$AA,"SIM",Report!$C:$C,A678)</f>
        <v>0</v>
      </c>
      <c r="D678" s="33"/>
      <c r="E678" s="33"/>
      <c r="F678" s="32" t="n">
        <f aca="false">B678+C678</f>
        <v>0</v>
      </c>
    </row>
    <row r="679" customFormat="false" ht="12.75" hidden="false" customHeight="true" outlineLevel="0" collapsed="false">
      <c r="A679" s="31" t="n">
        <v>46615</v>
      </c>
      <c r="B679" s="32" t="n">
        <f aca="false">SUMIFS(Report!$U:$U,Report!$T:$T,"&lt;&gt;"&amp;"MERCADORIAS P/REVENDA",Report!$AA:$AA,"SIM",Report!$C:$C,A679)</f>
        <v>0</v>
      </c>
      <c r="C679" s="32" t="n">
        <f aca="false">SUMIFS(Report!$U:$U,Report!$T:$T,"MERCADORIAS P/REVENDA",Report!$AA:$AA,"SIM",Report!$C:$C,A679)</f>
        <v>0</v>
      </c>
      <c r="D679" s="33"/>
      <c r="E679" s="33"/>
      <c r="F679" s="32" t="n">
        <f aca="false">B679+C679</f>
        <v>0</v>
      </c>
    </row>
    <row r="680" customFormat="false" ht="12.75" hidden="false" customHeight="true" outlineLevel="0" collapsed="false">
      <c r="A680" s="34" t="s">
        <v>2215</v>
      </c>
      <c r="B680" s="22" t="n">
        <f aca="false">SUM(B673:B679)</f>
        <v>0</v>
      </c>
      <c r="C680" s="22" t="n">
        <f aca="false">SUM(C673:C679)</f>
        <v>0</v>
      </c>
      <c r="D680" s="26"/>
      <c r="E680" s="26"/>
      <c r="F680" s="22" t="n">
        <f aca="false">B680+C680</f>
        <v>0</v>
      </c>
    </row>
    <row r="681" customFormat="false" ht="12.75" hidden="false" customHeight="true" outlineLevel="0" collapsed="false">
      <c r="A681" s="14" t="n">
        <v>46616</v>
      </c>
      <c r="B681" s="15" t="n">
        <f aca="false">SUMIFS(Report!$U:$U,Report!$T:$T,"&lt;&gt;"&amp;"MERCADORIAS P/REVENDA",Report!$AA:$AA,"SIM",Report!$C:$C,A681)</f>
        <v>0</v>
      </c>
      <c r="C681" s="15" t="n">
        <f aca="false">SUMIFS(Report!$U:$U,Report!$T:$T,"MERCADORIAS P/REVENDA",Report!$AA:$AA,"SIM",Report!$C:$C,A681)</f>
        <v>0</v>
      </c>
      <c r="F681" s="15" t="n">
        <f aca="false">B681+C681</f>
        <v>0</v>
      </c>
    </row>
    <row r="682" customFormat="false" ht="12.75" hidden="false" customHeight="true" outlineLevel="0" collapsed="false">
      <c r="A682" s="14" t="n">
        <v>46617</v>
      </c>
      <c r="B682" s="15" t="n">
        <f aca="false">SUMIFS(Report!$U:$U,Report!$T:$T,"&lt;&gt;"&amp;"MERCADORIAS P/REVENDA",Report!$AA:$AA,"SIM",Report!$C:$C,A682)</f>
        <v>0</v>
      </c>
      <c r="C682" s="15" t="n">
        <f aca="false">SUMIFS(Report!$U:$U,Report!$T:$T,"MERCADORIAS P/REVENDA",Report!$AA:$AA,"SIM",Report!$C:$C,A682)</f>
        <v>0</v>
      </c>
      <c r="F682" s="15" t="n">
        <f aca="false">B682+C682</f>
        <v>0</v>
      </c>
    </row>
    <row r="683" customFormat="false" ht="12.75" hidden="false" customHeight="true" outlineLevel="0" collapsed="false">
      <c r="A683" s="14" t="n">
        <v>46618</v>
      </c>
      <c r="B683" s="15" t="n">
        <f aca="false">SUMIFS(Report!$U:$U,Report!$T:$T,"&lt;&gt;"&amp;"MERCADORIAS P/REVENDA",Report!$AA:$AA,"SIM",Report!$C:$C,A683)</f>
        <v>0</v>
      </c>
      <c r="C683" s="15" t="n">
        <f aca="false">SUMIFS(Report!$U:$U,Report!$T:$T,"MERCADORIAS P/REVENDA",Report!$AA:$AA,"SIM",Report!$C:$C,A683)</f>
        <v>0</v>
      </c>
      <c r="F683" s="15" t="n">
        <f aca="false">B683+C683</f>
        <v>0</v>
      </c>
    </row>
    <row r="684" customFormat="false" ht="12.75" hidden="false" customHeight="true" outlineLevel="0" collapsed="false">
      <c r="A684" s="14" t="n">
        <v>46619</v>
      </c>
      <c r="B684" s="15" t="n">
        <f aca="false">SUMIFS(Report!$U:$U,Report!$T:$T,"&lt;&gt;"&amp;"MERCADORIAS P/REVENDA",Report!$AA:$AA,"SIM",Report!$C:$C,A684)</f>
        <v>0</v>
      </c>
      <c r="C684" s="15" t="n">
        <f aca="false">SUMIFS(Report!$U:$U,Report!$T:$T,"MERCADORIAS P/REVENDA",Report!$AA:$AA,"SIM",Report!$C:$C,A684)</f>
        <v>0</v>
      </c>
      <c r="F684" s="15" t="n">
        <f aca="false">B684+C684</f>
        <v>0</v>
      </c>
    </row>
    <row r="685" customFormat="false" ht="12.75" hidden="false" customHeight="true" outlineLevel="0" collapsed="false">
      <c r="A685" s="31" t="n">
        <v>46620</v>
      </c>
      <c r="B685" s="32" t="n">
        <f aca="false">SUMIFS(Report!$U:$U,Report!$T:$T,"&lt;&gt;"&amp;"MERCADORIAS P/REVENDA",Report!$AA:$AA,"SIM",Report!$C:$C,A685)</f>
        <v>0</v>
      </c>
      <c r="C685" s="32" t="n">
        <f aca="false">SUMIFS(Report!$U:$U,Report!$T:$T,"MERCADORIAS P/REVENDA",Report!$AA:$AA,"SIM",Report!$C:$C,A685)</f>
        <v>0</v>
      </c>
      <c r="D685" s="33"/>
      <c r="E685" s="33"/>
      <c r="F685" s="32" t="n">
        <f aca="false">B685+C685</f>
        <v>0</v>
      </c>
    </row>
    <row r="686" customFormat="false" ht="12.75" hidden="false" customHeight="true" outlineLevel="0" collapsed="false">
      <c r="A686" s="31" t="n">
        <v>46621</v>
      </c>
      <c r="B686" s="32" t="n">
        <f aca="false">SUMIFS(Report!$U:$U,Report!$T:$T,"&lt;&gt;"&amp;"MERCADORIAS P/REVENDA",Report!$AA:$AA,"SIM",Report!$C:$C,A686)</f>
        <v>0</v>
      </c>
      <c r="C686" s="32" t="n">
        <f aca="false">SUMIFS(Report!$U:$U,Report!$T:$T,"MERCADORIAS P/REVENDA",Report!$AA:$AA,"SIM",Report!$C:$C,A686)</f>
        <v>0</v>
      </c>
      <c r="D686" s="33"/>
      <c r="E686" s="33"/>
      <c r="F686" s="32" t="n">
        <f aca="false">B686+C686</f>
        <v>0</v>
      </c>
    </row>
    <row r="687" customFormat="false" ht="12.75" hidden="false" customHeight="true" outlineLevel="0" collapsed="false">
      <c r="A687" s="31" t="n">
        <v>46622</v>
      </c>
      <c r="B687" s="32" t="n">
        <f aca="false">SUMIFS(Report!$U:$U,Report!$T:$T,"&lt;&gt;"&amp;"MERCADORIAS P/REVENDA",Report!$AA:$AA,"SIM",Report!$C:$C,A687)</f>
        <v>0</v>
      </c>
      <c r="C687" s="32" t="n">
        <f aca="false">SUMIFS(Report!$U:$U,Report!$T:$T,"MERCADORIAS P/REVENDA",Report!$AA:$AA,"SIM",Report!$C:$C,A687)</f>
        <v>0</v>
      </c>
      <c r="D687" s="33"/>
      <c r="E687" s="33"/>
      <c r="F687" s="32" t="n">
        <f aca="false">B687+C687</f>
        <v>0</v>
      </c>
    </row>
    <row r="688" customFormat="false" ht="12.75" hidden="false" customHeight="true" outlineLevel="0" collapsed="false">
      <c r="A688" s="34" t="s">
        <v>2216</v>
      </c>
      <c r="B688" s="22" t="n">
        <f aca="false">SUM(B681:B687)</f>
        <v>0</v>
      </c>
      <c r="C688" s="22" t="n">
        <f aca="false">SUM(C681:C687)</f>
        <v>0</v>
      </c>
      <c r="D688" s="26"/>
      <c r="E688" s="26"/>
      <c r="F688" s="22" t="n">
        <f aca="false">B688+C688</f>
        <v>0</v>
      </c>
    </row>
    <row r="689" customFormat="false" ht="12.75" hidden="false" customHeight="true" outlineLevel="0" collapsed="false">
      <c r="A689" s="14" t="n">
        <v>46623</v>
      </c>
      <c r="B689" s="15" t="n">
        <f aca="false">SUMIFS(Report!$U:$U,Report!$T:$T,"&lt;&gt;"&amp;"MERCADORIAS P/REVENDA",Report!$AA:$AA,"SIM",Report!$C:$C,A689)</f>
        <v>0</v>
      </c>
      <c r="C689" s="15" t="n">
        <f aca="false">SUMIFS(Report!$U:$U,Report!$T:$T,"MERCADORIAS P/REVENDA",Report!$AA:$AA,"SIM",Report!$C:$C,A689)</f>
        <v>0</v>
      </c>
      <c r="F689" s="15" t="n">
        <f aca="false">B689+C689</f>
        <v>0</v>
      </c>
    </row>
    <row r="690" customFormat="false" ht="12.75" hidden="false" customHeight="true" outlineLevel="0" collapsed="false">
      <c r="A690" s="14" t="n">
        <v>46624</v>
      </c>
      <c r="B690" s="15" t="n">
        <f aca="false">SUMIFS(Report!$U:$U,Report!$T:$T,"&lt;&gt;"&amp;"MERCADORIAS P/REVENDA",Report!$AA:$AA,"SIM",Report!$C:$C,A690)</f>
        <v>0</v>
      </c>
      <c r="C690" s="15" t="n">
        <f aca="false">SUMIFS(Report!$U:$U,Report!$T:$T,"MERCADORIAS P/REVENDA",Report!$AA:$AA,"SIM",Report!$C:$C,A690)</f>
        <v>0</v>
      </c>
      <c r="F690" s="15" t="n">
        <f aca="false">B690+C690</f>
        <v>0</v>
      </c>
    </row>
    <row r="691" customFormat="false" ht="12.75" hidden="false" customHeight="true" outlineLevel="0" collapsed="false">
      <c r="A691" s="14" t="n">
        <v>46625</v>
      </c>
      <c r="B691" s="15" t="n">
        <f aca="false">SUMIFS(Report!$U:$U,Report!$T:$T,"&lt;&gt;"&amp;"MERCADORIAS P/REVENDA",Report!$AA:$AA,"SIM",Report!$C:$C,A691)</f>
        <v>0</v>
      </c>
      <c r="C691" s="15" t="n">
        <f aca="false">SUMIFS(Report!$U:$U,Report!$T:$T,"MERCADORIAS P/REVENDA",Report!$AA:$AA,"SIM",Report!$C:$C,A691)</f>
        <v>0</v>
      </c>
      <c r="F691" s="15" t="n">
        <f aca="false">B691+C691</f>
        <v>0</v>
      </c>
    </row>
    <row r="692" customFormat="false" ht="12.75" hidden="false" customHeight="true" outlineLevel="0" collapsed="false">
      <c r="A692" s="14" t="n">
        <v>46626</v>
      </c>
      <c r="B692" s="15" t="n">
        <f aca="false">SUMIFS(Report!$U:$U,Report!$T:$T,"&lt;&gt;"&amp;"MERCADORIAS P/REVENDA",Report!$AA:$AA,"SIM",Report!$C:$C,A692)</f>
        <v>0</v>
      </c>
      <c r="C692" s="15" t="n">
        <f aca="false">SUMIFS(Report!$U:$U,Report!$T:$T,"MERCADORIAS P/REVENDA",Report!$AA:$AA,"SIM",Report!$C:$C,A692)</f>
        <v>0</v>
      </c>
      <c r="F692" s="15" t="n">
        <f aca="false">B692+C692</f>
        <v>0</v>
      </c>
    </row>
    <row r="693" customFormat="false" ht="12.75" hidden="false" customHeight="true" outlineLevel="0" collapsed="false">
      <c r="A693" s="31" t="n">
        <v>46627</v>
      </c>
      <c r="B693" s="32" t="n">
        <f aca="false">SUMIFS(Report!$U:$U,Report!$T:$T,"&lt;&gt;"&amp;"MERCADORIAS P/REVENDA",Report!$AA:$AA,"SIM",Report!$C:$C,A693)</f>
        <v>0</v>
      </c>
      <c r="C693" s="32" t="n">
        <f aca="false">SUMIFS(Report!$U:$U,Report!$T:$T,"MERCADORIAS P/REVENDA",Report!$AA:$AA,"SIM",Report!$C:$C,A693)</f>
        <v>0</v>
      </c>
      <c r="D693" s="33"/>
      <c r="E693" s="33"/>
      <c r="F693" s="32" t="n">
        <f aca="false">B693+C693</f>
        <v>0</v>
      </c>
    </row>
    <row r="694" customFormat="false" ht="12.75" hidden="false" customHeight="true" outlineLevel="0" collapsed="false">
      <c r="A694" s="31" t="n">
        <v>46628</v>
      </c>
      <c r="B694" s="32" t="n">
        <f aca="false">SUMIFS(Report!$U:$U,Report!$T:$T,"&lt;&gt;"&amp;"MERCADORIAS P/REVENDA",Report!$AA:$AA,"SIM",Report!$C:$C,A694)</f>
        <v>0</v>
      </c>
      <c r="C694" s="32" t="n">
        <f aca="false">SUMIFS(Report!$U:$U,Report!$T:$T,"MERCADORIAS P/REVENDA",Report!$AA:$AA,"SIM",Report!$C:$C,A694)</f>
        <v>0</v>
      </c>
      <c r="D694" s="33"/>
      <c r="E694" s="33"/>
      <c r="F694" s="32" t="n">
        <f aca="false">B694+C694</f>
        <v>0</v>
      </c>
    </row>
    <row r="695" customFormat="false" ht="12.75" hidden="false" customHeight="true" outlineLevel="0" collapsed="false">
      <c r="A695" s="31" t="n">
        <v>46629</v>
      </c>
      <c r="B695" s="32" t="n">
        <f aca="false">SUMIFS(Report!$U:$U,Report!$T:$T,"&lt;&gt;"&amp;"MERCADORIAS P/REVENDA",Report!$AA:$AA,"SIM",Report!$C:$C,A695)</f>
        <v>0</v>
      </c>
      <c r="C695" s="32" t="n">
        <f aca="false">SUMIFS(Report!$U:$U,Report!$T:$T,"MERCADORIAS P/REVENDA",Report!$AA:$AA,"SIM",Report!$C:$C,A695)</f>
        <v>0</v>
      </c>
      <c r="D695" s="33"/>
      <c r="E695" s="33"/>
      <c r="F695" s="32" t="n">
        <f aca="false">B695+C695</f>
        <v>0</v>
      </c>
    </row>
    <row r="696" customFormat="false" ht="12.75" hidden="false" customHeight="true" outlineLevel="0" collapsed="false">
      <c r="A696" s="34" t="s">
        <v>2217</v>
      </c>
      <c r="B696" s="22" t="n">
        <f aca="false">SUM(B689:B695)</f>
        <v>0</v>
      </c>
      <c r="C696" s="22" t="n">
        <f aca="false">SUM(C689:C695)</f>
        <v>0</v>
      </c>
      <c r="D696" s="26"/>
      <c r="E696" s="26"/>
      <c r="F696" s="22" t="n">
        <f aca="false">B696+C696</f>
        <v>0</v>
      </c>
    </row>
    <row r="697" customFormat="false" ht="12.75" hidden="false" customHeight="true" outlineLevel="0" collapsed="false">
      <c r="A697" s="14" t="n">
        <v>46630</v>
      </c>
      <c r="B697" s="15" t="n">
        <f aca="false">SUMIFS(Report!$U:$U,Report!$T:$T,"&lt;&gt;"&amp;"MERCADORIAS P/REVENDA",Report!$AA:$AA,"SIM",Report!$C:$C,A697)</f>
        <v>0</v>
      </c>
      <c r="C697" s="15" t="n">
        <f aca="false">SUMIFS(Report!$U:$U,Report!$T:$T,"MERCADORIAS P/REVENDA",Report!$AA:$AA,"SIM",Report!$C:$C,A697)</f>
        <v>0</v>
      </c>
      <c r="F697" s="15" t="n">
        <f aca="false">B697+C697</f>
        <v>0</v>
      </c>
    </row>
    <row r="698" customFormat="false" ht="12.75" hidden="false" customHeight="true" outlineLevel="0" collapsed="false">
      <c r="A698" s="14" t="n">
        <v>46631</v>
      </c>
      <c r="B698" s="15" t="n">
        <f aca="false">SUMIFS(Report!$U:$U,Report!$T:$T,"&lt;&gt;"&amp;"MERCADORIAS P/REVENDA",Report!$AA:$AA,"SIM",Report!$C:$C,A698)</f>
        <v>0</v>
      </c>
      <c r="C698" s="15" t="n">
        <f aca="false">SUMIFS(Report!$U:$U,Report!$T:$T,"MERCADORIAS P/REVENDA",Report!$AA:$AA,"SIM",Report!$C:$C,A698)</f>
        <v>0</v>
      </c>
      <c r="F698" s="15" t="n">
        <f aca="false">B698+C698</f>
        <v>0</v>
      </c>
    </row>
    <row r="699" customFormat="false" ht="12.75" hidden="false" customHeight="true" outlineLevel="0" collapsed="false">
      <c r="A699" s="14" t="n">
        <v>46632</v>
      </c>
      <c r="B699" s="15" t="n">
        <f aca="false">SUMIFS(Report!$U:$U,Report!$T:$T,"&lt;&gt;"&amp;"MERCADORIAS P/REVENDA",Report!$AA:$AA,"SIM",Report!$C:$C,A699)</f>
        <v>0</v>
      </c>
      <c r="C699" s="15" t="n">
        <f aca="false">SUMIFS(Report!$U:$U,Report!$T:$T,"MERCADORIAS P/REVENDA",Report!$AA:$AA,"SIM",Report!$C:$C,A699)</f>
        <v>0</v>
      </c>
      <c r="F699" s="15" t="n">
        <f aca="false">B699+C699</f>
        <v>0</v>
      </c>
    </row>
    <row r="700" customFormat="false" ht="12.75" hidden="false" customHeight="true" outlineLevel="0" collapsed="false">
      <c r="A700" s="14" t="n">
        <v>46633</v>
      </c>
      <c r="B700" s="15" t="n">
        <f aca="false">SUMIFS(Report!$U:$U,Report!$T:$T,"&lt;&gt;"&amp;"MERCADORIAS P/REVENDA",Report!$AA:$AA,"SIM",Report!$C:$C,A700)</f>
        <v>0</v>
      </c>
      <c r="C700" s="15" t="n">
        <f aca="false">SUMIFS(Report!$U:$U,Report!$T:$T,"MERCADORIAS P/REVENDA",Report!$AA:$AA,"SIM",Report!$C:$C,A700)</f>
        <v>0</v>
      </c>
      <c r="F700" s="15" t="n">
        <f aca="false">B700+C700</f>
        <v>0</v>
      </c>
    </row>
    <row r="701" customFormat="false" ht="12.75" hidden="false" customHeight="true" outlineLevel="0" collapsed="false">
      <c r="A701" s="31" t="n">
        <v>46634</v>
      </c>
      <c r="B701" s="32" t="n">
        <f aca="false">SUMIFS(Report!$U:$U,Report!$T:$T,"&lt;&gt;"&amp;"MERCADORIAS P/REVENDA",Report!$AA:$AA,"SIM",Report!$C:$C,A701)</f>
        <v>0</v>
      </c>
      <c r="C701" s="32" t="n">
        <f aca="false">SUMIFS(Report!$U:$U,Report!$T:$T,"MERCADORIAS P/REVENDA",Report!$AA:$AA,"SIM",Report!$C:$C,A701)</f>
        <v>0</v>
      </c>
      <c r="D701" s="33"/>
      <c r="E701" s="33"/>
      <c r="F701" s="32" t="n">
        <f aca="false">B701+C701</f>
        <v>0</v>
      </c>
    </row>
    <row r="702" customFormat="false" ht="12.75" hidden="false" customHeight="true" outlineLevel="0" collapsed="false">
      <c r="A702" s="31" t="n">
        <v>46635</v>
      </c>
      <c r="B702" s="32" t="n">
        <f aca="false">SUMIFS(Report!$U:$U,Report!$T:$T,"&lt;&gt;"&amp;"MERCADORIAS P/REVENDA",Report!$AA:$AA,"SIM",Report!$C:$C,A702)</f>
        <v>0</v>
      </c>
      <c r="C702" s="32" t="n">
        <f aca="false">SUMIFS(Report!$U:$U,Report!$T:$T,"MERCADORIAS P/REVENDA",Report!$AA:$AA,"SIM",Report!$C:$C,A702)</f>
        <v>0</v>
      </c>
      <c r="D702" s="33"/>
      <c r="E702" s="33"/>
      <c r="F702" s="32" t="n">
        <f aca="false">B702+C702</f>
        <v>0</v>
      </c>
    </row>
    <row r="703" customFormat="false" ht="12.75" hidden="false" customHeight="true" outlineLevel="0" collapsed="false">
      <c r="A703" s="31" t="n">
        <v>46636</v>
      </c>
      <c r="B703" s="32" t="n">
        <f aca="false">SUMIFS(Report!$U:$U,Report!$T:$T,"&lt;&gt;"&amp;"MERCADORIAS P/REVENDA",Report!$AA:$AA,"SIM",Report!$C:$C,A703)</f>
        <v>0</v>
      </c>
      <c r="C703" s="32" t="n">
        <f aca="false">SUMIFS(Report!$U:$U,Report!$T:$T,"MERCADORIAS P/REVENDA",Report!$AA:$AA,"SIM",Report!$C:$C,A703)</f>
        <v>0</v>
      </c>
      <c r="D703" s="33"/>
      <c r="E703" s="33"/>
      <c r="F703" s="32" t="n">
        <f aca="false">B703+C703</f>
        <v>0</v>
      </c>
    </row>
    <row r="704" customFormat="false" ht="12.75" hidden="false" customHeight="true" outlineLevel="0" collapsed="false">
      <c r="A704" s="34" t="s">
        <v>2218</v>
      </c>
      <c r="B704" s="22" t="n">
        <f aca="false">SUM(B697:B703)</f>
        <v>0</v>
      </c>
      <c r="C704" s="22" t="n">
        <f aca="false">SUM(C697:C703)</f>
        <v>0</v>
      </c>
      <c r="D704" s="26"/>
      <c r="E704" s="26"/>
      <c r="F704" s="22" t="n">
        <f aca="false">B704+C704</f>
        <v>0</v>
      </c>
    </row>
    <row r="705" customFormat="false" ht="12.75" hidden="false" customHeight="true" outlineLevel="0" collapsed="false">
      <c r="A705" s="14" t="n">
        <v>46637</v>
      </c>
      <c r="B705" s="15" t="n">
        <f aca="false">SUMIFS(Report!$U:$U,Report!$T:$T,"&lt;&gt;"&amp;"MERCADORIAS P/REVENDA",Report!$AA:$AA,"SIM",Report!$C:$C,A705)</f>
        <v>0</v>
      </c>
      <c r="C705" s="15" t="n">
        <f aca="false">SUMIFS(Report!$U:$U,Report!$T:$T,"MERCADORIAS P/REVENDA",Report!$AA:$AA,"SIM",Report!$C:$C,A705)</f>
        <v>0</v>
      </c>
      <c r="F705" s="15" t="n">
        <f aca="false">B705+C705</f>
        <v>0</v>
      </c>
    </row>
    <row r="706" customFormat="false" ht="12.75" hidden="false" customHeight="true" outlineLevel="0" collapsed="false">
      <c r="A706" s="14" t="n">
        <v>46638</v>
      </c>
      <c r="B706" s="15" t="n">
        <f aca="false">SUMIFS(Report!$U:$U,Report!$T:$T,"&lt;&gt;"&amp;"MERCADORIAS P/REVENDA",Report!$AA:$AA,"SIM",Report!$C:$C,A706)</f>
        <v>0</v>
      </c>
      <c r="C706" s="15" t="n">
        <f aca="false">SUMIFS(Report!$U:$U,Report!$T:$T,"MERCADORIAS P/REVENDA",Report!$AA:$AA,"SIM",Report!$C:$C,A706)</f>
        <v>0</v>
      </c>
      <c r="F706" s="15" t="n">
        <f aca="false">B706+C706</f>
        <v>0</v>
      </c>
    </row>
    <row r="707" customFormat="false" ht="12.75" hidden="false" customHeight="true" outlineLevel="0" collapsed="false">
      <c r="A707" s="14" t="n">
        <v>46639</v>
      </c>
      <c r="B707" s="15" t="n">
        <f aca="false">SUMIFS(Report!$U:$U,Report!$T:$T,"&lt;&gt;"&amp;"MERCADORIAS P/REVENDA",Report!$AA:$AA,"SIM",Report!$C:$C,A707)</f>
        <v>0</v>
      </c>
      <c r="C707" s="15" t="n">
        <f aca="false">SUMIFS(Report!$U:$U,Report!$T:$T,"MERCADORIAS P/REVENDA",Report!$AA:$AA,"SIM",Report!$C:$C,A707)</f>
        <v>0</v>
      </c>
      <c r="F707" s="15" t="n">
        <f aca="false">B707+C707</f>
        <v>0</v>
      </c>
    </row>
    <row r="708" customFormat="false" ht="12.75" hidden="false" customHeight="true" outlineLevel="0" collapsed="false">
      <c r="A708" s="14" t="n">
        <v>46640</v>
      </c>
      <c r="B708" s="15" t="n">
        <f aca="false">SUMIFS(Report!$U:$U,Report!$T:$T,"&lt;&gt;"&amp;"MERCADORIAS P/REVENDA",Report!$AA:$AA,"SIM",Report!$C:$C,A708)</f>
        <v>0</v>
      </c>
      <c r="C708" s="15" t="n">
        <f aca="false">SUMIFS(Report!$U:$U,Report!$T:$T,"MERCADORIAS P/REVENDA",Report!$AA:$AA,"SIM",Report!$C:$C,A708)</f>
        <v>0</v>
      </c>
      <c r="F708" s="15" t="n">
        <f aca="false">B708+C708</f>
        <v>0</v>
      </c>
    </row>
    <row r="709" customFormat="false" ht="12.75" hidden="false" customHeight="true" outlineLevel="0" collapsed="false">
      <c r="A709" s="31" t="n">
        <v>46641</v>
      </c>
      <c r="B709" s="32" t="n">
        <f aca="false">SUMIFS(Report!$U:$U,Report!$T:$T,"&lt;&gt;"&amp;"MERCADORIAS P/REVENDA",Report!$AA:$AA,"SIM",Report!$C:$C,A709)</f>
        <v>0</v>
      </c>
      <c r="C709" s="32" t="n">
        <f aca="false">SUMIFS(Report!$U:$U,Report!$T:$T,"MERCADORIAS P/REVENDA",Report!$AA:$AA,"SIM",Report!$C:$C,A709)</f>
        <v>0</v>
      </c>
      <c r="D709" s="33"/>
      <c r="E709" s="33"/>
      <c r="F709" s="32" t="n">
        <f aca="false">B709+C709</f>
        <v>0</v>
      </c>
    </row>
    <row r="710" customFormat="false" ht="12.75" hidden="false" customHeight="true" outlineLevel="0" collapsed="false">
      <c r="A710" s="31" t="n">
        <v>46642</v>
      </c>
      <c r="B710" s="32" t="n">
        <f aca="false">SUMIFS(Report!$U:$U,Report!$T:$T,"&lt;&gt;"&amp;"MERCADORIAS P/REVENDA",Report!$AA:$AA,"SIM",Report!$C:$C,A710)</f>
        <v>0</v>
      </c>
      <c r="C710" s="32" t="n">
        <f aca="false">SUMIFS(Report!$U:$U,Report!$T:$T,"MERCADORIAS P/REVENDA",Report!$AA:$AA,"SIM",Report!$C:$C,A710)</f>
        <v>0</v>
      </c>
      <c r="D710" s="33"/>
      <c r="E710" s="33"/>
      <c r="F710" s="32" t="n">
        <f aca="false">B710+C710</f>
        <v>0</v>
      </c>
    </row>
    <row r="711" customFormat="false" ht="12.75" hidden="false" customHeight="true" outlineLevel="0" collapsed="false">
      <c r="A711" s="31" t="n">
        <v>46643</v>
      </c>
      <c r="B711" s="32" t="n">
        <f aca="false">SUMIFS(Report!$U:$U,Report!$T:$T,"&lt;&gt;"&amp;"MERCADORIAS P/REVENDA",Report!$AA:$AA,"SIM",Report!$C:$C,A711)</f>
        <v>0</v>
      </c>
      <c r="C711" s="32" t="n">
        <f aca="false">SUMIFS(Report!$U:$U,Report!$T:$T,"MERCADORIAS P/REVENDA",Report!$AA:$AA,"SIM",Report!$C:$C,A711)</f>
        <v>0</v>
      </c>
      <c r="D711" s="33"/>
      <c r="E711" s="33"/>
      <c r="F711" s="32" t="n">
        <f aca="false">B711+C711</f>
        <v>0</v>
      </c>
    </row>
    <row r="712" customFormat="false" ht="12.75" hidden="false" customHeight="true" outlineLevel="0" collapsed="false">
      <c r="A712" s="34" t="s">
        <v>2219</v>
      </c>
      <c r="B712" s="22" t="n">
        <f aca="false">SUM(B705:B711)</f>
        <v>0</v>
      </c>
      <c r="C712" s="22" t="n">
        <f aca="false">SUM(C705:C711)</f>
        <v>0</v>
      </c>
      <c r="D712" s="26"/>
      <c r="E712" s="26"/>
      <c r="F712" s="22" t="n">
        <f aca="false">B712+C712</f>
        <v>0</v>
      </c>
    </row>
    <row r="713" customFormat="false" ht="12.75" hidden="false" customHeight="true" outlineLevel="0" collapsed="false">
      <c r="A713" s="14" t="n">
        <v>46644</v>
      </c>
      <c r="B713" s="15" t="n">
        <f aca="false">SUMIFS(Report!$U:$U,Report!$T:$T,"&lt;&gt;"&amp;"MERCADORIAS P/REVENDA",Report!$AA:$AA,"SIM",Report!$C:$C,A713)</f>
        <v>0</v>
      </c>
      <c r="C713" s="15" t="n">
        <f aca="false">SUMIFS(Report!$U:$U,Report!$T:$T,"MERCADORIAS P/REVENDA",Report!$AA:$AA,"SIM",Report!$C:$C,A713)</f>
        <v>0</v>
      </c>
      <c r="F713" s="15" t="n">
        <f aca="false">B713+C713</f>
        <v>0</v>
      </c>
    </row>
    <row r="714" customFormat="false" ht="12.75" hidden="false" customHeight="true" outlineLevel="0" collapsed="false">
      <c r="A714" s="14" t="n">
        <v>46645</v>
      </c>
      <c r="B714" s="15" t="n">
        <f aca="false">SUMIFS(Report!$U:$U,Report!$T:$T,"&lt;&gt;"&amp;"MERCADORIAS P/REVENDA",Report!$AA:$AA,"SIM",Report!$C:$C,A714)</f>
        <v>0</v>
      </c>
      <c r="C714" s="15" t="n">
        <f aca="false">SUMIFS(Report!$U:$U,Report!$T:$T,"MERCADORIAS P/REVENDA",Report!$AA:$AA,"SIM",Report!$C:$C,A714)</f>
        <v>0</v>
      </c>
      <c r="F714" s="15" t="n">
        <f aca="false">B714+C714</f>
        <v>0</v>
      </c>
    </row>
    <row r="715" customFormat="false" ht="12.75" hidden="false" customHeight="true" outlineLevel="0" collapsed="false">
      <c r="A715" s="14" t="n">
        <v>46646</v>
      </c>
      <c r="B715" s="15" t="n">
        <f aca="false">SUMIFS(Report!$U:$U,Report!$T:$T,"&lt;&gt;"&amp;"MERCADORIAS P/REVENDA",Report!$AA:$AA,"SIM",Report!$C:$C,A715)</f>
        <v>0</v>
      </c>
      <c r="C715" s="15" t="n">
        <f aca="false">SUMIFS(Report!$U:$U,Report!$T:$T,"MERCADORIAS P/REVENDA",Report!$AA:$AA,"SIM",Report!$C:$C,A715)</f>
        <v>0</v>
      </c>
      <c r="F715" s="15" t="n">
        <f aca="false">B715+C715</f>
        <v>0</v>
      </c>
    </row>
    <row r="716" customFormat="false" ht="12.75" hidden="false" customHeight="true" outlineLevel="0" collapsed="false">
      <c r="A716" s="14" t="n">
        <v>46647</v>
      </c>
      <c r="B716" s="15" t="n">
        <f aca="false">SUMIFS(Report!$U:$U,Report!$T:$T,"&lt;&gt;"&amp;"MERCADORIAS P/REVENDA",Report!$AA:$AA,"SIM",Report!$C:$C,A716)</f>
        <v>0</v>
      </c>
      <c r="C716" s="15" t="n">
        <f aca="false">SUMIFS(Report!$U:$U,Report!$T:$T,"MERCADORIAS P/REVENDA",Report!$AA:$AA,"SIM",Report!$C:$C,A716)</f>
        <v>0</v>
      </c>
      <c r="F716" s="15" t="n">
        <f aca="false">B716+C716</f>
        <v>0</v>
      </c>
    </row>
    <row r="717" customFormat="false" ht="12.75" hidden="false" customHeight="true" outlineLevel="0" collapsed="false">
      <c r="A717" s="31" t="n">
        <v>46648</v>
      </c>
      <c r="B717" s="32" t="n">
        <f aca="false">SUMIFS(Report!$U:$U,Report!$T:$T,"&lt;&gt;"&amp;"MERCADORIAS P/REVENDA",Report!$AA:$AA,"SIM",Report!$C:$C,A717)</f>
        <v>0</v>
      </c>
      <c r="C717" s="32" t="n">
        <f aca="false">SUMIFS(Report!$U:$U,Report!$T:$T,"MERCADORIAS P/REVENDA",Report!$AA:$AA,"SIM",Report!$C:$C,A717)</f>
        <v>0</v>
      </c>
      <c r="D717" s="33"/>
      <c r="E717" s="33"/>
      <c r="F717" s="32" t="n">
        <f aca="false">B717+C717</f>
        <v>0</v>
      </c>
    </row>
    <row r="718" customFormat="false" ht="12.75" hidden="false" customHeight="true" outlineLevel="0" collapsed="false">
      <c r="A718" s="31" t="n">
        <v>46649</v>
      </c>
      <c r="B718" s="32" t="n">
        <f aca="false">SUMIFS(Report!$U:$U,Report!$T:$T,"&lt;&gt;"&amp;"MERCADORIAS P/REVENDA",Report!$AA:$AA,"SIM",Report!$C:$C,A718)</f>
        <v>0</v>
      </c>
      <c r="C718" s="32" t="n">
        <f aca="false">SUMIFS(Report!$U:$U,Report!$T:$T,"MERCADORIAS P/REVENDA",Report!$AA:$AA,"SIM",Report!$C:$C,A718)</f>
        <v>0</v>
      </c>
      <c r="D718" s="33"/>
      <c r="E718" s="33"/>
      <c r="F718" s="32" t="n">
        <f aca="false">B718+C718</f>
        <v>0</v>
      </c>
    </row>
    <row r="719" customFormat="false" ht="12.75" hidden="false" customHeight="true" outlineLevel="0" collapsed="false">
      <c r="A719" s="31" t="n">
        <v>46650</v>
      </c>
      <c r="B719" s="32" t="n">
        <f aca="false">SUMIFS(Report!$U:$U,Report!$T:$T,"&lt;&gt;"&amp;"MERCADORIAS P/REVENDA",Report!$AA:$AA,"SIM",Report!$C:$C,A719)</f>
        <v>0</v>
      </c>
      <c r="C719" s="32" t="n">
        <f aca="false">SUMIFS(Report!$U:$U,Report!$T:$T,"MERCADORIAS P/REVENDA",Report!$AA:$AA,"SIM",Report!$C:$C,A719)</f>
        <v>0</v>
      </c>
      <c r="D719" s="33"/>
      <c r="E719" s="33"/>
      <c r="F719" s="32" t="n">
        <f aca="false">B719+C719</f>
        <v>0</v>
      </c>
    </row>
    <row r="720" customFormat="false" ht="12.75" hidden="false" customHeight="true" outlineLevel="0" collapsed="false">
      <c r="A720" s="34" t="s">
        <v>2220</v>
      </c>
      <c r="B720" s="22" t="n">
        <f aca="false">SUM(B713:B719)</f>
        <v>0</v>
      </c>
      <c r="C720" s="22" t="n">
        <f aca="false">SUM(C713:C719)</f>
        <v>0</v>
      </c>
      <c r="D720" s="26"/>
      <c r="E720" s="26"/>
      <c r="F720" s="22" t="n">
        <f aca="false">B720+C720</f>
        <v>0</v>
      </c>
    </row>
    <row r="721" customFormat="false" ht="12.75" hidden="false" customHeight="true" outlineLevel="0" collapsed="false">
      <c r="A721" s="14" t="n">
        <v>46651</v>
      </c>
      <c r="B721" s="15" t="n">
        <f aca="false">SUMIFS(Report!$U:$U,Report!$T:$T,"&lt;&gt;"&amp;"MERCADORIAS P/REVENDA",Report!$AA:$AA,"SIM",Report!$C:$C,A721)</f>
        <v>0</v>
      </c>
      <c r="C721" s="15" t="n">
        <f aca="false">SUMIFS(Report!$U:$U,Report!$T:$T,"MERCADORIAS P/REVENDA",Report!$AA:$AA,"SIM",Report!$C:$C,A721)</f>
        <v>0</v>
      </c>
      <c r="F721" s="15" t="n">
        <f aca="false">B721+C721</f>
        <v>0</v>
      </c>
    </row>
    <row r="722" customFormat="false" ht="12.75" hidden="false" customHeight="true" outlineLevel="0" collapsed="false">
      <c r="A722" s="14" t="n">
        <v>46652</v>
      </c>
      <c r="B722" s="15" t="n">
        <f aca="false">SUMIFS(Report!$U:$U,Report!$T:$T,"&lt;&gt;"&amp;"MERCADORIAS P/REVENDA",Report!$AA:$AA,"SIM",Report!$C:$C,A722)</f>
        <v>0</v>
      </c>
      <c r="C722" s="15" t="n">
        <f aca="false">SUMIFS(Report!$U:$U,Report!$T:$T,"MERCADORIAS P/REVENDA",Report!$AA:$AA,"SIM",Report!$C:$C,A722)</f>
        <v>0</v>
      </c>
      <c r="F722" s="15" t="n">
        <f aca="false">B722+C722</f>
        <v>0</v>
      </c>
    </row>
    <row r="723" customFormat="false" ht="12.75" hidden="false" customHeight="true" outlineLevel="0" collapsed="false">
      <c r="A723" s="14" t="n">
        <v>46653</v>
      </c>
      <c r="B723" s="15" t="n">
        <f aca="false">SUMIFS(Report!$U:$U,Report!$T:$T,"&lt;&gt;"&amp;"MERCADORIAS P/REVENDA",Report!$AA:$AA,"SIM",Report!$C:$C,A723)</f>
        <v>0</v>
      </c>
      <c r="C723" s="15" t="n">
        <f aca="false">SUMIFS(Report!$U:$U,Report!$T:$T,"MERCADORIAS P/REVENDA",Report!$AA:$AA,"SIM",Report!$C:$C,A723)</f>
        <v>0</v>
      </c>
      <c r="F723" s="15" t="n">
        <f aca="false">B723+C723</f>
        <v>0</v>
      </c>
    </row>
    <row r="724" customFormat="false" ht="12.75" hidden="false" customHeight="true" outlineLevel="0" collapsed="false">
      <c r="A724" s="14" t="n">
        <v>46654</v>
      </c>
      <c r="B724" s="15" t="n">
        <f aca="false">SUMIFS(Report!$U:$U,Report!$T:$T,"&lt;&gt;"&amp;"MERCADORIAS P/REVENDA",Report!$AA:$AA,"SIM",Report!$C:$C,A724)</f>
        <v>0</v>
      </c>
      <c r="C724" s="15" t="n">
        <f aca="false">SUMIFS(Report!$U:$U,Report!$T:$T,"MERCADORIAS P/REVENDA",Report!$AA:$AA,"SIM",Report!$C:$C,A724)</f>
        <v>0</v>
      </c>
      <c r="F724" s="15" t="n">
        <f aca="false">B724+C724</f>
        <v>0</v>
      </c>
    </row>
    <row r="725" customFormat="false" ht="12.75" hidden="false" customHeight="true" outlineLevel="0" collapsed="false">
      <c r="A725" s="31" t="n">
        <v>46655</v>
      </c>
      <c r="B725" s="32" t="n">
        <f aca="false">SUMIFS(Report!$U:$U,Report!$T:$T,"&lt;&gt;"&amp;"MERCADORIAS P/REVENDA",Report!$AA:$AA,"SIM",Report!$C:$C,A725)</f>
        <v>0</v>
      </c>
      <c r="C725" s="32" t="n">
        <f aca="false">SUMIFS(Report!$U:$U,Report!$T:$T,"MERCADORIAS P/REVENDA",Report!$AA:$AA,"SIM",Report!$C:$C,A725)</f>
        <v>0</v>
      </c>
      <c r="D725" s="33"/>
      <c r="E725" s="33"/>
      <c r="F725" s="32" t="n">
        <f aca="false">B725+C725</f>
        <v>0</v>
      </c>
    </row>
    <row r="726" customFormat="false" ht="12.75" hidden="false" customHeight="true" outlineLevel="0" collapsed="false">
      <c r="A726" s="31" t="n">
        <v>46656</v>
      </c>
      <c r="B726" s="32" t="n">
        <f aca="false">SUMIFS(Report!$U:$U,Report!$T:$T,"&lt;&gt;"&amp;"MERCADORIAS P/REVENDA",Report!$AA:$AA,"SIM",Report!$C:$C,A726)</f>
        <v>0</v>
      </c>
      <c r="C726" s="32" t="n">
        <f aca="false">SUMIFS(Report!$U:$U,Report!$T:$T,"MERCADORIAS P/REVENDA",Report!$AA:$AA,"SIM",Report!$C:$C,A726)</f>
        <v>0</v>
      </c>
      <c r="D726" s="33"/>
      <c r="E726" s="33"/>
      <c r="F726" s="32" t="n">
        <f aca="false">B726+C726</f>
        <v>0</v>
      </c>
    </row>
    <row r="727" customFormat="false" ht="12.75" hidden="false" customHeight="true" outlineLevel="0" collapsed="false">
      <c r="A727" s="31" t="n">
        <v>46657</v>
      </c>
      <c r="B727" s="32" t="n">
        <f aca="false">SUMIFS(Report!$U:$U,Report!$T:$T,"&lt;&gt;"&amp;"MERCADORIAS P/REVENDA",Report!$AA:$AA,"SIM",Report!$C:$C,A727)</f>
        <v>0</v>
      </c>
      <c r="C727" s="32" t="n">
        <f aca="false">SUMIFS(Report!$U:$U,Report!$T:$T,"MERCADORIAS P/REVENDA",Report!$AA:$AA,"SIM",Report!$C:$C,A727)</f>
        <v>0</v>
      </c>
      <c r="D727" s="33"/>
      <c r="E727" s="33"/>
      <c r="F727" s="32" t="n">
        <f aca="false">B727+C727</f>
        <v>0</v>
      </c>
    </row>
    <row r="728" customFormat="false" ht="12.75" hidden="false" customHeight="true" outlineLevel="0" collapsed="false">
      <c r="A728" s="34" t="s">
        <v>2221</v>
      </c>
      <c r="B728" s="22" t="n">
        <f aca="false">SUM(B721:B727)</f>
        <v>0</v>
      </c>
      <c r="C728" s="22" t="n">
        <f aca="false">SUM(C721:C727)</f>
        <v>0</v>
      </c>
      <c r="D728" s="26"/>
      <c r="E728" s="26"/>
      <c r="F728" s="22" t="n">
        <f aca="false">B728+C728</f>
        <v>0</v>
      </c>
    </row>
    <row r="729" customFormat="false" ht="12.75" hidden="false" customHeight="true" outlineLevel="0" collapsed="false">
      <c r="A729" s="14" t="n">
        <v>46658</v>
      </c>
      <c r="B729" s="15" t="n">
        <f aca="false">SUMIFS(Report!$U:$U,Report!$T:$T,"&lt;&gt;"&amp;"MERCADORIAS P/REVENDA",Report!$AA:$AA,"SIM",Report!$C:$C,A729)</f>
        <v>0</v>
      </c>
      <c r="C729" s="15" t="n">
        <f aca="false">SUMIFS(Report!$U:$U,Report!$T:$T,"MERCADORIAS P/REVENDA",Report!$AA:$AA,"SIM",Report!$C:$C,A729)</f>
        <v>0</v>
      </c>
      <c r="F729" s="15" t="n">
        <f aca="false">B729+C729</f>
        <v>0</v>
      </c>
    </row>
    <row r="730" customFormat="false" ht="12.75" hidden="false" customHeight="true" outlineLevel="0" collapsed="false">
      <c r="A730" s="14" t="n">
        <v>46659</v>
      </c>
      <c r="B730" s="15" t="n">
        <f aca="false">SUMIFS(Report!$U:$U,Report!$T:$T,"&lt;&gt;"&amp;"MERCADORIAS P/REVENDA",Report!$AA:$AA,"SIM",Report!$C:$C,A730)</f>
        <v>0</v>
      </c>
      <c r="C730" s="15" t="n">
        <f aca="false">SUMIFS(Report!$U:$U,Report!$T:$T,"MERCADORIAS P/REVENDA",Report!$AA:$AA,"SIM",Report!$C:$C,A730)</f>
        <v>0</v>
      </c>
      <c r="F730" s="15" t="n">
        <f aca="false">B730+C730</f>
        <v>0</v>
      </c>
    </row>
    <row r="731" customFormat="false" ht="12.75" hidden="false" customHeight="true" outlineLevel="0" collapsed="false">
      <c r="A731" s="14" t="n">
        <v>46660</v>
      </c>
      <c r="B731" s="15" t="n">
        <f aca="false">SUMIFS(Report!$U:$U,Report!$T:$T,"&lt;&gt;"&amp;"MERCADORIAS P/REVENDA",Report!$AA:$AA,"SIM",Report!$C:$C,A731)</f>
        <v>0</v>
      </c>
      <c r="C731" s="15" t="n">
        <f aca="false">SUMIFS(Report!$U:$U,Report!$T:$T,"MERCADORIAS P/REVENDA",Report!$AA:$AA,"SIM",Report!$C:$C,A731)</f>
        <v>0</v>
      </c>
      <c r="F731" s="15" t="n">
        <f aca="false">B731+C731</f>
        <v>0</v>
      </c>
    </row>
    <row r="732" customFormat="false" ht="12.75" hidden="false" customHeight="true" outlineLevel="0" collapsed="false">
      <c r="A732" s="14" t="n">
        <v>46661</v>
      </c>
      <c r="B732" s="15" t="n">
        <f aca="false">SUMIFS(Report!$U:$U,Report!$T:$T,"&lt;&gt;"&amp;"MERCADORIAS P/REVENDA",Report!$AA:$AA,"SIM",Report!$C:$C,A732)</f>
        <v>0</v>
      </c>
      <c r="C732" s="15" t="n">
        <f aca="false">SUMIFS(Report!$U:$U,Report!$T:$T,"MERCADORIAS P/REVENDA",Report!$AA:$AA,"SIM",Report!$C:$C,A732)</f>
        <v>0</v>
      </c>
      <c r="F732" s="15" t="n">
        <f aca="false">B732+C732</f>
        <v>0</v>
      </c>
    </row>
    <row r="733" customFormat="false" ht="12.75" hidden="false" customHeight="true" outlineLevel="0" collapsed="false">
      <c r="A733" s="31" t="n">
        <v>46662</v>
      </c>
      <c r="B733" s="32" t="n">
        <f aca="false">SUMIFS(Report!$U:$U,Report!$T:$T,"&lt;&gt;"&amp;"MERCADORIAS P/REVENDA",Report!$AA:$AA,"SIM",Report!$C:$C,A733)</f>
        <v>0</v>
      </c>
      <c r="C733" s="32" t="n">
        <f aca="false">SUMIFS(Report!$U:$U,Report!$T:$T,"MERCADORIAS P/REVENDA",Report!$AA:$AA,"SIM",Report!$C:$C,A733)</f>
        <v>0</v>
      </c>
      <c r="D733" s="33"/>
      <c r="E733" s="33"/>
      <c r="F733" s="32" t="n">
        <f aca="false">B733+C733</f>
        <v>0</v>
      </c>
    </row>
    <row r="734" customFormat="false" ht="12.75" hidden="false" customHeight="true" outlineLevel="0" collapsed="false">
      <c r="A734" s="31" t="n">
        <v>46663</v>
      </c>
      <c r="B734" s="32" t="n">
        <f aca="false">SUMIFS(Report!$U:$U,Report!$T:$T,"&lt;&gt;"&amp;"MERCADORIAS P/REVENDA",Report!$AA:$AA,"SIM",Report!$C:$C,A734)</f>
        <v>0</v>
      </c>
      <c r="C734" s="32" t="n">
        <f aca="false">SUMIFS(Report!$U:$U,Report!$T:$T,"MERCADORIAS P/REVENDA",Report!$AA:$AA,"SIM",Report!$C:$C,A734)</f>
        <v>0</v>
      </c>
      <c r="D734" s="33"/>
      <c r="E734" s="33"/>
      <c r="F734" s="32" t="n">
        <f aca="false">B734+C734</f>
        <v>0</v>
      </c>
    </row>
    <row r="735" customFormat="false" ht="12.75" hidden="false" customHeight="true" outlineLevel="0" collapsed="false">
      <c r="A735" s="31" t="n">
        <v>46664</v>
      </c>
      <c r="B735" s="32" t="n">
        <f aca="false">SUMIFS(Report!$U:$U,Report!$T:$T,"&lt;&gt;"&amp;"MERCADORIAS P/REVENDA",Report!$AA:$AA,"SIM",Report!$C:$C,A735)</f>
        <v>0</v>
      </c>
      <c r="C735" s="32" t="n">
        <f aca="false">SUMIFS(Report!$U:$U,Report!$T:$T,"MERCADORIAS P/REVENDA",Report!$AA:$AA,"SIM",Report!$C:$C,A735)</f>
        <v>0</v>
      </c>
      <c r="D735" s="33"/>
      <c r="E735" s="33"/>
      <c r="F735" s="32" t="n">
        <f aca="false">B735+C735</f>
        <v>0</v>
      </c>
    </row>
    <row r="736" customFormat="false" ht="12.75" hidden="false" customHeight="true" outlineLevel="0" collapsed="false">
      <c r="A736" s="34" t="s">
        <v>2222</v>
      </c>
      <c r="B736" s="22" t="n">
        <f aca="false">SUM(B729:B735)</f>
        <v>0</v>
      </c>
      <c r="C736" s="22" t="n">
        <f aca="false">SUM(C729:C735)</f>
        <v>0</v>
      </c>
      <c r="D736" s="26"/>
      <c r="E736" s="26"/>
      <c r="F736" s="22" t="n">
        <f aca="false">B736+C736</f>
        <v>0</v>
      </c>
    </row>
    <row r="737" customFormat="false" ht="12.75" hidden="false" customHeight="true" outlineLevel="0" collapsed="false">
      <c r="A737" s="14" t="n">
        <v>46665</v>
      </c>
      <c r="B737" s="15" t="n">
        <f aca="false">SUMIFS(Report!$U:$U,Report!$T:$T,"&lt;&gt;"&amp;"MERCADORIAS P/REVENDA",Report!$AA:$AA,"SIM",Report!$C:$C,A737)</f>
        <v>0</v>
      </c>
      <c r="C737" s="15" t="n">
        <f aca="false">SUMIFS(Report!$U:$U,Report!$T:$T,"MERCADORIAS P/REVENDA",Report!$AA:$AA,"SIM",Report!$C:$C,A737)</f>
        <v>0</v>
      </c>
      <c r="F737" s="15" t="n">
        <f aca="false">B737+C737</f>
        <v>0</v>
      </c>
    </row>
    <row r="738" customFormat="false" ht="12.75" hidden="false" customHeight="true" outlineLevel="0" collapsed="false">
      <c r="A738" s="14" t="n">
        <v>46666</v>
      </c>
      <c r="B738" s="15" t="n">
        <f aca="false">SUMIFS(Report!$U:$U,Report!$T:$T,"&lt;&gt;"&amp;"MERCADORIAS P/REVENDA",Report!$AA:$AA,"SIM",Report!$C:$C,A738)</f>
        <v>0</v>
      </c>
      <c r="C738" s="15" t="n">
        <f aca="false">SUMIFS(Report!$U:$U,Report!$T:$T,"MERCADORIAS P/REVENDA",Report!$AA:$AA,"SIM",Report!$C:$C,A738)</f>
        <v>0</v>
      </c>
      <c r="F738" s="15" t="n">
        <f aca="false">B738+C738</f>
        <v>0</v>
      </c>
    </row>
    <row r="739" customFormat="false" ht="12.75" hidden="false" customHeight="true" outlineLevel="0" collapsed="false">
      <c r="A739" s="14" t="n">
        <v>46667</v>
      </c>
      <c r="B739" s="15" t="n">
        <f aca="false">SUMIFS(Report!$U:$U,Report!$T:$T,"&lt;&gt;"&amp;"MERCADORIAS P/REVENDA",Report!$AA:$AA,"SIM",Report!$C:$C,A739)</f>
        <v>0</v>
      </c>
      <c r="C739" s="15" t="n">
        <f aca="false">SUMIFS(Report!$U:$U,Report!$T:$T,"MERCADORIAS P/REVENDA",Report!$AA:$AA,"SIM",Report!$C:$C,A739)</f>
        <v>0</v>
      </c>
      <c r="F739" s="15" t="n">
        <f aca="false">B739+C739</f>
        <v>0</v>
      </c>
    </row>
    <row r="740" customFormat="false" ht="12.75" hidden="false" customHeight="true" outlineLevel="0" collapsed="false">
      <c r="A740" s="14" t="n">
        <v>46668</v>
      </c>
      <c r="B740" s="15" t="n">
        <f aca="false">SUMIFS(Report!$U:$U,Report!$T:$T,"&lt;&gt;"&amp;"MERCADORIAS P/REVENDA",Report!$AA:$AA,"SIM",Report!$C:$C,A740)</f>
        <v>0</v>
      </c>
      <c r="C740" s="15" t="n">
        <f aca="false">SUMIFS(Report!$U:$U,Report!$T:$T,"MERCADORIAS P/REVENDA",Report!$AA:$AA,"SIM",Report!$C:$C,A740)</f>
        <v>0</v>
      </c>
      <c r="F740" s="15" t="n">
        <f aca="false">B740+C740</f>
        <v>0</v>
      </c>
    </row>
    <row r="741" customFormat="false" ht="12.75" hidden="false" customHeight="true" outlineLevel="0" collapsed="false">
      <c r="A741" s="31" t="n">
        <v>46669</v>
      </c>
      <c r="B741" s="32" t="n">
        <f aca="false">SUMIFS(Report!$U:$U,Report!$T:$T,"&lt;&gt;"&amp;"MERCADORIAS P/REVENDA",Report!$AA:$AA,"SIM",Report!$C:$C,A741)</f>
        <v>0</v>
      </c>
      <c r="C741" s="32" t="n">
        <f aca="false">SUMIFS(Report!$U:$U,Report!$T:$T,"MERCADORIAS P/REVENDA",Report!$AA:$AA,"SIM",Report!$C:$C,A741)</f>
        <v>0</v>
      </c>
      <c r="D741" s="33"/>
      <c r="E741" s="33"/>
      <c r="F741" s="32" t="n">
        <f aca="false">B741+C741</f>
        <v>0</v>
      </c>
    </row>
    <row r="742" customFormat="false" ht="12.75" hidden="false" customHeight="true" outlineLevel="0" collapsed="false">
      <c r="A742" s="31" t="n">
        <v>46670</v>
      </c>
      <c r="B742" s="32" t="n">
        <f aca="false">SUMIFS(Report!$U:$U,Report!$T:$T,"&lt;&gt;"&amp;"MERCADORIAS P/REVENDA",Report!$AA:$AA,"SIM",Report!$C:$C,A742)</f>
        <v>0</v>
      </c>
      <c r="C742" s="32" t="n">
        <f aca="false">SUMIFS(Report!$U:$U,Report!$T:$T,"MERCADORIAS P/REVENDA",Report!$AA:$AA,"SIM",Report!$C:$C,A742)</f>
        <v>0</v>
      </c>
      <c r="D742" s="33"/>
      <c r="E742" s="33"/>
      <c r="F742" s="32" t="n">
        <f aca="false">B742+C742</f>
        <v>0</v>
      </c>
    </row>
    <row r="743" customFormat="false" ht="12.75" hidden="false" customHeight="true" outlineLevel="0" collapsed="false">
      <c r="A743" s="31" t="n">
        <v>46671</v>
      </c>
      <c r="B743" s="32" t="n">
        <f aca="false">SUMIFS(Report!$U:$U,Report!$T:$T,"&lt;&gt;"&amp;"MERCADORIAS P/REVENDA",Report!$AA:$AA,"SIM",Report!$C:$C,A743)</f>
        <v>0</v>
      </c>
      <c r="C743" s="32" t="n">
        <f aca="false">SUMIFS(Report!$U:$U,Report!$T:$T,"MERCADORIAS P/REVENDA",Report!$AA:$AA,"SIM",Report!$C:$C,A743)</f>
        <v>0</v>
      </c>
      <c r="D743" s="33"/>
      <c r="E743" s="33"/>
      <c r="F743" s="32" t="n">
        <f aca="false">B743+C743</f>
        <v>0</v>
      </c>
    </row>
    <row r="744" customFormat="false" ht="12.75" hidden="false" customHeight="true" outlineLevel="0" collapsed="false">
      <c r="A744" s="34" t="s">
        <v>2223</v>
      </c>
      <c r="B744" s="22" t="n">
        <f aca="false">SUM(B737:B743)</f>
        <v>0</v>
      </c>
      <c r="C744" s="22" t="n">
        <f aca="false">SUM(C737:C743)</f>
        <v>0</v>
      </c>
      <c r="D744" s="26"/>
      <c r="E744" s="26"/>
      <c r="F744" s="22" t="n">
        <f aca="false">B744+C744</f>
        <v>0</v>
      </c>
    </row>
    <row r="745" customFormat="false" ht="12.75" hidden="false" customHeight="true" outlineLevel="0" collapsed="false">
      <c r="A745" s="14" t="n">
        <v>46672</v>
      </c>
      <c r="B745" s="15" t="n">
        <f aca="false">SUMIFS(Report!$U:$U,Report!$T:$T,"&lt;&gt;"&amp;"MERCADORIAS P/REVENDA",Report!$AA:$AA,"SIM",Report!$C:$C,A745)</f>
        <v>0</v>
      </c>
      <c r="C745" s="15" t="n">
        <f aca="false">SUMIFS(Report!$U:$U,Report!$T:$T,"MERCADORIAS P/REVENDA",Report!$AA:$AA,"SIM",Report!$C:$C,A745)</f>
        <v>0</v>
      </c>
      <c r="F745" s="15" t="n">
        <f aca="false">B745+C745</f>
        <v>0</v>
      </c>
    </row>
    <row r="746" customFormat="false" ht="12.75" hidden="false" customHeight="true" outlineLevel="0" collapsed="false">
      <c r="A746" s="14" t="n">
        <v>46673</v>
      </c>
      <c r="B746" s="15" t="n">
        <f aca="false">SUMIFS(Report!$U:$U,Report!$T:$T,"&lt;&gt;"&amp;"MERCADORIAS P/REVENDA",Report!$AA:$AA,"SIM",Report!$C:$C,A746)</f>
        <v>0</v>
      </c>
      <c r="C746" s="15" t="n">
        <f aca="false">SUMIFS(Report!$U:$U,Report!$T:$T,"MERCADORIAS P/REVENDA",Report!$AA:$AA,"SIM",Report!$C:$C,A746)</f>
        <v>0</v>
      </c>
      <c r="F746" s="15" t="n">
        <f aca="false">B746+C746</f>
        <v>0</v>
      </c>
    </row>
    <row r="747" customFormat="false" ht="12.75" hidden="false" customHeight="true" outlineLevel="0" collapsed="false">
      <c r="A747" s="14" t="n">
        <v>46674</v>
      </c>
      <c r="B747" s="15" t="n">
        <f aca="false">SUMIFS(Report!$U:$U,Report!$T:$T,"&lt;&gt;"&amp;"MERCADORIAS P/REVENDA",Report!$AA:$AA,"SIM",Report!$C:$C,A747)</f>
        <v>0</v>
      </c>
      <c r="C747" s="15" t="n">
        <f aca="false">SUMIFS(Report!$U:$U,Report!$T:$T,"MERCADORIAS P/REVENDA",Report!$AA:$AA,"SIM",Report!$C:$C,A747)</f>
        <v>0</v>
      </c>
      <c r="F747" s="15" t="n">
        <f aca="false">B747+C747</f>
        <v>0</v>
      </c>
    </row>
    <row r="748" customFormat="false" ht="12.75" hidden="false" customHeight="true" outlineLevel="0" collapsed="false">
      <c r="A748" s="14" t="n">
        <v>46675</v>
      </c>
      <c r="B748" s="15" t="n">
        <f aca="false">SUMIFS(Report!$U:$U,Report!$T:$T,"&lt;&gt;"&amp;"MERCADORIAS P/REVENDA",Report!$AA:$AA,"SIM",Report!$C:$C,A748)</f>
        <v>0</v>
      </c>
      <c r="C748" s="15" t="n">
        <f aca="false">SUMIFS(Report!$U:$U,Report!$T:$T,"MERCADORIAS P/REVENDA",Report!$AA:$AA,"SIM",Report!$C:$C,A748)</f>
        <v>0</v>
      </c>
      <c r="F748" s="15" t="n">
        <f aca="false">B748+C748</f>
        <v>0</v>
      </c>
    </row>
    <row r="749" customFormat="false" ht="12.75" hidden="false" customHeight="true" outlineLevel="0" collapsed="false">
      <c r="A749" s="31" t="n">
        <v>46676</v>
      </c>
      <c r="B749" s="32" t="n">
        <f aca="false">SUMIFS(Report!$U:$U,Report!$T:$T,"&lt;&gt;"&amp;"MERCADORIAS P/REVENDA",Report!$AA:$AA,"SIM",Report!$C:$C,A749)</f>
        <v>0</v>
      </c>
      <c r="C749" s="32" t="n">
        <f aca="false">SUMIFS(Report!$U:$U,Report!$T:$T,"MERCADORIAS P/REVENDA",Report!$AA:$AA,"SIM",Report!$C:$C,A749)</f>
        <v>0</v>
      </c>
      <c r="D749" s="33"/>
      <c r="E749" s="33"/>
      <c r="F749" s="32" t="n">
        <f aca="false">B749+C749</f>
        <v>0</v>
      </c>
    </row>
    <row r="750" customFormat="false" ht="12.75" hidden="false" customHeight="true" outlineLevel="0" collapsed="false">
      <c r="A750" s="31" t="n">
        <v>46677</v>
      </c>
      <c r="B750" s="32" t="n">
        <f aca="false">SUMIFS(Report!$U:$U,Report!$T:$T,"&lt;&gt;"&amp;"MERCADORIAS P/REVENDA",Report!$AA:$AA,"SIM",Report!$C:$C,A750)</f>
        <v>0</v>
      </c>
      <c r="C750" s="32" t="n">
        <f aca="false">SUMIFS(Report!$U:$U,Report!$T:$T,"MERCADORIAS P/REVENDA",Report!$AA:$AA,"SIM",Report!$C:$C,A750)</f>
        <v>0</v>
      </c>
      <c r="D750" s="33"/>
      <c r="E750" s="33"/>
      <c r="F750" s="32" t="n">
        <f aca="false">B750+C750</f>
        <v>0</v>
      </c>
    </row>
    <row r="751" customFormat="false" ht="12.75" hidden="false" customHeight="true" outlineLevel="0" collapsed="false">
      <c r="A751" s="31" t="n">
        <v>46678</v>
      </c>
      <c r="B751" s="32" t="n">
        <f aca="false">SUMIFS(Report!$U:$U,Report!$T:$T,"&lt;&gt;"&amp;"MERCADORIAS P/REVENDA",Report!$AA:$AA,"SIM",Report!$C:$C,A751)</f>
        <v>0</v>
      </c>
      <c r="C751" s="32" t="n">
        <f aca="false">SUMIFS(Report!$U:$U,Report!$T:$T,"MERCADORIAS P/REVENDA",Report!$AA:$AA,"SIM",Report!$C:$C,A751)</f>
        <v>0</v>
      </c>
      <c r="D751" s="33"/>
      <c r="E751" s="33"/>
      <c r="F751" s="32" t="n">
        <f aca="false">B751+C751</f>
        <v>0</v>
      </c>
    </row>
    <row r="752" customFormat="false" ht="12.75" hidden="false" customHeight="true" outlineLevel="0" collapsed="false">
      <c r="A752" s="34" t="s">
        <v>2224</v>
      </c>
      <c r="B752" s="22" t="n">
        <f aca="false">SUM(B745:B751)</f>
        <v>0</v>
      </c>
      <c r="C752" s="22" t="n">
        <f aca="false">SUM(C745:C751)</f>
        <v>0</v>
      </c>
      <c r="D752" s="26"/>
      <c r="E752" s="26"/>
      <c r="F752" s="22" t="n">
        <f aca="false">B752+C752</f>
        <v>0</v>
      </c>
    </row>
    <row r="753" customFormat="false" ht="12.75" hidden="false" customHeight="true" outlineLevel="0" collapsed="false">
      <c r="A753" s="14" t="n">
        <v>46679</v>
      </c>
      <c r="B753" s="15" t="n">
        <f aca="false">SUMIFS(Report!$U:$U,Report!$T:$T,"&lt;&gt;"&amp;"MERCADORIAS P/REVENDA",Report!$AA:$AA,"SIM",Report!$C:$C,A753)</f>
        <v>0</v>
      </c>
      <c r="C753" s="15" t="n">
        <f aca="false">SUMIFS(Report!$U:$U,Report!$T:$T,"MERCADORIAS P/REVENDA",Report!$AA:$AA,"SIM",Report!$C:$C,A753)</f>
        <v>0</v>
      </c>
      <c r="F753" s="15" t="n">
        <f aca="false">B753+C753</f>
        <v>0</v>
      </c>
    </row>
    <row r="754" customFormat="false" ht="12.75" hidden="false" customHeight="true" outlineLevel="0" collapsed="false">
      <c r="A754" s="14" t="n">
        <v>46680</v>
      </c>
      <c r="B754" s="15" t="n">
        <f aca="false">SUMIFS(Report!$U:$U,Report!$T:$T,"&lt;&gt;"&amp;"MERCADORIAS P/REVENDA",Report!$AA:$AA,"SIM",Report!$C:$C,A754)</f>
        <v>0</v>
      </c>
      <c r="C754" s="15" t="n">
        <f aca="false">SUMIFS(Report!$U:$U,Report!$T:$T,"MERCADORIAS P/REVENDA",Report!$AA:$AA,"SIM",Report!$C:$C,A754)</f>
        <v>0</v>
      </c>
      <c r="F754" s="15" t="n">
        <f aca="false">B754+C754</f>
        <v>0</v>
      </c>
    </row>
    <row r="755" customFormat="false" ht="12.75" hidden="false" customHeight="true" outlineLevel="0" collapsed="false">
      <c r="A755" s="14" t="n">
        <v>46681</v>
      </c>
      <c r="B755" s="15" t="n">
        <f aca="false">SUMIFS(Report!$U:$U,Report!$T:$T,"&lt;&gt;"&amp;"MERCADORIAS P/REVENDA",Report!$AA:$AA,"SIM",Report!$C:$C,A755)</f>
        <v>0</v>
      </c>
      <c r="C755" s="15" t="n">
        <f aca="false">SUMIFS(Report!$U:$U,Report!$T:$T,"MERCADORIAS P/REVENDA",Report!$AA:$AA,"SIM",Report!$C:$C,A755)</f>
        <v>0</v>
      </c>
      <c r="F755" s="15" t="n">
        <f aca="false">B755+C755</f>
        <v>0</v>
      </c>
    </row>
    <row r="756" customFormat="false" ht="12.75" hidden="false" customHeight="true" outlineLevel="0" collapsed="false">
      <c r="A756" s="14" t="n">
        <v>46682</v>
      </c>
      <c r="B756" s="15" t="n">
        <f aca="false">SUMIFS(Report!$U:$U,Report!$T:$T,"&lt;&gt;"&amp;"MERCADORIAS P/REVENDA",Report!$AA:$AA,"SIM",Report!$C:$C,A756)</f>
        <v>0</v>
      </c>
      <c r="C756" s="15" t="n">
        <f aca="false">SUMIFS(Report!$U:$U,Report!$T:$T,"MERCADORIAS P/REVENDA",Report!$AA:$AA,"SIM",Report!$C:$C,A756)</f>
        <v>0</v>
      </c>
      <c r="F756" s="15" t="n">
        <f aca="false">B756+C756</f>
        <v>0</v>
      </c>
    </row>
    <row r="757" customFormat="false" ht="12.75" hidden="false" customHeight="true" outlineLevel="0" collapsed="false">
      <c r="A757" s="31" t="n">
        <v>46683</v>
      </c>
      <c r="B757" s="32" t="n">
        <f aca="false">SUMIFS(Report!$U:$U,Report!$T:$T,"&lt;&gt;"&amp;"MERCADORIAS P/REVENDA",Report!$AA:$AA,"SIM",Report!$C:$C,A757)</f>
        <v>0</v>
      </c>
      <c r="C757" s="32" t="n">
        <f aca="false">SUMIFS(Report!$U:$U,Report!$T:$T,"MERCADORIAS P/REVENDA",Report!$AA:$AA,"SIM",Report!$C:$C,A757)</f>
        <v>0</v>
      </c>
      <c r="D757" s="33"/>
      <c r="E757" s="33"/>
      <c r="F757" s="32" t="n">
        <f aca="false">B757+C757</f>
        <v>0</v>
      </c>
    </row>
    <row r="758" customFormat="false" ht="12.75" hidden="false" customHeight="true" outlineLevel="0" collapsed="false">
      <c r="A758" s="31" t="n">
        <v>46684</v>
      </c>
      <c r="B758" s="32" t="n">
        <f aca="false">SUMIFS(Report!$U:$U,Report!$T:$T,"&lt;&gt;"&amp;"MERCADORIAS P/REVENDA",Report!$AA:$AA,"SIM",Report!$C:$C,A758)</f>
        <v>0</v>
      </c>
      <c r="C758" s="32" t="n">
        <f aca="false">SUMIFS(Report!$U:$U,Report!$T:$T,"MERCADORIAS P/REVENDA",Report!$AA:$AA,"SIM",Report!$C:$C,A758)</f>
        <v>0</v>
      </c>
      <c r="D758" s="33"/>
      <c r="E758" s="33"/>
      <c r="F758" s="32" t="n">
        <f aca="false">B758+C758</f>
        <v>0</v>
      </c>
    </row>
    <row r="759" customFormat="false" ht="12.75" hidden="false" customHeight="true" outlineLevel="0" collapsed="false">
      <c r="A759" s="31" t="n">
        <v>46685</v>
      </c>
      <c r="B759" s="32" t="n">
        <f aca="false">SUMIFS(Report!$U:$U,Report!$T:$T,"&lt;&gt;"&amp;"MERCADORIAS P/REVENDA",Report!$AA:$AA,"SIM",Report!$C:$C,A759)</f>
        <v>0</v>
      </c>
      <c r="C759" s="32" t="n">
        <f aca="false">SUMIFS(Report!$U:$U,Report!$T:$T,"MERCADORIAS P/REVENDA",Report!$AA:$AA,"SIM",Report!$C:$C,A759)</f>
        <v>0</v>
      </c>
      <c r="D759" s="33"/>
      <c r="E759" s="33"/>
      <c r="F759" s="32" t="n">
        <f aca="false">B759+C759</f>
        <v>0</v>
      </c>
    </row>
    <row r="760" customFormat="false" ht="12.75" hidden="false" customHeight="true" outlineLevel="0" collapsed="false">
      <c r="A760" s="34" t="s">
        <v>2225</v>
      </c>
      <c r="B760" s="22" t="n">
        <f aca="false">SUM(B753:B759)</f>
        <v>0</v>
      </c>
      <c r="C760" s="22" t="n">
        <f aca="false">SUM(C753:C759)</f>
        <v>0</v>
      </c>
      <c r="D760" s="26"/>
      <c r="E760" s="26"/>
      <c r="F760" s="22" t="n">
        <f aca="false">B760+C760</f>
        <v>0</v>
      </c>
    </row>
    <row r="761" customFormat="false" ht="12.75" hidden="false" customHeight="true" outlineLevel="0" collapsed="false">
      <c r="A761" s="14" t="n">
        <v>46686</v>
      </c>
      <c r="B761" s="15" t="n">
        <f aca="false">SUMIFS(Report!$U:$U,Report!$T:$T,"&lt;&gt;"&amp;"MERCADORIAS P/REVENDA",Report!$AA:$AA,"SIM",Report!$C:$C,A761)</f>
        <v>0</v>
      </c>
      <c r="C761" s="15" t="n">
        <f aca="false">SUMIFS(Report!$U:$U,Report!$T:$T,"MERCADORIAS P/REVENDA",Report!$AA:$AA,"SIM",Report!$C:$C,A761)</f>
        <v>0</v>
      </c>
      <c r="F761" s="15" t="n">
        <f aca="false">B761+C761</f>
        <v>0</v>
      </c>
    </row>
    <row r="762" customFormat="false" ht="12.75" hidden="false" customHeight="true" outlineLevel="0" collapsed="false">
      <c r="A762" s="14" t="n">
        <v>46687</v>
      </c>
      <c r="B762" s="15" t="n">
        <f aca="false">SUMIFS(Report!$U:$U,Report!$T:$T,"&lt;&gt;"&amp;"MERCADORIAS P/REVENDA",Report!$AA:$AA,"SIM",Report!$C:$C,A762)</f>
        <v>0</v>
      </c>
      <c r="C762" s="15" t="n">
        <f aca="false">SUMIFS(Report!$U:$U,Report!$T:$T,"MERCADORIAS P/REVENDA",Report!$AA:$AA,"SIM",Report!$C:$C,A762)</f>
        <v>0</v>
      </c>
      <c r="F762" s="15" t="n">
        <f aca="false">B762+C762</f>
        <v>0</v>
      </c>
    </row>
    <row r="763" customFormat="false" ht="12.75" hidden="false" customHeight="true" outlineLevel="0" collapsed="false">
      <c r="A763" s="14" t="n">
        <v>46688</v>
      </c>
      <c r="B763" s="15" t="n">
        <f aca="false">SUMIFS(Report!$U:$U,Report!$T:$T,"&lt;&gt;"&amp;"MERCADORIAS P/REVENDA",Report!$AA:$AA,"SIM",Report!$C:$C,A763)</f>
        <v>0</v>
      </c>
      <c r="C763" s="15" t="n">
        <f aca="false">SUMIFS(Report!$U:$U,Report!$T:$T,"MERCADORIAS P/REVENDA",Report!$AA:$AA,"SIM",Report!$C:$C,A763)</f>
        <v>0</v>
      </c>
      <c r="F763" s="15" t="n">
        <f aca="false">B763+C763</f>
        <v>0</v>
      </c>
    </row>
    <row r="764" customFormat="false" ht="12.75" hidden="false" customHeight="true" outlineLevel="0" collapsed="false">
      <c r="A764" s="14" t="n">
        <v>46689</v>
      </c>
      <c r="B764" s="15" t="n">
        <f aca="false">SUMIFS(Report!$U:$U,Report!$T:$T,"&lt;&gt;"&amp;"MERCADORIAS P/REVENDA",Report!$AA:$AA,"SIM",Report!$C:$C,A764)</f>
        <v>0</v>
      </c>
      <c r="C764" s="15" t="n">
        <f aca="false">SUMIFS(Report!$U:$U,Report!$T:$T,"MERCADORIAS P/REVENDA",Report!$AA:$AA,"SIM",Report!$C:$C,A764)</f>
        <v>0</v>
      </c>
      <c r="F764" s="15" t="n">
        <f aca="false">B764+C764</f>
        <v>0</v>
      </c>
    </row>
    <row r="765" customFormat="false" ht="12.75" hidden="false" customHeight="true" outlineLevel="0" collapsed="false">
      <c r="A765" s="31" t="n">
        <v>46690</v>
      </c>
      <c r="B765" s="32" t="n">
        <f aca="false">SUMIFS(Report!$U:$U,Report!$T:$T,"&lt;&gt;"&amp;"MERCADORIAS P/REVENDA",Report!$AA:$AA,"SIM",Report!$C:$C,A765)</f>
        <v>0</v>
      </c>
      <c r="C765" s="32" t="n">
        <f aca="false">SUMIFS(Report!$U:$U,Report!$T:$T,"MERCADORIAS P/REVENDA",Report!$AA:$AA,"SIM",Report!$C:$C,A765)</f>
        <v>0</v>
      </c>
      <c r="D765" s="33"/>
      <c r="E765" s="33"/>
      <c r="F765" s="32" t="n">
        <f aca="false">B765+C765</f>
        <v>0</v>
      </c>
    </row>
    <row r="766" customFormat="false" ht="12.75" hidden="false" customHeight="true" outlineLevel="0" collapsed="false">
      <c r="A766" s="31" t="n">
        <v>46691</v>
      </c>
      <c r="B766" s="32" t="n">
        <f aca="false">SUMIFS(Report!$U:$U,Report!$T:$T,"&lt;&gt;"&amp;"MERCADORIAS P/REVENDA",Report!$AA:$AA,"SIM",Report!$C:$C,A766)</f>
        <v>0</v>
      </c>
      <c r="C766" s="32" t="n">
        <f aca="false">SUMIFS(Report!$U:$U,Report!$T:$T,"MERCADORIAS P/REVENDA",Report!$AA:$AA,"SIM",Report!$C:$C,A766)</f>
        <v>0</v>
      </c>
      <c r="D766" s="33"/>
      <c r="E766" s="33"/>
      <c r="F766" s="32" t="n">
        <f aca="false">B766+C766</f>
        <v>0</v>
      </c>
    </row>
    <row r="767" customFormat="false" ht="12.75" hidden="false" customHeight="true" outlineLevel="0" collapsed="false">
      <c r="A767" s="31" t="n">
        <v>46692</v>
      </c>
      <c r="B767" s="32" t="n">
        <f aca="false">SUMIFS(Report!$U:$U,Report!$T:$T,"&lt;&gt;"&amp;"MERCADORIAS P/REVENDA",Report!$AA:$AA,"SIM",Report!$C:$C,A767)</f>
        <v>0</v>
      </c>
      <c r="C767" s="32" t="n">
        <f aca="false">SUMIFS(Report!$U:$U,Report!$T:$T,"MERCADORIAS P/REVENDA",Report!$AA:$AA,"SIM",Report!$C:$C,A767)</f>
        <v>0</v>
      </c>
      <c r="D767" s="33"/>
      <c r="E767" s="33"/>
      <c r="F767" s="32" t="n">
        <f aca="false">B767+C767</f>
        <v>0</v>
      </c>
    </row>
    <row r="768" customFormat="false" ht="12.75" hidden="false" customHeight="true" outlineLevel="0" collapsed="false">
      <c r="A768" s="34" t="s">
        <v>2226</v>
      </c>
      <c r="B768" s="22" t="n">
        <f aca="false">SUM(B761:B767)</f>
        <v>0</v>
      </c>
      <c r="C768" s="22" t="n">
        <f aca="false">SUM(C761:C767)</f>
        <v>0</v>
      </c>
      <c r="D768" s="26"/>
      <c r="E768" s="26"/>
      <c r="F768" s="22" t="n">
        <f aca="false">B768+C768</f>
        <v>0</v>
      </c>
    </row>
    <row r="769" customFormat="false" ht="12.75" hidden="false" customHeight="true" outlineLevel="0" collapsed="false">
      <c r="A769" s="14" t="n">
        <v>46693</v>
      </c>
      <c r="B769" s="15" t="n">
        <f aca="false">SUMIFS(Report!$U:$U,Report!$T:$T,"&lt;&gt;"&amp;"MERCADORIAS P/REVENDA",Report!$AA:$AA,"SIM",Report!$C:$C,A769)</f>
        <v>0</v>
      </c>
      <c r="C769" s="15" t="n">
        <f aca="false">SUMIFS(Report!$U:$U,Report!$T:$T,"MERCADORIAS P/REVENDA",Report!$AA:$AA,"SIM",Report!$C:$C,A769)</f>
        <v>0</v>
      </c>
      <c r="F769" s="15" t="n">
        <f aca="false">B769+C769</f>
        <v>0</v>
      </c>
    </row>
    <row r="770" customFormat="false" ht="12.75" hidden="false" customHeight="true" outlineLevel="0" collapsed="false">
      <c r="A770" s="14" t="n">
        <v>46694</v>
      </c>
      <c r="B770" s="15" t="n">
        <f aca="false">SUMIFS(Report!$U:$U,Report!$T:$T,"&lt;&gt;"&amp;"MERCADORIAS P/REVENDA",Report!$AA:$AA,"SIM",Report!$C:$C,A770)</f>
        <v>0</v>
      </c>
      <c r="C770" s="15" t="n">
        <f aca="false">SUMIFS(Report!$U:$U,Report!$T:$T,"MERCADORIAS P/REVENDA",Report!$AA:$AA,"SIM",Report!$C:$C,A770)</f>
        <v>0</v>
      </c>
      <c r="F770" s="15" t="n">
        <f aca="false">B770+C770</f>
        <v>0</v>
      </c>
    </row>
    <row r="771" customFormat="false" ht="12.75" hidden="false" customHeight="true" outlineLevel="0" collapsed="false">
      <c r="A771" s="14" t="n">
        <v>46695</v>
      </c>
      <c r="B771" s="15" t="n">
        <f aca="false">SUMIFS(Report!$U:$U,Report!$T:$T,"&lt;&gt;"&amp;"MERCADORIAS P/REVENDA",Report!$AA:$AA,"SIM",Report!$C:$C,A771)</f>
        <v>0</v>
      </c>
      <c r="C771" s="15" t="n">
        <f aca="false">SUMIFS(Report!$U:$U,Report!$T:$T,"MERCADORIAS P/REVENDA",Report!$AA:$AA,"SIM",Report!$C:$C,A771)</f>
        <v>0</v>
      </c>
      <c r="F771" s="15" t="n">
        <f aca="false">B771+C771</f>
        <v>0</v>
      </c>
    </row>
    <row r="772" customFormat="false" ht="12.75" hidden="false" customHeight="true" outlineLevel="0" collapsed="false">
      <c r="A772" s="14" t="n">
        <v>46696</v>
      </c>
      <c r="B772" s="15" t="n">
        <f aca="false">SUMIFS(Report!$U:$U,Report!$T:$T,"&lt;&gt;"&amp;"MERCADORIAS P/REVENDA",Report!$AA:$AA,"SIM",Report!$C:$C,A772)</f>
        <v>0</v>
      </c>
      <c r="C772" s="15" t="n">
        <f aca="false">SUMIFS(Report!$U:$U,Report!$T:$T,"MERCADORIAS P/REVENDA",Report!$AA:$AA,"SIM",Report!$C:$C,A772)</f>
        <v>0</v>
      </c>
      <c r="F772" s="15" t="n">
        <f aca="false">B772+C772</f>
        <v>0</v>
      </c>
    </row>
    <row r="773" customFormat="false" ht="12.75" hidden="false" customHeight="true" outlineLevel="0" collapsed="false">
      <c r="A773" s="31" t="n">
        <v>46697</v>
      </c>
      <c r="B773" s="32" t="n">
        <f aca="false">SUMIFS(Report!$U:$U,Report!$T:$T,"&lt;&gt;"&amp;"MERCADORIAS P/REVENDA",Report!$AA:$AA,"SIM",Report!$C:$C,A773)</f>
        <v>0</v>
      </c>
      <c r="C773" s="32" t="n">
        <f aca="false">SUMIFS(Report!$U:$U,Report!$T:$T,"MERCADORIAS P/REVENDA",Report!$AA:$AA,"SIM",Report!$C:$C,A773)</f>
        <v>0</v>
      </c>
      <c r="D773" s="33"/>
      <c r="E773" s="33"/>
      <c r="F773" s="32" t="n">
        <f aca="false">B773+C773</f>
        <v>0</v>
      </c>
    </row>
    <row r="774" customFormat="false" ht="12.75" hidden="false" customHeight="true" outlineLevel="0" collapsed="false">
      <c r="A774" s="31" t="n">
        <v>46698</v>
      </c>
      <c r="B774" s="32" t="n">
        <f aca="false">SUMIFS(Report!$U:$U,Report!$T:$T,"&lt;&gt;"&amp;"MERCADORIAS P/REVENDA",Report!$AA:$AA,"SIM",Report!$C:$C,A774)</f>
        <v>0</v>
      </c>
      <c r="C774" s="32" t="n">
        <f aca="false">SUMIFS(Report!$U:$U,Report!$T:$T,"MERCADORIAS P/REVENDA",Report!$AA:$AA,"SIM",Report!$C:$C,A774)</f>
        <v>0</v>
      </c>
      <c r="D774" s="33"/>
      <c r="E774" s="33"/>
      <c r="F774" s="32" t="n">
        <f aca="false">B774+C774</f>
        <v>0</v>
      </c>
    </row>
    <row r="775" customFormat="false" ht="12.75" hidden="false" customHeight="true" outlineLevel="0" collapsed="false">
      <c r="A775" s="31" t="n">
        <v>46699</v>
      </c>
      <c r="B775" s="32" t="n">
        <f aca="false">SUMIFS(Report!$U:$U,Report!$T:$T,"&lt;&gt;"&amp;"MERCADORIAS P/REVENDA",Report!$AA:$AA,"SIM",Report!$C:$C,A775)</f>
        <v>0</v>
      </c>
      <c r="C775" s="32" t="n">
        <f aca="false">SUMIFS(Report!$U:$U,Report!$T:$T,"MERCADORIAS P/REVENDA",Report!$AA:$AA,"SIM",Report!$C:$C,A775)</f>
        <v>0</v>
      </c>
      <c r="D775" s="33"/>
      <c r="E775" s="33"/>
      <c r="F775" s="32" t="n">
        <f aca="false">B775+C775</f>
        <v>0</v>
      </c>
    </row>
    <row r="776" customFormat="false" ht="12.75" hidden="false" customHeight="true" outlineLevel="0" collapsed="false">
      <c r="A776" s="34" t="s">
        <v>2227</v>
      </c>
      <c r="B776" s="22" t="n">
        <f aca="false">SUM(B769:B775)</f>
        <v>0</v>
      </c>
      <c r="C776" s="22" t="n">
        <f aca="false">SUM(C769:C775)</f>
        <v>0</v>
      </c>
      <c r="D776" s="26"/>
      <c r="E776" s="26"/>
      <c r="F776" s="22" t="n">
        <f aca="false">B776+C776</f>
        <v>0</v>
      </c>
    </row>
    <row r="777" customFormat="false" ht="12.75" hidden="false" customHeight="true" outlineLevel="0" collapsed="false">
      <c r="A777" s="14" t="n">
        <v>46700</v>
      </c>
      <c r="B777" s="15" t="n">
        <f aca="false">SUMIFS(Report!$U:$U,Report!$T:$T,"&lt;&gt;"&amp;"MERCADORIAS P/REVENDA",Report!$AA:$AA,"SIM",Report!$C:$C,A777)</f>
        <v>0</v>
      </c>
      <c r="C777" s="15" t="n">
        <f aca="false">SUMIFS(Report!$U:$U,Report!$T:$T,"MERCADORIAS P/REVENDA",Report!$AA:$AA,"SIM",Report!$C:$C,A777)</f>
        <v>0</v>
      </c>
      <c r="F777" s="15" t="n">
        <f aca="false">B777+C777</f>
        <v>0</v>
      </c>
    </row>
    <row r="778" customFormat="false" ht="12.75" hidden="false" customHeight="true" outlineLevel="0" collapsed="false">
      <c r="A778" s="14" t="n">
        <v>46701</v>
      </c>
      <c r="B778" s="15" t="n">
        <f aca="false">SUMIFS(Report!$U:$U,Report!$T:$T,"&lt;&gt;"&amp;"MERCADORIAS P/REVENDA",Report!$AA:$AA,"SIM",Report!$C:$C,A778)</f>
        <v>0</v>
      </c>
      <c r="C778" s="15" t="n">
        <f aca="false">SUMIFS(Report!$U:$U,Report!$T:$T,"MERCADORIAS P/REVENDA",Report!$AA:$AA,"SIM",Report!$C:$C,A778)</f>
        <v>0</v>
      </c>
      <c r="F778" s="15" t="n">
        <f aca="false">B778+C778</f>
        <v>0</v>
      </c>
    </row>
    <row r="779" customFormat="false" ht="12.75" hidden="false" customHeight="true" outlineLevel="0" collapsed="false">
      <c r="A779" s="14" t="n">
        <v>46702</v>
      </c>
      <c r="B779" s="15" t="n">
        <f aca="false">SUMIFS(Report!$U:$U,Report!$T:$T,"&lt;&gt;"&amp;"MERCADORIAS P/REVENDA",Report!$AA:$AA,"SIM",Report!$C:$C,A779)</f>
        <v>0</v>
      </c>
      <c r="C779" s="15" t="n">
        <f aca="false">SUMIFS(Report!$U:$U,Report!$T:$T,"MERCADORIAS P/REVENDA",Report!$AA:$AA,"SIM",Report!$C:$C,A779)</f>
        <v>0</v>
      </c>
      <c r="F779" s="15" t="n">
        <f aca="false">B779+C779</f>
        <v>0</v>
      </c>
    </row>
    <row r="780" customFormat="false" ht="12.75" hidden="false" customHeight="true" outlineLevel="0" collapsed="false">
      <c r="A780" s="14" t="n">
        <v>46703</v>
      </c>
      <c r="B780" s="15" t="n">
        <f aca="false">SUMIFS(Report!$U:$U,Report!$T:$T,"&lt;&gt;"&amp;"MERCADORIAS P/REVENDA",Report!$AA:$AA,"SIM",Report!$C:$C,A780)</f>
        <v>0</v>
      </c>
      <c r="C780" s="15" t="n">
        <f aca="false">SUMIFS(Report!$U:$U,Report!$T:$T,"MERCADORIAS P/REVENDA",Report!$AA:$AA,"SIM",Report!$C:$C,A780)</f>
        <v>0</v>
      </c>
      <c r="F780" s="15" t="n">
        <f aca="false">B780+C780</f>
        <v>0</v>
      </c>
    </row>
    <row r="781" customFormat="false" ht="12.75" hidden="false" customHeight="true" outlineLevel="0" collapsed="false">
      <c r="A781" s="31" t="n">
        <v>46704</v>
      </c>
      <c r="B781" s="32" t="n">
        <f aca="false">SUMIFS(Report!$U:$U,Report!$T:$T,"&lt;&gt;"&amp;"MERCADORIAS P/REVENDA",Report!$AA:$AA,"SIM",Report!$C:$C,A781)</f>
        <v>0</v>
      </c>
      <c r="C781" s="32" t="n">
        <f aca="false">SUMIFS(Report!$U:$U,Report!$T:$T,"MERCADORIAS P/REVENDA",Report!$AA:$AA,"SIM",Report!$C:$C,A781)</f>
        <v>0</v>
      </c>
      <c r="D781" s="33"/>
      <c r="E781" s="33"/>
      <c r="F781" s="32" t="n">
        <f aca="false">B781+C781</f>
        <v>0</v>
      </c>
    </row>
    <row r="782" customFormat="false" ht="12.75" hidden="false" customHeight="true" outlineLevel="0" collapsed="false">
      <c r="A782" s="31" t="n">
        <v>46705</v>
      </c>
      <c r="B782" s="32" t="n">
        <f aca="false">SUMIFS(Report!$U:$U,Report!$T:$T,"&lt;&gt;"&amp;"MERCADORIAS P/REVENDA",Report!$AA:$AA,"SIM",Report!$C:$C,A782)</f>
        <v>0</v>
      </c>
      <c r="C782" s="32" t="n">
        <f aca="false">SUMIFS(Report!$U:$U,Report!$T:$T,"MERCADORIAS P/REVENDA",Report!$AA:$AA,"SIM",Report!$C:$C,A782)</f>
        <v>0</v>
      </c>
      <c r="D782" s="33"/>
      <c r="E782" s="33"/>
      <c r="F782" s="32" t="n">
        <f aca="false">B782+C782</f>
        <v>0</v>
      </c>
    </row>
    <row r="783" customFormat="false" ht="12.75" hidden="false" customHeight="true" outlineLevel="0" collapsed="false">
      <c r="A783" s="31" t="n">
        <v>46706</v>
      </c>
      <c r="B783" s="32" t="n">
        <f aca="false">SUMIFS(Report!$U:$U,Report!$T:$T,"&lt;&gt;"&amp;"MERCADORIAS P/REVENDA",Report!$AA:$AA,"SIM",Report!$C:$C,A783)</f>
        <v>0</v>
      </c>
      <c r="C783" s="32" t="n">
        <f aca="false">SUMIFS(Report!$U:$U,Report!$T:$T,"MERCADORIAS P/REVENDA",Report!$AA:$AA,"SIM",Report!$C:$C,A783)</f>
        <v>0</v>
      </c>
      <c r="D783" s="33"/>
      <c r="E783" s="33"/>
      <c r="F783" s="32" t="n">
        <f aca="false">B783+C783</f>
        <v>0</v>
      </c>
    </row>
    <row r="784" customFormat="false" ht="12.75" hidden="false" customHeight="true" outlineLevel="0" collapsed="false">
      <c r="A784" s="34" t="s">
        <v>2228</v>
      </c>
      <c r="B784" s="22" t="n">
        <f aca="false">SUM(B777:B783)</f>
        <v>0</v>
      </c>
      <c r="C784" s="22" t="n">
        <f aca="false">SUM(C777:C783)</f>
        <v>0</v>
      </c>
      <c r="D784" s="26"/>
      <c r="E784" s="26"/>
      <c r="F784" s="22" t="n">
        <f aca="false">B784+C784</f>
        <v>0</v>
      </c>
    </row>
    <row r="785" customFormat="false" ht="12.75" hidden="false" customHeight="true" outlineLevel="0" collapsed="false">
      <c r="A785" s="14" t="n">
        <v>46707</v>
      </c>
      <c r="B785" s="15" t="n">
        <f aca="false">SUMIFS(Report!$U:$U,Report!$T:$T,"&lt;&gt;"&amp;"MERCADORIAS P/REVENDA",Report!$AA:$AA,"SIM",Report!$C:$C,A785)</f>
        <v>0</v>
      </c>
      <c r="C785" s="15" t="n">
        <f aca="false">SUMIFS(Report!$U:$U,Report!$T:$T,"MERCADORIAS P/REVENDA",Report!$AA:$AA,"SIM",Report!$C:$C,A785)</f>
        <v>0</v>
      </c>
      <c r="F785" s="15" t="n">
        <f aca="false">B785+C785</f>
        <v>0</v>
      </c>
    </row>
    <row r="786" customFormat="false" ht="12.75" hidden="false" customHeight="true" outlineLevel="0" collapsed="false">
      <c r="A786" s="14" t="n">
        <v>46708</v>
      </c>
      <c r="B786" s="15" t="n">
        <f aca="false">SUMIFS(Report!$U:$U,Report!$T:$T,"&lt;&gt;"&amp;"MERCADORIAS P/REVENDA",Report!$AA:$AA,"SIM",Report!$C:$C,A786)</f>
        <v>0</v>
      </c>
      <c r="C786" s="15" t="n">
        <f aca="false">SUMIFS(Report!$U:$U,Report!$T:$T,"MERCADORIAS P/REVENDA",Report!$AA:$AA,"SIM",Report!$C:$C,A786)</f>
        <v>0</v>
      </c>
      <c r="F786" s="15" t="n">
        <f aca="false">B786+C786</f>
        <v>0</v>
      </c>
    </row>
    <row r="787" customFormat="false" ht="12.75" hidden="false" customHeight="true" outlineLevel="0" collapsed="false">
      <c r="A787" s="14" t="n">
        <v>46709</v>
      </c>
      <c r="B787" s="15" t="n">
        <f aca="false">SUMIFS(Report!$U:$U,Report!$T:$T,"&lt;&gt;"&amp;"MERCADORIAS P/REVENDA",Report!$AA:$AA,"SIM",Report!$C:$C,A787)</f>
        <v>0</v>
      </c>
      <c r="C787" s="15" t="n">
        <f aca="false">SUMIFS(Report!$U:$U,Report!$T:$T,"MERCADORIAS P/REVENDA",Report!$AA:$AA,"SIM",Report!$C:$C,A787)</f>
        <v>0</v>
      </c>
      <c r="F787" s="15" t="n">
        <f aca="false">B787+C787</f>
        <v>0</v>
      </c>
    </row>
    <row r="788" customFormat="false" ht="12.75" hidden="false" customHeight="true" outlineLevel="0" collapsed="false">
      <c r="A788" s="14" t="n">
        <v>46710</v>
      </c>
      <c r="B788" s="15" t="n">
        <f aca="false">SUMIFS(Report!$U:$U,Report!$T:$T,"&lt;&gt;"&amp;"MERCADORIAS P/REVENDA",Report!$AA:$AA,"SIM",Report!$C:$C,A788)</f>
        <v>0</v>
      </c>
      <c r="C788" s="15" t="n">
        <f aca="false">SUMIFS(Report!$U:$U,Report!$T:$T,"MERCADORIAS P/REVENDA",Report!$AA:$AA,"SIM",Report!$C:$C,A788)</f>
        <v>0</v>
      </c>
      <c r="F788" s="15" t="n">
        <f aca="false">B788+C788</f>
        <v>0</v>
      </c>
    </row>
    <row r="789" customFormat="false" ht="12.75" hidden="false" customHeight="true" outlineLevel="0" collapsed="false">
      <c r="A789" s="31" t="n">
        <v>46711</v>
      </c>
      <c r="B789" s="32" t="n">
        <f aca="false">SUMIFS(Report!$U:$U,Report!$T:$T,"&lt;&gt;"&amp;"MERCADORIAS P/REVENDA",Report!$AA:$AA,"SIM",Report!$C:$C,A789)</f>
        <v>0</v>
      </c>
      <c r="C789" s="32" t="n">
        <f aca="false">SUMIFS(Report!$U:$U,Report!$T:$T,"MERCADORIAS P/REVENDA",Report!$AA:$AA,"SIM",Report!$C:$C,A789)</f>
        <v>0</v>
      </c>
      <c r="D789" s="33"/>
      <c r="E789" s="33"/>
      <c r="F789" s="32" t="n">
        <f aca="false">B789+C789</f>
        <v>0</v>
      </c>
    </row>
    <row r="790" customFormat="false" ht="12.75" hidden="false" customHeight="true" outlineLevel="0" collapsed="false">
      <c r="A790" s="31" t="n">
        <v>46712</v>
      </c>
      <c r="B790" s="32" t="n">
        <f aca="false">SUMIFS(Report!$U:$U,Report!$T:$T,"&lt;&gt;"&amp;"MERCADORIAS P/REVENDA",Report!$AA:$AA,"SIM",Report!$C:$C,A790)</f>
        <v>0</v>
      </c>
      <c r="C790" s="32" t="n">
        <f aca="false">SUMIFS(Report!$U:$U,Report!$T:$T,"MERCADORIAS P/REVENDA",Report!$AA:$AA,"SIM",Report!$C:$C,A790)</f>
        <v>0</v>
      </c>
      <c r="D790" s="33"/>
      <c r="E790" s="33"/>
      <c r="F790" s="32" t="n">
        <f aca="false">B790+C790</f>
        <v>0</v>
      </c>
    </row>
    <row r="791" customFormat="false" ht="12.75" hidden="false" customHeight="true" outlineLevel="0" collapsed="false">
      <c r="A791" s="31" t="n">
        <v>46713</v>
      </c>
      <c r="B791" s="32" t="n">
        <f aca="false">SUMIFS(Report!$U:$U,Report!$T:$T,"&lt;&gt;"&amp;"MERCADORIAS P/REVENDA",Report!$AA:$AA,"SIM",Report!$C:$C,A791)</f>
        <v>0</v>
      </c>
      <c r="C791" s="32" t="n">
        <f aca="false">SUMIFS(Report!$U:$U,Report!$T:$T,"MERCADORIAS P/REVENDA",Report!$AA:$AA,"SIM",Report!$C:$C,A791)</f>
        <v>0</v>
      </c>
      <c r="D791" s="33"/>
      <c r="E791" s="33"/>
      <c r="F791" s="32" t="n">
        <f aca="false">B791+C791</f>
        <v>0</v>
      </c>
    </row>
    <row r="792" customFormat="false" ht="12.75" hidden="false" customHeight="true" outlineLevel="0" collapsed="false">
      <c r="A792" s="34" t="s">
        <v>2229</v>
      </c>
      <c r="B792" s="22" t="n">
        <f aca="false">SUM(B785:B791)</f>
        <v>0</v>
      </c>
      <c r="C792" s="22" t="n">
        <f aca="false">SUM(C785:C791)</f>
        <v>0</v>
      </c>
      <c r="D792" s="26"/>
      <c r="E792" s="26"/>
      <c r="F792" s="22" t="n">
        <f aca="false">B792+C792</f>
        <v>0</v>
      </c>
    </row>
    <row r="793" customFormat="false" ht="12.75" hidden="false" customHeight="true" outlineLevel="0" collapsed="false">
      <c r="A793" s="14" t="n">
        <v>46714</v>
      </c>
      <c r="B793" s="15" t="n">
        <f aca="false">SUMIFS(Report!$U:$U,Report!$T:$T,"&lt;&gt;"&amp;"MERCADORIAS P/REVENDA",Report!$AA:$AA,"SIM",Report!$C:$C,A793)</f>
        <v>0</v>
      </c>
      <c r="C793" s="15" t="n">
        <f aca="false">SUMIFS(Report!$U:$U,Report!$T:$T,"MERCADORIAS P/REVENDA",Report!$AA:$AA,"SIM",Report!$C:$C,A793)</f>
        <v>0</v>
      </c>
      <c r="F793" s="15" t="n">
        <f aca="false">B793+C793</f>
        <v>0</v>
      </c>
    </row>
    <row r="794" customFormat="false" ht="12.75" hidden="false" customHeight="true" outlineLevel="0" collapsed="false">
      <c r="A794" s="14" t="n">
        <v>46715</v>
      </c>
      <c r="B794" s="15" t="n">
        <f aca="false">SUMIFS(Report!$U:$U,Report!$T:$T,"&lt;&gt;"&amp;"MERCADORIAS P/REVENDA",Report!$AA:$AA,"SIM",Report!$C:$C,A794)</f>
        <v>0</v>
      </c>
      <c r="C794" s="15" t="n">
        <f aca="false">SUMIFS(Report!$U:$U,Report!$T:$T,"MERCADORIAS P/REVENDA",Report!$AA:$AA,"SIM",Report!$C:$C,A794)</f>
        <v>0</v>
      </c>
      <c r="F794" s="15" t="n">
        <f aca="false">B794+C794</f>
        <v>0</v>
      </c>
    </row>
    <row r="795" customFormat="false" ht="12.75" hidden="false" customHeight="true" outlineLevel="0" collapsed="false">
      <c r="A795" s="14" t="n">
        <v>46716</v>
      </c>
      <c r="B795" s="15" t="n">
        <f aca="false">SUMIFS(Report!$U:$U,Report!$T:$T,"&lt;&gt;"&amp;"MERCADORIAS P/REVENDA",Report!$AA:$AA,"SIM",Report!$C:$C,A795)</f>
        <v>0</v>
      </c>
      <c r="C795" s="15" t="n">
        <f aca="false">SUMIFS(Report!$U:$U,Report!$T:$T,"MERCADORIAS P/REVENDA",Report!$AA:$AA,"SIM",Report!$C:$C,A795)</f>
        <v>0</v>
      </c>
      <c r="F795" s="15" t="n">
        <f aca="false">B795+C795</f>
        <v>0</v>
      </c>
    </row>
    <row r="796" customFormat="false" ht="12.75" hidden="false" customHeight="true" outlineLevel="0" collapsed="false">
      <c r="A796" s="14" t="n">
        <v>46717</v>
      </c>
      <c r="B796" s="15" t="n">
        <f aca="false">SUMIFS(Report!$U:$U,Report!$T:$T,"&lt;&gt;"&amp;"MERCADORIAS P/REVENDA",Report!$AA:$AA,"SIM",Report!$C:$C,A796)</f>
        <v>0</v>
      </c>
      <c r="C796" s="15" t="n">
        <f aca="false">SUMIFS(Report!$U:$U,Report!$T:$T,"MERCADORIAS P/REVENDA",Report!$AA:$AA,"SIM",Report!$C:$C,A796)</f>
        <v>0</v>
      </c>
      <c r="F796" s="15" t="n">
        <f aca="false">B796+C796</f>
        <v>0</v>
      </c>
    </row>
    <row r="797" customFormat="false" ht="12.75" hidden="false" customHeight="true" outlineLevel="0" collapsed="false">
      <c r="A797" s="31" t="n">
        <v>46718</v>
      </c>
      <c r="B797" s="32" t="n">
        <f aca="false">SUMIFS(Report!$U:$U,Report!$T:$T,"&lt;&gt;"&amp;"MERCADORIAS P/REVENDA",Report!$AA:$AA,"SIM",Report!$C:$C,A797)</f>
        <v>0</v>
      </c>
      <c r="C797" s="32" t="n">
        <f aca="false">SUMIFS(Report!$U:$U,Report!$T:$T,"MERCADORIAS P/REVENDA",Report!$AA:$AA,"SIM",Report!$C:$C,A797)</f>
        <v>0</v>
      </c>
      <c r="D797" s="33"/>
      <c r="E797" s="33"/>
      <c r="F797" s="32" t="n">
        <f aca="false">B797+C797</f>
        <v>0</v>
      </c>
    </row>
    <row r="798" customFormat="false" ht="12.75" hidden="false" customHeight="true" outlineLevel="0" collapsed="false">
      <c r="A798" s="31" t="n">
        <v>46719</v>
      </c>
      <c r="B798" s="32" t="n">
        <f aca="false">SUMIFS(Report!$U:$U,Report!$T:$T,"&lt;&gt;"&amp;"MERCADORIAS P/REVENDA",Report!$AA:$AA,"SIM",Report!$C:$C,A798)</f>
        <v>0</v>
      </c>
      <c r="C798" s="32" t="n">
        <f aca="false">SUMIFS(Report!$U:$U,Report!$T:$T,"MERCADORIAS P/REVENDA",Report!$AA:$AA,"SIM",Report!$C:$C,A798)</f>
        <v>0</v>
      </c>
      <c r="D798" s="33"/>
      <c r="E798" s="33"/>
      <c r="F798" s="32" t="n">
        <f aca="false">B798+C798</f>
        <v>0</v>
      </c>
    </row>
    <row r="799" customFormat="false" ht="12.75" hidden="false" customHeight="true" outlineLevel="0" collapsed="false">
      <c r="A799" s="31" t="n">
        <v>46720</v>
      </c>
      <c r="B799" s="32" t="n">
        <f aca="false">SUMIFS(Report!$U:$U,Report!$T:$T,"&lt;&gt;"&amp;"MERCADORIAS P/REVENDA",Report!$AA:$AA,"SIM",Report!$C:$C,A799)</f>
        <v>0</v>
      </c>
      <c r="C799" s="32" t="n">
        <f aca="false">SUMIFS(Report!$U:$U,Report!$T:$T,"MERCADORIAS P/REVENDA",Report!$AA:$AA,"SIM",Report!$C:$C,A799)</f>
        <v>0</v>
      </c>
      <c r="D799" s="33"/>
      <c r="E799" s="33"/>
      <c r="F799" s="32" t="n">
        <f aca="false">B799+C799</f>
        <v>0</v>
      </c>
    </row>
    <row r="800" customFormat="false" ht="12.75" hidden="false" customHeight="true" outlineLevel="0" collapsed="false">
      <c r="A800" s="34" t="s">
        <v>2230</v>
      </c>
      <c r="B800" s="22" t="n">
        <f aca="false">SUM(B793:B799)</f>
        <v>0</v>
      </c>
      <c r="C800" s="22" t="n">
        <f aca="false">SUM(C793:C799)</f>
        <v>0</v>
      </c>
      <c r="D800" s="26"/>
      <c r="E800" s="26"/>
      <c r="F800" s="22" t="n">
        <f aca="false">B800+C800</f>
        <v>0</v>
      </c>
    </row>
    <row r="801" customFormat="false" ht="12.75" hidden="false" customHeight="true" outlineLevel="0" collapsed="false">
      <c r="A801" s="14" t="n">
        <v>46721</v>
      </c>
      <c r="B801" s="15" t="n">
        <f aca="false">SUMIFS(Report!$U:$U,Report!$T:$T,"&lt;&gt;"&amp;"MERCADORIAS P/REVENDA",Report!$AA:$AA,"SIM",Report!$C:$C,A801)</f>
        <v>0</v>
      </c>
      <c r="C801" s="15" t="n">
        <f aca="false">SUMIFS(Report!$U:$U,Report!$T:$T,"MERCADORIAS P/REVENDA",Report!$AA:$AA,"SIM",Report!$C:$C,A801)</f>
        <v>0</v>
      </c>
      <c r="F801" s="15" t="n">
        <f aca="false">B801+C801</f>
        <v>0</v>
      </c>
    </row>
    <row r="802" customFormat="false" ht="12.75" hidden="false" customHeight="true" outlineLevel="0" collapsed="false">
      <c r="A802" s="14" t="n">
        <v>46722</v>
      </c>
      <c r="B802" s="15" t="n">
        <f aca="false">SUMIFS(Report!$U:$U,Report!$T:$T,"&lt;&gt;"&amp;"MERCADORIAS P/REVENDA",Report!$AA:$AA,"SIM",Report!$C:$C,A802)</f>
        <v>0</v>
      </c>
      <c r="C802" s="15" t="n">
        <f aca="false">SUMIFS(Report!$U:$U,Report!$T:$T,"MERCADORIAS P/REVENDA",Report!$AA:$AA,"SIM",Report!$C:$C,A802)</f>
        <v>0</v>
      </c>
      <c r="F802" s="15" t="n">
        <f aca="false">B802+C802</f>
        <v>0</v>
      </c>
    </row>
    <row r="803" customFormat="false" ht="12.75" hidden="false" customHeight="true" outlineLevel="0" collapsed="false">
      <c r="A803" s="14" t="n">
        <v>46723</v>
      </c>
      <c r="B803" s="15" t="n">
        <f aca="false">SUMIFS(Report!$U:$U,Report!$T:$T,"&lt;&gt;"&amp;"MERCADORIAS P/REVENDA",Report!$AA:$AA,"SIM",Report!$C:$C,A803)</f>
        <v>0</v>
      </c>
      <c r="C803" s="15" t="n">
        <f aca="false">SUMIFS(Report!$U:$U,Report!$T:$T,"MERCADORIAS P/REVENDA",Report!$AA:$AA,"SIM",Report!$C:$C,A803)</f>
        <v>0</v>
      </c>
      <c r="F803" s="15" t="n">
        <f aca="false">B803+C803</f>
        <v>0</v>
      </c>
    </row>
    <row r="804" customFormat="false" ht="12.75" hidden="false" customHeight="true" outlineLevel="0" collapsed="false">
      <c r="A804" s="14" t="n">
        <v>46724</v>
      </c>
      <c r="B804" s="15" t="n">
        <f aca="false">SUMIFS(Report!$U:$U,Report!$T:$T,"&lt;&gt;"&amp;"MERCADORIAS P/REVENDA",Report!$AA:$AA,"SIM",Report!$C:$C,A804)</f>
        <v>0</v>
      </c>
      <c r="C804" s="15" t="n">
        <f aca="false">SUMIFS(Report!$U:$U,Report!$T:$T,"MERCADORIAS P/REVENDA",Report!$AA:$AA,"SIM",Report!$C:$C,A804)</f>
        <v>0</v>
      </c>
      <c r="F804" s="15" t="n">
        <f aca="false">B804+C804</f>
        <v>0</v>
      </c>
    </row>
    <row r="805" customFormat="false" ht="12.75" hidden="false" customHeight="true" outlineLevel="0" collapsed="false">
      <c r="A805" s="31" t="n">
        <v>46725</v>
      </c>
      <c r="B805" s="32" t="n">
        <f aca="false">SUMIFS(Report!$U:$U,Report!$T:$T,"&lt;&gt;"&amp;"MERCADORIAS P/REVENDA",Report!$AA:$AA,"SIM",Report!$C:$C,A805)</f>
        <v>0</v>
      </c>
      <c r="C805" s="32" t="n">
        <f aca="false">SUMIFS(Report!$U:$U,Report!$T:$T,"MERCADORIAS P/REVENDA",Report!$AA:$AA,"SIM",Report!$C:$C,A805)</f>
        <v>0</v>
      </c>
      <c r="D805" s="33"/>
      <c r="E805" s="33"/>
      <c r="F805" s="32" t="n">
        <f aca="false">B805+C805</f>
        <v>0</v>
      </c>
    </row>
    <row r="806" customFormat="false" ht="12.75" hidden="false" customHeight="true" outlineLevel="0" collapsed="false">
      <c r="A806" s="31" t="n">
        <v>46726</v>
      </c>
      <c r="B806" s="32" t="n">
        <f aca="false">SUMIFS(Report!$U:$U,Report!$T:$T,"&lt;&gt;"&amp;"MERCADORIAS P/REVENDA",Report!$AA:$AA,"SIM",Report!$C:$C,A806)</f>
        <v>0</v>
      </c>
      <c r="C806" s="32" t="n">
        <f aca="false">SUMIFS(Report!$U:$U,Report!$T:$T,"MERCADORIAS P/REVENDA",Report!$AA:$AA,"SIM",Report!$C:$C,A806)</f>
        <v>0</v>
      </c>
      <c r="D806" s="33"/>
      <c r="E806" s="33"/>
      <c r="F806" s="32" t="n">
        <f aca="false">B806+C806</f>
        <v>0</v>
      </c>
    </row>
    <row r="807" customFormat="false" ht="12.75" hidden="false" customHeight="true" outlineLevel="0" collapsed="false">
      <c r="A807" s="31" t="n">
        <v>46727</v>
      </c>
      <c r="B807" s="32" t="n">
        <f aca="false">SUMIFS(Report!$U:$U,Report!$T:$T,"&lt;&gt;"&amp;"MERCADORIAS P/REVENDA",Report!$AA:$AA,"SIM",Report!$C:$C,A807)</f>
        <v>0</v>
      </c>
      <c r="C807" s="32" t="n">
        <f aca="false">SUMIFS(Report!$U:$U,Report!$T:$T,"MERCADORIAS P/REVENDA",Report!$AA:$AA,"SIM",Report!$C:$C,A807)</f>
        <v>0</v>
      </c>
      <c r="D807" s="33"/>
      <c r="E807" s="33"/>
      <c r="F807" s="32" t="n">
        <f aca="false">B807+C807</f>
        <v>0</v>
      </c>
    </row>
    <row r="808" customFormat="false" ht="12.75" hidden="false" customHeight="true" outlineLevel="0" collapsed="false">
      <c r="A808" s="34" t="s">
        <v>2231</v>
      </c>
      <c r="B808" s="22" t="n">
        <f aca="false">SUM(B801:B807)</f>
        <v>0</v>
      </c>
      <c r="C808" s="22" t="n">
        <f aca="false">SUM(C801:C807)</f>
        <v>0</v>
      </c>
      <c r="D808" s="26"/>
      <c r="E808" s="26"/>
      <c r="F808" s="22" t="n">
        <f aca="false">B808+C808</f>
        <v>0</v>
      </c>
    </row>
    <row r="809" customFormat="false" ht="12.75" hidden="false" customHeight="true" outlineLevel="0" collapsed="false">
      <c r="A809" s="14" t="n">
        <v>46728</v>
      </c>
      <c r="B809" s="15" t="n">
        <f aca="false">SUMIFS(Report!$U:$U,Report!$T:$T,"&lt;&gt;"&amp;"MERCADORIAS P/REVENDA",Report!$AA:$AA,"SIM",Report!$C:$C,A809)</f>
        <v>0</v>
      </c>
      <c r="C809" s="15" t="n">
        <f aca="false">SUMIFS(Report!$U:$U,Report!$T:$T,"MERCADORIAS P/REVENDA",Report!$AA:$AA,"SIM",Report!$C:$C,A809)</f>
        <v>0</v>
      </c>
      <c r="F809" s="15" t="n">
        <f aca="false">B809+C809</f>
        <v>0</v>
      </c>
    </row>
    <row r="810" customFormat="false" ht="12.75" hidden="false" customHeight="true" outlineLevel="0" collapsed="false">
      <c r="A810" s="14" t="n">
        <v>46729</v>
      </c>
      <c r="B810" s="15" t="n">
        <f aca="false">SUMIFS(Report!$U:$U,Report!$T:$T,"&lt;&gt;"&amp;"MERCADORIAS P/REVENDA",Report!$AA:$AA,"SIM",Report!$C:$C,A810)</f>
        <v>0</v>
      </c>
      <c r="C810" s="15" t="n">
        <f aca="false">SUMIFS(Report!$U:$U,Report!$T:$T,"MERCADORIAS P/REVENDA",Report!$AA:$AA,"SIM",Report!$C:$C,A810)</f>
        <v>0</v>
      </c>
      <c r="F810" s="15" t="n">
        <f aca="false">B810+C810</f>
        <v>0</v>
      </c>
    </row>
    <row r="811" customFormat="false" ht="12.75" hidden="false" customHeight="true" outlineLevel="0" collapsed="false">
      <c r="A811" s="14" t="n">
        <v>46730</v>
      </c>
      <c r="B811" s="15" t="n">
        <f aca="false">SUMIFS(Report!$U:$U,Report!$T:$T,"&lt;&gt;"&amp;"MERCADORIAS P/REVENDA",Report!$AA:$AA,"SIM",Report!$C:$C,A811)</f>
        <v>0</v>
      </c>
      <c r="C811" s="15" t="n">
        <f aca="false">SUMIFS(Report!$U:$U,Report!$T:$T,"MERCADORIAS P/REVENDA",Report!$AA:$AA,"SIM",Report!$C:$C,A811)</f>
        <v>0</v>
      </c>
      <c r="F811" s="15" t="n">
        <f aca="false">B811+C811</f>
        <v>0</v>
      </c>
    </row>
    <row r="812" customFormat="false" ht="12.75" hidden="false" customHeight="true" outlineLevel="0" collapsed="false">
      <c r="A812" s="14" t="n">
        <v>46731</v>
      </c>
      <c r="B812" s="15" t="n">
        <f aca="false">SUMIFS(Report!$U:$U,Report!$T:$T,"&lt;&gt;"&amp;"MERCADORIAS P/REVENDA",Report!$AA:$AA,"SIM",Report!$C:$C,A812)</f>
        <v>0</v>
      </c>
      <c r="C812" s="15" t="n">
        <f aca="false">SUMIFS(Report!$U:$U,Report!$T:$T,"MERCADORIAS P/REVENDA",Report!$AA:$AA,"SIM",Report!$C:$C,A812)</f>
        <v>0</v>
      </c>
      <c r="F812" s="15" t="n">
        <f aca="false">B812+C812</f>
        <v>0</v>
      </c>
    </row>
    <row r="813" customFormat="false" ht="12.75" hidden="false" customHeight="true" outlineLevel="0" collapsed="false">
      <c r="A813" s="31" t="n">
        <v>46732</v>
      </c>
      <c r="B813" s="32" t="n">
        <f aca="false">SUMIFS(Report!$U:$U,Report!$T:$T,"&lt;&gt;"&amp;"MERCADORIAS P/REVENDA",Report!$AA:$AA,"SIM",Report!$C:$C,A813)</f>
        <v>0</v>
      </c>
      <c r="C813" s="32" t="n">
        <f aca="false">SUMIFS(Report!$U:$U,Report!$T:$T,"MERCADORIAS P/REVENDA",Report!$AA:$AA,"SIM",Report!$C:$C,A813)</f>
        <v>0</v>
      </c>
      <c r="D813" s="33"/>
      <c r="E813" s="33"/>
      <c r="F813" s="32" t="n">
        <f aca="false">B813+C813</f>
        <v>0</v>
      </c>
    </row>
    <row r="814" customFormat="false" ht="12.75" hidden="false" customHeight="true" outlineLevel="0" collapsed="false">
      <c r="A814" s="31" t="n">
        <v>46733</v>
      </c>
      <c r="B814" s="32" t="n">
        <f aca="false">SUMIFS(Report!$U:$U,Report!$T:$T,"&lt;&gt;"&amp;"MERCADORIAS P/REVENDA",Report!$AA:$AA,"SIM",Report!$C:$C,A814)</f>
        <v>0</v>
      </c>
      <c r="C814" s="32" t="n">
        <f aca="false">SUMIFS(Report!$U:$U,Report!$T:$T,"MERCADORIAS P/REVENDA",Report!$AA:$AA,"SIM",Report!$C:$C,A814)</f>
        <v>0</v>
      </c>
      <c r="D814" s="33"/>
      <c r="E814" s="33"/>
      <c r="F814" s="32" t="n">
        <f aca="false">B814+C814</f>
        <v>0</v>
      </c>
    </row>
    <row r="815" customFormat="false" ht="12.75" hidden="false" customHeight="true" outlineLevel="0" collapsed="false">
      <c r="A815" s="31" t="n">
        <v>46734</v>
      </c>
      <c r="B815" s="32" t="n">
        <f aca="false">SUMIFS(Report!$U:$U,Report!$T:$T,"&lt;&gt;"&amp;"MERCADORIAS P/REVENDA",Report!$AA:$AA,"SIM",Report!$C:$C,A815)</f>
        <v>0</v>
      </c>
      <c r="C815" s="32" t="n">
        <f aca="false">SUMIFS(Report!$U:$U,Report!$T:$T,"MERCADORIAS P/REVENDA",Report!$AA:$AA,"SIM",Report!$C:$C,A815)</f>
        <v>0</v>
      </c>
      <c r="D815" s="33"/>
      <c r="E815" s="33"/>
      <c r="F815" s="32" t="n">
        <f aca="false">B815+C815</f>
        <v>0</v>
      </c>
    </row>
    <row r="816" customFormat="false" ht="12.75" hidden="false" customHeight="true" outlineLevel="0" collapsed="false">
      <c r="A816" s="34" t="s">
        <v>2232</v>
      </c>
      <c r="B816" s="22" t="n">
        <f aca="false">SUM(B809:B815)</f>
        <v>0</v>
      </c>
      <c r="C816" s="22" t="n">
        <f aca="false">SUM(C809:C815)</f>
        <v>0</v>
      </c>
      <c r="D816" s="26"/>
      <c r="E816" s="26"/>
      <c r="F816" s="22" t="n">
        <f aca="false">B816+C816</f>
        <v>0</v>
      </c>
    </row>
    <row r="817" customFormat="false" ht="12.75" hidden="false" customHeight="true" outlineLevel="0" collapsed="false">
      <c r="A817" s="14" t="n">
        <v>46735</v>
      </c>
      <c r="B817" s="15" t="n">
        <f aca="false">SUMIFS(Report!$U:$U,Report!$T:$T,"&lt;&gt;"&amp;"MERCADORIAS P/REVENDA",Report!$AA:$AA,"SIM",Report!$C:$C,A817)</f>
        <v>0</v>
      </c>
      <c r="C817" s="15" t="n">
        <f aca="false">SUMIFS(Report!$U:$U,Report!$T:$T,"MERCADORIAS P/REVENDA",Report!$AA:$AA,"SIM",Report!$C:$C,A817)</f>
        <v>0</v>
      </c>
      <c r="F817" s="15" t="n">
        <f aca="false">B817+C817</f>
        <v>0</v>
      </c>
    </row>
    <row r="818" customFormat="false" ht="12.75" hidden="false" customHeight="true" outlineLevel="0" collapsed="false">
      <c r="A818" s="14" t="n">
        <v>46736</v>
      </c>
      <c r="B818" s="15" t="n">
        <f aca="false">SUMIFS(Report!$U:$U,Report!$T:$T,"&lt;&gt;"&amp;"MERCADORIAS P/REVENDA",Report!$AA:$AA,"SIM",Report!$C:$C,A818)</f>
        <v>0</v>
      </c>
      <c r="C818" s="15" t="n">
        <f aca="false">SUMIFS(Report!$U:$U,Report!$T:$T,"MERCADORIAS P/REVENDA",Report!$AA:$AA,"SIM",Report!$C:$C,A818)</f>
        <v>0</v>
      </c>
      <c r="F818" s="15" t="n">
        <f aca="false">B818+C818</f>
        <v>0</v>
      </c>
    </row>
    <row r="819" customFormat="false" ht="12.75" hidden="false" customHeight="true" outlineLevel="0" collapsed="false">
      <c r="A819" s="14" t="n">
        <v>46737</v>
      </c>
      <c r="B819" s="15" t="n">
        <f aca="false">SUMIFS(Report!$U:$U,Report!$T:$T,"&lt;&gt;"&amp;"MERCADORIAS P/REVENDA",Report!$AA:$AA,"SIM",Report!$C:$C,A819)</f>
        <v>0</v>
      </c>
      <c r="C819" s="15" t="n">
        <f aca="false">SUMIFS(Report!$U:$U,Report!$T:$T,"MERCADORIAS P/REVENDA",Report!$AA:$AA,"SIM",Report!$C:$C,A819)</f>
        <v>0</v>
      </c>
      <c r="F819" s="15" t="n">
        <f aca="false">B819+C819</f>
        <v>0</v>
      </c>
    </row>
    <row r="820" customFormat="false" ht="12.75" hidden="false" customHeight="true" outlineLevel="0" collapsed="false">
      <c r="A820" s="14" t="n">
        <v>46738</v>
      </c>
      <c r="B820" s="15" t="n">
        <f aca="false">SUMIFS(Report!$U:$U,Report!$T:$T,"&lt;&gt;"&amp;"MERCADORIAS P/REVENDA",Report!$AA:$AA,"SIM",Report!$C:$C,A820)</f>
        <v>0</v>
      </c>
      <c r="C820" s="15" t="n">
        <f aca="false">SUMIFS(Report!$U:$U,Report!$T:$T,"MERCADORIAS P/REVENDA",Report!$AA:$AA,"SIM",Report!$C:$C,A820)</f>
        <v>0</v>
      </c>
      <c r="F820" s="15" t="n">
        <f aca="false">B820+C820</f>
        <v>0</v>
      </c>
    </row>
    <row r="821" customFormat="false" ht="12.75" hidden="false" customHeight="true" outlineLevel="0" collapsed="false">
      <c r="A821" s="31" t="n">
        <v>46739</v>
      </c>
      <c r="B821" s="32" t="n">
        <f aca="false">SUMIFS(Report!$U:$U,Report!$T:$T,"&lt;&gt;"&amp;"MERCADORIAS P/REVENDA",Report!$AA:$AA,"SIM",Report!$C:$C,A821)</f>
        <v>0</v>
      </c>
      <c r="C821" s="32" t="n">
        <f aca="false">SUMIFS(Report!$U:$U,Report!$T:$T,"MERCADORIAS P/REVENDA",Report!$AA:$AA,"SIM",Report!$C:$C,A821)</f>
        <v>0</v>
      </c>
      <c r="D821" s="33"/>
      <c r="E821" s="33"/>
      <c r="F821" s="32" t="n">
        <f aca="false">B821+C821</f>
        <v>0</v>
      </c>
    </row>
    <row r="822" customFormat="false" ht="12.75" hidden="false" customHeight="true" outlineLevel="0" collapsed="false">
      <c r="A822" s="31" t="n">
        <v>46740</v>
      </c>
      <c r="B822" s="32" t="n">
        <f aca="false">SUMIFS(Report!$U:$U,Report!$T:$T,"&lt;&gt;"&amp;"MERCADORIAS P/REVENDA",Report!$AA:$AA,"SIM",Report!$C:$C,A822)</f>
        <v>0</v>
      </c>
      <c r="C822" s="32" t="n">
        <f aca="false">SUMIFS(Report!$U:$U,Report!$T:$T,"MERCADORIAS P/REVENDA",Report!$AA:$AA,"SIM",Report!$C:$C,A822)</f>
        <v>0</v>
      </c>
      <c r="D822" s="33"/>
      <c r="E822" s="33"/>
      <c r="F822" s="32" t="n">
        <f aca="false">B822+C822</f>
        <v>0</v>
      </c>
    </row>
    <row r="823" customFormat="false" ht="12.75" hidden="false" customHeight="true" outlineLevel="0" collapsed="false">
      <c r="A823" s="31" t="n">
        <v>46741</v>
      </c>
      <c r="B823" s="32" t="n">
        <f aca="false">SUMIFS(Report!$U:$U,Report!$T:$T,"&lt;&gt;"&amp;"MERCADORIAS P/REVENDA",Report!$AA:$AA,"SIM",Report!$C:$C,A823)</f>
        <v>0</v>
      </c>
      <c r="C823" s="32" t="n">
        <f aca="false">SUMIFS(Report!$U:$U,Report!$T:$T,"MERCADORIAS P/REVENDA",Report!$AA:$AA,"SIM",Report!$C:$C,A823)</f>
        <v>0</v>
      </c>
      <c r="D823" s="33"/>
      <c r="E823" s="33"/>
      <c r="F823" s="32" t="n">
        <f aca="false">B823+C823</f>
        <v>0</v>
      </c>
    </row>
    <row r="824" customFormat="false" ht="12.75" hidden="false" customHeight="true" outlineLevel="0" collapsed="false">
      <c r="A824" s="34" t="s">
        <v>2233</v>
      </c>
      <c r="B824" s="22" t="n">
        <f aca="false">SUM(B817:B823)</f>
        <v>0</v>
      </c>
      <c r="C824" s="22" t="n">
        <f aca="false">SUM(C817:C823)</f>
        <v>0</v>
      </c>
      <c r="D824" s="26"/>
      <c r="E824" s="26"/>
      <c r="F824" s="22" t="n">
        <f aca="false">B824+C824</f>
        <v>0</v>
      </c>
    </row>
    <row r="825" customFormat="false" ht="12.75" hidden="false" customHeight="true" outlineLevel="0" collapsed="false">
      <c r="A825" s="14" t="n">
        <v>46742</v>
      </c>
      <c r="B825" s="15" t="n">
        <f aca="false">SUMIFS(Report!$U:$U,Report!$T:$T,"&lt;&gt;"&amp;"MERCADORIAS P/REVENDA",Report!$AA:$AA,"SIM",Report!$C:$C,A825)</f>
        <v>0</v>
      </c>
      <c r="C825" s="15" t="n">
        <f aca="false">SUMIFS(Report!$U:$U,Report!$T:$T,"MERCADORIAS P/REVENDA",Report!$AA:$AA,"SIM",Report!$C:$C,A825)</f>
        <v>0</v>
      </c>
      <c r="F825" s="15" t="n">
        <f aca="false">B825+C825</f>
        <v>0</v>
      </c>
    </row>
    <row r="826" customFormat="false" ht="12.75" hidden="false" customHeight="true" outlineLevel="0" collapsed="false">
      <c r="A826" s="14" t="n">
        <v>46743</v>
      </c>
      <c r="B826" s="15" t="n">
        <f aca="false">SUMIFS(Report!$U:$U,Report!$T:$T,"&lt;&gt;"&amp;"MERCADORIAS P/REVENDA",Report!$AA:$AA,"SIM",Report!$C:$C,A826)</f>
        <v>0</v>
      </c>
      <c r="C826" s="15" t="n">
        <f aca="false">SUMIFS(Report!$U:$U,Report!$T:$T,"MERCADORIAS P/REVENDA",Report!$AA:$AA,"SIM",Report!$C:$C,A826)</f>
        <v>0</v>
      </c>
      <c r="F826" s="15" t="n">
        <f aca="false">B826+C826</f>
        <v>0</v>
      </c>
    </row>
    <row r="827" customFormat="false" ht="12.75" hidden="false" customHeight="true" outlineLevel="0" collapsed="false">
      <c r="A827" s="14" t="n">
        <v>46744</v>
      </c>
      <c r="B827" s="15" t="n">
        <f aca="false">SUMIFS(Report!$U:$U,Report!$T:$T,"&lt;&gt;"&amp;"MERCADORIAS P/REVENDA",Report!$AA:$AA,"SIM",Report!$C:$C,A827)</f>
        <v>0</v>
      </c>
      <c r="C827" s="15" t="n">
        <f aca="false">SUMIFS(Report!$U:$U,Report!$T:$T,"MERCADORIAS P/REVENDA",Report!$AA:$AA,"SIM",Report!$C:$C,A827)</f>
        <v>0</v>
      </c>
      <c r="F827" s="15" t="n">
        <f aca="false">B827+C827</f>
        <v>0</v>
      </c>
    </row>
    <row r="828" customFormat="false" ht="12.75" hidden="false" customHeight="true" outlineLevel="0" collapsed="false">
      <c r="A828" s="14" t="n">
        <v>46745</v>
      </c>
      <c r="B828" s="15" t="n">
        <f aca="false">SUMIFS(Report!$U:$U,Report!$T:$T,"&lt;&gt;"&amp;"MERCADORIAS P/REVENDA",Report!$AA:$AA,"SIM",Report!$C:$C,A828)</f>
        <v>0</v>
      </c>
      <c r="C828" s="15" t="n">
        <f aca="false">SUMIFS(Report!$U:$U,Report!$T:$T,"MERCADORIAS P/REVENDA",Report!$AA:$AA,"SIM",Report!$C:$C,A828)</f>
        <v>0</v>
      </c>
      <c r="F828" s="15" t="n">
        <f aca="false">B828+C828</f>
        <v>0</v>
      </c>
    </row>
    <row r="829" customFormat="false" ht="12.75" hidden="false" customHeight="true" outlineLevel="0" collapsed="false">
      <c r="A829" s="31" t="n">
        <v>46746</v>
      </c>
      <c r="B829" s="32" t="n">
        <f aca="false">SUMIFS(Report!$U:$U,Report!$T:$T,"&lt;&gt;"&amp;"MERCADORIAS P/REVENDA",Report!$AA:$AA,"SIM",Report!$C:$C,A829)</f>
        <v>0</v>
      </c>
      <c r="C829" s="32" t="n">
        <f aca="false">SUMIFS(Report!$U:$U,Report!$T:$T,"MERCADORIAS P/REVENDA",Report!$AA:$AA,"SIM",Report!$C:$C,A829)</f>
        <v>0</v>
      </c>
      <c r="D829" s="33"/>
      <c r="E829" s="33"/>
      <c r="F829" s="32" t="n">
        <f aca="false">B829+C829</f>
        <v>0</v>
      </c>
    </row>
    <row r="830" customFormat="false" ht="12.75" hidden="false" customHeight="true" outlineLevel="0" collapsed="false">
      <c r="A830" s="31" t="n">
        <v>46747</v>
      </c>
      <c r="B830" s="32" t="n">
        <f aca="false">SUMIFS(Report!$U:$U,Report!$T:$T,"&lt;&gt;"&amp;"MERCADORIAS P/REVENDA",Report!$AA:$AA,"SIM",Report!$C:$C,A830)</f>
        <v>0</v>
      </c>
      <c r="C830" s="32" t="n">
        <f aca="false">SUMIFS(Report!$U:$U,Report!$T:$T,"MERCADORIAS P/REVENDA",Report!$AA:$AA,"SIM",Report!$C:$C,A830)</f>
        <v>0</v>
      </c>
      <c r="D830" s="33"/>
      <c r="E830" s="33"/>
      <c r="F830" s="32" t="n">
        <f aca="false">B830+C830</f>
        <v>0</v>
      </c>
    </row>
    <row r="831" customFormat="false" ht="12.75" hidden="false" customHeight="true" outlineLevel="0" collapsed="false">
      <c r="A831" s="31" t="n">
        <v>46748</v>
      </c>
      <c r="B831" s="32" t="n">
        <f aca="false">SUMIFS(Report!$U:$U,Report!$T:$T,"&lt;&gt;"&amp;"MERCADORIAS P/REVENDA",Report!$AA:$AA,"SIM",Report!$C:$C,A831)</f>
        <v>0</v>
      </c>
      <c r="C831" s="32" t="n">
        <f aca="false">SUMIFS(Report!$U:$U,Report!$T:$T,"MERCADORIAS P/REVENDA",Report!$AA:$AA,"SIM",Report!$C:$C,A831)</f>
        <v>0</v>
      </c>
      <c r="D831" s="33"/>
      <c r="E831" s="33"/>
      <c r="F831" s="32" t="n">
        <f aca="false">B831+C831</f>
        <v>0</v>
      </c>
    </row>
    <row r="832" customFormat="false" ht="12.75" hidden="false" customHeight="true" outlineLevel="0" collapsed="false">
      <c r="A832" s="34" t="s">
        <v>2234</v>
      </c>
      <c r="B832" s="22" t="n">
        <f aca="false">SUM(B825:B831)</f>
        <v>0</v>
      </c>
      <c r="C832" s="22" t="n">
        <f aca="false">SUM(C825:C831)</f>
        <v>0</v>
      </c>
      <c r="D832" s="26"/>
      <c r="E832" s="26"/>
      <c r="F832" s="22" t="n">
        <f aca="false">B832+C832</f>
        <v>0</v>
      </c>
    </row>
    <row r="833" customFormat="false" ht="12.75" hidden="false" customHeight="true" outlineLevel="0" collapsed="false">
      <c r="A833" s="14" t="n">
        <v>46749</v>
      </c>
      <c r="B833" s="15" t="n">
        <f aca="false">SUMIFS(Report!$U:$U,Report!$T:$T,"&lt;&gt;"&amp;"MERCADORIAS P/REVENDA",Report!$AA:$AA,"SIM",Report!$C:$C,A833)</f>
        <v>0</v>
      </c>
      <c r="C833" s="15" t="n">
        <f aca="false">SUMIFS(Report!$U:$U,Report!$T:$T,"MERCADORIAS P/REVENDA",Report!$AA:$AA,"SIM",Report!$C:$C,A833)</f>
        <v>0</v>
      </c>
      <c r="F833" s="15" t="n">
        <f aca="false">B833+C833</f>
        <v>0</v>
      </c>
    </row>
    <row r="834" customFormat="false" ht="12.75" hidden="false" customHeight="true" outlineLevel="0" collapsed="false">
      <c r="A834" s="14" t="n">
        <v>46750</v>
      </c>
      <c r="B834" s="15" t="n">
        <f aca="false">SUMIFS(Report!$U:$U,Report!$T:$T,"&lt;&gt;"&amp;"MERCADORIAS P/REVENDA",Report!$AA:$AA,"SIM",Report!$C:$C,A834)</f>
        <v>0</v>
      </c>
      <c r="C834" s="15" t="n">
        <f aca="false">SUMIFS(Report!$U:$U,Report!$T:$T,"MERCADORIAS P/REVENDA",Report!$AA:$AA,"SIM",Report!$C:$C,A834)</f>
        <v>0</v>
      </c>
      <c r="F834" s="15" t="n">
        <f aca="false">B834+C834</f>
        <v>0</v>
      </c>
    </row>
    <row r="835" customFormat="false" ht="12.75" hidden="false" customHeight="true" outlineLevel="0" collapsed="false">
      <c r="A835" s="14" t="n">
        <v>46751</v>
      </c>
      <c r="B835" s="15" t="n">
        <f aca="false">SUMIFS(Report!$U:$U,Report!$T:$T,"&lt;&gt;"&amp;"MERCADORIAS P/REVENDA",Report!$AA:$AA,"SIM",Report!$C:$C,A835)</f>
        <v>0</v>
      </c>
      <c r="C835" s="15" t="n">
        <f aca="false">SUMIFS(Report!$U:$U,Report!$T:$T,"MERCADORIAS P/REVENDA",Report!$AA:$AA,"SIM",Report!$C:$C,A835)</f>
        <v>0</v>
      </c>
      <c r="F835" s="15" t="n">
        <f aca="false">B835+C835</f>
        <v>0</v>
      </c>
    </row>
    <row r="836" customFormat="false" ht="12.75" hidden="false" customHeight="true" outlineLevel="0" collapsed="false">
      <c r="A836" s="14" t="n">
        <v>46752</v>
      </c>
      <c r="B836" s="15" t="n">
        <f aca="false">SUMIFS(Report!$U:$U,Report!$T:$T,"&lt;&gt;"&amp;"MERCADORIAS P/REVENDA",Report!$AA:$AA,"SIM",Report!$C:$C,A836)</f>
        <v>0</v>
      </c>
      <c r="C836" s="15" t="n">
        <f aca="false">SUMIFS(Report!$U:$U,Report!$T:$T,"MERCADORIAS P/REVENDA",Report!$AA:$AA,"SIM",Report!$C:$C,A836)</f>
        <v>0</v>
      </c>
      <c r="F836" s="15" t="n">
        <f aca="false">B836+C836</f>
        <v>0</v>
      </c>
    </row>
    <row r="837" customFormat="false" ht="12.75" hidden="false" customHeight="true" outlineLevel="0" collapsed="false">
      <c r="A837" s="34" t="s">
        <v>2235</v>
      </c>
      <c r="B837" s="22" t="n">
        <f aca="false">SUM(B833:B836)</f>
        <v>0</v>
      </c>
      <c r="C837" s="22" t="n">
        <f aca="false">SUM(C833:C836)</f>
        <v>0</v>
      </c>
      <c r="D837" s="26"/>
      <c r="E837" s="26"/>
      <c r="F837" s="22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0" width="8.77"/>
    <col collapsed="false" customWidth="true" hidden="false" outlineLevel="0" max="2" min="2" style="0" width="5"/>
    <col collapsed="false" customWidth="true" hidden="false" outlineLevel="0" max="3" min="3" style="0" width="12.88"/>
  </cols>
  <sheetData>
    <row r="1" customFormat="false" ht="17.25" hidden="false" customHeight="true" outlineLevel="0" collapsed="false">
      <c r="A1" s="35" t="s">
        <v>2236</v>
      </c>
      <c r="B1" s="35"/>
      <c r="C1" s="35"/>
      <c r="D1" s="35"/>
    </row>
    <row r="2" customFormat="false" ht="12.75" hidden="false" customHeight="true" outlineLevel="0" collapsed="false">
      <c r="A2" s="36" t="s">
        <v>2237</v>
      </c>
      <c r="B2" s="36"/>
      <c r="C2" s="36"/>
      <c r="D2" s="36"/>
    </row>
    <row r="4" customFormat="false" ht="24.75" hidden="false" customHeight="true" outlineLevel="0" collapsed="false">
      <c r="A4" s="37" t="s">
        <v>2079</v>
      </c>
      <c r="B4" s="37" t="s">
        <v>2238</v>
      </c>
      <c r="C4" s="37" t="s">
        <v>2239</v>
      </c>
    </row>
    <row r="5" customFormat="false" ht="12.75" hidden="false" customHeight="true" outlineLevel="0" collapsed="false">
      <c r="A5" s="38" t="s">
        <v>2083</v>
      </c>
      <c r="B5" s="38" t="n">
        <v>2026</v>
      </c>
      <c r="C5" s="39" t="n">
        <v>306569.53</v>
      </c>
    </row>
    <row r="6" customFormat="false" ht="12.75" hidden="false" customHeight="true" outlineLevel="0" collapsed="false">
      <c r="A6" s="38" t="s">
        <v>2084</v>
      </c>
      <c r="B6" s="38" t="n">
        <v>2026</v>
      </c>
      <c r="C6" s="39" t="n">
        <v>298653.71</v>
      </c>
    </row>
    <row r="7" customFormat="false" ht="12.75" hidden="false" customHeight="true" outlineLevel="0" collapsed="false">
      <c r="A7" s="38" t="s">
        <v>2085</v>
      </c>
      <c r="B7" s="38" t="n">
        <v>2026</v>
      </c>
      <c r="C7" s="39" t="n">
        <v>344581.2</v>
      </c>
    </row>
    <row r="8" customFormat="false" ht="12.75" hidden="false" customHeight="true" outlineLevel="0" collapsed="false">
      <c r="A8" s="38" t="s">
        <v>2086</v>
      </c>
      <c r="B8" s="38" t="n">
        <v>2026</v>
      </c>
      <c r="C8" s="39" t="n">
        <v>333926.29</v>
      </c>
    </row>
    <row r="9" customFormat="false" ht="12.75" hidden="false" customHeight="true" outlineLevel="0" collapsed="false">
      <c r="A9" s="38" t="s">
        <v>2087</v>
      </c>
      <c r="B9" s="38" t="n">
        <v>2026</v>
      </c>
      <c r="C9" s="39" t="n">
        <v>363676.33</v>
      </c>
    </row>
    <row r="10" customFormat="false" ht="12.75" hidden="false" customHeight="true" outlineLevel="0" collapsed="false">
      <c r="A10" s="38" t="s">
        <v>2088</v>
      </c>
      <c r="B10" s="38" t="n">
        <v>2026</v>
      </c>
      <c r="C10" s="39" t="n">
        <v>352563.43</v>
      </c>
    </row>
    <row r="11" customFormat="false" ht="12.75" hidden="false" customHeight="true" outlineLevel="0" collapsed="false">
      <c r="A11" s="38" t="s">
        <v>2089</v>
      </c>
      <c r="B11" s="38" t="n">
        <v>2026</v>
      </c>
      <c r="C11" s="39" t="n">
        <v>390948.09</v>
      </c>
    </row>
    <row r="12" customFormat="false" ht="13.5" hidden="false" customHeight="true" outlineLevel="0" collapsed="false">
      <c r="A12" s="38" t="s">
        <v>2090</v>
      </c>
      <c r="B12" s="38" t="n">
        <v>2026</v>
      </c>
      <c r="C12" s="40" t="n">
        <v>394519.76</v>
      </c>
    </row>
    <row r="13" customFormat="false" ht="13.5" hidden="false" customHeight="true" outlineLevel="0" collapsed="false">
      <c r="A13" s="38" t="s">
        <v>2091</v>
      </c>
      <c r="B13" s="38" t="n">
        <v>2026</v>
      </c>
      <c r="C13" s="40" t="n">
        <v>372436.91</v>
      </c>
    </row>
    <row r="14" customFormat="false" ht="13.5" hidden="false" customHeight="true" outlineLevel="0" collapsed="false">
      <c r="A14" s="38" t="s">
        <v>2092</v>
      </c>
      <c r="B14" s="38" t="n">
        <v>2026</v>
      </c>
      <c r="C14" s="40" t="n">
        <v>68635.34</v>
      </c>
    </row>
    <row r="15" customFormat="false" ht="13.5" hidden="false" customHeight="true" outlineLevel="0" collapsed="false">
      <c r="A15" s="38" t="s">
        <v>2093</v>
      </c>
      <c r="B15" s="38" t="n">
        <v>2026</v>
      </c>
      <c r="C15" s="40" t="n">
        <v>0</v>
      </c>
    </row>
    <row r="16" customFormat="false" ht="13.5" hidden="false" customHeight="true" outlineLevel="0" collapsed="false">
      <c r="A16" s="38" t="s">
        <v>2094</v>
      </c>
      <c r="B16" s="38" t="n">
        <v>2026</v>
      </c>
      <c r="C16" s="40" t="n">
        <v>0</v>
      </c>
    </row>
    <row r="18" customFormat="false" ht="13.5" hidden="false" customHeight="true" outlineLevel="0" collapsed="false">
      <c r="A18" s="41" t="s">
        <v>2240</v>
      </c>
      <c r="B18" s="41"/>
      <c r="C18" s="42" t="n">
        <v>46301.0176967593</v>
      </c>
    </row>
    <row r="19" customFormat="false" ht="12.75" hidden="false" customHeight="true" outlineLevel="0" collapsed="false">
      <c r="A19" s="0" t="s">
        <v>2241</v>
      </c>
      <c r="C19" s="15" t="n">
        <f aca="false">IF(ISNUMBER(INDEX($C$5:$C$16,MONTH($C$18))),(INDEX($C$5:$C$16,MONTH($C$18))/DAY($C$18))*DAY(EOMONTH($C$18,0)),"")</f>
        <v>354615.923333333</v>
      </c>
    </row>
    <row r="20" customFormat="false" ht="12.75" hidden="false" customHeight="true" outlineLevel="0" collapsed="false">
      <c r="A20" s="43"/>
      <c r="B20" s="43"/>
      <c r="C20" s="43"/>
      <c r="D20" s="43"/>
      <c r="E20" s="43"/>
      <c r="F20" s="43"/>
      <c r="G20" s="43"/>
      <c r="H20" s="43"/>
    </row>
    <row r="21" customFormat="false" ht="12.75" hidden="false" customHeight="true" outlineLevel="0" collapsed="false">
      <c r="A21" s="44" t="s">
        <v>2242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I16" activeCellId="0" sqref="I16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9" width="20.78"/>
    <col collapsed="false" customWidth="true" hidden="false" outlineLevel="0" max="2" min="2" style="0" width="14.67"/>
    <col collapsed="false" customWidth="true" hidden="false" outlineLevel="0" max="3" min="3" style="0" width="41"/>
    <col collapsed="false" customWidth="true" hidden="false" outlineLevel="0" max="4" min="4" style="0" width="35.33"/>
    <col collapsed="false" customWidth="true" hidden="false" outlineLevel="0" max="5" min="5" style="0" width="16.22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10" min="8" style="0" width="18"/>
    <col collapsed="false" customWidth="true" hidden="false" outlineLevel="0" max="12" min="11" style="0" width="14"/>
    <col collapsed="false" customWidth="true" hidden="false" outlineLevel="0" max="13" min="13" style="0" width="18"/>
  </cols>
  <sheetData>
    <row r="1" customFormat="false" ht="17.25" hidden="false" customHeight="true" outlineLevel="0" collapsed="false">
      <c r="A1" s="45" t="s">
        <v>2243</v>
      </c>
    </row>
    <row r="3" customFormat="false" ht="12.75" hidden="false" customHeight="true" outlineLevel="0" collapsed="false">
      <c r="A3" s="19" t="s">
        <v>2244</v>
      </c>
      <c r="E3" s="46" t="n">
        <v>0.7</v>
      </c>
      <c r="F3" s="47" t="s">
        <v>2245</v>
      </c>
      <c r="G3" s="47" t="s">
        <v>2246</v>
      </c>
      <c r="H3" s="47" t="s">
        <v>2247</v>
      </c>
      <c r="I3" s="47" t="s">
        <v>2248</v>
      </c>
      <c r="J3" s="47" t="s">
        <v>2249</v>
      </c>
      <c r="K3" s="47" t="s">
        <v>2250</v>
      </c>
      <c r="L3" s="47" t="s">
        <v>2251</v>
      </c>
      <c r="M3" s="47" t="s">
        <v>2252</v>
      </c>
      <c r="N3" s="0" t="s">
        <v>2253</v>
      </c>
    </row>
    <row r="4" customFormat="false" ht="12.75" hidden="false" customHeight="true" outlineLevel="0" collapsed="false">
      <c r="F4" s="48"/>
      <c r="G4" s="48" t="str">
        <f aca="false">IF(AND(ISNUMBER(D4),ISNUMBER(B4),B4&lt;&gt;0),(D4/B4)*30,"")</f>
        <v/>
      </c>
      <c r="H4" s="49" t="str">
        <f aca="false">IF(F4="","",IF(OR(F4&lt;0.9,F4&gt;1.1),"ALERTA","OK"))</f>
        <v/>
      </c>
      <c r="I4" s="50" t="str">
        <f aca="false">IF(C4="","",IF(AND(F4&lt;&gt;"",F4&lt;1),C4*F4,C4))</f>
        <v/>
      </c>
      <c r="J4" s="50"/>
      <c r="K4" s="15"/>
      <c r="L4" s="15"/>
      <c r="M4" s="15"/>
    </row>
    <row r="5" customFormat="false" ht="12.75" hidden="false" customHeight="true" outlineLevel="0" collapsed="false">
      <c r="F5" s="51"/>
      <c r="G5" s="51" t="str">
        <f aca="false">IF(AND(ISNUMBER(D5),ISNUMBER(B5),B5&lt;&gt;0),(D5/B5)*30,"")</f>
        <v/>
      </c>
      <c r="H5" s="52" t="str">
        <f aca="false">IF(F5="","",IF(OR(F5&lt;0.9,F5&gt;1.1),"ALERTA","OK"))</f>
        <v/>
      </c>
      <c r="I5" s="53" t="str">
        <f aca="false">IF(C5="","",IF(AND(F5&lt;&gt;"",F5&lt;1),C5*F5,C5))</f>
        <v/>
      </c>
      <c r="J5" s="53"/>
      <c r="K5" s="15"/>
      <c r="L5" s="15"/>
      <c r="M5" s="15"/>
    </row>
    <row r="6" customFormat="false" ht="12.75" hidden="false" customHeight="true" outlineLevel="0" collapsed="false">
      <c r="A6" s="54" t="s">
        <v>2079</v>
      </c>
      <c r="B6" s="24" t="s">
        <v>2254</v>
      </c>
      <c r="C6" s="24" t="s">
        <v>2255</v>
      </c>
      <c r="D6" s="24" t="s">
        <v>2256</v>
      </c>
      <c r="E6" s="24" t="s">
        <v>2257</v>
      </c>
      <c r="F6" s="55" t="str">
        <f aca="false">IF(AND(ISNUMBER(B5),ISNUMBER(B4),B4&lt;&gt;0),B5/B4,"")</f>
        <v/>
      </c>
      <c r="G6" s="48" t="str">
        <f aca="false">IF(AND(ISNUMBER(D6),ISNUMBER(B6),B6&lt;&gt;0),(D6/B6)*30,"")</f>
        <v/>
      </c>
      <c r="H6" s="49" t="str">
        <f aca="false">IF(F6="","",IF(OR(F6&lt;0.9,F6&gt;1.1),"ALERTA","OK"))</f>
        <v/>
      </c>
      <c r="I6" s="50" t="str">
        <f aca="false">IF(C6="","",IF(AND(F6&lt;&gt;"",F6&lt;1),C6*F6,C6))</f>
        <v>Compra Sugerida (base: venda mes anterior)</v>
      </c>
      <c r="J6" s="50"/>
      <c r="K6" s="15"/>
      <c r="L6" s="15"/>
      <c r="M6" s="15"/>
    </row>
    <row r="7" customFormat="false" ht="12.75" hidden="false" customHeight="true" outlineLevel="0" collapsed="false">
      <c r="A7" s="19" t="s">
        <v>2083</v>
      </c>
      <c r="B7" s="15" t="n">
        <f aca="false">IFERROR(INDEX('Venda Anual (Base)'!$C$5:$C$16,MATCH($A7,'Venda Anual (Base)'!$A$5:$A$16,0)),"")</f>
        <v>306569.53</v>
      </c>
      <c r="C7" s="15"/>
      <c r="D7" s="15" t="n">
        <f aca="false">IFERROR(INDEX('Resumo Mensal'!$C$2:$C$25,MATCH($A7,'Resumo Mensal'!$A$2:$A$25,0)),0)</f>
        <v>0</v>
      </c>
      <c r="E7" s="15" t="str">
        <f aca="false">IF(AND(ISNUMBER(C7),D7&gt;0),D7-C7,"")</f>
        <v/>
      </c>
      <c r="F7" s="51" t="str">
        <f aca="false">IF(AND(ISNUMBER(B6),ISNUMBER(B5),B5&lt;&gt;0),B6/B5,"")</f>
        <v/>
      </c>
      <c r="G7" s="51" t="n">
        <f aca="false">IF(AND(ISNUMBER(D7),ISNUMBER(B7),B7&lt;&gt;0),(D7/B7)*30,"")</f>
        <v>0</v>
      </c>
      <c r="H7" s="52" t="str">
        <f aca="false">IF(F7="","",IF(OR(F7&lt;0.9,F7&gt;1.1),"ALERTA","OK"))</f>
        <v/>
      </c>
      <c r="I7" s="53" t="str">
        <f aca="false">IF(C7="","",IF(AND(F7&lt;&gt;"",F7&lt;1),C7*F7,C7))</f>
        <v/>
      </c>
      <c r="J7" s="53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5" t="str">
        <f aca="false">IF($A7=INDEX('Venda Anual (Base)'!$A$5:$A$16,MONTH('Venda Anual (Base)'!$C$18)),IFERROR(B7/DAY('Venda Anual (Base)'!$C$18)*DAY(EOMONTH('Venda Anual (Base)'!$C$18,0)),""),"")</f>
        <v/>
      </c>
      <c r="L7" s="15" t="n">
        <f aca="false">('Resumo Grupos'!B13)</f>
        <v>0</v>
      </c>
      <c r="M7" s="15" t="n">
        <f aca="false">IFERROR(B7-D7-L7,"")</f>
        <v>306569.53</v>
      </c>
      <c r="N7" s="15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19" t="s">
        <v>2084</v>
      </c>
      <c r="B8" s="15" t="n">
        <f aca="false">IFERROR(INDEX('Venda Anual (Base)'!$C$5:$C$16,MATCH($A8,'Venda Anual (Base)'!$A$5:$A$16,0)),"")</f>
        <v>298653.71</v>
      </c>
      <c r="C8" s="15" t="n">
        <f aca="false">(B7*$E$3)</f>
        <v>214598.671</v>
      </c>
      <c r="D8" s="15" t="n">
        <f aca="false">IFERROR(INDEX('Resumo Mensal'!$C$2:$C$25,MATCH($A8,'Resumo Mensal'!$A$2:$A$25,0)),0)</f>
        <v>0</v>
      </c>
      <c r="E8" s="15" t="str">
        <f aca="false">IF(AND(ISNUMBER(C8),D8&gt;0),D8-C8,"")</f>
        <v/>
      </c>
      <c r="F8" s="48" t="str">
        <f aca="false">IF(AND(ISNUMBER(B7),ISNUMBER(B6),B6&lt;&gt;0),B7/B6,"")</f>
        <v/>
      </c>
      <c r="G8" s="48" t="n">
        <f aca="false">IF(AND(ISNUMBER(D8),ISNUMBER(B8),B8&lt;&gt;0),(D8/B8)*30,"")</f>
        <v>0</v>
      </c>
      <c r="H8" s="49" t="str">
        <f aca="false">IF(F8="","",IF(OR(F8&lt;0.9,F8&gt;1.1),"ALERTA","OK"))</f>
        <v/>
      </c>
      <c r="I8" s="50" t="n">
        <f aca="false">IF(C8="","",IF(AND(F8&lt;&gt;"",F8&lt;1),C8*F8,C8))</f>
        <v>214598.671</v>
      </c>
      <c r="J8" s="50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5" t="str">
        <f aca="false">IF($A8=INDEX('Venda Anual (Base)'!$A$5:$A$16,MONTH('Venda Anual (Base)'!$C$18)),IFERROR(B8/DAY('Venda Anual (Base)'!$C$18)*DAY(EOMONTH('Venda Anual (Base)'!$C$18,0)),""),"")</f>
        <v/>
      </c>
      <c r="L8" s="15" t="n">
        <f aca="false">('Resumo Grupos'!C13)</f>
        <v>0</v>
      </c>
      <c r="M8" s="15" t="n">
        <f aca="false">IFERROR(B8-D8-L8,"")</f>
        <v>298653.71</v>
      </c>
      <c r="N8" s="15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19" t="s">
        <v>2085</v>
      </c>
      <c r="B9" s="15" t="n">
        <f aca="false">IFERROR(INDEX('Venda Anual (Base)'!$C$5:$C$16,MATCH($A9,'Venda Anual (Base)'!$A$5:$A$16,0)),"")</f>
        <v>344581.2</v>
      </c>
      <c r="C9" s="15" t="n">
        <f aca="false">(B8*$E$3)</f>
        <v>209057.597</v>
      </c>
      <c r="D9" s="15" t="n">
        <f aca="false">IFERROR(INDEX('Resumo Mensal'!$C$2:$C$25,MATCH($A9,'Resumo Mensal'!$A$2:$A$25,0)),0)</f>
        <v>0</v>
      </c>
      <c r="E9" s="15" t="str">
        <f aca="false">IF(AND(ISNUMBER(C9),D9&gt;0),D9-C9,"")</f>
        <v/>
      </c>
      <c r="F9" s="51" t="n">
        <f aca="false">IF(AND(ISNUMBER(B8),ISNUMBER(B7),B7&lt;&gt;0),B8/B7,"")</f>
        <v>0.974179364792059</v>
      </c>
      <c r="G9" s="51" t="n">
        <f aca="false">IF(AND(ISNUMBER(D9),ISNUMBER(B9),B9&lt;&gt;0),(D9/B9)*30,"")</f>
        <v>0</v>
      </c>
      <c r="H9" s="52" t="str">
        <f aca="false">IF(F9="","",IF(OR(F9&lt;0.9,F9&gt;1.1),"ALERTA","OK"))</f>
        <v>OK</v>
      </c>
      <c r="I9" s="53" t="n">
        <f aca="false">IF(C9="","",IF(AND(F9&lt;&gt;"",F9&lt;1),C9*F9,C9))</f>
        <v>203659.597050414</v>
      </c>
      <c r="J9" s="53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5" t="str">
        <f aca="false">IF($A9=INDEX('Venda Anual (Base)'!$A$5:$A$16,MONTH('Venda Anual (Base)'!$C$18)),IFERROR(B9/DAY('Venda Anual (Base)'!$C$18)*DAY(EOMONTH('Venda Anual (Base)'!$C$18,0)),""),"")</f>
        <v/>
      </c>
      <c r="L9" s="15" t="n">
        <f aca="false">('Resumo Grupos'!D13)</f>
        <v>0</v>
      </c>
      <c r="M9" s="15" t="n">
        <f aca="false">IFERROR(B9-D9-L9,"")</f>
        <v>344581.2</v>
      </c>
      <c r="N9" s="15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19" t="s">
        <v>2086</v>
      </c>
      <c r="B10" s="15" t="n">
        <f aca="false">IFERROR(INDEX('Venda Anual (Base)'!$C$5:$C$16,MATCH($A10,'Venda Anual (Base)'!$A$5:$A$16,0)),"")</f>
        <v>333926.29</v>
      </c>
      <c r="C10" s="15" t="n">
        <f aca="false">(B9*$E$3)</f>
        <v>241206.84</v>
      </c>
      <c r="D10" s="15" t="n">
        <f aca="false">IFERROR(INDEX('Resumo Mensal'!$C$2:$C$25,MATCH($A10,'Resumo Mensal'!$A$2:$A$25,0)),0)</f>
        <v>0</v>
      </c>
      <c r="E10" s="15" t="str">
        <f aca="false">IF(AND(ISNUMBER(C10),D10&gt;0),D10-C10,"")</f>
        <v/>
      </c>
      <c r="F10" s="48" t="n">
        <f aca="false">IF(AND(ISNUMBER(B9),ISNUMBER(B8),B8&lt;&gt;0),B9/B8,"")</f>
        <v>1.15378174943817</v>
      </c>
      <c r="G10" s="48" t="n">
        <f aca="false">IF(AND(ISNUMBER(D10),ISNUMBER(B10),B10&lt;&gt;0),(D10/B10)*30,"")</f>
        <v>0</v>
      </c>
      <c r="H10" s="49" t="str">
        <f aca="false">IF(F10="","",IF(OR(F10&lt;0.9,F10&gt;1.1),"ALERTA","OK"))</f>
        <v>ALERTA</v>
      </c>
      <c r="I10" s="50" t="n">
        <f aca="false">IF(C10="","",IF(AND(F10&lt;&gt;"",F10&lt;1),C10*F10,C10))</f>
        <v>241206.84</v>
      </c>
      <c r="J10" s="50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5" t="str">
        <f aca="false">IF($A10=INDEX('Venda Anual (Base)'!$A$5:$A$16,MONTH('Venda Anual (Base)'!$C$18)),IFERROR(B10/DAY('Venda Anual (Base)'!$C$18)*DAY(EOMONTH('Venda Anual (Base)'!$C$18,0)),""),"")</f>
        <v/>
      </c>
      <c r="L10" s="15" t="n">
        <f aca="false">('Resumo Grupos'!E13)</f>
        <v>0</v>
      </c>
      <c r="M10" s="15" t="n">
        <f aca="false">IFERROR(B10-D10-L10,"")</f>
        <v>333926.29</v>
      </c>
      <c r="N10" s="15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19" t="s">
        <v>2087</v>
      </c>
      <c r="B11" s="15" t="n">
        <f aca="false">IFERROR(INDEX('Venda Anual (Base)'!$C$5:$C$16,MATCH($A11,'Venda Anual (Base)'!$A$5:$A$16,0)),"")</f>
        <v>363676.33</v>
      </c>
      <c r="C11" s="15" t="n">
        <f aca="false">(B10*$E$3)</f>
        <v>233748.403</v>
      </c>
      <c r="D11" s="15" t="n">
        <f aca="false">IFERROR(INDEX('Resumo Mensal'!$C$2:$C$25,MATCH($A11,'Resumo Mensal'!$A$2:$A$25,0)),0)</f>
        <v>0</v>
      </c>
      <c r="E11" s="15" t="str">
        <f aca="false">IF(AND(ISNUMBER(C11),D11&gt;0),D11-C11,"")</f>
        <v/>
      </c>
      <c r="F11" s="51" t="n">
        <f aca="false">IF(AND(ISNUMBER(B10),ISNUMBER(B9),B9&lt;&gt;0),B10/B9,"")</f>
        <v>0.969078667089209</v>
      </c>
      <c r="G11" s="51" t="n">
        <f aca="false">IF(AND(ISNUMBER(D11),ISNUMBER(B11),B11&lt;&gt;0),(D11/B11)*30,"")</f>
        <v>0</v>
      </c>
      <c r="H11" s="52" t="str">
        <f aca="false">IF(F11="","",IF(OR(F11&lt;0.9,F11&gt;1.1),"ALERTA","OK"))</f>
        <v>OK</v>
      </c>
      <c r="I11" s="53" t="n">
        <f aca="false">IF(C11="","",IF(AND(F11&lt;&gt;"",F11&lt;1),C11*F11,C11))</f>
        <v>226520.590813471</v>
      </c>
      <c r="J11" s="53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5" t="str">
        <f aca="false">IF($A11=INDEX('Venda Anual (Base)'!$A$5:$A$16,MONTH('Venda Anual (Base)'!$C$18)),IFERROR(B11/DAY('Venda Anual (Base)'!$C$18)*DAY(EOMONTH('Venda Anual (Base)'!$C$18,0)),""),"")</f>
        <v/>
      </c>
      <c r="L11" s="15" t="n">
        <f aca="false">('Resumo Grupos'!F13)</f>
        <v>0</v>
      </c>
      <c r="M11" s="15" t="n">
        <f aca="false">IFERROR(B11-D11-L11,"")</f>
        <v>363676.33</v>
      </c>
      <c r="N11" s="15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19" t="s">
        <v>2088</v>
      </c>
      <c r="B12" s="15" t="n">
        <f aca="false">IFERROR(INDEX('Venda Anual (Base)'!$C$5:$C$16,MATCH($A12,'Venda Anual (Base)'!$A$5:$A$16,0)),"")</f>
        <v>352563.43</v>
      </c>
      <c r="C12" s="15" t="n">
        <f aca="false">(B11*$E$3)</f>
        <v>254573.431</v>
      </c>
      <c r="D12" s="15" t="n">
        <f aca="false">IFERROR(INDEX('Resumo Mensal'!$C$2:$C$25,MATCH($A12,'Resumo Mensal'!$A$2:$A$25,0)),0)</f>
        <v>278857.68</v>
      </c>
      <c r="E12" s="15" t="n">
        <f aca="false">IF(AND(ISNUMBER(C12),D12&gt;0),D12-C12,"")</f>
        <v>24284.249</v>
      </c>
      <c r="F12" s="48" t="n">
        <f aca="false">IF(AND(ISNUMBER(B11),ISNUMBER(B10),B10&lt;&gt;0),B11/B10,"")</f>
        <v>1.0890916375587</v>
      </c>
      <c r="G12" s="48" t="n">
        <f aca="false">IF(AND(ISNUMBER(D12),ISNUMBER(B12),B12&lt;&gt;0),(D12/B12)*30,"")</f>
        <v>23.7282987631474</v>
      </c>
      <c r="H12" s="49" t="str">
        <f aca="false">IF(F12="","",IF(OR(F12&lt;0.9,F12&gt;1.1),"ALERTA","OK"))</f>
        <v>OK</v>
      </c>
      <c r="I12" s="50" t="n">
        <f aca="false">IF(C12="","",IF(AND(F12&lt;&gt;"",F12&lt;1),C12*F12,C12))</f>
        <v>254573.431</v>
      </c>
      <c r="J12" s="50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5" t="str">
        <f aca="false">IF($A12=INDEX('Venda Anual (Base)'!$A$5:$A$16,MONTH('Venda Anual (Base)'!$C$18)),IFERROR(B12/DAY('Venda Anual (Base)'!$C$18)*DAY(EOMONTH('Venda Anual (Base)'!$C$18,0)),""),"")</f>
        <v/>
      </c>
      <c r="L12" s="15" t="n">
        <f aca="false">('Resumo Grupos'!G13)</f>
        <v>185751.86</v>
      </c>
      <c r="M12" s="15" t="n">
        <f aca="false">IFERROR(B12-D12-L12,"")</f>
        <v>-112046.11</v>
      </c>
      <c r="N12" s="15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19" t="s">
        <v>2089</v>
      </c>
      <c r="B13" s="15" t="n">
        <f aca="false">IFERROR(INDEX('Venda Anual (Base)'!$C$5:$C$16,MATCH($A13,'Venda Anual (Base)'!$A$5:$A$16,0)),"")</f>
        <v>390948.09</v>
      </c>
      <c r="C13" s="15" t="n">
        <f aca="false">(B12*$E$3)</f>
        <v>246794.401</v>
      </c>
      <c r="D13" s="15" t="n">
        <f aca="false">IFERROR(INDEX('Resumo Mensal'!$C$2:$C$25,MATCH($A13,'Resumo Mensal'!$A$2:$A$25,0)),0)</f>
        <v>301549.13</v>
      </c>
      <c r="E13" s="15" t="n">
        <f aca="false">IF(AND(ISNUMBER(C13),D13&gt;0),D13-C13,"")</f>
        <v>54754.729</v>
      </c>
      <c r="F13" s="51" t="n">
        <f aca="false">IF(AND(ISNUMBER(B12),ISNUMBER(B11),B11&lt;&gt;0),B12/B11,"")</f>
        <v>0.969442883456287</v>
      </c>
      <c r="G13" s="51" t="n">
        <f aca="false">IF(AND(ISNUMBER(D13),ISNUMBER(B13),B13&lt;&gt;0),(D13/B13)*30,"")</f>
        <v>23.1398339866554</v>
      </c>
      <c r="H13" s="52" t="str">
        <f aca="false">IF(F13="","",IF(OR(F13&lt;0.9,F13&gt;1.1),"ALERTA","OK"))</f>
        <v>OK</v>
      </c>
      <c r="I13" s="53" t="n">
        <f aca="false">IF(C13="","",IF(AND(F13&lt;&gt;"",F13&lt;1),C13*F13,C13))</f>
        <v>239253.075726307</v>
      </c>
      <c r="J13" s="53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5" t="str">
        <f aca="false">IF($A13=INDEX('Venda Anual (Base)'!$A$5:$A$16,MONTH('Venda Anual (Base)'!$C$18)),IFERROR(B13/DAY('Venda Anual (Base)'!$C$18)*DAY(EOMONTH('Venda Anual (Base)'!$C$18,0)),""),"")</f>
        <v/>
      </c>
      <c r="L13" s="15" t="n">
        <f aca="false">('Resumo Grupos'!H13)</f>
        <v>167820.57</v>
      </c>
      <c r="M13" s="15" t="n">
        <f aca="false">IFERROR(B13-D13-L13,"")</f>
        <v>-78421.61</v>
      </c>
      <c r="N13" s="15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19" t="s">
        <v>2090</v>
      </c>
      <c r="B14" s="15" t="n">
        <f aca="false">IFERROR(INDEX('Venda Anual (Base)'!$C$5:$C$16,MATCH($A14,'Venda Anual (Base)'!$A$5:$A$16,0)),"")</f>
        <v>394519.76</v>
      </c>
      <c r="C14" s="15" t="n">
        <f aca="false">(B13*$E$3)</f>
        <v>273663.663</v>
      </c>
      <c r="D14" s="15" t="n">
        <v>286202.43</v>
      </c>
      <c r="E14" s="15" t="n">
        <f aca="false">IF(AND(ISNUMBER(C14),D14&gt;0),D14-C14,"")</f>
        <v>12538.767</v>
      </c>
      <c r="F14" s="48" t="n">
        <f aca="false">IF(AND(ISNUMBER(B13),ISNUMBER(B12),B12&lt;&gt;0),B13/B12,"")</f>
        <v>1.10887306150839</v>
      </c>
      <c r="G14" s="48" t="n">
        <f aca="false">IF(AND(ISNUMBER(D14),ISNUMBER(B14),B14&lt;&gt;0),(D14/B14)*30,"")</f>
        <v>21.7633532475027</v>
      </c>
      <c r="H14" s="49" t="str">
        <f aca="false">IF(F14="","",IF(OR(F14&lt;0.9,F14&gt;1.1),"ALERTA","OK"))</f>
        <v>ALERTA</v>
      </c>
      <c r="I14" s="50" t="n">
        <f aca="false">IF(C14="","",IF(AND(F14&lt;&gt;"",F14&lt;1),C14*F14,C14))</f>
        <v>273663.663</v>
      </c>
      <c r="J14" s="50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5" t="str">
        <f aca="false">IF($A14=INDEX('Venda Anual (Base)'!$A$5:$A$16,MONTH('Venda Anual (Base)'!$C$18)),IFERROR(B14/DAY('Venda Anual (Base)'!$C$18)*DAY(EOMONTH('Venda Anual (Base)'!$C$18,0)),""),"")</f>
        <v/>
      </c>
      <c r="L14" s="15" t="n">
        <v>108317.57</v>
      </c>
      <c r="M14" s="15" t="n">
        <f aca="false">IFERROR(B14-D14-L14,"")</f>
        <v>-0.239999999990687</v>
      </c>
      <c r="N14" s="15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s="61" customFormat="true" ht="12.75" hidden="false" customHeight="true" outlineLevel="0" collapsed="false">
      <c r="A15" s="56" t="s">
        <v>2091</v>
      </c>
      <c r="B15" s="57" t="n">
        <f aca="false">IFERROR(INDEX('Venda Anual (Base)'!$C$5:$C$16,MATCH($A15,'Venda Anual (Base)'!$A$5:$A$16,0)),"")</f>
        <v>372436.91</v>
      </c>
      <c r="C15" s="57" t="n">
        <f aca="false">(B14*$E$3)</f>
        <v>276163.832</v>
      </c>
      <c r="D15" s="57" t="n">
        <f aca="false">IFERROR(INDEX('Resumo Mensal'!$C$2:$C$25,MATCH($A15,'Resumo Mensal'!$A$2:$A$25,0)),0)</f>
        <v>299933.52</v>
      </c>
      <c r="E15" s="57" t="n">
        <f aca="false">IF(AND(ISNUMBER(C15),D15&gt;0),D15-C15,"")</f>
        <v>23769.688</v>
      </c>
      <c r="F15" s="58" t="n">
        <f aca="false">IF(AND(ISNUMBER(B14),ISNUMBER(B13),B13&lt;&gt;0),B14/B13,"")</f>
        <v>1.00913591878656</v>
      </c>
      <c r="G15" s="58" t="n">
        <f aca="false">IF(AND(ISNUMBER(D15),ISNUMBER(B15),B15&lt;&gt;0),(D15/B15)*30,"")</f>
        <v>24.1598116577651</v>
      </c>
      <c r="H15" s="59" t="str">
        <f aca="false">IF(F15="","",IF(OR(F15&lt;0.9,F15&gt;1.1),"ALERTA","OK"))</f>
        <v>OK</v>
      </c>
      <c r="I15" s="60" t="n">
        <f aca="false">IF(C15="","",IF(AND(F15&lt;&gt;"",F15&lt;1),C15*F15,C15))</f>
        <v>276163.832</v>
      </c>
      <c r="J15" s="60" t="n">
        <f aca="false">SUMIFS('Notas Fiscais (Rel 19)'!$K:$K,'Notas Fiscais (Rel 19)'!$L:$L,"MERCADORIA",'Notas Fiscais (Rel 19)'!$E:$E,"&gt;="&amp;DATE(2026,9,1),'Notas Fiscais (Rel 19)'!$E:$E,"&lt;="&amp;DATE(2026,9,30))</f>
        <v>253643.55</v>
      </c>
      <c r="K15" s="57" t="str">
        <f aca="false">IF($A15=INDEX('Venda Anual (Base)'!$A$5:$A$16,MONTH('Venda Anual (Base)'!$C$18)),IFERROR(B15/DAY('Venda Anual (Base)'!$C$18)*DAY(EOMONTH('Venda Anual (Base)'!$C$18,0)),""),"")</f>
        <v/>
      </c>
      <c r="L15" s="57" t="n">
        <f aca="false">('Resumo Grupos'!J13)</f>
        <v>122607.81</v>
      </c>
      <c r="M15" s="57" t="n">
        <f aca="false">IFERROR(B15-D15-L15,"")</f>
        <v>-50104.42</v>
      </c>
      <c r="N15" s="57" t="n">
        <f aca="false">SUMIFS('Mov Entradas (Rel 10497)'!$O:$O,'Mov Entradas (Rel 10497)'!$P:$P,"SIM",'Mov Entradas (Rel 10497)'!$B:$B,"&gt;="&amp;DATE(2026,9,1),'Mov Entradas (Rel 10497)'!$B:$B,"&lt;="&amp;DATE(2026,9,30))</f>
        <v>975.44</v>
      </c>
    </row>
    <row r="16" customFormat="false" ht="12.75" hidden="false" customHeight="true" outlineLevel="0" collapsed="false">
      <c r="A16" s="19" t="s">
        <v>2092</v>
      </c>
      <c r="B16" s="15" t="n">
        <f aca="false">IFERROR(INDEX('Venda Anual (Base)'!$C$5:$C$16,MATCH($A16,'Venda Anual (Base)'!$A$5:$A$16,0)),"")</f>
        <v>68635.34</v>
      </c>
      <c r="C16" s="15" t="n">
        <f aca="false">(B15*$E$3)</f>
        <v>260705.837</v>
      </c>
      <c r="D16" s="15" t="n">
        <f aca="false">IFERROR(INDEX('Resumo Mensal'!$C$2:$C$25,MATCH($A16,'Resumo Mensal'!$A$2:$A$25,0)),0)</f>
        <v>115260.44</v>
      </c>
      <c r="E16" s="15" t="n">
        <f aca="false">IF(AND(ISNUMBER(C16),D16&gt;0),D16-C16,"")</f>
        <v>-145445.397</v>
      </c>
      <c r="F16" s="62" t="n">
        <f aca="false">IF(AND(ISNUMBER(B15),ISNUMBER(B14),B14&lt;&gt;0),B15/B14,"")</f>
        <v>0.944025997582478</v>
      </c>
      <c r="G16" s="62" t="n">
        <f aca="false">IF(AND(ISNUMBER(D16),ISNUMBER(B16),B16&lt;&gt;0),(D16/B16)*30,"")</f>
        <v>50.3794867192324</v>
      </c>
      <c r="H16" s="63" t="str">
        <f aca="false">IF(F16="","",IF(OR(F16&lt;0.9,F16&gt;1.1),"ALERTA","OK"))</f>
        <v>OK</v>
      </c>
      <c r="I16" s="64" t="n">
        <f aca="false">IF(C16="","",IF(AND(F16&lt;&gt;"",F16&lt;1),C16*F16,C16))</f>
        <v>246113.0878495</v>
      </c>
      <c r="J16" s="65" t="n">
        <f aca="false">SUMIFS('Notas Fiscais (Rel 19)'!$K:$K,'Notas Fiscais (Rel 19)'!$L:$L,"MERCADORIA",'Notas Fiscais (Rel 19)'!$E:$E,"&gt;="&amp;DATE(2026,10,1),'Notas Fiscais (Rel 19)'!$E:$E,"&lt;="&amp;DATE(2026,10,31))</f>
        <v>25546.7</v>
      </c>
      <c r="K16" s="15" t="n">
        <f aca="false">IF($A16=INDEX('Venda Anual (Base)'!$A$5:$A$16,MONTH('Venda Anual (Base)'!$C$18)),IFERROR(B16/DAY('Venda Anual (Base)'!$C$18)*DAY(EOMONTH('Venda Anual (Base)'!$C$18,0)),""),"")</f>
        <v>354615.923333333</v>
      </c>
      <c r="L16" s="15" t="n">
        <f aca="false">('Resumo Grupos'!K13)</f>
        <v>45884.55</v>
      </c>
      <c r="M16" s="15" t="n">
        <f aca="false">IFERROR(B16-D16-L16,"")</f>
        <v>-92509.65</v>
      </c>
      <c r="N16" s="15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19" t="s">
        <v>2093</v>
      </c>
      <c r="B17" s="15" t="n">
        <f aca="false">IFERROR(INDEX('Venda Anual (Base)'!$C$5:$C$16,MATCH($A17,'Venda Anual (Base)'!$A$5:$A$16,0)),"")</f>
        <v>0</v>
      </c>
      <c r="C17" s="15" t="n">
        <f aca="false">(B16*$E$3)</f>
        <v>48044.738</v>
      </c>
      <c r="D17" s="15" t="n">
        <f aca="false">IFERROR(INDEX('Resumo Mensal'!$C$2:$C$25,MATCH($A17,'Resumo Mensal'!$A$2:$A$25,0)),0)</f>
        <v>8079.71</v>
      </c>
      <c r="E17" s="15" t="n">
        <f aca="false">IF(AND(ISNUMBER(C17),D17&gt;0),D17-C17,"")</f>
        <v>-39965.028</v>
      </c>
      <c r="F17" s="66" t="n">
        <f aca="false">IF(AND(ISNUMBER(B16),ISNUMBER(B15),B15&lt;&gt;0),B16/B15,"")</f>
        <v>0.184287158864034</v>
      </c>
      <c r="G17" s="66" t="str">
        <f aca="false">IF(AND(ISNUMBER(D17),ISNUMBER(B17),B17&lt;&gt;0),(D17/B17)*30,"")</f>
        <v/>
      </c>
      <c r="H17" s="0" t="str">
        <f aca="false">IF(F17="","",IF(OR(F17&lt;0.9,F17&gt;1.1),"ALERTA","OK"))</f>
        <v>ALERTA</v>
      </c>
      <c r="I17" s="15" t="n">
        <f aca="false">IF(C17="","",IF(AND(F17&lt;&gt;"",F17&lt;1),C17*F17,C17))</f>
        <v>8854.0282643869</v>
      </c>
      <c r="J17" s="15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5" t="str">
        <f aca="false">IF($A17=INDEX('Venda Anual (Base)'!$A$5:$A$16,MONTH('Venda Anual (Base)'!$C$18)),IFERROR(B17/DAY('Venda Anual (Base)'!$C$18)*DAY(EOMONTH('Venda Anual (Base)'!$C$18,0)),""),"")</f>
        <v/>
      </c>
      <c r="L17" s="15" t="n">
        <f aca="false">('Resumo Grupos'!L13)</f>
        <v>16627.46</v>
      </c>
      <c r="M17" s="15" t="n">
        <f aca="false">IFERROR(B17-D17-L17,"")</f>
        <v>-24707.17</v>
      </c>
      <c r="N17" s="15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19" t="s">
        <v>2094</v>
      </c>
      <c r="B18" s="15" t="n">
        <f aca="false">IFERROR(INDEX('Venda Anual (Base)'!$C$5:$C$16,MATCH($A18,'Venda Anual (Base)'!$A$5:$A$16,0)),"")</f>
        <v>0</v>
      </c>
      <c r="C18" s="15" t="n">
        <f aca="false">(B17*$E$3)</f>
        <v>0</v>
      </c>
      <c r="D18" s="15" t="n">
        <f aca="false">IFERROR(INDEX('Resumo Mensal'!$C$2:$C$25,MATCH($A18,'Resumo Mensal'!$A$2:$A$25,0)),0)</f>
        <v>3323.62</v>
      </c>
      <c r="E18" s="15" t="n">
        <f aca="false">IF(AND(ISNUMBER(C18),D18&gt;0),D18-C18,"")</f>
        <v>3323.62</v>
      </c>
      <c r="F18" s="66" t="n">
        <f aca="false">IF(AND(ISNUMBER(B17),ISNUMBER(B16),B16&lt;&gt;0),B17/B16,"")</f>
        <v>0</v>
      </c>
      <c r="G18" s="66" t="str">
        <f aca="false">IF(AND(ISNUMBER(D18),ISNUMBER(B18),B18&lt;&gt;0),(D18/B18)*30,"")</f>
        <v/>
      </c>
      <c r="H18" s="0" t="str">
        <f aca="false">IF(F18="","",IF(OR(F18&lt;0.9,F18&gt;1.1),"ALERTA","OK"))</f>
        <v>ALERTA</v>
      </c>
      <c r="I18" s="15" t="n">
        <f aca="false">IF(C18="","",IF(AND(F18&lt;&gt;"",F18&lt;1),C18*F18,C18))</f>
        <v>0</v>
      </c>
      <c r="J18" s="15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5" t="str">
        <f aca="false">IF($A18=INDEX('Venda Anual (Base)'!$A$5:$A$16,MONTH('Venda Anual (Base)'!$C$18)),IFERROR(B18/DAY('Venda Anual (Base)'!$C$18)*DAY(EOMONTH('Venda Anual (Base)'!$C$18,0)),""),"")</f>
        <v/>
      </c>
      <c r="L18" s="15" t="n">
        <f aca="false">('Resumo Grupos'!M13)</f>
        <v>15798.12</v>
      </c>
      <c r="M18" s="15" t="n">
        <f aca="false">IFERROR(B18-D18-L18,"")</f>
        <v>-19121.74</v>
      </c>
      <c r="N18" s="15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4" t="s">
        <v>2107</v>
      </c>
      <c r="B19" s="27" t="n">
        <f aca="false">SUM(B7:B18)</f>
        <v>3226510.59</v>
      </c>
      <c r="C19" s="27" t="n">
        <f aca="false">SUM(C7:C18)</f>
        <v>2258557.413</v>
      </c>
      <c r="D19" s="27" t="n">
        <f aca="false">SUM(D7:D18)</f>
        <v>1293206.53</v>
      </c>
      <c r="E19" s="27" t="n">
        <f aca="false">IF(COUNT(E7:E18)=0,"sem dados comparaveis ainda",SUM(E7:E18))</f>
        <v>-66739.3719999999</v>
      </c>
      <c r="F19" s="67" t="n">
        <f aca="false">SUM(F7:F18)</f>
        <v>8.40189643907588</v>
      </c>
      <c r="G19" s="66"/>
      <c r="I19" s="15" t="n">
        <f aca="false">SUM(I7:I18)</f>
        <v>2184606.81670408</v>
      </c>
      <c r="J19" s="15" t="n">
        <f aca="false">SUM(J7:J18)</f>
        <v>1186906.02</v>
      </c>
      <c r="K19" s="15" t="n">
        <f aca="false">SUM(K7:K18)</f>
        <v>354615.923333333</v>
      </c>
      <c r="L19" s="15" t="n">
        <f aca="false">SUM(L7:L18)</f>
        <v>662807.94</v>
      </c>
      <c r="M19" s="15" t="n">
        <f aca="false">SUM(M7:M18)</f>
        <v>1270496.12</v>
      </c>
      <c r="N19" s="15" t="n">
        <f aca="false">SUM(N7:N18)</f>
        <v>2650.86</v>
      </c>
    </row>
    <row r="21" customFormat="false" ht="12.75" hidden="false" customHeight="true" outlineLevel="0" collapsed="false">
      <c r="A21" s="19" t="s">
        <v>2258</v>
      </c>
    </row>
    <row r="23" customFormat="false" ht="62.25" hidden="false" customHeight="true" outlineLevel="0" collapsed="false">
      <c r="A23" s="19" t="s">
        <v>2259</v>
      </c>
    </row>
    <row r="25" customFormat="false" ht="12.75" hidden="false" customHeight="true" outlineLevel="0" collapsed="false">
      <c r="B25" s="14"/>
      <c r="C25" s="15"/>
      <c r="F25" s="15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08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pane xSplit="0" ySplit="1" topLeftCell="A2" activePane="bottomLeft" state="frozen"/>
      <selection pane="topLeft" activeCell="I1" activeCellId="0" sqref="I1"/>
      <selection pane="bottomLeft" activeCell="P5" activeCellId="0" sqref="P5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0" width="9.44"/>
    <col collapsed="false" customWidth="true" hidden="false" outlineLevel="0" max="2" min="2" style="0" width="9"/>
    <col collapsed="false" customWidth="true" hidden="false" outlineLevel="0" max="3" min="3" style="0" width="8.44"/>
    <col collapsed="false" customWidth="true" hidden="false" outlineLevel="0" max="4" min="4" style="0" width="15.11"/>
    <col collapsed="false" customWidth="true" hidden="false" outlineLevel="0" max="5" min="5" style="0" width="11"/>
    <col collapsed="false" customWidth="true" hidden="false" outlineLevel="0" max="6" min="6" style="0" width="9.11"/>
    <col collapsed="false" customWidth="true" hidden="false" outlineLevel="0" max="7" min="7" style="0" width="89.77"/>
    <col collapsed="false" customWidth="true" hidden="false" outlineLevel="0" max="9" min="9" style="0" width="10.11"/>
    <col collapsed="false" customWidth="true" hidden="false" outlineLevel="0" max="10" min="10" style="0" width="3.67"/>
    <col collapsed="false" customWidth="true" hidden="false" outlineLevel="0" max="11" min="11" style="0" width="9.33"/>
    <col collapsed="false" customWidth="true" hidden="false" outlineLevel="0" max="12" min="12" style="0" width="13.22"/>
    <col collapsed="false" customWidth="true" hidden="false" outlineLevel="0" max="14" min="14" style="0" width="13.34"/>
    <col collapsed="false" customWidth="true" hidden="false" outlineLevel="0" max="15" min="15" style="0" width="13.44"/>
    <col collapsed="false" customWidth="true" hidden="false" outlineLevel="0" max="16" min="16" style="0" width="16.33"/>
  </cols>
  <sheetData>
    <row r="1" customFormat="false" ht="15" hidden="false" customHeight="true" outlineLevel="0" collapsed="false">
      <c r="A1" s="0" t="s">
        <v>2260</v>
      </c>
      <c r="B1" s="0" t="s">
        <v>2261</v>
      </c>
      <c r="C1" s="0" t="s">
        <v>2262</v>
      </c>
      <c r="D1" s="0" t="s">
        <v>2263</v>
      </c>
      <c r="E1" s="0" t="s">
        <v>2264</v>
      </c>
      <c r="F1" s="0" t="s">
        <v>2265</v>
      </c>
      <c r="G1" s="0" t="s">
        <v>2266</v>
      </c>
      <c r="H1" s="0" t="s">
        <v>2267</v>
      </c>
      <c r="I1" s="0" t="s">
        <v>2268</v>
      </c>
      <c r="J1" s="0" t="s">
        <v>2269</v>
      </c>
      <c r="K1" s="0" t="s">
        <v>2270</v>
      </c>
      <c r="L1" s="0" t="s">
        <v>2271</v>
      </c>
      <c r="N1" s="25" t="s">
        <v>2272</v>
      </c>
      <c r="O1" s="25" t="s">
        <v>2273</v>
      </c>
      <c r="P1" s="25" t="s">
        <v>2274</v>
      </c>
    </row>
    <row r="2" customFormat="false" ht="15" hidden="false" customHeight="true" outlineLevel="0" collapsed="false">
      <c r="A2" s="0" t="n">
        <v>2</v>
      </c>
      <c r="B2" s="0" t="n">
        <v>1143885</v>
      </c>
      <c r="C2" s="0" t="s">
        <v>80</v>
      </c>
      <c r="D2" s="0" t="s">
        <v>2275</v>
      </c>
      <c r="E2" s="14" t="n">
        <v>46174</v>
      </c>
      <c r="F2" s="14" t="n">
        <v>46171</v>
      </c>
      <c r="G2" s="0" t="s">
        <v>130</v>
      </c>
      <c r="H2" s="0" t="n">
        <v>1188052</v>
      </c>
      <c r="I2" s="0" t="n">
        <v>1</v>
      </c>
      <c r="J2" s="0" t="s">
        <v>2276</v>
      </c>
      <c r="K2" s="15" t="n">
        <v>305.12</v>
      </c>
      <c r="L2" s="0" t="s">
        <v>2277</v>
      </c>
      <c r="N2" s="68" t="n">
        <v>6</v>
      </c>
      <c r="O2" s="15" t="n">
        <f aca="false">IF($N2="","",SUMIFS($K:$K,$E:$E,"&gt;="&amp;DATE(2026,$N2,1),$E:$E,"&lt;="&amp;EOMONTH(DATE(2026,$N2,1),0)))</f>
        <v>323354.67</v>
      </c>
      <c r="P2" s="15" t="n">
        <f aca="false">IF($N2="","",SUMIFS($K:$K,$L:$L,"MERCADORIA",$E:$E,"&gt;="&amp;DATE(2026,$N2,1),$E:$E,"&lt;="&amp;EOMONTH(DATE(2026,$N2,1),0)))</f>
        <v>318108.95</v>
      </c>
    </row>
    <row r="3" customFormat="false" ht="15" hidden="false" customHeight="true" outlineLevel="0" collapsed="false">
      <c r="A3" s="0" t="n">
        <v>2</v>
      </c>
      <c r="B3" s="0" t="n">
        <v>14361</v>
      </c>
      <c r="C3" s="0" t="s">
        <v>52</v>
      </c>
      <c r="D3" s="0" t="s">
        <v>2278</v>
      </c>
      <c r="E3" s="14" t="n">
        <v>46174</v>
      </c>
      <c r="F3" s="14" t="n">
        <v>46172</v>
      </c>
      <c r="G3" s="0" t="s">
        <v>270</v>
      </c>
      <c r="H3" s="0" t="n">
        <v>1188021</v>
      </c>
      <c r="I3" s="0" t="n">
        <v>1</v>
      </c>
      <c r="J3" s="0" t="s">
        <v>2276</v>
      </c>
      <c r="K3" s="15" t="n">
        <v>3329</v>
      </c>
      <c r="L3" s="0" t="s">
        <v>2277</v>
      </c>
      <c r="N3" s="68" t="n">
        <v>7</v>
      </c>
      <c r="O3" s="15" t="n">
        <f aca="false">IF($N3="","",SUMIFS($K:$K,$E:$E,"&gt;="&amp;DATE(2026,$N3,1),$E:$E,"&lt;="&amp;EOMONTH(DATE(2026,$N3,1),0)))</f>
        <v>293314.78</v>
      </c>
      <c r="P3" s="15" t="n">
        <f aca="false">IF($N3="","",SUMIFS($K:$K,$L:$L,"MERCADORIA",$E:$E,"&gt;="&amp;DATE(2026,$N3,1),$E:$E,"&lt;="&amp;EOMONTH(DATE(2026,$N3,1),0)))</f>
        <v>290181.98</v>
      </c>
    </row>
    <row r="4" customFormat="false" ht="15" hidden="false" customHeight="true" outlineLevel="0" collapsed="false">
      <c r="A4" s="0" t="n">
        <v>2</v>
      </c>
      <c r="B4" s="0" t="n">
        <v>14975</v>
      </c>
      <c r="C4" s="0" t="s">
        <v>52</v>
      </c>
      <c r="D4" s="0" t="s">
        <v>2279</v>
      </c>
      <c r="E4" s="14" t="n">
        <v>46174</v>
      </c>
      <c r="F4" s="14" t="n">
        <v>46174</v>
      </c>
      <c r="G4" s="0" t="s">
        <v>299</v>
      </c>
      <c r="H4" s="0" t="n">
        <v>1187978</v>
      </c>
      <c r="I4" s="0" t="n">
        <v>1</v>
      </c>
      <c r="J4" s="0" t="s">
        <v>2276</v>
      </c>
      <c r="K4" s="15" t="n">
        <v>374.01</v>
      </c>
      <c r="L4" s="0" t="s">
        <v>2277</v>
      </c>
      <c r="N4" s="68" t="n">
        <v>8</v>
      </c>
      <c r="O4" s="15" t="n">
        <f aca="false">IF($N4="","",SUMIFS($K:$K,$E:$E,"&gt;="&amp;DATE(2026,$N4,1),$E:$E,"&lt;="&amp;EOMONTH(DATE(2026,$N4,1),0)))</f>
        <v>301419.67</v>
      </c>
      <c r="P4" s="15" t="n">
        <f aca="false">IF($N4="","",SUMIFS($K:$K,$L:$L,"MERCADORIA",$E:$E,"&gt;="&amp;DATE(2026,$N4,1),$E:$E,"&lt;="&amp;EOMONTH(DATE(2026,$N4,1),0)))</f>
        <v>299424.84</v>
      </c>
    </row>
    <row r="5" customFormat="false" ht="15" hidden="false" customHeight="true" outlineLevel="0" collapsed="false">
      <c r="A5" s="0" t="n">
        <v>2</v>
      </c>
      <c r="B5" s="0" t="n">
        <v>1624511</v>
      </c>
      <c r="C5" s="0" t="s">
        <v>2280</v>
      </c>
      <c r="D5" s="0" t="s">
        <v>2281</v>
      </c>
      <c r="E5" s="14" t="n">
        <v>46174</v>
      </c>
      <c r="F5" s="14" t="n">
        <v>46172</v>
      </c>
      <c r="G5" s="0" t="s">
        <v>406</v>
      </c>
      <c r="H5" s="0" t="n">
        <v>1187101</v>
      </c>
      <c r="I5" s="0" t="n">
        <v>1</v>
      </c>
      <c r="J5" s="0" t="s">
        <v>2276</v>
      </c>
      <c r="K5" s="15" t="n">
        <v>172</v>
      </c>
      <c r="L5" s="0" t="s">
        <v>2277</v>
      </c>
      <c r="N5" s="68" t="n">
        <v>9</v>
      </c>
      <c r="O5" s="15" t="n">
        <f aca="false">IF($N5="","",SUMIFS($K:$K,$E:$E,"&gt;="&amp;DATE(2026,$N5,1),$E:$E,"&lt;="&amp;EOMONTH(DATE(2026,$N5,1),0)))</f>
        <v>263595.83</v>
      </c>
      <c r="P5" s="15" t="n">
        <f aca="false">IF($N5="","",SUMIFS($K:$K,$L:$L,"MERCADORIA",$E:$E,"&gt;="&amp;DATE(2026,$N5,1),$E:$E,"&lt;="&amp;EOMONTH(DATE(2026,$N5,1),0)))</f>
        <v>253643.55</v>
      </c>
    </row>
    <row r="6" customFormat="false" ht="15" hidden="false" customHeight="true" outlineLevel="0" collapsed="false">
      <c r="A6" s="0" t="n">
        <v>2</v>
      </c>
      <c r="B6" s="0" t="n">
        <v>1857569</v>
      </c>
      <c r="C6" s="0" t="s">
        <v>36</v>
      </c>
      <c r="D6" s="0" t="s">
        <v>2275</v>
      </c>
      <c r="E6" s="14" t="n">
        <v>46174</v>
      </c>
      <c r="F6" s="14" t="n">
        <v>46171</v>
      </c>
      <c r="G6" s="0" t="s">
        <v>130</v>
      </c>
      <c r="H6" s="0" t="n">
        <v>1188066</v>
      </c>
      <c r="I6" s="0" t="n">
        <v>11</v>
      </c>
      <c r="J6" s="0" t="s">
        <v>2276</v>
      </c>
      <c r="K6" s="15" t="n">
        <v>319.14</v>
      </c>
      <c r="L6" s="0" t="s">
        <v>2277</v>
      </c>
      <c r="N6" s="68" t="n">
        <v>10</v>
      </c>
      <c r="O6" s="15" t="n">
        <f aca="false">IF($N6="","",SUMIFS($K:$K,$E:$E,"&gt;="&amp;DATE(2026,$N6,1),$E:$E,"&lt;="&amp;EOMONTH(DATE(2026,$N6,1),0)))</f>
        <v>25546.7</v>
      </c>
      <c r="P6" s="15" t="n">
        <f aca="false">IF($N6="","",SUMIFS($K:$K,$L:$L,"MERCADORIA",$E:$E,"&gt;="&amp;DATE(2026,$N6,1),$E:$E,"&lt;="&amp;EOMONTH(DATE(2026,$N6,1),0)))</f>
        <v>25546.7</v>
      </c>
    </row>
    <row r="7" customFormat="false" ht="15" hidden="false" customHeight="true" outlineLevel="0" collapsed="false">
      <c r="A7" s="0" t="n">
        <v>2</v>
      </c>
      <c r="B7" s="0" t="n">
        <v>1858412</v>
      </c>
      <c r="C7" s="0" t="s">
        <v>36</v>
      </c>
      <c r="D7" s="0" t="s">
        <v>2275</v>
      </c>
      <c r="E7" s="14" t="n">
        <v>46174</v>
      </c>
      <c r="F7" s="14" t="n">
        <v>46171</v>
      </c>
      <c r="G7" s="0" t="s">
        <v>130</v>
      </c>
      <c r="H7" s="0" t="n">
        <v>1188049</v>
      </c>
      <c r="I7" s="0" t="n">
        <v>1</v>
      </c>
      <c r="J7" s="0" t="s">
        <v>2276</v>
      </c>
      <c r="K7" s="15" t="n">
        <v>225.8</v>
      </c>
      <c r="L7" s="0" t="s">
        <v>2277</v>
      </c>
      <c r="N7" s="68" t="n">
        <v>11</v>
      </c>
      <c r="O7" s="15" t="n">
        <f aca="false">IF($N7="","",SUMIFS($K:$K,$E:$E,"&gt;="&amp;DATE(2026,$N7,1),$E:$E,"&lt;="&amp;EOMONTH(DATE(2026,$N7,1),0)))</f>
        <v>0</v>
      </c>
      <c r="P7" s="15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0" t="n">
        <v>2</v>
      </c>
      <c r="B8" s="0" t="n">
        <v>3301</v>
      </c>
      <c r="C8" s="0" t="s">
        <v>52</v>
      </c>
      <c r="D8" s="0" t="s">
        <v>2282</v>
      </c>
      <c r="E8" s="14" t="n">
        <v>46174</v>
      </c>
      <c r="F8" s="14" t="n">
        <v>46172</v>
      </c>
      <c r="G8" s="0" t="s">
        <v>209</v>
      </c>
      <c r="H8" s="0" t="n">
        <v>1187124</v>
      </c>
      <c r="I8" s="0" t="n">
        <v>1</v>
      </c>
      <c r="J8" s="0" t="s">
        <v>2276</v>
      </c>
      <c r="K8" s="15" t="n">
        <v>449.5</v>
      </c>
      <c r="L8" s="0" t="s">
        <v>2277</v>
      </c>
      <c r="N8" s="69" t="s">
        <v>2107</v>
      </c>
      <c r="O8" s="29" t="n">
        <f aca="false">SUM(O2:O7)</f>
        <v>1207231.65</v>
      </c>
      <c r="P8" s="29" t="n">
        <f aca="false">SUM(P2:P7)</f>
        <v>1186906.02</v>
      </c>
    </row>
    <row r="9" customFormat="false" ht="15" hidden="false" customHeight="true" outlineLevel="0" collapsed="false">
      <c r="A9" s="0" t="n">
        <v>2</v>
      </c>
      <c r="B9" s="0" t="n">
        <v>643</v>
      </c>
      <c r="C9" s="0" t="s">
        <v>44</v>
      </c>
      <c r="D9" s="0" t="s">
        <v>2283</v>
      </c>
      <c r="E9" s="14" t="n">
        <v>46174</v>
      </c>
      <c r="F9" s="14" t="n">
        <v>46174</v>
      </c>
      <c r="G9" s="0" t="s">
        <v>204</v>
      </c>
      <c r="H9" s="0" t="n">
        <v>1188208</v>
      </c>
      <c r="I9" s="0" t="n">
        <v>1</v>
      </c>
      <c r="J9" s="0" t="s">
        <v>2276</v>
      </c>
      <c r="K9" s="15" t="n">
        <v>334.6</v>
      </c>
      <c r="L9" s="0" t="s">
        <v>2277</v>
      </c>
      <c r="N9" s="14"/>
      <c r="O9" s="15"/>
      <c r="P9" s="15"/>
      <c r="Q9" s="70"/>
    </row>
    <row r="10" customFormat="false" ht="15" hidden="false" customHeight="true" outlineLevel="0" collapsed="false">
      <c r="A10" s="0" t="n">
        <v>2</v>
      </c>
      <c r="B10" s="0" t="n">
        <v>88296</v>
      </c>
      <c r="C10" s="0" t="s">
        <v>44</v>
      </c>
      <c r="D10" s="0" t="s">
        <v>2284</v>
      </c>
      <c r="E10" s="14" t="n">
        <v>46174</v>
      </c>
      <c r="F10" s="14" t="n">
        <v>46171</v>
      </c>
      <c r="G10" s="0" t="s">
        <v>217</v>
      </c>
      <c r="H10" s="0" t="n">
        <v>1187025</v>
      </c>
      <c r="I10" s="0" t="n">
        <v>11</v>
      </c>
      <c r="J10" s="0" t="s">
        <v>2276</v>
      </c>
      <c r="K10" s="15" t="n">
        <v>672.85</v>
      </c>
      <c r="L10" s="0" t="s">
        <v>2277</v>
      </c>
      <c r="N10" s="14" t="s">
        <v>2285</v>
      </c>
      <c r="O10" s="15"/>
    </row>
    <row r="11" customFormat="false" ht="15" hidden="false" customHeight="true" outlineLevel="0" collapsed="false">
      <c r="A11" s="0" t="n">
        <v>2</v>
      </c>
      <c r="B11" s="0" t="n">
        <v>1025111</v>
      </c>
      <c r="C11" s="0" t="s">
        <v>52</v>
      </c>
      <c r="D11" s="0" t="s">
        <v>2286</v>
      </c>
      <c r="E11" s="14" t="n">
        <v>46175</v>
      </c>
      <c r="F11" s="14" t="n">
        <v>46174</v>
      </c>
      <c r="G11" s="0" t="s">
        <v>228</v>
      </c>
      <c r="H11" s="0" t="n">
        <v>1191352</v>
      </c>
      <c r="I11" s="0" t="n">
        <v>1</v>
      </c>
      <c r="J11" s="0" t="s">
        <v>2276</v>
      </c>
      <c r="K11" s="15" t="n">
        <v>337.08</v>
      </c>
      <c r="L11" s="0" t="s">
        <v>2277</v>
      </c>
      <c r="N11" s="14"/>
      <c r="O11" s="15"/>
    </row>
    <row r="12" customFormat="false" ht="15" hidden="false" customHeight="true" outlineLevel="0" collapsed="false">
      <c r="A12" s="0" t="n">
        <v>2</v>
      </c>
      <c r="B12" s="0" t="n">
        <v>1624969</v>
      </c>
      <c r="C12" s="0" t="s">
        <v>2280</v>
      </c>
      <c r="D12" s="0" t="s">
        <v>2281</v>
      </c>
      <c r="E12" s="14" t="n">
        <v>46175</v>
      </c>
      <c r="F12" s="14" t="n">
        <v>46174</v>
      </c>
      <c r="G12" s="0" t="s">
        <v>406</v>
      </c>
      <c r="H12" s="0" t="n">
        <v>1192343</v>
      </c>
      <c r="I12" s="0" t="n">
        <v>1</v>
      </c>
      <c r="J12" s="0" t="s">
        <v>2276</v>
      </c>
      <c r="K12" s="15" t="n">
        <v>130.5</v>
      </c>
      <c r="L12" s="0" t="s">
        <v>2277</v>
      </c>
      <c r="N12" s="14"/>
      <c r="O12" s="15"/>
    </row>
    <row r="13" customFormat="false" ht="15" hidden="false" customHeight="true" outlineLevel="0" collapsed="false">
      <c r="A13" s="0" t="n">
        <v>2</v>
      </c>
      <c r="B13" s="0" t="n">
        <v>1664082</v>
      </c>
      <c r="C13" s="0" t="s">
        <v>52</v>
      </c>
      <c r="D13" s="0" t="s">
        <v>2287</v>
      </c>
      <c r="E13" s="14" t="n">
        <v>46175</v>
      </c>
      <c r="F13" s="14" t="n">
        <v>46170</v>
      </c>
      <c r="G13" s="0" t="s">
        <v>240</v>
      </c>
      <c r="H13" s="0" t="n">
        <v>1191332</v>
      </c>
      <c r="I13" s="0" t="n">
        <v>1</v>
      </c>
      <c r="J13" s="0" t="s">
        <v>2276</v>
      </c>
      <c r="K13" s="15" t="n">
        <v>342.59</v>
      </c>
      <c r="L13" s="0" t="s">
        <v>2277</v>
      </c>
      <c r="N13" s="14"/>
      <c r="O13" s="15"/>
    </row>
    <row r="14" customFormat="false" ht="15" hidden="false" customHeight="true" outlineLevel="0" collapsed="false">
      <c r="A14" s="0" t="n">
        <v>2</v>
      </c>
      <c r="B14" s="0" t="n">
        <v>2473</v>
      </c>
      <c r="C14" s="0" t="s">
        <v>52</v>
      </c>
      <c r="D14" s="0" t="s">
        <v>2288</v>
      </c>
      <c r="E14" s="14" t="n">
        <v>46175</v>
      </c>
      <c r="F14" s="14" t="n">
        <v>46175</v>
      </c>
      <c r="G14" s="0" t="s">
        <v>153</v>
      </c>
      <c r="H14" s="0" t="n">
        <v>1192377</v>
      </c>
      <c r="I14" s="0" t="n">
        <v>6</v>
      </c>
      <c r="J14" s="0" t="s">
        <v>2276</v>
      </c>
      <c r="K14" s="15" t="n">
        <v>195</v>
      </c>
      <c r="L14" s="0" t="s">
        <v>2277</v>
      </c>
      <c r="N14" s="14"/>
      <c r="O14" s="15"/>
      <c r="P14" s="15"/>
    </row>
    <row r="15" customFormat="false" ht="15" hidden="false" customHeight="true" outlineLevel="0" collapsed="false">
      <c r="A15" s="0" t="n">
        <v>2</v>
      </c>
      <c r="B15" s="0" t="n">
        <v>2474</v>
      </c>
      <c r="C15" s="0" t="s">
        <v>52</v>
      </c>
      <c r="D15" s="0" t="s">
        <v>2288</v>
      </c>
      <c r="E15" s="14" t="n">
        <v>46175</v>
      </c>
      <c r="F15" s="14" t="n">
        <v>46175</v>
      </c>
      <c r="G15" s="0" t="s">
        <v>153</v>
      </c>
      <c r="H15" s="0" t="n">
        <v>1193292</v>
      </c>
      <c r="I15" s="0" t="n">
        <v>6</v>
      </c>
      <c r="J15" s="0" t="s">
        <v>2276</v>
      </c>
      <c r="K15" s="15" t="n">
        <v>1465.86</v>
      </c>
      <c r="L15" s="0" t="s">
        <v>2277</v>
      </c>
      <c r="N15" s="14"/>
      <c r="O15" s="15"/>
      <c r="P15" s="15"/>
    </row>
    <row r="16" customFormat="false" ht="15" hidden="false" customHeight="true" outlineLevel="0" collapsed="false">
      <c r="A16" s="0" t="n">
        <v>2</v>
      </c>
      <c r="B16" s="0" t="n">
        <v>262026</v>
      </c>
      <c r="C16" s="0" t="s">
        <v>52</v>
      </c>
      <c r="D16" s="0" t="s">
        <v>2288</v>
      </c>
      <c r="E16" s="14" t="n">
        <v>46175</v>
      </c>
      <c r="F16" s="14" t="n">
        <v>46175</v>
      </c>
      <c r="G16" s="0" t="s">
        <v>153</v>
      </c>
      <c r="H16" s="0" t="n">
        <v>1193282</v>
      </c>
      <c r="I16" s="0" t="n">
        <v>2</v>
      </c>
      <c r="J16" s="0" t="s">
        <v>2276</v>
      </c>
      <c r="K16" s="15" t="n">
        <v>1465.86</v>
      </c>
      <c r="L16" s="0" t="s">
        <v>2277</v>
      </c>
      <c r="N16" s="14"/>
      <c r="O16" s="15"/>
      <c r="P16" s="15"/>
    </row>
    <row r="17" customFormat="false" ht="15" hidden="false" customHeight="true" outlineLevel="0" collapsed="false">
      <c r="A17" s="0" t="n">
        <v>2</v>
      </c>
      <c r="B17" s="0" t="n">
        <v>2626</v>
      </c>
      <c r="C17" s="0" t="s">
        <v>52</v>
      </c>
      <c r="D17" s="0" t="s">
        <v>2288</v>
      </c>
      <c r="E17" s="14" t="n">
        <v>46175</v>
      </c>
      <c r="F17" s="14" t="n">
        <v>46175</v>
      </c>
      <c r="G17" s="0" t="s">
        <v>153</v>
      </c>
      <c r="H17" s="0" t="n">
        <v>1192361</v>
      </c>
      <c r="I17" s="0" t="n">
        <v>2</v>
      </c>
      <c r="J17" s="0" t="s">
        <v>2276</v>
      </c>
      <c r="K17" s="15" t="n">
        <v>195</v>
      </c>
      <c r="L17" s="0" t="s">
        <v>2277</v>
      </c>
      <c r="N17" s="14"/>
      <c r="O17" s="15"/>
      <c r="P17" s="15"/>
    </row>
    <row r="18" customFormat="false" ht="15" hidden="false" customHeight="true" outlineLevel="0" collapsed="false">
      <c r="A18" s="0" t="n">
        <v>2</v>
      </c>
      <c r="B18" s="0" t="n">
        <v>287</v>
      </c>
      <c r="C18" s="0" t="s">
        <v>52</v>
      </c>
      <c r="D18" s="0" t="s">
        <v>2289</v>
      </c>
      <c r="E18" s="14" t="n">
        <v>46175</v>
      </c>
      <c r="F18" s="14" t="n">
        <v>46170</v>
      </c>
      <c r="G18" s="0" t="s">
        <v>216</v>
      </c>
      <c r="H18" s="0" t="n">
        <v>1193359</v>
      </c>
      <c r="I18" s="0" t="n">
        <v>1</v>
      </c>
      <c r="J18" s="0" t="s">
        <v>2276</v>
      </c>
      <c r="K18" s="15" t="n">
        <v>570</v>
      </c>
      <c r="L18" s="0" t="s">
        <v>2277</v>
      </c>
      <c r="N18" s="14"/>
      <c r="O18" s="15"/>
      <c r="P18" s="15"/>
    </row>
    <row r="19" customFormat="false" ht="15" hidden="false" customHeight="true" outlineLevel="0" collapsed="false">
      <c r="A19" s="0" t="n">
        <v>2</v>
      </c>
      <c r="B19" s="0" t="n">
        <v>3628</v>
      </c>
      <c r="C19" s="0" t="s">
        <v>52</v>
      </c>
      <c r="D19" s="0" t="s">
        <v>2290</v>
      </c>
      <c r="E19" s="14" t="n">
        <v>46175</v>
      </c>
      <c r="F19" s="14" t="n">
        <v>46174</v>
      </c>
      <c r="G19" s="0" t="s">
        <v>95</v>
      </c>
      <c r="H19" s="0" t="n">
        <v>1193352</v>
      </c>
      <c r="I19" s="0" t="n">
        <v>1</v>
      </c>
      <c r="J19" s="0" t="s">
        <v>2276</v>
      </c>
      <c r="K19" s="15" t="n">
        <v>209.7</v>
      </c>
      <c r="L19" s="0" t="s">
        <v>2277</v>
      </c>
      <c r="N19" s="14"/>
      <c r="O19" s="15"/>
      <c r="P19" s="15"/>
    </row>
    <row r="20" customFormat="false" ht="15" hidden="false" customHeight="true" outlineLevel="0" collapsed="false">
      <c r="A20" s="0" t="n">
        <v>2</v>
      </c>
      <c r="B20" s="0" t="n">
        <v>483</v>
      </c>
      <c r="C20" s="0" t="s">
        <v>52</v>
      </c>
      <c r="D20" s="0" t="s">
        <v>2291</v>
      </c>
      <c r="E20" s="14" t="n">
        <v>46175</v>
      </c>
      <c r="F20" s="14" t="n">
        <v>46174</v>
      </c>
      <c r="G20" s="0" t="s">
        <v>123</v>
      </c>
      <c r="H20" s="0" t="n">
        <v>1192348</v>
      </c>
      <c r="I20" s="0" t="n">
        <v>1</v>
      </c>
      <c r="J20" s="0" t="s">
        <v>2276</v>
      </c>
      <c r="K20" s="15" t="n">
        <v>180</v>
      </c>
      <c r="L20" s="0" t="s">
        <v>2277</v>
      </c>
      <c r="N20" s="14"/>
      <c r="O20" s="15"/>
      <c r="P20" s="15"/>
    </row>
    <row r="21" customFormat="false" ht="15" hidden="false" customHeight="true" outlineLevel="0" collapsed="false">
      <c r="A21" s="0" t="n">
        <v>2</v>
      </c>
      <c r="B21" s="0" t="n">
        <v>5932</v>
      </c>
      <c r="C21" s="0" t="s">
        <v>44</v>
      </c>
      <c r="D21" s="0" t="s">
        <v>2292</v>
      </c>
      <c r="E21" s="14" t="n">
        <v>46175</v>
      </c>
      <c r="F21" s="14" t="n">
        <v>46175</v>
      </c>
      <c r="G21" s="0" t="s">
        <v>149</v>
      </c>
      <c r="H21" s="0" t="n">
        <v>1193349</v>
      </c>
      <c r="I21" s="0" t="n">
        <v>1</v>
      </c>
      <c r="J21" s="0" t="s">
        <v>2276</v>
      </c>
      <c r="K21" s="15" t="n">
        <v>140</v>
      </c>
      <c r="L21" s="0" t="s">
        <v>2277</v>
      </c>
      <c r="N21" s="14"/>
      <c r="O21" s="15"/>
      <c r="P21" s="15"/>
    </row>
    <row r="22" customFormat="false" ht="15" hidden="false" customHeight="true" outlineLevel="0" collapsed="false">
      <c r="A22" s="0" t="n">
        <v>2</v>
      </c>
      <c r="B22" s="0" t="n">
        <v>1149104</v>
      </c>
      <c r="C22" s="0" t="s">
        <v>80</v>
      </c>
      <c r="D22" s="0" t="s">
        <v>2275</v>
      </c>
      <c r="E22" s="14" t="n">
        <v>46176</v>
      </c>
      <c r="F22" s="14" t="n">
        <v>46175</v>
      </c>
      <c r="G22" s="0" t="s">
        <v>130</v>
      </c>
      <c r="H22" s="0" t="n">
        <v>1197727</v>
      </c>
      <c r="I22" s="0" t="n">
        <v>1</v>
      </c>
      <c r="J22" s="0" t="s">
        <v>2276</v>
      </c>
      <c r="K22" s="15" t="n">
        <v>552.17</v>
      </c>
      <c r="L22" s="0" t="s">
        <v>2277</v>
      </c>
      <c r="N22" s="14"/>
      <c r="O22" s="15"/>
      <c r="P22" s="15"/>
    </row>
    <row r="23" customFormat="false" ht="15" hidden="false" customHeight="true" outlineLevel="0" collapsed="false">
      <c r="A23" s="0" t="n">
        <v>2</v>
      </c>
      <c r="B23" s="0" t="n">
        <v>170938</v>
      </c>
      <c r="C23" s="0" t="s">
        <v>52</v>
      </c>
      <c r="D23" s="0" t="s">
        <v>2293</v>
      </c>
      <c r="E23" s="14" t="n">
        <v>46176</v>
      </c>
      <c r="F23" s="14" t="n">
        <v>46175</v>
      </c>
      <c r="G23" s="0" t="s">
        <v>371</v>
      </c>
      <c r="H23" s="0" t="n">
        <v>1197015</v>
      </c>
      <c r="I23" s="0" t="n">
        <v>1</v>
      </c>
      <c r="J23" s="0" t="s">
        <v>2276</v>
      </c>
      <c r="K23" s="15" t="n">
        <v>2264.85</v>
      </c>
      <c r="L23" s="0" t="s">
        <v>2277</v>
      </c>
      <c r="N23" s="14"/>
      <c r="O23" s="15"/>
      <c r="P23" s="15"/>
    </row>
    <row r="24" customFormat="false" ht="15" hidden="false" customHeight="true" outlineLevel="0" collapsed="false">
      <c r="A24" s="0" t="n">
        <v>2</v>
      </c>
      <c r="B24" s="0" t="n">
        <v>1862359</v>
      </c>
      <c r="C24" s="0" t="s">
        <v>36</v>
      </c>
      <c r="D24" s="0" t="s">
        <v>2275</v>
      </c>
      <c r="E24" s="14" t="n">
        <v>46176</v>
      </c>
      <c r="F24" s="14" t="n">
        <v>46175</v>
      </c>
      <c r="G24" s="0" t="s">
        <v>130</v>
      </c>
      <c r="H24" s="0" t="n">
        <v>1197731</v>
      </c>
      <c r="I24" s="0" t="n">
        <v>11</v>
      </c>
      <c r="J24" s="0" t="s">
        <v>2276</v>
      </c>
      <c r="K24" s="15" t="n">
        <v>182.54</v>
      </c>
      <c r="L24" s="0" t="s">
        <v>2277</v>
      </c>
      <c r="N24" s="14"/>
      <c r="O24" s="15"/>
      <c r="P24" s="15"/>
    </row>
    <row r="25" customFormat="false" ht="15" hidden="false" customHeight="true" outlineLevel="0" collapsed="false">
      <c r="A25" s="0" t="n">
        <v>2</v>
      </c>
      <c r="B25" s="0" t="n">
        <v>1863917</v>
      </c>
      <c r="C25" s="0" t="s">
        <v>36</v>
      </c>
      <c r="D25" s="0" t="s">
        <v>2275</v>
      </c>
      <c r="E25" s="14" t="n">
        <v>46176</v>
      </c>
      <c r="F25" s="14" t="n">
        <v>46175</v>
      </c>
      <c r="G25" s="0" t="s">
        <v>130</v>
      </c>
      <c r="H25" s="0" t="n">
        <v>1197719</v>
      </c>
      <c r="I25" s="0" t="n">
        <v>1</v>
      </c>
      <c r="J25" s="0" t="s">
        <v>2276</v>
      </c>
      <c r="K25" s="15" t="n">
        <v>953.47</v>
      </c>
      <c r="L25" s="0" t="s">
        <v>2277</v>
      </c>
      <c r="N25" s="14"/>
      <c r="O25" s="15"/>
      <c r="P25" s="15"/>
    </row>
    <row r="26" customFormat="false" ht="15" hidden="false" customHeight="true" outlineLevel="0" collapsed="false">
      <c r="A26" s="0" t="n">
        <v>2</v>
      </c>
      <c r="B26" s="0" t="n">
        <v>30795</v>
      </c>
      <c r="C26" s="0" t="s">
        <v>52</v>
      </c>
      <c r="D26" s="0" t="s">
        <v>2294</v>
      </c>
      <c r="E26" s="14" t="n">
        <v>46176</v>
      </c>
      <c r="F26" s="14" t="n">
        <v>46176</v>
      </c>
      <c r="G26" s="0" t="s">
        <v>147</v>
      </c>
      <c r="H26" s="0" t="n">
        <v>1198387</v>
      </c>
      <c r="I26" s="0" t="n">
        <v>11</v>
      </c>
      <c r="J26" s="0" t="s">
        <v>2276</v>
      </c>
      <c r="K26" s="15" t="n">
        <v>199</v>
      </c>
      <c r="L26" s="0" t="s">
        <v>2277</v>
      </c>
      <c r="N26" s="14"/>
      <c r="O26" s="15"/>
      <c r="P26" s="15"/>
    </row>
    <row r="27" customFormat="false" ht="15" hidden="false" customHeight="true" outlineLevel="0" collapsed="false">
      <c r="A27" s="0" t="n">
        <v>2</v>
      </c>
      <c r="B27" s="0" t="n">
        <v>517670</v>
      </c>
      <c r="C27" s="0" t="s">
        <v>52</v>
      </c>
      <c r="D27" s="0" t="s">
        <v>2295</v>
      </c>
      <c r="E27" s="14" t="n">
        <v>46176</v>
      </c>
      <c r="F27" s="14" t="n">
        <v>46175</v>
      </c>
      <c r="G27" s="0" t="s">
        <v>128</v>
      </c>
      <c r="H27" s="0" t="n">
        <v>1197279</v>
      </c>
      <c r="I27" s="0" t="n">
        <v>1</v>
      </c>
      <c r="J27" s="0" t="s">
        <v>2276</v>
      </c>
      <c r="K27" s="15" t="n">
        <v>431.22</v>
      </c>
      <c r="L27" s="0" t="s">
        <v>2277</v>
      </c>
      <c r="N27" s="14"/>
      <c r="O27" s="15"/>
      <c r="P27" s="15"/>
    </row>
    <row r="28" customFormat="false" ht="15" hidden="false" customHeight="true" outlineLevel="0" collapsed="false">
      <c r="A28" s="0" t="n">
        <v>2</v>
      </c>
      <c r="B28" s="0" t="n">
        <v>294</v>
      </c>
      <c r="C28" s="0" t="s">
        <v>52</v>
      </c>
      <c r="D28" s="0" t="s">
        <v>2289</v>
      </c>
      <c r="E28" s="14" t="n">
        <v>46177</v>
      </c>
      <c r="F28" s="14" t="n">
        <v>46177</v>
      </c>
      <c r="G28" s="0" t="s">
        <v>216</v>
      </c>
      <c r="H28" s="0" t="n">
        <v>1202289</v>
      </c>
      <c r="I28" s="0" t="n">
        <v>11</v>
      </c>
      <c r="J28" s="0" t="s">
        <v>2276</v>
      </c>
      <c r="K28" s="15" t="n">
        <v>950</v>
      </c>
      <c r="L28" s="0" t="s">
        <v>2277</v>
      </c>
      <c r="N28" s="14"/>
      <c r="O28" s="15"/>
      <c r="P28" s="15"/>
    </row>
    <row r="29" customFormat="false" ht="15" hidden="false" customHeight="true" outlineLevel="0" collapsed="false">
      <c r="A29" s="0" t="n">
        <v>2</v>
      </c>
      <c r="B29" s="0" t="n">
        <v>30864</v>
      </c>
      <c r="C29" s="0" t="s">
        <v>52</v>
      </c>
      <c r="D29" s="0" t="s">
        <v>2296</v>
      </c>
      <c r="E29" s="14" t="n">
        <v>46177</v>
      </c>
      <c r="F29" s="14" t="n">
        <v>46176</v>
      </c>
      <c r="G29" s="0" t="s">
        <v>162</v>
      </c>
      <c r="H29" s="0" t="n">
        <v>1201508</v>
      </c>
      <c r="I29" s="0" t="n">
        <v>11</v>
      </c>
      <c r="J29" s="0" t="s">
        <v>2276</v>
      </c>
      <c r="K29" s="15" t="n">
        <v>1600.8</v>
      </c>
      <c r="L29" s="0" t="s">
        <v>2277</v>
      </c>
      <c r="N29" s="14"/>
      <c r="O29" s="15"/>
      <c r="P29" s="15"/>
    </row>
    <row r="30" customFormat="false" ht="15" hidden="false" customHeight="true" outlineLevel="0" collapsed="false">
      <c r="A30" s="0" t="n">
        <v>2</v>
      </c>
      <c r="B30" s="0" t="n">
        <v>1626342</v>
      </c>
      <c r="C30" s="0" t="s">
        <v>2280</v>
      </c>
      <c r="D30" s="0" t="s">
        <v>2281</v>
      </c>
      <c r="E30" s="14" t="n">
        <v>46178</v>
      </c>
      <c r="F30" s="14" t="n">
        <v>46176</v>
      </c>
      <c r="G30" s="0" t="s">
        <v>406</v>
      </c>
      <c r="H30" s="0" t="n">
        <v>1206599</v>
      </c>
      <c r="I30" s="0" t="n">
        <v>1</v>
      </c>
      <c r="J30" s="0" t="s">
        <v>2276</v>
      </c>
      <c r="K30" s="15" t="n">
        <v>133.5</v>
      </c>
      <c r="L30" s="0" t="s">
        <v>2277</v>
      </c>
      <c r="N30" s="14"/>
      <c r="O30" s="15"/>
      <c r="P30" s="15"/>
    </row>
    <row r="31" customFormat="false" ht="15" hidden="false" customHeight="true" outlineLevel="0" collapsed="false">
      <c r="A31" s="0" t="n">
        <v>2</v>
      </c>
      <c r="B31" s="0" t="n">
        <v>1627236</v>
      </c>
      <c r="C31" s="0" t="s">
        <v>2280</v>
      </c>
      <c r="D31" s="0" t="s">
        <v>2281</v>
      </c>
      <c r="E31" s="14" t="n">
        <v>46178</v>
      </c>
      <c r="F31" s="14" t="n">
        <v>46178</v>
      </c>
      <c r="G31" s="0" t="s">
        <v>406</v>
      </c>
      <c r="H31" s="0" t="n">
        <v>1208226</v>
      </c>
      <c r="I31" s="0" t="n">
        <v>1</v>
      </c>
      <c r="J31" s="0" t="s">
        <v>2276</v>
      </c>
      <c r="K31" s="15" t="n">
        <v>90</v>
      </c>
      <c r="L31" s="0" t="s">
        <v>2277</v>
      </c>
      <c r="N31" s="14"/>
      <c r="O31" s="15"/>
      <c r="P31" s="15"/>
    </row>
    <row r="32" customFormat="false" ht="15" hidden="false" customHeight="true" outlineLevel="0" collapsed="false">
      <c r="A32" s="0" t="n">
        <v>2</v>
      </c>
      <c r="B32" s="0" t="n">
        <v>1627239</v>
      </c>
      <c r="C32" s="0" t="s">
        <v>2280</v>
      </c>
      <c r="D32" s="0" t="s">
        <v>2281</v>
      </c>
      <c r="E32" s="14" t="n">
        <v>46178</v>
      </c>
      <c r="F32" s="14" t="n">
        <v>46178</v>
      </c>
      <c r="G32" s="0" t="s">
        <v>406</v>
      </c>
      <c r="H32" s="0" t="n">
        <v>1208237</v>
      </c>
      <c r="I32" s="0" t="n">
        <v>1</v>
      </c>
      <c r="J32" s="0" t="s">
        <v>2276</v>
      </c>
      <c r="K32" s="15" t="n">
        <v>81.5</v>
      </c>
      <c r="L32" s="0" t="s">
        <v>2277</v>
      </c>
      <c r="N32" s="14"/>
      <c r="O32" s="15"/>
      <c r="P32" s="15"/>
    </row>
    <row r="33" customFormat="false" ht="15" hidden="false" customHeight="true" outlineLevel="0" collapsed="false">
      <c r="A33" s="0" t="n">
        <v>2</v>
      </c>
      <c r="B33" s="0" t="n">
        <v>195681</v>
      </c>
      <c r="C33" s="0" t="s">
        <v>52</v>
      </c>
      <c r="D33" s="0" t="s">
        <v>2297</v>
      </c>
      <c r="E33" s="14" t="n">
        <v>46178</v>
      </c>
      <c r="F33" s="14" t="n">
        <v>46178</v>
      </c>
      <c r="G33" s="0" t="s">
        <v>197</v>
      </c>
      <c r="H33" s="0" t="n">
        <v>1206913</v>
      </c>
      <c r="I33" s="0" t="n">
        <v>1</v>
      </c>
      <c r="J33" s="0" t="s">
        <v>2276</v>
      </c>
      <c r="K33" s="15" t="n">
        <v>618.56</v>
      </c>
      <c r="L33" s="0" t="s">
        <v>2277</v>
      </c>
      <c r="N33" s="14"/>
      <c r="O33" s="15"/>
      <c r="P33" s="15"/>
    </row>
    <row r="34" customFormat="false" ht="15" hidden="false" customHeight="true" outlineLevel="0" collapsed="false">
      <c r="A34" s="0" t="n">
        <v>2</v>
      </c>
      <c r="B34" s="0" t="n">
        <v>2479</v>
      </c>
      <c r="C34" s="0" t="s">
        <v>52</v>
      </c>
      <c r="D34" s="0" t="s">
        <v>2288</v>
      </c>
      <c r="E34" s="14" t="n">
        <v>46178</v>
      </c>
      <c r="F34" s="14" t="n">
        <v>46178</v>
      </c>
      <c r="G34" s="0" t="s">
        <v>153</v>
      </c>
      <c r="H34" s="0" t="n">
        <v>1207974</v>
      </c>
      <c r="I34" s="0" t="n">
        <v>6</v>
      </c>
      <c r="J34" s="0" t="s">
        <v>2276</v>
      </c>
      <c r="K34" s="15" t="n">
        <v>1281.95</v>
      </c>
      <c r="L34" s="0" t="s">
        <v>2277</v>
      </c>
      <c r="N34" s="14"/>
      <c r="O34" s="15"/>
      <c r="P34" s="15"/>
    </row>
    <row r="35" customFormat="false" ht="15" hidden="false" customHeight="true" outlineLevel="0" collapsed="false">
      <c r="A35" s="0" t="n">
        <v>2</v>
      </c>
      <c r="B35" s="0" t="n">
        <v>2480</v>
      </c>
      <c r="C35" s="0" t="s">
        <v>52</v>
      </c>
      <c r="D35" s="0" t="s">
        <v>2288</v>
      </c>
      <c r="E35" s="14" t="n">
        <v>46178</v>
      </c>
      <c r="F35" s="14" t="n">
        <v>46178</v>
      </c>
      <c r="G35" s="0" t="s">
        <v>153</v>
      </c>
      <c r="H35" s="0" t="n">
        <v>1208155</v>
      </c>
      <c r="I35" s="0" t="n">
        <v>6</v>
      </c>
      <c r="J35" s="0" t="s">
        <v>2276</v>
      </c>
      <c r="K35" s="15" t="n">
        <v>247</v>
      </c>
      <c r="L35" s="0" t="s">
        <v>2277</v>
      </c>
      <c r="N35" s="14"/>
      <c r="O35" s="15"/>
      <c r="P35" s="15"/>
    </row>
    <row r="36" customFormat="false" ht="15" hidden="false" customHeight="true" outlineLevel="0" collapsed="false">
      <c r="A36" s="0" t="n">
        <v>2</v>
      </c>
      <c r="B36" s="0" t="n">
        <v>308379</v>
      </c>
      <c r="C36" s="0" t="s">
        <v>52</v>
      </c>
      <c r="D36" s="0" t="s">
        <v>2298</v>
      </c>
      <c r="E36" s="14" t="n">
        <v>46178</v>
      </c>
      <c r="F36" s="14" t="n">
        <v>46176</v>
      </c>
      <c r="G36" s="0" t="s">
        <v>77</v>
      </c>
      <c r="H36" s="0" t="n">
        <v>1206519</v>
      </c>
      <c r="I36" s="0" t="n">
        <v>11</v>
      </c>
      <c r="J36" s="0" t="s">
        <v>2276</v>
      </c>
      <c r="K36" s="15" t="n">
        <v>1169.23</v>
      </c>
      <c r="L36" s="0" t="s">
        <v>2277</v>
      </c>
      <c r="N36" s="14"/>
      <c r="O36" s="15"/>
      <c r="P36" s="15"/>
    </row>
    <row r="37" customFormat="false" ht="15" hidden="false" customHeight="true" outlineLevel="0" collapsed="false">
      <c r="A37" s="0" t="n">
        <v>2</v>
      </c>
      <c r="B37" s="0" t="n">
        <v>3322</v>
      </c>
      <c r="C37" s="0" t="s">
        <v>52</v>
      </c>
      <c r="D37" s="0" t="s">
        <v>2299</v>
      </c>
      <c r="E37" s="14" t="n">
        <v>46178</v>
      </c>
      <c r="F37" s="14" t="n">
        <v>46178</v>
      </c>
      <c r="G37" s="0" t="s">
        <v>174</v>
      </c>
      <c r="H37" s="0" t="n">
        <v>1208207</v>
      </c>
      <c r="I37" s="0" t="n">
        <v>1</v>
      </c>
      <c r="J37" s="0" t="s">
        <v>2276</v>
      </c>
      <c r="K37" s="15" t="n">
        <v>161</v>
      </c>
      <c r="L37" s="0" t="s">
        <v>2277</v>
      </c>
      <c r="N37" s="14"/>
      <c r="O37" s="15"/>
      <c r="P37" s="15"/>
    </row>
    <row r="38" customFormat="false" ht="15" hidden="false" customHeight="true" outlineLevel="0" collapsed="false">
      <c r="A38" s="0" t="n">
        <v>2</v>
      </c>
      <c r="B38" s="0" t="n">
        <v>3659</v>
      </c>
      <c r="C38" s="0" t="s">
        <v>52</v>
      </c>
      <c r="D38" s="0" t="s">
        <v>2290</v>
      </c>
      <c r="E38" s="14" t="n">
        <v>46178</v>
      </c>
      <c r="F38" s="14" t="n">
        <v>46177</v>
      </c>
      <c r="G38" s="0" t="s">
        <v>95</v>
      </c>
      <c r="H38" s="0" t="n">
        <v>1208198</v>
      </c>
      <c r="I38" s="0" t="n">
        <v>1</v>
      </c>
      <c r="J38" s="0" t="s">
        <v>2276</v>
      </c>
      <c r="K38" s="15" t="n">
        <v>126.04</v>
      </c>
      <c r="L38" s="0" t="s">
        <v>2277</v>
      </c>
      <c r="N38" s="14"/>
      <c r="O38" s="15"/>
      <c r="P38" s="15"/>
    </row>
    <row r="39" customFormat="false" ht="15" hidden="false" customHeight="true" outlineLevel="0" collapsed="false">
      <c r="A39" s="0" t="n">
        <v>2</v>
      </c>
      <c r="B39" s="0" t="n">
        <v>562026</v>
      </c>
      <c r="C39" s="0" t="s">
        <v>52</v>
      </c>
      <c r="D39" s="0" t="s">
        <v>2288</v>
      </c>
      <c r="E39" s="14" t="n">
        <v>46178</v>
      </c>
      <c r="F39" s="14" t="n">
        <v>46178</v>
      </c>
      <c r="G39" s="0" t="s">
        <v>153</v>
      </c>
      <c r="H39" s="0" t="n">
        <v>1208124</v>
      </c>
      <c r="I39" s="0" t="n">
        <v>2</v>
      </c>
      <c r="J39" s="0" t="s">
        <v>2276</v>
      </c>
      <c r="K39" s="15" t="n">
        <v>247</v>
      </c>
      <c r="L39" s="0" t="s">
        <v>2277</v>
      </c>
      <c r="N39" s="14"/>
      <c r="O39" s="15"/>
      <c r="P39" s="15"/>
    </row>
    <row r="40" customFormat="false" ht="15" hidden="false" customHeight="true" outlineLevel="0" collapsed="false">
      <c r="A40" s="0" t="n">
        <v>2</v>
      </c>
      <c r="B40" s="0" t="n">
        <v>5626</v>
      </c>
      <c r="C40" s="0" t="s">
        <v>52</v>
      </c>
      <c r="D40" s="0" t="s">
        <v>2288</v>
      </c>
      <c r="E40" s="14" t="n">
        <v>46178</v>
      </c>
      <c r="F40" s="14" t="n">
        <v>46178</v>
      </c>
      <c r="G40" s="0" t="s">
        <v>153</v>
      </c>
      <c r="H40" s="0" t="n">
        <v>1207963</v>
      </c>
      <c r="I40" s="0" t="n">
        <v>2</v>
      </c>
      <c r="J40" s="0" t="s">
        <v>2276</v>
      </c>
      <c r="K40" s="15" t="n">
        <v>1281.95</v>
      </c>
      <c r="L40" s="0" t="s">
        <v>2277</v>
      </c>
      <c r="N40" s="14"/>
      <c r="O40" s="15"/>
      <c r="P40" s="15"/>
    </row>
    <row r="41" customFormat="false" ht="15" hidden="false" customHeight="true" outlineLevel="0" collapsed="false">
      <c r="A41" s="0" t="n">
        <v>2</v>
      </c>
      <c r="B41" s="0" t="n">
        <v>5947</v>
      </c>
      <c r="C41" s="0" t="s">
        <v>44</v>
      </c>
      <c r="D41" s="0" t="s">
        <v>2292</v>
      </c>
      <c r="E41" s="14" t="n">
        <v>46178</v>
      </c>
      <c r="F41" s="14" t="n">
        <v>46178</v>
      </c>
      <c r="G41" s="0" t="s">
        <v>149</v>
      </c>
      <c r="H41" s="0" t="n">
        <v>1221476</v>
      </c>
      <c r="I41" s="0" t="n">
        <v>1</v>
      </c>
      <c r="J41" s="0" t="s">
        <v>2276</v>
      </c>
      <c r="K41" s="15" t="n">
        <v>140</v>
      </c>
      <c r="L41" s="0" t="s">
        <v>2277</v>
      </c>
      <c r="N41" s="14"/>
      <c r="O41" s="15"/>
      <c r="P41" s="15"/>
    </row>
    <row r="42" customFormat="false" ht="15" hidden="false" customHeight="true" outlineLevel="0" collapsed="false">
      <c r="A42" s="0" t="n">
        <v>2</v>
      </c>
      <c r="B42" s="0" t="n">
        <v>654</v>
      </c>
      <c r="C42" s="0" t="s">
        <v>44</v>
      </c>
      <c r="D42" s="0" t="s">
        <v>2283</v>
      </c>
      <c r="E42" s="14" t="n">
        <v>46178</v>
      </c>
      <c r="F42" s="14" t="n">
        <v>46178</v>
      </c>
      <c r="G42" s="0" t="s">
        <v>204</v>
      </c>
      <c r="H42" s="0" t="n">
        <v>1208221</v>
      </c>
      <c r="I42" s="0" t="n">
        <v>1</v>
      </c>
      <c r="J42" s="0" t="s">
        <v>2276</v>
      </c>
      <c r="K42" s="15" t="n">
        <v>282.25</v>
      </c>
      <c r="L42" s="0" t="s">
        <v>2277</v>
      </c>
      <c r="N42" s="14"/>
      <c r="O42" s="15"/>
      <c r="P42" s="15"/>
    </row>
    <row r="43" customFormat="false" ht="15" hidden="false" customHeight="true" outlineLevel="0" collapsed="false">
      <c r="A43" s="0" t="n">
        <v>2</v>
      </c>
      <c r="B43" s="0" t="n">
        <v>1628195</v>
      </c>
      <c r="C43" s="0" t="s">
        <v>2280</v>
      </c>
      <c r="D43" s="0" t="s">
        <v>2281</v>
      </c>
      <c r="E43" s="14" t="n">
        <v>46181</v>
      </c>
      <c r="F43" s="14" t="n">
        <v>46181</v>
      </c>
      <c r="G43" s="0" t="s">
        <v>406</v>
      </c>
      <c r="H43" s="0" t="n">
        <v>1222859</v>
      </c>
      <c r="I43" s="0" t="n">
        <v>1</v>
      </c>
      <c r="J43" s="0" t="s">
        <v>2276</v>
      </c>
      <c r="K43" s="15" t="n">
        <v>232</v>
      </c>
      <c r="L43" s="0" t="s">
        <v>2277</v>
      </c>
      <c r="N43" s="14"/>
      <c r="O43" s="15"/>
      <c r="P43" s="15"/>
    </row>
    <row r="44" customFormat="false" ht="15" hidden="false" customHeight="true" outlineLevel="0" collapsed="false">
      <c r="A44" s="0" t="n">
        <v>2</v>
      </c>
      <c r="B44" s="0" t="n">
        <v>1628316</v>
      </c>
      <c r="C44" s="0" t="s">
        <v>2280</v>
      </c>
      <c r="D44" s="0" t="s">
        <v>2281</v>
      </c>
      <c r="E44" s="14" t="n">
        <v>46181</v>
      </c>
      <c r="F44" s="14" t="n">
        <v>46181</v>
      </c>
      <c r="G44" s="0" t="s">
        <v>406</v>
      </c>
      <c r="H44" s="0" t="n">
        <v>1222861</v>
      </c>
      <c r="I44" s="0" t="n">
        <v>1</v>
      </c>
      <c r="J44" s="0" t="s">
        <v>2276</v>
      </c>
      <c r="K44" s="15" t="n">
        <v>72</v>
      </c>
      <c r="L44" s="0" t="s">
        <v>2277</v>
      </c>
      <c r="N44" s="14"/>
      <c r="O44" s="15"/>
      <c r="P44" s="15"/>
    </row>
    <row r="45" customFormat="false" ht="15" hidden="false" customHeight="true" outlineLevel="0" collapsed="false">
      <c r="A45" s="0" t="n">
        <v>2</v>
      </c>
      <c r="B45" s="0" t="n">
        <v>1668916</v>
      </c>
      <c r="C45" s="0" t="s">
        <v>52</v>
      </c>
      <c r="D45" s="0" t="s">
        <v>2287</v>
      </c>
      <c r="E45" s="14" t="n">
        <v>46181</v>
      </c>
      <c r="F45" s="14" t="n">
        <v>46178</v>
      </c>
      <c r="G45" s="0" t="s">
        <v>240</v>
      </c>
      <c r="H45" s="0" t="n">
        <v>1221613</v>
      </c>
      <c r="I45" s="0" t="n">
        <v>1</v>
      </c>
      <c r="J45" s="0" t="s">
        <v>2276</v>
      </c>
      <c r="K45" s="15" t="n">
        <v>333.54</v>
      </c>
      <c r="L45" s="0" t="s">
        <v>2277</v>
      </c>
      <c r="N45" s="14"/>
      <c r="O45" s="15"/>
      <c r="P45" s="15"/>
    </row>
    <row r="46" customFormat="false" ht="15" hidden="false" customHeight="true" outlineLevel="0" collapsed="false">
      <c r="A46" s="0" t="n">
        <v>2</v>
      </c>
      <c r="B46" s="0" t="n">
        <v>171066</v>
      </c>
      <c r="C46" s="0" t="s">
        <v>52</v>
      </c>
      <c r="D46" s="0" t="s">
        <v>2293</v>
      </c>
      <c r="E46" s="14" t="n">
        <v>46181</v>
      </c>
      <c r="F46" s="14" t="n">
        <v>46178</v>
      </c>
      <c r="G46" s="0" t="s">
        <v>371</v>
      </c>
      <c r="H46" s="0" t="n">
        <v>1221695</v>
      </c>
      <c r="I46" s="0" t="n">
        <v>1</v>
      </c>
      <c r="J46" s="0" t="s">
        <v>2276</v>
      </c>
      <c r="K46" s="15" t="n">
        <v>1068</v>
      </c>
      <c r="L46" s="0" t="s">
        <v>2277</v>
      </c>
      <c r="N46" s="14"/>
      <c r="O46" s="15"/>
      <c r="P46" s="15"/>
    </row>
    <row r="47" customFormat="false" ht="15" hidden="false" customHeight="true" outlineLevel="0" collapsed="false">
      <c r="A47" s="0" t="n">
        <v>2</v>
      </c>
      <c r="B47" s="0" t="n">
        <v>1867172</v>
      </c>
      <c r="C47" s="0" t="s">
        <v>36</v>
      </c>
      <c r="D47" s="0" t="s">
        <v>2275</v>
      </c>
      <c r="E47" s="14" t="n">
        <v>46181</v>
      </c>
      <c r="F47" s="14" t="n">
        <v>46178</v>
      </c>
      <c r="G47" s="0" t="s">
        <v>130</v>
      </c>
      <c r="H47" s="0" t="n">
        <v>1222918</v>
      </c>
      <c r="I47" s="0" t="n">
        <v>11</v>
      </c>
      <c r="J47" s="0" t="s">
        <v>2276</v>
      </c>
      <c r="K47" s="15" t="n">
        <v>219.97</v>
      </c>
      <c r="L47" s="0" t="s">
        <v>2277</v>
      </c>
      <c r="N47" s="14"/>
      <c r="O47" s="15"/>
      <c r="P47" s="15"/>
    </row>
    <row r="48" customFormat="false" ht="15" hidden="false" customHeight="true" outlineLevel="0" collapsed="false">
      <c r="A48" s="0" t="n">
        <v>2</v>
      </c>
      <c r="B48" s="0" t="n">
        <v>1868653</v>
      </c>
      <c r="C48" s="0" t="s">
        <v>36</v>
      </c>
      <c r="D48" s="0" t="s">
        <v>2275</v>
      </c>
      <c r="E48" s="14" t="n">
        <v>46181</v>
      </c>
      <c r="F48" s="14" t="n">
        <v>46178</v>
      </c>
      <c r="G48" s="0" t="s">
        <v>130</v>
      </c>
      <c r="H48" s="0" t="n">
        <v>1222988</v>
      </c>
      <c r="I48" s="0" t="n">
        <v>1</v>
      </c>
      <c r="J48" s="0" t="s">
        <v>2276</v>
      </c>
      <c r="K48" s="15" t="n">
        <v>1134.74</v>
      </c>
      <c r="L48" s="0" t="s">
        <v>2277</v>
      </c>
      <c r="N48" s="14"/>
      <c r="O48" s="15"/>
      <c r="P48" s="15"/>
    </row>
    <row r="49" customFormat="false" ht="15" hidden="false" customHeight="true" outlineLevel="0" collapsed="false">
      <c r="A49" s="0" t="n">
        <v>2</v>
      </c>
      <c r="B49" s="0" t="n">
        <v>2485</v>
      </c>
      <c r="C49" s="0" t="s">
        <v>52</v>
      </c>
      <c r="D49" s="0" t="s">
        <v>2288</v>
      </c>
      <c r="E49" s="14" t="n">
        <v>46181</v>
      </c>
      <c r="F49" s="14" t="n">
        <v>46181</v>
      </c>
      <c r="G49" s="0" t="s">
        <v>153</v>
      </c>
      <c r="H49" s="0" t="n">
        <v>1221843</v>
      </c>
      <c r="I49" s="0" t="n">
        <v>6</v>
      </c>
      <c r="J49" s="0" t="s">
        <v>2276</v>
      </c>
      <c r="K49" s="15" t="n">
        <v>180</v>
      </c>
      <c r="L49" s="0" t="s">
        <v>2277</v>
      </c>
      <c r="N49" s="14"/>
      <c r="O49" s="15"/>
      <c r="P49" s="15"/>
    </row>
    <row r="50" customFormat="false" ht="15" hidden="false" customHeight="true" outlineLevel="0" collapsed="false">
      <c r="A50" s="0" t="n">
        <v>2</v>
      </c>
      <c r="B50" s="0" t="n">
        <v>2486</v>
      </c>
      <c r="C50" s="0" t="s">
        <v>52</v>
      </c>
      <c r="D50" s="0" t="s">
        <v>2288</v>
      </c>
      <c r="E50" s="14" t="n">
        <v>46181</v>
      </c>
      <c r="F50" s="14" t="n">
        <v>46181</v>
      </c>
      <c r="G50" s="0" t="s">
        <v>153</v>
      </c>
      <c r="H50" s="0" t="n">
        <v>1222855</v>
      </c>
      <c r="I50" s="0" t="n">
        <v>6</v>
      </c>
      <c r="J50" s="0" t="s">
        <v>2276</v>
      </c>
      <c r="K50" s="15" t="n">
        <v>195</v>
      </c>
      <c r="L50" s="0" t="s">
        <v>2277</v>
      </c>
      <c r="N50" s="14"/>
      <c r="O50" s="15"/>
      <c r="P50" s="15"/>
    </row>
    <row r="51" customFormat="false" ht="15" hidden="false" customHeight="true" outlineLevel="0" collapsed="false">
      <c r="A51" s="0" t="n">
        <v>2</v>
      </c>
      <c r="B51" s="0" t="n">
        <v>303660</v>
      </c>
      <c r="C51" s="0" t="s">
        <v>52</v>
      </c>
      <c r="D51" s="0" t="s">
        <v>2300</v>
      </c>
      <c r="E51" s="14" t="n">
        <v>46181</v>
      </c>
      <c r="F51" s="14" t="n">
        <v>46178</v>
      </c>
      <c r="G51" s="0" t="s">
        <v>248</v>
      </c>
      <c r="H51" s="0" t="n">
        <v>1222609</v>
      </c>
      <c r="I51" s="0" t="n">
        <v>1</v>
      </c>
      <c r="J51" s="0" t="s">
        <v>2276</v>
      </c>
      <c r="K51" s="15" t="n">
        <v>5728.5</v>
      </c>
      <c r="L51" s="0" t="s">
        <v>2277</v>
      </c>
      <c r="N51" s="14"/>
      <c r="O51" s="15"/>
      <c r="P51" s="15"/>
    </row>
    <row r="52" customFormat="false" ht="15" hidden="false" customHeight="true" outlineLevel="0" collapsed="false">
      <c r="A52" s="0" t="n">
        <v>2</v>
      </c>
      <c r="B52" s="0" t="n">
        <v>30915</v>
      </c>
      <c r="C52" s="0" t="s">
        <v>52</v>
      </c>
      <c r="D52" s="0" t="s">
        <v>2296</v>
      </c>
      <c r="E52" s="14" t="n">
        <v>46181</v>
      </c>
      <c r="F52" s="14" t="n">
        <v>46178</v>
      </c>
      <c r="G52" s="0" t="s">
        <v>162</v>
      </c>
      <c r="H52" s="0" t="n">
        <v>1221751</v>
      </c>
      <c r="I52" s="0" t="n">
        <v>1</v>
      </c>
      <c r="J52" s="0" t="s">
        <v>2276</v>
      </c>
      <c r="K52" s="15" t="n">
        <v>3840</v>
      </c>
      <c r="L52" s="0" t="s">
        <v>2277</v>
      </c>
      <c r="N52" s="14"/>
      <c r="O52" s="15"/>
      <c r="P52" s="15"/>
    </row>
    <row r="53" customFormat="false" ht="15" hidden="false" customHeight="true" outlineLevel="0" collapsed="false">
      <c r="A53" s="0" t="n">
        <v>2</v>
      </c>
      <c r="B53" s="0" t="n">
        <v>3362</v>
      </c>
      <c r="C53" s="0" t="s">
        <v>52</v>
      </c>
      <c r="D53" s="0" t="s">
        <v>2282</v>
      </c>
      <c r="E53" s="14" t="n">
        <v>46181</v>
      </c>
      <c r="F53" s="14" t="n">
        <v>46181</v>
      </c>
      <c r="G53" s="0" t="s">
        <v>209</v>
      </c>
      <c r="H53" s="0" t="n">
        <v>1222883</v>
      </c>
      <c r="I53" s="0" t="n">
        <v>1</v>
      </c>
      <c r="J53" s="0" t="s">
        <v>2276</v>
      </c>
      <c r="K53" s="15" t="n">
        <v>561.5</v>
      </c>
      <c r="L53" s="0" t="s">
        <v>2277</v>
      </c>
      <c r="N53" s="14"/>
      <c r="O53" s="15"/>
      <c r="P53" s="15"/>
    </row>
    <row r="54" customFormat="false" ht="15" hidden="false" customHeight="true" outlineLevel="0" collapsed="false">
      <c r="A54" s="0" t="n">
        <v>2</v>
      </c>
      <c r="B54" s="0" t="n">
        <v>385542</v>
      </c>
      <c r="C54" s="0" t="s">
        <v>52</v>
      </c>
      <c r="D54" s="0" t="s">
        <v>2301</v>
      </c>
      <c r="E54" s="14" t="n">
        <v>46181</v>
      </c>
      <c r="F54" s="14" t="n">
        <v>46178</v>
      </c>
      <c r="G54" s="0" t="s">
        <v>172</v>
      </c>
      <c r="H54" s="0" t="n">
        <v>1221500</v>
      </c>
      <c r="I54" s="0" t="n">
        <v>1</v>
      </c>
      <c r="J54" s="0" t="s">
        <v>2276</v>
      </c>
      <c r="K54" s="15" t="n">
        <v>1049.39</v>
      </c>
      <c r="L54" s="0" t="s">
        <v>2277</v>
      </c>
      <c r="N54" s="14"/>
      <c r="O54" s="15"/>
      <c r="P54" s="15"/>
    </row>
    <row r="55" customFormat="false" ht="15" hidden="false" customHeight="true" outlineLevel="0" collapsed="false">
      <c r="A55" s="0" t="n">
        <v>2</v>
      </c>
      <c r="B55" s="0" t="n">
        <v>487</v>
      </c>
      <c r="C55" s="0" t="s">
        <v>52</v>
      </c>
      <c r="D55" s="0" t="s">
        <v>2291</v>
      </c>
      <c r="E55" s="14" t="n">
        <v>46181</v>
      </c>
      <c r="F55" s="14" t="n">
        <v>46178</v>
      </c>
      <c r="G55" s="0" t="s">
        <v>123</v>
      </c>
      <c r="H55" s="0" t="n">
        <v>1221458</v>
      </c>
      <c r="I55" s="0" t="n">
        <v>1</v>
      </c>
      <c r="J55" s="0" t="s">
        <v>2276</v>
      </c>
      <c r="K55" s="15" t="n">
        <v>180</v>
      </c>
      <c r="L55" s="0" t="s">
        <v>2277</v>
      </c>
      <c r="N55" s="14"/>
      <c r="O55" s="15"/>
      <c r="P55" s="15"/>
    </row>
    <row r="56" customFormat="false" ht="15" hidden="false" customHeight="true" outlineLevel="0" collapsed="false">
      <c r="A56" s="0" t="n">
        <v>2</v>
      </c>
      <c r="B56" s="0" t="n">
        <v>5642</v>
      </c>
      <c r="C56" s="0" t="s">
        <v>52</v>
      </c>
      <c r="D56" s="0" t="s">
        <v>2302</v>
      </c>
      <c r="E56" s="14" t="n">
        <v>46181</v>
      </c>
      <c r="F56" s="14" t="n">
        <v>46180</v>
      </c>
      <c r="G56" s="0" t="s">
        <v>2303</v>
      </c>
      <c r="H56" s="0" t="n">
        <v>1223267</v>
      </c>
      <c r="I56" s="0" t="n">
        <v>1</v>
      </c>
      <c r="J56" s="0" t="s">
        <v>2276</v>
      </c>
      <c r="K56" s="15" t="n">
        <v>688.3</v>
      </c>
      <c r="L56" s="0" t="s">
        <v>2277</v>
      </c>
      <c r="N56" s="14"/>
      <c r="O56" s="15"/>
      <c r="P56" s="15"/>
    </row>
    <row r="57" customFormat="false" ht="15" hidden="false" customHeight="true" outlineLevel="0" collapsed="false">
      <c r="A57" s="0" t="n">
        <v>2</v>
      </c>
      <c r="B57" s="0" t="n">
        <v>5957</v>
      </c>
      <c r="C57" s="0" t="s">
        <v>44</v>
      </c>
      <c r="D57" s="0" t="s">
        <v>2292</v>
      </c>
      <c r="E57" s="14" t="n">
        <v>46181</v>
      </c>
      <c r="F57" s="14" t="n">
        <v>46181</v>
      </c>
      <c r="G57" s="0" t="s">
        <v>149</v>
      </c>
      <c r="H57" s="0" t="n">
        <v>1226536</v>
      </c>
      <c r="I57" s="0" t="n">
        <v>1</v>
      </c>
      <c r="J57" s="0" t="s">
        <v>2276</v>
      </c>
      <c r="K57" s="15" t="n">
        <v>140</v>
      </c>
      <c r="L57" s="0" t="s">
        <v>2277</v>
      </c>
      <c r="N57" s="14"/>
      <c r="O57" s="15"/>
      <c r="P57" s="15"/>
    </row>
    <row r="58" customFormat="false" ht="15" hidden="false" customHeight="true" outlineLevel="0" collapsed="false">
      <c r="A58" s="0" t="n">
        <v>2</v>
      </c>
      <c r="B58" s="0" t="n">
        <v>656</v>
      </c>
      <c r="C58" s="0" t="s">
        <v>44</v>
      </c>
      <c r="D58" s="0" t="s">
        <v>2283</v>
      </c>
      <c r="E58" s="14" t="n">
        <v>46181</v>
      </c>
      <c r="F58" s="14" t="n">
        <v>46181</v>
      </c>
      <c r="G58" s="0" t="s">
        <v>204</v>
      </c>
      <c r="H58" s="0" t="n">
        <v>1223311</v>
      </c>
      <c r="I58" s="0" t="n">
        <v>1</v>
      </c>
      <c r="J58" s="0" t="s">
        <v>2276</v>
      </c>
      <c r="K58" s="15" t="n">
        <v>307.2</v>
      </c>
      <c r="L58" s="0" t="s">
        <v>2277</v>
      </c>
      <c r="N58" s="14"/>
      <c r="O58" s="15"/>
      <c r="P58" s="15"/>
    </row>
    <row r="59" customFormat="false" ht="15" hidden="false" customHeight="true" outlineLevel="0" collapsed="false">
      <c r="A59" s="0" t="n">
        <v>2</v>
      </c>
      <c r="B59" s="0" t="n">
        <v>862026</v>
      </c>
      <c r="C59" s="0" t="s">
        <v>52</v>
      </c>
      <c r="D59" s="0" t="s">
        <v>2288</v>
      </c>
      <c r="E59" s="14" t="n">
        <v>46181</v>
      </c>
      <c r="F59" s="14" t="n">
        <v>46181</v>
      </c>
      <c r="G59" s="0" t="s">
        <v>153</v>
      </c>
      <c r="H59" s="0" t="n">
        <v>1222854</v>
      </c>
      <c r="I59" s="0" t="n">
        <v>2</v>
      </c>
      <c r="J59" s="0" t="s">
        <v>2276</v>
      </c>
      <c r="K59" s="15" t="n">
        <v>195</v>
      </c>
      <c r="L59" s="0" t="s">
        <v>2277</v>
      </c>
      <c r="N59" s="14"/>
      <c r="O59" s="15"/>
      <c r="P59" s="15"/>
    </row>
    <row r="60" customFormat="false" ht="15" hidden="false" customHeight="true" outlineLevel="0" collapsed="false">
      <c r="A60" s="0" t="n">
        <v>2</v>
      </c>
      <c r="B60" s="0" t="n">
        <v>8626</v>
      </c>
      <c r="C60" s="0" t="s">
        <v>52</v>
      </c>
      <c r="D60" s="0" t="s">
        <v>2288</v>
      </c>
      <c r="E60" s="14" t="n">
        <v>46181</v>
      </c>
      <c r="F60" s="14" t="n">
        <v>46181</v>
      </c>
      <c r="G60" s="0" t="s">
        <v>153</v>
      </c>
      <c r="H60" s="0" t="n">
        <v>1221834</v>
      </c>
      <c r="I60" s="0" t="n">
        <v>2</v>
      </c>
      <c r="J60" s="0" t="s">
        <v>2276</v>
      </c>
      <c r="K60" s="15" t="n">
        <v>180</v>
      </c>
      <c r="L60" s="0" t="s">
        <v>2277</v>
      </c>
      <c r="N60" s="14"/>
      <c r="O60" s="15"/>
      <c r="P60" s="15"/>
    </row>
    <row r="61" customFormat="false" ht="15" hidden="false" customHeight="true" outlineLevel="0" collapsed="false">
      <c r="A61" s="0" t="n">
        <v>2</v>
      </c>
      <c r="B61" s="0" t="n">
        <v>20868</v>
      </c>
      <c r="C61" s="0" t="s">
        <v>52</v>
      </c>
      <c r="D61" s="0" t="s">
        <v>2304</v>
      </c>
      <c r="E61" s="14" t="n">
        <v>46182</v>
      </c>
      <c r="F61" s="14" t="n">
        <v>46182</v>
      </c>
      <c r="G61" s="0" t="s">
        <v>167</v>
      </c>
      <c r="H61" s="0" t="n">
        <v>1227446</v>
      </c>
      <c r="I61" s="0" t="n">
        <v>1</v>
      </c>
      <c r="J61" s="0" t="s">
        <v>2276</v>
      </c>
      <c r="K61" s="15" t="n">
        <v>909.57</v>
      </c>
      <c r="L61" s="0" t="s">
        <v>2277</v>
      </c>
      <c r="N61" s="14"/>
      <c r="O61" s="15"/>
      <c r="P61" s="15"/>
    </row>
    <row r="62" customFormat="false" ht="15" hidden="false" customHeight="true" outlineLevel="0" collapsed="false">
      <c r="A62" s="0" t="n">
        <v>2</v>
      </c>
      <c r="B62" s="0" t="n">
        <v>223109</v>
      </c>
      <c r="C62" s="0" t="s">
        <v>44</v>
      </c>
      <c r="D62" s="0" t="s">
        <v>2305</v>
      </c>
      <c r="E62" s="14" t="n">
        <v>46182</v>
      </c>
      <c r="F62" s="14" t="n">
        <v>46182</v>
      </c>
      <c r="G62" s="0" t="s">
        <v>438</v>
      </c>
      <c r="H62" s="0" t="n">
        <v>1228116</v>
      </c>
      <c r="I62" s="0" t="n">
        <v>1</v>
      </c>
      <c r="J62" s="0" t="s">
        <v>2276</v>
      </c>
      <c r="K62" s="15" t="n">
        <v>796.16</v>
      </c>
      <c r="L62" s="0" t="s">
        <v>2277</v>
      </c>
      <c r="N62" s="14"/>
      <c r="O62" s="15"/>
      <c r="P62" s="15"/>
    </row>
    <row r="63" customFormat="false" ht="15" hidden="false" customHeight="true" outlineLevel="0" collapsed="false">
      <c r="A63" s="0" t="n">
        <v>2</v>
      </c>
      <c r="B63" s="0" t="n">
        <v>2487</v>
      </c>
      <c r="C63" s="0" t="s">
        <v>52</v>
      </c>
      <c r="D63" s="0" t="s">
        <v>2288</v>
      </c>
      <c r="E63" s="14" t="n">
        <v>46182</v>
      </c>
      <c r="F63" s="14" t="n">
        <v>46182</v>
      </c>
      <c r="G63" s="0" t="s">
        <v>153</v>
      </c>
      <c r="H63" s="0" t="n">
        <v>1227926</v>
      </c>
      <c r="I63" s="0" t="n">
        <v>6</v>
      </c>
      <c r="J63" s="0" t="s">
        <v>2276</v>
      </c>
      <c r="K63" s="15" t="n">
        <v>1926.18</v>
      </c>
      <c r="L63" s="0" t="s">
        <v>2277</v>
      </c>
      <c r="N63" s="14"/>
      <c r="O63" s="15"/>
      <c r="P63" s="15"/>
    </row>
    <row r="64" customFormat="false" ht="15" hidden="false" customHeight="true" outlineLevel="0" collapsed="false">
      <c r="A64" s="0" t="n">
        <v>2</v>
      </c>
      <c r="B64" s="0" t="n">
        <v>3699</v>
      </c>
      <c r="C64" s="0" t="s">
        <v>52</v>
      </c>
      <c r="D64" s="0" t="s">
        <v>2290</v>
      </c>
      <c r="E64" s="14" t="n">
        <v>46182</v>
      </c>
      <c r="F64" s="14" t="n">
        <v>46181</v>
      </c>
      <c r="G64" s="0" t="s">
        <v>95</v>
      </c>
      <c r="H64" s="0" t="n">
        <v>1226545</v>
      </c>
      <c r="I64" s="0" t="n">
        <v>1</v>
      </c>
      <c r="J64" s="0" t="s">
        <v>2276</v>
      </c>
      <c r="K64" s="15" t="n">
        <v>186.94</v>
      </c>
      <c r="L64" s="0" t="s">
        <v>2277</v>
      </c>
      <c r="N64" s="14"/>
      <c r="O64" s="15"/>
      <c r="P64" s="15"/>
    </row>
    <row r="65" customFormat="false" ht="15" hidden="false" customHeight="true" outlineLevel="0" collapsed="false">
      <c r="A65" s="0" t="n">
        <v>2</v>
      </c>
      <c r="B65" s="0" t="n">
        <v>40955</v>
      </c>
      <c r="C65" s="0" t="s">
        <v>52</v>
      </c>
      <c r="D65" s="0" t="s">
        <v>2306</v>
      </c>
      <c r="E65" s="14" t="n">
        <v>46182</v>
      </c>
      <c r="F65" s="14" t="n">
        <v>46182</v>
      </c>
      <c r="G65" s="0" t="s">
        <v>443</v>
      </c>
      <c r="H65" s="0" t="n">
        <v>1228096</v>
      </c>
      <c r="I65" s="0" t="n">
        <v>1</v>
      </c>
      <c r="J65" s="0" t="s">
        <v>2276</v>
      </c>
      <c r="K65" s="15" t="n">
        <v>460</v>
      </c>
      <c r="L65" s="0" t="s">
        <v>2277</v>
      </c>
      <c r="N65" s="14"/>
      <c r="O65" s="15"/>
      <c r="P65" s="15"/>
    </row>
    <row r="66" customFormat="false" ht="15" hidden="false" customHeight="true" outlineLevel="0" collapsed="false">
      <c r="A66" s="0" t="n">
        <v>2</v>
      </c>
      <c r="B66" s="0" t="n">
        <v>420</v>
      </c>
      <c r="C66" s="0" t="s">
        <v>52</v>
      </c>
      <c r="D66" s="0" t="s">
        <v>2307</v>
      </c>
      <c r="E66" s="14" t="n">
        <v>46182</v>
      </c>
      <c r="F66" s="14" t="n">
        <v>46176</v>
      </c>
      <c r="G66" s="0" t="s">
        <v>709</v>
      </c>
      <c r="H66" s="0" t="n">
        <v>1226736</v>
      </c>
      <c r="I66" s="0" t="n">
        <v>11</v>
      </c>
      <c r="J66" s="0" t="s">
        <v>2276</v>
      </c>
      <c r="K66" s="15" t="n">
        <v>1377</v>
      </c>
      <c r="L66" s="0" t="s">
        <v>2277</v>
      </c>
      <c r="N66" s="14"/>
      <c r="O66" s="15"/>
      <c r="P66" s="15"/>
    </row>
    <row r="67" customFormat="false" ht="15" hidden="false" customHeight="true" outlineLevel="0" collapsed="false">
      <c r="A67" s="0" t="n">
        <v>2</v>
      </c>
      <c r="B67" s="0" t="n">
        <v>493</v>
      </c>
      <c r="C67" s="0" t="s">
        <v>52</v>
      </c>
      <c r="D67" s="0" t="s">
        <v>2291</v>
      </c>
      <c r="E67" s="14" t="n">
        <v>46182</v>
      </c>
      <c r="F67" s="14" t="n">
        <v>46181</v>
      </c>
      <c r="G67" s="0" t="s">
        <v>123</v>
      </c>
      <c r="H67" s="0" t="n">
        <v>1227245</v>
      </c>
      <c r="I67" s="0" t="n">
        <v>1</v>
      </c>
      <c r="J67" s="0" t="s">
        <v>2276</v>
      </c>
      <c r="K67" s="15" t="n">
        <v>180</v>
      </c>
      <c r="L67" s="0" t="s">
        <v>2277</v>
      </c>
      <c r="N67" s="14"/>
      <c r="O67" s="15"/>
      <c r="P67" s="15"/>
    </row>
    <row r="68" customFormat="false" ht="15" hidden="false" customHeight="true" outlineLevel="0" collapsed="false">
      <c r="A68" s="0" t="n">
        <v>2</v>
      </c>
      <c r="B68" s="0" t="n">
        <v>9626</v>
      </c>
      <c r="C68" s="0" t="s">
        <v>52</v>
      </c>
      <c r="D68" s="0" t="s">
        <v>2288</v>
      </c>
      <c r="E68" s="14" t="n">
        <v>46182</v>
      </c>
      <c r="F68" s="14" t="n">
        <v>46182</v>
      </c>
      <c r="G68" s="0" t="s">
        <v>153</v>
      </c>
      <c r="H68" s="0" t="n">
        <v>1227727</v>
      </c>
      <c r="I68" s="0" t="n">
        <v>2</v>
      </c>
      <c r="J68" s="0" t="s">
        <v>2276</v>
      </c>
      <c r="K68" s="15" t="n">
        <v>1926.18</v>
      </c>
      <c r="L68" s="0" t="s">
        <v>2277</v>
      </c>
      <c r="N68" s="14"/>
      <c r="O68" s="15"/>
      <c r="P68" s="15"/>
    </row>
    <row r="69" customFormat="false" ht="15" hidden="false" customHeight="true" outlineLevel="0" collapsed="false">
      <c r="A69" s="0" t="n">
        <v>2</v>
      </c>
      <c r="B69" s="0" t="n">
        <v>1062026</v>
      </c>
      <c r="C69" s="0" t="s">
        <v>52</v>
      </c>
      <c r="D69" s="0" t="s">
        <v>2288</v>
      </c>
      <c r="E69" s="14" t="n">
        <v>46183</v>
      </c>
      <c r="F69" s="14" t="n">
        <v>46183</v>
      </c>
      <c r="G69" s="0" t="s">
        <v>153</v>
      </c>
      <c r="H69" s="0" t="n">
        <v>1231248</v>
      </c>
      <c r="I69" s="0" t="n">
        <v>2</v>
      </c>
      <c r="J69" s="0" t="s">
        <v>2276</v>
      </c>
      <c r="K69" s="15" t="n">
        <v>600</v>
      </c>
      <c r="L69" s="0" t="s">
        <v>2277</v>
      </c>
      <c r="N69" s="14"/>
      <c r="O69" s="15"/>
      <c r="P69" s="15"/>
    </row>
    <row r="70" customFormat="false" ht="15" hidden="false" customHeight="true" outlineLevel="0" collapsed="false">
      <c r="A70" s="0" t="n">
        <v>2</v>
      </c>
      <c r="B70" s="0" t="n">
        <v>10620261</v>
      </c>
      <c r="C70" s="0" t="s">
        <v>52</v>
      </c>
      <c r="D70" s="0" t="s">
        <v>2288</v>
      </c>
      <c r="E70" s="14" t="n">
        <v>46183</v>
      </c>
      <c r="F70" s="14" t="n">
        <v>46183</v>
      </c>
      <c r="G70" s="0" t="s">
        <v>153</v>
      </c>
      <c r="H70" s="0" t="n">
        <v>1231424</v>
      </c>
      <c r="I70" s="0" t="n">
        <v>2</v>
      </c>
      <c r="J70" s="0" t="s">
        <v>2276</v>
      </c>
      <c r="K70" s="15" t="n">
        <v>1800</v>
      </c>
      <c r="L70" s="0" t="s">
        <v>2277</v>
      </c>
      <c r="N70" s="14"/>
      <c r="O70" s="15"/>
      <c r="P70" s="15"/>
    </row>
    <row r="71" customFormat="false" ht="15" hidden="false" customHeight="true" outlineLevel="0" collapsed="false">
      <c r="A71" s="0" t="n">
        <v>2</v>
      </c>
      <c r="B71" s="0" t="n">
        <v>10626</v>
      </c>
      <c r="C71" s="0" t="s">
        <v>52</v>
      </c>
      <c r="D71" s="0" t="s">
        <v>2288</v>
      </c>
      <c r="E71" s="14" t="n">
        <v>46183</v>
      </c>
      <c r="F71" s="14" t="n">
        <v>46183</v>
      </c>
      <c r="G71" s="0" t="s">
        <v>153</v>
      </c>
      <c r="H71" s="0" t="n">
        <v>1230995</v>
      </c>
      <c r="I71" s="0" t="n">
        <v>2</v>
      </c>
      <c r="J71" s="0" t="s">
        <v>2276</v>
      </c>
      <c r="K71" s="15" t="n">
        <v>1094</v>
      </c>
      <c r="L71" s="0" t="s">
        <v>2277</v>
      </c>
      <c r="N71" s="14"/>
      <c r="O71" s="15"/>
      <c r="P71" s="15"/>
    </row>
    <row r="72" customFormat="false" ht="15" hidden="false" customHeight="true" outlineLevel="0" collapsed="false">
      <c r="A72" s="0" t="n">
        <v>2</v>
      </c>
      <c r="B72" s="0" t="n">
        <v>106262</v>
      </c>
      <c r="C72" s="0" t="s">
        <v>52</v>
      </c>
      <c r="D72" s="0" t="s">
        <v>2288</v>
      </c>
      <c r="E72" s="14" t="n">
        <v>46183</v>
      </c>
      <c r="F72" s="14" t="n">
        <v>46183</v>
      </c>
      <c r="G72" s="0" t="s">
        <v>153</v>
      </c>
      <c r="H72" s="0" t="n">
        <v>1231739</v>
      </c>
      <c r="I72" s="0" t="n">
        <v>2</v>
      </c>
      <c r="J72" s="0" t="s">
        <v>2276</v>
      </c>
      <c r="K72" s="15" t="n">
        <v>195</v>
      </c>
      <c r="L72" s="0" t="s">
        <v>2277</v>
      </c>
      <c r="N72" s="14"/>
      <c r="O72" s="15"/>
      <c r="P72" s="15"/>
    </row>
    <row r="73" customFormat="false" ht="15" hidden="false" customHeight="true" outlineLevel="0" collapsed="false">
      <c r="A73" s="0" t="n">
        <v>2</v>
      </c>
      <c r="B73" s="0" t="n">
        <v>1366479</v>
      </c>
      <c r="C73" s="0" t="s">
        <v>52</v>
      </c>
      <c r="D73" s="0" t="s">
        <v>2308</v>
      </c>
      <c r="E73" s="14" t="n">
        <v>46183</v>
      </c>
      <c r="F73" s="14" t="n">
        <v>46182</v>
      </c>
      <c r="G73" s="0" t="s">
        <v>2309</v>
      </c>
      <c r="H73" s="0" t="n">
        <v>1232476</v>
      </c>
      <c r="I73" s="0" t="n">
        <v>1</v>
      </c>
      <c r="J73" s="0" t="s">
        <v>2276</v>
      </c>
      <c r="K73" s="15" t="n">
        <v>1837.1</v>
      </c>
      <c r="L73" s="0" t="s">
        <v>2277</v>
      </c>
      <c r="N73" s="14"/>
      <c r="O73" s="15"/>
      <c r="P73" s="15"/>
    </row>
    <row r="74" customFormat="false" ht="15" hidden="false" customHeight="true" outlineLevel="0" collapsed="false">
      <c r="A74" s="0" t="n">
        <v>2</v>
      </c>
      <c r="B74" s="0" t="n">
        <v>14437</v>
      </c>
      <c r="C74" s="0" t="s">
        <v>52</v>
      </c>
      <c r="D74" s="0" t="s">
        <v>2278</v>
      </c>
      <c r="E74" s="14" t="n">
        <v>46183</v>
      </c>
      <c r="F74" s="14" t="n">
        <v>46182</v>
      </c>
      <c r="G74" s="0" t="s">
        <v>270</v>
      </c>
      <c r="H74" s="0" t="n">
        <v>1231585</v>
      </c>
      <c r="I74" s="0" t="n">
        <v>1</v>
      </c>
      <c r="J74" s="0" t="s">
        <v>2276</v>
      </c>
      <c r="K74" s="15" t="n">
        <v>4433</v>
      </c>
      <c r="L74" s="0" t="s">
        <v>2277</v>
      </c>
      <c r="N74" s="14"/>
      <c r="O74" s="15"/>
      <c r="P74" s="15"/>
    </row>
    <row r="75" customFormat="false" ht="15" hidden="false" customHeight="true" outlineLevel="0" collapsed="false">
      <c r="A75" s="0" t="n">
        <v>2</v>
      </c>
      <c r="B75" s="0" t="n">
        <v>1616</v>
      </c>
      <c r="C75" s="0" t="s">
        <v>52</v>
      </c>
      <c r="D75" s="0" t="s">
        <v>2310</v>
      </c>
      <c r="E75" s="14" t="n">
        <v>46183</v>
      </c>
      <c r="F75" s="14" t="n">
        <v>46183</v>
      </c>
      <c r="G75" s="0" t="s">
        <v>453</v>
      </c>
      <c r="H75" s="0" t="n">
        <v>1231978</v>
      </c>
      <c r="I75" s="0" t="n">
        <v>1</v>
      </c>
      <c r="J75" s="0" t="s">
        <v>2276</v>
      </c>
      <c r="K75" s="15" t="n">
        <v>250</v>
      </c>
      <c r="L75" s="0" t="s">
        <v>2277</v>
      </c>
      <c r="N75" s="14"/>
      <c r="O75" s="15"/>
      <c r="P75" s="15"/>
    </row>
    <row r="76" customFormat="false" ht="15" hidden="false" customHeight="true" outlineLevel="0" collapsed="false">
      <c r="A76" s="0" t="n">
        <v>2</v>
      </c>
      <c r="B76" s="0" t="n">
        <v>1629655</v>
      </c>
      <c r="C76" s="0" t="s">
        <v>2280</v>
      </c>
      <c r="D76" s="0" t="s">
        <v>2281</v>
      </c>
      <c r="E76" s="14" t="n">
        <v>46183</v>
      </c>
      <c r="F76" s="14" t="n">
        <v>46183</v>
      </c>
      <c r="G76" s="0" t="s">
        <v>406</v>
      </c>
      <c r="H76" s="0" t="n">
        <v>1231783</v>
      </c>
      <c r="I76" s="0" t="n">
        <v>1</v>
      </c>
      <c r="J76" s="0" t="s">
        <v>2276</v>
      </c>
      <c r="K76" s="15" t="n">
        <v>171.5</v>
      </c>
      <c r="L76" s="0" t="s">
        <v>2277</v>
      </c>
      <c r="N76" s="14"/>
      <c r="O76" s="15"/>
      <c r="P76" s="15"/>
    </row>
    <row r="77" customFormat="false" ht="15" hidden="false" customHeight="true" outlineLevel="0" collapsed="false">
      <c r="A77" s="0" t="n">
        <v>2</v>
      </c>
      <c r="B77" s="0" t="n">
        <v>2488</v>
      </c>
      <c r="C77" s="0" t="s">
        <v>52</v>
      </c>
      <c r="D77" s="0" t="s">
        <v>2288</v>
      </c>
      <c r="E77" s="14" t="n">
        <v>46183</v>
      </c>
      <c r="F77" s="14" t="n">
        <v>46183</v>
      </c>
      <c r="G77" s="0" t="s">
        <v>153</v>
      </c>
      <c r="H77" s="0" t="n">
        <v>1231001</v>
      </c>
      <c r="I77" s="0" t="n">
        <v>6</v>
      </c>
      <c r="J77" s="0" t="s">
        <v>2276</v>
      </c>
      <c r="K77" s="15" t="n">
        <v>1094</v>
      </c>
      <c r="L77" s="0" t="s">
        <v>2277</v>
      </c>
      <c r="N77" s="14"/>
      <c r="O77" s="15"/>
      <c r="P77" s="15"/>
    </row>
    <row r="78" customFormat="false" ht="15" hidden="false" customHeight="true" outlineLevel="0" collapsed="false">
      <c r="A78" s="0" t="n">
        <v>2</v>
      </c>
      <c r="B78" s="0" t="n">
        <v>2489</v>
      </c>
      <c r="C78" s="0" t="s">
        <v>52</v>
      </c>
      <c r="D78" s="0" t="s">
        <v>2288</v>
      </c>
      <c r="E78" s="14" t="n">
        <v>46183</v>
      </c>
      <c r="F78" s="14" t="n">
        <v>46183</v>
      </c>
      <c r="G78" s="0" t="s">
        <v>153</v>
      </c>
      <c r="H78" s="0" t="n">
        <v>1231255</v>
      </c>
      <c r="I78" s="0" t="n">
        <v>6</v>
      </c>
      <c r="J78" s="0" t="s">
        <v>2276</v>
      </c>
      <c r="K78" s="15" t="n">
        <v>600</v>
      </c>
      <c r="L78" s="0" t="s">
        <v>2277</v>
      </c>
      <c r="N78" s="14"/>
      <c r="O78" s="15"/>
      <c r="P78" s="15"/>
    </row>
    <row r="79" customFormat="false" ht="15" hidden="false" customHeight="true" outlineLevel="0" collapsed="false">
      <c r="A79" s="0" t="n">
        <v>2</v>
      </c>
      <c r="B79" s="0" t="n">
        <v>2490</v>
      </c>
      <c r="C79" s="0" t="s">
        <v>52</v>
      </c>
      <c r="D79" s="0" t="s">
        <v>2288</v>
      </c>
      <c r="E79" s="14" t="n">
        <v>46183</v>
      </c>
      <c r="F79" s="14" t="n">
        <v>46183</v>
      </c>
      <c r="G79" s="0" t="s">
        <v>153</v>
      </c>
      <c r="H79" s="0" t="n">
        <v>1231437</v>
      </c>
      <c r="I79" s="0" t="n">
        <v>6</v>
      </c>
      <c r="J79" s="0" t="s">
        <v>2276</v>
      </c>
      <c r="K79" s="15" t="n">
        <v>1800</v>
      </c>
      <c r="L79" s="0" t="s">
        <v>2277</v>
      </c>
      <c r="N79" s="14"/>
      <c r="O79" s="15"/>
      <c r="P79" s="15"/>
    </row>
    <row r="80" customFormat="false" ht="15" hidden="false" customHeight="true" outlineLevel="0" collapsed="false">
      <c r="A80" s="0" t="n">
        <v>2</v>
      </c>
      <c r="B80" s="0" t="n">
        <v>2493</v>
      </c>
      <c r="C80" s="0" t="s">
        <v>52</v>
      </c>
      <c r="D80" s="0" t="s">
        <v>2288</v>
      </c>
      <c r="E80" s="14" t="n">
        <v>46183</v>
      </c>
      <c r="F80" s="14" t="n">
        <v>46183</v>
      </c>
      <c r="G80" s="0" t="s">
        <v>153</v>
      </c>
      <c r="H80" s="0" t="n">
        <v>1231753</v>
      </c>
      <c r="I80" s="0" t="n">
        <v>6</v>
      </c>
      <c r="J80" s="0" t="s">
        <v>2276</v>
      </c>
      <c r="K80" s="15" t="n">
        <v>195</v>
      </c>
      <c r="L80" s="0" t="s">
        <v>2277</v>
      </c>
      <c r="N80" s="14"/>
      <c r="O80" s="15"/>
      <c r="P80" s="15"/>
    </row>
    <row r="81" customFormat="false" ht="15" hidden="false" customHeight="true" outlineLevel="0" collapsed="false">
      <c r="A81" s="0" t="n">
        <v>2</v>
      </c>
      <c r="B81" s="0" t="n">
        <v>297</v>
      </c>
      <c r="C81" s="0" t="s">
        <v>52</v>
      </c>
      <c r="D81" s="0" t="s">
        <v>2311</v>
      </c>
      <c r="E81" s="14" t="n">
        <v>46183</v>
      </c>
      <c r="F81" s="14" t="n">
        <v>46179</v>
      </c>
      <c r="G81" s="0" t="s">
        <v>2312</v>
      </c>
      <c r="H81" s="0" t="n">
        <v>1231085</v>
      </c>
      <c r="I81" s="0" t="n">
        <v>1</v>
      </c>
      <c r="J81" s="0" t="s">
        <v>2276</v>
      </c>
      <c r="K81" s="15" t="n">
        <v>190.5</v>
      </c>
      <c r="L81" s="0" t="s">
        <v>2277</v>
      </c>
      <c r="N81" s="14"/>
      <c r="O81" s="15"/>
      <c r="P81" s="15"/>
    </row>
    <row r="82" customFormat="false" ht="15" hidden="false" customHeight="true" outlineLevel="0" collapsed="false">
      <c r="A82" s="0" t="n">
        <v>2</v>
      </c>
      <c r="B82" s="0" t="n">
        <v>30199</v>
      </c>
      <c r="C82" s="0" t="s">
        <v>102</v>
      </c>
      <c r="D82" s="0" t="s">
        <v>2313</v>
      </c>
      <c r="E82" s="14" t="n">
        <v>46183</v>
      </c>
      <c r="F82" s="14" t="n">
        <v>46183</v>
      </c>
      <c r="G82" s="0" t="s">
        <v>268</v>
      </c>
      <c r="H82" s="0" t="n">
        <v>1231774</v>
      </c>
      <c r="I82" s="0" t="n">
        <v>1</v>
      </c>
      <c r="J82" s="0" t="s">
        <v>2276</v>
      </c>
      <c r="K82" s="15" t="n">
        <v>1101.98</v>
      </c>
      <c r="L82" s="0" t="s">
        <v>2277</v>
      </c>
      <c r="N82" s="14"/>
      <c r="O82" s="15"/>
      <c r="P82" s="15"/>
    </row>
    <row r="83" customFormat="false" ht="15" hidden="false" customHeight="true" outlineLevel="0" collapsed="false">
      <c r="A83" s="0" t="n">
        <v>2</v>
      </c>
      <c r="B83" s="0" t="n">
        <v>34450</v>
      </c>
      <c r="C83" s="0" t="s">
        <v>2076</v>
      </c>
      <c r="D83" s="0" t="s">
        <v>2313</v>
      </c>
      <c r="E83" s="14" t="n">
        <v>46183</v>
      </c>
      <c r="F83" s="14" t="n">
        <v>46183</v>
      </c>
      <c r="G83" s="0" t="s">
        <v>268</v>
      </c>
      <c r="H83" s="0" t="n">
        <v>1231766</v>
      </c>
      <c r="I83" s="0" t="n">
        <v>1</v>
      </c>
      <c r="J83" s="0" t="s">
        <v>2276</v>
      </c>
      <c r="K83" s="15" t="n">
        <v>1844.15</v>
      </c>
      <c r="L83" s="0" t="s">
        <v>2277</v>
      </c>
      <c r="N83" s="14"/>
      <c r="O83" s="15"/>
      <c r="P83" s="15"/>
    </row>
    <row r="84" customFormat="false" ht="15" hidden="false" customHeight="true" outlineLevel="0" collapsed="false">
      <c r="A84" s="0" t="n">
        <v>2</v>
      </c>
      <c r="B84" s="0" t="n">
        <v>386175</v>
      </c>
      <c r="C84" s="0" t="s">
        <v>52</v>
      </c>
      <c r="D84" s="0" t="s">
        <v>2301</v>
      </c>
      <c r="E84" s="14" t="n">
        <v>46183</v>
      </c>
      <c r="F84" s="14" t="n">
        <v>46182</v>
      </c>
      <c r="G84" s="0" t="s">
        <v>172</v>
      </c>
      <c r="H84" s="0" t="n">
        <v>1230947</v>
      </c>
      <c r="I84" s="0" t="n">
        <v>1</v>
      </c>
      <c r="J84" s="0" t="s">
        <v>2276</v>
      </c>
      <c r="K84" s="15" t="n">
        <v>1474.13</v>
      </c>
      <c r="L84" s="0" t="s">
        <v>2277</v>
      </c>
      <c r="N84" s="14"/>
      <c r="O84" s="15"/>
      <c r="P84" s="15"/>
    </row>
    <row r="85" customFormat="false" ht="15" hidden="false" customHeight="true" outlineLevel="0" collapsed="false">
      <c r="A85" s="0" t="n">
        <v>2</v>
      </c>
      <c r="B85" s="0" t="n">
        <v>459236</v>
      </c>
      <c r="C85" s="0" t="s">
        <v>52</v>
      </c>
      <c r="D85" s="0" t="s">
        <v>2314</v>
      </c>
      <c r="E85" s="14" t="n">
        <v>46183</v>
      </c>
      <c r="F85" s="14" t="n">
        <v>46181</v>
      </c>
      <c r="G85" s="0" t="s">
        <v>394</v>
      </c>
      <c r="H85" s="0" t="n">
        <v>1232206</v>
      </c>
      <c r="I85" s="0" t="n">
        <v>11</v>
      </c>
      <c r="J85" s="0" t="s">
        <v>2276</v>
      </c>
      <c r="K85" s="15" t="n">
        <v>338</v>
      </c>
      <c r="L85" s="0" t="s">
        <v>2277</v>
      </c>
      <c r="N85" s="14"/>
      <c r="O85" s="15"/>
      <c r="P85" s="15"/>
    </row>
    <row r="86" customFormat="false" ht="15" hidden="false" customHeight="true" outlineLevel="0" collapsed="false">
      <c r="A86" s="0" t="n">
        <v>2</v>
      </c>
      <c r="B86" s="0" t="n">
        <v>502</v>
      </c>
      <c r="C86" s="0" t="s">
        <v>52</v>
      </c>
      <c r="D86" s="0" t="s">
        <v>2315</v>
      </c>
      <c r="E86" s="14" t="n">
        <v>46183</v>
      </c>
      <c r="F86" s="14" t="n">
        <v>46183</v>
      </c>
      <c r="G86" s="0" t="s">
        <v>340</v>
      </c>
      <c r="H86" s="0" t="n">
        <v>1231225</v>
      </c>
      <c r="I86" s="0" t="n">
        <v>1</v>
      </c>
      <c r="J86" s="0" t="s">
        <v>2276</v>
      </c>
      <c r="K86" s="15" t="n">
        <v>160.32</v>
      </c>
      <c r="L86" s="0" t="s">
        <v>2277</v>
      </c>
      <c r="N86" s="14"/>
      <c r="O86" s="15"/>
      <c r="P86" s="15"/>
    </row>
    <row r="87" customFormat="false" ht="15" hidden="false" customHeight="true" outlineLevel="0" collapsed="false">
      <c r="A87" s="0" t="n">
        <v>2</v>
      </c>
      <c r="B87" s="0" t="n">
        <v>518105</v>
      </c>
      <c r="C87" s="0" t="s">
        <v>52</v>
      </c>
      <c r="D87" s="0" t="s">
        <v>2295</v>
      </c>
      <c r="E87" s="14" t="n">
        <v>46183</v>
      </c>
      <c r="F87" s="14" t="n">
        <v>46182</v>
      </c>
      <c r="G87" s="0" t="s">
        <v>128</v>
      </c>
      <c r="H87" s="0" t="n">
        <v>1231128</v>
      </c>
      <c r="I87" s="0" t="n">
        <v>1</v>
      </c>
      <c r="J87" s="0" t="s">
        <v>2276</v>
      </c>
      <c r="K87" s="15" t="n">
        <v>1927.2</v>
      </c>
      <c r="L87" s="0" t="s">
        <v>2277</v>
      </c>
      <c r="N87" s="14"/>
      <c r="O87" s="15"/>
      <c r="P87" s="15"/>
    </row>
    <row r="88" customFormat="false" ht="15" hidden="false" customHeight="true" outlineLevel="0" collapsed="false">
      <c r="A88" s="0" t="n">
        <v>2</v>
      </c>
      <c r="B88" s="0" t="n">
        <v>562635</v>
      </c>
      <c r="C88" s="0" t="s">
        <v>2316</v>
      </c>
      <c r="D88" s="0" t="s">
        <v>2317</v>
      </c>
      <c r="E88" s="14" t="n">
        <v>46183</v>
      </c>
      <c r="F88" s="14" t="n">
        <v>46176</v>
      </c>
      <c r="G88" s="0" t="s">
        <v>266</v>
      </c>
      <c r="H88" s="0" t="n">
        <v>1231205</v>
      </c>
      <c r="I88" s="0" t="n">
        <v>11</v>
      </c>
      <c r="J88" s="0" t="s">
        <v>2276</v>
      </c>
      <c r="K88" s="15" t="n">
        <v>18322.09</v>
      </c>
      <c r="L88" s="0" t="s">
        <v>2277</v>
      </c>
      <c r="N88" s="14"/>
      <c r="O88" s="15"/>
      <c r="P88" s="15"/>
    </row>
    <row r="89" customFormat="false" ht="15" hidden="false" customHeight="true" outlineLevel="0" collapsed="false">
      <c r="A89" s="0" t="n">
        <v>2</v>
      </c>
      <c r="B89" s="0" t="n">
        <v>5967</v>
      </c>
      <c r="C89" s="0" t="s">
        <v>44</v>
      </c>
      <c r="D89" s="0" t="s">
        <v>2292</v>
      </c>
      <c r="E89" s="14" t="n">
        <v>46183</v>
      </c>
      <c r="F89" s="14" t="n">
        <v>46183</v>
      </c>
      <c r="G89" s="0" t="s">
        <v>149</v>
      </c>
      <c r="H89" s="0" t="n">
        <v>1232441</v>
      </c>
      <c r="I89" s="0" t="n">
        <v>1</v>
      </c>
      <c r="J89" s="0" t="s">
        <v>2276</v>
      </c>
      <c r="K89" s="15" t="n">
        <v>200</v>
      </c>
      <c r="L89" s="0" t="s">
        <v>2277</v>
      </c>
      <c r="O89" s="15"/>
      <c r="P89" s="15"/>
    </row>
    <row r="90" customFormat="false" ht="15" hidden="false" customHeight="true" outlineLevel="0" collapsed="false">
      <c r="A90" s="0" t="n">
        <v>2</v>
      </c>
      <c r="B90" s="0" t="n">
        <v>670477</v>
      </c>
      <c r="C90" s="0" t="s">
        <v>52</v>
      </c>
      <c r="D90" s="0" t="s">
        <v>2318</v>
      </c>
      <c r="E90" s="14" t="n">
        <v>46183</v>
      </c>
      <c r="F90" s="14" t="n">
        <v>46170</v>
      </c>
      <c r="G90" s="0" t="s">
        <v>236</v>
      </c>
      <c r="H90" s="0" t="n">
        <v>1231901</v>
      </c>
      <c r="I90" s="0" t="n">
        <v>1</v>
      </c>
      <c r="J90" s="0" t="s">
        <v>2276</v>
      </c>
      <c r="K90" s="15" t="n">
        <v>715.2</v>
      </c>
      <c r="L90" s="0" t="s">
        <v>2277</v>
      </c>
      <c r="O90" s="14"/>
      <c r="P90" s="15"/>
    </row>
    <row r="91" customFormat="false" ht="15" hidden="false" customHeight="true" outlineLevel="0" collapsed="false">
      <c r="A91" s="0" t="n">
        <v>2</v>
      </c>
      <c r="B91" s="0" t="n">
        <v>1006</v>
      </c>
      <c r="C91" s="0" t="s">
        <v>52</v>
      </c>
      <c r="D91" s="0" t="s">
        <v>2319</v>
      </c>
      <c r="E91" s="14" t="n">
        <v>46184</v>
      </c>
      <c r="F91" s="14" t="n">
        <v>46176</v>
      </c>
      <c r="G91" s="0" t="s">
        <v>711</v>
      </c>
      <c r="H91" s="0" t="n">
        <v>1235087</v>
      </c>
      <c r="I91" s="0" t="n">
        <v>11</v>
      </c>
      <c r="J91" s="0" t="s">
        <v>2276</v>
      </c>
      <c r="K91" s="15" t="n">
        <v>1366.12</v>
      </c>
      <c r="L91" s="0" t="s">
        <v>2277</v>
      </c>
      <c r="O91" s="14"/>
      <c r="P91" s="15"/>
    </row>
    <row r="92" customFormat="false" ht="15" hidden="false" customHeight="true" outlineLevel="0" collapsed="false">
      <c r="A92" s="0" t="n">
        <v>2</v>
      </c>
      <c r="B92" s="0" t="n">
        <v>1235911</v>
      </c>
      <c r="C92" s="0" t="s">
        <v>52</v>
      </c>
      <c r="D92" s="0" t="s">
        <v>2320</v>
      </c>
      <c r="E92" s="14" t="n">
        <v>46184</v>
      </c>
      <c r="F92" s="14" t="n">
        <v>46184</v>
      </c>
      <c r="G92" s="0" t="s">
        <v>468</v>
      </c>
      <c r="H92" s="0" t="n">
        <v>1235244</v>
      </c>
      <c r="I92" s="0" t="n">
        <v>1</v>
      </c>
      <c r="J92" s="0" t="s">
        <v>2276</v>
      </c>
      <c r="K92" s="15" t="n">
        <v>345.7</v>
      </c>
      <c r="L92" s="0" t="s">
        <v>2277</v>
      </c>
      <c r="O92" s="14"/>
      <c r="P92" s="15"/>
    </row>
    <row r="93" customFormat="false" ht="15" hidden="false" customHeight="true" outlineLevel="0" collapsed="false">
      <c r="A93" s="0" t="n">
        <v>2</v>
      </c>
      <c r="B93" s="0" t="n">
        <v>1671078</v>
      </c>
      <c r="C93" s="0" t="s">
        <v>52</v>
      </c>
      <c r="D93" s="0" t="s">
        <v>2287</v>
      </c>
      <c r="E93" s="14" t="n">
        <v>46184</v>
      </c>
      <c r="F93" s="14" t="n">
        <v>46183</v>
      </c>
      <c r="G93" s="0" t="s">
        <v>240</v>
      </c>
      <c r="H93" s="0" t="n">
        <v>1234920</v>
      </c>
      <c r="I93" s="0" t="n">
        <v>1</v>
      </c>
      <c r="J93" s="0" t="s">
        <v>2276</v>
      </c>
      <c r="K93" s="15" t="n">
        <v>478.8</v>
      </c>
      <c r="L93" s="0" t="s">
        <v>2277</v>
      </c>
      <c r="O93" s="14"/>
      <c r="P93" s="15"/>
    </row>
    <row r="94" customFormat="false" ht="15" hidden="false" customHeight="true" outlineLevel="0" collapsed="false">
      <c r="A94" s="0" t="n">
        <v>2</v>
      </c>
      <c r="B94" s="0" t="n">
        <v>1829</v>
      </c>
      <c r="C94" s="0" t="s">
        <v>52</v>
      </c>
      <c r="D94" s="0" t="s">
        <v>2321</v>
      </c>
      <c r="E94" s="14" t="n">
        <v>46184</v>
      </c>
      <c r="F94" s="14" t="n">
        <v>46176</v>
      </c>
      <c r="G94" s="0" t="s">
        <v>42</v>
      </c>
      <c r="H94" s="0" t="n">
        <v>1235276</v>
      </c>
      <c r="I94" s="0" t="n">
        <v>11</v>
      </c>
      <c r="J94" s="0" t="s">
        <v>2276</v>
      </c>
      <c r="K94" s="15" t="n">
        <v>3870.5</v>
      </c>
      <c r="L94" s="0" t="s">
        <v>2277</v>
      </c>
      <c r="O94" s="14"/>
      <c r="P94" s="15"/>
    </row>
    <row r="95" customFormat="false" ht="15" hidden="false" customHeight="true" outlineLevel="0" collapsed="false">
      <c r="A95" s="0" t="n">
        <v>2</v>
      </c>
      <c r="B95" s="0" t="n">
        <v>18534</v>
      </c>
      <c r="C95" s="0" t="s">
        <v>89</v>
      </c>
      <c r="D95" s="0" t="s">
        <v>2322</v>
      </c>
      <c r="E95" s="14" t="n">
        <v>46184</v>
      </c>
      <c r="F95" s="14" t="n">
        <v>46179</v>
      </c>
      <c r="G95" s="0" t="s">
        <v>390</v>
      </c>
      <c r="H95" s="0" t="n">
        <v>1236453</v>
      </c>
      <c r="I95" s="0" t="n">
        <v>1</v>
      </c>
      <c r="J95" s="0" t="s">
        <v>2276</v>
      </c>
      <c r="K95" s="15" t="n">
        <v>2512.45</v>
      </c>
      <c r="L95" s="0" t="s">
        <v>2277</v>
      </c>
      <c r="O95" s="14"/>
      <c r="P95" s="15"/>
    </row>
    <row r="96" customFormat="false" ht="15" hidden="false" customHeight="true" outlineLevel="0" collapsed="false">
      <c r="A96" s="0" t="n">
        <v>2</v>
      </c>
      <c r="B96" s="0" t="n">
        <v>253249</v>
      </c>
      <c r="C96" s="0" t="s">
        <v>52</v>
      </c>
      <c r="D96" s="0" t="s">
        <v>2323</v>
      </c>
      <c r="E96" s="14" t="n">
        <v>46184</v>
      </c>
      <c r="F96" s="14" t="n">
        <v>46183</v>
      </c>
      <c r="G96" s="0" t="s">
        <v>566</v>
      </c>
      <c r="H96" s="0" t="n">
        <v>1236653</v>
      </c>
      <c r="I96" s="0" t="n">
        <v>1</v>
      </c>
      <c r="J96" s="0" t="s">
        <v>2276</v>
      </c>
      <c r="K96" s="15" t="n">
        <v>734.33</v>
      </c>
      <c r="L96" s="0" t="s">
        <v>2277</v>
      </c>
      <c r="O96" s="14"/>
      <c r="P96" s="15"/>
    </row>
    <row r="97" customFormat="false" ht="15" hidden="false" customHeight="true" outlineLevel="0" collapsed="false">
      <c r="A97" s="0" t="n">
        <v>2</v>
      </c>
      <c r="B97" s="0" t="n">
        <v>3201284</v>
      </c>
      <c r="C97" s="0" t="s">
        <v>52</v>
      </c>
      <c r="D97" s="0" t="s">
        <v>2324</v>
      </c>
      <c r="E97" s="14" t="n">
        <v>46184</v>
      </c>
      <c r="F97" s="14" t="n">
        <v>46183</v>
      </c>
      <c r="G97" s="0" t="s">
        <v>61</v>
      </c>
      <c r="H97" s="0" t="n">
        <v>1236667</v>
      </c>
      <c r="I97" s="0" t="n">
        <v>11</v>
      </c>
      <c r="J97" s="0" t="s">
        <v>2276</v>
      </c>
      <c r="K97" s="15" t="n">
        <v>3312.16</v>
      </c>
      <c r="L97" s="0" t="s">
        <v>2277</v>
      </c>
      <c r="O97" s="14"/>
      <c r="P97" s="15"/>
    </row>
    <row r="98" customFormat="false" ht="15" hidden="false" customHeight="true" outlineLevel="0" collapsed="false">
      <c r="A98" s="0" t="n">
        <v>2</v>
      </c>
      <c r="B98" s="0" t="n">
        <v>581432</v>
      </c>
      <c r="C98" s="0" t="s">
        <v>102</v>
      </c>
      <c r="D98" s="0" t="s">
        <v>2325</v>
      </c>
      <c r="E98" s="14" t="n">
        <v>46184</v>
      </c>
      <c r="F98" s="14" t="n">
        <v>46183</v>
      </c>
      <c r="G98" s="0" t="s">
        <v>471</v>
      </c>
      <c r="H98" s="0" t="n">
        <v>1236954</v>
      </c>
      <c r="I98" s="0" t="n">
        <v>1</v>
      </c>
      <c r="J98" s="0" t="s">
        <v>2276</v>
      </c>
      <c r="K98" s="15" t="n">
        <v>278</v>
      </c>
      <c r="L98" s="0" t="s">
        <v>2277</v>
      </c>
      <c r="O98" s="14"/>
      <c r="P98" s="15"/>
    </row>
    <row r="99" customFormat="false" ht="15" hidden="false" customHeight="true" outlineLevel="0" collapsed="false">
      <c r="A99" s="0" t="n">
        <v>2</v>
      </c>
      <c r="B99" s="0" t="n">
        <v>843146</v>
      </c>
      <c r="C99" s="0" t="s">
        <v>52</v>
      </c>
      <c r="D99" s="0" t="s">
        <v>2326</v>
      </c>
      <c r="E99" s="14" t="n">
        <v>46184</v>
      </c>
      <c r="F99" s="14" t="n">
        <v>46183</v>
      </c>
      <c r="G99" s="0" t="s">
        <v>193</v>
      </c>
      <c r="H99" s="0" t="n">
        <v>1236541</v>
      </c>
      <c r="I99" s="0" t="n">
        <v>1</v>
      </c>
      <c r="J99" s="0" t="s">
        <v>2276</v>
      </c>
      <c r="K99" s="15" t="n">
        <v>433.35</v>
      </c>
      <c r="L99" s="0" t="s">
        <v>2277</v>
      </c>
      <c r="O99" s="14"/>
      <c r="P99" s="15"/>
    </row>
    <row r="100" customFormat="false" ht="15" hidden="false" customHeight="true" outlineLevel="0" collapsed="false">
      <c r="A100" s="0" t="n">
        <v>2</v>
      </c>
      <c r="B100" s="0" t="n">
        <v>843147</v>
      </c>
      <c r="C100" s="0" t="s">
        <v>52</v>
      </c>
      <c r="D100" s="0" t="s">
        <v>2326</v>
      </c>
      <c r="E100" s="14" t="n">
        <v>46184</v>
      </c>
      <c r="F100" s="14" t="n">
        <v>46183</v>
      </c>
      <c r="G100" s="0" t="s">
        <v>193</v>
      </c>
      <c r="H100" s="0" t="n">
        <v>1236598</v>
      </c>
      <c r="I100" s="0" t="n">
        <v>1</v>
      </c>
      <c r="J100" s="0" t="s">
        <v>2276</v>
      </c>
      <c r="K100" s="15" t="n">
        <v>1689.49</v>
      </c>
      <c r="L100" s="0" t="s">
        <v>2277</v>
      </c>
      <c r="O100" s="14"/>
      <c r="P100" s="15"/>
    </row>
    <row r="101" customFormat="false" ht="15" hidden="false" customHeight="true" outlineLevel="0" collapsed="false">
      <c r="A101" s="0" t="n">
        <v>2</v>
      </c>
      <c r="B101" s="0" t="n">
        <v>1026809</v>
      </c>
      <c r="C101" s="0" t="s">
        <v>52</v>
      </c>
      <c r="D101" s="0" t="s">
        <v>2286</v>
      </c>
      <c r="E101" s="14" t="n">
        <v>46185</v>
      </c>
      <c r="F101" s="14" t="n">
        <v>46184</v>
      </c>
      <c r="G101" s="0" t="s">
        <v>228</v>
      </c>
      <c r="H101" s="0" t="n">
        <v>1241572</v>
      </c>
      <c r="I101" s="0" t="n">
        <v>1</v>
      </c>
      <c r="J101" s="0" t="s">
        <v>2276</v>
      </c>
      <c r="K101" s="15" t="n">
        <v>440.45</v>
      </c>
      <c r="L101" s="0" t="s">
        <v>2277</v>
      </c>
      <c r="O101" s="14"/>
      <c r="P101" s="15"/>
    </row>
    <row r="102" customFormat="false" ht="15" hidden="false" customHeight="true" outlineLevel="0" collapsed="false">
      <c r="A102" s="0" t="n">
        <v>2</v>
      </c>
      <c r="B102" s="0" t="n">
        <v>1159468</v>
      </c>
      <c r="C102" s="0" t="s">
        <v>80</v>
      </c>
      <c r="D102" s="0" t="s">
        <v>2275</v>
      </c>
      <c r="E102" s="14" t="n">
        <v>46185</v>
      </c>
      <c r="F102" s="14" t="n">
        <v>46184</v>
      </c>
      <c r="G102" s="0" t="s">
        <v>130</v>
      </c>
      <c r="H102" s="0" t="n">
        <v>1241797</v>
      </c>
      <c r="I102" s="0" t="n">
        <v>1</v>
      </c>
      <c r="J102" s="0" t="s">
        <v>2276</v>
      </c>
      <c r="K102" s="15" t="n">
        <v>192.43</v>
      </c>
      <c r="L102" s="0" t="s">
        <v>2277</v>
      </c>
      <c r="O102" s="14"/>
      <c r="P102" s="15"/>
    </row>
    <row r="103" customFormat="false" ht="15" hidden="false" customHeight="true" outlineLevel="0" collapsed="false">
      <c r="A103" s="0" t="n">
        <v>2</v>
      </c>
      <c r="B103" s="0" t="n">
        <v>1159469</v>
      </c>
      <c r="C103" s="0" t="s">
        <v>80</v>
      </c>
      <c r="D103" s="0" t="s">
        <v>2275</v>
      </c>
      <c r="E103" s="14" t="n">
        <v>46185</v>
      </c>
      <c r="F103" s="14" t="n">
        <v>46184</v>
      </c>
      <c r="G103" s="0" t="s">
        <v>130</v>
      </c>
      <c r="H103" s="0" t="n">
        <v>1241801</v>
      </c>
      <c r="I103" s="0" t="n">
        <v>1</v>
      </c>
      <c r="J103" s="0" t="s">
        <v>2276</v>
      </c>
      <c r="K103" s="15" t="n">
        <v>544.32</v>
      </c>
      <c r="L103" s="0" t="s">
        <v>2277</v>
      </c>
      <c r="O103" s="14"/>
      <c r="P103" s="15"/>
    </row>
    <row r="104" customFormat="false" ht="15" hidden="false" customHeight="true" outlineLevel="0" collapsed="false">
      <c r="A104" s="0" t="n">
        <v>2</v>
      </c>
      <c r="B104" s="0" t="n">
        <v>1262026</v>
      </c>
      <c r="C104" s="0" t="s">
        <v>52</v>
      </c>
      <c r="D104" s="0" t="s">
        <v>2288</v>
      </c>
      <c r="E104" s="14" t="n">
        <v>46185</v>
      </c>
      <c r="F104" s="14" t="n">
        <v>46185</v>
      </c>
      <c r="G104" s="0" t="s">
        <v>153</v>
      </c>
      <c r="H104" s="0" t="n">
        <v>1241650</v>
      </c>
      <c r="I104" s="0" t="n">
        <v>2</v>
      </c>
      <c r="J104" s="0" t="s">
        <v>2276</v>
      </c>
      <c r="K104" s="15" t="n">
        <v>1323.79</v>
      </c>
      <c r="L104" s="0" t="s">
        <v>2277</v>
      </c>
      <c r="O104" s="14"/>
      <c r="P104" s="15"/>
    </row>
    <row r="105" customFormat="false" ht="15" hidden="false" customHeight="true" outlineLevel="0" collapsed="false">
      <c r="A105" s="0" t="n">
        <v>2</v>
      </c>
      <c r="B105" s="0" t="n">
        <v>12626</v>
      </c>
      <c r="C105" s="0" t="s">
        <v>52</v>
      </c>
      <c r="D105" s="0" t="s">
        <v>2288</v>
      </c>
      <c r="E105" s="14" t="n">
        <v>46185</v>
      </c>
      <c r="F105" s="14" t="n">
        <v>46185</v>
      </c>
      <c r="G105" s="0" t="s">
        <v>153</v>
      </c>
      <c r="H105" s="0" t="n">
        <v>1240618</v>
      </c>
      <c r="I105" s="0" t="n">
        <v>2</v>
      </c>
      <c r="J105" s="0" t="s">
        <v>2276</v>
      </c>
      <c r="K105" s="15" t="n">
        <v>260</v>
      </c>
      <c r="L105" s="0" t="s">
        <v>2277</v>
      </c>
      <c r="O105" s="14"/>
      <c r="P105" s="15"/>
    </row>
    <row r="106" customFormat="false" ht="15" hidden="false" customHeight="true" outlineLevel="0" collapsed="false">
      <c r="A106" s="0" t="n">
        <v>2</v>
      </c>
      <c r="B106" s="0" t="n">
        <v>1595886</v>
      </c>
      <c r="C106" s="0" t="s">
        <v>52</v>
      </c>
      <c r="D106" s="0" t="s">
        <v>2327</v>
      </c>
      <c r="E106" s="14" t="n">
        <v>46185</v>
      </c>
      <c r="F106" s="14" t="n">
        <v>46185</v>
      </c>
      <c r="G106" s="0" t="s">
        <v>50</v>
      </c>
      <c r="H106" s="0" t="n">
        <v>1239822</v>
      </c>
      <c r="I106" s="0" t="n">
        <v>1</v>
      </c>
      <c r="J106" s="0" t="s">
        <v>2276</v>
      </c>
      <c r="K106" s="15" t="n">
        <v>2208.28</v>
      </c>
      <c r="L106" s="0" t="s">
        <v>2277</v>
      </c>
      <c r="O106" s="14"/>
      <c r="P106" s="15"/>
    </row>
    <row r="107" customFormat="false" ht="15" hidden="false" customHeight="true" outlineLevel="0" collapsed="false">
      <c r="A107" s="0" t="n">
        <v>2</v>
      </c>
      <c r="B107" s="0" t="n">
        <v>1672321</v>
      </c>
      <c r="C107" s="0" t="s">
        <v>52</v>
      </c>
      <c r="D107" s="0" t="s">
        <v>2287</v>
      </c>
      <c r="E107" s="14" t="n">
        <v>46185</v>
      </c>
      <c r="F107" s="14" t="n">
        <v>46185</v>
      </c>
      <c r="G107" s="0" t="s">
        <v>240</v>
      </c>
      <c r="H107" s="0" t="n">
        <v>1240331</v>
      </c>
      <c r="I107" s="0" t="n">
        <v>1</v>
      </c>
      <c r="J107" s="0" t="s">
        <v>2276</v>
      </c>
      <c r="K107" s="15" t="n">
        <v>767.16</v>
      </c>
      <c r="L107" s="0" t="s">
        <v>2277</v>
      </c>
      <c r="O107" s="14"/>
      <c r="P107" s="15"/>
    </row>
    <row r="108" customFormat="false" ht="15" hidden="false" customHeight="true" outlineLevel="0" collapsed="false">
      <c r="A108" s="0" t="n">
        <v>2</v>
      </c>
      <c r="B108" s="0" t="n">
        <v>1877756</v>
      </c>
      <c r="C108" s="0" t="s">
        <v>36</v>
      </c>
      <c r="D108" s="0" t="s">
        <v>2275</v>
      </c>
      <c r="E108" s="14" t="n">
        <v>46185</v>
      </c>
      <c r="F108" s="14" t="n">
        <v>46184</v>
      </c>
      <c r="G108" s="0" t="s">
        <v>130</v>
      </c>
      <c r="H108" s="0" t="n">
        <v>1241783</v>
      </c>
      <c r="I108" s="0" t="n">
        <v>1</v>
      </c>
      <c r="J108" s="0" t="s">
        <v>2276</v>
      </c>
      <c r="K108" s="15" t="n">
        <v>16.61</v>
      </c>
      <c r="L108" s="0" t="s">
        <v>2277</v>
      </c>
      <c r="O108" s="14"/>
      <c r="P108" s="15"/>
    </row>
    <row r="109" customFormat="false" ht="15" hidden="false" customHeight="true" outlineLevel="0" collapsed="false">
      <c r="A109" s="0" t="n">
        <v>2</v>
      </c>
      <c r="B109" s="0" t="n">
        <v>1877757</v>
      </c>
      <c r="C109" s="0" t="s">
        <v>36</v>
      </c>
      <c r="D109" s="0" t="s">
        <v>2275</v>
      </c>
      <c r="E109" s="14" t="n">
        <v>46185</v>
      </c>
      <c r="F109" s="14" t="n">
        <v>46184</v>
      </c>
      <c r="G109" s="0" t="s">
        <v>130</v>
      </c>
      <c r="H109" s="0" t="n">
        <v>1241857</v>
      </c>
      <c r="I109" s="0" t="n">
        <v>1</v>
      </c>
      <c r="J109" s="0" t="s">
        <v>2276</v>
      </c>
      <c r="K109" s="15" t="n">
        <v>1081.08</v>
      </c>
      <c r="L109" s="0" t="s">
        <v>2277</v>
      </c>
      <c r="O109" s="14"/>
      <c r="P109" s="15"/>
    </row>
    <row r="110" customFormat="false" ht="15" hidden="false" customHeight="true" outlineLevel="0" collapsed="false">
      <c r="A110" s="0" t="n">
        <v>2</v>
      </c>
      <c r="B110" s="0" t="n">
        <v>2494</v>
      </c>
      <c r="C110" s="0" t="s">
        <v>52</v>
      </c>
      <c r="D110" s="0" t="s">
        <v>2288</v>
      </c>
      <c r="E110" s="14" t="n">
        <v>46185</v>
      </c>
      <c r="F110" s="14" t="n">
        <v>46185</v>
      </c>
      <c r="G110" s="0" t="s">
        <v>153</v>
      </c>
      <c r="H110" s="0" t="n">
        <v>1240627</v>
      </c>
      <c r="I110" s="0" t="n">
        <v>6</v>
      </c>
      <c r="J110" s="0" t="s">
        <v>2276</v>
      </c>
      <c r="K110" s="15" t="n">
        <v>260</v>
      </c>
      <c r="L110" s="0" t="s">
        <v>2277</v>
      </c>
      <c r="O110" s="14"/>
      <c r="P110" s="15"/>
    </row>
    <row r="111" customFormat="false" ht="15" hidden="false" customHeight="true" outlineLevel="0" collapsed="false">
      <c r="A111" s="0" t="n">
        <v>2</v>
      </c>
      <c r="B111" s="0" t="n">
        <v>2495</v>
      </c>
      <c r="C111" s="0" t="s">
        <v>52</v>
      </c>
      <c r="D111" s="0" t="s">
        <v>2288</v>
      </c>
      <c r="E111" s="14" t="n">
        <v>46185</v>
      </c>
      <c r="F111" s="14" t="n">
        <v>46185</v>
      </c>
      <c r="G111" s="0" t="s">
        <v>153</v>
      </c>
      <c r="H111" s="0" t="n">
        <v>1241673</v>
      </c>
      <c r="I111" s="0" t="n">
        <v>6</v>
      </c>
      <c r="J111" s="0" t="s">
        <v>2276</v>
      </c>
      <c r="K111" s="15" t="n">
        <v>1323.79</v>
      </c>
      <c r="L111" s="0" t="s">
        <v>2277</v>
      </c>
      <c r="O111" s="14"/>
      <c r="P111" s="15"/>
    </row>
    <row r="112" customFormat="false" ht="15" hidden="false" customHeight="true" outlineLevel="0" collapsed="false">
      <c r="A112" s="0" t="n">
        <v>2</v>
      </c>
      <c r="B112" s="0" t="n">
        <v>30896</v>
      </c>
      <c r="C112" s="0" t="s">
        <v>52</v>
      </c>
      <c r="D112" s="0" t="s">
        <v>2294</v>
      </c>
      <c r="E112" s="14" t="n">
        <v>46185</v>
      </c>
      <c r="F112" s="14" t="n">
        <v>46184</v>
      </c>
      <c r="G112" s="0" t="s">
        <v>147</v>
      </c>
      <c r="H112" s="0" t="n">
        <v>1241605</v>
      </c>
      <c r="I112" s="0" t="n">
        <v>1</v>
      </c>
      <c r="J112" s="0" t="s">
        <v>2276</v>
      </c>
      <c r="K112" s="15" t="n">
        <v>231.5</v>
      </c>
      <c r="L112" s="0" t="s">
        <v>2277</v>
      </c>
      <c r="O112" s="14"/>
      <c r="P112" s="15"/>
    </row>
    <row r="113" customFormat="false" ht="15" hidden="false" customHeight="true" outlineLevel="0" collapsed="false">
      <c r="A113" s="0" t="n">
        <v>2</v>
      </c>
      <c r="B113" s="0" t="n">
        <v>3741</v>
      </c>
      <c r="C113" s="0" t="s">
        <v>52</v>
      </c>
      <c r="D113" s="0" t="s">
        <v>2290</v>
      </c>
      <c r="E113" s="14" t="n">
        <v>46185</v>
      </c>
      <c r="F113" s="14" t="n">
        <v>46184</v>
      </c>
      <c r="G113" s="0" t="s">
        <v>95</v>
      </c>
      <c r="H113" s="0" t="n">
        <v>1241587</v>
      </c>
      <c r="I113" s="0" t="n">
        <v>1</v>
      </c>
      <c r="J113" s="0" t="s">
        <v>2276</v>
      </c>
      <c r="K113" s="15" t="n">
        <v>184.96</v>
      </c>
      <c r="L113" s="0" t="s">
        <v>2277</v>
      </c>
      <c r="O113" s="14"/>
      <c r="P113" s="15"/>
    </row>
    <row r="114" customFormat="false" ht="15" hidden="false" customHeight="true" outlineLevel="0" collapsed="false">
      <c r="A114" s="0" t="n">
        <v>2</v>
      </c>
      <c r="B114" s="0" t="n">
        <v>394904</v>
      </c>
      <c r="C114" s="0" t="s">
        <v>52</v>
      </c>
      <c r="D114" s="0" t="s">
        <v>2328</v>
      </c>
      <c r="E114" s="14" t="n">
        <v>46185</v>
      </c>
      <c r="F114" s="14" t="n">
        <v>46184</v>
      </c>
      <c r="G114" s="0" t="s">
        <v>77</v>
      </c>
      <c r="H114" s="0" t="n">
        <v>1240497</v>
      </c>
      <c r="I114" s="0" t="n">
        <v>11</v>
      </c>
      <c r="J114" s="0" t="s">
        <v>2276</v>
      </c>
      <c r="K114" s="15" t="n">
        <v>1727.71</v>
      </c>
      <c r="L114" s="0" t="s">
        <v>2277</v>
      </c>
      <c r="O114" s="14"/>
      <c r="P114" s="15"/>
    </row>
    <row r="115" customFormat="false" ht="15" hidden="false" customHeight="true" outlineLevel="0" collapsed="false">
      <c r="A115" s="0" t="n">
        <v>2</v>
      </c>
      <c r="B115" s="0" t="n">
        <v>645628</v>
      </c>
      <c r="C115" s="0" t="s">
        <v>52</v>
      </c>
      <c r="D115" s="0" t="s">
        <v>2329</v>
      </c>
      <c r="E115" s="14" t="n">
        <v>46185</v>
      </c>
      <c r="F115" s="14" t="n">
        <v>46183</v>
      </c>
      <c r="G115" s="0" t="s">
        <v>64</v>
      </c>
      <c r="H115" s="0" t="n">
        <v>1241897</v>
      </c>
      <c r="I115" s="0" t="n">
        <v>1</v>
      </c>
      <c r="J115" s="0" t="s">
        <v>2276</v>
      </c>
      <c r="K115" s="15" t="n">
        <v>1150.4</v>
      </c>
      <c r="L115" s="0" t="s">
        <v>2277</v>
      </c>
      <c r="O115" s="14"/>
      <c r="P115" s="15"/>
    </row>
    <row r="116" customFormat="false" ht="15" hidden="false" customHeight="true" outlineLevel="0" collapsed="false">
      <c r="A116" s="0" t="n">
        <v>2</v>
      </c>
      <c r="B116" s="0" t="n">
        <v>664</v>
      </c>
      <c r="C116" s="0" t="s">
        <v>44</v>
      </c>
      <c r="D116" s="0" t="s">
        <v>2283</v>
      </c>
      <c r="E116" s="14" t="n">
        <v>46185</v>
      </c>
      <c r="F116" s="14" t="n">
        <v>46185</v>
      </c>
      <c r="G116" s="0" t="s">
        <v>204</v>
      </c>
      <c r="H116" s="0" t="n">
        <v>1241529</v>
      </c>
      <c r="I116" s="0" t="n">
        <v>1</v>
      </c>
      <c r="J116" s="0" t="s">
        <v>2276</v>
      </c>
      <c r="K116" s="15" t="n">
        <v>379.6</v>
      </c>
      <c r="L116" s="0" t="s">
        <v>2277</v>
      </c>
      <c r="O116" s="14"/>
      <c r="P116" s="15"/>
    </row>
    <row r="117" customFormat="false" ht="15" hidden="false" customHeight="true" outlineLevel="0" collapsed="false">
      <c r="A117" s="0" t="n">
        <v>2</v>
      </c>
      <c r="B117" s="0" t="n">
        <v>7725</v>
      </c>
      <c r="C117" s="0" t="s">
        <v>52</v>
      </c>
      <c r="D117" s="0" t="s">
        <v>2330</v>
      </c>
      <c r="E117" s="14" t="n">
        <v>46185</v>
      </c>
      <c r="F117" s="14" t="n">
        <v>46180</v>
      </c>
      <c r="G117" s="0" t="s">
        <v>417</v>
      </c>
      <c r="H117" s="0" t="n">
        <v>1300203</v>
      </c>
      <c r="I117" s="0" t="n">
        <v>11</v>
      </c>
      <c r="J117" s="0" t="s">
        <v>2276</v>
      </c>
      <c r="K117" s="15" t="n">
        <v>1149.74</v>
      </c>
      <c r="L117" s="0" t="s">
        <v>2277</v>
      </c>
      <c r="O117" s="14"/>
      <c r="P117" s="15"/>
    </row>
    <row r="118" customFormat="false" ht="15" hidden="false" customHeight="true" outlineLevel="0" collapsed="false">
      <c r="A118" s="0" t="n">
        <v>2</v>
      </c>
      <c r="B118" s="0" t="n">
        <v>1415530</v>
      </c>
      <c r="C118" s="0" t="s">
        <v>52</v>
      </c>
      <c r="D118" s="0" t="s">
        <v>2331</v>
      </c>
      <c r="E118" s="14" t="n">
        <v>46186</v>
      </c>
      <c r="F118" s="14" t="n">
        <v>46184</v>
      </c>
      <c r="G118" s="0" t="s">
        <v>464</v>
      </c>
      <c r="H118" s="0" t="n">
        <v>1244221</v>
      </c>
      <c r="I118" s="0" t="n">
        <v>1</v>
      </c>
      <c r="J118" s="0" t="s">
        <v>2276</v>
      </c>
      <c r="K118" s="15" t="n">
        <v>2215.88</v>
      </c>
      <c r="L118" s="0" t="s">
        <v>2277</v>
      </c>
      <c r="O118" s="14"/>
      <c r="P118" s="15"/>
    </row>
    <row r="119" customFormat="false" ht="15" hidden="false" customHeight="true" outlineLevel="0" collapsed="false">
      <c r="A119" s="0" t="n">
        <v>2</v>
      </c>
      <c r="B119" s="0" t="n">
        <v>1601</v>
      </c>
      <c r="C119" s="0" t="s">
        <v>67</v>
      </c>
      <c r="D119" s="0" t="s">
        <v>2332</v>
      </c>
      <c r="E119" s="14" t="n">
        <v>46186</v>
      </c>
      <c r="F119" s="14" t="n">
        <v>46184</v>
      </c>
      <c r="G119" s="0" t="s">
        <v>585</v>
      </c>
      <c r="H119" s="0" t="n">
        <v>1244274</v>
      </c>
      <c r="I119" s="0" t="n">
        <v>1</v>
      </c>
      <c r="J119" s="0" t="s">
        <v>2276</v>
      </c>
      <c r="K119" s="15" t="n">
        <v>1783.9</v>
      </c>
      <c r="L119" s="0" t="s">
        <v>2277</v>
      </c>
      <c r="O119" s="14"/>
      <c r="P119" s="15"/>
    </row>
    <row r="120" customFormat="false" ht="15" hidden="false" customHeight="true" outlineLevel="0" collapsed="false">
      <c r="A120" s="0" t="n">
        <v>2</v>
      </c>
      <c r="B120" s="0" t="n">
        <v>1631088</v>
      </c>
      <c r="C120" s="0" t="s">
        <v>2280</v>
      </c>
      <c r="D120" s="0" t="s">
        <v>2281</v>
      </c>
      <c r="E120" s="14" t="n">
        <v>46186</v>
      </c>
      <c r="F120" s="14" t="n">
        <v>46185</v>
      </c>
      <c r="G120" s="0" t="s">
        <v>406</v>
      </c>
      <c r="H120" s="0" t="n">
        <v>1244024</v>
      </c>
      <c r="I120" s="0" t="n">
        <v>1</v>
      </c>
      <c r="J120" s="0" t="s">
        <v>2276</v>
      </c>
      <c r="K120" s="15" t="n">
        <v>64</v>
      </c>
      <c r="L120" s="0" t="s">
        <v>2277</v>
      </c>
      <c r="O120" s="14"/>
      <c r="P120" s="15"/>
    </row>
    <row r="121" customFormat="false" ht="15" hidden="false" customHeight="true" outlineLevel="0" collapsed="false">
      <c r="A121" s="0" t="n">
        <v>2</v>
      </c>
      <c r="B121" s="0" t="n">
        <v>193355</v>
      </c>
      <c r="C121" s="0" t="s">
        <v>67</v>
      </c>
      <c r="D121" s="0" t="s">
        <v>2333</v>
      </c>
      <c r="E121" s="14" t="n">
        <v>46186</v>
      </c>
      <c r="F121" s="14" t="n">
        <v>46183</v>
      </c>
      <c r="G121" s="0" t="s">
        <v>183</v>
      </c>
      <c r="H121" s="0" t="n">
        <v>1244256</v>
      </c>
      <c r="I121" s="0" t="n">
        <v>1</v>
      </c>
      <c r="J121" s="0" t="s">
        <v>2276</v>
      </c>
      <c r="K121" s="15" t="n">
        <v>540.3</v>
      </c>
      <c r="L121" s="0" t="s">
        <v>2277</v>
      </c>
      <c r="O121" s="14"/>
      <c r="P121" s="15"/>
    </row>
    <row r="122" customFormat="false" ht="15" hidden="false" customHeight="true" outlineLevel="0" collapsed="false">
      <c r="A122" s="0" t="n">
        <v>2</v>
      </c>
      <c r="B122" s="0" t="n">
        <v>299</v>
      </c>
      <c r="C122" s="0" t="s">
        <v>52</v>
      </c>
      <c r="D122" s="0" t="s">
        <v>2289</v>
      </c>
      <c r="E122" s="14" t="n">
        <v>46186</v>
      </c>
      <c r="F122" s="14" t="n">
        <v>46185</v>
      </c>
      <c r="G122" s="0" t="s">
        <v>216</v>
      </c>
      <c r="H122" s="0" t="n">
        <v>1244883</v>
      </c>
      <c r="I122" s="0" t="n">
        <v>1</v>
      </c>
      <c r="J122" s="0" t="s">
        <v>2276</v>
      </c>
      <c r="K122" s="15" t="n">
        <v>950</v>
      </c>
      <c r="L122" s="0" t="s">
        <v>2277</v>
      </c>
      <c r="O122" s="14"/>
      <c r="P122" s="15"/>
    </row>
    <row r="123" customFormat="false" ht="15" hidden="false" customHeight="true" outlineLevel="0" collapsed="false">
      <c r="A123" s="0" t="n">
        <v>2</v>
      </c>
      <c r="B123" s="0" t="n">
        <v>3201857</v>
      </c>
      <c r="C123" s="0" t="s">
        <v>52</v>
      </c>
      <c r="D123" s="0" t="s">
        <v>2324</v>
      </c>
      <c r="E123" s="14" t="n">
        <v>46186</v>
      </c>
      <c r="F123" s="14" t="n">
        <v>46184</v>
      </c>
      <c r="G123" s="0" t="s">
        <v>61</v>
      </c>
      <c r="H123" s="0" t="n">
        <v>1244627</v>
      </c>
      <c r="I123" s="0" t="n">
        <v>1</v>
      </c>
      <c r="J123" s="0" t="s">
        <v>2276</v>
      </c>
      <c r="K123" s="15" t="n">
        <v>892.08</v>
      </c>
      <c r="L123" s="0" t="s">
        <v>2277</v>
      </c>
      <c r="O123" s="14"/>
      <c r="P123" s="15"/>
    </row>
    <row r="124" customFormat="false" ht="15" hidden="false" customHeight="true" outlineLevel="0" collapsed="false">
      <c r="A124" s="0" t="n">
        <v>2</v>
      </c>
      <c r="B124" s="0" t="n">
        <v>496</v>
      </c>
      <c r="C124" s="0" t="s">
        <v>52</v>
      </c>
      <c r="D124" s="0" t="s">
        <v>2291</v>
      </c>
      <c r="E124" s="14" t="n">
        <v>46186</v>
      </c>
      <c r="F124" s="14" t="n">
        <v>46185</v>
      </c>
      <c r="G124" s="0" t="s">
        <v>123</v>
      </c>
      <c r="H124" s="0" t="n">
        <v>1244039</v>
      </c>
      <c r="I124" s="0" t="n">
        <v>1</v>
      </c>
      <c r="J124" s="0" t="s">
        <v>2276</v>
      </c>
      <c r="K124" s="15" t="n">
        <v>180</v>
      </c>
      <c r="L124" s="0" t="s">
        <v>2277</v>
      </c>
      <c r="O124" s="14"/>
      <c r="P124" s="15"/>
    </row>
    <row r="125" customFormat="false" ht="15" hidden="false" customHeight="true" outlineLevel="0" collapsed="false">
      <c r="A125" s="0" t="n">
        <v>2</v>
      </c>
      <c r="B125" s="0" t="n">
        <v>51542</v>
      </c>
      <c r="C125" s="0" t="s">
        <v>52</v>
      </c>
      <c r="D125" s="0" t="s">
        <v>2334</v>
      </c>
      <c r="E125" s="14" t="n">
        <v>46186</v>
      </c>
      <c r="F125" s="14" t="n">
        <v>46185</v>
      </c>
      <c r="G125" s="0" t="s">
        <v>487</v>
      </c>
      <c r="H125" s="0" t="n">
        <v>1244029</v>
      </c>
      <c r="I125" s="0" t="n">
        <v>1</v>
      </c>
      <c r="J125" s="0" t="s">
        <v>2276</v>
      </c>
      <c r="K125" s="15" t="n">
        <v>246.96</v>
      </c>
      <c r="L125" s="0" t="s">
        <v>2277</v>
      </c>
      <c r="O125" s="14"/>
      <c r="P125" s="15"/>
    </row>
    <row r="126" customFormat="false" ht="15" hidden="false" customHeight="true" outlineLevel="0" collapsed="false">
      <c r="A126" s="0" t="n">
        <v>2</v>
      </c>
      <c r="B126" s="0" t="n">
        <v>563269</v>
      </c>
      <c r="C126" s="0" t="s">
        <v>2316</v>
      </c>
      <c r="D126" s="0" t="s">
        <v>2317</v>
      </c>
      <c r="E126" s="14" t="n">
        <v>46186</v>
      </c>
      <c r="F126" s="14" t="n">
        <v>46183</v>
      </c>
      <c r="G126" s="0" t="s">
        <v>266</v>
      </c>
      <c r="H126" s="0" t="n">
        <v>1244689</v>
      </c>
      <c r="I126" s="0" t="n">
        <v>1</v>
      </c>
      <c r="J126" s="0" t="s">
        <v>2276</v>
      </c>
      <c r="K126" s="15" t="n">
        <v>3138.67</v>
      </c>
      <c r="L126" s="0" t="s">
        <v>2277</v>
      </c>
      <c r="O126" s="14"/>
      <c r="P126" s="15"/>
    </row>
    <row r="127" customFormat="false" ht="15" hidden="false" customHeight="true" outlineLevel="0" collapsed="false">
      <c r="A127" s="0" t="n">
        <v>2</v>
      </c>
      <c r="B127" s="0" t="n">
        <v>10</v>
      </c>
      <c r="C127" s="0" t="s">
        <v>67</v>
      </c>
      <c r="D127" s="0" t="s">
        <v>2335</v>
      </c>
      <c r="E127" s="14" t="n">
        <v>46188</v>
      </c>
      <c r="F127" s="14" t="n">
        <v>46178</v>
      </c>
      <c r="G127" s="0" t="s">
        <v>2336</v>
      </c>
      <c r="H127" s="0" t="n">
        <v>1255758</v>
      </c>
      <c r="I127" s="0" t="n">
        <v>11</v>
      </c>
      <c r="J127" s="0" t="s">
        <v>2276</v>
      </c>
      <c r="K127" s="15" t="n">
        <v>503</v>
      </c>
      <c r="L127" s="0" t="s">
        <v>2277</v>
      </c>
      <c r="O127" s="14"/>
      <c r="P127" s="15"/>
    </row>
    <row r="128" customFormat="false" ht="15" hidden="false" customHeight="true" outlineLevel="0" collapsed="false">
      <c r="A128" s="0" t="n">
        <v>2</v>
      </c>
      <c r="B128" s="0" t="n">
        <v>1415346</v>
      </c>
      <c r="C128" s="0" t="s">
        <v>52</v>
      </c>
      <c r="D128" s="0" t="s">
        <v>2331</v>
      </c>
      <c r="E128" s="14" t="n">
        <v>46188</v>
      </c>
      <c r="F128" s="14" t="n">
        <v>46184</v>
      </c>
      <c r="G128" s="0" t="s">
        <v>464</v>
      </c>
      <c r="H128" s="0" t="n">
        <v>1255566</v>
      </c>
      <c r="I128" s="0" t="n">
        <v>11</v>
      </c>
      <c r="J128" s="0" t="s">
        <v>2276</v>
      </c>
      <c r="K128" s="15" t="n">
        <v>33.84</v>
      </c>
      <c r="L128" s="0" t="s">
        <v>2277</v>
      </c>
      <c r="O128" s="14"/>
      <c r="P128" s="15"/>
    </row>
    <row r="129" customFormat="false" ht="15" hidden="false" customHeight="true" outlineLevel="0" collapsed="false">
      <c r="A129" s="0" t="n">
        <v>2</v>
      </c>
      <c r="B129" s="0" t="n">
        <v>1415347</v>
      </c>
      <c r="C129" s="0" t="s">
        <v>52</v>
      </c>
      <c r="D129" s="0" t="s">
        <v>2331</v>
      </c>
      <c r="E129" s="14" t="n">
        <v>46188</v>
      </c>
      <c r="F129" s="14" t="n">
        <v>46184</v>
      </c>
      <c r="G129" s="0" t="s">
        <v>464</v>
      </c>
      <c r="H129" s="0" t="n">
        <v>1255613</v>
      </c>
      <c r="I129" s="0" t="n">
        <v>11</v>
      </c>
      <c r="J129" s="0" t="s">
        <v>2276</v>
      </c>
      <c r="K129" s="15" t="n">
        <v>98.61</v>
      </c>
      <c r="L129" s="0" t="s">
        <v>2277</v>
      </c>
      <c r="O129" s="14"/>
      <c r="P129" s="15"/>
    </row>
    <row r="130" customFormat="false" ht="15" hidden="false" customHeight="true" outlineLevel="0" collapsed="false">
      <c r="A130" s="0" t="n">
        <v>2</v>
      </c>
      <c r="B130" s="0" t="n">
        <v>1415529</v>
      </c>
      <c r="C130" s="0" t="s">
        <v>52</v>
      </c>
      <c r="D130" s="0" t="s">
        <v>2331</v>
      </c>
      <c r="E130" s="14" t="n">
        <v>46188</v>
      </c>
      <c r="F130" s="14" t="n">
        <v>46184</v>
      </c>
      <c r="G130" s="0" t="s">
        <v>464</v>
      </c>
      <c r="H130" s="0" t="n">
        <v>1255250</v>
      </c>
      <c r="I130" s="0" t="n">
        <v>1</v>
      </c>
      <c r="J130" s="0" t="s">
        <v>2276</v>
      </c>
      <c r="K130" s="15" t="n">
        <v>4498.56</v>
      </c>
      <c r="L130" s="0" t="s">
        <v>2277</v>
      </c>
      <c r="O130" s="14"/>
      <c r="P130" s="15"/>
    </row>
    <row r="131" customFormat="false" ht="15" hidden="false" customHeight="true" outlineLevel="0" collapsed="false">
      <c r="A131" s="0" t="n">
        <v>2</v>
      </c>
      <c r="B131" s="0" t="n">
        <v>1416973</v>
      </c>
      <c r="C131" s="0" t="s">
        <v>52</v>
      </c>
      <c r="D131" s="0" t="s">
        <v>2331</v>
      </c>
      <c r="E131" s="14" t="n">
        <v>46188</v>
      </c>
      <c r="F131" s="14" t="n">
        <v>46188</v>
      </c>
      <c r="G131" s="0" t="s">
        <v>464</v>
      </c>
      <c r="H131" s="0" t="n">
        <v>1257189</v>
      </c>
      <c r="I131" s="0" t="n">
        <v>1</v>
      </c>
      <c r="J131" s="0" t="s">
        <v>2276</v>
      </c>
      <c r="K131" s="15" t="n">
        <v>1537.8</v>
      </c>
      <c r="L131" s="0" t="s">
        <v>2277</v>
      </c>
      <c r="O131" s="14"/>
      <c r="P131" s="15"/>
    </row>
    <row r="132" customFormat="false" ht="15" hidden="false" customHeight="true" outlineLevel="0" collapsed="false">
      <c r="A132" s="0" t="n">
        <v>2</v>
      </c>
      <c r="B132" s="0" t="n">
        <v>1417149</v>
      </c>
      <c r="C132" s="0" t="s">
        <v>52</v>
      </c>
      <c r="D132" s="0" t="s">
        <v>2331</v>
      </c>
      <c r="E132" s="14" t="n">
        <v>46188</v>
      </c>
      <c r="F132" s="14" t="n">
        <v>46188</v>
      </c>
      <c r="G132" s="0" t="s">
        <v>464</v>
      </c>
      <c r="H132" s="0" t="n">
        <v>1257210</v>
      </c>
      <c r="I132" s="0" t="n">
        <v>11</v>
      </c>
      <c r="J132" s="0" t="s">
        <v>2276</v>
      </c>
      <c r="K132" s="15" t="n">
        <v>27.07</v>
      </c>
      <c r="L132" s="0" t="s">
        <v>2277</v>
      </c>
      <c r="O132" s="14"/>
      <c r="P132" s="15"/>
    </row>
    <row r="133" customFormat="false" ht="15" hidden="false" customHeight="true" outlineLevel="0" collapsed="false">
      <c r="A133" s="0" t="n">
        <v>2</v>
      </c>
      <c r="B133" s="0" t="n">
        <v>15626</v>
      </c>
      <c r="C133" s="0" t="s">
        <v>52</v>
      </c>
      <c r="D133" s="0" t="s">
        <v>2288</v>
      </c>
      <c r="E133" s="14" t="n">
        <v>46188</v>
      </c>
      <c r="F133" s="14" t="n">
        <v>46188</v>
      </c>
      <c r="G133" s="0" t="s">
        <v>153</v>
      </c>
      <c r="H133" s="0" t="n">
        <v>1255530</v>
      </c>
      <c r="I133" s="0" t="n">
        <v>2</v>
      </c>
      <c r="J133" s="0" t="s">
        <v>2276</v>
      </c>
      <c r="K133" s="15" t="n">
        <v>210</v>
      </c>
      <c r="L133" s="0" t="s">
        <v>2277</v>
      </c>
      <c r="O133" s="14"/>
      <c r="P133" s="15"/>
    </row>
    <row r="134" customFormat="false" ht="15" hidden="false" customHeight="true" outlineLevel="0" collapsed="false">
      <c r="A134" s="0" t="n">
        <v>2</v>
      </c>
      <c r="B134" s="0" t="n">
        <v>1631512</v>
      </c>
      <c r="C134" s="0" t="s">
        <v>2280</v>
      </c>
      <c r="D134" s="0" t="s">
        <v>2281</v>
      </c>
      <c r="E134" s="14" t="n">
        <v>46188</v>
      </c>
      <c r="F134" s="14" t="n">
        <v>46186</v>
      </c>
      <c r="G134" s="0" t="s">
        <v>406</v>
      </c>
      <c r="H134" s="0" t="n">
        <v>1255081</v>
      </c>
      <c r="I134" s="0" t="n">
        <v>1</v>
      </c>
      <c r="J134" s="0" t="s">
        <v>2276</v>
      </c>
      <c r="K134" s="15" t="n">
        <v>161</v>
      </c>
      <c r="L134" s="0" t="s">
        <v>2277</v>
      </c>
      <c r="O134" s="14"/>
      <c r="P134" s="15"/>
    </row>
    <row r="135" customFormat="false" ht="15" hidden="false" customHeight="true" outlineLevel="0" collapsed="false">
      <c r="A135" s="0" t="n">
        <v>2</v>
      </c>
      <c r="B135" s="0" t="n">
        <v>1631944</v>
      </c>
      <c r="C135" s="0" t="s">
        <v>2280</v>
      </c>
      <c r="D135" s="0" t="s">
        <v>2281</v>
      </c>
      <c r="E135" s="14" t="n">
        <v>46188</v>
      </c>
      <c r="F135" s="14" t="n">
        <v>46188</v>
      </c>
      <c r="G135" s="0" t="s">
        <v>406</v>
      </c>
      <c r="H135" s="0" t="n">
        <v>1257021</v>
      </c>
      <c r="I135" s="0" t="n">
        <v>1</v>
      </c>
      <c r="J135" s="0" t="s">
        <v>2276</v>
      </c>
      <c r="K135" s="15" t="n">
        <v>86</v>
      </c>
      <c r="L135" s="0" t="s">
        <v>2277</v>
      </c>
      <c r="O135" s="14"/>
      <c r="P135" s="15"/>
    </row>
    <row r="136" customFormat="false" ht="15" hidden="false" customHeight="true" outlineLevel="0" collapsed="false">
      <c r="A136" s="0" t="n">
        <v>2</v>
      </c>
      <c r="B136" s="0" t="n">
        <v>171507</v>
      </c>
      <c r="C136" s="0" t="s">
        <v>52</v>
      </c>
      <c r="D136" s="0" t="s">
        <v>2293</v>
      </c>
      <c r="E136" s="14" t="n">
        <v>46188</v>
      </c>
      <c r="F136" s="14" t="n">
        <v>46186</v>
      </c>
      <c r="G136" s="0" t="s">
        <v>371</v>
      </c>
      <c r="H136" s="0" t="n">
        <v>1257108</v>
      </c>
      <c r="I136" s="0" t="n">
        <v>1</v>
      </c>
      <c r="J136" s="0" t="s">
        <v>2276</v>
      </c>
      <c r="K136" s="15" t="n">
        <v>4757.6</v>
      </c>
      <c r="L136" s="0" t="s">
        <v>2277</v>
      </c>
      <c r="O136" s="14"/>
      <c r="P136" s="15"/>
    </row>
    <row r="137" customFormat="false" ht="15" hidden="false" customHeight="true" outlineLevel="0" collapsed="false">
      <c r="A137" s="0" t="n">
        <v>2</v>
      </c>
      <c r="B137" s="0" t="n">
        <v>1771887</v>
      </c>
      <c r="C137" s="0" t="s">
        <v>2337</v>
      </c>
      <c r="D137" s="0" t="s">
        <v>2338</v>
      </c>
      <c r="E137" s="14" t="n">
        <v>46188</v>
      </c>
      <c r="F137" s="14" t="n">
        <v>46184</v>
      </c>
      <c r="G137" s="0" t="s">
        <v>178</v>
      </c>
      <c r="H137" s="0" t="n">
        <v>1255460</v>
      </c>
      <c r="I137" s="0" t="n">
        <v>1</v>
      </c>
      <c r="J137" s="0" t="s">
        <v>2276</v>
      </c>
      <c r="K137" s="15" t="n">
        <v>1839.99</v>
      </c>
      <c r="L137" s="0" t="s">
        <v>2277</v>
      </c>
      <c r="O137" s="14"/>
      <c r="P137" s="15"/>
    </row>
    <row r="138" customFormat="false" ht="15" hidden="false" customHeight="true" outlineLevel="0" collapsed="false">
      <c r="A138" s="0" t="n">
        <v>2</v>
      </c>
      <c r="B138" s="0" t="n">
        <v>2316</v>
      </c>
      <c r="C138" s="0" t="s">
        <v>52</v>
      </c>
      <c r="D138" s="0" t="s">
        <v>2339</v>
      </c>
      <c r="E138" s="14" t="n">
        <v>46188</v>
      </c>
      <c r="F138" s="14" t="n">
        <v>46178</v>
      </c>
      <c r="G138" s="0" t="s">
        <v>687</v>
      </c>
      <c r="H138" s="0" t="n">
        <v>1255668</v>
      </c>
      <c r="I138" s="0" t="n">
        <v>11</v>
      </c>
      <c r="J138" s="0" t="s">
        <v>2276</v>
      </c>
      <c r="K138" s="15" t="n">
        <v>1195</v>
      </c>
      <c r="L138" s="0" t="s">
        <v>2277</v>
      </c>
      <c r="O138" s="14"/>
      <c r="P138" s="15"/>
    </row>
    <row r="139" customFormat="false" ht="15" hidden="false" customHeight="true" outlineLevel="0" collapsed="false">
      <c r="A139" s="0" t="n">
        <v>2</v>
      </c>
      <c r="B139" s="0" t="n">
        <v>2496</v>
      </c>
      <c r="C139" s="0" t="s">
        <v>52</v>
      </c>
      <c r="D139" s="0" t="s">
        <v>2288</v>
      </c>
      <c r="E139" s="14" t="n">
        <v>46188</v>
      </c>
      <c r="F139" s="14" t="n">
        <v>46188</v>
      </c>
      <c r="G139" s="0" t="s">
        <v>153</v>
      </c>
      <c r="H139" s="0" t="n">
        <v>1255540</v>
      </c>
      <c r="I139" s="0" t="n">
        <v>6</v>
      </c>
      <c r="J139" s="0" t="s">
        <v>2276</v>
      </c>
      <c r="K139" s="15" t="n">
        <v>210</v>
      </c>
      <c r="L139" s="0" t="s">
        <v>2277</v>
      </c>
      <c r="O139" s="14"/>
      <c r="P139" s="15"/>
    </row>
    <row r="140" customFormat="false" ht="15" hidden="false" customHeight="true" outlineLevel="0" collapsed="false">
      <c r="A140" s="0" t="n">
        <v>2</v>
      </c>
      <c r="B140" s="0" t="n">
        <v>854255</v>
      </c>
      <c r="C140" s="0" t="s">
        <v>2340</v>
      </c>
      <c r="D140" s="0" t="s">
        <v>2341</v>
      </c>
      <c r="E140" s="14" t="n">
        <v>46188</v>
      </c>
      <c r="F140" s="14" t="n">
        <v>46184</v>
      </c>
      <c r="G140" s="0" t="s">
        <v>232</v>
      </c>
      <c r="H140" s="0" t="n">
        <v>1257356</v>
      </c>
      <c r="I140" s="0" t="n">
        <v>1</v>
      </c>
      <c r="J140" s="0" t="s">
        <v>2276</v>
      </c>
      <c r="K140" s="15" t="n">
        <v>4705.7</v>
      </c>
      <c r="L140" s="0" t="s">
        <v>2277</v>
      </c>
      <c r="O140" s="14"/>
      <c r="P140" s="15"/>
    </row>
    <row r="141" customFormat="false" ht="15" hidden="false" customHeight="true" outlineLevel="0" collapsed="false">
      <c r="A141" s="0" t="n">
        <v>2</v>
      </c>
      <c r="B141" s="0" t="n">
        <v>878392</v>
      </c>
      <c r="C141" s="0" t="s">
        <v>52</v>
      </c>
      <c r="D141" s="0" t="s">
        <v>2342</v>
      </c>
      <c r="E141" s="14" t="n">
        <v>46188</v>
      </c>
      <c r="F141" s="14" t="n">
        <v>46184</v>
      </c>
      <c r="G141" s="0" t="s">
        <v>214</v>
      </c>
      <c r="H141" s="0" t="n">
        <v>1255113</v>
      </c>
      <c r="I141" s="0" t="n">
        <v>1</v>
      </c>
      <c r="J141" s="0" t="s">
        <v>2276</v>
      </c>
      <c r="K141" s="15" t="n">
        <v>2373.94</v>
      </c>
      <c r="L141" s="0" t="s">
        <v>2277</v>
      </c>
      <c r="O141" s="14"/>
      <c r="P141" s="15"/>
    </row>
    <row r="142" customFormat="false" ht="15" hidden="false" customHeight="true" outlineLevel="0" collapsed="false">
      <c r="A142" s="0" t="n">
        <v>2</v>
      </c>
      <c r="B142" s="0" t="n">
        <v>878758</v>
      </c>
      <c r="C142" s="0" t="s">
        <v>52</v>
      </c>
      <c r="D142" s="0" t="s">
        <v>2342</v>
      </c>
      <c r="E142" s="14" t="n">
        <v>46188</v>
      </c>
      <c r="F142" s="14" t="n">
        <v>46185</v>
      </c>
      <c r="G142" s="0" t="s">
        <v>214</v>
      </c>
      <c r="H142" s="0" t="n">
        <v>1257254</v>
      </c>
      <c r="I142" s="0" t="n">
        <v>1</v>
      </c>
      <c r="J142" s="0" t="s">
        <v>2276</v>
      </c>
      <c r="K142" s="15" t="n">
        <v>1767.24</v>
      </c>
      <c r="L142" s="0" t="s">
        <v>2277</v>
      </c>
      <c r="O142" s="14"/>
      <c r="P142" s="15"/>
    </row>
    <row r="143" customFormat="false" ht="15" hidden="false" customHeight="true" outlineLevel="0" collapsed="false">
      <c r="A143" s="0" t="n">
        <v>2</v>
      </c>
      <c r="B143" s="0" t="n">
        <v>102727</v>
      </c>
      <c r="C143" s="0" t="s">
        <v>89</v>
      </c>
      <c r="D143" s="0" t="s">
        <v>2343</v>
      </c>
      <c r="E143" s="14" t="n">
        <v>46189</v>
      </c>
      <c r="F143" s="14" t="n">
        <v>46188</v>
      </c>
      <c r="G143" s="0" t="s">
        <v>668</v>
      </c>
      <c r="H143" s="0" t="n">
        <v>1260463</v>
      </c>
      <c r="I143" s="0" t="n">
        <v>1</v>
      </c>
      <c r="J143" s="0" t="s">
        <v>2276</v>
      </c>
      <c r="K143" s="15" t="n">
        <v>720.48</v>
      </c>
      <c r="L143" s="0" t="s">
        <v>2277</v>
      </c>
      <c r="O143" s="14"/>
      <c r="P143" s="15"/>
    </row>
    <row r="144" customFormat="false" ht="15" hidden="false" customHeight="true" outlineLevel="0" collapsed="false">
      <c r="A144" s="0" t="n">
        <v>2</v>
      </c>
      <c r="B144" s="0" t="n">
        <v>1161721</v>
      </c>
      <c r="C144" s="0" t="s">
        <v>80</v>
      </c>
      <c r="D144" s="0" t="s">
        <v>2275</v>
      </c>
      <c r="E144" s="14" t="n">
        <v>46189</v>
      </c>
      <c r="F144" s="14" t="n">
        <v>46185</v>
      </c>
      <c r="G144" s="0" t="s">
        <v>130</v>
      </c>
      <c r="H144" s="0" t="n">
        <v>1261517</v>
      </c>
      <c r="I144" s="0" t="n">
        <v>11</v>
      </c>
      <c r="J144" s="0" t="s">
        <v>2276</v>
      </c>
      <c r="K144" s="15" t="n">
        <v>1009.81</v>
      </c>
      <c r="L144" s="0" t="s">
        <v>2277</v>
      </c>
      <c r="O144" s="14"/>
      <c r="P144" s="15"/>
    </row>
    <row r="145" customFormat="false" ht="15" hidden="false" customHeight="true" outlineLevel="0" collapsed="false">
      <c r="A145" s="0" t="n">
        <v>2</v>
      </c>
      <c r="B145" s="0" t="n">
        <v>1161723</v>
      </c>
      <c r="C145" s="0" t="s">
        <v>80</v>
      </c>
      <c r="D145" s="0" t="s">
        <v>2275</v>
      </c>
      <c r="E145" s="14" t="n">
        <v>46189</v>
      </c>
      <c r="F145" s="14" t="n">
        <v>46185</v>
      </c>
      <c r="G145" s="0" t="s">
        <v>130</v>
      </c>
      <c r="H145" s="0" t="n">
        <v>1261488</v>
      </c>
      <c r="I145" s="0" t="n">
        <v>1</v>
      </c>
      <c r="J145" s="0" t="s">
        <v>2276</v>
      </c>
      <c r="K145" s="15" t="n">
        <v>203.42</v>
      </c>
      <c r="L145" s="0" t="s">
        <v>2277</v>
      </c>
      <c r="O145" s="14"/>
      <c r="P145" s="15"/>
    </row>
    <row r="146" customFormat="false" ht="15" hidden="false" customHeight="true" outlineLevel="0" collapsed="false">
      <c r="A146" s="0" t="n">
        <v>2</v>
      </c>
      <c r="B146" s="0" t="n">
        <v>1162362</v>
      </c>
      <c r="C146" s="0" t="s">
        <v>80</v>
      </c>
      <c r="D146" s="0" t="s">
        <v>2275</v>
      </c>
      <c r="E146" s="14" t="n">
        <v>46189</v>
      </c>
      <c r="F146" s="14" t="n">
        <v>46185</v>
      </c>
      <c r="G146" s="0" t="s">
        <v>130</v>
      </c>
      <c r="H146" s="0" t="n">
        <v>1261495</v>
      </c>
      <c r="I146" s="0" t="n">
        <v>1</v>
      </c>
      <c r="J146" s="0" t="s">
        <v>2276</v>
      </c>
      <c r="K146" s="15" t="n">
        <v>639.86</v>
      </c>
      <c r="L146" s="0" t="s">
        <v>2277</v>
      </c>
      <c r="O146" s="14"/>
      <c r="P146" s="15"/>
    </row>
    <row r="147" customFormat="false" ht="15" hidden="false" customHeight="true" outlineLevel="0" collapsed="false">
      <c r="A147" s="0" t="n">
        <v>2</v>
      </c>
      <c r="B147" s="0" t="n">
        <v>1662026</v>
      </c>
      <c r="C147" s="0" t="s">
        <v>52</v>
      </c>
      <c r="D147" s="0" t="s">
        <v>2288</v>
      </c>
      <c r="E147" s="14" t="n">
        <v>46189</v>
      </c>
      <c r="F147" s="14" t="n">
        <v>46189</v>
      </c>
      <c r="G147" s="0" t="s">
        <v>153</v>
      </c>
      <c r="H147" s="0" t="n">
        <v>1261929</v>
      </c>
      <c r="I147" s="0" t="n">
        <v>2</v>
      </c>
      <c r="J147" s="0" t="s">
        <v>2276</v>
      </c>
      <c r="K147" s="15" t="n">
        <v>1513.16</v>
      </c>
      <c r="L147" s="0" t="s">
        <v>2277</v>
      </c>
      <c r="O147" s="14"/>
      <c r="P147" s="15"/>
    </row>
    <row r="148" customFormat="false" ht="15" hidden="false" customHeight="true" outlineLevel="0" collapsed="false">
      <c r="A148" s="0" t="n">
        <v>2</v>
      </c>
      <c r="B148" s="0" t="n">
        <v>1880950</v>
      </c>
      <c r="C148" s="0" t="s">
        <v>36</v>
      </c>
      <c r="D148" s="0" t="s">
        <v>2275</v>
      </c>
      <c r="E148" s="14" t="n">
        <v>46189</v>
      </c>
      <c r="F148" s="14" t="n">
        <v>46185</v>
      </c>
      <c r="G148" s="0" t="s">
        <v>130</v>
      </c>
      <c r="H148" s="0" t="n">
        <v>1261504</v>
      </c>
      <c r="I148" s="0" t="n">
        <v>1</v>
      </c>
      <c r="J148" s="0" t="s">
        <v>2276</v>
      </c>
      <c r="K148" s="15" t="n">
        <v>2177.76</v>
      </c>
      <c r="L148" s="0" t="s">
        <v>2277</v>
      </c>
      <c r="O148" s="14"/>
      <c r="P148" s="15"/>
    </row>
    <row r="149" customFormat="false" ht="15" hidden="false" customHeight="true" outlineLevel="0" collapsed="false">
      <c r="A149" s="0" t="n">
        <v>2</v>
      </c>
      <c r="B149" s="0" t="n">
        <v>18964</v>
      </c>
      <c r="C149" s="0" t="s">
        <v>52</v>
      </c>
      <c r="D149" s="0" t="s">
        <v>2344</v>
      </c>
      <c r="E149" s="14" t="n">
        <v>46189</v>
      </c>
      <c r="F149" s="14" t="n">
        <v>46139</v>
      </c>
      <c r="G149" s="0" t="s">
        <v>2345</v>
      </c>
      <c r="H149" s="0" t="n">
        <v>1261588</v>
      </c>
      <c r="I149" s="0" t="n">
        <v>39</v>
      </c>
      <c r="J149" s="0" t="s">
        <v>2276</v>
      </c>
      <c r="K149" s="15" t="n">
        <v>545</v>
      </c>
      <c r="L149" s="0" t="s">
        <v>2346</v>
      </c>
      <c r="O149" s="14"/>
      <c r="P149" s="15"/>
    </row>
    <row r="150" customFormat="false" ht="15" hidden="false" customHeight="true" outlineLevel="0" collapsed="false">
      <c r="A150" s="0" t="n">
        <v>2</v>
      </c>
      <c r="B150" s="0" t="n">
        <v>20499</v>
      </c>
      <c r="C150" s="0" t="s">
        <v>89</v>
      </c>
      <c r="D150" s="0" t="s">
        <v>2347</v>
      </c>
      <c r="E150" s="14" t="n">
        <v>46189</v>
      </c>
      <c r="F150" s="14" t="n">
        <v>46186</v>
      </c>
      <c r="G150" s="0" t="s">
        <v>628</v>
      </c>
      <c r="H150" s="0" t="n">
        <v>1261052</v>
      </c>
      <c r="I150" s="0" t="n">
        <v>1</v>
      </c>
      <c r="J150" s="0" t="s">
        <v>2276</v>
      </c>
      <c r="K150" s="15" t="n">
        <v>6357.12</v>
      </c>
      <c r="L150" s="0" t="s">
        <v>2277</v>
      </c>
      <c r="O150" s="14"/>
      <c r="P150" s="15"/>
    </row>
    <row r="151" customFormat="false" ht="15" hidden="false" customHeight="true" outlineLevel="0" collapsed="false">
      <c r="A151" s="0" t="n">
        <v>2</v>
      </c>
      <c r="B151" s="0" t="n">
        <v>2499</v>
      </c>
      <c r="C151" s="0" t="s">
        <v>52</v>
      </c>
      <c r="D151" s="0" t="s">
        <v>2288</v>
      </c>
      <c r="E151" s="14" t="n">
        <v>46189</v>
      </c>
      <c r="F151" s="14" t="n">
        <v>46189</v>
      </c>
      <c r="G151" s="0" t="s">
        <v>153</v>
      </c>
      <c r="H151" s="0" t="n">
        <v>1261940</v>
      </c>
      <c r="I151" s="0" t="n">
        <v>6</v>
      </c>
      <c r="J151" s="0" t="s">
        <v>2276</v>
      </c>
      <c r="K151" s="15" t="n">
        <v>1513.16</v>
      </c>
      <c r="L151" s="0" t="s">
        <v>2277</v>
      </c>
      <c r="O151" s="14"/>
      <c r="P151" s="15"/>
    </row>
    <row r="152" customFormat="false" ht="15" hidden="false" customHeight="true" outlineLevel="0" collapsed="false">
      <c r="A152" s="0" t="n">
        <v>2</v>
      </c>
      <c r="B152" s="0" t="n">
        <v>260896</v>
      </c>
      <c r="C152" s="0" t="s">
        <v>52</v>
      </c>
      <c r="D152" s="0" t="s">
        <v>2348</v>
      </c>
      <c r="E152" s="14" t="n">
        <v>46189</v>
      </c>
      <c r="F152" s="14" t="n">
        <v>46183</v>
      </c>
      <c r="G152" s="0" t="s">
        <v>275</v>
      </c>
      <c r="H152" s="0" t="n">
        <v>1260710</v>
      </c>
      <c r="I152" s="0" t="n">
        <v>1</v>
      </c>
      <c r="J152" s="0" t="s">
        <v>2276</v>
      </c>
      <c r="K152" s="15" t="n">
        <v>482.36</v>
      </c>
      <c r="L152" s="0" t="s">
        <v>2277</v>
      </c>
      <c r="O152" s="14"/>
      <c r="P152" s="15"/>
    </row>
    <row r="153" customFormat="false" ht="15" hidden="false" customHeight="true" outlineLevel="0" collapsed="false">
      <c r="A153" s="0" t="n">
        <v>2</v>
      </c>
      <c r="B153" s="0" t="n">
        <v>3183807</v>
      </c>
      <c r="C153" s="0" t="s">
        <v>52</v>
      </c>
      <c r="D153" s="0" t="s">
        <v>2324</v>
      </c>
      <c r="E153" s="14" t="n">
        <v>46189</v>
      </c>
      <c r="F153" s="14" t="n">
        <v>46142</v>
      </c>
      <c r="G153" s="0" t="s">
        <v>61</v>
      </c>
      <c r="H153" s="0" t="n">
        <v>1260789</v>
      </c>
      <c r="I153" s="0" t="n">
        <v>11</v>
      </c>
      <c r="J153" s="0" t="s">
        <v>2276</v>
      </c>
      <c r="K153" s="15" t="n">
        <v>14.13</v>
      </c>
      <c r="L153" s="0" t="s">
        <v>2277</v>
      </c>
      <c r="O153" s="14"/>
      <c r="P153" s="15"/>
    </row>
    <row r="154" customFormat="false" ht="15" hidden="false" customHeight="true" outlineLevel="0" collapsed="false">
      <c r="A154" s="0" t="n">
        <v>2</v>
      </c>
      <c r="B154" s="0" t="n">
        <v>3202460</v>
      </c>
      <c r="C154" s="0" t="s">
        <v>52</v>
      </c>
      <c r="D154" s="0" t="s">
        <v>2324</v>
      </c>
      <c r="E154" s="14" t="n">
        <v>46189</v>
      </c>
      <c r="F154" s="14" t="n">
        <v>46185</v>
      </c>
      <c r="G154" s="0" t="s">
        <v>61</v>
      </c>
      <c r="H154" s="0" t="n">
        <v>1260856</v>
      </c>
      <c r="I154" s="0" t="n">
        <v>11</v>
      </c>
      <c r="J154" s="0" t="s">
        <v>2276</v>
      </c>
      <c r="K154" s="15" t="n">
        <v>1923.44</v>
      </c>
      <c r="L154" s="0" t="s">
        <v>2277</v>
      </c>
      <c r="O154" s="14"/>
      <c r="P154" s="15"/>
    </row>
    <row r="155" customFormat="false" ht="15" hidden="false" customHeight="true" outlineLevel="0" collapsed="false">
      <c r="A155" s="0" t="n">
        <v>2</v>
      </c>
      <c r="B155" s="0" t="n">
        <v>35695</v>
      </c>
      <c r="C155" s="0" t="s">
        <v>52</v>
      </c>
      <c r="D155" s="0" t="s">
        <v>2349</v>
      </c>
      <c r="E155" s="14" t="n">
        <v>46189</v>
      </c>
      <c r="F155" s="14" t="n">
        <v>46142</v>
      </c>
      <c r="G155" s="0" t="s">
        <v>2350</v>
      </c>
      <c r="H155" s="0" t="n">
        <v>1261842</v>
      </c>
      <c r="I155" s="0" t="n">
        <v>39</v>
      </c>
      <c r="J155" s="0" t="s">
        <v>2276</v>
      </c>
      <c r="K155" s="15" t="n">
        <v>13.1</v>
      </c>
      <c r="L155" s="0" t="s">
        <v>2346</v>
      </c>
      <c r="O155" s="14"/>
      <c r="P155" s="15"/>
    </row>
    <row r="156" customFormat="false" ht="15" hidden="false" customHeight="true" outlineLevel="0" collapsed="false">
      <c r="A156" s="0" t="n">
        <v>2</v>
      </c>
      <c r="B156" s="0" t="n">
        <v>3777</v>
      </c>
      <c r="C156" s="0" t="s">
        <v>52</v>
      </c>
      <c r="D156" s="0" t="s">
        <v>2290</v>
      </c>
      <c r="E156" s="14" t="n">
        <v>46189</v>
      </c>
      <c r="F156" s="14" t="n">
        <v>46188</v>
      </c>
      <c r="G156" s="0" t="s">
        <v>95</v>
      </c>
      <c r="H156" s="0" t="n">
        <v>1261465</v>
      </c>
      <c r="I156" s="0" t="n">
        <v>1</v>
      </c>
      <c r="J156" s="0" t="s">
        <v>2276</v>
      </c>
      <c r="K156" s="15" t="n">
        <v>185.2</v>
      </c>
      <c r="L156" s="0" t="s">
        <v>2277</v>
      </c>
      <c r="O156" s="14"/>
      <c r="P156" s="15"/>
    </row>
    <row r="157" customFormat="false" ht="15" hidden="false" customHeight="true" outlineLevel="0" collapsed="false">
      <c r="A157" s="0" t="n">
        <v>2</v>
      </c>
      <c r="B157" s="0" t="n">
        <v>394</v>
      </c>
      <c r="C157" s="0" t="s">
        <v>67</v>
      </c>
      <c r="D157" s="0" t="s">
        <v>2351</v>
      </c>
      <c r="E157" s="14" t="n">
        <v>46189</v>
      </c>
      <c r="F157" s="14" t="n">
        <v>46136</v>
      </c>
      <c r="G157" s="0" t="s">
        <v>2352</v>
      </c>
      <c r="H157" s="0" t="n">
        <v>1261713</v>
      </c>
      <c r="I157" s="0" t="n">
        <v>11</v>
      </c>
      <c r="J157" s="0" t="s">
        <v>2276</v>
      </c>
      <c r="K157" s="15" t="n">
        <v>390</v>
      </c>
      <c r="L157" s="0" t="s">
        <v>2277</v>
      </c>
      <c r="O157" s="14"/>
      <c r="P157" s="15"/>
    </row>
    <row r="158" customFormat="false" ht="15" hidden="false" customHeight="true" outlineLevel="0" collapsed="false">
      <c r="A158" s="0" t="n">
        <v>2</v>
      </c>
      <c r="B158" s="0" t="n">
        <v>658429</v>
      </c>
      <c r="C158" s="0" t="s">
        <v>52</v>
      </c>
      <c r="D158" s="0" t="s">
        <v>2353</v>
      </c>
      <c r="E158" s="14" t="n">
        <v>46189</v>
      </c>
      <c r="F158" s="14" t="n">
        <v>46184</v>
      </c>
      <c r="G158" s="0" t="s">
        <v>351</v>
      </c>
      <c r="H158" s="0" t="n">
        <v>1261007</v>
      </c>
      <c r="I158" s="0" t="n">
        <v>1</v>
      </c>
      <c r="J158" s="0" t="s">
        <v>2276</v>
      </c>
      <c r="K158" s="15" t="n">
        <v>2201.6</v>
      </c>
      <c r="L158" s="0" t="s">
        <v>2277</v>
      </c>
      <c r="O158" s="14"/>
      <c r="P158" s="15"/>
    </row>
    <row r="159" customFormat="false" ht="15" hidden="false" customHeight="true" outlineLevel="0" collapsed="false">
      <c r="A159" s="0" t="n">
        <v>2</v>
      </c>
      <c r="B159" s="0" t="n">
        <v>132836</v>
      </c>
      <c r="C159" s="0" t="s">
        <v>52</v>
      </c>
      <c r="D159" s="0" t="s">
        <v>2354</v>
      </c>
      <c r="E159" s="14" t="n">
        <v>46190</v>
      </c>
      <c r="F159" s="14" t="n">
        <v>46189</v>
      </c>
      <c r="G159" s="0" t="s">
        <v>554</v>
      </c>
      <c r="H159" s="0" t="n">
        <v>1264865</v>
      </c>
      <c r="I159" s="0" t="n">
        <v>1</v>
      </c>
      <c r="J159" s="0" t="s">
        <v>2276</v>
      </c>
      <c r="K159" s="15" t="n">
        <v>194.4</v>
      </c>
      <c r="L159" s="0" t="s">
        <v>2277</v>
      </c>
      <c r="O159" s="14"/>
      <c r="P159" s="15"/>
    </row>
    <row r="160" customFormat="false" ht="15" hidden="false" customHeight="true" outlineLevel="0" collapsed="false">
      <c r="A160" s="0" t="n">
        <v>2</v>
      </c>
      <c r="B160" s="0" t="n">
        <v>1633308</v>
      </c>
      <c r="C160" s="0" t="s">
        <v>2280</v>
      </c>
      <c r="D160" s="0" t="s">
        <v>2281</v>
      </c>
      <c r="E160" s="14" t="n">
        <v>46190</v>
      </c>
      <c r="F160" s="14" t="n">
        <v>46190</v>
      </c>
      <c r="G160" s="0" t="s">
        <v>406</v>
      </c>
      <c r="H160" s="0" t="n">
        <v>1265907</v>
      </c>
      <c r="I160" s="0" t="n">
        <v>1</v>
      </c>
      <c r="J160" s="0" t="s">
        <v>2276</v>
      </c>
      <c r="K160" s="15" t="n">
        <v>190.5</v>
      </c>
      <c r="L160" s="0" t="s">
        <v>2277</v>
      </c>
      <c r="O160" s="14"/>
      <c r="P160" s="15"/>
    </row>
    <row r="161" customFormat="false" ht="15" hidden="false" customHeight="true" outlineLevel="0" collapsed="false">
      <c r="A161" s="0" t="n">
        <v>2</v>
      </c>
      <c r="B161" s="0" t="n">
        <v>17626</v>
      </c>
      <c r="C161" s="0" t="s">
        <v>52</v>
      </c>
      <c r="D161" s="0" t="s">
        <v>2288</v>
      </c>
      <c r="E161" s="14" t="n">
        <v>46190</v>
      </c>
      <c r="F161" s="14" t="n">
        <v>46190</v>
      </c>
      <c r="G161" s="0" t="s">
        <v>153</v>
      </c>
      <c r="H161" s="0" t="n">
        <v>1266169</v>
      </c>
      <c r="I161" s="0" t="n">
        <v>2</v>
      </c>
      <c r="J161" s="0" t="s">
        <v>2276</v>
      </c>
      <c r="K161" s="15" t="n">
        <v>210</v>
      </c>
      <c r="L161" s="0" t="s">
        <v>2277</v>
      </c>
      <c r="O161" s="14"/>
      <c r="P161" s="15"/>
    </row>
    <row r="162" customFormat="false" ht="15" hidden="false" customHeight="true" outlineLevel="0" collapsed="false">
      <c r="A162" s="0" t="n">
        <v>2</v>
      </c>
      <c r="B162" s="0" t="n">
        <v>1773</v>
      </c>
      <c r="C162" s="0" t="s">
        <v>67</v>
      </c>
      <c r="D162" s="0" t="s">
        <v>2332</v>
      </c>
      <c r="E162" s="14" t="n">
        <v>46190</v>
      </c>
      <c r="F162" s="14" t="n">
        <v>46189</v>
      </c>
      <c r="G162" s="0" t="s">
        <v>585</v>
      </c>
      <c r="H162" s="0" t="n">
        <v>1264875</v>
      </c>
      <c r="I162" s="0" t="n">
        <v>1</v>
      </c>
      <c r="J162" s="0" t="s">
        <v>2276</v>
      </c>
      <c r="K162" s="15" t="n">
        <v>1834</v>
      </c>
      <c r="L162" s="0" t="s">
        <v>2277</v>
      </c>
      <c r="O162" s="14"/>
      <c r="P162" s="15"/>
    </row>
    <row r="163" customFormat="false" ht="15" hidden="false" customHeight="true" outlineLevel="0" collapsed="false">
      <c r="A163" s="0" t="n">
        <v>2</v>
      </c>
      <c r="B163" s="0" t="n">
        <v>2500</v>
      </c>
      <c r="C163" s="0" t="s">
        <v>52</v>
      </c>
      <c r="D163" s="0" t="s">
        <v>2288</v>
      </c>
      <c r="E163" s="14" t="n">
        <v>46190</v>
      </c>
      <c r="F163" s="14" t="n">
        <v>46190</v>
      </c>
      <c r="G163" s="0" t="s">
        <v>153</v>
      </c>
      <c r="H163" s="0" t="n">
        <v>1266172</v>
      </c>
      <c r="I163" s="0" t="n">
        <v>6</v>
      </c>
      <c r="J163" s="0" t="s">
        <v>2276</v>
      </c>
      <c r="K163" s="15" t="n">
        <v>210</v>
      </c>
      <c r="L163" s="0" t="s">
        <v>2277</v>
      </c>
      <c r="O163" s="14"/>
      <c r="P163" s="15"/>
    </row>
    <row r="164" customFormat="false" ht="15" hidden="false" customHeight="true" outlineLevel="0" collapsed="false">
      <c r="A164" s="0" t="n">
        <v>2</v>
      </c>
      <c r="B164" s="0" t="n">
        <v>27994</v>
      </c>
      <c r="C164" s="0" t="s">
        <v>2355</v>
      </c>
      <c r="D164" s="0" t="s">
        <v>2356</v>
      </c>
      <c r="E164" s="14" t="n">
        <v>46190</v>
      </c>
      <c r="F164" s="14" t="n">
        <v>46189</v>
      </c>
      <c r="G164" s="0" t="s">
        <v>151</v>
      </c>
      <c r="H164" s="0" t="n">
        <v>1265426</v>
      </c>
      <c r="I164" s="0" t="n">
        <v>1</v>
      </c>
      <c r="J164" s="0" t="s">
        <v>2276</v>
      </c>
      <c r="K164" s="15" t="n">
        <v>212.4</v>
      </c>
      <c r="L164" s="0" t="s">
        <v>2277</v>
      </c>
      <c r="O164" s="14"/>
      <c r="P164" s="15"/>
    </row>
    <row r="165" customFormat="false" ht="15" hidden="false" customHeight="true" outlineLevel="0" collapsed="false">
      <c r="A165" s="0" t="n">
        <v>2</v>
      </c>
      <c r="B165" s="0" t="n">
        <v>304</v>
      </c>
      <c r="C165" s="0" t="s">
        <v>52</v>
      </c>
      <c r="D165" s="0" t="s">
        <v>2289</v>
      </c>
      <c r="E165" s="14" t="n">
        <v>46190</v>
      </c>
      <c r="F165" s="14" t="n">
        <v>46190</v>
      </c>
      <c r="G165" s="0" t="s">
        <v>216</v>
      </c>
      <c r="H165" s="0" t="n">
        <v>1266335</v>
      </c>
      <c r="I165" s="0" t="n">
        <v>1</v>
      </c>
      <c r="J165" s="0" t="s">
        <v>2276</v>
      </c>
      <c r="K165" s="15" t="n">
        <v>925</v>
      </c>
      <c r="L165" s="0" t="s">
        <v>2277</v>
      </c>
      <c r="O165" s="14"/>
      <c r="P165" s="15"/>
    </row>
    <row r="166" customFormat="false" ht="15" hidden="false" customHeight="true" outlineLevel="0" collapsed="false">
      <c r="A166" s="0" t="n">
        <v>2</v>
      </c>
      <c r="B166" s="0" t="n">
        <v>30415</v>
      </c>
      <c r="C166" s="0" t="s">
        <v>102</v>
      </c>
      <c r="D166" s="0" t="s">
        <v>2313</v>
      </c>
      <c r="E166" s="14" t="n">
        <v>46190</v>
      </c>
      <c r="F166" s="14" t="n">
        <v>46190</v>
      </c>
      <c r="G166" s="0" t="s">
        <v>268</v>
      </c>
      <c r="H166" s="0" t="n">
        <v>1265916</v>
      </c>
      <c r="I166" s="0" t="n">
        <v>11</v>
      </c>
      <c r="J166" s="0" t="s">
        <v>2276</v>
      </c>
      <c r="K166" s="15" t="n">
        <v>1103.76</v>
      </c>
      <c r="L166" s="0" t="s">
        <v>2277</v>
      </c>
      <c r="O166" s="14"/>
      <c r="P166" s="15"/>
    </row>
    <row r="167" customFormat="false" ht="15" hidden="false" customHeight="true" outlineLevel="0" collapsed="false">
      <c r="A167" s="0" t="n">
        <v>2</v>
      </c>
      <c r="B167" s="0" t="n">
        <v>3415</v>
      </c>
      <c r="C167" s="0" t="s">
        <v>52</v>
      </c>
      <c r="D167" s="0" t="s">
        <v>2282</v>
      </c>
      <c r="E167" s="14" t="n">
        <v>46190</v>
      </c>
      <c r="F167" s="14" t="n">
        <v>46190</v>
      </c>
      <c r="G167" s="0" t="s">
        <v>209</v>
      </c>
      <c r="H167" s="0" t="n">
        <v>1265699</v>
      </c>
      <c r="I167" s="0" t="n">
        <v>1</v>
      </c>
      <c r="J167" s="0" t="s">
        <v>2276</v>
      </c>
      <c r="K167" s="15" t="n">
        <v>274.85</v>
      </c>
      <c r="L167" s="0" t="s">
        <v>2277</v>
      </c>
      <c r="O167" s="14"/>
      <c r="P167" s="15"/>
    </row>
    <row r="168" customFormat="false" ht="15" hidden="false" customHeight="true" outlineLevel="0" collapsed="false">
      <c r="A168" s="0" t="n">
        <v>2</v>
      </c>
      <c r="B168" s="0" t="n">
        <v>346452</v>
      </c>
      <c r="C168" s="0" t="s">
        <v>44</v>
      </c>
      <c r="D168" s="0" t="s">
        <v>2357</v>
      </c>
      <c r="E168" s="14" t="n">
        <v>46190</v>
      </c>
      <c r="F168" s="14" t="n">
        <v>46183</v>
      </c>
      <c r="G168" s="0" t="s">
        <v>189</v>
      </c>
      <c r="H168" s="0" t="n">
        <v>1266289</v>
      </c>
      <c r="I168" s="0" t="n">
        <v>1</v>
      </c>
      <c r="J168" s="0" t="s">
        <v>2276</v>
      </c>
      <c r="K168" s="15" t="n">
        <v>2631.81</v>
      </c>
      <c r="L168" s="0" t="s">
        <v>2277</v>
      </c>
      <c r="O168" s="14"/>
      <c r="P168" s="15"/>
    </row>
    <row r="169" customFormat="false" ht="15" hidden="false" customHeight="true" outlineLevel="0" collapsed="false">
      <c r="A169" s="0" t="n">
        <v>2</v>
      </c>
      <c r="B169" s="0" t="n">
        <v>41243</v>
      </c>
      <c r="C169" s="0" t="s">
        <v>102</v>
      </c>
      <c r="D169" s="0" t="s">
        <v>2358</v>
      </c>
      <c r="E169" s="14" t="n">
        <v>46190</v>
      </c>
      <c r="F169" s="14" t="n">
        <v>46189</v>
      </c>
      <c r="G169" s="0" t="s">
        <v>837</v>
      </c>
      <c r="H169" s="0" t="n">
        <v>1265758</v>
      </c>
      <c r="I169" s="0" t="n">
        <v>1</v>
      </c>
      <c r="J169" s="0" t="s">
        <v>2276</v>
      </c>
      <c r="K169" s="15" t="n">
        <v>1222.04</v>
      </c>
      <c r="L169" s="0" t="s">
        <v>2277</v>
      </c>
      <c r="O169" s="14"/>
      <c r="P169" s="15"/>
    </row>
    <row r="170" customFormat="false" ht="15" hidden="false" customHeight="true" outlineLevel="0" collapsed="false">
      <c r="A170" s="0" t="n">
        <v>2</v>
      </c>
      <c r="B170" s="0" t="n">
        <v>416678</v>
      </c>
      <c r="C170" s="0" t="s">
        <v>67</v>
      </c>
      <c r="D170" s="0" t="s">
        <v>2359</v>
      </c>
      <c r="E170" s="14" t="n">
        <v>46190</v>
      </c>
      <c r="F170" s="14" t="n">
        <v>46186</v>
      </c>
      <c r="G170" s="0" t="s">
        <v>254</v>
      </c>
      <c r="H170" s="0" t="n">
        <v>1265709</v>
      </c>
      <c r="I170" s="0" t="n">
        <v>1</v>
      </c>
      <c r="J170" s="0" t="s">
        <v>2276</v>
      </c>
      <c r="K170" s="15" t="n">
        <v>184.73</v>
      </c>
      <c r="L170" s="0" t="s">
        <v>2277</v>
      </c>
      <c r="O170" s="14"/>
      <c r="P170" s="15"/>
    </row>
    <row r="171" customFormat="false" ht="15" hidden="false" customHeight="true" outlineLevel="0" collapsed="false">
      <c r="A171" s="0" t="n">
        <v>2</v>
      </c>
      <c r="B171" s="0" t="n">
        <v>518753</v>
      </c>
      <c r="C171" s="0" t="s">
        <v>52</v>
      </c>
      <c r="D171" s="0" t="s">
        <v>2295</v>
      </c>
      <c r="E171" s="14" t="n">
        <v>46190</v>
      </c>
      <c r="F171" s="14" t="n">
        <v>46189</v>
      </c>
      <c r="G171" s="0" t="s">
        <v>128</v>
      </c>
      <c r="H171" s="0" t="n">
        <v>1264969</v>
      </c>
      <c r="I171" s="0" t="n">
        <v>1</v>
      </c>
      <c r="J171" s="0" t="s">
        <v>2276</v>
      </c>
      <c r="K171" s="15" t="n">
        <v>684</v>
      </c>
      <c r="L171" s="0" t="s">
        <v>2277</v>
      </c>
      <c r="O171" s="14"/>
      <c r="P171" s="15"/>
    </row>
    <row r="172" customFormat="false" ht="15" hidden="false" customHeight="true" outlineLevel="0" collapsed="false">
      <c r="A172" s="0" t="n">
        <v>2</v>
      </c>
      <c r="B172" s="0" t="n">
        <v>669</v>
      </c>
      <c r="C172" s="0" t="s">
        <v>44</v>
      </c>
      <c r="D172" s="0" t="s">
        <v>2283</v>
      </c>
      <c r="E172" s="14" t="n">
        <v>46190</v>
      </c>
      <c r="F172" s="14" t="n">
        <v>46189</v>
      </c>
      <c r="G172" s="0" t="s">
        <v>204</v>
      </c>
      <c r="H172" s="0" t="n">
        <v>1264871</v>
      </c>
      <c r="I172" s="0" t="n">
        <v>1</v>
      </c>
      <c r="J172" s="0" t="s">
        <v>2276</v>
      </c>
      <c r="K172" s="15" t="n">
        <v>304.75</v>
      </c>
      <c r="L172" s="0" t="s">
        <v>2277</v>
      </c>
      <c r="O172" s="14"/>
      <c r="P172" s="15"/>
    </row>
    <row r="173" customFormat="false" ht="15" hidden="false" customHeight="true" outlineLevel="0" collapsed="false">
      <c r="A173" s="0" t="n">
        <v>2</v>
      </c>
      <c r="B173" s="0" t="n">
        <v>860219</v>
      </c>
      <c r="C173" s="0" t="s">
        <v>2340</v>
      </c>
      <c r="D173" s="0" t="s">
        <v>2341</v>
      </c>
      <c r="E173" s="14" t="n">
        <v>46190</v>
      </c>
      <c r="F173" s="14" t="n">
        <v>46189</v>
      </c>
      <c r="G173" s="0" t="s">
        <v>232</v>
      </c>
      <c r="H173" s="0" t="n">
        <v>1265880</v>
      </c>
      <c r="I173" s="0" t="n">
        <v>1</v>
      </c>
      <c r="J173" s="0" t="s">
        <v>2276</v>
      </c>
      <c r="K173" s="15" t="n">
        <v>614.97</v>
      </c>
      <c r="L173" s="0" t="s">
        <v>2277</v>
      </c>
      <c r="O173" s="14"/>
      <c r="P173" s="15"/>
    </row>
    <row r="174" customFormat="false" ht="15" hidden="false" customHeight="true" outlineLevel="0" collapsed="false">
      <c r="A174" s="0" t="n">
        <v>2</v>
      </c>
      <c r="B174" s="0" t="n">
        <v>10423</v>
      </c>
      <c r="C174" s="0" t="s">
        <v>52</v>
      </c>
      <c r="D174" s="0" t="s">
        <v>2360</v>
      </c>
      <c r="E174" s="14" t="n">
        <v>46191</v>
      </c>
      <c r="F174" s="14" t="n">
        <v>46191</v>
      </c>
      <c r="G174" s="0" t="s">
        <v>729</v>
      </c>
      <c r="H174" s="0" t="n">
        <v>1270149</v>
      </c>
      <c r="I174" s="0" t="n">
        <v>1</v>
      </c>
      <c r="J174" s="0" t="s">
        <v>2276</v>
      </c>
      <c r="K174" s="15" t="n">
        <v>1104.75</v>
      </c>
      <c r="L174" s="0" t="s">
        <v>2277</v>
      </c>
      <c r="O174" s="14"/>
      <c r="P174" s="15"/>
    </row>
    <row r="175" customFormat="false" ht="15" hidden="false" customHeight="true" outlineLevel="0" collapsed="false">
      <c r="A175" s="0" t="n">
        <v>2</v>
      </c>
      <c r="B175" s="0" t="n">
        <v>1165748</v>
      </c>
      <c r="C175" s="0" t="s">
        <v>80</v>
      </c>
      <c r="D175" s="0" t="s">
        <v>2275</v>
      </c>
      <c r="E175" s="14" t="n">
        <v>46191</v>
      </c>
      <c r="F175" s="14" t="n">
        <v>46189</v>
      </c>
      <c r="G175" s="0" t="s">
        <v>130</v>
      </c>
      <c r="H175" s="0" t="n">
        <v>1268774</v>
      </c>
      <c r="I175" s="0" t="n">
        <v>11</v>
      </c>
      <c r="J175" s="0" t="s">
        <v>2276</v>
      </c>
      <c r="K175" s="15" t="n">
        <v>101.71</v>
      </c>
      <c r="L175" s="0" t="s">
        <v>2277</v>
      </c>
      <c r="O175" s="14"/>
      <c r="P175" s="15"/>
    </row>
    <row r="176" customFormat="false" ht="15" hidden="false" customHeight="true" outlineLevel="0" collapsed="false">
      <c r="A176" s="0" t="n">
        <v>2</v>
      </c>
      <c r="B176" s="0" t="n">
        <v>14505</v>
      </c>
      <c r="C176" s="0" t="s">
        <v>52</v>
      </c>
      <c r="D176" s="0" t="s">
        <v>2278</v>
      </c>
      <c r="E176" s="14" t="n">
        <v>46191</v>
      </c>
      <c r="F176" s="14" t="n">
        <v>46191</v>
      </c>
      <c r="G176" s="0" t="s">
        <v>270</v>
      </c>
      <c r="H176" s="0" t="n">
        <v>1270055</v>
      </c>
      <c r="I176" s="0" t="n">
        <v>1</v>
      </c>
      <c r="J176" s="0" t="s">
        <v>2276</v>
      </c>
      <c r="K176" s="15" t="n">
        <v>5018.15</v>
      </c>
      <c r="L176" s="0" t="s">
        <v>2277</v>
      </c>
      <c r="O176" s="14"/>
      <c r="P176" s="15"/>
    </row>
    <row r="177" customFormat="false" ht="15" hidden="false" customHeight="true" outlineLevel="0" collapsed="false">
      <c r="A177" s="0" t="n">
        <v>2</v>
      </c>
      <c r="B177" s="0" t="n">
        <v>184</v>
      </c>
      <c r="C177" s="0" t="s">
        <v>52</v>
      </c>
      <c r="D177" s="0" t="s">
        <v>2361</v>
      </c>
      <c r="E177" s="14" t="n">
        <v>46191</v>
      </c>
      <c r="F177" s="14" t="n">
        <v>46190</v>
      </c>
      <c r="G177" s="0" t="s">
        <v>679</v>
      </c>
      <c r="H177" s="0" t="n">
        <v>1268798</v>
      </c>
      <c r="I177" s="0" t="n">
        <v>39</v>
      </c>
      <c r="J177" s="0" t="s">
        <v>2276</v>
      </c>
      <c r="K177" s="15" t="n">
        <v>1840</v>
      </c>
      <c r="L177" s="0" t="s">
        <v>2346</v>
      </c>
      <c r="O177" s="14"/>
      <c r="P177" s="15"/>
    </row>
    <row r="178" customFormat="false" ht="15" hidden="false" customHeight="true" outlineLevel="0" collapsed="false">
      <c r="A178" s="0" t="n">
        <v>2</v>
      </c>
      <c r="B178" s="0" t="n">
        <v>1887053</v>
      </c>
      <c r="C178" s="0" t="s">
        <v>36</v>
      </c>
      <c r="D178" s="0" t="s">
        <v>2275</v>
      </c>
      <c r="E178" s="14" t="n">
        <v>46191</v>
      </c>
      <c r="F178" s="14" t="n">
        <v>46189</v>
      </c>
      <c r="G178" s="0" t="s">
        <v>130</v>
      </c>
      <c r="H178" s="0" t="n">
        <v>1268754</v>
      </c>
      <c r="I178" s="0" t="n">
        <v>1</v>
      </c>
      <c r="J178" s="0" t="s">
        <v>2276</v>
      </c>
      <c r="K178" s="15" t="n">
        <v>1579.97</v>
      </c>
      <c r="L178" s="0" t="s">
        <v>2277</v>
      </c>
      <c r="O178" s="14"/>
      <c r="P178" s="15"/>
    </row>
    <row r="179" customFormat="false" ht="15" hidden="false" customHeight="true" outlineLevel="0" collapsed="false">
      <c r="A179" s="0" t="n">
        <v>2</v>
      </c>
      <c r="B179" s="0" t="n">
        <v>20440</v>
      </c>
      <c r="C179" s="0" t="s">
        <v>89</v>
      </c>
      <c r="D179" s="0" t="s">
        <v>2347</v>
      </c>
      <c r="E179" s="14" t="n">
        <v>46191</v>
      </c>
      <c r="F179" s="14" t="n">
        <v>46185</v>
      </c>
      <c r="G179" s="0" t="s">
        <v>628</v>
      </c>
      <c r="H179" s="0" t="n">
        <v>1268715</v>
      </c>
      <c r="I179" s="0" t="n">
        <v>1</v>
      </c>
      <c r="J179" s="0" t="s">
        <v>2276</v>
      </c>
      <c r="K179" s="15" t="n">
        <v>128.85</v>
      </c>
      <c r="L179" s="0" t="s">
        <v>2277</v>
      </c>
      <c r="O179" s="14"/>
      <c r="P179" s="15"/>
    </row>
    <row r="180" customFormat="false" ht="15" hidden="false" customHeight="true" outlineLevel="0" collapsed="false">
      <c r="A180" s="0" t="n">
        <v>2</v>
      </c>
      <c r="B180" s="0" t="n">
        <v>2495</v>
      </c>
      <c r="C180" s="0" t="s">
        <v>52</v>
      </c>
      <c r="D180" s="0" t="s">
        <v>2362</v>
      </c>
      <c r="E180" s="14" t="n">
        <v>46191</v>
      </c>
      <c r="F180" s="14" t="n">
        <v>46191</v>
      </c>
      <c r="G180" s="0" t="s">
        <v>337</v>
      </c>
      <c r="H180" s="0" t="n">
        <v>1269763</v>
      </c>
      <c r="I180" s="0" t="n">
        <v>1</v>
      </c>
      <c r="J180" s="0" t="s">
        <v>2276</v>
      </c>
      <c r="K180" s="15" t="n">
        <v>660</v>
      </c>
      <c r="L180" s="0" t="s">
        <v>2277</v>
      </c>
      <c r="O180" s="14"/>
      <c r="P180" s="15"/>
    </row>
    <row r="181" customFormat="false" ht="15" hidden="false" customHeight="true" outlineLevel="0" collapsed="false">
      <c r="A181" s="0" t="n">
        <v>2</v>
      </c>
      <c r="B181" s="0" t="n">
        <v>252</v>
      </c>
      <c r="C181" s="0" t="s">
        <v>52</v>
      </c>
      <c r="D181" s="0" t="s">
        <v>2363</v>
      </c>
      <c r="E181" s="14" t="n">
        <v>46191</v>
      </c>
      <c r="F181" s="14" t="n">
        <v>46190</v>
      </c>
      <c r="G181" s="0" t="s">
        <v>810</v>
      </c>
      <c r="H181" s="0" t="n">
        <v>1269959</v>
      </c>
      <c r="I181" s="0" t="n">
        <v>1</v>
      </c>
      <c r="J181" s="0" t="s">
        <v>2276</v>
      </c>
      <c r="K181" s="15" t="n">
        <v>324.43</v>
      </c>
      <c r="L181" s="0" t="s">
        <v>2277</v>
      </c>
      <c r="O181" s="14"/>
      <c r="P181" s="15"/>
    </row>
    <row r="182" customFormat="false" ht="15" hidden="false" customHeight="true" outlineLevel="0" collapsed="false">
      <c r="A182" s="0" t="n">
        <v>2</v>
      </c>
      <c r="B182" s="0" t="n">
        <v>31025</v>
      </c>
      <c r="C182" s="0" t="s">
        <v>52</v>
      </c>
      <c r="D182" s="0" t="s">
        <v>2294</v>
      </c>
      <c r="E182" s="14" t="n">
        <v>46191</v>
      </c>
      <c r="F182" s="14" t="n">
        <v>46191</v>
      </c>
      <c r="G182" s="0" t="s">
        <v>147</v>
      </c>
      <c r="H182" s="0" t="n">
        <v>1269843</v>
      </c>
      <c r="I182" s="0" t="n">
        <v>1</v>
      </c>
      <c r="J182" s="0" t="s">
        <v>2276</v>
      </c>
      <c r="K182" s="15" t="n">
        <v>199</v>
      </c>
      <c r="L182" s="0" t="s">
        <v>2277</v>
      </c>
      <c r="O182" s="14"/>
      <c r="P182" s="15"/>
    </row>
    <row r="183" customFormat="false" ht="15" hidden="false" customHeight="true" outlineLevel="0" collapsed="false">
      <c r="A183" s="0" t="n">
        <v>2</v>
      </c>
      <c r="B183" s="0" t="n">
        <v>326863</v>
      </c>
      <c r="C183" s="0" t="s">
        <v>52</v>
      </c>
      <c r="D183" s="0" t="s">
        <v>2364</v>
      </c>
      <c r="E183" s="14" t="n">
        <v>46191</v>
      </c>
      <c r="F183" s="14" t="n">
        <v>46190</v>
      </c>
      <c r="G183" s="0" t="s">
        <v>285</v>
      </c>
      <c r="H183" s="0" t="n">
        <v>1268848</v>
      </c>
      <c r="I183" s="0" t="n">
        <v>1</v>
      </c>
      <c r="J183" s="0" t="s">
        <v>2276</v>
      </c>
      <c r="K183" s="15" t="n">
        <v>992.4</v>
      </c>
      <c r="L183" s="0" t="s">
        <v>2277</v>
      </c>
      <c r="O183" s="14"/>
      <c r="P183" s="15"/>
    </row>
    <row r="184" customFormat="false" ht="15" hidden="false" customHeight="true" outlineLevel="0" collapsed="false">
      <c r="A184" s="0" t="n">
        <v>2</v>
      </c>
      <c r="B184" s="0" t="n">
        <v>387833</v>
      </c>
      <c r="C184" s="0" t="s">
        <v>52</v>
      </c>
      <c r="D184" s="0" t="s">
        <v>2301</v>
      </c>
      <c r="E184" s="14" t="n">
        <v>46191</v>
      </c>
      <c r="F184" s="14" t="n">
        <v>46190</v>
      </c>
      <c r="G184" s="0" t="s">
        <v>172</v>
      </c>
      <c r="H184" s="0" t="n">
        <v>1269162</v>
      </c>
      <c r="I184" s="0" t="n">
        <v>1</v>
      </c>
      <c r="J184" s="0" t="s">
        <v>2276</v>
      </c>
      <c r="K184" s="15" t="n">
        <v>7993.6</v>
      </c>
      <c r="L184" s="0" t="s">
        <v>2277</v>
      </c>
      <c r="O184" s="14"/>
      <c r="P184" s="15"/>
    </row>
    <row r="185" customFormat="false" ht="15" hidden="false" customHeight="true" outlineLevel="0" collapsed="false">
      <c r="A185" s="0" t="n">
        <v>2</v>
      </c>
      <c r="B185" s="0" t="n">
        <v>674937</v>
      </c>
      <c r="C185" s="0" t="s">
        <v>52</v>
      </c>
      <c r="D185" s="0" t="s">
        <v>2318</v>
      </c>
      <c r="E185" s="14" t="n">
        <v>46191</v>
      </c>
      <c r="F185" s="14" t="n">
        <v>46190</v>
      </c>
      <c r="G185" s="0" t="s">
        <v>236</v>
      </c>
      <c r="H185" s="0" t="n">
        <v>1269305</v>
      </c>
      <c r="I185" s="0" t="n">
        <v>1</v>
      </c>
      <c r="J185" s="0" t="s">
        <v>2276</v>
      </c>
      <c r="K185" s="15" t="n">
        <v>3166.01</v>
      </c>
      <c r="L185" s="0" t="s">
        <v>2277</v>
      </c>
      <c r="O185" s="14"/>
      <c r="P185" s="15"/>
    </row>
    <row r="186" customFormat="false" ht="15" hidden="false" customHeight="true" outlineLevel="0" collapsed="false">
      <c r="A186" s="0" t="n">
        <v>2</v>
      </c>
      <c r="B186" s="0" t="n">
        <v>674938</v>
      </c>
      <c r="C186" s="0" t="s">
        <v>52</v>
      </c>
      <c r="D186" s="0" t="s">
        <v>2318</v>
      </c>
      <c r="E186" s="14" t="n">
        <v>46191</v>
      </c>
      <c r="F186" s="14" t="n">
        <v>46190</v>
      </c>
      <c r="G186" s="0" t="s">
        <v>236</v>
      </c>
      <c r="H186" s="0" t="n">
        <v>1269265</v>
      </c>
      <c r="I186" s="0" t="n">
        <v>1</v>
      </c>
      <c r="J186" s="0" t="s">
        <v>2276</v>
      </c>
      <c r="K186" s="15" t="n">
        <v>658.25</v>
      </c>
      <c r="L186" s="0" t="s">
        <v>2277</v>
      </c>
      <c r="O186" s="14"/>
      <c r="P186" s="15"/>
    </row>
    <row r="187" customFormat="false" ht="15" hidden="false" customHeight="true" outlineLevel="0" collapsed="false">
      <c r="A187" s="0" t="n">
        <v>2</v>
      </c>
      <c r="B187" s="0" t="n">
        <v>729265</v>
      </c>
      <c r="C187" s="0" t="s">
        <v>2337</v>
      </c>
      <c r="D187" s="0" t="s">
        <v>2365</v>
      </c>
      <c r="E187" s="14" t="n">
        <v>46191</v>
      </c>
      <c r="F187" s="14" t="n">
        <v>46189</v>
      </c>
      <c r="G187" s="0" t="s">
        <v>151</v>
      </c>
      <c r="H187" s="0" t="n">
        <v>1269061</v>
      </c>
      <c r="I187" s="0" t="n">
        <v>1</v>
      </c>
      <c r="J187" s="0" t="s">
        <v>2276</v>
      </c>
      <c r="K187" s="15" t="n">
        <v>980.5</v>
      </c>
      <c r="L187" s="0" t="s">
        <v>2277</v>
      </c>
      <c r="O187" s="14"/>
      <c r="P187" s="15"/>
    </row>
    <row r="188" customFormat="false" ht="15" hidden="false" customHeight="true" outlineLevel="0" collapsed="false">
      <c r="A188" s="0" t="n">
        <v>2</v>
      </c>
      <c r="B188" s="0" t="n">
        <v>729799</v>
      </c>
      <c r="C188" s="0" t="s">
        <v>2337</v>
      </c>
      <c r="D188" s="0" t="s">
        <v>2365</v>
      </c>
      <c r="E188" s="14" t="n">
        <v>46191</v>
      </c>
      <c r="F188" s="14" t="n">
        <v>46190</v>
      </c>
      <c r="G188" s="0" t="s">
        <v>151</v>
      </c>
      <c r="H188" s="0" t="n">
        <v>1269854</v>
      </c>
      <c r="I188" s="0" t="n">
        <v>1</v>
      </c>
      <c r="J188" s="0" t="s">
        <v>2276</v>
      </c>
      <c r="K188" s="15" t="n">
        <v>381.51</v>
      </c>
      <c r="L188" s="0" t="s">
        <v>2277</v>
      </c>
      <c r="O188" s="14"/>
      <c r="P188" s="15"/>
    </row>
    <row r="189" customFormat="false" ht="15" hidden="false" customHeight="true" outlineLevel="0" collapsed="false">
      <c r="A189" s="0" t="n">
        <v>2</v>
      </c>
      <c r="B189" s="0" t="n">
        <v>1027913</v>
      </c>
      <c r="C189" s="0" t="s">
        <v>52</v>
      </c>
      <c r="D189" s="0" t="s">
        <v>2286</v>
      </c>
      <c r="E189" s="14" t="n">
        <v>46195</v>
      </c>
      <c r="F189" s="14" t="n">
        <v>46191</v>
      </c>
      <c r="G189" s="0" t="s">
        <v>228</v>
      </c>
      <c r="H189" s="0" t="n">
        <v>1289139</v>
      </c>
      <c r="I189" s="0" t="n">
        <v>1</v>
      </c>
      <c r="J189" s="0" t="s">
        <v>2276</v>
      </c>
      <c r="K189" s="15" t="n">
        <v>370.84</v>
      </c>
      <c r="L189" s="0" t="s">
        <v>2277</v>
      </c>
      <c r="O189" s="14"/>
      <c r="P189" s="15"/>
    </row>
    <row r="190" customFormat="false" ht="15" hidden="false" customHeight="true" outlineLevel="0" collapsed="false">
      <c r="A190" s="0" t="n">
        <v>2</v>
      </c>
      <c r="B190" s="0" t="n">
        <v>10605</v>
      </c>
      <c r="C190" s="0" t="s">
        <v>52</v>
      </c>
      <c r="D190" s="0" t="s">
        <v>2366</v>
      </c>
      <c r="E190" s="14" t="n">
        <v>46195</v>
      </c>
      <c r="F190" s="14" t="n">
        <v>46191</v>
      </c>
      <c r="G190" s="0" t="s">
        <v>212</v>
      </c>
      <c r="H190" s="0" t="n">
        <v>1289129</v>
      </c>
      <c r="I190" s="0" t="n">
        <v>1</v>
      </c>
      <c r="J190" s="0" t="s">
        <v>2276</v>
      </c>
      <c r="K190" s="15" t="n">
        <v>228</v>
      </c>
      <c r="L190" s="0" t="s">
        <v>2277</v>
      </c>
      <c r="O190" s="14"/>
      <c r="P190" s="15"/>
    </row>
    <row r="191" customFormat="false" ht="15" hidden="false" customHeight="true" outlineLevel="0" collapsed="false">
      <c r="A191" s="0" t="n">
        <v>2</v>
      </c>
      <c r="B191" s="0" t="n">
        <v>1169404</v>
      </c>
      <c r="C191" s="0" t="s">
        <v>80</v>
      </c>
      <c r="D191" s="0" t="s">
        <v>2275</v>
      </c>
      <c r="E191" s="14" t="n">
        <v>46195</v>
      </c>
      <c r="F191" s="14" t="n">
        <v>46191</v>
      </c>
      <c r="G191" s="0" t="s">
        <v>130</v>
      </c>
      <c r="H191" s="0" t="n">
        <v>1290006</v>
      </c>
      <c r="I191" s="0" t="n">
        <v>1</v>
      </c>
      <c r="J191" s="0" t="s">
        <v>2276</v>
      </c>
      <c r="K191" s="15" t="n">
        <v>50.85</v>
      </c>
      <c r="L191" s="0" t="s">
        <v>2277</v>
      </c>
      <c r="O191" s="14"/>
      <c r="P191" s="15"/>
    </row>
    <row r="192" customFormat="false" ht="15" hidden="false" customHeight="true" outlineLevel="0" collapsed="false">
      <c r="A192" s="0" t="n">
        <v>2</v>
      </c>
      <c r="B192" s="0" t="n">
        <v>1170564</v>
      </c>
      <c r="C192" s="0" t="s">
        <v>80</v>
      </c>
      <c r="D192" s="0" t="s">
        <v>2275</v>
      </c>
      <c r="E192" s="14" t="n">
        <v>46195</v>
      </c>
      <c r="F192" s="14" t="n">
        <v>46192</v>
      </c>
      <c r="G192" s="0" t="s">
        <v>130</v>
      </c>
      <c r="H192" s="0" t="n">
        <v>1290071</v>
      </c>
      <c r="I192" s="0" t="n">
        <v>1</v>
      </c>
      <c r="J192" s="0" t="s">
        <v>2276</v>
      </c>
      <c r="K192" s="15" t="n">
        <v>22.95</v>
      </c>
      <c r="L192" s="0" t="s">
        <v>2277</v>
      </c>
      <c r="O192" s="14"/>
      <c r="P192" s="15"/>
    </row>
    <row r="193" customFormat="false" ht="15" hidden="false" customHeight="true" outlineLevel="0" collapsed="false">
      <c r="A193" s="0" t="n">
        <v>2</v>
      </c>
      <c r="B193" s="0" t="n">
        <v>1171501</v>
      </c>
      <c r="C193" s="0" t="s">
        <v>80</v>
      </c>
      <c r="D193" s="0" t="s">
        <v>2275</v>
      </c>
      <c r="E193" s="14" t="n">
        <v>46195</v>
      </c>
      <c r="F193" s="14" t="n">
        <v>46192</v>
      </c>
      <c r="G193" s="0" t="s">
        <v>130</v>
      </c>
      <c r="H193" s="0" t="n">
        <v>1290102</v>
      </c>
      <c r="I193" s="0" t="n">
        <v>1</v>
      </c>
      <c r="J193" s="0" t="s">
        <v>2276</v>
      </c>
      <c r="K193" s="15" t="n">
        <v>2287.85</v>
      </c>
      <c r="L193" s="0" t="s">
        <v>2277</v>
      </c>
      <c r="O193" s="14"/>
      <c r="P193" s="15"/>
    </row>
    <row r="194" customFormat="false" ht="15" hidden="false" customHeight="true" outlineLevel="0" collapsed="false">
      <c r="A194" s="0" t="n">
        <v>2</v>
      </c>
      <c r="B194" s="0" t="n">
        <v>15043</v>
      </c>
      <c r="C194" s="0" t="s">
        <v>52</v>
      </c>
      <c r="D194" s="0" t="s">
        <v>2279</v>
      </c>
      <c r="E194" s="14" t="n">
        <v>46195</v>
      </c>
      <c r="F194" s="14" t="n">
        <v>46195</v>
      </c>
      <c r="G194" s="0" t="s">
        <v>299</v>
      </c>
      <c r="H194" s="0" t="n">
        <v>1289836</v>
      </c>
      <c r="I194" s="0" t="n">
        <v>1</v>
      </c>
      <c r="J194" s="0" t="s">
        <v>2276</v>
      </c>
      <c r="K194" s="15" t="n">
        <v>298.83</v>
      </c>
      <c r="L194" s="0" t="s">
        <v>2277</v>
      </c>
      <c r="O194" s="14"/>
      <c r="P194" s="15"/>
    </row>
    <row r="195" customFormat="false" ht="15" hidden="false" customHeight="true" outlineLevel="0" collapsed="false">
      <c r="A195" s="0" t="n">
        <v>2</v>
      </c>
      <c r="B195" s="0" t="n">
        <v>1598763</v>
      </c>
      <c r="C195" s="0" t="s">
        <v>52</v>
      </c>
      <c r="D195" s="0" t="s">
        <v>2327</v>
      </c>
      <c r="E195" s="14" t="n">
        <v>46195</v>
      </c>
      <c r="F195" s="14" t="n">
        <v>46192</v>
      </c>
      <c r="G195" s="0" t="s">
        <v>50</v>
      </c>
      <c r="H195" s="0" t="n">
        <v>1289535</v>
      </c>
      <c r="I195" s="0" t="n">
        <v>1</v>
      </c>
      <c r="J195" s="0" t="s">
        <v>2276</v>
      </c>
      <c r="K195" s="15" t="n">
        <v>1342.31</v>
      </c>
      <c r="L195" s="0" t="s">
        <v>2277</v>
      </c>
      <c r="O195" s="14"/>
      <c r="P195" s="15"/>
    </row>
    <row r="196" customFormat="false" ht="15" hidden="false" customHeight="true" outlineLevel="0" collapsed="false">
      <c r="A196" s="0" t="n">
        <v>2</v>
      </c>
      <c r="B196" s="0" t="n">
        <v>161137</v>
      </c>
      <c r="C196" s="0" t="s">
        <v>52</v>
      </c>
      <c r="D196" s="0" t="s">
        <v>2367</v>
      </c>
      <c r="E196" s="14" t="n">
        <v>46195</v>
      </c>
      <c r="F196" s="14" t="n">
        <v>46191</v>
      </c>
      <c r="G196" s="0" t="s">
        <v>840</v>
      </c>
      <c r="H196" s="0" t="n">
        <v>1290565</v>
      </c>
      <c r="I196" s="0" t="n">
        <v>1</v>
      </c>
      <c r="J196" s="0" t="s">
        <v>2276</v>
      </c>
      <c r="K196" s="15" t="n">
        <v>592.5</v>
      </c>
      <c r="L196" s="0" t="s">
        <v>2277</v>
      </c>
      <c r="O196" s="14"/>
      <c r="P196" s="15"/>
    </row>
    <row r="197" customFormat="false" ht="15" hidden="false" customHeight="true" outlineLevel="0" collapsed="false">
      <c r="A197" s="0" t="n">
        <v>2</v>
      </c>
      <c r="B197" s="0" t="n">
        <v>1676804</v>
      </c>
      <c r="C197" s="0" t="s">
        <v>52</v>
      </c>
      <c r="D197" s="0" t="s">
        <v>2287</v>
      </c>
      <c r="E197" s="14" t="n">
        <v>46195</v>
      </c>
      <c r="F197" s="14" t="n">
        <v>46191</v>
      </c>
      <c r="G197" s="0" t="s">
        <v>240</v>
      </c>
      <c r="H197" s="0" t="n">
        <v>1289449</v>
      </c>
      <c r="I197" s="0" t="n">
        <v>1</v>
      </c>
      <c r="J197" s="0" t="s">
        <v>2276</v>
      </c>
      <c r="K197" s="15" t="n">
        <v>3464.65</v>
      </c>
      <c r="L197" s="0" t="s">
        <v>2277</v>
      </c>
      <c r="O197" s="14"/>
      <c r="P197" s="15"/>
    </row>
    <row r="198" customFormat="false" ht="15" hidden="false" customHeight="true" outlineLevel="0" collapsed="false">
      <c r="A198" s="0" t="n">
        <v>2</v>
      </c>
      <c r="B198" s="0" t="n">
        <v>1676964</v>
      </c>
      <c r="C198" s="0" t="s">
        <v>52</v>
      </c>
      <c r="D198" s="0" t="s">
        <v>2287</v>
      </c>
      <c r="E198" s="14" t="n">
        <v>46195</v>
      </c>
      <c r="F198" s="14" t="n">
        <v>46191</v>
      </c>
      <c r="G198" s="0" t="s">
        <v>240</v>
      </c>
      <c r="H198" s="0" t="n">
        <v>1289156</v>
      </c>
      <c r="I198" s="0" t="n">
        <v>1</v>
      </c>
      <c r="J198" s="0" t="s">
        <v>2276</v>
      </c>
      <c r="K198" s="15" t="n">
        <v>334.45</v>
      </c>
      <c r="L198" s="0" t="s">
        <v>2277</v>
      </c>
      <c r="O198" s="14"/>
      <c r="P198" s="15"/>
    </row>
    <row r="199" customFormat="false" ht="15" hidden="false" customHeight="true" outlineLevel="0" collapsed="false">
      <c r="A199" s="0" t="n">
        <v>2</v>
      </c>
      <c r="B199" s="0" t="n">
        <v>1678138</v>
      </c>
      <c r="C199" s="0" t="s">
        <v>52</v>
      </c>
      <c r="D199" s="0" t="s">
        <v>2287</v>
      </c>
      <c r="E199" s="14" t="n">
        <v>46195</v>
      </c>
      <c r="F199" s="14" t="n">
        <v>46195</v>
      </c>
      <c r="G199" s="0" t="s">
        <v>240</v>
      </c>
      <c r="H199" s="0" t="n">
        <v>1289428</v>
      </c>
      <c r="I199" s="0" t="n">
        <v>1</v>
      </c>
      <c r="J199" s="0" t="s">
        <v>2276</v>
      </c>
      <c r="K199" s="15" t="n">
        <v>724</v>
      </c>
      <c r="L199" s="0" t="s">
        <v>2277</v>
      </c>
      <c r="O199" s="14"/>
      <c r="P199" s="15"/>
    </row>
    <row r="200" customFormat="false" ht="15" hidden="false" customHeight="true" outlineLevel="0" collapsed="false">
      <c r="A200" s="0" t="n">
        <v>2</v>
      </c>
      <c r="B200" s="0" t="n">
        <v>18762</v>
      </c>
      <c r="C200" s="0" t="s">
        <v>89</v>
      </c>
      <c r="D200" s="0" t="s">
        <v>2322</v>
      </c>
      <c r="E200" s="14" t="n">
        <v>46195</v>
      </c>
      <c r="F200" s="14" t="n">
        <v>46192</v>
      </c>
      <c r="G200" s="0" t="s">
        <v>390</v>
      </c>
      <c r="H200" s="0" t="n">
        <v>1289973</v>
      </c>
      <c r="I200" s="0" t="n">
        <v>1</v>
      </c>
      <c r="J200" s="0" t="s">
        <v>2276</v>
      </c>
      <c r="K200" s="15" t="n">
        <v>4300.92</v>
      </c>
      <c r="L200" s="0" t="s">
        <v>2277</v>
      </c>
      <c r="O200" s="14"/>
      <c r="P200" s="15"/>
    </row>
    <row r="201" customFormat="false" ht="15" hidden="false" customHeight="true" outlineLevel="0" collapsed="false">
      <c r="A201" s="0" t="n">
        <v>2</v>
      </c>
      <c r="B201" s="0" t="n">
        <v>1890993</v>
      </c>
      <c r="C201" s="0" t="s">
        <v>36</v>
      </c>
      <c r="D201" s="0" t="s">
        <v>2275</v>
      </c>
      <c r="E201" s="14" t="n">
        <v>46195</v>
      </c>
      <c r="F201" s="14" t="n">
        <v>46191</v>
      </c>
      <c r="G201" s="0" t="s">
        <v>130</v>
      </c>
      <c r="H201" s="0" t="n">
        <v>1290014</v>
      </c>
      <c r="I201" s="0" t="n">
        <v>11</v>
      </c>
      <c r="J201" s="0" t="s">
        <v>2276</v>
      </c>
      <c r="K201" s="15" t="n">
        <v>463.56</v>
      </c>
      <c r="L201" s="0" t="s">
        <v>2277</v>
      </c>
      <c r="O201" s="14"/>
      <c r="P201" s="15"/>
    </row>
    <row r="202" customFormat="false" ht="15" hidden="false" customHeight="true" outlineLevel="0" collapsed="false">
      <c r="A202" s="0" t="n">
        <v>2</v>
      </c>
      <c r="B202" s="0" t="n">
        <v>1892638</v>
      </c>
      <c r="C202" s="0" t="s">
        <v>36</v>
      </c>
      <c r="D202" s="0" t="s">
        <v>2275</v>
      </c>
      <c r="E202" s="14" t="n">
        <v>46195</v>
      </c>
      <c r="F202" s="14" t="n">
        <v>46192</v>
      </c>
      <c r="G202" s="0" t="s">
        <v>130</v>
      </c>
      <c r="H202" s="0" t="n">
        <v>1290124</v>
      </c>
      <c r="I202" s="0" t="n">
        <v>11</v>
      </c>
      <c r="J202" s="0" t="s">
        <v>2276</v>
      </c>
      <c r="K202" s="15" t="n">
        <v>93.77</v>
      </c>
      <c r="L202" s="0" t="s">
        <v>2277</v>
      </c>
      <c r="O202" s="14"/>
      <c r="P202" s="15"/>
    </row>
    <row r="203" customFormat="false" ht="15" hidden="false" customHeight="true" outlineLevel="0" collapsed="false">
      <c r="A203" s="0" t="n">
        <v>2</v>
      </c>
      <c r="B203" s="0" t="n">
        <v>1893322</v>
      </c>
      <c r="C203" s="0" t="s">
        <v>36</v>
      </c>
      <c r="D203" s="0" t="s">
        <v>2275</v>
      </c>
      <c r="E203" s="14" t="n">
        <v>46195</v>
      </c>
      <c r="F203" s="14" t="n">
        <v>46192</v>
      </c>
      <c r="G203" s="0" t="s">
        <v>130</v>
      </c>
      <c r="H203" s="0" t="n">
        <v>1290089</v>
      </c>
      <c r="I203" s="0" t="n">
        <v>1</v>
      </c>
      <c r="J203" s="0" t="s">
        <v>2276</v>
      </c>
      <c r="K203" s="15" t="n">
        <v>840.06</v>
      </c>
      <c r="L203" s="0" t="s">
        <v>2277</v>
      </c>
      <c r="O203" s="14"/>
      <c r="P203" s="15"/>
    </row>
    <row r="204" customFormat="false" ht="15" hidden="false" customHeight="true" outlineLevel="0" collapsed="false">
      <c r="A204" s="0" t="n">
        <v>2</v>
      </c>
      <c r="B204" s="0" t="n">
        <v>1894392</v>
      </c>
      <c r="C204" s="0" t="s">
        <v>52</v>
      </c>
      <c r="D204" s="0" t="s">
        <v>2368</v>
      </c>
      <c r="E204" s="14" t="n">
        <v>46195</v>
      </c>
      <c r="F204" s="14" t="n">
        <v>46193</v>
      </c>
      <c r="G204" s="0" t="s">
        <v>871</v>
      </c>
      <c r="H204" s="0" t="n">
        <v>1289620</v>
      </c>
      <c r="I204" s="0" t="n">
        <v>1</v>
      </c>
      <c r="J204" s="0" t="s">
        <v>2276</v>
      </c>
      <c r="K204" s="15" t="n">
        <v>671.67</v>
      </c>
      <c r="L204" s="0" t="s">
        <v>2277</v>
      </c>
      <c r="O204" s="14"/>
      <c r="P204" s="15"/>
    </row>
    <row r="205" customFormat="false" ht="15" hidden="false" customHeight="true" outlineLevel="0" collapsed="false">
      <c r="A205" s="0" t="n">
        <v>2</v>
      </c>
      <c r="B205" s="0" t="n">
        <v>1959276</v>
      </c>
      <c r="C205" s="0" t="s">
        <v>52</v>
      </c>
      <c r="D205" s="0" t="s">
        <v>2369</v>
      </c>
      <c r="E205" s="14" t="n">
        <v>46195</v>
      </c>
      <c r="F205" s="14" t="n">
        <v>46191</v>
      </c>
      <c r="G205" s="0" t="s">
        <v>185</v>
      </c>
      <c r="H205" s="0" t="n">
        <v>1289819</v>
      </c>
      <c r="I205" s="0" t="n">
        <v>1</v>
      </c>
      <c r="J205" s="0" t="s">
        <v>2276</v>
      </c>
      <c r="K205" s="15" t="n">
        <v>1961.16</v>
      </c>
      <c r="L205" s="0" t="s">
        <v>2277</v>
      </c>
      <c r="O205" s="14"/>
      <c r="P205" s="15"/>
    </row>
    <row r="206" customFormat="false" ht="15" hidden="false" customHeight="true" outlineLevel="0" collapsed="false">
      <c r="A206" s="0" t="n">
        <v>2</v>
      </c>
      <c r="B206" s="0" t="n">
        <v>207912</v>
      </c>
      <c r="C206" s="0" t="s">
        <v>52</v>
      </c>
      <c r="D206" s="0" t="s">
        <v>2370</v>
      </c>
      <c r="E206" s="14" t="n">
        <v>46195</v>
      </c>
      <c r="F206" s="14" t="n">
        <v>46191</v>
      </c>
      <c r="G206" s="0" t="s">
        <v>787</v>
      </c>
      <c r="H206" s="0" t="n">
        <v>1289570</v>
      </c>
      <c r="I206" s="0" t="n">
        <v>1</v>
      </c>
      <c r="J206" s="0" t="s">
        <v>2276</v>
      </c>
      <c r="K206" s="15" t="n">
        <v>1774.55</v>
      </c>
      <c r="L206" s="0" t="s">
        <v>2277</v>
      </c>
      <c r="O206" s="14"/>
      <c r="P206" s="15"/>
    </row>
    <row r="207" customFormat="false" ht="15" hidden="false" customHeight="true" outlineLevel="0" collapsed="false">
      <c r="A207" s="0" t="n">
        <v>2</v>
      </c>
      <c r="B207" s="0" t="n">
        <v>2262026</v>
      </c>
      <c r="C207" s="0" t="s">
        <v>52</v>
      </c>
      <c r="D207" s="0" t="s">
        <v>2288</v>
      </c>
      <c r="E207" s="14" t="n">
        <v>46195</v>
      </c>
      <c r="F207" s="14" t="n">
        <v>46195</v>
      </c>
      <c r="G207" s="0" t="s">
        <v>153</v>
      </c>
      <c r="H207" s="0" t="n">
        <v>1289917</v>
      </c>
      <c r="I207" s="0" t="n">
        <v>2</v>
      </c>
      <c r="J207" s="0" t="s">
        <v>2276</v>
      </c>
      <c r="K207" s="15" t="n">
        <v>1454</v>
      </c>
      <c r="L207" s="0" t="s">
        <v>2277</v>
      </c>
      <c r="O207" s="14"/>
      <c r="P207" s="15"/>
    </row>
    <row r="208" customFormat="false" ht="15" hidden="false" customHeight="true" outlineLevel="0" collapsed="false">
      <c r="A208" s="0" t="n">
        <v>2</v>
      </c>
      <c r="B208" s="0" t="n">
        <v>22626</v>
      </c>
      <c r="C208" s="0" t="s">
        <v>52</v>
      </c>
      <c r="D208" s="0" t="s">
        <v>2288</v>
      </c>
      <c r="E208" s="14" t="n">
        <v>46195</v>
      </c>
      <c r="F208" s="14" t="n">
        <v>46195</v>
      </c>
      <c r="G208" s="0" t="s">
        <v>153</v>
      </c>
      <c r="H208" s="0" t="n">
        <v>1289848</v>
      </c>
      <c r="I208" s="0" t="n">
        <v>2</v>
      </c>
      <c r="J208" s="0" t="s">
        <v>2276</v>
      </c>
      <c r="K208" s="15" t="n">
        <v>210</v>
      </c>
      <c r="L208" s="0" t="s">
        <v>2277</v>
      </c>
      <c r="O208" s="14"/>
      <c r="P208" s="15"/>
    </row>
    <row r="209" customFormat="false" ht="15" hidden="false" customHeight="true" outlineLevel="0" collapsed="false">
      <c r="A209" s="0" t="n">
        <v>2</v>
      </c>
      <c r="B209" s="0" t="n">
        <v>2503</v>
      </c>
      <c r="C209" s="0" t="s">
        <v>52</v>
      </c>
      <c r="D209" s="0" t="s">
        <v>2288</v>
      </c>
      <c r="E209" s="14" t="n">
        <v>46195</v>
      </c>
      <c r="F209" s="14" t="n">
        <v>46195</v>
      </c>
      <c r="G209" s="0" t="s">
        <v>153</v>
      </c>
      <c r="H209" s="0" t="n">
        <v>1289851</v>
      </c>
      <c r="I209" s="0" t="n">
        <v>6</v>
      </c>
      <c r="J209" s="0" t="s">
        <v>2276</v>
      </c>
      <c r="K209" s="15" t="n">
        <v>210</v>
      </c>
      <c r="L209" s="0" t="s">
        <v>2277</v>
      </c>
      <c r="O209" s="14"/>
      <c r="P209" s="15"/>
    </row>
    <row r="210" customFormat="false" ht="15" hidden="false" customHeight="true" outlineLevel="0" collapsed="false">
      <c r="A210" s="0" t="n">
        <v>2</v>
      </c>
      <c r="B210" s="0" t="n">
        <v>2504</v>
      </c>
      <c r="C210" s="0" t="s">
        <v>52</v>
      </c>
      <c r="D210" s="0" t="s">
        <v>2288</v>
      </c>
      <c r="E210" s="14" t="n">
        <v>46195</v>
      </c>
      <c r="F210" s="14" t="n">
        <v>46195</v>
      </c>
      <c r="G210" s="0" t="s">
        <v>153</v>
      </c>
      <c r="H210" s="0" t="n">
        <v>1289925</v>
      </c>
      <c r="I210" s="0" t="n">
        <v>6</v>
      </c>
      <c r="J210" s="0" t="s">
        <v>2276</v>
      </c>
      <c r="K210" s="15" t="n">
        <v>1454</v>
      </c>
      <c r="L210" s="0" t="s">
        <v>2277</v>
      </c>
      <c r="O210" s="14"/>
      <c r="P210" s="15"/>
    </row>
    <row r="211" customFormat="false" ht="15" hidden="false" customHeight="true" outlineLevel="0" collapsed="false">
      <c r="A211" s="0" t="n">
        <v>2</v>
      </c>
      <c r="B211" s="0" t="n">
        <v>310316</v>
      </c>
      <c r="C211" s="0" t="s">
        <v>52</v>
      </c>
      <c r="D211" s="0" t="s">
        <v>2298</v>
      </c>
      <c r="E211" s="14" t="n">
        <v>46195</v>
      </c>
      <c r="F211" s="14" t="n">
        <v>46192</v>
      </c>
      <c r="G211" s="0" t="s">
        <v>77</v>
      </c>
      <c r="H211" s="0" t="n">
        <v>1290743</v>
      </c>
      <c r="I211" s="0" t="n">
        <v>11</v>
      </c>
      <c r="J211" s="0" t="s">
        <v>2276</v>
      </c>
      <c r="K211" s="15" t="n">
        <v>2018.54</v>
      </c>
      <c r="L211" s="0" t="s">
        <v>2277</v>
      </c>
      <c r="O211" s="14"/>
      <c r="P211" s="15"/>
    </row>
    <row r="212" customFormat="false" ht="15" hidden="false" customHeight="true" outlineLevel="0" collapsed="false">
      <c r="A212" s="0" t="n">
        <v>2</v>
      </c>
      <c r="B212" s="0" t="n">
        <v>31246</v>
      </c>
      <c r="C212" s="0" t="s">
        <v>52</v>
      </c>
      <c r="D212" s="0" t="s">
        <v>2296</v>
      </c>
      <c r="E212" s="14" t="n">
        <v>46195</v>
      </c>
      <c r="F212" s="14" t="n">
        <v>46193</v>
      </c>
      <c r="G212" s="0" t="s">
        <v>162</v>
      </c>
      <c r="H212" s="0" t="n">
        <v>1289585</v>
      </c>
      <c r="I212" s="0" t="n">
        <v>1</v>
      </c>
      <c r="J212" s="0" t="s">
        <v>2276</v>
      </c>
      <c r="K212" s="15" t="n">
        <v>920</v>
      </c>
      <c r="L212" s="0" t="s">
        <v>2277</v>
      </c>
      <c r="O212" s="14"/>
      <c r="P212" s="15"/>
    </row>
    <row r="213" customFormat="false" ht="15" hidden="false" customHeight="true" outlineLevel="0" collapsed="false">
      <c r="A213" s="0" t="n">
        <v>2</v>
      </c>
      <c r="B213" s="0" t="n">
        <v>31247</v>
      </c>
      <c r="C213" s="0" t="s">
        <v>52</v>
      </c>
      <c r="D213" s="0" t="s">
        <v>2296</v>
      </c>
      <c r="E213" s="14" t="n">
        <v>46195</v>
      </c>
      <c r="F213" s="14" t="n">
        <v>46193</v>
      </c>
      <c r="G213" s="0" t="s">
        <v>162</v>
      </c>
      <c r="H213" s="0" t="n">
        <v>1290342</v>
      </c>
      <c r="I213" s="0" t="n">
        <v>1</v>
      </c>
      <c r="J213" s="0" t="s">
        <v>2276</v>
      </c>
      <c r="K213" s="15" t="n">
        <v>1538.7</v>
      </c>
      <c r="L213" s="0" t="s">
        <v>2277</v>
      </c>
      <c r="O213" s="14"/>
      <c r="P213" s="15"/>
    </row>
    <row r="214" customFormat="false" ht="15" hidden="false" customHeight="true" outlineLevel="0" collapsed="false">
      <c r="A214" s="0" t="n">
        <v>2</v>
      </c>
      <c r="B214" s="0" t="n">
        <v>313</v>
      </c>
      <c r="C214" s="0" t="s">
        <v>52</v>
      </c>
      <c r="D214" s="0" t="s">
        <v>2289</v>
      </c>
      <c r="E214" s="14" t="n">
        <v>46195</v>
      </c>
      <c r="F214" s="14" t="n">
        <v>46193</v>
      </c>
      <c r="G214" s="0" t="s">
        <v>216</v>
      </c>
      <c r="H214" s="0" t="n">
        <v>1289610</v>
      </c>
      <c r="I214" s="0" t="n">
        <v>1</v>
      </c>
      <c r="J214" s="0" t="s">
        <v>2276</v>
      </c>
      <c r="K214" s="15" t="n">
        <v>260</v>
      </c>
      <c r="L214" s="0" t="s">
        <v>2277</v>
      </c>
      <c r="O214" s="14"/>
      <c r="P214" s="15"/>
    </row>
    <row r="215" customFormat="false" ht="15" hidden="false" customHeight="true" outlineLevel="0" collapsed="false">
      <c r="A215" s="0" t="n">
        <v>2</v>
      </c>
      <c r="B215" s="0" t="n">
        <v>315</v>
      </c>
      <c r="C215" s="0" t="s">
        <v>52</v>
      </c>
      <c r="D215" s="0" t="s">
        <v>2311</v>
      </c>
      <c r="E215" s="14" t="n">
        <v>46195</v>
      </c>
      <c r="F215" s="14" t="n">
        <v>46192</v>
      </c>
      <c r="G215" s="0" t="s">
        <v>2312</v>
      </c>
      <c r="H215" s="0" t="n">
        <v>1289205</v>
      </c>
      <c r="I215" s="0" t="n">
        <v>1</v>
      </c>
      <c r="J215" s="0" t="s">
        <v>2276</v>
      </c>
      <c r="K215" s="15" t="n">
        <v>264</v>
      </c>
      <c r="L215" s="0" t="s">
        <v>2277</v>
      </c>
      <c r="O215" s="14"/>
      <c r="P215" s="15"/>
    </row>
    <row r="216" customFormat="false" ht="15" hidden="false" customHeight="true" outlineLevel="0" collapsed="false">
      <c r="A216" s="0" t="n">
        <v>2</v>
      </c>
      <c r="B216" s="0" t="n">
        <v>3407</v>
      </c>
      <c r="C216" s="0" t="s">
        <v>52</v>
      </c>
      <c r="D216" s="0" t="s">
        <v>2299</v>
      </c>
      <c r="E216" s="14" t="n">
        <v>46195</v>
      </c>
      <c r="F216" s="14" t="n">
        <v>46192</v>
      </c>
      <c r="G216" s="0" t="s">
        <v>174</v>
      </c>
      <c r="H216" s="0" t="n">
        <v>1289327</v>
      </c>
      <c r="I216" s="0" t="n">
        <v>1</v>
      </c>
      <c r="J216" s="0" t="s">
        <v>2276</v>
      </c>
      <c r="K216" s="15" t="n">
        <v>110</v>
      </c>
      <c r="L216" s="0" t="s">
        <v>2277</v>
      </c>
      <c r="O216" s="14"/>
      <c r="P216" s="15"/>
    </row>
    <row r="217" customFormat="false" ht="15" hidden="false" customHeight="true" outlineLevel="0" collapsed="false">
      <c r="A217" s="0" t="n">
        <v>2</v>
      </c>
      <c r="B217" s="0" t="n">
        <v>3457</v>
      </c>
      <c r="C217" s="0" t="s">
        <v>52</v>
      </c>
      <c r="D217" s="0" t="s">
        <v>2282</v>
      </c>
      <c r="E217" s="14" t="n">
        <v>46195</v>
      </c>
      <c r="F217" s="14" t="n">
        <v>46195</v>
      </c>
      <c r="G217" s="0" t="s">
        <v>209</v>
      </c>
      <c r="H217" s="0" t="n">
        <v>1291003</v>
      </c>
      <c r="I217" s="0" t="n">
        <v>1</v>
      </c>
      <c r="J217" s="0" t="s">
        <v>2276</v>
      </c>
      <c r="K217" s="15" t="n">
        <v>454.65</v>
      </c>
      <c r="L217" s="0" t="s">
        <v>2277</v>
      </c>
      <c r="O217" s="14"/>
      <c r="P217" s="15"/>
    </row>
    <row r="218" customFormat="false" ht="15" hidden="false" customHeight="true" outlineLevel="0" collapsed="false">
      <c r="A218" s="0" t="n">
        <v>2</v>
      </c>
      <c r="B218" s="0" t="n">
        <v>419092</v>
      </c>
      <c r="C218" s="0" t="s">
        <v>67</v>
      </c>
      <c r="D218" s="0" t="s">
        <v>2359</v>
      </c>
      <c r="E218" s="14" t="n">
        <v>46195</v>
      </c>
      <c r="F218" s="14" t="n">
        <v>46191</v>
      </c>
      <c r="G218" s="0" t="s">
        <v>254</v>
      </c>
      <c r="H218" s="0" t="n">
        <v>1289284</v>
      </c>
      <c r="I218" s="0" t="n">
        <v>1</v>
      </c>
      <c r="J218" s="0" t="s">
        <v>2276</v>
      </c>
      <c r="K218" s="15" t="n">
        <v>1859.99</v>
      </c>
      <c r="L218" s="0" t="s">
        <v>2277</v>
      </c>
      <c r="O218" s="14"/>
      <c r="P218" s="15"/>
    </row>
    <row r="219" customFormat="false" ht="15" hidden="false" customHeight="true" outlineLevel="0" collapsed="false">
      <c r="A219" s="0" t="n">
        <v>2</v>
      </c>
      <c r="B219" s="0" t="n">
        <v>47502</v>
      </c>
      <c r="C219" s="0" t="s">
        <v>52</v>
      </c>
      <c r="D219" s="0" t="s">
        <v>2371</v>
      </c>
      <c r="E219" s="14" t="n">
        <v>46195</v>
      </c>
      <c r="F219" s="14" t="n">
        <v>46191</v>
      </c>
      <c r="G219" s="0" t="s">
        <v>842</v>
      </c>
      <c r="H219" s="0" t="n">
        <v>1290433</v>
      </c>
      <c r="I219" s="0" t="n">
        <v>1</v>
      </c>
      <c r="J219" s="0" t="s">
        <v>2276</v>
      </c>
      <c r="K219" s="15" t="n">
        <v>603.5</v>
      </c>
      <c r="L219" s="0" t="s">
        <v>2277</v>
      </c>
      <c r="O219" s="14"/>
      <c r="P219" s="15"/>
    </row>
    <row r="220" customFormat="false" ht="15" hidden="false" customHeight="true" outlineLevel="0" collapsed="false">
      <c r="A220" s="0" t="n">
        <v>2</v>
      </c>
      <c r="B220" s="0" t="n">
        <v>504</v>
      </c>
      <c r="C220" s="0" t="s">
        <v>52</v>
      </c>
      <c r="D220" s="0" t="s">
        <v>2291</v>
      </c>
      <c r="E220" s="14" t="n">
        <v>46195</v>
      </c>
      <c r="F220" s="14" t="n">
        <v>46192</v>
      </c>
      <c r="G220" s="0" t="s">
        <v>123</v>
      </c>
      <c r="H220" s="0" t="n">
        <v>1289127</v>
      </c>
      <c r="I220" s="0" t="n">
        <v>1</v>
      </c>
      <c r="J220" s="0" t="s">
        <v>2276</v>
      </c>
      <c r="K220" s="15" t="n">
        <v>156</v>
      </c>
      <c r="L220" s="0" t="s">
        <v>2277</v>
      </c>
      <c r="O220" s="14"/>
      <c r="P220" s="15"/>
    </row>
    <row r="221" customFormat="false" ht="15" hidden="false" customHeight="true" outlineLevel="0" collapsed="false">
      <c r="A221" s="0" t="n">
        <v>2</v>
      </c>
      <c r="B221" s="0" t="n">
        <v>5679</v>
      </c>
      <c r="C221" s="0" t="s">
        <v>52</v>
      </c>
      <c r="D221" s="0" t="s">
        <v>2302</v>
      </c>
      <c r="E221" s="14" t="n">
        <v>46195</v>
      </c>
      <c r="F221" s="14" t="n">
        <v>46192</v>
      </c>
      <c r="G221" s="0" t="s">
        <v>2303</v>
      </c>
      <c r="H221" s="0" t="n">
        <v>1289146</v>
      </c>
      <c r="I221" s="0" t="n">
        <v>1</v>
      </c>
      <c r="J221" s="0" t="s">
        <v>2276</v>
      </c>
      <c r="K221" s="15" t="n">
        <v>306</v>
      </c>
      <c r="L221" s="0" t="s">
        <v>2277</v>
      </c>
      <c r="O221" s="14"/>
      <c r="P221" s="15"/>
    </row>
    <row r="222" customFormat="false" ht="15" hidden="false" customHeight="true" outlineLevel="0" collapsed="false">
      <c r="A222" s="0" t="n">
        <v>2</v>
      </c>
      <c r="B222" s="0" t="n">
        <v>721</v>
      </c>
      <c r="C222" s="0" t="s">
        <v>52</v>
      </c>
      <c r="D222" s="0" t="s">
        <v>2372</v>
      </c>
      <c r="E222" s="14" t="n">
        <v>46195</v>
      </c>
      <c r="F222" s="14" t="n">
        <v>46191</v>
      </c>
      <c r="G222" s="0" t="s">
        <v>588</v>
      </c>
      <c r="H222" s="0" t="n">
        <v>1289354</v>
      </c>
      <c r="I222" s="0" t="n">
        <v>1</v>
      </c>
      <c r="J222" s="0" t="s">
        <v>2276</v>
      </c>
      <c r="K222" s="15" t="n">
        <v>480.78</v>
      </c>
      <c r="L222" s="0" t="s">
        <v>2277</v>
      </c>
      <c r="O222" s="14"/>
      <c r="P222" s="15"/>
    </row>
    <row r="223" customFormat="false" ht="15" hidden="false" customHeight="true" outlineLevel="0" collapsed="false">
      <c r="A223" s="0" t="n">
        <v>2</v>
      </c>
      <c r="B223" s="0" t="n">
        <v>1635973</v>
      </c>
      <c r="C223" s="0" t="s">
        <v>2280</v>
      </c>
      <c r="D223" s="0" t="s">
        <v>2281</v>
      </c>
      <c r="E223" s="14" t="n">
        <v>46196</v>
      </c>
      <c r="F223" s="14" t="n">
        <v>46195</v>
      </c>
      <c r="G223" s="0" t="s">
        <v>406</v>
      </c>
      <c r="H223" s="0" t="n">
        <v>1293939</v>
      </c>
      <c r="I223" s="0" t="n">
        <v>1</v>
      </c>
      <c r="J223" s="0" t="s">
        <v>2276</v>
      </c>
      <c r="K223" s="15" t="n">
        <v>97</v>
      </c>
      <c r="L223" s="0" t="s">
        <v>2277</v>
      </c>
      <c r="O223" s="14"/>
      <c r="P223" s="15"/>
    </row>
    <row r="224" customFormat="false" ht="15" hidden="false" customHeight="true" outlineLevel="0" collapsed="false">
      <c r="A224" s="0" t="n">
        <v>2</v>
      </c>
      <c r="B224" s="0" t="n">
        <v>1635976</v>
      </c>
      <c r="C224" s="0" t="s">
        <v>2280</v>
      </c>
      <c r="D224" s="0" t="s">
        <v>2281</v>
      </c>
      <c r="E224" s="14" t="n">
        <v>46196</v>
      </c>
      <c r="F224" s="14" t="n">
        <v>46195</v>
      </c>
      <c r="G224" s="0" t="s">
        <v>406</v>
      </c>
      <c r="H224" s="0" t="n">
        <v>1293930</v>
      </c>
      <c r="I224" s="0" t="n">
        <v>1</v>
      </c>
      <c r="J224" s="0" t="s">
        <v>2276</v>
      </c>
      <c r="K224" s="15" t="n">
        <v>105</v>
      </c>
      <c r="L224" s="0" t="s">
        <v>2277</v>
      </c>
      <c r="O224" s="14"/>
      <c r="P224" s="15"/>
    </row>
    <row r="225" customFormat="false" ht="15" hidden="false" customHeight="true" outlineLevel="0" collapsed="false">
      <c r="A225" s="0" t="n">
        <v>2</v>
      </c>
      <c r="B225" s="0" t="n">
        <v>1635978</v>
      </c>
      <c r="C225" s="0" t="s">
        <v>2280</v>
      </c>
      <c r="D225" s="0" t="s">
        <v>2281</v>
      </c>
      <c r="E225" s="14" t="n">
        <v>46196</v>
      </c>
      <c r="F225" s="14" t="n">
        <v>46195</v>
      </c>
      <c r="G225" s="0" t="s">
        <v>406</v>
      </c>
      <c r="H225" s="0" t="n">
        <v>1293925</v>
      </c>
      <c r="I225" s="0" t="n">
        <v>1</v>
      </c>
      <c r="J225" s="0" t="s">
        <v>2276</v>
      </c>
      <c r="K225" s="15" t="n">
        <v>183</v>
      </c>
      <c r="L225" s="0" t="s">
        <v>2277</v>
      </c>
      <c r="O225" s="14"/>
      <c r="P225" s="15"/>
    </row>
    <row r="226" customFormat="false" ht="15" hidden="false" customHeight="true" outlineLevel="0" collapsed="false">
      <c r="A226" s="0" t="n">
        <v>2</v>
      </c>
      <c r="B226" s="0" t="n">
        <v>23626</v>
      </c>
      <c r="C226" s="0" t="s">
        <v>52</v>
      </c>
      <c r="D226" s="0" t="s">
        <v>2288</v>
      </c>
      <c r="E226" s="14" t="n">
        <v>46196</v>
      </c>
      <c r="F226" s="14" t="n">
        <v>46196</v>
      </c>
      <c r="G226" s="0" t="s">
        <v>153</v>
      </c>
      <c r="H226" s="0" t="n">
        <v>1295647</v>
      </c>
      <c r="I226" s="0" t="n">
        <v>2</v>
      </c>
      <c r="J226" s="0" t="s">
        <v>2276</v>
      </c>
      <c r="K226" s="15" t="n">
        <v>2140.44</v>
      </c>
      <c r="L226" s="0" t="s">
        <v>2277</v>
      </c>
      <c r="O226" s="14"/>
      <c r="P226" s="15"/>
    </row>
    <row r="227" customFormat="false" ht="15" hidden="false" customHeight="true" outlineLevel="0" collapsed="false">
      <c r="A227" s="0" t="n">
        <v>2</v>
      </c>
      <c r="B227" s="0" t="n">
        <v>2453</v>
      </c>
      <c r="C227" s="0" t="s">
        <v>52</v>
      </c>
      <c r="D227" s="0" t="s">
        <v>2373</v>
      </c>
      <c r="E227" s="14" t="n">
        <v>46196</v>
      </c>
      <c r="F227" s="14" t="n">
        <v>46196</v>
      </c>
      <c r="G227" s="0" t="s">
        <v>804</v>
      </c>
      <c r="H227" s="0" t="n">
        <v>1295171</v>
      </c>
      <c r="I227" s="0" t="n">
        <v>39</v>
      </c>
      <c r="J227" s="0" t="s">
        <v>2276</v>
      </c>
      <c r="K227" s="15" t="n">
        <v>635.32</v>
      </c>
      <c r="L227" s="0" t="s">
        <v>2346</v>
      </c>
      <c r="O227" s="14"/>
      <c r="P227" s="15"/>
    </row>
    <row r="228" customFormat="false" ht="15" hidden="false" customHeight="true" outlineLevel="0" collapsed="false">
      <c r="A228" s="0" t="n">
        <v>2</v>
      </c>
      <c r="B228" s="0" t="n">
        <v>2507</v>
      </c>
      <c r="C228" s="0" t="s">
        <v>52</v>
      </c>
      <c r="D228" s="0" t="s">
        <v>2288</v>
      </c>
      <c r="E228" s="14" t="n">
        <v>46196</v>
      </c>
      <c r="F228" s="14" t="n">
        <v>46196</v>
      </c>
      <c r="G228" s="0" t="s">
        <v>153</v>
      </c>
      <c r="H228" s="0" t="n">
        <v>1295652</v>
      </c>
      <c r="I228" s="0" t="n">
        <v>6</v>
      </c>
      <c r="J228" s="0" t="s">
        <v>2276</v>
      </c>
      <c r="K228" s="15" t="n">
        <v>2140.44</v>
      </c>
      <c r="L228" s="0" t="s">
        <v>2277</v>
      </c>
    </row>
    <row r="229" customFormat="false" ht="15" hidden="false" customHeight="true" outlineLevel="0" collapsed="false">
      <c r="A229" s="0" t="n">
        <v>2</v>
      </c>
      <c r="B229" s="0" t="n">
        <v>3858</v>
      </c>
      <c r="C229" s="0" t="s">
        <v>52</v>
      </c>
      <c r="D229" s="0" t="s">
        <v>2290</v>
      </c>
      <c r="E229" s="14" t="n">
        <v>46196</v>
      </c>
      <c r="F229" s="14" t="n">
        <v>46195</v>
      </c>
      <c r="G229" s="0" t="s">
        <v>95</v>
      </c>
      <c r="H229" s="0" t="n">
        <v>1295747</v>
      </c>
      <c r="I229" s="0" t="n">
        <v>1</v>
      </c>
      <c r="J229" s="0" t="s">
        <v>2276</v>
      </c>
      <c r="K229" s="15" t="n">
        <v>162.56</v>
      </c>
      <c r="L229" s="0" t="s">
        <v>2277</v>
      </c>
    </row>
    <row r="230" customFormat="false" ht="15" hidden="false" customHeight="true" outlineLevel="0" collapsed="false">
      <c r="A230" s="0" t="n">
        <v>2</v>
      </c>
      <c r="B230" s="0" t="n">
        <v>509</v>
      </c>
      <c r="C230" s="0" t="s">
        <v>52</v>
      </c>
      <c r="D230" s="0" t="s">
        <v>2291</v>
      </c>
      <c r="E230" s="14" t="n">
        <v>46196</v>
      </c>
      <c r="F230" s="14" t="n">
        <v>46195</v>
      </c>
      <c r="G230" s="0" t="s">
        <v>123</v>
      </c>
      <c r="H230" s="0" t="n">
        <v>1294252</v>
      </c>
      <c r="I230" s="0" t="n">
        <v>1</v>
      </c>
      <c r="J230" s="0" t="s">
        <v>2276</v>
      </c>
      <c r="K230" s="15" t="n">
        <v>180</v>
      </c>
      <c r="L230" s="0" t="s">
        <v>2277</v>
      </c>
    </row>
    <row r="231" customFormat="false" ht="15" hidden="false" customHeight="true" outlineLevel="0" collapsed="false">
      <c r="A231" s="0" t="n">
        <v>2</v>
      </c>
      <c r="B231" s="0" t="n">
        <v>646732</v>
      </c>
      <c r="C231" s="0" t="s">
        <v>52</v>
      </c>
      <c r="D231" s="0" t="s">
        <v>2329</v>
      </c>
      <c r="E231" s="14" t="n">
        <v>46196</v>
      </c>
      <c r="F231" s="14" t="n">
        <v>46193</v>
      </c>
      <c r="G231" s="0" t="s">
        <v>64</v>
      </c>
      <c r="H231" s="0" t="n">
        <v>1293976</v>
      </c>
      <c r="I231" s="0" t="n">
        <v>1</v>
      </c>
      <c r="J231" s="0" t="s">
        <v>2276</v>
      </c>
      <c r="K231" s="15" t="n">
        <v>694.35</v>
      </c>
      <c r="L231" s="0" t="s">
        <v>2277</v>
      </c>
    </row>
    <row r="232" customFormat="false" ht="15" hidden="false" customHeight="true" outlineLevel="0" collapsed="false">
      <c r="A232" s="0" t="n">
        <v>2</v>
      </c>
      <c r="B232" s="0" t="n">
        <v>8155</v>
      </c>
      <c r="C232" s="0" t="s">
        <v>52</v>
      </c>
      <c r="D232" s="0" t="s">
        <v>2374</v>
      </c>
      <c r="E232" s="14" t="n">
        <v>46196</v>
      </c>
      <c r="F232" s="14" t="n">
        <v>46195</v>
      </c>
      <c r="G232" s="0" t="s">
        <v>335</v>
      </c>
      <c r="H232" s="0" t="n">
        <v>1294314</v>
      </c>
      <c r="I232" s="0" t="n">
        <v>39</v>
      </c>
      <c r="J232" s="0" t="s">
        <v>2276</v>
      </c>
      <c r="K232" s="15" t="n">
        <v>2212.3</v>
      </c>
      <c r="L232" s="0" t="s">
        <v>2346</v>
      </c>
    </row>
    <row r="233" customFormat="false" ht="15" hidden="false" customHeight="true" outlineLevel="0" collapsed="false">
      <c r="A233" s="0" t="n">
        <v>2</v>
      </c>
      <c r="B233" s="0" t="n">
        <v>869753</v>
      </c>
      <c r="C233" s="0" t="s">
        <v>2340</v>
      </c>
      <c r="D233" s="0" t="s">
        <v>2341</v>
      </c>
      <c r="E233" s="14" t="n">
        <v>46196</v>
      </c>
      <c r="F233" s="14" t="n">
        <v>46193</v>
      </c>
      <c r="G233" s="0" t="s">
        <v>232</v>
      </c>
      <c r="H233" s="0" t="n">
        <v>1294209</v>
      </c>
      <c r="I233" s="0" t="n">
        <v>1</v>
      </c>
      <c r="J233" s="0" t="s">
        <v>2276</v>
      </c>
      <c r="K233" s="15" t="n">
        <v>1062.39</v>
      </c>
      <c r="L233" s="0" t="s">
        <v>2277</v>
      </c>
    </row>
    <row r="234" customFormat="false" ht="15" hidden="false" customHeight="true" outlineLevel="0" collapsed="false">
      <c r="A234" s="0" t="n">
        <v>2</v>
      </c>
      <c r="B234" s="0" t="n">
        <v>10</v>
      </c>
      <c r="C234" s="0" t="s">
        <v>52</v>
      </c>
      <c r="D234" s="0" t="s">
        <v>2375</v>
      </c>
      <c r="E234" s="14" t="n">
        <v>46197</v>
      </c>
      <c r="F234" s="14" t="n">
        <v>46195</v>
      </c>
      <c r="G234" s="0" t="s">
        <v>502</v>
      </c>
      <c r="H234" s="0" t="n">
        <v>1300830</v>
      </c>
      <c r="I234" s="0" t="n">
        <v>1</v>
      </c>
      <c r="J234" s="0" t="s">
        <v>2276</v>
      </c>
      <c r="K234" s="15" t="n">
        <v>140</v>
      </c>
      <c r="L234" s="0" t="s">
        <v>2277</v>
      </c>
    </row>
    <row r="235" customFormat="false" ht="15" hidden="false" customHeight="true" outlineLevel="0" collapsed="false">
      <c r="A235" s="0" t="n">
        <v>2</v>
      </c>
      <c r="B235" s="0" t="n">
        <v>10860</v>
      </c>
      <c r="C235" s="0" t="s">
        <v>52</v>
      </c>
      <c r="D235" s="0" t="s">
        <v>2376</v>
      </c>
      <c r="E235" s="14" t="n">
        <v>46197</v>
      </c>
      <c r="F235" s="14" t="n">
        <v>46185</v>
      </c>
      <c r="G235" s="0" t="s">
        <v>281</v>
      </c>
      <c r="H235" s="0" t="n">
        <v>1300232</v>
      </c>
      <c r="I235" s="0" t="n">
        <v>1</v>
      </c>
      <c r="J235" s="0" t="s">
        <v>2276</v>
      </c>
      <c r="K235" s="15" t="n">
        <v>6809.05</v>
      </c>
      <c r="L235" s="0" t="s">
        <v>2277</v>
      </c>
    </row>
    <row r="236" customFormat="false" ht="15" hidden="false" customHeight="true" outlineLevel="0" collapsed="false">
      <c r="A236" s="0" t="n">
        <v>2</v>
      </c>
      <c r="B236" s="0" t="n">
        <v>11</v>
      </c>
      <c r="C236" s="0" t="s">
        <v>52</v>
      </c>
      <c r="D236" s="0" t="s">
        <v>2375</v>
      </c>
      <c r="E236" s="14" t="n">
        <v>46197</v>
      </c>
      <c r="F236" s="14" t="n">
        <v>46195</v>
      </c>
      <c r="G236" s="0" t="s">
        <v>502</v>
      </c>
      <c r="H236" s="0" t="n">
        <v>1300844</v>
      </c>
      <c r="I236" s="0" t="n">
        <v>1</v>
      </c>
      <c r="J236" s="0" t="s">
        <v>2276</v>
      </c>
      <c r="K236" s="15" t="n">
        <v>140</v>
      </c>
      <c r="L236" s="0" t="s">
        <v>2277</v>
      </c>
    </row>
    <row r="237" customFormat="false" ht="15" hidden="false" customHeight="true" outlineLevel="0" collapsed="false">
      <c r="A237" s="0" t="n">
        <v>2</v>
      </c>
      <c r="B237" s="0" t="n">
        <v>12</v>
      </c>
      <c r="C237" s="0" t="s">
        <v>52</v>
      </c>
      <c r="D237" s="0" t="s">
        <v>2375</v>
      </c>
      <c r="E237" s="14" t="n">
        <v>46197</v>
      </c>
      <c r="F237" s="14" t="n">
        <v>46195</v>
      </c>
      <c r="G237" s="0" t="s">
        <v>502</v>
      </c>
      <c r="H237" s="0" t="n">
        <v>1300868</v>
      </c>
      <c r="I237" s="0" t="n">
        <v>1</v>
      </c>
      <c r="J237" s="0" t="s">
        <v>2276</v>
      </c>
      <c r="K237" s="15" t="n">
        <v>200</v>
      </c>
      <c r="L237" s="0" t="s">
        <v>2277</v>
      </c>
    </row>
    <row r="238" customFormat="false" ht="15" hidden="false" customHeight="true" outlineLevel="0" collapsed="false">
      <c r="A238" s="0" t="n">
        <v>2</v>
      </c>
      <c r="B238" s="0" t="n">
        <v>1378386</v>
      </c>
      <c r="C238" s="0" t="s">
        <v>52</v>
      </c>
      <c r="D238" s="0" t="s">
        <v>2308</v>
      </c>
      <c r="E238" s="14" t="n">
        <v>46197</v>
      </c>
      <c r="F238" s="14" t="n">
        <v>46196</v>
      </c>
      <c r="G238" s="0" t="s">
        <v>2309</v>
      </c>
      <c r="H238" s="0" t="n">
        <v>1299327</v>
      </c>
      <c r="I238" s="0" t="n">
        <v>1</v>
      </c>
      <c r="J238" s="0" t="s">
        <v>2276</v>
      </c>
      <c r="K238" s="15" t="n">
        <v>1831.6</v>
      </c>
      <c r="L238" s="0" t="s">
        <v>2277</v>
      </c>
    </row>
    <row r="239" customFormat="false" ht="15" hidden="false" customHeight="true" outlineLevel="0" collapsed="false">
      <c r="A239" s="0" t="n">
        <v>2</v>
      </c>
      <c r="B239" s="0" t="n">
        <v>253</v>
      </c>
      <c r="C239" s="0" t="s">
        <v>52</v>
      </c>
      <c r="D239" s="0" t="s">
        <v>2377</v>
      </c>
      <c r="E239" s="14" t="n">
        <v>46197</v>
      </c>
      <c r="F239" s="14" t="n">
        <v>46195</v>
      </c>
      <c r="G239" s="0" t="s">
        <v>812</v>
      </c>
      <c r="H239" s="0" t="n">
        <v>1299537</v>
      </c>
      <c r="I239" s="0" t="n">
        <v>1</v>
      </c>
      <c r="J239" s="0" t="s">
        <v>2276</v>
      </c>
      <c r="K239" s="15" t="n">
        <v>845</v>
      </c>
      <c r="L239" s="0" t="s">
        <v>2277</v>
      </c>
    </row>
    <row r="240" customFormat="false" ht="15" hidden="false" customHeight="true" outlineLevel="0" collapsed="false">
      <c r="A240" s="0" t="n">
        <v>2</v>
      </c>
      <c r="B240" s="0" t="n">
        <v>316130</v>
      </c>
      <c r="C240" s="0" t="s">
        <v>52</v>
      </c>
      <c r="D240" s="0" t="s">
        <v>2378</v>
      </c>
      <c r="E240" s="14" t="n">
        <v>46197</v>
      </c>
      <c r="F240" s="14" t="n">
        <v>46191</v>
      </c>
      <c r="G240" s="0" t="s">
        <v>941</v>
      </c>
      <c r="H240" s="0" t="n">
        <v>1299105</v>
      </c>
      <c r="I240" s="0" t="n">
        <v>1</v>
      </c>
      <c r="J240" s="0" t="s">
        <v>2276</v>
      </c>
      <c r="K240" s="15" t="n">
        <v>1996.2</v>
      </c>
      <c r="L240" s="0" t="s">
        <v>2277</v>
      </c>
    </row>
    <row r="241" customFormat="false" ht="15" hidden="false" customHeight="true" outlineLevel="0" collapsed="false">
      <c r="A241" s="0" t="n">
        <v>2</v>
      </c>
      <c r="B241" s="0" t="n">
        <v>34213</v>
      </c>
      <c r="C241" s="0" t="s">
        <v>67</v>
      </c>
      <c r="D241" s="0" t="s">
        <v>2379</v>
      </c>
      <c r="E241" s="14" t="n">
        <v>46197</v>
      </c>
      <c r="F241" s="14" t="n">
        <v>46190</v>
      </c>
      <c r="G241" s="0" t="s">
        <v>349</v>
      </c>
      <c r="H241" s="0" t="n">
        <v>1300279</v>
      </c>
      <c r="I241" s="0" t="n">
        <v>1</v>
      </c>
      <c r="J241" s="0" t="s">
        <v>2276</v>
      </c>
      <c r="K241" s="15" t="n">
        <v>1185.3</v>
      </c>
      <c r="L241" s="0" t="s">
        <v>2277</v>
      </c>
    </row>
    <row r="242" customFormat="false" ht="15" hidden="false" customHeight="true" outlineLevel="0" collapsed="false">
      <c r="A242" s="0" t="n">
        <v>2</v>
      </c>
      <c r="B242" s="0" t="n">
        <v>37</v>
      </c>
      <c r="C242" s="0" t="s">
        <v>52</v>
      </c>
      <c r="D242" s="0" t="s">
        <v>2375</v>
      </c>
      <c r="E242" s="14" t="n">
        <v>46197</v>
      </c>
      <c r="F242" s="14" t="n">
        <v>46197</v>
      </c>
      <c r="G242" s="0" t="s">
        <v>502</v>
      </c>
      <c r="H242" s="0" t="n">
        <v>1300876</v>
      </c>
      <c r="I242" s="0" t="n">
        <v>1</v>
      </c>
      <c r="J242" s="0" t="s">
        <v>2276</v>
      </c>
      <c r="K242" s="15" t="n">
        <v>120</v>
      </c>
      <c r="L242" s="0" t="s">
        <v>2277</v>
      </c>
    </row>
    <row r="243" customFormat="false" ht="15" hidden="false" customHeight="true" outlineLevel="0" collapsed="false">
      <c r="A243" s="0" t="n">
        <v>2</v>
      </c>
      <c r="B243" s="0" t="n">
        <v>388857</v>
      </c>
      <c r="C243" s="0" t="s">
        <v>52</v>
      </c>
      <c r="D243" s="0" t="s">
        <v>2301</v>
      </c>
      <c r="E243" s="14" t="n">
        <v>46197</v>
      </c>
      <c r="F243" s="14" t="n">
        <v>46196</v>
      </c>
      <c r="G243" s="0" t="s">
        <v>172</v>
      </c>
      <c r="H243" s="0" t="n">
        <v>1300169</v>
      </c>
      <c r="I243" s="0" t="n">
        <v>1</v>
      </c>
      <c r="J243" s="0" t="s">
        <v>2276</v>
      </c>
      <c r="K243" s="15" t="n">
        <v>628.88</v>
      </c>
      <c r="L243" s="0" t="s">
        <v>2277</v>
      </c>
    </row>
    <row r="244" customFormat="false" ht="15" hidden="false" customHeight="true" outlineLevel="0" collapsed="false">
      <c r="A244" s="0" t="n">
        <v>2</v>
      </c>
      <c r="B244" s="0" t="n">
        <v>519349</v>
      </c>
      <c r="C244" s="0" t="s">
        <v>52</v>
      </c>
      <c r="D244" s="0" t="s">
        <v>2295</v>
      </c>
      <c r="E244" s="14" t="n">
        <v>46197</v>
      </c>
      <c r="F244" s="14" t="n">
        <v>46196</v>
      </c>
      <c r="G244" s="0" t="s">
        <v>128</v>
      </c>
      <c r="H244" s="0" t="n">
        <v>1299637</v>
      </c>
      <c r="I244" s="0" t="n">
        <v>1</v>
      </c>
      <c r="J244" s="0" t="s">
        <v>2276</v>
      </c>
      <c r="K244" s="15" t="n">
        <v>304.45</v>
      </c>
      <c r="L244" s="0" t="s">
        <v>2277</v>
      </c>
    </row>
    <row r="245" customFormat="false" ht="15" hidden="false" customHeight="true" outlineLevel="0" collapsed="false">
      <c r="A245" s="0" t="n">
        <v>2</v>
      </c>
      <c r="B245" s="0" t="n">
        <v>678</v>
      </c>
      <c r="C245" s="0" t="s">
        <v>44</v>
      </c>
      <c r="D245" s="0" t="s">
        <v>2283</v>
      </c>
      <c r="E245" s="14" t="n">
        <v>46197</v>
      </c>
      <c r="F245" s="14" t="n">
        <v>46196</v>
      </c>
      <c r="G245" s="0" t="s">
        <v>204</v>
      </c>
      <c r="H245" s="0" t="n">
        <v>1299215</v>
      </c>
      <c r="I245" s="0" t="n">
        <v>1</v>
      </c>
      <c r="J245" s="0" t="s">
        <v>2276</v>
      </c>
      <c r="K245" s="15" t="n">
        <v>234.8</v>
      </c>
      <c r="L245" s="0" t="s">
        <v>2277</v>
      </c>
    </row>
    <row r="246" customFormat="false" ht="15" hidden="false" customHeight="true" outlineLevel="0" collapsed="false">
      <c r="A246" s="0" t="n">
        <v>2</v>
      </c>
      <c r="B246" s="0" t="n">
        <v>679</v>
      </c>
      <c r="C246" s="0" t="s">
        <v>44</v>
      </c>
      <c r="D246" s="0" t="s">
        <v>2283</v>
      </c>
      <c r="E246" s="14" t="n">
        <v>46197</v>
      </c>
      <c r="F246" s="14" t="n">
        <v>46196</v>
      </c>
      <c r="G246" s="0" t="s">
        <v>204</v>
      </c>
      <c r="H246" s="0" t="n">
        <v>1299227</v>
      </c>
      <c r="I246" s="0" t="n">
        <v>1</v>
      </c>
      <c r="J246" s="0" t="s">
        <v>2276</v>
      </c>
      <c r="K246" s="15" t="n">
        <v>307.2</v>
      </c>
      <c r="L246" s="0" t="s">
        <v>2277</v>
      </c>
    </row>
    <row r="247" customFormat="false" ht="15" hidden="false" customHeight="true" outlineLevel="0" collapsed="false">
      <c r="A247" s="0" t="n">
        <v>2</v>
      </c>
      <c r="B247" s="0" t="n">
        <v>1175404</v>
      </c>
      <c r="C247" s="0" t="s">
        <v>80</v>
      </c>
      <c r="D247" s="0" t="s">
        <v>2275</v>
      </c>
      <c r="E247" s="14" t="n">
        <v>46198</v>
      </c>
      <c r="F247" s="14" t="n">
        <v>46196</v>
      </c>
      <c r="G247" s="0" t="s">
        <v>130</v>
      </c>
      <c r="H247" s="0" t="n">
        <v>1304726</v>
      </c>
      <c r="I247" s="0" t="n">
        <v>11</v>
      </c>
      <c r="J247" s="0" t="s">
        <v>2276</v>
      </c>
      <c r="K247" s="15" t="n">
        <v>120.27</v>
      </c>
      <c r="L247" s="0" t="s">
        <v>2277</v>
      </c>
    </row>
    <row r="248" customFormat="false" ht="15" hidden="false" customHeight="true" outlineLevel="0" collapsed="false">
      <c r="A248" s="0" t="n">
        <v>2</v>
      </c>
      <c r="B248" s="0" t="n">
        <v>1637144</v>
      </c>
      <c r="C248" s="0" t="s">
        <v>2280</v>
      </c>
      <c r="D248" s="0" t="s">
        <v>2281</v>
      </c>
      <c r="E248" s="14" t="n">
        <v>46198</v>
      </c>
      <c r="F248" s="14" t="n">
        <v>46197</v>
      </c>
      <c r="G248" s="0" t="s">
        <v>406</v>
      </c>
      <c r="H248" s="0" t="n">
        <v>1304633</v>
      </c>
      <c r="I248" s="0" t="n">
        <v>1</v>
      </c>
      <c r="J248" s="0" t="s">
        <v>2276</v>
      </c>
      <c r="K248" s="15" t="n">
        <v>141</v>
      </c>
      <c r="L248" s="0" t="s">
        <v>2277</v>
      </c>
    </row>
    <row r="249" customFormat="false" ht="15" hidden="false" customHeight="true" outlineLevel="0" collapsed="false">
      <c r="A249" s="0" t="n">
        <v>2</v>
      </c>
      <c r="B249" s="0" t="n">
        <v>1680694</v>
      </c>
      <c r="C249" s="0" t="s">
        <v>52</v>
      </c>
      <c r="D249" s="0" t="s">
        <v>2287</v>
      </c>
      <c r="E249" s="14" t="n">
        <v>46198</v>
      </c>
      <c r="F249" s="14" t="n">
        <v>46198</v>
      </c>
      <c r="G249" s="0" t="s">
        <v>240</v>
      </c>
      <c r="H249" s="0" t="n">
        <v>1305623</v>
      </c>
      <c r="I249" s="0" t="n">
        <v>1</v>
      </c>
      <c r="J249" s="0" t="s">
        <v>2276</v>
      </c>
      <c r="K249" s="15" t="n">
        <v>1383</v>
      </c>
      <c r="L249" s="0" t="s">
        <v>2277</v>
      </c>
    </row>
    <row r="250" customFormat="false" ht="15" hidden="false" customHeight="true" outlineLevel="0" collapsed="false">
      <c r="A250" s="0" t="n">
        <v>2</v>
      </c>
      <c r="B250" s="0" t="n">
        <v>172089</v>
      </c>
      <c r="C250" s="0" t="s">
        <v>52</v>
      </c>
      <c r="D250" s="0" t="s">
        <v>2293</v>
      </c>
      <c r="E250" s="14" t="n">
        <v>46198</v>
      </c>
      <c r="F250" s="14" t="n">
        <v>46197</v>
      </c>
      <c r="G250" s="0" t="s">
        <v>371</v>
      </c>
      <c r="H250" s="0" t="n">
        <v>1305206</v>
      </c>
      <c r="I250" s="0" t="n">
        <v>1</v>
      </c>
      <c r="J250" s="0" t="s">
        <v>2276</v>
      </c>
      <c r="K250" s="15" t="n">
        <v>4001</v>
      </c>
      <c r="L250" s="0" t="s">
        <v>2277</v>
      </c>
    </row>
    <row r="251" customFormat="false" ht="15" hidden="false" customHeight="true" outlineLevel="0" collapsed="false">
      <c r="A251" s="0" t="n">
        <v>2</v>
      </c>
      <c r="B251" s="0" t="n">
        <v>1899276</v>
      </c>
      <c r="C251" s="0" t="s">
        <v>36</v>
      </c>
      <c r="D251" s="0" t="s">
        <v>2275</v>
      </c>
      <c r="E251" s="14" t="n">
        <v>46198</v>
      </c>
      <c r="F251" s="14" t="n">
        <v>46196</v>
      </c>
      <c r="G251" s="0" t="s">
        <v>130</v>
      </c>
      <c r="H251" s="0" t="n">
        <v>1304701</v>
      </c>
      <c r="I251" s="0" t="n">
        <v>1</v>
      </c>
      <c r="J251" s="0" t="s">
        <v>2276</v>
      </c>
      <c r="K251" s="15" t="n">
        <v>1547.44</v>
      </c>
      <c r="L251" s="0" t="s">
        <v>2277</v>
      </c>
    </row>
    <row r="252" customFormat="false" ht="15" hidden="false" customHeight="true" outlineLevel="0" collapsed="false">
      <c r="A252" s="0" t="n">
        <v>2</v>
      </c>
      <c r="B252" s="0" t="n">
        <v>1996</v>
      </c>
      <c r="C252" s="0" t="s">
        <v>67</v>
      </c>
      <c r="D252" s="0" t="s">
        <v>2332</v>
      </c>
      <c r="E252" s="14" t="n">
        <v>46198</v>
      </c>
      <c r="F252" s="14" t="n">
        <v>46197</v>
      </c>
      <c r="G252" s="0" t="s">
        <v>585</v>
      </c>
      <c r="H252" s="0" t="n">
        <v>1304877</v>
      </c>
      <c r="I252" s="0" t="n">
        <v>1</v>
      </c>
      <c r="J252" s="0" t="s">
        <v>2276</v>
      </c>
      <c r="K252" s="15" t="n">
        <v>1159.5</v>
      </c>
      <c r="L252" s="0" t="s">
        <v>2277</v>
      </c>
    </row>
    <row r="253" customFormat="false" ht="15" hidden="false" customHeight="true" outlineLevel="0" collapsed="false">
      <c r="A253" s="0" t="n">
        <v>2</v>
      </c>
      <c r="B253" s="0" t="n">
        <v>44</v>
      </c>
      <c r="C253" s="0" t="s">
        <v>52</v>
      </c>
      <c r="D253" s="0" t="s">
        <v>2375</v>
      </c>
      <c r="E253" s="14" t="n">
        <v>46198</v>
      </c>
      <c r="F253" s="14" t="n">
        <v>46198</v>
      </c>
      <c r="G253" s="0" t="s">
        <v>502</v>
      </c>
      <c r="H253" s="0" t="n">
        <v>1309637</v>
      </c>
      <c r="I253" s="0" t="n">
        <v>1</v>
      </c>
      <c r="J253" s="0" t="s">
        <v>2276</v>
      </c>
      <c r="K253" s="15" t="n">
        <v>180</v>
      </c>
      <c r="L253" s="0" t="s">
        <v>2277</v>
      </c>
    </row>
    <row r="254" customFormat="false" ht="15" hidden="false" customHeight="true" outlineLevel="0" collapsed="false">
      <c r="A254" s="0" t="n">
        <v>2</v>
      </c>
      <c r="B254" s="0" t="n">
        <v>590547</v>
      </c>
      <c r="C254" s="0" t="s">
        <v>102</v>
      </c>
      <c r="D254" s="0" t="s">
        <v>2325</v>
      </c>
      <c r="E254" s="14" t="n">
        <v>46198</v>
      </c>
      <c r="F254" s="14" t="n">
        <v>46197</v>
      </c>
      <c r="G254" s="0" t="s">
        <v>471</v>
      </c>
      <c r="H254" s="0" t="n">
        <v>1306154</v>
      </c>
      <c r="I254" s="0" t="n">
        <v>1</v>
      </c>
      <c r="J254" s="0" t="s">
        <v>2276</v>
      </c>
      <c r="K254" s="15" t="n">
        <v>262</v>
      </c>
      <c r="L254" s="0" t="s">
        <v>2277</v>
      </c>
    </row>
    <row r="255" customFormat="false" ht="15" hidden="false" customHeight="true" outlineLevel="0" collapsed="false">
      <c r="A255" s="0" t="n">
        <v>2</v>
      </c>
      <c r="B255" s="0" t="n">
        <v>596</v>
      </c>
      <c r="C255" s="0" t="s">
        <v>52</v>
      </c>
      <c r="D255" s="0" t="s">
        <v>2380</v>
      </c>
      <c r="E255" s="14" t="n">
        <v>46198</v>
      </c>
      <c r="F255" s="14" t="n">
        <v>46176</v>
      </c>
      <c r="G255" s="0" t="s">
        <v>694</v>
      </c>
      <c r="H255" s="0" t="n">
        <v>1306421</v>
      </c>
      <c r="I255" s="0" t="n">
        <v>11</v>
      </c>
      <c r="J255" s="0" t="s">
        <v>2276</v>
      </c>
      <c r="K255" s="15" t="n">
        <v>2829</v>
      </c>
      <c r="L255" s="0" t="s">
        <v>2277</v>
      </c>
    </row>
    <row r="256" customFormat="false" ht="15" hidden="false" customHeight="true" outlineLevel="0" collapsed="false">
      <c r="A256" s="0" t="n">
        <v>2</v>
      </c>
      <c r="B256" s="0" t="n">
        <v>847</v>
      </c>
      <c r="C256" s="0" t="s">
        <v>52</v>
      </c>
      <c r="D256" s="0" t="s">
        <v>2381</v>
      </c>
      <c r="E256" s="14" t="n">
        <v>46198</v>
      </c>
      <c r="F256" s="14" t="n">
        <v>46196</v>
      </c>
      <c r="G256" s="0" t="s">
        <v>666</v>
      </c>
      <c r="H256" s="0" t="n">
        <v>1304773</v>
      </c>
      <c r="I256" s="0" t="n">
        <v>1</v>
      </c>
      <c r="J256" s="0" t="s">
        <v>2276</v>
      </c>
      <c r="K256" s="15" t="n">
        <v>338.79</v>
      </c>
      <c r="L256" s="0" t="s">
        <v>2277</v>
      </c>
    </row>
    <row r="257" customFormat="false" ht="15" hidden="false" customHeight="true" outlineLevel="0" collapsed="false">
      <c r="A257" s="0" t="n">
        <v>2</v>
      </c>
      <c r="B257" s="0" t="n">
        <v>9495</v>
      </c>
      <c r="C257" s="0" t="s">
        <v>52</v>
      </c>
      <c r="D257" s="0" t="s">
        <v>2382</v>
      </c>
      <c r="E257" s="14" t="n">
        <v>46198</v>
      </c>
      <c r="F257" s="14" t="n">
        <v>46193</v>
      </c>
      <c r="G257" s="0" t="s">
        <v>659</v>
      </c>
      <c r="H257" s="0" t="n">
        <v>1305945</v>
      </c>
      <c r="I257" s="0" t="n">
        <v>1</v>
      </c>
      <c r="J257" s="0" t="s">
        <v>2276</v>
      </c>
      <c r="K257" s="15" t="n">
        <v>2655.92</v>
      </c>
      <c r="L257" s="0" t="s">
        <v>2277</v>
      </c>
    </row>
    <row r="258" customFormat="false" ht="15" hidden="false" customHeight="true" outlineLevel="0" collapsed="false">
      <c r="A258" s="0" t="n">
        <v>2</v>
      </c>
      <c r="B258" s="0" t="n">
        <v>1029069</v>
      </c>
      <c r="C258" s="0" t="s">
        <v>52</v>
      </c>
      <c r="D258" s="0" t="s">
        <v>2286</v>
      </c>
      <c r="E258" s="14" t="n">
        <v>46199</v>
      </c>
      <c r="F258" s="14" t="n">
        <v>46198</v>
      </c>
      <c r="G258" s="0" t="s">
        <v>228</v>
      </c>
      <c r="H258" s="0" t="n">
        <v>1309652</v>
      </c>
      <c r="I258" s="0" t="n">
        <v>1</v>
      </c>
      <c r="J258" s="0" t="s">
        <v>2276</v>
      </c>
      <c r="K258" s="15" t="n">
        <v>305.38</v>
      </c>
      <c r="L258" s="0" t="s">
        <v>2277</v>
      </c>
    </row>
    <row r="259" customFormat="false" ht="15" hidden="false" customHeight="true" outlineLevel="0" collapsed="false">
      <c r="A259" s="0" t="n">
        <v>2</v>
      </c>
      <c r="B259" s="0" t="n">
        <v>1420058</v>
      </c>
      <c r="C259" s="0" t="s">
        <v>52</v>
      </c>
      <c r="D259" s="0" t="s">
        <v>2331</v>
      </c>
      <c r="E259" s="14" t="n">
        <v>46199</v>
      </c>
      <c r="F259" s="14" t="n">
        <v>46196</v>
      </c>
      <c r="G259" s="0" t="s">
        <v>464</v>
      </c>
      <c r="H259" s="0" t="n">
        <v>1310309</v>
      </c>
      <c r="I259" s="0" t="n">
        <v>1</v>
      </c>
      <c r="J259" s="0" t="s">
        <v>2276</v>
      </c>
      <c r="K259" s="15" t="n">
        <v>418.83</v>
      </c>
      <c r="L259" s="0" t="s">
        <v>2277</v>
      </c>
    </row>
    <row r="260" customFormat="false" ht="15" hidden="false" customHeight="true" outlineLevel="0" collapsed="false">
      <c r="A260" s="0" t="n">
        <v>2</v>
      </c>
      <c r="B260" s="0" t="n">
        <v>1420059</v>
      </c>
      <c r="C260" s="0" t="s">
        <v>52</v>
      </c>
      <c r="D260" s="0" t="s">
        <v>2331</v>
      </c>
      <c r="E260" s="14" t="n">
        <v>46199</v>
      </c>
      <c r="F260" s="14" t="n">
        <v>46196</v>
      </c>
      <c r="G260" s="0" t="s">
        <v>464</v>
      </c>
      <c r="H260" s="0" t="n">
        <v>1310314</v>
      </c>
      <c r="I260" s="0" t="n">
        <v>11</v>
      </c>
      <c r="J260" s="0" t="s">
        <v>2276</v>
      </c>
      <c r="K260" s="15" t="n">
        <v>20.3</v>
      </c>
      <c r="L260" s="0" t="s">
        <v>2277</v>
      </c>
    </row>
    <row r="261" customFormat="false" ht="15" hidden="false" customHeight="true" outlineLevel="0" collapsed="false">
      <c r="A261" s="0" t="n">
        <v>2</v>
      </c>
      <c r="B261" s="0" t="n">
        <v>1600681</v>
      </c>
      <c r="C261" s="0" t="s">
        <v>52</v>
      </c>
      <c r="D261" s="0" t="s">
        <v>2327</v>
      </c>
      <c r="E261" s="14" t="n">
        <v>46199</v>
      </c>
      <c r="F261" s="14" t="n">
        <v>46199</v>
      </c>
      <c r="G261" s="0" t="s">
        <v>50</v>
      </c>
      <c r="H261" s="0" t="n">
        <v>1309874</v>
      </c>
      <c r="I261" s="0" t="n">
        <v>1</v>
      </c>
      <c r="J261" s="0" t="s">
        <v>2276</v>
      </c>
      <c r="K261" s="15" t="n">
        <v>3762.93</v>
      </c>
      <c r="L261" s="0" t="s">
        <v>2277</v>
      </c>
    </row>
    <row r="262" customFormat="false" ht="15" hidden="false" customHeight="true" outlineLevel="0" collapsed="false">
      <c r="A262" s="0" t="n">
        <v>2</v>
      </c>
      <c r="B262" s="0" t="n">
        <v>2510</v>
      </c>
      <c r="C262" s="0" t="s">
        <v>52</v>
      </c>
      <c r="D262" s="0" t="s">
        <v>2288</v>
      </c>
      <c r="E262" s="14" t="n">
        <v>46199</v>
      </c>
      <c r="F262" s="14" t="n">
        <v>46199</v>
      </c>
      <c r="G262" s="0" t="s">
        <v>153</v>
      </c>
      <c r="H262" s="0" t="n">
        <v>1310128</v>
      </c>
      <c r="I262" s="0" t="n">
        <v>6</v>
      </c>
      <c r="J262" s="0" t="s">
        <v>2276</v>
      </c>
      <c r="K262" s="15" t="n">
        <v>210</v>
      </c>
      <c r="L262" s="0" t="s">
        <v>2277</v>
      </c>
    </row>
    <row r="263" customFormat="false" ht="15" hidden="false" customHeight="true" outlineLevel="0" collapsed="false">
      <c r="A263" s="0" t="n">
        <v>2</v>
      </c>
      <c r="B263" s="0" t="n">
        <v>2511</v>
      </c>
      <c r="C263" s="0" t="s">
        <v>52</v>
      </c>
      <c r="D263" s="0" t="s">
        <v>2288</v>
      </c>
      <c r="E263" s="14" t="n">
        <v>46199</v>
      </c>
      <c r="F263" s="14" t="n">
        <v>46199</v>
      </c>
      <c r="G263" s="0" t="s">
        <v>153</v>
      </c>
      <c r="H263" s="0" t="n">
        <v>1310262</v>
      </c>
      <c r="I263" s="0" t="n">
        <v>6</v>
      </c>
      <c r="J263" s="0" t="s">
        <v>2276</v>
      </c>
      <c r="K263" s="15" t="n">
        <v>1401.82</v>
      </c>
      <c r="L263" s="0" t="s">
        <v>2277</v>
      </c>
    </row>
    <row r="264" customFormat="false" ht="15" hidden="false" customHeight="true" outlineLevel="0" collapsed="false">
      <c r="A264" s="0" t="n">
        <v>2</v>
      </c>
      <c r="B264" s="0" t="n">
        <v>2662026</v>
      </c>
      <c r="C264" s="0" t="s">
        <v>52</v>
      </c>
      <c r="D264" s="0" t="s">
        <v>2288</v>
      </c>
      <c r="E264" s="14" t="n">
        <v>46199</v>
      </c>
      <c r="F264" s="14" t="n">
        <v>46199</v>
      </c>
      <c r="G264" s="0" t="s">
        <v>153</v>
      </c>
      <c r="H264" s="0" t="n">
        <v>1310249</v>
      </c>
      <c r="I264" s="0" t="n">
        <v>2</v>
      </c>
      <c r="J264" s="0" t="s">
        <v>2276</v>
      </c>
      <c r="K264" s="15" t="n">
        <v>1401.82</v>
      </c>
      <c r="L264" s="0" t="s">
        <v>2277</v>
      </c>
    </row>
    <row r="265" customFormat="false" ht="15" hidden="false" customHeight="true" outlineLevel="0" collapsed="false">
      <c r="A265" s="0" t="n">
        <v>2</v>
      </c>
      <c r="B265" s="0" t="n">
        <v>26626</v>
      </c>
      <c r="C265" s="0" t="s">
        <v>52</v>
      </c>
      <c r="D265" s="0" t="s">
        <v>2288</v>
      </c>
      <c r="E265" s="14" t="n">
        <v>46199</v>
      </c>
      <c r="F265" s="14" t="n">
        <v>46199</v>
      </c>
      <c r="G265" s="0" t="s">
        <v>153</v>
      </c>
      <c r="H265" s="0" t="n">
        <v>1310124</v>
      </c>
      <c r="I265" s="0" t="n">
        <v>2</v>
      </c>
      <c r="J265" s="0" t="s">
        <v>2276</v>
      </c>
      <c r="K265" s="15" t="n">
        <v>210</v>
      </c>
      <c r="L265" s="0" t="s">
        <v>2277</v>
      </c>
    </row>
    <row r="266" customFormat="false" ht="15" hidden="false" customHeight="true" outlineLevel="0" collapsed="false">
      <c r="A266" s="0" t="n">
        <v>2</v>
      </c>
      <c r="B266" s="0" t="n">
        <v>305929</v>
      </c>
      <c r="C266" s="0" t="s">
        <v>52</v>
      </c>
      <c r="D266" s="0" t="s">
        <v>2300</v>
      </c>
      <c r="E266" s="14" t="n">
        <v>46199</v>
      </c>
      <c r="F266" s="14" t="n">
        <v>46198</v>
      </c>
      <c r="G266" s="0" t="s">
        <v>248</v>
      </c>
      <c r="H266" s="0" t="n">
        <v>1310401</v>
      </c>
      <c r="I266" s="0" t="n">
        <v>1</v>
      </c>
      <c r="J266" s="0" t="s">
        <v>2276</v>
      </c>
      <c r="K266" s="15" t="n">
        <v>3552.2</v>
      </c>
      <c r="L266" s="0" t="s">
        <v>2277</v>
      </c>
    </row>
    <row r="267" customFormat="false" ht="15" hidden="false" customHeight="true" outlineLevel="0" collapsed="false">
      <c r="A267" s="0" t="n">
        <v>2</v>
      </c>
      <c r="B267" s="0" t="n">
        <v>31144</v>
      </c>
      <c r="C267" s="0" t="s">
        <v>52</v>
      </c>
      <c r="D267" s="0" t="s">
        <v>2294</v>
      </c>
      <c r="E267" s="14" t="n">
        <v>46199</v>
      </c>
      <c r="F267" s="14" t="n">
        <v>46198</v>
      </c>
      <c r="G267" s="0" t="s">
        <v>147</v>
      </c>
      <c r="H267" s="0" t="n">
        <v>1309632</v>
      </c>
      <c r="I267" s="0" t="n">
        <v>1</v>
      </c>
      <c r="J267" s="0" t="s">
        <v>2276</v>
      </c>
      <c r="K267" s="15" t="n">
        <v>199</v>
      </c>
      <c r="L267" s="0" t="s">
        <v>2277</v>
      </c>
    </row>
    <row r="268" customFormat="false" ht="15" hidden="false" customHeight="true" outlineLevel="0" collapsed="false">
      <c r="A268" s="0" t="n">
        <v>2</v>
      </c>
      <c r="B268" s="0" t="n">
        <v>685</v>
      </c>
      <c r="C268" s="0" t="s">
        <v>44</v>
      </c>
      <c r="D268" s="0" t="s">
        <v>2283</v>
      </c>
      <c r="E268" s="14" t="n">
        <v>46199</v>
      </c>
      <c r="F268" s="14" t="n">
        <v>46199</v>
      </c>
      <c r="G268" s="0" t="s">
        <v>204</v>
      </c>
      <c r="H268" s="0" t="n">
        <v>1310299</v>
      </c>
      <c r="I268" s="0" t="n">
        <v>1</v>
      </c>
      <c r="J268" s="0" t="s">
        <v>2276</v>
      </c>
      <c r="K268" s="15" t="n">
        <v>345.65</v>
      </c>
      <c r="L268" s="0" t="s">
        <v>2277</v>
      </c>
    </row>
    <row r="269" customFormat="false" ht="15" hidden="false" customHeight="true" outlineLevel="0" collapsed="false">
      <c r="A269" s="0" t="n">
        <v>2</v>
      </c>
      <c r="B269" s="0" t="n">
        <v>14560</v>
      </c>
      <c r="C269" s="0" t="s">
        <v>52</v>
      </c>
      <c r="D269" s="0" t="s">
        <v>2278</v>
      </c>
      <c r="E269" s="14" t="n">
        <v>46200</v>
      </c>
      <c r="F269" s="14" t="n">
        <v>46199</v>
      </c>
      <c r="G269" s="0" t="s">
        <v>270</v>
      </c>
      <c r="H269" s="0" t="n">
        <v>1313051</v>
      </c>
      <c r="I269" s="0" t="n">
        <v>1</v>
      </c>
      <c r="J269" s="0" t="s">
        <v>2276</v>
      </c>
      <c r="K269" s="15" t="n">
        <v>1997.03</v>
      </c>
      <c r="L269" s="0" t="s">
        <v>2277</v>
      </c>
    </row>
    <row r="270" customFormat="false" ht="15" hidden="false" customHeight="true" outlineLevel="0" collapsed="false">
      <c r="A270" s="0" t="n">
        <v>2</v>
      </c>
      <c r="B270" s="0" t="n">
        <v>1638704</v>
      </c>
      <c r="C270" s="0" t="s">
        <v>2280</v>
      </c>
      <c r="D270" s="0" t="s">
        <v>2281</v>
      </c>
      <c r="E270" s="14" t="n">
        <v>46200</v>
      </c>
      <c r="F270" s="14" t="n">
        <v>46199</v>
      </c>
      <c r="G270" s="0" t="s">
        <v>406</v>
      </c>
      <c r="H270" s="0" t="n">
        <v>1312567</v>
      </c>
      <c r="I270" s="0" t="n">
        <v>1</v>
      </c>
      <c r="J270" s="0" t="s">
        <v>2276</v>
      </c>
      <c r="K270" s="15" t="n">
        <v>54</v>
      </c>
      <c r="L270" s="0" t="s">
        <v>2277</v>
      </c>
    </row>
    <row r="271" customFormat="false" ht="15" hidden="false" customHeight="true" outlineLevel="0" collapsed="false">
      <c r="A271" s="0" t="n">
        <v>2</v>
      </c>
      <c r="B271" s="0" t="n">
        <v>18889</v>
      </c>
      <c r="C271" s="0" t="s">
        <v>89</v>
      </c>
      <c r="D271" s="0" t="s">
        <v>2322</v>
      </c>
      <c r="E271" s="14" t="n">
        <v>46200</v>
      </c>
      <c r="F271" s="14" t="n">
        <v>46199</v>
      </c>
      <c r="G271" s="0" t="s">
        <v>390</v>
      </c>
      <c r="H271" s="0" t="n">
        <v>1312835</v>
      </c>
      <c r="I271" s="0" t="n">
        <v>1</v>
      </c>
      <c r="J271" s="0" t="s">
        <v>2276</v>
      </c>
      <c r="K271" s="15" t="n">
        <v>796.74</v>
      </c>
      <c r="L271" s="0" t="s">
        <v>2277</v>
      </c>
    </row>
    <row r="272" customFormat="false" ht="15" hidden="false" customHeight="true" outlineLevel="0" collapsed="false">
      <c r="A272" s="0" t="n">
        <v>2</v>
      </c>
      <c r="B272" s="0" t="n">
        <v>305</v>
      </c>
      <c r="C272" s="0" t="s">
        <v>52</v>
      </c>
      <c r="D272" s="0" t="s">
        <v>2311</v>
      </c>
      <c r="E272" s="14" t="n">
        <v>46200</v>
      </c>
      <c r="F272" s="14" t="n">
        <v>46185</v>
      </c>
      <c r="G272" s="0" t="s">
        <v>2312</v>
      </c>
      <c r="H272" s="0" t="n">
        <v>1312808</v>
      </c>
      <c r="I272" s="0" t="n">
        <v>1</v>
      </c>
      <c r="J272" s="0" t="s">
        <v>2276</v>
      </c>
      <c r="K272" s="15" t="n">
        <v>212</v>
      </c>
      <c r="L272" s="0" t="s">
        <v>2277</v>
      </c>
    </row>
    <row r="273" customFormat="false" ht="15" hidden="false" customHeight="true" outlineLevel="0" collapsed="false">
      <c r="A273" s="0" t="n">
        <v>2</v>
      </c>
      <c r="B273" s="0" t="n">
        <v>316</v>
      </c>
      <c r="C273" s="0" t="s">
        <v>52</v>
      </c>
      <c r="D273" s="0" t="s">
        <v>2289</v>
      </c>
      <c r="E273" s="14" t="n">
        <v>46200</v>
      </c>
      <c r="F273" s="14" t="n">
        <v>46198</v>
      </c>
      <c r="G273" s="0" t="s">
        <v>216</v>
      </c>
      <c r="H273" s="0" t="n">
        <v>1312574</v>
      </c>
      <c r="I273" s="0" t="n">
        <v>1</v>
      </c>
      <c r="J273" s="0" t="s">
        <v>2276</v>
      </c>
      <c r="K273" s="15" t="n">
        <v>899.95</v>
      </c>
      <c r="L273" s="0" t="s">
        <v>2277</v>
      </c>
    </row>
    <row r="274" customFormat="false" ht="15" hidden="false" customHeight="true" outlineLevel="0" collapsed="false">
      <c r="A274" s="0" t="n">
        <v>2</v>
      </c>
      <c r="B274" s="0" t="n">
        <v>325</v>
      </c>
      <c r="C274" s="0" t="s">
        <v>52</v>
      </c>
      <c r="D274" s="0" t="s">
        <v>2311</v>
      </c>
      <c r="E274" s="14" t="n">
        <v>46200</v>
      </c>
      <c r="F274" s="14" t="n">
        <v>46199</v>
      </c>
      <c r="G274" s="0" t="s">
        <v>2312</v>
      </c>
      <c r="H274" s="0" t="n">
        <v>1312818</v>
      </c>
      <c r="I274" s="0" t="n">
        <v>1</v>
      </c>
      <c r="J274" s="0" t="s">
        <v>2276</v>
      </c>
      <c r="K274" s="15" t="n">
        <v>310</v>
      </c>
      <c r="L274" s="0" t="s">
        <v>2277</v>
      </c>
    </row>
    <row r="275" customFormat="false" ht="15" hidden="false" customHeight="true" outlineLevel="0" collapsed="false">
      <c r="A275" s="0" t="n">
        <v>2</v>
      </c>
      <c r="B275" s="0" t="n">
        <v>564993</v>
      </c>
      <c r="C275" s="0" t="s">
        <v>2316</v>
      </c>
      <c r="D275" s="0" t="s">
        <v>2317</v>
      </c>
      <c r="E275" s="14" t="n">
        <v>46200</v>
      </c>
      <c r="F275" s="14" t="n">
        <v>46197</v>
      </c>
      <c r="G275" s="0" t="s">
        <v>266</v>
      </c>
      <c r="H275" s="0" t="n">
        <v>1312633</v>
      </c>
      <c r="I275" s="0" t="n">
        <v>11</v>
      </c>
      <c r="J275" s="0" t="s">
        <v>2276</v>
      </c>
      <c r="K275" s="15" t="n">
        <v>17128.52</v>
      </c>
      <c r="L275" s="0" t="s">
        <v>2277</v>
      </c>
    </row>
    <row r="276" customFormat="false" ht="15" hidden="false" customHeight="true" outlineLevel="0" collapsed="false">
      <c r="A276" s="0" t="n">
        <v>2</v>
      </c>
      <c r="B276" s="0" t="n">
        <v>5720</v>
      </c>
      <c r="C276" s="0" t="s">
        <v>52</v>
      </c>
      <c r="D276" s="0" t="s">
        <v>2302</v>
      </c>
      <c r="E276" s="14" t="n">
        <v>46200</v>
      </c>
      <c r="F276" s="14" t="n">
        <v>46200</v>
      </c>
      <c r="G276" s="0" t="s">
        <v>2303</v>
      </c>
      <c r="H276" s="0" t="n">
        <v>1312583</v>
      </c>
      <c r="I276" s="0" t="n">
        <v>1</v>
      </c>
      <c r="J276" s="0" t="s">
        <v>2276</v>
      </c>
      <c r="K276" s="15" t="n">
        <v>358.65</v>
      </c>
      <c r="L276" s="0" t="s">
        <v>2277</v>
      </c>
    </row>
    <row r="277" customFormat="false" ht="15" hidden="false" customHeight="true" outlineLevel="0" collapsed="false">
      <c r="A277" s="0" t="n">
        <v>2</v>
      </c>
      <c r="B277" s="0" t="n">
        <v>77922</v>
      </c>
      <c r="C277" s="0" t="s">
        <v>52</v>
      </c>
      <c r="D277" s="0" t="s">
        <v>2383</v>
      </c>
      <c r="E277" s="14" t="n">
        <v>46200</v>
      </c>
      <c r="F277" s="14" t="n">
        <v>46197</v>
      </c>
      <c r="G277" s="0" t="s">
        <v>825</v>
      </c>
      <c r="H277" s="0" t="n">
        <v>1312612</v>
      </c>
      <c r="I277" s="0" t="n">
        <v>1</v>
      </c>
      <c r="J277" s="0" t="s">
        <v>2276</v>
      </c>
      <c r="K277" s="15" t="n">
        <v>155.16</v>
      </c>
      <c r="L277" s="0" t="s">
        <v>2277</v>
      </c>
    </row>
    <row r="278" customFormat="false" ht="15" hidden="false" customHeight="true" outlineLevel="0" collapsed="false">
      <c r="A278" s="0" t="n">
        <v>2</v>
      </c>
      <c r="B278" s="0" t="n">
        <v>1180339</v>
      </c>
      <c r="C278" s="0" t="s">
        <v>80</v>
      </c>
      <c r="D278" s="0" t="s">
        <v>2275</v>
      </c>
      <c r="E278" s="14" t="n">
        <v>46202</v>
      </c>
      <c r="F278" s="14" t="n">
        <v>46199</v>
      </c>
      <c r="G278" s="0" t="s">
        <v>130</v>
      </c>
      <c r="H278" s="0" t="n">
        <v>1322169</v>
      </c>
      <c r="I278" s="0" t="n">
        <v>1</v>
      </c>
      <c r="J278" s="0" t="s">
        <v>2276</v>
      </c>
      <c r="K278" s="15" t="n">
        <v>29.3</v>
      </c>
      <c r="L278" s="0" t="s">
        <v>2277</v>
      </c>
    </row>
    <row r="279" customFormat="false" ht="15" hidden="false" customHeight="true" outlineLevel="0" collapsed="false">
      <c r="A279" s="0" t="n">
        <v>2</v>
      </c>
      <c r="B279" s="0" t="n">
        <v>14569</v>
      </c>
      <c r="C279" s="0" t="s">
        <v>52</v>
      </c>
      <c r="D279" s="0" t="s">
        <v>2278</v>
      </c>
      <c r="E279" s="14" t="n">
        <v>46202</v>
      </c>
      <c r="F279" s="14" t="n">
        <v>46200</v>
      </c>
      <c r="G279" s="0" t="s">
        <v>270</v>
      </c>
      <c r="H279" s="0" t="n">
        <v>1322010</v>
      </c>
      <c r="I279" s="0" t="n">
        <v>1</v>
      </c>
      <c r="J279" s="0" t="s">
        <v>2276</v>
      </c>
      <c r="K279" s="15" t="n">
        <v>2606.5</v>
      </c>
      <c r="L279" s="0" t="s">
        <v>2277</v>
      </c>
    </row>
    <row r="280" customFormat="false" ht="15" hidden="false" customHeight="true" outlineLevel="0" collapsed="false">
      <c r="A280" s="0" t="n">
        <v>2</v>
      </c>
      <c r="B280" s="0" t="n">
        <v>1638958</v>
      </c>
      <c r="C280" s="0" t="s">
        <v>2280</v>
      </c>
      <c r="D280" s="0" t="s">
        <v>2281</v>
      </c>
      <c r="E280" s="14" t="n">
        <v>46202</v>
      </c>
      <c r="F280" s="14" t="n">
        <v>46200</v>
      </c>
      <c r="G280" s="0" t="s">
        <v>406</v>
      </c>
      <c r="H280" s="0" t="n">
        <v>1321679</v>
      </c>
      <c r="I280" s="0" t="n">
        <v>1</v>
      </c>
      <c r="J280" s="0" t="s">
        <v>2276</v>
      </c>
      <c r="K280" s="15" t="n">
        <v>115.5</v>
      </c>
      <c r="L280" s="0" t="s">
        <v>2277</v>
      </c>
    </row>
    <row r="281" customFormat="false" ht="15" hidden="false" customHeight="true" outlineLevel="0" collapsed="false">
      <c r="A281" s="0" t="n">
        <v>2</v>
      </c>
      <c r="B281" s="0" t="n">
        <v>1906109</v>
      </c>
      <c r="C281" s="0" t="s">
        <v>36</v>
      </c>
      <c r="D281" s="0" t="s">
        <v>2275</v>
      </c>
      <c r="E281" s="14" t="n">
        <v>46202</v>
      </c>
      <c r="F281" s="14" t="n">
        <v>46199</v>
      </c>
      <c r="G281" s="0" t="s">
        <v>130</v>
      </c>
      <c r="H281" s="0" t="n">
        <v>1322190</v>
      </c>
      <c r="I281" s="0" t="n">
        <v>1</v>
      </c>
      <c r="J281" s="0" t="s">
        <v>2276</v>
      </c>
      <c r="K281" s="15" t="n">
        <v>970.33</v>
      </c>
      <c r="L281" s="0" t="s">
        <v>2277</v>
      </c>
    </row>
    <row r="282" customFormat="false" ht="15" hidden="false" customHeight="true" outlineLevel="0" collapsed="false">
      <c r="A282" s="0" t="n">
        <v>2</v>
      </c>
      <c r="B282" s="0" t="n">
        <v>1906318</v>
      </c>
      <c r="C282" s="0" t="s">
        <v>36</v>
      </c>
      <c r="D282" s="0" t="s">
        <v>2275</v>
      </c>
      <c r="E282" s="14" t="n">
        <v>46202</v>
      </c>
      <c r="F282" s="14" t="n">
        <v>46199</v>
      </c>
      <c r="G282" s="0" t="s">
        <v>130</v>
      </c>
      <c r="H282" s="0" t="n">
        <v>1322180</v>
      </c>
      <c r="I282" s="0" t="n">
        <v>1</v>
      </c>
      <c r="J282" s="0" t="s">
        <v>2276</v>
      </c>
      <c r="K282" s="15" t="n">
        <v>156.29</v>
      </c>
      <c r="L282" s="0" t="s">
        <v>2277</v>
      </c>
    </row>
    <row r="283" customFormat="false" ht="15" hidden="false" customHeight="true" outlineLevel="0" collapsed="false">
      <c r="A283" s="0" t="n">
        <v>2</v>
      </c>
      <c r="B283" s="0" t="n">
        <v>2516</v>
      </c>
      <c r="C283" s="0" t="s">
        <v>52</v>
      </c>
      <c r="D283" s="0" t="s">
        <v>2288</v>
      </c>
      <c r="E283" s="14" t="n">
        <v>46202</v>
      </c>
      <c r="F283" s="14" t="n">
        <v>46202</v>
      </c>
      <c r="G283" s="0" t="s">
        <v>153</v>
      </c>
      <c r="H283" s="0" t="n">
        <v>1324941</v>
      </c>
      <c r="I283" s="0" t="n">
        <v>6</v>
      </c>
      <c r="J283" s="0" t="s">
        <v>2276</v>
      </c>
      <c r="K283" s="15" t="n">
        <v>210</v>
      </c>
      <c r="L283" s="0" t="s">
        <v>2277</v>
      </c>
    </row>
    <row r="284" customFormat="false" ht="15" hidden="false" customHeight="true" outlineLevel="0" collapsed="false">
      <c r="A284" s="0" t="n">
        <v>2</v>
      </c>
      <c r="B284" s="0" t="n">
        <v>29626</v>
      </c>
      <c r="C284" s="0" t="s">
        <v>52</v>
      </c>
      <c r="D284" s="0" t="s">
        <v>2288</v>
      </c>
      <c r="E284" s="14" t="n">
        <v>46202</v>
      </c>
      <c r="F284" s="14" t="n">
        <v>46202</v>
      </c>
      <c r="G284" s="0" t="s">
        <v>153</v>
      </c>
      <c r="H284" s="0" t="n">
        <v>1324904</v>
      </c>
      <c r="I284" s="0" t="n">
        <v>2</v>
      </c>
      <c r="J284" s="0" t="s">
        <v>2276</v>
      </c>
      <c r="K284" s="15" t="n">
        <v>210</v>
      </c>
      <c r="L284" s="0" t="s">
        <v>2277</v>
      </c>
    </row>
    <row r="285" customFormat="false" ht="15" hidden="false" customHeight="true" outlineLevel="0" collapsed="false">
      <c r="A285" s="0" t="n">
        <v>2</v>
      </c>
      <c r="B285" s="0" t="n">
        <v>389368</v>
      </c>
      <c r="C285" s="0" t="s">
        <v>52</v>
      </c>
      <c r="D285" s="0" t="s">
        <v>2301</v>
      </c>
      <c r="E285" s="14" t="n">
        <v>46202</v>
      </c>
      <c r="F285" s="14" t="n">
        <v>46198</v>
      </c>
      <c r="G285" s="0" t="s">
        <v>172</v>
      </c>
      <c r="H285" s="0" t="n">
        <v>1321921</v>
      </c>
      <c r="I285" s="0" t="n">
        <v>11</v>
      </c>
      <c r="J285" s="0" t="s">
        <v>2276</v>
      </c>
      <c r="K285" s="15" t="n">
        <v>743.76</v>
      </c>
      <c r="L285" s="0" t="s">
        <v>2277</v>
      </c>
    </row>
    <row r="286" customFormat="false" ht="15" hidden="false" customHeight="true" outlineLevel="0" collapsed="false">
      <c r="A286" s="0" t="n">
        <v>2</v>
      </c>
      <c r="B286" s="0" t="n">
        <v>513</v>
      </c>
      <c r="C286" s="0" t="s">
        <v>52</v>
      </c>
      <c r="D286" s="0" t="s">
        <v>2291</v>
      </c>
      <c r="E286" s="14" t="n">
        <v>46202</v>
      </c>
      <c r="F286" s="14" t="n">
        <v>46199</v>
      </c>
      <c r="G286" s="0" t="s">
        <v>123</v>
      </c>
      <c r="H286" s="0" t="n">
        <v>1321674</v>
      </c>
      <c r="I286" s="0" t="n">
        <v>1</v>
      </c>
      <c r="J286" s="0" t="s">
        <v>2276</v>
      </c>
      <c r="K286" s="15" t="n">
        <v>180</v>
      </c>
      <c r="L286" s="0" t="s">
        <v>2277</v>
      </c>
    </row>
    <row r="287" customFormat="false" ht="15" hidden="false" customHeight="true" outlineLevel="0" collapsed="false">
      <c r="A287" s="0" t="n">
        <v>2</v>
      </c>
      <c r="B287" s="0" t="n">
        <v>877177</v>
      </c>
      <c r="C287" s="0" t="s">
        <v>2340</v>
      </c>
      <c r="D287" s="0" t="s">
        <v>2341</v>
      </c>
      <c r="E287" s="14" t="n">
        <v>46202</v>
      </c>
      <c r="F287" s="14" t="n">
        <v>46198</v>
      </c>
      <c r="G287" s="0" t="s">
        <v>232</v>
      </c>
      <c r="H287" s="0" t="n">
        <v>1321849</v>
      </c>
      <c r="I287" s="0" t="n">
        <v>1</v>
      </c>
      <c r="J287" s="0" t="s">
        <v>2276</v>
      </c>
      <c r="K287" s="15" t="n">
        <v>2453.23</v>
      </c>
      <c r="L287" s="0" t="s">
        <v>2277</v>
      </c>
    </row>
    <row r="288" customFormat="false" ht="15" hidden="false" customHeight="true" outlineLevel="0" collapsed="false">
      <c r="A288" s="0" t="n">
        <v>2</v>
      </c>
      <c r="B288" s="0" t="n">
        <v>1639400</v>
      </c>
      <c r="C288" s="0" t="s">
        <v>2280</v>
      </c>
      <c r="D288" s="0" t="s">
        <v>2281</v>
      </c>
      <c r="E288" s="14" t="n">
        <v>46203</v>
      </c>
      <c r="F288" s="14" t="n">
        <v>46202</v>
      </c>
      <c r="G288" s="0" t="s">
        <v>406</v>
      </c>
      <c r="H288" s="0" t="n">
        <v>1329534</v>
      </c>
      <c r="I288" s="0" t="n">
        <v>1</v>
      </c>
      <c r="J288" s="0" t="s">
        <v>2276</v>
      </c>
      <c r="K288" s="15" t="n">
        <v>130</v>
      </c>
      <c r="L288" s="0" t="s">
        <v>2277</v>
      </c>
    </row>
    <row r="289" customFormat="false" ht="15" hidden="false" customHeight="true" outlineLevel="0" collapsed="false">
      <c r="A289" s="0" t="n">
        <v>2</v>
      </c>
      <c r="B289" s="0" t="n">
        <v>2517</v>
      </c>
      <c r="C289" s="0" t="s">
        <v>52</v>
      </c>
      <c r="D289" s="0" t="s">
        <v>2288</v>
      </c>
      <c r="E289" s="14" t="n">
        <v>46203</v>
      </c>
      <c r="F289" s="14" t="n">
        <v>46203</v>
      </c>
      <c r="G289" s="0" t="s">
        <v>153</v>
      </c>
      <c r="H289" s="0" t="n">
        <v>1330477</v>
      </c>
      <c r="I289" s="0" t="n">
        <v>6</v>
      </c>
      <c r="J289" s="0" t="s">
        <v>2276</v>
      </c>
      <c r="K289" s="15" t="n">
        <v>1748.86</v>
      </c>
      <c r="L289" s="0" t="s">
        <v>2277</v>
      </c>
    </row>
    <row r="290" customFormat="false" ht="15" hidden="false" customHeight="true" outlineLevel="0" collapsed="false">
      <c r="A290" s="0" t="n">
        <v>2</v>
      </c>
      <c r="B290" s="0" t="n">
        <v>30626</v>
      </c>
      <c r="C290" s="0" t="s">
        <v>52</v>
      </c>
      <c r="D290" s="0" t="s">
        <v>2288</v>
      </c>
      <c r="E290" s="14" t="n">
        <v>46203</v>
      </c>
      <c r="F290" s="14" t="n">
        <v>46203</v>
      </c>
      <c r="G290" s="0" t="s">
        <v>153</v>
      </c>
      <c r="H290" s="0" t="n">
        <v>1330472</v>
      </c>
      <c r="I290" s="0" t="n">
        <v>2</v>
      </c>
      <c r="J290" s="0" t="s">
        <v>2276</v>
      </c>
      <c r="K290" s="15" t="n">
        <v>1748.86</v>
      </c>
      <c r="L290" s="0" t="s">
        <v>2277</v>
      </c>
    </row>
    <row r="291" customFormat="false" ht="15" hidden="false" customHeight="true" outlineLevel="0" collapsed="false">
      <c r="A291" s="0" t="n">
        <v>2</v>
      </c>
      <c r="B291" s="0" t="n">
        <v>3453</v>
      </c>
      <c r="C291" s="0" t="s">
        <v>52</v>
      </c>
      <c r="D291" s="0" t="s">
        <v>2299</v>
      </c>
      <c r="E291" s="14" t="n">
        <v>46203</v>
      </c>
      <c r="F291" s="14" t="n">
        <v>46203</v>
      </c>
      <c r="G291" s="0" t="s">
        <v>174</v>
      </c>
      <c r="H291" s="0" t="n">
        <v>1330369</v>
      </c>
      <c r="I291" s="0" t="n">
        <v>1</v>
      </c>
      <c r="J291" s="0" t="s">
        <v>2276</v>
      </c>
      <c r="K291" s="15" t="n">
        <v>122</v>
      </c>
      <c r="L291" s="0" t="s">
        <v>2277</v>
      </c>
    </row>
    <row r="292" customFormat="false" ht="15" hidden="false" customHeight="true" outlineLevel="0" collapsed="false">
      <c r="A292" s="0" t="n">
        <v>2</v>
      </c>
      <c r="B292" s="0" t="n">
        <v>515</v>
      </c>
      <c r="C292" s="0" t="s">
        <v>52</v>
      </c>
      <c r="D292" s="0" t="s">
        <v>2291</v>
      </c>
      <c r="E292" s="14" t="n">
        <v>46203</v>
      </c>
      <c r="F292" s="14" t="n">
        <v>46202</v>
      </c>
      <c r="G292" s="0" t="s">
        <v>123</v>
      </c>
      <c r="H292" s="0" t="n">
        <v>1330382</v>
      </c>
      <c r="I292" s="0" t="n">
        <v>1</v>
      </c>
      <c r="J292" s="0" t="s">
        <v>2276</v>
      </c>
      <c r="K292" s="15" t="n">
        <v>180</v>
      </c>
      <c r="L292" s="0" t="s">
        <v>2277</v>
      </c>
    </row>
    <row r="293" customFormat="false" ht="15" hidden="false" customHeight="true" outlineLevel="0" collapsed="false">
      <c r="A293" s="0" t="n">
        <v>2</v>
      </c>
      <c r="B293" s="0" t="n">
        <v>1726</v>
      </c>
      <c r="C293" s="0" t="s">
        <v>52</v>
      </c>
      <c r="D293" s="0" t="s">
        <v>2288</v>
      </c>
      <c r="E293" s="14" t="n">
        <v>46204</v>
      </c>
      <c r="F293" s="14" t="n">
        <v>46204</v>
      </c>
      <c r="G293" s="0" t="s">
        <v>153</v>
      </c>
      <c r="H293" s="0" t="n">
        <v>1334962</v>
      </c>
      <c r="I293" s="0" t="n">
        <v>2</v>
      </c>
      <c r="J293" s="0" t="s">
        <v>2276</v>
      </c>
      <c r="K293" s="15" t="n">
        <v>210</v>
      </c>
      <c r="L293" s="0" t="s">
        <v>2277</v>
      </c>
    </row>
    <row r="294" customFormat="false" ht="15" hidden="false" customHeight="true" outlineLevel="0" collapsed="false">
      <c r="A294" s="0" t="n">
        <v>2</v>
      </c>
      <c r="B294" s="0" t="n">
        <v>1777487</v>
      </c>
      <c r="C294" s="0" t="s">
        <v>2337</v>
      </c>
      <c r="D294" s="0" t="s">
        <v>2338</v>
      </c>
      <c r="E294" s="14" t="n">
        <v>46204</v>
      </c>
      <c r="F294" s="14" t="n">
        <v>46203</v>
      </c>
      <c r="G294" s="0" t="s">
        <v>178</v>
      </c>
      <c r="H294" s="0" t="n">
        <v>1333898</v>
      </c>
      <c r="I294" s="0" t="n">
        <v>1</v>
      </c>
      <c r="J294" s="0" t="s">
        <v>2276</v>
      </c>
      <c r="K294" s="15" t="n">
        <v>1626.33</v>
      </c>
      <c r="L294" s="0" t="s">
        <v>2277</v>
      </c>
    </row>
    <row r="295" customFormat="false" ht="15" hidden="false" customHeight="true" outlineLevel="0" collapsed="false">
      <c r="A295" s="0" t="n">
        <v>2</v>
      </c>
      <c r="B295" s="0" t="n">
        <v>2520</v>
      </c>
      <c r="C295" s="0" t="s">
        <v>52</v>
      </c>
      <c r="D295" s="0" t="s">
        <v>2288</v>
      </c>
      <c r="E295" s="14" t="n">
        <v>46204</v>
      </c>
      <c r="F295" s="14" t="n">
        <v>46204</v>
      </c>
      <c r="G295" s="0" t="s">
        <v>153</v>
      </c>
      <c r="H295" s="0" t="n">
        <v>1334970</v>
      </c>
      <c r="I295" s="0" t="n">
        <v>6</v>
      </c>
      <c r="J295" s="0" t="s">
        <v>2276</v>
      </c>
      <c r="K295" s="15" t="n">
        <v>210</v>
      </c>
      <c r="L295" s="0" t="s">
        <v>2277</v>
      </c>
    </row>
    <row r="296" customFormat="false" ht="15" hidden="false" customHeight="true" outlineLevel="0" collapsed="false">
      <c r="A296" s="0" t="n">
        <v>2</v>
      </c>
      <c r="B296" s="0" t="n">
        <v>31492</v>
      </c>
      <c r="C296" s="0" t="s">
        <v>52</v>
      </c>
      <c r="D296" s="0" t="s">
        <v>2296</v>
      </c>
      <c r="E296" s="14" t="n">
        <v>46204</v>
      </c>
      <c r="F296" s="14" t="n">
        <v>46203</v>
      </c>
      <c r="G296" s="0" t="s">
        <v>162</v>
      </c>
      <c r="H296" s="0" t="n">
        <v>1334341</v>
      </c>
      <c r="I296" s="0" t="n">
        <v>1</v>
      </c>
      <c r="J296" s="0" t="s">
        <v>2276</v>
      </c>
      <c r="K296" s="15" t="n">
        <v>3140</v>
      </c>
      <c r="L296" s="0" t="s">
        <v>2277</v>
      </c>
    </row>
    <row r="297" customFormat="false" ht="15" hidden="false" customHeight="true" outlineLevel="0" collapsed="false">
      <c r="A297" s="0" t="n">
        <v>2</v>
      </c>
      <c r="B297" s="0" t="n">
        <v>3507</v>
      </c>
      <c r="C297" s="0" t="s">
        <v>52</v>
      </c>
      <c r="D297" s="0" t="s">
        <v>2282</v>
      </c>
      <c r="E297" s="14" t="n">
        <v>46204</v>
      </c>
      <c r="F297" s="14" t="n">
        <v>46203</v>
      </c>
      <c r="G297" s="0" t="s">
        <v>209</v>
      </c>
      <c r="H297" s="0" t="n">
        <v>1333861</v>
      </c>
      <c r="I297" s="0" t="n">
        <v>1</v>
      </c>
      <c r="J297" s="0" t="s">
        <v>2276</v>
      </c>
      <c r="K297" s="15" t="n">
        <v>589.5</v>
      </c>
      <c r="L297" s="0" t="s">
        <v>2277</v>
      </c>
    </row>
    <row r="298" customFormat="false" ht="15" hidden="false" customHeight="true" outlineLevel="0" collapsed="false">
      <c r="A298" s="0" t="n">
        <v>2</v>
      </c>
      <c r="B298" s="0" t="n">
        <v>3933</v>
      </c>
      <c r="C298" s="0" t="s">
        <v>52</v>
      </c>
      <c r="D298" s="0" t="s">
        <v>2290</v>
      </c>
      <c r="E298" s="14" t="n">
        <v>46204</v>
      </c>
      <c r="F298" s="14" t="n">
        <v>46203</v>
      </c>
      <c r="G298" s="0" t="s">
        <v>95</v>
      </c>
      <c r="H298" s="0" t="n">
        <v>1335310</v>
      </c>
      <c r="I298" s="0" t="n">
        <v>1</v>
      </c>
      <c r="J298" s="0" t="s">
        <v>2276</v>
      </c>
      <c r="K298" s="15" t="n">
        <v>236.18</v>
      </c>
      <c r="L298" s="0" t="s">
        <v>2277</v>
      </c>
    </row>
    <row r="299" customFormat="false" ht="15" hidden="false" customHeight="true" outlineLevel="0" collapsed="false">
      <c r="A299" s="0" t="n">
        <v>2</v>
      </c>
      <c r="B299" s="0" t="n">
        <v>576435</v>
      </c>
      <c r="C299" s="0" t="s">
        <v>52</v>
      </c>
      <c r="D299" s="0" t="s">
        <v>2384</v>
      </c>
      <c r="E299" s="14" t="n">
        <v>46204</v>
      </c>
      <c r="F299" s="14" t="n">
        <v>46192</v>
      </c>
      <c r="G299" s="0" t="s">
        <v>119</v>
      </c>
      <c r="H299" s="0" t="n">
        <v>1335414</v>
      </c>
      <c r="I299" s="0" t="n">
        <v>1</v>
      </c>
      <c r="J299" s="0" t="s">
        <v>2276</v>
      </c>
      <c r="K299" s="15" t="n">
        <v>296</v>
      </c>
      <c r="L299" s="0" t="s">
        <v>2277</v>
      </c>
    </row>
    <row r="300" customFormat="false" ht="15" hidden="false" customHeight="true" outlineLevel="0" collapsed="false">
      <c r="A300" s="0" t="n">
        <v>2</v>
      </c>
      <c r="B300" s="0" t="n">
        <v>690</v>
      </c>
      <c r="C300" s="0" t="s">
        <v>44</v>
      </c>
      <c r="D300" s="0" t="s">
        <v>2283</v>
      </c>
      <c r="E300" s="14" t="n">
        <v>46204</v>
      </c>
      <c r="F300" s="14" t="n">
        <v>46203</v>
      </c>
      <c r="G300" s="0" t="s">
        <v>204</v>
      </c>
      <c r="H300" s="0" t="n">
        <v>1333879</v>
      </c>
      <c r="I300" s="0" t="n">
        <v>1</v>
      </c>
      <c r="J300" s="0" t="s">
        <v>2276</v>
      </c>
      <c r="K300" s="15" t="n">
        <v>304.75</v>
      </c>
      <c r="L300" s="0" t="s">
        <v>2277</v>
      </c>
    </row>
    <row r="301" customFormat="false" ht="15" hidden="false" customHeight="true" outlineLevel="0" collapsed="false">
      <c r="A301" s="0" t="n">
        <v>2</v>
      </c>
      <c r="B301" s="0" t="n">
        <v>1640710</v>
      </c>
      <c r="C301" s="0" t="s">
        <v>2280</v>
      </c>
      <c r="D301" s="0" t="s">
        <v>2281</v>
      </c>
      <c r="E301" s="14" t="n">
        <v>46205</v>
      </c>
      <c r="F301" s="14" t="n">
        <v>46204</v>
      </c>
      <c r="G301" s="0" t="s">
        <v>406</v>
      </c>
      <c r="H301" s="0" t="n">
        <v>1338988</v>
      </c>
      <c r="I301" s="0" t="n">
        <v>1</v>
      </c>
      <c r="J301" s="0" t="s">
        <v>2276</v>
      </c>
      <c r="K301" s="15" t="n">
        <v>123</v>
      </c>
      <c r="L301" s="0" t="s">
        <v>2277</v>
      </c>
    </row>
    <row r="302" customFormat="false" ht="15" hidden="false" customHeight="true" outlineLevel="0" collapsed="false">
      <c r="A302" s="0" t="n">
        <v>2</v>
      </c>
      <c r="B302" s="0" t="n">
        <v>196323</v>
      </c>
      <c r="C302" s="0" t="s">
        <v>52</v>
      </c>
      <c r="D302" s="0" t="s">
        <v>2297</v>
      </c>
      <c r="E302" s="14" t="n">
        <v>46205</v>
      </c>
      <c r="F302" s="14" t="n">
        <v>46205</v>
      </c>
      <c r="G302" s="0" t="s">
        <v>197</v>
      </c>
      <c r="H302" s="0" t="n">
        <v>1339497</v>
      </c>
      <c r="I302" s="0" t="n">
        <v>1</v>
      </c>
      <c r="J302" s="0" t="s">
        <v>2276</v>
      </c>
      <c r="K302" s="15" t="n">
        <v>652.4</v>
      </c>
      <c r="L302" s="0" t="s">
        <v>2277</v>
      </c>
    </row>
    <row r="303" customFormat="false" ht="15" hidden="false" customHeight="true" outlineLevel="0" collapsed="false">
      <c r="A303" s="0" t="n">
        <v>2</v>
      </c>
      <c r="B303" s="0" t="n">
        <v>254582</v>
      </c>
      <c r="C303" s="0" t="s">
        <v>52</v>
      </c>
      <c r="D303" s="0" t="s">
        <v>2323</v>
      </c>
      <c r="E303" s="14" t="n">
        <v>46205</v>
      </c>
      <c r="F303" s="14" t="n">
        <v>46204</v>
      </c>
      <c r="G303" s="0" t="s">
        <v>566</v>
      </c>
      <c r="H303" s="0" t="n">
        <v>1339667</v>
      </c>
      <c r="I303" s="0" t="n">
        <v>1</v>
      </c>
      <c r="J303" s="0" t="s">
        <v>2276</v>
      </c>
      <c r="K303" s="15" t="n">
        <v>868.37</v>
      </c>
      <c r="L303" s="0" t="s">
        <v>2277</v>
      </c>
    </row>
    <row r="304" customFormat="false" ht="15" hidden="false" customHeight="true" outlineLevel="0" collapsed="false">
      <c r="A304" s="0" t="n">
        <v>2</v>
      </c>
      <c r="B304" s="0" t="n">
        <v>390211</v>
      </c>
      <c r="C304" s="0" t="s">
        <v>52</v>
      </c>
      <c r="D304" s="0" t="s">
        <v>2301</v>
      </c>
      <c r="E304" s="14" t="n">
        <v>46205</v>
      </c>
      <c r="F304" s="14" t="n">
        <v>46204</v>
      </c>
      <c r="G304" s="0" t="s">
        <v>172</v>
      </c>
      <c r="H304" s="0" t="n">
        <v>1339618</v>
      </c>
      <c r="I304" s="0" t="n">
        <v>1</v>
      </c>
      <c r="J304" s="0" t="s">
        <v>2276</v>
      </c>
      <c r="K304" s="15" t="n">
        <v>6016.34</v>
      </c>
      <c r="L304" s="0" t="s">
        <v>2277</v>
      </c>
    </row>
    <row r="305" customFormat="false" ht="15" hidden="false" customHeight="true" outlineLevel="0" collapsed="false">
      <c r="A305" s="0" t="n">
        <v>2</v>
      </c>
      <c r="B305" s="0" t="n">
        <v>4467</v>
      </c>
      <c r="C305" s="0" t="s">
        <v>52</v>
      </c>
      <c r="D305" s="0" t="s">
        <v>2385</v>
      </c>
      <c r="E305" s="14" t="n">
        <v>46205</v>
      </c>
      <c r="F305" s="14" t="n">
        <v>46199</v>
      </c>
      <c r="G305" s="0" t="s">
        <v>776</v>
      </c>
      <c r="H305" s="0" t="n">
        <v>1339965</v>
      </c>
      <c r="I305" s="0" t="n">
        <v>1</v>
      </c>
      <c r="J305" s="0" t="s">
        <v>2276</v>
      </c>
      <c r="K305" s="15" t="n">
        <v>4916.19</v>
      </c>
      <c r="L305" s="0" t="s">
        <v>2277</v>
      </c>
    </row>
    <row r="306" customFormat="false" ht="15" hidden="false" customHeight="true" outlineLevel="0" collapsed="false">
      <c r="A306" s="0" t="n">
        <v>2</v>
      </c>
      <c r="B306" s="0" t="n">
        <v>1030058</v>
      </c>
      <c r="C306" s="0" t="s">
        <v>52</v>
      </c>
      <c r="D306" s="0" t="s">
        <v>2286</v>
      </c>
      <c r="E306" s="14" t="n">
        <v>46206</v>
      </c>
      <c r="F306" s="14" t="n">
        <v>46205</v>
      </c>
      <c r="G306" s="0" t="s">
        <v>228</v>
      </c>
      <c r="H306" s="0" t="n">
        <v>1343794</v>
      </c>
      <c r="I306" s="0" t="n">
        <v>1</v>
      </c>
      <c r="J306" s="0" t="s">
        <v>2276</v>
      </c>
      <c r="K306" s="15" t="n">
        <v>279.82</v>
      </c>
      <c r="L306" s="0" t="s">
        <v>2277</v>
      </c>
    </row>
    <row r="307" customFormat="false" ht="15" hidden="false" customHeight="true" outlineLevel="0" collapsed="false">
      <c r="A307" s="0" t="n">
        <v>2</v>
      </c>
      <c r="B307" s="0" t="n">
        <v>1385251</v>
      </c>
      <c r="C307" s="0" t="s">
        <v>52</v>
      </c>
      <c r="D307" s="0" t="s">
        <v>2308</v>
      </c>
      <c r="E307" s="14" t="n">
        <v>46206</v>
      </c>
      <c r="F307" s="14" t="n">
        <v>46205</v>
      </c>
      <c r="G307" s="0" t="s">
        <v>2309</v>
      </c>
      <c r="H307" s="0" t="n">
        <v>1344368</v>
      </c>
      <c r="I307" s="0" t="n">
        <v>1</v>
      </c>
      <c r="J307" s="0" t="s">
        <v>2276</v>
      </c>
      <c r="K307" s="15" t="n">
        <v>1209.4</v>
      </c>
      <c r="L307" s="0" t="s">
        <v>2277</v>
      </c>
    </row>
    <row r="308" customFormat="false" ht="15" hidden="false" customHeight="true" outlineLevel="0" collapsed="false">
      <c r="A308" s="0" t="n">
        <v>2</v>
      </c>
      <c r="B308" s="0" t="n">
        <v>1642191</v>
      </c>
      <c r="C308" s="0" t="s">
        <v>2280</v>
      </c>
      <c r="D308" s="0" t="s">
        <v>2281</v>
      </c>
      <c r="E308" s="14" t="n">
        <v>46206</v>
      </c>
      <c r="F308" s="14" t="n">
        <v>46206</v>
      </c>
      <c r="G308" s="0" t="s">
        <v>406</v>
      </c>
      <c r="H308" s="0" t="n">
        <v>1345413</v>
      </c>
      <c r="I308" s="0" t="n">
        <v>1</v>
      </c>
      <c r="J308" s="0" t="s">
        <v>2276</v>
      </c>
      <c r="K308" s="15" t="n">
        <v>89.5</v>
      </c>
      <c r="L308" s="0" t="s">
        <v>2277</v>
      </c>
    </row>
    <row r="309" customFormat="false" ht="15" hidden="false" customHeight="true" outlineLevel="0" collapsed="false">
      <c r="A309" s="0" t="n">
        <v>2</v>
      </c>
      <c r="B309" s="0" t="n">
        <v>1686081</v>
      </c>
      <c r="C309" s="0" t="s">
        <v>52</v>
      </c>
      <c r="D309" s="0" t="s">
        <v>2287</v>
      </c>
      <c r="E309" s="14" t="n">
        <v>46206</v>
      </c>
      <c r="F309" s="14" t="n">
        <v>46206</v>
      </c>
      <c r="G309" s="0" t="s">
        <v>240</v>
      </c>
      <c r="H309" s="0" t="n">
        <v>1343779</v>
      </c>
      <c r="I309" s="0" t="n">
        <v>1</v>
      </c>
      <c r="J309" s="0" t="s">
        <v>2276</v>
      </c>
      <c r="K309" s="15" t="n">
        <v>832.51</v>
      </c>
      <c r="L309" s="0" t="s">
        <v>2277</v>
      </c>
    </row>
    <row r="310" customFormat="false" ht="15" hidden="false" customHeight="true" outlineLevel="0" collapsed="false">
      <c r="A310" s="0" t="n">
        <v>2</v>
      </c>
      <c r="B310" s="0" t="n">
        <v>18998</v>
      </c>
      <c r="C310" s="0" t="s">
        <v>89</v>
      </c>
      <c r="D310" s="0" t="s">
        <v>2322</v>
      </c>
      <c r="E310" s="14" t="n">
        <v>46206</v>
      </c>
      <c r="F310" s="14" t="n">
        <v>46205</v>
      </c>
      <c r="G310" s="0" t="s">
        <v>390</v>
      </c>
      <c r="H310" s="0" t="n">
        <v>1345083</v>
      </c>
      <c r="I310" s="0" t="n">
        <v>1</v>
      </c>
      <c r="J310" s="0" t="s">
        <v>2276</v>
      </c>
      <c r="K310" s="15" t="n">
        <v>2146.4</v>
      </c>
      <c r="L310" s="0" t="s">
        <v>2277</v>
      </c>
    </row>
    <row r="311" customFormat="false" ht="15" hidden="false" customHeight="true" outlineLevel="0" collapsed="false">
      <c r="A311" s="0" t="n">
        <v>2</v>
      </c>
      <c r="B311" s="0" t="n">
        <v>225160</v>
      </c>
      <c r="C311" s="0" t="s">
        <v>44</v>
      </c>
      <c r="D311" s="0" t="s">
        <v>2305</v>
      </c>
      <c r="E311" s="14" t="n">
        <v>46206</v>
      </c>
      <c r="F311" s="14" t="n">
        <v>46206</v>
      </c>
      <c r="G311" s="0" t="s">
        <v>438</v>
      </c>
      <c r="H311" s="0" t="n">
        <v>1345530</v>
      </c>
      <c r="I311" s="0" t="n">
        <v>1</v>
      </c>
      <c r="J311" s="0" t="s">
        <v>2276</v>
      </c>
      <c r="K311" s="15" t="n">
        <v>393.86</v>
      </c>
      <c r="L311" s="0" t="s">
        <v>2277</v>
      </c>
    </row>
    <row r="312" customFormat="false" ht="15" hidden="false" customHeight="true" outlineLevel="0" collapsed="false">
      <c r="A312" s="0" t="n">
        <v>2</v>
      </c>
      <c r="B312" s="0" t="n">
        <v>2521</v>
      </c>
      <c r="C312" s="0" t="s">
        <v>52</v>
      </c>
      <c r="D312" s="0" t="s">
        <v>2288</v>
      </c>
      <c r="E312" s="14" t="n">
        <v>46206</v>
      </c>
      <c r="F312" s="14" t="n">
        <v>46206</v>
      </c>
      <c r="G312" s="0" t="s">
        <v>153</v>
      </c>
      <c r="H312" s="0" t="n">
        <v>1344644</v>
      </c>
      <c r="I312" s="0" t="n">
        <v>6</v>
      </c>
      <c r="J312" s="0" t="s">
        <v>2276</v>
      </c>
      <c r="K312" s="15" t="n">
        <v>280</v>
      </c>
      <c r="L312" s="0" t="s">
        <v>2277</v>
      </c>
    </row>
    <row r="313" customFormat="false" ht="15" hidden="false" customHeight="true" outlineLevel="0" collapsed="false">
      <c r="A313" s="0" t="n">
        <v>2</v>
      </c>
      <c r="B313" s="0" t="n">
        <v>2522</v>
      </c>
      <c r="C313" s="0" t="s">
        <v>52</v>
      </c>
      <c r="D313" s="0" t="s">
        <v>2288</v>
      </c>
      <c r="E313" s="14" t="n">
        <v>46206</v>
      </c>
      <c r="F313" s="14" t="n">
        <v>46206</v>
      </c>
      <c r="G313" s="0" t="s">
        <v>153</v>
      </c>
      <c r="H313" s="0" t="n">
        <v>1345376</v>
      </c>
      <c r="I313" s="0" t="n">
        <v>6</v>
      </c>
      <c r="J313" s="0" t="s">
        <v>2276</v>
      </c>
      <c r="K313" s="15" t="n">
        <v>1082.6</v>
      </c>
      <c r="L313" s="0" t="s">
        <v>2277</v>
      </c>
    </row>
    <row r="314" customFormat="false" ht="15" hidden="false" customHeight="true" outlineLevel="0" collapsed="false">
      <c r="A314" s="0" t="n">
        <v>2</v>
      </c>
      <c r="B314" s="0" t="n">
        <v>322</v>
      </c>
      <c r="C314" s="0" t="s">
        <v>52</v>
      </c>
      <c r="D314" s="0" t="s">
        <v>2289</v>
      </c>
      <c r="E314" s="14" t="n">
        <v>46206</v>
      </c>
      <c r="F314" s="14" t="n">
        <v>46206</v>
      </c>
      <c r="G314" s="0" t="s">
        <v>216</v>
      </c>
      <c r="H314" s="0" t="n">
        <v>1345271</v>
      </c>
      <c r="I314" s="0" t="n">
        <v>1</v>
      </c>
      <c r="J314" s="0" t="s">
        <v>2276</v>
      </c>
      <c r="K314" s="15" t="n">
        <v>2388.97</v>
      </c>
      <c r="L314" s="0" t="s">
        <v>2277</v>
      </c>
    </row>
    <row r="315" customFormat="false" ht="15" hidden="false" customHeight="true" outlineLevel="0" collapsed="false">
      <c r="A315" s="0" t="n">
        <v>2</v>
      </c>
      <c r="B315" s="0" t="n">
        <v>337</v>
      </c>
      <c r="C315" s="0" t="s">
        <v>52</v>
      </c>
      <c r="D315" s="0" t="s">
        <v>2311</v>
      </c>
      <c r="E315" s="14" t="n">
        <v>46206</v>
      </c>
      <c r="F315" s="14" t="n">
        <v>46206</v>
      </c>
      <c r="G315" s="0" t="s">
        <v>2312</v>
      </c>
      <c r="H315" s="0" t="n">
        <v>1344684</v>
      </c>
      <c r="I315" s="0" t="n">
        <v>1</v>
      </c>
      <c r="J315" s="0" t="s">
        <v>2276</v>
      </c>
      <c r="K315" s="15" t="n">
        <v>398</v>
      </c>
      <c r="L315" s="0" t="s">
        <v>2277</v>
      </c>
    </row>
    <row r="316" customFormat="false" ht="15" hidden="false" customHeight="true" outlineLevel="0" collapsed="false">
      <c r="A316" s="0" t="n">
        <v>2</v>
      </c>
      <c r="B316" s="0" t="n">
        <v>372026</v>
      </c>
      <c r="C316" s="0" t="s">
        <v>52</v>
      </c>
      <c r="D316" s="0" t="s">
        <v>2288</v>
      </c>
      <c r="E316" s="14" t="n">
        <v>46206</v>
      </c>
      <c r="F316" s="14" t="n">
        <v>46206</v>
      </c>
      <c r="G316" s="0" t="s">
        <v>153</v>
      </c>
      <c r="H316" s="0" t="n">
        <v>1345364</v>
      </c>
      <c r="I316" s="0" t="n">
        <v>2</v>
      </c>
      <c r="J316" s="0" t="s">
        <v>2276</v>
      </c>
      <c r="K316" s="15" t="n">
        <v>1082.6</v>
      </c>
      <c r="L316" s="0" t="s">
        <v>2277</v>
      </c>
    </row>
    <row r="317" customFormat="false" ht="15" hidden="false" customHeight="true" outlineLevel="0" collapsed="false">
      <c r="A317" s="0" t="n">
        <v>2</v>
      </c>
      <c r="B317" s="0" t="n">
        <v>3726</v>
      </c>
      <c r="C317" s="0" t="s">
        <v>52</v>
      </c>
      <c r="D317" s="0" t="s">
        <v>2288</v>
      </c>
      <c r="E317" s="14" t="n">
        <v>46206</v>
      </c>
      <c r="F317" s="14" t="n">
        <v>46206</v>
      </c>
      <c r="G317" s="0" t="s">
        <v>153</v>
      </c>
      <c r="H317" s="0" t="n">
        <v>1344619</v>
      </c>
      <c r="I317" s="0" t="n">
        <v>2</v>
      </c>
      <c r="J317" s="0" t="s">
        <v>2276</v>
      </c>
      <c r="K317" s="15" t="n">
        <v>280</v>
      </c>
      <c r="L317" s="0" t="s">
        <v>2277</v>
      </c>
    </row>
    <row r="318" customFormat="false" ht="15" hidden="false" customHeight="true" outlineLevel="0" collapsed="false">
      <c r="A318" s="0" t="n">
        <v>2</v>
      </c>
      <c r="B318" s="0" t="n">
        <v>42910</v>
      </c>
      <c r="C318" s="0" t="s">
        <v>52</v>
      </c>
      <c r="D318" s="0" t="s">
        <v>2306</v>
      </c>
      <c r="E318" s="14" t="n">
        <v>46206</v>
      </c>
      <c r="F318" s="14" t="n">
        <v>46206</v>
      </c>
      <c r="G318" s="0" t="s">
        <v>443</v>
      </c>
      <c r="H318" s="0" t="n">
        <v>1345621</v>
      </c>
      <c r="I318" s="0" t="n">
        <v>1</v>
      </c>
      <c r="J318" s="0" t="s">
        <v>2276</v>
      </c>
      <c r="K318" s="15" t="n">
        <v>460</v>
      </c>
      <c r="L318" s="0" t="s">
        <v>2277</v>
      </c>
    </row>
    <row r="319" customFormat="false" ht="15" hidden="false" customHeight="true" outlineLevel="0" collapsed="false">
      <c r="A319" s="0" t="n">
        <v>2</v>
      </c>
      <c r="B319" s="0" t="n">
        <v>5765</v>
      </c>
      <c r="C319" s="0" t="s">
        <v>52</v>
      </c>
      <c r="D319" s="0" t="s">
        <v>2302</v>
      </c>
      <c r="E319" s="14" t="n">
        <v>46206</v>
      </c>
      <c r="F319" s="14" t="n">
        <v>46206</v>
      </c>
      <c r="G319" s="0" t="s">
        <v>2303</v>
      </c>
      <c r="H319" s="0" t="n">
        <v>1344581</v>
      </c>
      <c r="I319" s="0" t="n">
        <v>1</v>
      </c>
      <c r="J319" s="0" t="s">
        <v>2276</v>
      </c>
      <c r="K319" s="15" t="n">
        <v>430.3</v>
      </c>
      <c r="L319" s="0" t="s">
        <v>2277</v>
      </c>
    </row>
    <row r="320" customFormat="false" ht="15" hidden="false" customHeight="true" outlineLevel="0" collapsed="false">
      <c r="A320" s="0" t="n">
        <v>2</v>
      </c>
      <c r="B320" s="0" t="n">
        <v>888702</v>
      </c>
      <c r="C320" s="0" t="s">
        <v>2340</v>
      </c>
      <c r="D320" s="0" t="s">
        <v>2341</v>
      </c>
      <c r="E320" s="14" t="n">
        <v>46206</v>
      </c>
      <c r="F320" s="14" t="n">
        <v>46205</v>
      </c>
      <c r="G320" s="0" t="s">
        <v>232</v>
      </c>
      <c r="H320" s="0" t="n">
        <v>1345469</v>
      </c>
      <c r="I320" s="0" t="n">
        <v>1</v>
      </c>
      <c r="J320" s="0" t="s">
        <v>2276</v>
      </c>
      <c r="K320" s="15" t="n">
        <v>2844.47</v>
      </c>
      <c r="L320" s="0" t="s">
        <v>2277</v>
      </c>
    </row>
    <row r="321" customFormat="false" ht="15" hidden="false" customHeight="true" outlineLevel="0" collapsed="false">
      <c r="A321" s="0" t="n">
        <v>2</v>
      </c>
      <c r="B321" s="0" t="n">
        <v>890</v>
      </c>
      <c r="C321" s="0" t="s">
        <v>44</v>
      </c>
      <c r="D321" s="0" t="s">
        <v>2386</v>
      </c>
      <c r="E321" s="14" t="n">
        <v>46206</v>
      </c>
      <c r="F321" s="14" t="n">
        <v>46205</v>
      </c>
      <c r="G321" s="0" t="s">
        <v>852</v>
      </c>
      <c r="H321" s="0" t="n">
        <v>1345178</v>
      </c>
      <c r="I321" s="0" t="n">
        <v>1</v>
      </c>
      <c r="J321" s="0" t="s">
        <v>2276</v>
      </c>
      <c r="K321" s="15" t="n">
        <v>736.8</v>
      </c>
      <c r="L321" s="0" t="s">
        <v>2277</v>
      </c>
    </row>
    <row r="322" customFormat="false" ht="15" hidden="false" customHeight="true" outlineLevel="0" collapsed="false">
      <c r="A322" s="0" t="n">
        <v>2</v>
      </c>
      <c r="B322" s="0" t="n">
        <v>14615</v>
      </c>
      <c r="C322" s="0" t="s">
        <v>52</v>
      </c>
      <c r="D322" s="0" t="s">
        <v>2278</v>
      </c>
      <c r="E322" s="14" t="n">
        <v>46207</v>
      </c>
      <c r="F322" s="14" t="n">
        <v>46206</v>
      </c>
      <c r="G322" s="0" t="s">
        <v>270</v>
      </c>
      <c r="H322" s="0" t="n">
        <v>1348589</v>
      </c>
      <c r="I322" s="0" t="n">
        <v>1</v>
      </c>
      <c r="J322" s="0" t="s">
        <v>2276</v>
      </c>
      <c r="K322" s="15" t="n">
        <v>5738.21</v>
      </c>
      <c r="L322" s="0" t="s">
        <v>2277</v>
      </c>
    </row>
    <row r="323" customFormat="false" ht="15" hidden="false" customHeight="true" outlineLevel="0" collapsed="false">
      <c r="A323" s="0" t="n">
        <v>2</v>
      </c>
      <c r="B323" s="0" t="n">
        <v>520</v>
      </c>
      <c r="C323" s="0" t="s">
        <v>52</v>
      </c>
      <c r="D323" s="0" t="s">
        <v>2291</v>
      </c>
      <c r="E323" s="14" t="n">
        <v>46207</v>
      </c>
      <c r="F323" s="14" t="n">
        <v>46206</v>
      </c>
      <c r="G323" s="0" t="s">
        <v>123</v>
      </c>
      <c r="H323" s="0" t="n">
        <v>1348633</v>
      </c>
      <c r="I323" s="0" t="n">
        <v>1</v>
      </c>
      <c r="J323" s="0" t="s">
        <v>2276</v>
      </c>
      <c r="K323" s="15" t="n">
        <v>240</v>
      </c>
      <c r="L323" s="0" t="s">
        <v>2277</v>
      </c>
    </row>
    <row r="324" customFormat="false" ht="15" hidden="false" customHeight="true" outlineLevel="0" collapsed="false">
      <c r="A324" s="0" t="n">
        <v>2</v>
      </c>
      <c r="B324" s="0" t="n">
        <v>698</v>
      </c>
      <c r="C324" s="0" t="s">
        <v>44</v>
      </c>
      <c r="D324" s="0" t="s">
        <v>2283</v>
      </c>
      <c r="E324" s="14" t="n">
        <v>46207</v>
      </c>
      <c r="F324" s="14" t="n">
        <v>46206</v>
      </c>
      <c r="G324" s="0" t="s">
        <v>204</v>
      </c>
      <c r="H324" s="0" t="n">
        <v>1348260</v>
      </c>
      <c r="I324" s="0" t="n">
        <v>1</v>
      </c>
      <c r="J324" s="0" t="s">
        <v>2276</v>
      </c>
      <c r="K324" s="15" t="n">
        <v>379.6</v>
      </c>
      <c r="L324" s="0" t="s">
        <v>2277</v>
      </c>
    </row>
    <row r="325" customFormat="false" ht="15" hidden="false" customHeight="true" outlineLevel="0" collapsed="false">
      <c r="A325" s="0" t="n">
        <v>2</v>
      </c>
      <c r="B325" s="0" t="n">
        <v>1187910</v>
      </c>
      <c r="C325" s="0" t="s">
        <v>80</v>
      </c>
      <c r="D325" s="0" t="s">
        <v>2275</v>
      </c>
      <c r="E325" s="14" t="n">
        <v>46209</v>
      </c>
      <c r="F325" s="14" t="n">
        <v>46206</v>
      </c>
      <c r="G325" s="0" t="s">
        <v>130</v>
      </c>
      <c r="H325" s="0" t="n">
        <v>1360305</v>
      </c>
      <c r="I325" s="0" t="n">
        <v>1</v>
      </c>
      <c r="J325" s="0" t="s">
        <v>2276</v>
      </c>
      <c r="K325" s="15" t="n">
        <v>762.82</v>
      </c>
      <c r="L325" s="0" t="s">
        <v>2277</v>
      </c>
    </row>
    <row r="326" customFormat="false" ht="15" hidden="false" customHeight="true" outlineLevel="0" collapsed="false">
      <c r="A326" s="0" t="n">
        <v>2</v>
      </c>
      <c r="B326" s="0" t="n">
        <v>1187912</v>
      </c>
      <c r="C326" s="0" t="s">
        <v>80</v>
      </c>
      <c r="D326" s="0" t="s">
        <v>2275</v>
      </c>
      <c r="E326" s="14" t="n">
        <v>46209</v>
      </c>
      <c r="F326" s="14" t="n">
        <v>46206</v>
      </c>
      <c r="G326" s="0" t="s">
        <v>130</v>
      </c>
      <c r="H326" s="0" t="n">
        <v>1360170</v>
      </c>
      <c r="I326" s="0" t="n">
        <v>1</v>
      </c>
      <c r="J326" s="0" t="s">
        <v>2276</v>
      </c>
      <c r="K326" s="15" t="n">
        <v>63.37</v>
      </c>
      <c r="L326" s="0" t="s">
        <v>2277</v>
      </c>
    </row>
    <row r="327" customFormat="false" ht="15" hidden="false" customHeight="true" outlineLevel="0" collapsed="false">
      <c r="A327" s="0" t="n">
        <v>2</v>
      </c>
      <c r="B327" s="0" t="n">
        <v>1642710</v>
      </c>
      <c r="C327" s="0" t="s">
        <v>2280</v>
      </c>
      <c r="D327" s="0" t="s">
        <v>2281</v>
      </c>
      <c r="E327" s="14" t="n">
        <v>46209</v>
      </c>
      <c r="F327" s="14" t="n">
        <v>46207</v>
      </c>
      <c r="G327" s="0" t="s">
        <v>406</v>
      </c>
      <c r="H327" s="0" t="n">
        <v>1359513</v>
      </c>
      <c r="I327" s="0" t="n">
        <v>1</v>
      </c>
      <c r="J327" s="0" t="s">
        <v>2276</v>
      </c>
      <c r="K327" s="15" t="n">
        <v>140</v>
      </c>
      <c r="L327" s="0" t="s">
        <v>2277</v>
      </c>
    </row>
    <row r="328" customFormat="false" ht="15" hidden="false" customHeight="true" outlineLevel="0" collapsed="false">
      <c r="A328" s="0" t="n">
        <v>2</v>
      </c>
      <c r="B328" s="0" t="n">
        <v>172659</v>
      </c>
      <c r="C328" s="0" t="s">
        <v>52</v>
      </c>
      <c r="D328" s="0" t="s">
        <v>2293</v>
      </c>
      <c r="E328" s="14" t="n">
        <v>46209</v>
      </c>
      <c r="F328" s="14" t="n">
        <v>46207</v>
      </c>
      <c r="G328" s="0" t="s">
        <v>371</v>
      </c>
      <c r="H328" s="0" t="n">
        <v>1359593</v>
      </c>
      <c r="I328" s="0" t="n">
        <v>1</v>
      </c>
      <c r="J328" s="0" t="s">
        <v>2276</v>
      </c>
      <c r="K328" s="15" t="n">
        <v>2243.2</v>
      </c>
      <c r="L328" s="0" t="s">
        <v>2277</v>
      </c>
    </row>
    <row r="329" customFormat="false" ht="15" hidden="false" customHeight="true" outlineLevel="0" collapsed="false">
      <c r="A329" s="0" t="n">
        <v>2</v>
      </c>
      <c r="B329" s="0" t="n">
        <v>1917854</v>
      </c>
      <c r="C329" s="0" t="s">
        <v>36</v>
      </c>
      <c r="D329" s="0" t="s">
        <v>2275</v>
      </c>
      <c r="E329" s="14" t="n">
        <v>46209</v>
      </c>
      <c r="F329" s="14" t="n">
        <v>46206</v>
      </c>
      <c r="G329" s="0" t="s">
        <v>130</v>
      </c>
      <c r="H329" s="0" t="n">
        <v>1360326</v>
      </c>
      <c r="I329" s="0" t="n">
        <v>11</v>
      </c>
      <c r="J329" s="0" t="s">
        <v>2276</v>
      </c>
      <c r="K329" s="15" t="n">
        <v>3703.01</v>
      </c>
      <c r="L329" s="0" t="s">
        <v>2277</v>
      </c>
    </row>
    <row r="330" customFormat="false" ht="15" hidden="false" customHeight="true" outlineLevel="0" collapsed="false">
      <c r="A330" s="0" t="n">
        <v>2</v>
      </c>
      <c r="B330" s="0" t="n">
        <v>1917880</v>
      </c>
      <c r="C330" s="0" t="s">
        <v>36</v>
      </c>
      <c r="D330" s="0" t="s">
        <v>2275</v>
      </c>
      <c r="E330" s="14" t="n">
        <v>46209</v>
      </c>
      <c r="F330" s="14" t="n">
        <v>46206</v>
      </c>
      <c r="G330" s="0" t="s">
        <v>130</v>
      </c>
      <c r="H330" s="0" t="n">
        <v>1360155</v>
      </c>
      <c r="I330" s="0" t="n">
        <v>1</v>
      </c>
      <c r="J330" s="0" t="s">
        <v>2276</v>
      </c>
      <c r="K330" s="15" t="n">
        <v>205.13</v>
      </c>
      <c r="L330" s="0" t="s">
        <v>2277</v>
      </c>
    </row>
    <row r="331" customFormat="false" ht="15" hidden="false" customHeight="true" outlineLevel="0" collapsed="false">
      <c r="A331" s="0" t="n">
        <v>2</v>
      </c>
      <c r="B331" s="0" t="n">
        <v>2527</v>
      </c>
      <c r="C331" s="0" t="s">
        <v>52</v>
      </c>
      <c r="D331" s="0" t="s">
        <v>2288</v>
      </c>
      <c r="E331" s="14" t="n">
        <v>46209</v>
      </c>
      <c r="F331" s="14" t="n">
        <v>46209</v>
      </c>
      <c r="G331" s="0" t="s">
        <v>153</v>
      </c>
      <c r="H331" s="0" t="n">
        <v>1361277</v>
      </c>
      <c r="I331" s="0" t="n">
        <v>6</v>
      </c>
      <c r="J331" s="0" t="s">
        <v>2276</v>
      </c>
      <c r="K331" s="15" t="n">
        <v>210</v>
      </c>
      <c r="L331" s="0" t="s">
        <v>2277</v>
      </c>
    </row>
    <row r="332" customFormat="false" ht="15" hidden="false" customHeight="true" outlineLevel="0" collapsed="false">
      <c r="A332" s="0" t="n">
        <v>2</v>
      </c>
      <c r="B332" s="0" t="n">
        <v>3500</v>
      </c>
      <c r="C332" s="0" t="s">
        <v>52</v>
      </c>
      <c r="D332" s="0" t="s">
        <v>2299</v>
      </c>
      <c r="E332" s="14" t="n">
        <v>46209</v>
      </c>
      <c r="F332" s="14" t="n">
        <v>46209</v>
      </c>
      <c r="G332" s="0" t="s">
        <v>174</v>
      </c>
      <c r="H332" s="0" t="n">
        <v>1361298</v>
      </c>
      <c r="I332" s="0" t="n">
        <v>1</v>
      </c>
      <c r="J332" s="0" t="s">
        <v>2276</v>
      </c>
      <c r="K332" s="15" t="n">
        <v>142</v>
      </c>
      <c r="L332" s="0" t="s">
        <v>2277</v>
      </c>
    </row>
    <row r="333" customFormat="false" ht="15" hidden="false" customHeight="true" outlineLevel="0" collapsed="false">
      <c r="A333" s="0" t="n">
        <v>2</v>
      </c>
      <c r="B333" s="0" t="n">
        <v>512</v>
      </c>
      <c r="C333" s="0" t="s">
        <v>52</v>
      </c>
      <c r="D333" s="0" t="s">
        <v>2315</v>
      </c>
      <c r="E333" s="14" t="n">
        <v>46209</v>
      </c>
      <c r="F333" s="14" t="n">
        <v>46209</v>
      </c>
      <c r="G333" s="0" t="s">
        <v>340</v>
      </c>
      <c r="H333" s="0" t="n">
        <v>1365085</v>
      </c>
      <c r="I333" s="0" t="n">
        <v>1</v>
      </c>
      <c r="J333" s="0" t="s">
        <v>2276</v>
      </c>
      <c r="K333" s="15" t="n">
        <v>160.32</v>
      </c>
      <c r="L333" s="0" t="s">
        <v>2277</v>
      </c>
    </row>
    <row r="334" customFormat="false" ht="15" hidden="false" customHeight="true" outlineLevel="0" collapsed="false">
      <c r="A334" s="0" t="n">
        <v>2</v>
      </c>
      <c r="B334" s="0" t="n">
        <v>6726</v>
      </c>
      <c r="C334" s="0" t="s">
        <v>52</v>
      </c>
      <c r="D334" s="0" t="s">
        <v>2288</v>
      </c>
      <c r="E334" s="14" t="n">
        <v>46209</v>
      </c>
      <c r="F334" s="14" t="n">
        <v>46209</v>
      </c>
      <c r="G334" s="0" t="s">
        <v>153</v>
      </c>
      <c r="H334" s="0" t="n">
        <v>1361270</v>
      </c>
      <c r="I334" s="0" t="n">
        <v>2</v>
      </c>
      <c r="J334" s="0" t="s">
        <v>2276</v>
      </c>
      <c r="K334" s="15" t="n">
        <v>210</v>
      </c>
      <c r="L334" s="0" t="s">
        <v>2277</v>
      </c>
    </row>
    <row r="335" customFormat="false" ht="15" hidden="false" customHeight="true" outlineLevel="0" collapsed="false">
      <c r="A335" s="0" t="n">
        <v>2</v>
      </c>
      <c r="B335" s="0" t="n">
        <v>102073</v>
      </c>
      <c r="C335" s="0" t="s">
        <v>52</v>
      </c>
      <c r="D335" s="0" t="s">
        <v>2387</v>
      </c>
      <c r="E335" s="14" t="n">
        <v>46210</v>
      </c>
      <c r="F335" s="14" t="n">
        <v>46209</v>
      </c>
      <c r="G335" s="0" t="s">
        <v>952</v>
      </c>
      <c r="H335" s="0" t="n">
        <v>1365044</v>
      </c>
      <c r="I335" s="0" t="n">
        <v>1</v>
      </c>
      <c r="J335" s="0" t="s">
        <v>2276</v>
      </c>
      <c r="K335" s="15" t="n">
        <v>374.1</v>
      </c>
      <c r="L335" s="0" t="s">
        <v>2277</v>
      </c>
    </row>
    <row r="336" customFormat="false" ht="15" hidden="false" customHeight="true" outlineLevel="0" collapsed="false">
      <c r="A336" s="0" t="n">
        <v>2</v>
      </c>
      <c r="B336" s="0" t="n">
        <v>1030653</v>
      </c>
      <c r="C336" s="0" t="s">
        <v>52</v>
      </c>
      <c r="D336" s="0" t="s">
        <v>2286</v>
      </c>
      <c r="E336" s="14" t="n">
        <v>46210</v>
      </c>
      <c r="F336" s="14" t="n">
        <v>46209</v>
      </c>
      <c r="G336" s="0" t="s">
        <v>228</v>
      </c>
      <c r="H336" s="0" t="n">
        <v>1364546</v>
      </c>
      <c r="I336" s="0" t="n">
        <v>1</v>
      </c>
      <c r="J336" s="0" t="s">
        <v>2276</v>
      </c>
      <c r="K336" s="15" t="n">
        <v>248.78</v>
      </c>
      <c r="L336" s="0" t="s">
        <v>2277</v>
      </c>
    </row>
    <row r="337" customFormat="false" ht="15" hidden="false" customHeight="true" outlineLevel="0" collapsed="false">
      <c r="A337" s="0" t="n">
        <v>2</v>
      </c>
      <c r="B337" s="0" t="n">
        <v>1604119</v>
      </c>
      <c r="C337" s="0" t="s">
        <v>52</v>
      </c>
      <c r="D337" s="0" t="s">
        <v>2327</v>
      </c>
      <c r="E337" s="14" t="n">
        <v>46210</v>
      </c>
      <c r="F337" s="14" t="n">
        <v>46208</v>
      </c>
      <c r="G337" s="0" t="s">
        <v>50</v>
      </c>
      <c r="H337" s="0" t="n">
        <v>1364523</v>
      </c>
      <c r="I337" s="0" t="n">
        <v>1</v>
      </c>
      <c r="J337" s="0" t="s">
        <v>2276</v>
      </c>
      <c r="K337" s="15" t="n">
        <v>2063.55</v>
      </c>
      <c r="L337" s="0" t="s">
        <v>2277</v>
      </c>
    </row>
    <row r="338" customFormat="false" ht="15" hidden="false" customHeight="true" outlineLevel="0" collapsed="false">
      <c r="A338" s="0" t="n">
        <v>2</v>
      </c>
      <c r="B338" s="0" t="n">
        <v>1643287</v>
      </c>
      <c r="C338" s="0" t="s">
        <v>2280</v>
      </c>
      <c r="D338" s="0" t="s">
        <v>2281</v>
      </c>
      <c r="E338" s="14" t="n">
        <v>46210</v>
      </c>
      <c r="F338" s="14" t="n">
        <v>46209</v>
      </c>
      <c r="G338" s="0" t="s">
        <v>406</v>
      </c>
      <c r="H338" s="0" t="n">
        <v>1365102</v>
      </c>
      <c r="I338" s="0" t="n">
        <v>1</v>
      </c>
      <c r="J338" s="0" t="s">
        <v>2276</v>
      </c>
      <c r="K338" s="15" t="n">
        <v>130</v>
      </c>
      <c r="L338" s="0" t="s">
        <v>2277</v>
      </c>
    </row>
    <row r="339" customFormat="false" ht="15" hidden="false" customHeight="true" outlineLevel="0" collapsed="false">
      <c r="A339" s="0" t="n">
        <v>2</v>
      </c>
      <c r="B339" s="0" t="n">
        <v>2528</v>
      </c>
      <c r="C339" s="0" t="s">
        <v>52</v>
      </c>
      <c r="D339" s="0" t="s">
        <v>2288</v>
      </c>
      <c r="E339" s="14" t="n">
        <v>46210</v>
      </c>
      <c r="F339" s="14" t="n">
        <v>46210</v>
      </c>
      <c r="G339" s="0" t="s">
        <v>153</v>
      </c>
      <c r="H339" s="0" t="n">
        <v>1365847</v>
      </c>
      <c r="I339" s="0" t="n">
        <v>6</v>
      </c>
      <c r="J339" s="0" t="s">
        <v>2276</v>
      </c>
      <c r="K339" s="15" t="n">
        <v>2024.65</v>
      </c>
      <c r="L339" s="0" t="s">
        <v>2277</v>
      </c>
    </row>
    <row r="340" customFormat="false" ht="15" hidden="false" customHeight="true" outlineLevel="0" collapsed="false">
      <c r="A340" s="0" t="n">
        <v>2</v>
      </c>
      <c r="B340" s="0" t="n">
        <v>265</v>
      </c>
      <c r="C340" s="0" t="s">
        <v>52</v>
      </c>
      <c r="D340" s="0" t="s">
        <v>2388</v>
      </c>
      <c r="E340" s="14" t="n">
        <v>46210</v>
      </c>
      <c r="F340" s="14" t="n">
        <v>46206</v>
      </c>
      <c r="G340" s="0" t="s">
        <v>1578</v>
      </c>
      <c r="H340" s="0" t="n">
        <v>1366133</v>
      </c>
      <c r="I340" s="0" t="n">
        <v>11</v>
      </c>
      <c r="J340" s="0" t="s">
        <v>2276</v>
      </c>
      <c r="K340" s="15" t="n">
        <v>528</v>
      </c>
      <c r="L340" s="0" t="s">
        <v>2277</v>
      </c>
    </row>
    <row r="341" customFormat="false" ht="15" hidden="false" customHeight="true" outlineLevel="0" collapsed="false">
      <c r="A341" s="0" t="n">
        <v>2</v>
      </c>
      <c r="B341" s="0" t="n">
        <v>3993</v>
      </c>
      <c r="C341" s="0" t="s">
        <v>52</v>
      </c>
      <c r="D341" s="0" t="s">
        <v>2290</v>
      </c>
      <c r="E341" s="14" t="n">
        <v>46210</v>
      </c>
      <c r="F341" s="14" t="n">
        <v>46209</v>
      </c>
      <c r="G341" s="0" t="s">
        <v>95</v>
      </c>
      <c r="H341" s="0" t="n">
        <v>1365074</v>
      </c>
      <c r="I341" s="0" t="n">
        <v>1</v>
      </c>
      <c r="J341" s="0" t="s">
        <v>2276</v>
      </c>
      <c r="K341" s="15" t="n">
        <v>194.08</v>
      </c>
      <c r="L341" s="0" t="s">
        <v>2277</v>
      </c>
    </row>
    <row r="342" customFormat="false" ht="15" hidden="false" customHeight="true" outlineLevel="0" collapsed="false">
      <c r="A342" s="0" t="n">
        <v>2</v>
      </c>
      <c r="B342" s="0" t="n">
        <v>7726</v>
      </c>
      <c r="C342" s="0" t="s">
        <v>52</v>
      </c>
      <c r="D342" s="0" t="s">
        <v>2288</v>
      </c>
      <c r="E342" s="14" t="n">
        <v>46210</v>
      </c>
      <c r="F342" s="14" t="n">
        <v>46210</v>
      </c>
      <c r="G342" s="0" t="s">
        <v>153</v>
      </c>
      <c r="H342" s="0" t="n">
        <v>1365832</v>
      </c>
      <c r="I342" s="0" t="n">
        <v>2</v>
      </c>
      <c r="J342" s="0" t="s">
        <v>2276</v>
      </c>
      <c r="K342" s="15" t="n">
        <v>2024.65</v>
      </c>
      <c r="L342" s="0" t="s">
        <v>2277</v>
      </c>
    </row>
    <row r="343" customFormat="false" ht="15" hidden="false" customHeight="true" outlineLevel="0" collapsed="false">
      <c r="A343" s="0" t="n">
        <v>2</v>
      </c>
      <c r="B343" s="0" t="n">
        <v>1193333</v>
      </c>
      <c r="C343" s="0" t="s">
        <v>80</v>
      </c>
      <c r="D343" s="0" t="s">
        <v>2275</v>
      </c>
      <c r="E343" s="14" t="n">
        <v>46211</v>
      </c>
      <c r="F343" s="14" t="n">
        <v>46210</v>
      </c>
      <c r="G343" s="0" t="s">
        <v>130</v>
      </c>
      <c r="H343" s="0" t="n">
        <v>1369061</v>
      </c>
      <c r="I343" s="0" t="n">
        <v>1</v>
      </c>
      <c r="J343" s="0" t="s">
        <v>2276</v>
      </c>
      <c r="K343" s="15" t="n">
        <v>636.39</v>
      </c>
      <c r="L343" s="0" t="s">
        <v>2277</v>
      </c>
    </row>
    <row r="344" customFormat="false" ht="15" hidden="false" customHeight="true" outlineLevel="0" collapsed="false">
      <c r="A344" s="0" t="n">
        <v>2</v>
      </c>
      <c r="B344" s="0" t="n">
        <v>1193336</v>
      </c>
      <c r="C344" s="0" t="s">
        <v>80</v>
      </c>
      <c r="D344" s="0" t="s">
        <v>2275</v>
      </c>
      <c r="E344" s="14" t="n">
        <v>46211</v>
      </c>
      <c r="F344" s="14" t="n">
        <v>46210</v>
      </c>
      <c r="G344" s="0" t="s">
        <v>130</v>
      </c>
      <c r="H344" s="0" t="n">
        <v>1369445</v>
      </c>
      <c r="I344" s="0" t="n">
        <v>1</v>
      </c>
      <c r="J344" s="0" t="s">
        <v>2276</v>
      </c>
      <c r="K344" s="15" t="n">
        <v>104.51</v>
      </c>
      <c r="L344" s="0" t="s">
        <v>2277</v>
      </c>
    </row>
    <row r="345" customFormat="false" ht="15" hidden="false" customHeight="true" outlineLevel="0" collapsed="false">
      <c r="A345" s="0" t="n">
        <v>2</v>
      </c>
      <c r="B345" s="0" t="n">
        <v>1193391</v>
      </c>
      <c r="C345" s="0" t="s">
        <v>80</v>
      </c>
      <c r="D345" s="0" t="s">
        <v>2275</v>
      </c>
      <c r="E345" s="14" t="n">
        <v>46211</v>
      </c>
      <c r="F345" s="14" t="n">
        <v>46210</v>
      </c>
      <c r="G345" s="0" t="s">
        <v>130</v>
      </c>
      <c r="H345" s="0" t="n">
        <v>1369053</v>
      </c>
      <c r="I345" s="0" t="n">
        <v>1</v>
      </c>
      <c r="J345" s="0" t="s">
        <v>2276</v>
      </c>
      <c r="K345" s="15" t="n">
        <v>636.39</v>
      </c>
      <c r="L345" s="0" t="s">
        <v>2277</v>
      </c>
    </row>
    <row r="346" customFormat="false" ht="15" hidden="false" customHeight="true" outlineLevel="0" collapsed="false">
      <c r="A346" s="0" t="n">
        <v>2</v>
      </c>
      <c r="B346" s="0" t="n">
        <v>1644345</v>
      </c>
      <c r="C346" s="0" t="s">
        <v>2280</v>
      </c>
      <c r="D346" s="0" t="s">
        <v>2281</v>
      </c>
      <c r="E346" s="14" t="n">
        <v>46211</v>
      </c>
      <c r="F346" s="14" t="n">
        <v>46211</v>
      </c>
      <c r="G346" s="0" t="s">
        <v>406</v>
      </c>
      <c r="H346" s="0" t="n">
        <v>1370616</v>
      </c>
      <c r="I346" s="0" t="n">
        <v>1</v>
      </c>
      <c r="J346" s="0" t="s">
        <v>2276</v>
      </c>
      <c r="K346" s="15" t="n">
        <v>129.5</v>
      </c>
      <c r="L346" s="0" t="s">
        <v>2277</v>
      </c>
    </row>
    <row r="347" customFormat="false" ht="15" hidden="false" customHeight="true" outlineLevel="0" collapsed="false">
      <c r="A347" s="0" t="n">
        <v>2</v>
      </c>
      <c r="B347" s="0" t="n">
        <v>1923963</v>
      </c>
      <c r="C347" s="0" t="s">
        <v>36</v>
      </c>
      <c r="D347" s="0" t="s">
        <v>2275</v>
      </c>
      <c r="E347" s="14" t="n">
        <v>46211</v>
      </c>
      <c r="F347" s="14" t="n">
        <v>46210</v>
      </c>
      <c r="G347" s="0" t="s">
        <v>130</v>
      </c>
      <c r="H347" s="0" t="n">
        <v>1369169</v>
      </c>
      <c r="I347" s="0" t="n">
        <v>1</v>
      </c>
      <c r="J347" s="0" t="s">
        <v>2276</v>
      </c>
      <c r="K347" s="15" t="n">
        <v>221</v>
      </c>
      <c r="L347" s="0" t="s">
        <v>2277</v>
      </c>
    </row>
    <row r="348" customFormat="false" ht="15" hidden="false" customHeight="true" outlineLevel="0" collapsed="false">
      <c r="A348" s="0" t="n">
        <v>2</v>
      </c>
      <c r="B348" s="0" t="n">
        <v>1923964</v>
      </c>
      <c r="C348" s="0" t="s">
        <v>36</v>
      </c>
      <c r="D348" s="0" t="s">
        <v>2275</v>
      </c>
      <c r="E348" s="14" t="n">
        <v>46211</v>
      </c>
      <c r="F348" s="14" t="n">
        <v>46210</v>
      </c>
      <c r="G348" s="0" t="s">
        <v>130</v>
      </c>
      <c r="H348" s="0" t="n">
        <v>1369182</v>
      </c>
      <c r="I348" s="0" t="n">
        <v>1</v>
      </c>
      <c r="J348" s="0" t="s">
        <v>2276</v>
      </c>
      <c r="K348" s="15" t="n">
        <v>221</v>
      </c>
      <c r="L348" s="0" t="s">
        <v>2277</v>
      </c>
    </row>
    <row r="349" customFormat="false" ht="15" hidden="false" customHeight="true" outlineLevel="0" collapsed="false">
      <c r="A349" s="0" t="n">
        <v>2</v>
      </c>
      <c r="B349" s="0" t="n">
        <v>1923967</v>
      </c>
      <c r="C349" s="0" t="s">
        <v>36</v>
      </c>
      <c r="D349" s="0" t="s">
        <v>2275</v>
      </c>
      <c r="E349" s="14" t="n">
        <v>46211</v>
      </c>
      <c r="F349" s="14" t="n">
        <v>46210</v>
      </c>
      <c r="G349" s="0" t="s">
        <v>130</v>
      </c>
      <c r="H349" s="0" t="n">
        <v>1369069</v>
      </c>
      <c r="I349" s="0" t="n">
        <v>1</v>
      </c>
      <c r="J349" s="0" t="s">
        <v>2276</v>
      </c>
      <c r="K349" s="15" t="n">
        <v>76.19</v>
      </c>
      <c r="L349" s="0" t="s">
        <v>2277</v>
      </c>
    </row>
    <row r="350" customFormat="false" ht="15" hidden="false" customHeight="true" outlineLevel="0" collapsed="false">
      <c r="A350" s="0" t="n">
        <v>2</v>
      </c>
      <c r="B350" s="0" t="n">
        <v>21032</v>
      </c>
      <c r="C350" s="0" t="s">
        <v>52</v>
      </c>
      <c r="D350" s="0" t="s">
        <v>2304</v>
      </c>
      <c r="E350" s="14" t="n">
        <v>46211</v>
      </c>
      <c r="F350" s="14" t="n">
        <v>46211</v>
      </c>
      <c r="G350" s="0" t="s">
        <v>167</v>
      </c>
      <c r="H350" s="0" t="n">
        <v>1370224</v>
      </c>
      <c r="I350" s="0" t="n">
        <v>1</v>
      </c>
      <c r="J350" s="0" t="s">
        <v>2276</v>
      </c>
      <c r="K350" s="15" t="n">
        <v>1213.69</v>
      </c>
      <c r="L350" s="0" t="s">
        <v>2277</v>
      </c>
    </row>
    <row r="351" customFormat="false" ht="15" hidden="false" customHeight="true" outlineLevel="0" collapsed="false">
      <c r="A351" s="0" t="n">
        <v>2</v>
      </c>
      <c r="B351" s="0" t="n">
        <v>2529</v>
      </c>
      <c r="C351" s="0" t="s">
        <v>52</v>
      </c>
      <c r="D351" s="0" t="s">
        <v>2288</v>
      </c>
      <c r="E351" s="14" t="n">
        <v>46211</v>
      </c>
      <c r="F351" s="14" t="n">
        <v>46211</v>
      </c>
      <c r="G351" s="0" t="s">
        <v>153</v>
      </c>
      <c r="H351" s="0" t="n">
        <v>1369655</v>
      </c>
      <c r="I351" s="0" t="n">
        <v>6</v>
      </c>
      <c r="J351" s="0" t="s">
        <v>2276</v>
      </c>
      <c r="K351" s="15" t="n">
        <v>1046</v>
      </c>
      <c r="L351" s="0" t="s">
        <v>2277</v>
      </c>
    </row>
    <row r="352" customFormat="false" ht="15" hidden="false" customHeight="true" outlineLevel="0" collapsed="false">
      <c r="A352" s="0" t="n">
        <v>2</v>
      </c>
      <c r="B352" s="0" t="n">
        <v>2530</v>
      </c>
      <c r="C352" s="0" t="s">
        <v>52</v>
      </c>
      <c r="D352" s="0" t="s">
        <v>2288</v>
      </c>
      <c r="E352" s="14" t="n">
        <v>46211</v>
      </c>
      <c r="F352" s="14" t="n">
        <v>46211</v>
      </c>
      <c r="G352" s="0" t="s">
        <v>153</v>
      </c>
      <c r="H352" s="0" t="n">
        <v>1370406</v>
      </c>
      <c r="I352" s="0" t="n">
        <v>6</v>
      </c>
      <c r="J352" s="0" t="s">
        <v>2276</v>
      </c>
      <c r="K352" s="15" t="n">
        <v>560</v>
      </c>
      <c r="L352" s="0" t="s">
        <v>2277</v>
      </c>
    </row>
    <row r="353" customFormat="false" ht="15" hidden="false" customHeight="true" outlineLevel="0" collapsed="false">
      <c r="A353" s="0" t="n">
        <v>2</v>
      </c>
      <c r="B353" s="0" t="n">
        <v>294</v>
      </c>
      <c r="C353" s="0" t="s">
        <v>52</v>
      </c>
      <c r="D353" s="0" t="s">
        <v>2389</v>
      </c>
      <c r="E353" s="14" t="n">
        <v>46211</v>
      </c>
      <c r="F353" s="14" t="n">
        <v>46209</v>
      </c>
      <c r="G353" s="0" t="s">
        <v>814</v>
      </c>
      <c r="H353" s="0" t="n">
        <v>1369398</v>
      </c>
      <c r="I353" s="0" t="n">
        <v>1</v>
      </c>
      <c r="J353" s="0" t="s">
        <v>2276</v>
      </c>
      <c r="K353" s="15" t="n">
        <v>164.5</v>
      </c>
      <c r="L353" s="0" t="s">
        <v>2277</v>
      </c>
    </row>
    <row r="354" customFormat="false" ht="15" hidden="false" customHeight="true" outlineLevel="0" collapsed="false">
      <c r="A354" s="0" t="n">
        <v>2</v>
      </c>
      <c r="B354" s="0" t="n">
        <v>31674</v>
      </c>
      <c r="C354" s="0" t="s">
        <v>52</v>
      </c>
      <c r="D354" s="0" t="s">
        <v>2296</v>
      </c>
      <c r="E354" s="14" t="n">
        <v>46211</v>
      </c>
      <c r="F354" s="14" t="n">
        <v>46210</v>
      </c>
      <c r="G354" s="0" t="s">
        <v>162</v>
      </c>
      <c r="H354" s="0" t="n">
        <v>1370823</v>
      </c>
      <c r="I354" s="0" t="n">
        <v>1</v>
      </c>
      <c r="J354" s="0" t="s">
        <v>2276</v>
      </c>
      <c r="K354" s="15" t="n">
        <v>1411.05</v>
      </c>
      <c r="L354" s="0" t="s">
        <v>2277</v>
      </c>
    </row>
    <row r="355" customFormat="false" ht="15" hidden="false" customHeight="true" outlineLevel="0" collapsed="false">
      <c r="A355" s="0" t="n">
        <v>2</v>
      </c>
      <c r="B355" s="0" t="n">
        <v>3570</v>
      </c>
      <c r="C355" s="0" t="s">
        <v>52</v>
      </c>
      <c r="D355" s="0" t="s">
        <v>2282</v>
      </c>
      <c r="E355" s="14" t="n">
        <v>46211</v>
      </c>
      <c r="F355" s="14" t="n">
        <v>46211</v>
      </c>
      <c r="G355" s="0" t="s">
        <v>209</v>
      </c>
      <c r="H355" s="0" t="n">
        <v>1370597</v>
      </c>
      <c r="I355" s="0" t="n">
        <v>1</v>
      </c>
      <c r="J355" s="0" t="s">
        <v>2276</v>
      </c>
      <c r="K355" s="15" t="n">
        <v>505.5</v>
      </c>
      <c r="L355" s="0" t="s">
        <v>2277</v>
      </c>
    </row>
    <row r="356" customFormat="false" ht="15" hidden="false" customHeight="true" outlineLevel="0" collapsed="false">
      <c r="A356" s="0" t="n">
        <v>2</v>
      </c>
      <c r="B356" s="0" t="n">
        <v>524</v>
      </c>
      <c r="C356" s="0" t="s">
        <v>52</v>
      </c>
      <c r="D356" s="0" t="s">
        <v>2291</v>
      </c>
      <c r="E356" s="14" t="n">
        <v>46211</v>
      </c>
      <c r="F356" s="14" t="n">
        <v>46209</v>
      </c>
      <c r="G356" s="0" t="s">
        <v>123</v>
      </c>
      <c r="H356" s="0" t="n">
        <v>1370587</v>
      </c>
      <c r="I356" s="0" t="n">
        <v>1</v>
      </c>
      <c r="J356" s="0" t="s">
        <v>2276</v>
      </c>
      <c r="K356" s="15" t="n">
        <v>240</v>
      </c>
      <c r="L356" s="0" t="s">
        <v>2277</v>
      </c>
    </row>
    <row r="357" customFormat="false" ht="15" hidden="false" customHeight="true" outlineLevel="0" collapsed="false">
      <c r="A357" s="0" t="n">
        <v>2</v>
      </c>
      <c r="B357" s="0" t="n">
        <v>704</v>
      </c>
      <c r="C357" s="0" t="s">
        <v>44</v>
      </c>
      <c r="D357" s="0" t="s">
        <v>2283</v>
      </c>
      <c r="E357" s="14" t="n">
        <v>46211</v>
      </c>
      <c r="F357" s="14" t="n">
        <v>46211</v>
      </c>
      <c r="G357" s="0" t="s">
        <v>204</v>
      </c>
      <c r="H357" s="0" t="n">
        <v>1370613</v>
      </c>
      <c r="I357" s="0" t="n">
        <v>1</v>
      </c>
      <c r="J357" s="0" t="s">
        <v>2276</v>
      </c>
      <c r="K357" s="15" t="n">
        <v>259.75</v>
      </c>
      <c r="L357" s="0" t="s">
        <v>2277</v>
      </c>
    </row>
    <row r="358" customFormat="false" ht="15" hidden="false" customHeight="true" outlineLevel="0" collapsed="false">
      <c r="A358" s="0" t="n">
        <v>2</v>
      </c>
      <c r="B358" s="0" t="n">
        <v>1194625</v>
      </c>
      <c r="C358" s="0" t="s">
        <v>80</v>
      </c>
      <c r="D358" s="0" t="s">
        <v>2275</v>
      </c>
      <c r="E358" s="14" t="n">
        <v>46212</v>
      </c>
      <c r="F358" s="14" t="n">
        <v>46211</v>
      </c>
      <c r="G358" s="0" t="s">
        <v>130</v>
      </c>
      <c r="H358" s="0" t="n">
        <v>1374785</v>
      </c>
      <c r="I358" s="0" t="n">
        <v>11</v>
      </c>
      <c r="J358" s="0" t="s">
        <v>2276</v>
      </c>
      <c r="K358" s="15" t="n">
        <v>335</v>
      </c>
      <c r="L358" s="0" t="s">
        <v>2277</v>
      </c>
    </row>
    <row r="359" customFormat="false" ht="15" hidden="false" customHeight="true" outlineLevel="0" collapsed="false">
      <c r="A359" s="0" t="n">
        <v>2</v>
      </c>
      <c r="B359" s="0" t="n">
        <v>1194626</v>
      </c>
      <c r="C359" s="0" t="s">
        <v>80</v>
      </c>
      <c r="D359" s="0" t="s">
        <v>2275</v>
      </c>
      <c r="E359" s="14" t="n">
        <v>46212</v>
      </c>
      <c r="F359" s="14" t="n">
        <v>46211</v>
      </c>
      <c r="G359" s="0" t="s">
        <v>130</v>
      </c>
      <c r="H359" s="0" t="n">
        <v>1374769</v>
      </c>
      <c r="I359" s="0" t="n">
        <v>1</v>
      </c>
      <c r="J359" s="0" t="s">
        <v>2276</v>
      </c>
      <c r="K359" s="15" t="n">
        <v>659.34</v>
      </c>
      <c r="L359" s="0" t="s">
        <v>2277</v>
      </c>
    </row>
    <row r="360" customFormat="false" ht="15" hidden="false" customHeight="true" outlineLevel="0" collapsed="false">
      <c r="A360" s="0" t="n">
        <v>2</v>
      </c>
      <c r="B360" s="0" t="n">
        <v>1245696</v>
      </c>
      <c r="C360" s="0" t="s">
        <v>52</v>
      </c>
      <c r="D360" s="0" t="s">
        <v>2320</v>
      </c>
      <c r="E360" s="14" t="n">
        <v>46212</v>
      </c>
      <c r="F360" s="14" t="n">
        <v>46212</v>
      </c>
      <c r="G360" s="0" t="s">
        <v>468</v>
      </c>
      <c r="H360" s="0" t="n">
        <v>1374749</v>
      </c>
      <c r="I360" s="0" t="n">
        <v>1</v>
      </c>
      <c r="J360" s="0" t="s">
        <v>2276</v>
      </c>
      <c r="K360" s="15" t="n">
        <v>335.35</v>
      </c>
      <c r="L360" s="0" t="s">
        <v>2277</v>
      </c>
    </row>
    <row r="361" customFormat="false" ht="15" hidden="false" customHeight="true" outlineLevel="0" collapsed="false">
      <c r="A361" s="0" t="n">
        <v>2</v>
      </c>
      <c r="B361" s="0" t="n">
        <v>1688844</v>
      </c>
      <c r="C361" s="0" t="s">
        <v>52</v>
      </c>
      <c r="D361" s="0" t="s">
        <v>2287</v>
      </c>
      <c r="E361" s="14" t="n">
        <v>46212</v>
      </c>
      <c r="F361" s="14" t="n">
        <v>46211</v>
      </c>
      <c r="G361" s="0" t="s">
        <v>240</v>
      </c>
      <c r="H361" s="0" t="n">
        <v>1373707</v>
      </c>
      <c r="I361" s="0" t="n">
        <v>1</v>
      </c>
      <c r="J361" s="0" t="s">
        <v>2276</v>
      </c>
      <c r="K361" s="15" t="n">
        <v>197.37</v>
      </c>
      <c r="L361" s="0" t="s">
        <v>2277</v>
      </c>
    </row>
    <row r="362" customFormat="false" ht="15" hidden="false" customHeight="true" outlineLevel="0" collapsed="false">
      <c r="A362" s="0" t="n">
        <v>2</v>
      </c>
      <c r="B362" s="0" t="n">
        <v>1926959</v>
      </c>
      <c r="C362" s="0" t="s">
        <v>36</v>
      </c>
      <c r="D362" s="0" t="s">
        <v>2275</v>
      </c>
      <c r="E362" s="14" t="n">
        <v>46212</v>
      </c>
      <c r="F362" s="14" t="n">
        <v>46211</v>
      </c>
      <c r="G362" s="0" t="s">
        <v>130</v>
      </c>
      <c r="H362" s="0" t="n">
        <v>1374773</v>
      </c>
      <c r="I362" s="0" t="n">
        <v>1</v>
      </c>
      <c r="J362" s="0" t="s">
        <v>2276</v>
      </c>
      <c r="K362" s="15" t="n">
        <v>190.48</v>
      </c>
      <c r="L362" s="0" t="s">
        <v>2277</v>
      </c>
    </row>
    <row r="363" customFormat="false" ht="15" hidden="false" customHeight="true" outlineLevel="0" collapsed="false">
      <c r="A363" s="0" t="n">
        <v>2</v>
      </c>
      <c r="B363" s="0" t="n">
        <v>2299703</v>
      </c>
      <c r="C363" s="0" t="s">
        <v>52</v>
      </c>
      <c r="D363" s="0" t="s">
        <v>2390</v>
      </c>
      <c r="E363" s="14" t="n">
        <v>46212</v>
      </c>
      <c r="F363" s="14" t="n">
        <v>46212</v>
      </c>
      <c r="G363" s="0" t="s">
        <v>74</v>
      </c>
      <c r="H363" s="0" t="n">
        <v>1374249</v>
      </c>
      <c r="I363" s="0" t="n">
        <v>1</v>
      </c>
      <c r="J363" s="0" t="s">
        <v>2276</v>
      </c>
      <c r="K363" s="15" t="n">
        <v>1132.37</v>
      </c>
      <c r="L363" s="0" t="s">
        <v>2277</v>
      </c>
    </row>
    <row r="364" customFormat="false" ht="15" hidden="false" customHeight="true" outlineLevel="0" collapsed="false">
      <c r="A364" s="0" t="n">
        <v>2</v>
      </c>
      <c r="B364" s="0" t="n">
        <v>2299705</v>
      </c>
      <c r="C364" s="0" t="s">
        <v>52</v>
      </c>
      <c r="D364" s="0" t="s">
        <v>2390</v>
      </c>
      <c r="E364" s="14" t="n">
        <v>46212</v>
      </c>
      <c r="F364" s="14" t="n">
        <v>46212</v>
      </c>
      <c r="G364" s="0" t="s">
        <v>74</v>
      </c>
      <c r="H364" s="0" t="n">
        <v>1374035</v>
      </c>
      <c r="I364" s="0" t="n">
        <v>1</v>
      </c>
      <c r="J364" s="0" t="s">
        <v>2276</v>
      </c>
      <c r="K364" s="15" t="n">
        <v>1975.81</v>
      </c>
      <c r="L364" s="0" t="s">
        <v>2277</v>
      </c>
    </row>
    <row r="365" customFormat="false" ht="15" hidden="false" customHeight="true" outlineLevel="0" collapsed="false">
      <c r="A365" s="0" t="n">
        <v>2</v>
      </c>
      <c r="B365" s="0" t="n">
        <v>2533</v>
      </c>
      <c r="C365" s="0" t="s">
        <v>52</v>
      </c>
      <c r="D365" s="0" t="s">
        <v>2288</v>
      </c>
      <c r="E365" s="14" t="n">
        <v>46212</v>
      </c>
      <c r="F365" s="14" t="n">
        <v>46212</v>
      </c>
      <c r="G365" s="0" t="s">
        <v>153</v>
      </c>
      <c r="H365" s="0" t="n">
        <v>1373788</v>
      </c>
      <c r="I365" s="0" t="n">
        <v>6</v>
      </c>
      <c r="J365" s="0" t="s">
        <v>2276</v>
      </c>
      <c r="K365" s="15" t="n">
        <v>290</v>
      </c>
      <c r="L365" s="0" t="s">
        <v>2277</v>
      </c>
    </row>
    <row r="366" customFormat="false" ht="15" hidden="false" customHeight="true" outlineLevel="0" collapsed="false">
      <c r="A366" s="0" t="n">
        <v>2</v>
      </c>
      <c r="B366" s="0" t="n">
        <v>2535</v>
      </c>
      <c r="C366" s="0" t="s">
        <v>52</v>
      </c>
      <c r="D366" s="0" t="s">
        <v>2288</v>
      </c>
      <c r="E366" s="14" t="n">
        <v>46212</v>
      </c>
      <c r="F366" s="14" t="n">
        <v>46212</v>
      </c>
      <c r="G366" s="0" t="s">
        <v>153</v>
      </c>
      <c r="H366" s="0" t="n">
        <v>1374877</v>
      </c>
      <c r="I366" s="0" t="n">
        <v>6</v>
      </c>
      <c r="J366" s="0" t="s">
        <v>2276</v>
      </c>
      <c r="K366" s="15" t="n">
        <v>210</v>
      </c>
      <c r="L366" s="0" t="s">
        <v>2277</v>
      </c>
    </row>
    <row r="367" customFormat="false" ht="15" hidden="false" customHeight="true" outlineLevel="0" collapsed="false">
      <c r="A367" s="0" t="n">
        <v>2</v>
      </c>
      <c r="B367" s="0" t="n">
        <v>31344</v>
      </c>
      <c r="C367" s="0" t="s">
        <v>52</v>
      </c>
      <c r="D367" s="0" t="s">
        <v>2294</v>
      </c>
      <c r="E367" s="14" t="n">
        <v>46212</v>
      </c>
      <c r="F367" s="14" t="n">
        <v>46211</v>
      </c>
      <c r="G367" s="0" t="s">
        <v>147</v>
      </c>
      <c r="H367" s="0" t="n">
        <v>1374667</v>
      </c>
      <c r="I367" s="0" t="n">
        <v>1</v>
      </c>
      <c r="J367" s="0" t="s">
        <v>2276</v>
      </c>
      <c r="K367" s="15" t="n">
        <v>329</v>
      </c>
      <c r="L367" s="0" t="s">
        <v>2277</v>
      </c>
    </row>
    <row r="368" customFormat="false" ht="15" hidden="false" customHeight="true" outlineLevel="0" collapsed="false">
      <c r="A368" s="0" t="n">
        <v>2</v>
      </c>
      <c r="B368" s="0" t="n">
        <v>31703</v>
      </c>
      <c r="C368" s="0" t="s">
        <v>52</v>
      </c>
      <c r="D368" s="0" t="s">
        <v>2296</v>
      </c>
      <c r="E368" s="14" t="n">
        <v>46212</v>
      </c>
      <c r="F368" s="14" t="n">
        <v>46212</v>
      </c>
      <c r="G368" s="0" t="s">
        <v>162</v>
      </c>
      <c r="H368" s="0" t="n">
        <v>1375062</v>
      </c>
      <c r="I368" s="0" t="n">
        <v>1</v>
      </c>
      <c r="J368" s="0" t="s">
        <v>2276</v>
      </c>
      <c r="K368" s="15" t="n">
        <v>3640</v>
      </c>
      <c r="L368" s="0" t="s">
        <v>2277</v>
      </c>
    </row>
    <row r="369" customFormat="false" ht="15" hidden="false" customHeight="true" outlineLevel="0" collapsed="false">
      <c r="A369" s="0" t="n">
        <v>2</v>
      </c>
      <c r="B369" s="0" t="n">
        <v>331</v>
      </c>
      <c r="C369" s="0" t="s">
        <v>52</v>
      </c>
      <c r="D369" s="0" t="s">
        <v>2289</v>
      </c>
      <c r="E369" s="14" t="n">
        <v>46212</v>
      </c>
      <c r="F369" s="14" t="n">
        <v>46211</v>
      </c>
      <c r="G369" s="0" t="s">
        <v>216</v>
      </c>
      <c r="H369" s="0" t="n">
        <v>1373839</v>
      </c>
      <c r="I369" s="0" t="n">
        <v>1</v>
      </c>
      <c r="J369" s="0" t="s">
        <v>2276</v>
      </c>
      <c r="K369" s="15" t="n">
        <v>915</v>
      </c>
      <c r="L369" s="0" t="s">
        <v>2277</v>
      </c>
    </row>
    <row r="370" customFormat="false" ht="15" hidden="false" customHeight="true" outlineLevel="0" collapsed="false">
      <c r="A370" s="0" t="n">
        <v>2</v>
      </c>
      <c r="B370" s="0" t="n">
        <v>53410</v>
      </c>
      <c r="C370" s="0" t="s">
        <v>52</v>
      </c>
      <c r="D370" s="0" t="s">
        <v>2334</v>
      </c>
      <c r="E370" s="14" t="n">
        <v>46212</v>
      </c>
      <c r="F370" s="14" t="n">
        <v>46211</v>
      </c>
      <c r="G370" s="0" t="s">
        <v>487</v>
      </c>
      <c r="H370" s="0" t="n">
        <v>1373506</v>
      </c>
      <c r="I370" s="0" t="n">
        <v>1</v>
      </c>
      <c r="J370" s="0" t="s">
        <v>2276</v>
      </c>
      <c r="K370" s="15" t="n">
        <v>316.08</v>
      </c>
      <c r="L370" s="0" t="s">
        <v>2277</v>
      </c>
    </row>
    <row r="371" customFormat="false" ht="15" hidden="false" customHeight="true" outlineLevel="0" collapsed="false">
      <c r="A371" s="0" t="n">
        <v>2</v>
      </c>
      <c r="B371" s="0" t="n">
        <v>681127</v>
      </c>
      <c r="C371" s="0" t="s">
        <v>52</v>
      </c>
      <c r="D371" s="0" t="s">
        <v>2318</v>
      </c>
      <c r="E371" s="14" t="n">
        <v>46212</v>
      </c>
      <c r="F371" s="14" t="n">
        <v>46212</v>
      </c>
      <c r="G371" s="0" t="s">
        <v>236</v>
      </c>
      <c r="H371" s="0" t="n">
        <v>1374907</v>
      </c>
      <c r="I371" s="0" t="n">
        <v>1</v>
      </c>
      <c r="J371" s="0" t="s">
        <v>2276</v>
      </c>
      <c r="K371" s="15" t="n">
        <v>1527.75</v>
      </c>
      <c r="L371" s="0" t="s">
        <v>2277</v>
      </c>
    </row>
    <row r="372" customFormat="false" ht="15" hidden="false" customHeight="true" outlineLevel="0" collapsed="false">
      <c r="A372" s="0" t="n">
        <v>2</v>
      </c>
      <c r="B372" s="0" t="n">
        <v>851821</v>
      </c>
      <c r="C372" s="0" t="s">
        <v>52</v>
      </c>
      <c r="D372" s="0" t="s">
        <v>2326</v>
      </c>
      <c r="E372" s="14" t="n">
        <v>46212</v>
      </c>
      <c r="F372" s="14" t="n">
        <v>46211</v>
      </c>
      <c r="G372" s="0" t="s">
        <v>193</v>
      </c>
      <c r="H372" s="0" t="n">
        <v>1373725</v>
      </c>
      <c r="I372" s="0" t="n">
        <v>1</v>
      </c>
      <c r="J372" s="0" t="s">
        <v>2276</v>
      </c>
      <c r="K372" s="15" t="n">
        <v>426.95</v>
      </c>
      <c r="L372" s="0" t="s">
        <v>2277</v>
      </c>
    </row>
    <row r="373" customFormat="false" ht="15" hidden="false" customHeight="true" outlineLevel="0" collapsed="false">
      <c r="A373" s="0" t="n">
        <v>2</v>
      </c>
      <c r="B373" s="0" t="n">
        <v>1031214</v>
      </c>
      <c r="C373" s="0" t="s">
        <v>52</v>
      </c>
      <c r="D373" s="0" t="s">
        <v>2286</v>
      </c>
      <c r="E373" s="14" t="n">
        <v>46213</v>
      </c>
      <c r="F373" s="14" t="n">
        <v>46212</v>
      </c>
      <c r="G373" s="0" t="s">
        <v>228</v>
      </c>
      <c r="H373" s="0" t="n">
        <v>1376676</v>
      </c>
      <c r="I373" s="0" t="n">
        <v>1</v>
      </c>
      <c r="J373" s="0" t="s">
        <v>2276</v>
      </c>
      <c r="K373" s="15" t="n">
        <v>250.08</v>
      </c>
      <c r="L373" s="0" t="s">
        <v>2277</v>
      </c>
    </row>
    <row r="374" customFormat="false" ht="15" hidden="false" customHeight="true" outlineLevel="0" collapsed="false">
      <c r="A374" s="0" t="n">
        <v>2</v>
      </c>
      <c r="B374" s="0" t="n">
        <v>1605936</v>
      </c>
      <c r="C374" s="0" t="s">
        <v>52</v>
      </c>
      <c r="D374" s="0" t="s">
        <v>2327</v>
      </c>
      <c r="E374" s="14" t="n">
        <v>46213</v>
      </c>
      <c r="F374" s="14" t="n">
        <v>46213</v>
      </c>
      <c r="G374" s="0" t="s">
        <v>50</v>
      </c>
      <c r="H374" s="0" t="n">
        <v>1376659</v>
      </c>
      <c r="I374" s="0" t="n">
        <v>1</v>
      </c>
      <c r="J374" s="0" t="s">
        <v>2276</v>
      </c>
      <c r="K374" s="15" t="n">
        <v>2050.13</v>
      </c>
      <c r="L374" s="0" t="s">
        <v>2277</v>
      </c>
    </row>
    <row r="375" customFormat="false" ht="15" hidden="false" customHeight="true" outlineLevel="0" collapsed="false">
      <c r="A375" s="0" t="n">
        <v>2</v>
      </c>
      <c r="B375" s="0" t="n">
        <v>2538</v>
      </c>
      <c r="C375" s="0" t="s">
        <v>52</v>
      </c>
      <c r="D375" s="0" t="s">
        <v>2288</v>
      </c>
      <c r="E375" s="14" t="n">
        <v>46213</v>
      </c>
      <c r="F375" s="14" t="n">
        <v>46213</v>
      </c>
      <c r="G375" s="0" t="s">
        <v>153</v>
      </c>
      <c r="H375" s="0" t="n">
        <v>1377467</v>
      </c>
      <c r="I375" s="0" t="n">
        <v>6</v>
      </c>
      <c r="J375" s="0" t="s">
        <v>2276</v>
      </c>
      <c r="K375" s="15" t="n">
        <v>1838.6</v>
      </c>
      <c r="L375" s="0" t="s">
        <v>2277</v>
      </c>
    </row>
    <row r="376" customFormat="false" ht="15" hidden="false" customHeight="true" outlineLevel="0" collapsed="false">
      <c r="A376" s="0" t="n">
        <v>2</v>
      </c>
      <c r="B376" s="0" t="n">
        <v>255191</v>
      </c>
      <c r="C376" s="0" t="s">
        <v>52</v>
      </c>
      <c r="D376" s="0" t="s">
        <v>2323</v>
      </c>
      <c r="E376" s="14" t="n">
        <v>46213</v>
      </c>
      <c r="F376" s="14" t="n">
        <v>46212</v>
      </c>
      <c r="G376" s="0" t="s">
        <v>566</v>
      </c>
      <c r="H376" s="0" t="n">
        <v>1377204</v>
      </c>
      <c r="I376" s="0" t="n">
        <v>1</v>
      </c>
      <c r="J376" s="0" t="s">
        <v>2276</v>
      </c>
      <c r="K376" s="15" t="n">
        <v>771.01</v>
      </c>
      <c r="L376" s="0" t="s">
        <v>2277</v>
      </c>
    </row>
    <row r="377" customFormat="false" ht="15" hidden="false" customHeight="true" outlineLevel="0" collapsed="false">
      <c r="A377" s="0" t="n">
        <v>2</v>
      </c>
      <c r="B377" s="0" t="n">
        <v>262932</v>
      </c>
      <c r="C377" s="0" t="s">
        <v>52</v>
      </c>
      <c r="D377" s="0" t="s">
        <v>2348</v>
      </c>
      <c r="E377" s="14" t="n">
        <v>46213</v>
      </c>
      <c r="F377" s="14" t="n">
        <v>46211</v>
      </c>
      <c r="G377" s="0" t="s">
        <v>275</v>
      </c>
      <c r="H377" s="0" t="n">
        <v>1377397</v>
      </c>
      <c r="I377" s="0" t="n">
        <v>1</v>
      </c>
      <c r="J377" s="0" t="s">
        <v>2276</v>
      </c>
      <c r="K377" s="15" t="n">
        <v>1123.86</v>
      </c>
      <c r="L377" s="0" t="s">
        <v>2277</v>
      </c>
    </row>
    <row r="378" customFormat="false" ht="15" hidden="false" customHeight="true" outlineLevel="0" collapsed="false">
      <c r="A378" s="0" t="n">
        <v>2</v>
      </c>
      <c r="B378" s="0" t="n">
        <v>2635</v>
      </c>
      <c r="C378" s="0" t="s">
        <v>52</v>
      </c>
      <c r="D378" s="0" t="s">
        <v>2391</v>
      </c>
      <c r="E378" s="14" t="n">
        <v>46213</v>
      </c>
      <c r="F378" s="14" t="n">
        <v>46213</v>
      </c>
      <c r="G378" s="0" t="s">
        <v>925</v>
      </c>
      <c r="H378" s="0" t="n">
        <v>1377247</v>
      </c>
      <c r="I378" s="0" t="n">
        <v>1</v>
      </c>
      <c r="J378" s="0" t="s">
        <v>2276</v>
      </c>
      <c r="K378" s="15" t="n">
        <v>150</v>
      </c>
      <c r="L378" s="0" t="s">
        <v>2277</v>
      </c>
    </row>
    <row r="379" customFormat="false" ht="15" hidden="false" customHeight="true" outlineLevel="0" collapsed="false">
      <c r="A379" s="0" t="n">
        <v>2</v>
      </c>
      <c r="B379" s="0" t="n">
        <v>333</v>
      </c>
      <c r="C379" s="0" t="s">
        <v>52</v>
      </c>
      <c r="D379" s="0" t="s">
        <v>2289</v>
      </c>
      <c r="E379" s="14" t="n">
        <v>46213</v>
      </c>
      <c r="F379" s="14" t="n">
        <v>46212</v>
      </c>
      <c r="G379" s="0" t="s">
        <v>216</v>
      </c>
      <c r="H379" s="0" t="n">
        <v>1377315</v>
      </c>
      <c r="I379" s="0" t="n">
        <v>1</v>
      </c>
      <c r="J379" s="0" t="s">
        <v>2276</v>
      </c>
      <c r="K379" s="15" t="n">
        <v>1171.37</v>
      </c>
      <c r="L379" s="0" t="s">
        <v>2277</v>
      </c>
    </row>
    <row r="380" customFormat="false" ht="15" hidden="false" customHeight="true" outlineLevel="0" collapsed="false">
      <c r="A380" s="0" t="n">
        <v>2</v>
      </c>
      <c r="B380" s="0" t="n">
        <v>351</v>
      </c>
      <c r="C380" s="0" t="s">
        <v>52</v>
      </c>
      <c r="D380" s="0" t="s">
        <v>2311</v>
      </c>
      <c r="E380" s="14" t="n">
        <v>46213</v>
      </c>
      <c r="F380" s="14" t="n">
        <v>46213</v>
      </c>
      <c r="G380" s="0" t="s">
        <v>2312</v>
      </c>
      <c r="H380" s="0" t="n">
        <v>1377076</v>
      </c>
      <c r="I380" s="0" t="n">
        <v>1</v>
      </c>
      <c r="J380" s="0" t="s">
        <v>2276</v>
      </c>
      <c r="K380" s="15" t="n">
        <v>225</v>
      </c>
      <c r="L380" s="0" t="s">
        <v>2277</v>
      </c>
    </row>
    <row r="381" customFormat="false" ht="15" hidden="false" customHeight="true" outlineLevel="0" collapsed="false">
      <c r="A381" s="0" t="n">
        <v>2</v>
      </c>
      <c r="B381" s="0" t="n">
        <v>396261</v>
      </c>
      <c r="C381" s="0" t="s">
        <v>52</v>
      </c>
      <c r="D381" s="0" t="s">
        <v>2328</v>
      </c>
      <c r="E381" s="14" t="n">
        <v>46213</v>
      </c>
      <c r="F381" s="14" t="n">
        <v>46211</v>
      </c>
      <c r="G381" s="0" t="s">
        <v>77</v>
      </c>
      <c r="H381" s="0" t="n">
        <v>1376812</v>
      </c>
      <c r="I381" s="0" t="n">
        <v>1</v>
      </c>
      <c r="J381" s="0" t="s">
        <v>2276</v>
      </c>
      <c r="K381" s="15" t="n">
        <v>638.53</v>
      </c>
      <c r="L381" s="0" t="s">
        <v>2277</v>
      </c>
    </row>
    <row r="382" customFormat="false" ht="15" hidden="false" customHeight="true" outlineLevel="0" collapsed="false">
      <c r="A382" s="0" t="n">
        <v>2</v>
      </c>
      <c r="B382" s="0" t="n">
        <v>426652</v>
      </c>
      <c r="C382" s="0" t="s">
        <v>67</v>
      </c>
      <c r="D382" s="0" t="s">
        <v>2359</v>
      </c>
      <c r="E382" s="14" t="n">
        <v>46213</v>
      </c>
      <c r="F382" s="14" t="n">
        <v>46211</v>
      </c>
      <c r="G382" s="0" t="s">
        <v>254</v>
      </c>
      <c r="H382" s="0" t="n">
        <v>1376909</v>
      </c>
      <c r="I382" s="0" t="n">
        <v>1</v>
      </c>
      <c r="J382" s="0" t="s">
        <v>2276</v>
      </c>
      <c r="K382" s="15" t="n">
        <v>2047.9</v>
      </c>
      <c r="L382" s="0" t="s">
        <v>2277</v>
      </c>
    </row>
    <row r="383" customFormat="false" ht="15" hidden="false" customHeight="true" outlineLevel="0" collapsed="false">
      <c r="A383" s="0" t="n">
        <v>2</v>
      </c>
      <c r="B383" s="0" t="n">
        <v>462</v>
      </c>
      <c r="C383" s="0" t="s">
        <v>52</v>
      </c>
      <c r="D383" s="0" t="s">
        <v>2392</v>
      </c>
      <c r="E383" s="14" t="n">
        <v>46213</v>
      </c>
      <c r="F383" s="14" t="n">
        <v>46209</v>
      </c>
      <c r="G383" s="0" t="s">
        <v>332</v>
      </c>
      <c r="H383" s="0" t="n">
        <v>1377084</v>
      </c>
      <c r="I383" s="0" t="n">
        <v>1</v>
      </c>
      <c r="J383" s="0" t="s">
        <v>2276</v>
      </c>
      <c r="K383" s="15" t="n">
        <v>435</v>
      </c>
      <c r="L383" s="0" t="s">
        <v>2277</v>
      </c>
    </row>
    <row r="384" customFormat="false" ht="15" hidden="false" customHeight="true" outlineLevel="0" collapsed="false">
      <c r="A384" s="0" t="n">
        <v>2</v>
      </c>
      <c r="B384" s="0" t="n">
        <v>5786</v>
      </c>
      <c r="C384" s="0" t="s">
        <v>52</v>
      </c>
      <c r="D384" s="0" t="s">
        <v>2302</v>
      </c>
      <c r="E384" s="14" t="n">
        <v>46213</v>
      </c>
      <c r="F384" s="14" t="n">
        <v>46213</v>
      </c>
      <c r="G384" s="0" t="s">
        <v>2303</v>
      </c>
      <c r="H384" s="0" t="n">
        <v>1376630</v>
      </c>
      <c r="I384" s="0" t="n">
        <v>1</v>
      </c>
      <c r="J384" s="0" t="s">
        <v>2276</v>
      </c>
      <c r="K384" s="15" t="n">
        <v>519.65</v>
      </c>
      <c r="L384" s="0" t="s">
        <v>2277</v>
      </c>
    </row>
    <row r="385" customFormat="false" ht="15" hidden="false" customHeight="true" outlineLevel="0" collapsed="false">
      <c r="A385" s="0" t="n">
        <v>2</v>
      </c>
      <c r="B385" s="0" t="n">
        <v>599833</v>
      </c>
      <c r="C385" s="0" t="s">
        <v>102</v>
      </c>
      <c r="D385" s="0" t="s">
        <v>2325</v>
      </c>
      <c r="E385" s="14" t="n">
        <v>46213</v>
      </c>
      <c r="F385" s="14" t="n">
        <v>46211</v>
      </c>
      <c r="G385" s="0" t="s">
        <v>471</v>
      </c>
      <c r="H385" s="0" t="n">
        <v>1376782</v>
      </c>
      <c r="I385" s="0" t="n">
        <v>1</v>
      </c>
      <c r="J385" s="0" t="s">
        <v>2276</v>
      </c>
      <c r="K385" s="15" t="n">
        <v>280</v>
      </c>
      <c r="L385" s="0" t="s">
        <v>2277</v>
      </c>
    </row>
    <row r="386" customFormat="false" ht="15" hidden="false" customHeight="true" outlineLevel="0" collapsed="false">
      <c r="A386" s="0" t="n">
        <v>2</v>
      </c>
      <c r="B386" s="0" t="n">
        <v>66</v>
      </c>
      <c r="C386" s="0" t="s">
        <v>52</v>
      </c>
      <c r="D386" s="0" t="s">
        <v>2393</v>
      </c>
      <c r="E386" s="14" t="n">
        <v>46213</v>
      </c>
      <c r="F386" s="14" t="n">
        <v>46213</v>
      </c>
      <c r="G386" s="0" t="s">
        <v>911</v>
      </c>
      <c r="H386" s="0" t="n">
        <v>1377153</v>
      </c>
      <c r="I386" s="0" t="n">
        <v>1</v>
      </c>
      <c r="J386" s="0" t="s">
        <v>2276</v>
      </c>
      <c r="K386" s="15" t="n">
        <v>432</v>
      </c>
      <c r="L386" s="0" t="s">
        <v>2277</v>
      </c>
    </row>
    <row r="387" customFormat="false" ht="15" hidden="false" customHeight="true" outlineLevel="0" collapsed="false">
      <c r="A387" s="0" t="n">
        <v>2</v>
      </c>
      <c r="B387" s="0" t="n">
        <v>899238</v>
      </c>
      <c r="C387" s="0" t="s">
        <v>2340</v>
      </c>
      <c r="D387" s="0" t="s">
        <v>2341</v>
      </c>
      <c r="E387" s="14" t="n">
        <v>46213</v>
      </c>
      <c r="F387" s="14" t="n">
        <v>46212</v>
      </c>
      <c r="G387" s="0" t="s">
        <v>232</v>
      </c>
      <c r="H387" s="0" t="n">
        <v>1377254</v>
      </c>
      <c r="I387" s="0" t="n">
        <v>1</v>
      </c>
      <c r="J387" s="0" t="s">
        <v>2276</v>
      </c>
      <c r="K387" s="15" t="n">
        <v>660.18</v>
      </c>
      <c r="L387" s="0" t="s">
        <v>2277</v>
      </c>
    </row>
    <row r="388" customFormat="false" ht="15" hidden="false" customHeight="true" outlineLevel="0" collapsed="false">
      <c r="A388" s="0" t="n">
        <v>2</v>
      </c>
      <c r="B388" s="0" t="n">
        <v>1645747</v>
      </c>
      <c r="C388" s="0" t="s">
        <v>2280</v>
      </c>
      <c r="D388" s="0" t="s">
        <v>2281</v>
      </c>
      <c r="E388" s="14" t="n">
        <v>46214</v>
      </c>
      <c r="F388" s="14" t="n">
        <v>46213</v>
      </c>
      <c r="G388" s="0" t="s">
        <v>406</v>
      </c>
      <c r="H388" s="0" t="n">
        <v>1381841</v>
      </c>
      <c r="I388" s="0" t="n">
        <v>1</v>
      </c>
      <c r="J388" s="0" t="s">
        <v>2276</v>
      </c>
      <c r="K388" s="15" t="n">
        <v>61.5</v>
      </c>
      <c r="L388" s="0" t="s">
        <v>2277</v>
      </c>
    </row>
    <row r="389" customFormat="false" ht="15" hidden="false" customHeight="true" outlineLevel="0" collapsed="false">
      <c r="A389" s="0" t="n">
        <v>2</v>
      </c>
      <c r="B389" s="0" t="n">
        <v>527</v>
      </c>
      <c r="C389" s="0" t="s">
        <v>52</v>
      </c>
      <c r="D389" s="0" t="s">
        <v>2291</v>
      </c>
      <c r="E389" s="14" t="n">
        <v>46214</v>
      </c>
      <c r="F389" s="14" t="n">
        <v>46213</v>
      </c>
      <c r="G389" s="0" t="s">
        <v>123</v>
      </c>
      <c r="H389" s="0" t="n">
        <v>1381699</v>
      </c>
      <c r="I389" s="0" t="n">
        <v>1</v>
      </c>
      <c r="J389" s="0" t="s">
        <v>2276</v>
      </c>
      <c r="K389" s="15" t="n">
        <v>180</v>
      </c>
      <c r="L389" s="0" t="s">
        <v>2277</v>
      </c>
    </row>
    <row r="390" customFormat="false" ht="15" hidden="false" customHeight="true" outlineLevel="0" collapsed="false">
      <c r="A390" s="0" t="n">
        <v>2</v>
      </c>
      <c r="B390" s="0" t="n">
        <v>566541</v>
      </c>
      <c r="C390" s="0" t="s">
        <v>2316</v>
      </c>
      <c r="D390" s="0" t="s">
        <v>2317</v>
      </c>
      <c r="E390" s="14" t="n">
        <v>46214</v>
      </c>
      <c r="F390" s="14" t="n">
        <v>46211</v>
      </c>
      <c r="G390" s="0" t="s">
        <v>266</v>
      </c>
      <c r="H390" s="0" t="n">
        <v>1381638</v>
      </c>
      <c r="I390" s="0" t="n">
        <v>1</v>
      </c>
      <c r="J390" s="0" t="s">
        <v>2276</v>
      </c>
      <c r="K390" s="15" t="n">
        <v>9145.72</v>
      </c>
      <c r="L390" s="0" t="s">
        <v>2277</v>
      </c>
    </row>
    <row r="391" customFormat="false" ht="15" hidden="false" customHeight="true" outlineLevel="0" collapsed="false">
      <c r="A391" s="0" t="n">
        <v>2</v>
      </c>
      <c r="B391" s="0" t="n">
        <v>708</v>
      </c>
      <c r="C391" s="0" t="s">
        <v>44</v>
      </c>
      <c r="D391" s="0" t="s">
        <v>2283</v>
      </c>
      <c r="E391" s="14" t="n">
        <v>46214</v>
      </c>
      <c r="F391" s="14" t="n">
        <v>46213</v>
      </c>
      <c r="G391" s="0" t="s">
        <v>204</v>
      </c>
      <c r="H391" s="0" t="n">
        <v>1381714</v>
      </c>
      <c r="I391" s="0" t="n">
        <v>1</v>
      </c>
      <c r="J391" s="0" t="s">
        <v>2276</v>
      </c>
      <c r="K391" s="15" t="n">
        <v>307.11</v>
      </c>
      <c r="L391" s="0" t="s">
        <v>2277</v>
      </c>
    </row>
    <row r="392" customFormat="false" ht="15" hidden="false" customHeight="true" outlineLevel="0" collapsed="false">
      <c r="A392" s="0" t="n">
        <v>2</v>
      </c>
      <c r="B392" s="0" t="n">
        <v>7646</v>
      </c>
      <c r="C392" s="0" t="s">
        <v>52</v>
      </c>
      <c r="D392" s="0" t="s">
        <v>2394</v>
      </c>
      <c r="E392" s="14" t="n">
        <v>46214</v>
      </c>
      <c r="F392" s="14" t="n">
        <v>46213</v>
      </c>
      <c r="G392" s="0" t="s">
        <v>1090</v>
      </c>
      <c r="H392" s="0" t="n">
        <v>1381742</v>
      </c>
      <c r="I392" s="0" t="n">
        <v>39</v>
      </c>
      <c r="J392" s="0" t="s">
        <v>2276</v>
      </c>
      <c r="K392" s="15" t="n">
        <v>215</v>
      </c>
      <c r="L392" s="0" t="s">
        <v>2346</v>
      </c>
    </row>
    <row r="393" customFormat="false" ht="15" hidden="false" customHeight="true" outlineLevel="0" collapsed="false">
      <c r="A393" s="0" t="n">
        <v>2</v>
      </c>
      <c r="B393" s="0" t="n">
        <v>7874</v>
      </c>
      <c r="C393" s="0" t="s">
        <v>52</v>
      </c>
      <c r="D393" s="0" t="s">
        <v>2330</v>
      </c>
      <c r="E393" s="14" t="n">
        <v>46214</v>
      </c>
      <c r="F393" s="14" t="n">
        <v>46209</v>
      </c>
      <c r="G393" s="0" t="s">
        <v>417</v>
      </c>
      <c r="H393" s="0" t="n">
        <v>1381906</v>
      </c>
      <c r="I393" s="0" t="n">
        <v>1</v>
      </c>
      <c r="J393" s="0" t="s">
        <v>2276</v>
      </c>
      <c r="K393" s="15" t="n">
        <v>1515.53</v>
      </c>
      <c r="L393" s="0" t="s">
        <v>2277</v>
      </c>
    </row>
    <row r="394" customFormat="false" ht="15" hidden="false" customHeight="true" outlineLevel="0" collapsed="false">
      <c r="A394" s="0" t="n">
        <v>2</v>
      </c>
      <c r="B394" s="0" t="n">
        <v>1199243</v>
      </c>
      <c r="C394" s="0" t="s">
        <v>80</v>
      </c>
      <c r="D394" s="0" t="s">
        <v>2275</v>
      </c>
      <c r="E394" s="14" t="n">
        <v>46216</v>
      </c>
      <c r="F394" s="14" t="n">
        <v>46213</v>
      </c>
      <c r="G394" s="0" t="s">
        <v>130</v>
      </c>
      <c r="H394" s="0" t="n">
        <v>1394011</v>
      </c>
      <c r="I394" s="0" t="n">
        <v>1</v>
      </c>
      <c r="J394" s="0" t="s">
        <v>2276</v>
      </c>
      <c r="K394" s="15" t="n">
        <v>101.71</v>
      </c>
      <c r="L394" s="0" t="s">
        <v>2277</v>
      </c>
    </row>
    <row r="395" customFormat="false" ht="15" hidden="false" customHeight="true" outlineLevel="0" collapsed="false">
      <c r="A395" s="0" t="n">
        <v>2</v>
      </c>
      <c r="B395" s="0" t="n">
        <v>1199257</v>
      </c>
      <c r="C395" s="0" t="s">
        <v>80</v>
      </c>
      <c r="D395" s="0" t="s">
        <v>2275</v>
      </c>
      <c r="E395" s="14" t="n">
        <v>46216</v>
      </c>
      <c r="F395" s="14" t="n">
        <v>46213</v>
      </c>
      <c r="G395" s="0" t="s">
        <v>130</v>
      </c>
      <c r="H395" s="0" t="n">
        <v>1393993</v>
      </c>
      <c r="I395" s="0" t="n">
        <v>1</v>
      </c>
      <c r="J395" s="0" t="s">
        <v>2276</v>
      </c>
      <c r="K395" s="15" t="n">
        <v>203.41</v>
      </c>
      <c r="L395" s="0" t="s">
        <v>2277</v>
      </c>
    </row>
    <row r="396" customFormat="false" ht="15" hidden="false" customHeight="true" outlineLevel="0" collapsed="false">
      <c r="A396" s="0" t="n">
        <v>2</v>
      </c>
      <c r="B396" s="0" t="n">
        <v>1646001</v>
      </c>
      <c r="C396" s="0" t="s">
        <v>2280</v>
      </c>
      <c r="D396" s="0" t="s">
        <v>2281</v>
      </c>
      <c r="E396" s="14" t="n">
        <v>46216</v>
      </c>
      <c r="F396" s="14" t="n">
        <v>46214</v>
      </c>
      <c r="G396" s="0" t="s">
        <v>406</v>
      </c>
      <c r="H396" s="0" t="n">
        <v>1393119</v>
      </c>
      <c r="I396" s="0" t="n">
        <v>1</v>
      </c>
      <c r="J396" s="0" t="s">
        <v>2276</v>
      </c>
      <c r="K396" s="15" t="n">
        <v>174</v>
      </c>
      <c r="L396" s="0" t="s">
        <v>2277</v>
      </c>
    </row>
    <row r="397" customFormat="false" ht="15" hidden="false" customHeight="true" outlineLevel="0" collapsed="false">
      <c r="A397" s="0" t="n">
        <v>2</v>
      </c>
      <c r="B397" s="0" t="n">
        <v>1791</v>
      </c>
      <c r="C397" s="0" t="s">
        <v>52</v>
      </c>
      <c r="D397" s="0" t="s">
        <v>2310</v>
      </c>
      <c r="E397" s="14" t="n">
        <v>46216</v>
      </c>
      <c r="F397" s="14" t="n">
        <v>46216</v>
      </c>
      <c r="G397" s="0" t="s">
        <v>453</v>
      </c>
      <c r="H397" s="0" t="n">
        <v>1393806</v>
      </c>
      <c r="I397" s="0" t="n">
        <v>1</v>
      </c>
      <c r="J397" s="0" t="s">
        <v>2276</v>
      </c>
      <c r="K397" s="15" t="n">
        <v>250</v>
      </c>
      <c r="L397" s="0" t="s">
        <v>2277</v>
      </c>
    </row>
    <row r="398" customFormat="false" ht="15" hidden="false" customHeight="true" outlineLevel="0" collapsed="false">
      <c r="A398" s="0" t="n">
        <v>2</v>
      </c>
      <c r="B398" s="0" t="n">
        <v>1931230</v>
      </c>
      <c r="C398" s="0" t="s">
        <v>36</v>
      </c>
      <c r="D398" s="0" t="s">
        <v>2275</v>
      </c>
      <c r="E398" s="14" t="n">
        <v>46216</v>
      </c>
      <c r="F398" s="14" t="n">
        <v>46213</v>
      </c>
      <c r="G398" s="0" t="s">
        <v>130</v>
      </c>
      <c r="H398" s="0" t="n">
        <v>1393986</v>
      </c>
      <c r="I398" s="0" t="n">
        <v>1</v>
      </c>
      <c r="J398" s="0" t="s">
        <v>2276</v>
      </c>
      <c r="K398" s="15" t="n">
        <v>419.67</v>
      </c>
      <c r="L398" s="0" t="s">
        <v>2277</v>
      </c>
    </row>
    <row r="399" customFormat="false" ht="15" hidden="false" customHeight="true" outlineLevel="0" collapsed="false">
      <c r="A399" s="0" t="n">
        <v>2</v>
      </c>
      <c r="B399" s="0" t="n">
        <v>1962669</v>
      </c>
      <c r="C399" s="0" t="s">
        <v>52</v>
      </c>
      <c r="D399" s="0" t="s">
        <v>2369</v>
      </c>
      <c r="E399" s="14" t="n">
        <v>46216</v>
      </c>
      <c r="F399" s="14" t="n">
        <v>46211</v>
      </c>
      <c r="G399" s="0" t="s">
        <v>185</v>
      </c>
      <c r="H399" s="0" t="n">
        <v>1393698</v>
      </c>
      <c r="I399" s="0" t="n">
        <v>1</v>
      </c>
      <c r="J399" s="0" t="s">
        <v>2276</v>
      </c>
      <c r="K399" s="15" t="n">
        <v>6016.21</v>
      </c>
      <c r="L399" s="0" t="s">
        <v>2277</v>
      </c>
    </row>
    <row r="400" customFormat="false" ht="15" hidden="false" customHeight="true" outlineLevel="0" collapsed="false">
      <c r="A400" s="0" t="n">
        <v>2</v>
      </c>
      <c r="B400" s="0" t="n">
        <v>2539</v>
      </c>
      <c r="C400" s="0" t="s">
        <v>52</v>
      </c>
      <c r="D400" s="0" t="s">
        <v>2288</v>
      </c>
      <c r="E400" s="14" t="n">
        <v>46216</v>
      </c>
      <c r="F400" s="14" t="n">
        <v>46216</v>
      </c>
      <c r="G400" s="0" t="s">
        <v>153</v>
      </c>
      <c r="H400" s="0" t="n">
        <v>1393775</v>
      </c>
      <c r="I400" s="0" t="n">
        <v>6</v>
      </c>
      <c r="J400" s="0" t="s">
        <v>2276</v>
      </c>
      <c r="K400" s="15" t="n">
        <v>210</v>
      </c>
      <c r="L400" s="0" t="s">
        <v>2277</v>
      </c>
    </row>
    <row r="401" customFormat="false" ht="15" hidden="false" customHeight="true" outlineLevel="0" collapsed="false">
      <c r="A401" s="0" t="n">
        <v>2</v>
      </c>
      <c r="B401" s="0" t="n">
        <v>312916</v>
      </c>
      <c r="C401" s="0" t="s">
        <v>52</v>
      </c>
      <c r="D401" s="0" t="s">
        <v>2298</v>
      </c>
      <c r="E401" s="14" t="n">
        <v>46216</v>
      </c>
      <c r="F401" s="14" t="n">
        <v>46213</v>
      </c>
      <c r="G401" s="0" t="s">
        <v>77</v>
      </c>
      <c r="H401" s="0" t="n">
        <v>1393879</v>
      </c>
      <c r="I401" s="0" t="n">
        <v>1</v>
      </c>
      <c r="J401" s="0" t="s">
        <v>2276</v>
      </c>
      <c r="K401" s="15" t="n">
        <v>1096.67</v>
      </c>
      <c r="L401" s="0" t="s">
        <v>2277</v>
      </c>
    </row>
    <row r="402" customFormat="false" ht="15" hidden="false" customHeight="true" outlineLevel="0" collapsed="false">
      <c r="A402" s="0" t="n">
        <v>2</v>
      </c>
      <c r="B402" s="0" t="n">
        <v>3217924</v>
      </c>
      <c r="C402" s="0" t="s">
        <v>52</v>
      </c>
      <c r="D402" s="0" t="s">
        <v>2324</v>
      </c>
      <c r="E402" s="14" t="n">
        <v>46216</v>
      </c>
      <c r="F402" s="14" t="n">
        <v>46212</v>
      </c>
      <c r="G402" s="0" t="s">
        <v>61</v>
      </c>
      <c r="H402" s="0" t="n">
        <v>1393134</v>
      </c>
      <c r="I402" s="0" t="n">
        <v>39</v>
      </c>
      <c r="J402" s="0" t="s">
        <v>2276</v>
      </c>
      <c r="K402" s="15" t="n">
        <v>292.39</v>
      </c>
      <c r="L402" s="0" t="s">
        <v>2346</v>
      </c>
    </row>
    <row r="403" customFormat="false" ht="15" hidden="false" customHeight="true" outlineLevel="0" collapsed="false">
      <c r="A403" s="0" t="n">
        <v>2</v>
      </c>
      <c r="B403" s="0" t="n">
        <v>501201</v>
      </c>
      <c r="C403" s="0" t="s">
        <v>52</v>
      </c>
      <c r="D403" s="0" t="s">
        <v>2395</v>
      </c>
      <c r="E403" s="14" t="n">
        <v>46216</v>
      </c>
      <c r="F403" s="14" t="n">
        <v>46212</v>
      </c>
      <c r="G403" s="0" t="s">
        <v>289</v>
      </c>
      <c r="H403" s="0" t="n">
        <v>1394185</v>
      </c>
      <c r="I403" s="0" t="n">
        <v>1</v>
      </c>
      <c r="J403" s="0" t="s">
        <v>2276</v>
      </c>
      <c r="K403" s="15" t="n">
        <v>4225.99</v>
      </c>
      <c r="L403" s="0" t="s">
        <v>2277</v>
      </c>
    </row>
    <row r="404" customFormat="false" ht="15" hidden="false" customHeight="true" outlineLevel="0" collapsed="false">
      <c r="A404" s="0" t="n">
        <v>2</v>
      </c>
      <c r="B404" s="0" t="n">
        <v>711</v>
      </c>
      <c r="C404" s="0" t="s">
        <v>44</v>
      </c>
      <c r="D404" s="0" t="s">
        <v>2283</v>
      </c>
      <c r="E404" s="14" t="n">
        <v>46216</v>
      </c>
      <c r="F404" s="14" t="n">
        <v>46216</v>
      </c>
      <c r="G404" s="0" t="s">
        <v>204</v>
      </c>
      <c r="H404" s="0" t="n">
        <v>1393812</v>
      </c>
      <c r="I404" s="0" t="n">
        <v>1</v>
      </c>
      <c r="J404" s="0" t="s">
        <v>2276</v>
      </c>
      <c r="K404" s="15" t="n">
        <v>135</v>
      </c>
      <c r="L404" s="0" t="s">
        <v>2277</v>
      </c>
    </row>
    <row r="405" customFormat="false" ht="15" hidden="false" customHeight="true" outlineLevel="0" collapsed="false">
      <c r="A405" s="0" t="n">
        <v>2</v>
      </c>
      <c r="B405" s="0" t="n">
        <v>1031749</v>
      </c>
      <c r="C405" s="0" t="s">
        <v>52</v>
      </c>
      <c r="D405" s="0" t="s">
        <v>2286</v>
      </c>
      <c r="E405" s="14" t="n">
        <v>46217</v>
      </c>
      <c r="F405" s="14" t="n">
        <v>46216</v>
      </c>
      <c r="G405" s="0" t="s">
        <v>228</v>
      </c>
      <c r="H405" s="0" t="n">
        <v>1396745</v>
      </c>
      <c r="I405" s="0" t="n">
        <v>1</v>
      </c>
      <c r="J405" s="0" t="s">
        <v>2276</v>
      </c>
      <c r="K405" s="15" t="n">
        <v>261.92</v>
      </c>
      <c r="L405" s="0" t="s">
        <v>2277</v>
      </c>
    </row>
    <row r="406" customFormat="false" ht="15" hidden="false" customHeight="true" outlineLevel="0" collapsed="false">
      <c r="A406" s="0" t="n">
        <v>2</v>
      </c>
      <c r="B406" s="0" t="n">
        <v>14685</v>
      </c>
      <c r="C406" s="0" t="s">
        <v>52</v>
      </c>
      <c r="D406" s="0" t="s">
        <v>2278</v>
      </c>
      <c r="E406" s="14" t="n">
        <v>46217</v>
      </c>
      <c r="F406" s="14" t="n">
        <v>46214</v>
      </c>
      <c r="G406" s="0" t="s">
        <v>270</v>
      </c>
      <c r="H406" s="0" t="n">
        <v>1397011</v>
      </c>
      <c r="I406" s="0" t="n">
        <v>1</v>
      </c>
      <c r="J406" s="0" t="s">
        <v>2276</v>
      </c>
      <c r="K406" s="15" t="n">
        <v>4043.8</v>
      </c>
      <c r="L406" s="0" t="s">
        <v>2277</v>
      </c>
    </row>
    <row r="407" customFormat="false" ht="15" hidden="false" customHeight="true" outlineLevel="0" collapsed="false">
      <c r="A407" s="0" t="n">
        <v>2</v>
      </c>
      <c r="B407" s="0" t="n">
        <v>15127</v>
      </c>
      <c r="C407" s="0" t="s">
        <v>52</v>
      </c>
      <c r="D407" s="0" t="s">
        <v>2279</v>
      </c>
      <c r="E407" s="14" t="n">
        <v>46217</v>
      </c>
      <c r="F407" s="14" t="n">
        <v>46216</v>
      </c>
      <c r="G407" s="0" t="s">
        <v>299</v>
      </c>
      <c r="H407" s="0" t="n">
        <v>1397435</v>
      </c>
      <c r="I407" s="0" t="n">
        <v>11</v>
      </c>
      <c r="J407" s="0" t="s">
        <v>2276</v>
      </c>
      <c r="K407" s="15" t="n">
        <v>361.6</v>
      </c>
      <c r="L407" s="0" t="s">
        <v>2277</v>
      </c>
    </row>
    <row r="408" customFormat="false" ht="15" hidden="false" customHeight="true" outlineLevel="0" collapsed="false">
      <c r="A408" s="0" t="n">
        <v>2</v>
      </c>
      <c r="B408" s="0" t="n">
        <v>1646699</v>
      </c>
      <c r="C408" s="0" t="s">
        <v>2280</v>
      </c>
      <c r="D408" s="0" t="s">
        <v>2281</v>
      </c>
      <c r="E408" s="14" t="n">
        <v>46217</v>
      </c>
      <c r="F408" s="14" t="n">
        <v>46216</v>
      </c>
      <c r="G408" s="0" t="s">
        <v>406</v>
      </c>
      <c r="H408" s="0" t="n">
        <v>1396761</v>
      </c>
      <c r="I408" s="0" t="n">
        <v>1</v>
      </c>
      <c r="J408" s="0" t="s">
        <v>2276</v>
      </c>
      <c r="K408" s="15" t="n">
        <v>117</v>
      </c>
      <c r="L408" s="0" t="s">
        <v>2277</v>
      </c>
    </row>
    <row r="409" customFormat="false" ht="15" hidden="false" customHeight="true" outlineLevel="0" collapsed="false">
      <c r="A409" s="0" t="n">
        <v>2</v>
      </c>
      <c r="B409" s="0" t="n">
        <v>1781169</v>
      </c>
      <c r="C409" s="0" t="s">
        <v>2337</v>
      </c>
      <c r="D409" s="0" t="s">
        <v>2338</v>
      </c>
      <c r="E409" s="14" t="n">
        <v>46217</v>
      </c>
      <c r="F409" s="14" t="n">
        <v>46213</v>
      </c>
      <c r="G409" s="0" t="s">
        <v>178</v>
      </c>
      <c r="H409" s="0" t="n">
        <v>1396775</v>
      </c>
      <c r="I409" s="0" t="n">
        <v>11</v>
      </c>
      <c r="J409" s="0" t="s">
        <v>2276</v>
      </c>
      <c r="K409" s="15" t="n">
        <v>423.95</v>
      </c>
      <c r="L409" s="0" t="s">
        <v>2277</v>
      </c>
    </row>
    <row r="410" customFormat="false" ht="15" hidden="false" customHeight="true" outlineLevel="0" collapsed="false">
      <c r="A410" s="0" t="n">
        <v>2</v>
      </c>
      <c r="B410" s="0" t="n">
        <v>1781170</v>
      </c>
      <c r="C410" s="0" t="s">
        <v>2337</v>
      </c>
      <c r="D410" s="0" t="s">
        <v>2338</v>
      </c>
      <c r="E410" s="14" t="n">
        <v>46217</v>
      </c>
      <c r="F410" s="14" t="n">
        <v>46213</v>
      </c>
      <c r="G410" s="0" t="s">
        <v>178</v>
      </c>
      <c r="H410" s="0" t="n">
        <v>1397141</v>
      </c>
      <c r="I410" s="0" t="n">
        <v>11</v>
      </c>
      <c r="J410" s="0" t="s">
        <v>2276</v>
      </c>
      <c r="K410" s="15" t="n">
        <v>410.89</v>
      </c>
      <c r="L410" s="0" t="s">
        <v>2277</v>
      </c>
    </row>
    <row r="411" customFormat="false" ht="15" hidden="false" customHeight="true" outlineLevel="0" collapsed="false">
      <c r="A411" s="0" t="n">
        <v>2</v>
      </c>
      <c r="B411" s="0" t="n">
        <v>2300746</v>
      </c>
      <c r="C411" s="0" t="s">
        <v>52</v>
      </c>
      <c r="D411" s="0" t="s">
        <v>2390</v>
      </c>
      <c r="E411" s="14" t="n">
        <v>46217</v>
      </c>
      <c r="F411" s="14" t="n">
        <v>46216</v>
      </c>
      <c r="G411" s="0" t="s">
        <v>74</v>
      </c>
      <c r="H411" s="0" t="n">
        <v>1397696</v>
      </c>
      <c r="I411" s="0" t="n">
        <v>11</v>
      </c>
      <c r="J411" s="0" t="s">
        <v>2276</v>
      </c>
      <c r="K411" s="15" t="n">
        <v>550.37</v>
      </c>
      <c r="L411" s="0" t="s">
        <v>2277</v>
      </c>
    </row>
    <row r="412" customFormat="false" ht="15" hidden="false" customHeight="true" outlineLevel="0" collapsed="false">
      <c r="A412" s="0" t="n">
        <v>2</v>
      </c>
      <c r="B412" s="0" t="n">
        <v>2542</v>
      </c>
      <c r="C412" s="0" t="s">
        <v>52</v>
      </c>
      <c r="D412" s="0" t="s">
        <v>2288</v>
      </c>
      <c r="E412" s="14" t="n">
        <v>46217</v>
      </c>
      <c r="F412" s="14" t="n">
        <v>46217</v>
      </c>
      <c r="G412" s="0" t="s">
        <v>153</v>
      </c>
      <c r="H412" s="0" t="n">
        <v>1398221</v>
      </c>
      <c r="I412" s="0" t="n">
        <v>6</v>
      </c>
      <c r="J412" s="0" t="s">
        <v>2276</v>
      </c>
      <c r="K412" s="15" t="n">
        <v>1946.36</v>
      </c>
      <c r="L412" s="0" t="s">
        <v>2277</v>
      </c>
    </row>
    <row r="413" customFormat="false" ht="15" hidden="false" customHeight="true" outlineLevel="0" collapsed="false">
      <c r="A413" s="0" t="n">
        <v>2</v>
      </c>
      <c r="B413" s="0" t="n">
        <v>2543</v>
      </c>
      <c r="C413" s="0" t="s">
        <v>52</v>
      </c>
      <c r="D413" s="0" t="s">
        <v>2288</v>
      </c>
      <c r="E413" s="14" t="n">
        <v>46217</v>
      </c>
      <c r="F413" s="14" t="n">
        <v>46217</v>
      </c>
      <c r="G413" s="0" t="s">
        <v>153</v>
      </c>
      <c r="H413" s="0" t="n">
        <v>1398476</v>
      </c>
      <c r="I413" s="0" t="n">
        <v>6</v>
      </c>
      <c r="J413" s="0" t="s">
        <v>2276</v>
      </c>
      <c r="K413" s="15" t="n">
        <v>182</v>
      </c>
      <c r="L413" s="0" t="s">
        <v>2277</v>
      </c>
    </row>
    <row r="414" customFormat="false" ht="15" hidden="false" customHeight="true" outlineLevel="0" collapsed="false">
      <c r="A414" s="0" t="n">
        <v>2</v>
      </c>
      <c r="B414" s="0" t="n">
        <v>30429</v>
      </c>
      <c r="C414" s="0" t="s">
        <v>52</v>
      </c>
      <c r="D414" s="0" t="s">
        <v>2396</v>
      </c>
      <c r="E414" s="14" t="n">
        <v>46217</v>
      </c>
      <c r="F414" s="14" t="n">
        <v>46217</v>
      </c>
      <c r="G414" s="0" t="s">
        <v>1072</v>
      </c>
      <c r="H414" s="0" t="n">
        <v>1398396</v>
      </c>
      <c r="I414" s="0" t="n">
        <v>11</v>
      </c>
      <c r="J414" s="0" t="s">
        <v>2276</v>
      </c>
      <c r="K414" s="15" t="n">
        <v>406.11</v>
      </c>
      <c r="L414" s="0" t="s">
        <v>2277</v>
      </c>
    </row>
    <row r="415" customFormat="false" ht="15" hidden="false" customHeight="true" outlineLevel="0" collapsed="false">
      <c r="A415" s="0" t="n">
        <v>2</v>
      </c>
      <c r="B415" s="0" t="n">
        <v>4058</v>
      </c>
      <c r="C415" s="0" t="s">
        <v>52</v>
      </c>
      <c r="D415" s="0" t="s">
        <v>2290</v>
      </c>
      <c r="E415" s="14" t="n">
        <v>46217</v>
      </c>
      <c r="F415" s="14" t="n">
        <v>46216</v>
      </c>
      <c r="G415" s="0" t="s">
        <v>95</v>
      </c>
      <c r="H415" s="0" t="n">
        <v>1397689</v>
      </c>
      <c r="I415" s="0" t="n">
        <v>11</v>
      </c>
      <c r="J415" s="0" t="s">
        <v>2276</v>
      </c>
      <c r="K415" s="15" t="n">
        <v>216.75</v>
      </c>
      <c r="L415" s="0" t="s">
        <v>2277</v>
      </c>
    </row>
    <row r="416" customFormat="false" ht="15" hidden="false" customHeight="true" outlineLevel="0" collapsed="false">
      <c r="A416" s="0" t="n">
        <v>2</v>
      </c>
      <c r="B416" s="0" t="n">
        <v>473151</v>
      </c>
      <c r="C416" s="0" t="s">
        <v>52</v>
      </c>
      <c r="D416" s="0" t="s">
        <v>2314</v>
      </c>
      <c r="E416" s="14" t="n">
        <v>46217</v>
      </c>
      <c r="F416" s="14" t="n">
        <v>46216</v>
      </c>
      <c r="G416" s="0" t="s">
        <v>394</v>
      </c>
      <c r="H416" s="0" t="n">
        <v>1398164</v>
      </c>
      <c r="I416" s="0" t="n">
        <v>11</v>
      </c>
      <c r="J416" s="0" t="s">
        <v>2276</v>
      </c>
      <c r="K416" s="15" t="n">
        <v>277.6</v>
      </c>
      <c r="L416" s="0" t="s">
        <v>2277</v>
      </c>
    </row>
    <row r="417" customFormat="false" ht="15" hidden="false" customHeight="true" outlineLevel="0" collapsed="false">
      <c r="A417" s="0" t="n">
        <v>2</v>
      </c>
      <c r="B417" s="0" t="n">
        <v>1647775</v>
      </c>
      <c r="C417" s="0" t="s">
        <v>2280</v>
      </c>
      <c r="D417" s="0" t="s">
        <v>2281</v>
      </c>
      <c r="E417" s="14" t="n">
        <v>46218</v>
      </c>
      <c r="F417" s="14" t="n">
        <v>46218</v>
      </c>
      <c r="G417" s="0" t="s">
        <v>406</v>
      </c>
      <c r="H417" s="0" t="n">
        <v>1402687</v>
      </c>
      <c r="I417" s="0" t="n">
        <v>1</v>
      </c>
      <c r="J417" s="0" t="s">
        <v>2276</v>
      </c>
      <c r="K417" s="15" t="n">
        <v>76.5</v>
      </c>
      <c r="L417" s="0" t="s">
        <v>2277</v>
      </c>
    </row>
    <row r="418" customFormat="false" ht="15" hidden="false" customHeight="true" outlineLevel="0" collapsed="false">
      <c r="A418" s="0" t="n">
        <v>2</v>
      </c>
      <c r="B418" s="0" t="n">
        <v>16645</v>
      </c>
      <c r="C418" s="0" t="s">
        <v>52</v>
      </c>
      <c r="D418" s="0" t="s">
        <v>2397</v>
      </c>
      <c r="E418" s="14" t="n">
        <v>46218</v>
      </c>
      <c r="F418" s="14" t="n">
        <v>46217</v>
      </c>
      <c r="G418" s="0" t="s">
        <v>984</v>
      </c>
      <c r="H418" s="0" t="n">
        <v>1402768</v>
      </c>
      <c r="I418" s="0" t="n">
        <v>11</v>
      </c>
      <c r="J418" s="0" t="s">
        <v>2276</v>
      </c>
      <c r="K418" s="15" t="n">
        <v>200</v>
      </c>
      <c r="L418" s="0" t="s">
        <v>2277</v>
      </c>
    </row>
    <row r="419" customFormat="false" ht="15" hidden="false" customHeight="true" outlineLevel="0" collapsed="false">
      <c r="A419" s="0" t="n">
        <v>2</v>
      </c>
      <c r="B419" s="0" t="n">
        <v>1692730</v>
      </c>
      <c r="C419" s="0" t="s">
        <v>52</v>
      </c>
      <c r="D419" s="0" t="s">
        <v>2287</v>
      </c>
      <c r="E419" s="14" t="n">
        <v>46218</v>
      </c>
      <c r="F419" s="14" t="n">
        <v>46218</v>
      </c>
      <c r="G419" s="0" t="s">
        <v>240</v>
      </c>
      <c r="H419" s="0" t="n">
        <v>1401764</v>
      </c>
      <c r="I419" s="0" t="n">
        <v>11</v>
      </c>
      <c r="J419" s="0" t="s">
        <v>2276</v>
      </c>
      <c r="K419" s="15" t="n">
        <v>3621.85</v>
      </c>
      <c r="L419" s="0" t="s">
        <v>2277</v>
      </c>
    </row>
    <row r="420" customFormat="false" ht="15" hidden="false" customHeight="true" outlineLevel="0" collapsed="false">
      <c r="A420" s="0" t="n">
        <v>2</v>
      </c>
      <c r="B420" s="0" t="n">
        <v>1905831</v>
      </c>
      <c r="C420" s="0" t="s">
        <v>52</v>
      </c>
      <c r="D420" s="0" t="s">
        <v>2368</v>
      </c>
      <c r="E420" s="14" t="n">
        <v>46218</v>
      </c>
      <c r="F420" s="14" t="n">
        <v>46217</v>
      </c>
      <c r="G420" s="0" t="s">
        <v>871</v>
      </c>
      <c r="H420" s="0" t="n">
        <v>1401261</v>
      </c>
      <c r="I420" s="0" t="n">
        <v>11</v>
      </c>
      <c r="J420" s="0" t="s">
        <v>2276</v>
      </c>
      <c r="K420" s="15" t="n">
        <v>479.64</v>
      </c>
      <c r="L420" s="0" t="s">
        <v>2277</v>
      </c>
    </row>
    <row r="421" customFormat="false" ht="15" hidden="false" customHeight="true" outlineLevel="0" collapsed="false">
      <c r="A421" s="0" t="n">
        <v>2</v>
      </c>
      <c r="B421" s="0" t="n">
        <v>1905832</v>
      </c>
      <c r="C421" s="0" t="s">
        <v>52</v>
      </c>
      <c r="D421" s="0" t="s">
        <v>2368</v>
      </c>
      <c r="E421" s="14" t="n">
        <v>46218</v>
      </c>
      <c r="F421" s="14" t="n">
        <v>46217</v>
      </c>
      <c r="G421" s="0" t="s">
        <v>871</v>
      </c>
      <c r="H421" s="0" t="n">
        <v>1401266</v>
      </c>
      <c r="I421" s="0" t="n">
        <v>11</v>
      </c>
      <c r="J421" s="0" t="s">
        <v>2276</v>
      </c>
      <c r="K421" s="15" t="n">
        <v>639.52</v>
      </c>
      <c r="L421" s="0" t="s">
        <v>2277</v>
      </c>
    </row>
    <row r="422" customFormat="false" ht="15" hidden="false" customHeight="true" outlineLevel="0" collapsed="false">
      <c r="A422" s="0" t="n">
        <v>2</v>
      </c>
      <c r="B422" s="0" t="n">
        <v>1905833</v>
      </c>
      <c r="C422" s="0" t="s">
        <v>52</v>
      </c>
      <c r="D422" s="0" t="s">
        <v>2368</v>
      </c>
      <c r="E422" s="14" t="n">
        <v>46218</v>
      </c>
      <c r="F422" s="14" t="n">
        <v>46217</v>
      </c>
      <c r="G422" s="0" t="s">
        <v>871</v>
      </c>
      <c r="H422" s="0" t="n">
        <v>1401262</v>
      </c>
      <c r="I422" s="0" t="n">
        <v>11</v>
      </c>
      <c r="J422" s="0" t="s">
        <v>2276</v>
      </c>
      <c r="K422" s="15" t="n">
        <v>479.64</v>
      </c>
      <c r="L422" s="0" t="s">
        <v>2277</v>
      </c>
    </row>
    <row r="423" customFormat="false" ht="15" hidden="false" customHeight="true" outlineLevel="0" collapsed="false">
      <c r="A423" s="0" t="n">
        <v>2</v>
      </c>
      <c r="B423" s="0" t="n">
        <v>3218196</v>
      </c>
      <c r="C423" s="0" t="s">
        <v>52</v>
      </c>
      <c r="D423" s="0" t="s">
        <v>2324</v>
      </c>
      <c r="E423" s="14" t="n">
        <v>46218</v>
      </c>
      <c r="F423" s="14" t="n">
        <v>46216</v>
      </c>
      <c r="G423" s="0" t="s">
        <v>61</v>
      </c>
      <c r="H423" s="0" t="n">
        <v>1402263</v>
      </c>
      <c r="I423" s="0" t="n">
        <v>11</v>
      </c>
      <c r="J423" s="0" t="s">
        <v>2276</v>
      </c>
      <c r="K423" s="15" t="n">
        <v>3940.75</v>
      </c>
      <c r="L423" s="0" t="s">
        <v>2277</v>
      </c>
    </row>
    <row r="424" customFormat="false" ht="15" hidden="false" customHeight="true" outlineLevel="0" collapsed="false">
      <c r="A424" s="0" t="n">
        <v>2</v>
      </c>
      <c r="B424" s="0" t="n">
        <v>3218198</v>
      </c>
      <c r="C424" s="0" t="s">
        <v>52</v>
      </c>
      <c r="D424" s="0" t="s">
        <v>2324</v>
      </c>
      <c r="E424" s="14" t="n">
        <v>46218</v>
      </c>
      <c r="F424" s="14" t="n">
        <v>46216</v>
      </c>
      <c r="G424" s="0" t="s">
        <v>61</v>
      </c>
      <c r="H424" s="0" t="n">
        <v>1402930</v>
      </c>
      <c r="I424" s="0" t="n">
        <v>11</v>
      </c>
      <c r="J424" s="0" t="s">
        <v>2276</v>
      </c>
      <c r="K424" s="15" t="n">
        <v>4155.44</v>
      </c>
      <c r="L424" s="0" t="s">
        <v>2277</v>
      </c>
    </row>
    <row r="425" customFormat="false" ht="15" hidden="false" customHeight="true" outlineLevel="0" collapsed="false">
      <c r="A425" s="0" t="n">
        <v>2</v>
      </c>
      <c r="B425" s="0" t="n">
        <v>392537</v>
      </c>
      <c r="C425" s="0" t="s">
        <v>52</v>
      </c>
      <c r="D425" s="0" t="s">
        <v>2301</v>
      </c>
      <c r="E425" s="14" t="n">
        <v>46218</v>
      </c>
      <c r="F425" s="14" t="n">
        <v>46217</v>
      </c>
      <c r="G425" s="0" t="s">
        <v>172</v>
      </c>
      <c r="H425" s="0" t="n">
        <v>1403026</v>
      </c>
      <c r="I425" s="0" t="n">
        <v>11</v>
      </c>
      <c r="J425" s="0" t="s">
        <v>2276</v>
      </c>
      <c r="K425" s="15" t="n">
        <v>8419.48</v>
      </c>
      <c r="L425" s="0" t="s">
        <v>2277</v>
      </c>
    </row>
    <row r="426" customFormat="false" ht="15" hidden="false" customHeight="true" outlineLevel="0" collapsed="false">
      <c r="A426" s="0" t="n">
        <v>2</v>
      </c>
      <c r="B426" s="0" t="n">
        <v>42898</v>
      </c>
      <c r="C426" s="0" t="s">
        <v>102</v>
      </c>
      <c r="D426" s="0" t="s">
        <v>2358</v>
      </c>
      <c r="E426" s="14" t="n">
        <v>46218</v>
      </c>
      <c r="F426" s="14" t="n">
        <v>46217</v>
      </c>
      <c r="G426" s="0" t="s">
        <v>837</v>
      </c>
      <c r="H426" s="0" t="n">
        <v>1401301</v>
      </c>
      <c r="I426" s="0" t="n">
        <v>11</v>
      </c>
      <c r="J426" s="0" t="s">
        <v>2276</v>
      </c>
      <c r="K426" s="15" t="n">
        <v>306.48</v>
      </c>
      <c r="L426" s="0" t="s">
        <v>2277</v>
      </c>
    </row>
    <row r="427" customFormat="false" ht="15" hidden="false" customHeight="true" outlineLevel="0" collapsed="false">
      <c r="A427" s="0" t="n">
        <v>2</v>
      </c>
      <c r="B427" s="0" t="n">
        <v>51899</v>
      </c>
      <c r="C427" s="0" t="s">
        <v>44</v>
      </c>
      <c r="D427" s="0" t="s">
        <v>2398</v>
      </c>
      <c r="E427" s="14" t="n">
        <v>46218</v>
      </c>
      <c r="F427" s="14" t="n">
        <v>46217</v>
      </c>
      <c r="G427" s="0" t="s">
        <v>1193</v>
      </c>
      <c r="H427" s="0" t="n">
        <v>1401309</v>
      </c>
      <c r="I427" s="0" t="n">
        <v>11</v>
      </c>
      <c r="J427" s="0" t="s">
        <v>2276</v>
      </c>
      <c r="K427" s="15" t="n">
        <v>665.28</v>
      </c>
      <c r="L427" s="0" t="s">
        <v>2277</v>
      </c>
    </row>
    <row r="428" customFormat="false" ht="15" hidden="false" customHeight="true" outlineLevel="0" collapsed="false">
      <c r="A428" s="0" t="n">
        <v>2</v>
      </c>
      <c r="B428" s="0" t="n">
        <v>1203711</v>
      </c>
      <c r="C428" s="0" t="s">
        <v>80</v>
      </c>
      <c r="D428" s="0" t="s">
        <v>2275</v>
      </c>
      <c r="E428" s="14" t="n">
        <v>46219</v>
      </c>
      <c r="F428" s="14" t="n">
        <v>46217</v>
      </c>
      <c r="G428" s="0" t="s">
        <v>130</v>
      </c>
      <c r="H428" s="0" t="n">
        <v>1405760</v>
      </c>
      <c r="I428" s="0" t="n">
        <v>11</v>
      </c>
      <c r="J428" s="0" t="s">
        <v>2276</v>
      </c>
      <c r="K428" s="15" t="n">
        <v>1189.67</v>
      </c>
      <c r="L428" s="0" t="s">
        <v>2277</v>
      </c>
    </row>
    <row r="429" customFormat="false" ht="15" hidden="false" customHeight="true" outlineLevel="0" collapsed="false">
      <c r="A429" s="0" t="n">
        <v>2</v>
      </c>
      <c r="B429" s="0" t="n">
        <v>1248471</v>
      </c>
      <c r="C429" s="0" t="s">
        <v>52</v>
      </c>
      <c r="D429" s="0" t="s">
        <v>2320</v>
      </c>
      <c r="E429" s="14" t="n">
        <v>46219</v>
      </c>
      <c r="F429" s="14" t="n">
        <v>46219</v>
      </c>
      <c r="G429" s="0" t="s">
        <v>468</v>
      </c>
      <c r="H429" s="0" t="n">
        <v>1407492</v>
      </c>
      <c r="I429" s="0" t="n">
        <v>11</v>
      </c>
      <c r="J429" s="0" t="s">
        <v>2276</v>
      </c>
      <c r="K429" s="15" t="n">
        <v>593.78</v>
      </c>
      <c r="L429" s="0" t="s">
        <v>2277</v>
      </c>
    </row>
    <row r="430" customFormat="false" ht="15" hidden="false" customHeight="true" outlineLevel="0" collapsed="false">
      <c r="A430" s="0" t="n">
        <v>2</v>
      </c>
      <c r="B430" s="0" t="n">
        <v>1427668</v>
      </c>
      <c r="C430" s="0" t="s">
        <v>52</v>
      </c>
      <c r="D430" s="0" t="s">
        <v>2331</v>
      </c>
      <c r="E430" s="14" t="n">
        <v>46219</v>
      </c>
      <c r="F430" s="14" t="n">
        <v>46217</v>
      </c>
      <c r="G430" s="0" t="s">
        <v>464</v>
      </c>
      <c r="H430" s="0" t="n">
        <v>1405955</v>
      </c>
      <c r="I430" s="0" t="n">
        <v>11</v>
      </c>
      <c r="J430" s="0" t="s">
        <v>2276</v>
      </c>
      <c r="K430" s="15" t="n">
        <v>2095.8</v>
      </c>
      <c r="L430" s="0" t="s">
        <v>2277</v>
      </c>
    </row>
    <row r="431" customFormat="false" ht="15" hidden="false" customHeight="true" outlineLevel="0" collapsed="false">
      <c r="A431" s="0" t="n">
        <v>2</v>
      </c>
      <c r="B431" s="0" t="n">
        <v>14718</v>
      </c>
      <c r="C431" s="0" t="s">
        <v>52</v>
      </c>
      <c r="D431" s="0" t="s">
        <v>2278</v>
      </c>
      <c r="E431" s="14" t="n">
        <v>46219</v>
      </c>
      <c r="F431" s="14" t="n">
        <v>46218</v>
      </c>
      <c r="G431" s="0" t="s">
        <v>270</v>
      </c>
      <c r="H431" s="0" t="n">
        <v>1407393</v>
      </c>
      <c r="I431" s="0" t="n">
        <v>11</v>
      </c>
      <c r="J431" s="0" t="s">
        <v>2276</v>
      </c>
      <c r="K431" s="15" t="n">
        <v>4093.4</v>
      </c>
      <c r="L431" s="0" t="s">
        <v>2277</v>
      </c>
    </row>
    <row r="432" customFormat="false" ht="15" hidden="false" customHeight="true" outlineLevel="0" collapsed="false">
      <c r="A432" s="0" t="n">
        <v>2</v>
      </c>
      <c r="B432" s="0" t="n">
        <v>1936058</v>
      </c>
      <c r="C432" s="0" t="s">
        <v>36</v>
      </c>
      <c r="D432" s="0" t="s">
        <v>2275</v>
      </c>
      <c r="E432" s="14" t="n">
        <v>46219</v>
      </c>
      <c r="F432" s="14" t="n">
        <v>46217</v>
      </c>
      <c r="G432" s="0" t="s">
        <v>130</v>
      </c>
      <c r="H432" s="0" t="n">
        <v>1405744</v>
      </c>
      <c r="I432" s="0" t="n">
        <v>11</v>
      </c>
      <c r="J432" s="0" t="s">
        <v>2276</v>
      </c>
      <c r="K432" s="15" t="n">
        <v>2028.67</v>
      </c>
      <c r="L432" s="0" t="s">
        <v>2277</v>
      </c>
    </row>
    <row r="433" customFormat="false" ht="15" hidden="false" customHeight="true" outlineLevel="0" collapsed="false">
      <c r="A433" s="0" t="n">
        <v>2</v>
      </c>
      <c r="B433" s="0" t="n">
        <v>2624</v>
      </c>
      <c r="C433" s="0" t="s">
        <v>67</v>
      </c>
      <c r="D433" s="0" t="s">
        <v>2332</v>
      </c>
      <c r="E433" s="14" t="n">
        <v>46219</v>
      </c>
      <c r="F433" s="14" t="n">
        <v>46217</v>
      </c>
      <c r="G433" s="0" t="s">
        <v>585</v>
      </c>
      <c r="H433" s="0" t="n">
        <v>1405844</v>
      </c>
      <c r="I433" s="0" t="n">
        <v>11</v>
      </c>
      <c r="J433" s="0" t="s">
        <v>2276</v>
      </c>
      <c r="K433" s="15" t="n">
        <v>1501.2</v>
      </c>
      <c r="L433" s="0" t="s">
        <v>2277</v>
      </c>
    </row>
    <row r="434" customFormat="false" ht="15" hidden="false" customHeight="true" outlineLevel="0" collapsed="false">
      <c r="A434" s="0" t="n">
        <v>2</v>
      </c>
      <c r="B434" s="0" t="n">
        <v>307804</v>
      </c>
      <c r="C434" s="0" t="s">
        <v>52</v>
      </c>
      <c r="D434" s="0" t="s">
        <v>2300</v>
      </c>
      <c r="E434" s="14" t="n">
        <v>46219</v>
      </c>
      <c r="F434" s="14" t="n">
        <v>46217</v>
      </c>
      <c r="G434" s="0" t="s">
        <v>248</v>
      </c>
      <c r="H434" s="0" t="n">
        <v>1406501</v>
      </c>
      <c r="I434" s="0" t="n">
        <v>11</v>
      </c>
      <c r="J434" s="0" t="s">
        <v>2276</v>
      </c>
      <c r="K434" s="15" t="n">
        <v>3065.5</v>
      </c>
      <c r="L434" s="0" t="s">
        <v>2277</v>
      </c>
    </row>
    <row r="435" customFormat="false" ht="15" hidden="false" customHeight="true" outlineLevel="0" collapsed="false">
      <c r="A435" s="0" t="n">
        <v>2</v>
      </c>
      <c r="B435" s="0" t="n">
        <v>3218197</v>
      </c>
      <c r="C435" s="0" t="s">
        <v>52</v>
      </c>
      <c r="D435" s="0" t="s">
        <v>2324</v>
      </c>
      <c r="E435" s="14" t="n">
        <v>46219</v>
      </c>
      <c r="F435" s="14" t="n">
        <v>46216</v>
      </c>
      <c r="G435" s="0" t="s">
        <v>61</v>
      </c>
      <c r="H435" s="0" t="n">
        <v>1406318</v>
      </c>
      <c r="I435" s="0" t="n">
        <v>11</v>
      </c>
      <c r="J435" s="0" t="s">
        <v>2276</v>
      </c>
      <c r="K435" s="15" t="n">
        <v>2754.67</v>
      </c>
      <c r="L435" s="0" t="s">
        <v>2277</v>
      </c>
    </row>
    <row r="436" customFormat="false" ht="15" hidden="false" customHeight="true" outlineLevel="0" collapsed="false">
      <c r="A436" s="0" t="n">
        <v>2</v>
      </c>
      <c r="B436" s="0" t="n">
        <v>3627</v>
      </c>
      <c r="C436" s="0" t="s">
        <v>52</v>
      </c>
      <c r="D436" s="0" t="s">
        <v>2282</v>
      </c>
      <c r="E436" s="14" t="n">
        <v>46219</v>
      </c>
      <c r="F436" s="14" t="n">
        <v>46219</v>
      </c>
      <c r="G436" s="0" t="s">
        <v>209</v>
      </c>
      <c r="H436" s="0" t="n">
        <v>1406906</v>
      </c>
      <c r="I436" s="0" t="n">
        <v>11</v>
      </c>
      <c r="J436" s="0" t="s">
        <v>2276</v>
      </c>
      <c r="K436" s="15" t="n">
        <v>533.5</v>
      </c>
      <c r="L436" s="0" t="s">
        <v>2277</v>
      </c>
    </row>
    <row r="437" customFormat="false" ht="15" hidden="false" customHeight="true" outlineLevel="0" collapsed="false">
      <c r="A437" s="0" t="n">
        <v>2</v>
      </c>
      <c r="B437" s="0" t="n">
        <v>396500</v>
      </c>
      <c r="C437" s="0" t="s">
        <v>52</v>
      </c>
      <c r="D437" s="0" t="s">
        <v>2328</v>
      </c>
      <c r="E437" s="14" t="n">
        <v>46219</v>
      </c>
      <c r="F437" s="14" t="n">
        <v>46217</v>
      </c>
      <c r="G437" s="0" t="s">
        <v>77</v>
      </c>
      <c r="H437" s="0" t="n">
        <v>1405829</v>
      </c>
      <c r="I437" s="0" t="n">
        <v>11</v>
      </c>
      <c r="J437" s="0" t="s">
        <v>2276</v>
      </c>
      <c r="K437" s="15" t="n">
        <v>558.06</v>
      </c>
      <c r="L437" s="0" t="s">
        <v>2277</v>
      </c>
    </row>
    <row r="438" customFormat="false" ht="15" hidden="false" customHeight="true" outlineLevel="0" collapsed="false">
      <c r="A438" s="0" t="n">
        <v>2</v>
      </c>
      <c r="B438" s="0" t="n">
        <v>650221</v>
      </c>
      <c r="C438" s="0" t="s">
        <v>52</v>
      </c>
      <c r="D438" s="0" t="s">
        <v>2329</v>
      </c>
      <c r="E438" s="14" t="n">
        <v>46219</v>
      </c>
      <c r="F438" s="14" t="n">
        <v>46217</v>
      </c>
      <c r="G438" s="0" t="s">
        <v>64</v>
      </c>
      <c r="H438" s="0" t="n">
        <v>1406166</v>
      </c>
      <c r="I438" s="0" t="n">
        <v>11</v>
      </c>
      <c r="J438" s="0" t="s">
        <v>2276</v>
      </c>
      <c r="K438" s="15" t="n">
        <v>1822.73</v>
      </c>
      <c r="L438" s="0" t="s">
        <v>2277</v>
      </c>
    </row>
    <row r="439" customFormat="false" ht="15" hidden="false" customHeight="true" outlineLevel="0" collapsed="false">
      <c r="A439" s="0" t="n">
        <v>2</v>
      </c>
      <c r="B439" s="0" t="n">
        <v>682520</v>
      </c>
      <c r="C439" s="0" t="s">
        <v>52</v>
      </c>
      <c r="D439" s="0" t="s">
        <v>2318</v>
      </c>
      <c r="E439" s="14" t="n">
        <v>46219</v>
      </c>
      <c r="F439" s="14" t="n">
        <v>46218</v>
      </c>
      <c r="G439" s="0" t="s">
        <v>236</v>
      </c>
      <c r="H439" s="0" t="n">
        <v>1407280</v>
      </c>
      <c r="I439" s="0" t="n">
        <v>11</v>
      </c>
      <c r="J439" s="0" t="s">
        <v>2276</v>
      </c>
      <c r="K439" s="15" t="n">
        <v>1742.68</v>
      </c>
      <c r="L439" s="0" t="s">
        <v>2277</v>
      </c>
    </row>
    <row r="440" customFormat="false" ht="15" hidden="false" customHeight="true" outlineLevel="0" collapsed="false">
      <c r="A440" s="0" t="n">
        <v>2</v>
      </c>
      <c r="B440" s="0" t="n">
        <v>1032250</v>
      </c>
      <c r="C440" s="0" t="s">
        <v>52</v>
      </c>
      <c r="D440" s="0" t="s">
        <v>2286</v>
      </c>
      <c r="E440" s="14" t="n">
        <v>46220</v>
      </c>
      <c r="F440" s="14" t="n">
        <v>46219</v>
      </c>
      <c r="G440" s="0" t="s">
        <v>228</v>
      </c>
      <c r="H440" s="0" t="n">
        <v>1410446</v>
      </c>
      <c r="I440" s="0" t="n">
        <v>11</v>
      </c>
      <c r="J440" s="0" t="s">
        <v>2276</v>
      </c>
      <c r="K440" s="15" t="n">
        <v>254.6</v>
      </c>
      <c r="L440" s="0" t="s">
        <v>2277</v>
      </c>
    </row>
    <row r="441" customFormat="false" ht="15" hidden="false" customHeight="true" outlineLevel="0" collapsed="false">
      <c r="A441" s="0" t="n">
        <v>2</v>
      </c>
      <c r="B441" s="0" t="n">
        <v>10807</v>
      </c>
      <c r="C441" s="0" t="s">
        <v>52</v>
      </c>
      <c r="D441" s="0" t="s">
        <v>2360</v>
      </c>
      <c r="E441" s="14" t="n">
        <v>46220</v>
      </c>
      <c r="F441" s="14" t="n">
        <v>46217</v>
      </c>
      <c r="G441" s="0" t="s">
        <v>729</v>
      </c>
      <c r="H441" s="0" t="n">
        <v>1410510</v>
      </c>
      <c r="I441" s="0" t="n">
        <v>11</v>
      </c>
      <c r="J441" s="0" t="s">
        <v>2276</v>
      </c>
      <c r="K441" s="15" t="n">
        <v>1011.15</v>
      </c>
      <c r="L441" s="0" t="s">
        <v>2277</v>
      </c>
    </row>
    <row r="442" customFormat="false" ht="15" hidden="false" customHeight="true" outlineLevel="0" collapsed="false">
      <c r="A442" s="0" t="n">
        <v>2</v>
      </c>
      <c r="B442" s="0" t="n">
        <v>14728</v>
      </c>
      <c r="C442" s="0" t="s">
        <v>52</v>
      </c>
      <c r="D442" s="0" t="s">
        <v>2278</v>
      </c>
      <c r="E442" s="14" t="n">
        <v>46220</v>
      </c>
      <c r="F442" s="14" t="n">
        <v>46219</v>
      </c>
      <c r="G442" s="0" t="s">
        <v>270</v>
      </c>
      <c r="H442" s="0" t="n">
        <v>1411854</v>
      </c>
      <c r="I442" s="0" t="n">
        <v>11</v>
      </c>
      <c r="J442" s="0" t="s">
        <v>2276</v>
      </c>
      <c r="K442" s="15" t="n">
        <v>1269.94</v>
      </c>
      <c r="L442" s="0" t="s">
        <v>2277</v>
      </c>
    </row>
    <row r="443" customFormat="false" ht="15" hidden="false" customHeight="true" outlineLevel="0" collapsed="false">
      <c r="A443" s="0" t="n">
        <v>2</v>
      </c>
      <c r="B443" s="0" t="n">
        <v>15</v>
      </c>
      <c r="C443" s="0" t="s">
        <v>52</v>
      </c>
      <c r="D443" s="0" t="s">
        <v>2399</v>
      </c>
      <c r="E443" s="14" t="n">
        <v>46220</v>
      </c>
      <c r="F443" s="14" t="n">
        <v>46220</v>
      </c>
      <c r="G443" s="0" t="s">
        <v>622</v>
      </c>
      <c r="H443" s="0" t="n">
        <v>1428281</v>
      </c>
      <c r="I443" s="0" t="n">
        <v>11</v>
      </c>
      <c r="J443" s="0" t="s">
        <v>2276</v>
      </c>
      <c r="K443" s="15" t="n">
        <v>120</v>
      </c>
      <c r="L443" s="0" t="s">
        <v>2277</v>
      </c>
    </row>
    <row r="444" customFormat="false" ht="15" hidden="false" customHeight="true" outlineLevel="0" collapsed="false">
      <c r="A444" s="0" t="n">
        <v>2</v>
      </c>
      <c r="B444" s="0" t="n">
        <v>16</v>
      </c>
      <c r="C444" s="0" t="s">
        <v>52</v>
      </c>
      <c r="D444" s="0" t="s">
        <v>2399</v>
      </c>
      <c r="E444" s="14" t="n">
        <v>46220</v>
      </c>
      <c r="F444" s="14" t="n">
        <v>46220</v>
      </c>
      <c r="G444" s="0" t="s">
        <v>622</v>
      </c>
      <c r="H444" s="0" t="n">
        <v>1428357</v>
      </c>
      <c r="I444" s="0" t="n">
        <v>11</v>
      </c>
      <c r="J444" s="0" t="s">
        <v>2276</v>
      </c>
      <c r="K444" s="15" t="n">
        <v>140</v>
      </c>
      <c r="L444" s="0" t="s">
        <v>2277</v>
      </c>
    </row>
    <row r="445" customFormat="false" ht="15" hidden="false" customHeight="true" outlineLevel="0" collapsed="false">
      <c r="A445" s="0" t="n">
        <v>2</v>
      </c>
      <c r="B445" s="0" t="n">
        <v>1608670</v>
      </c>
      <c r="C445" s="0" t="s">
        <v>52</v>
      </c>
      <c r="D445" s="0" t="s">
        <v>2327</v>
      </c>
      <c r="E445" s="14" t="n">
        <v>46220</v>
      </c>
      <c r="F445" s="14" t="n">
        <v>46220</v>
      </c>
      <c r="G445" s="0" t="s">
        <v>50</v>
      </c>
      <c r="H445" s="0" t="n">
        <v>1410712</v>
      </c>
      <c r="I445" s="0" t="n">
        <v>11</v>
      </c>
      <c r="J445" s="0" t="s">
        <v>2276</v>
      </c>
      <c r="K445" s="15" t="n">
        <v>1024.98</v>
      </c>
      <c r="L445" s="0" t="s">
        <v>2277</v>
      </c>
    </row>
    <row r="446" customFormat="false" ht="15" hidden="false" customHeight="true" outlineLevel="0" collapsed="false">
      <c r="A446" s="0" t="n">
        <v>2</v>
      </c>
      <c r="B446" s="0" t="n">
        <v>1693414</v>
      </c>
      <c r="C446" s="0" t="s">
        <v>52</v>
      </c>
      <c r="D446" s="0" t="s">
        <v>2287</v>
      </c>
      <c r="E446" s="14" t="n">
        <v>46220</v>
      </c>
      <c r="F446" s="14" t="n">
        <v>46218</v>
      </c>
      <c r="G446" s="0" t="s">
        <v>240</v>
      </c>
      <c r="H446" s="0" t="n">
        <v>1410758</v>
      </c>
      <c r="I446" s="0" t="n">
        <v>11</v>
      </c>
      <c r="J446" s="0" t="s">
        <v>2276</v>
      </c>
      <c r="K446" s="15" t="n">
        <v>281.82</v>
      </c>
      <c r="L446" s="0" t="s">
        <v>2277</v>
      </c>
    </row>
    <row r="447" customFormat="false" ht="15" hidden="false" customHeight="true" outlineLevel="0" collapsed="false">
      <c r="A447" s="0" t="n">
        <v>2</v>
      </c>
      <c r="B447" s="0" t="n">
        <v>17</v>
      </c>
      <c r="C447" s="0" t="s">
        <v>52</v>
      </c>
      <c r="D447" s="0" t="s">
        <v>2399</v>
      </c>
      <c r="E447" s="14" t="n">
        <v>46220</v>
      </c>
      <c r="F447" s="14" t="n">
        <v>46220</v>
      </c>
      <c r="G447" s="0" t="s">
        <v>622</v>
      </c>
      <c r="H447" s="0" t="n">
        <v>1428365</v>
      </c>
      <c r="I447" s="0" t="n">
        <v>11</v>
      </c>
      <c r="J447" s="0" t="s">
        <v>2276</v>
      </c>
      <c r="K447" s="15" t="n">
        <v>120</v>
      </c>
      <c r="L447" s="0" t="s">
        <v>2277</v>
      </c>
    </row>
    <row r="448" customFormat="false" ht="15" hidden="false" customHeight="true" outlineLevel="0" collapsed="false">
      <c r="A448" s="0" t="n">
        <v>2</v>
      </c>
      <c r="B448" s="0" t="n">
        <v>18</v>
      </c>
      <c r="C448" s="0" t="s">
        <v>52</v>
      </c>
      <c r="D448" s="0" t="s">
        <v>2399</v>
      </c>
      <c r="E448" s="14" t="n">
        <v>46220</v>
      </c>
      <c r="F448" s="14" t="n">
        <v>46220</v>
      </c>
      <c r="G448" s="0" t="s">
        <v>622</v>
      </c>
      <c r="H448" s="0" t="n">
        <v>1428370</v>
      </c>
      <c r="I448" s="0" t="n">
        <v>11</v>
      </c>
      <c r="J448" s="0" t="s">
        <v>2276</v>
      </c>
      <c r="K448" s="15" t="n">
        <v>120</v>
      </c>
      <c r="L448" s="0" t="s">
        <v>2277</v>
      </c>
    </row>
    <row r="449" customFormat="false" ht="15" hidden="false" customHeight="true" outlineLevel="0" collapsed="false">
      <c r="A449" s="0" t="n">
        <v>2</v>
      </c>
      <c r="B449" s="0" t="n">
        <v>19</v>
      </c>
      <c r="C449" s="0" t="s">
        <v>52</v>
      </c>
      <c r="D449" s="0" t="s">
        <v>2399</v>
      </c>
      <c r="E449" s="14" t="n">
        <v>46220</v>
      </c>
      <c r="F449" s="14" t="n">
        <v>46220</v>
      </c>
      <c r="G449" s="0" t="s">
        <v>622</v>
      </c>
      <c r="H449" s="0" t="n">
        <v>1428390</v>
      </c>
      <c r="I449" s="0" t="n">
        <v>11</v>
      </c>
      <c r="J449" s="0" t="s">
        <v>2276</v>
      </c>
      <c r="K449" s="15" t="n">
        <v>120</v>
      </c>
      <c r="L449" s="0" t="s">
        <v>2277</v>
      </c>
    </row>
    <row r="450" customFormat="false" ht="15" hidden="false" customHeight="true" outlineLevel="0" collapsed="false">
      <c r="A450" s="0" t="n">
        <v>2</v>
      </c>
      <c r="B450" s="0" t="n">
        <v>20</v>
      </c>
      <c r="C450" s="0" t="s">
        <v>52</v>
      </c>
      <c r="D450" s="0" t="s">
        <v>2399</v>
      </c>
      <c r="E450" s="14" t="n">
        <v>46220</v>
      </c>
      <c r="F450" s="14" t="n">
        <v>46220</v>
      </c>
      <c r="G450" s="0" t="s">
        <v>622</v>
      </c>
      <c r="H450" s="0" t="n">
        <v>1428379</v>
      </c>
      <c r="I450" s="0" t="n">
        <v>11</v>
      </c>
      <c r="J450" s="0" t="s">
        <v>2276</v>
      </c>
      <c r="K450" s="15" t="n">
        <v>200</v>
      </c>
      <c r="L450" s="0" t="s">
        <v>2277</v>
      </c>
    </row>
    <row r="451" customFormat="false" ht="15" hidden="false" customHeight="true" outlineLevel="0" collapsed="false">
      <c r="A451" s="0" t="n">
        <v>2</v>
      </c>
      <c r="B451" s="0" t="n">
        <v>22</v>
      </c>
      <c r="C451" s="0" t="s">
        <v>52</v>
      </c>
      <c r="D451" s="0" t="s">
        <v>2399</v>
      </c>
      <c r="E451" s="14" t="n">
        <v>46220</v>
      </c>
      <c r="F451" s="14" t="n">
        <v>46220</v>
      </c>
      <c r="G451" s="0" t="s">
        <v>622</v>
      </c>
      <c r="H451" s="0" t="n">
        <v>1428427</v>
      </c>
      <c r="I451" s="0" t="n">
        <v>11</v>
      </c>
      <c r="J451" s="0" t="s">
        <v>2276</v>
      </c>
      <c r="K451" s="15" t="n">
        <v>140</v>
      </c>
      <c r="L451" s="0" t="s">
        <v>2277</v>
      </c>
    </row>
    <row r="452" customFormat="false" ht="15" hidden="false" customHeight="true" outlineLevel="0" collapsed="false">
      <c r="A452" s="0" t="n">
        <v>2</v>
      </c>
      <c r="B452" s="0" t="n">
        <v>23</v>
      </c>
      <c r="C452" s="0" t="s">
        <v>52</v>
      </c>
      <c r="D452" s="0" t="s">
        <v>2399</v>
      </c>
      <c r="E452" s="14" t="n">
        <v>46220</v>
      </c>
      <c r="F452" s="14" t="n">
        <v>46220</v>
      </c>
      <c r="G452" s="0" t="s">
        <v>622</v>
      </c>
      <c r="H452" s="0" t="n">
        <v>1428438</v>
      </c>
      <c r="I452" s="0" t="n">
        <v>11</v>
      </c>
      <c r="J452" s="0" t="s">
        <v>2276</v>
      </c>
      <c r="K452" s="15" t="n">
        <v>140</v>
      </c>
      <c r="L452" s="0" t="s">
        <v>2277</v>
      </c>
    </row>
    <row r="453" customFormat="false" ht="15" hidden="false" customHeight="true" outlineLevel="0" collapsed="false">
      <c r="A453" s="0" t="n">
        <v>2</v>
      </c>
      <c r="B453" s="0" t="n">
        <v>2546</v>
      </c>
      <c r="C453" s="0" t="s">
        <v>52</v>
      </c>
      <c r="D453" s="0" t="s">
        <v>2288</v>
      </c>
      <c r="E453" s="14" t="n">
        <v>46220</v>
      </c>
      <c r="F453" s="14" t="n">
        <v>46220</v>
      </c>
      <c r="G453" s="0" t="s">
        <v>153</v>
      </c>
      <c r="H453" s="0" t="n">
        <v>1411314</v>
      </c>
      <c r="I453" s="0" t="n">
        <v>6</v>
      </c>
      <c r="J453" s="0" t="s">
        <v>2276</v>
      </c>
      <c r="K453" s="15" t="n">
        <v>280</v>
      </c>
      <c r="L453" s="0" t="s">
        <v>2277</v>
      </c>
    </row>
    <row r="454" customFormat="false" ht="15" hidden="false" customHeight="true" outlineLevel="0" collapsed="false">
      <c r="A454" s="0" t="n">
        <v>2</v>
      </c>
      <c r="B454" s="0" t="n">
        <v>2547</v>
      </c>
      <c r="C454" s="0" t="s">
        <v>52</v>
      </c>
      <c r="D454" s="0" t="s">
        <v>2288</v>
      </c>
      <c r="E454" s="14" t="n">
        <v>46220</v>
      </c>
      <c r="F454" s="14" t="n">
        <v>46220</v>
      </c>
      <c r="G454" s="0" t="s">
        <v>153</v>
      </c>
      <c r="H454" s="0" t="n">
        <v>1411709</v>
      </c>
      <c r="I454" s="0" t="n">
        <v>6</v>
      </c>
      <c r="J454" s="0" t="s">
        <v>2276</v>
      </c>
      <c r="K454" s="15" t="n">
        <v>1392.72</v>
      </c>
      <c r="L454" s="0" t="s">
        <v>2277</v>
      </c>
    </row>
    <row r="455" customFormat="false" ht="15" hidden="false" customHeight="true" outlineLevel="0" collapsed="false">
      <c r="A455" s="0" t="n">
        <v>2</v>
      </c>
      <c r="B455" s="0" t="n">
        <v>337</v>
      </c>
      <c r="C455" s="0" t="s">
        <v>52</v>
      </c>
      <c r="D455" s="0" t="s">
        <v>2289</v>
      </c>
      <c r="E455" s="14" t="n">
        <v>46220</v>
      </c>
      <c r="F455" s="14" t="n">
        <v>46219</v>
      </c>
      <c r="G455" s="0" t="s">
        <v>216</v>
      </c>
      <c r="H455" s="0" t="n">
        <v>1410826</v>
      </c>
      <c r="I455" s="0" t="n">
        <v>11</v>
      </c>
      <c r="J455" s="0" t="s">
        <v>2276</v>
      </c>
      <c r="K455" s="15" t="n">
        <v>925</v>
      </c>
      <c r="L455" s="0" t="s">
        <v>2277</v>
      </c>
    </row>
    <row r="456" customFormat="false" ht="15" hidden="false" customHeight="true" outlineLevel="0" collapsed="false">
      <c r="A456" s="0" t="n">
        <v>2</v>
      </c>
      <c r="B456" s="0" t="n">
        <v>3554</v>
      </c>
      <c r="C456" s="0" t="s">
        <v>52</v>
      </c>
      <c r="D456" s="0" t="s">
        <v>2299</v>
      </c>
      <c r="E456" s="14" t="n">
        <v>46220</v>
      </c>
      <c r="F456" s="14" t="n">
        <v>46219</v>
      </c>
      <c r="G456" s="0" t="s">
        <v>174</v>
      </c>
      <c r="H456" s="0" t="n">
        <v>1410433</v>
      </c>
      <c r="I456" s="0" t="n">
        <v>11</v>
      </c>
      <c r="J456" s="0" t="s">
        <v>2276</v>
      </c>
      <c r="K456" s="15" t="n">
        <v>125</v>
      </c>
      <c r="L456" s="0" t="s">
        <v>2277</v>
      </c>
    </row>
    <row r="457" customFormat="false" ht="15" hidden="false" customHeight="true" outlineLevel="0" collapsed="false">
      <c r="A457" s="0" t="n">
        <v>2</v>
      </c>
      <c r="B457" s="0" t="n">
        <v>364</v>
      </c>
      <c r="C457" s="0" t="s">
        <v>52</v>
      </c>
      <c r="D457" s="0" t="s">
        <v>2311</v>
      </c>
      <c r="E457" s="14" t="n">
        <v>46220</v>
      </c>
      <c r="F457" s="14" t="n">
        <v>46220</v>
      </c>
      <c r="G457" s="0" t="s">
        <v>2312</v>
      </c>
      <c r="H457" s="0" t="n">
        <v>1411966</v>
      </c>
      <c r="I457" s="0" t="n">
        <v>11</v>
      </c>
      <c r="J457" s="0" t="s">
        <v>2276</v>
      </c>
      <c r="K457" s="15" t="n">
        <v>228</v>
      </c>
      <c r="L457" s="0" t="s">
        <v>2277</v>
      </c>
    </row>
    <row r="458" customFormat="false" ht="15" hidden="false" customHeight="true" outlineLevel="0" collapsed="false">
      <c r="A458" s="0" t="n">
        <v>2</v>
      </c>
      <c r="B458" s="0" t="n">
        <v>502367</v>
      </c>
      <c r="C458" s="0" t="s">
        <v>52</v>
      </c>
      <c r="D458" s="0" t="s">
        <v>2395</v>
      </c>
      <c r="E458" s="14" t="n">
        <v>46220</v>
      </c>
      <c r="F458" s="14" t="n">
        <v>46219</v>
      </c>
      <c r="G458" s="0" t="s">
        <v>289</v>
      </c>
      <c r="H458" s="0" t="n">
        <v>1410475</v>
      </c>
      <c r="I458" s="0" t="n">
        <v>11</v>
      </c>
      <c r="J458" s="0" t="s">
        <v>2276</v>
      </c>
      <c r="K458" s="15" t="n">
        <v>308.88</v>
      </c>
      <c r="L458" s="0" t="s">
        <v>2277</v>
      </c>
    </row>
    <row r="459" customFormat="false" ht="15" hidden="false" customHeight="true" outlineLevel="0" collapsed="false">
      <c r="A459" s="0" t="n">
        <v>2</v>
      </c>
      <c r="B459" s="0" t="n">
        <v>580861</v>
      </c>
      <c r="C459" s="0" t="s">
        <v>52</v>
      </c>
      <c r="D459" s="0" t="s">
        <v>2384</v>
      </c>
      <c r="E459" s="14" t="n">
        <v>46220</v>
      </c>
      <c r="F459" s="14" t="n">
        <v>46218</v>
      </c>
      <c r="G459" s="0" t="s">
        <v>119</v>
      </c>
      <c r="H459" s="0" t="n">
        <v>1411536</v>
      </c>
      <c r="I459" s="0" t="n">
        <v>11</v>
      </c>
      <c r="J459" s="0" t="s">
        <v>2276</v>
      </c>
      <c r="K459" s="15" t="n">
        <v>2284.72</v>
      </c>
      <c r="L459" s="0" t="s">
        <v>2277</v>
      </c>
    </row>
    <row r="460" customFormat="false" ht="15" hidden="false" customHeight="true" outlineLevel="0" collapsed="false">
      <c r="A460" s="0" t="n">
        <v>2</v>
      </c>
      <c r="B460" s="0" t="n">
        <v>580864</v>
      </c>
      <c r="C460" s="0" t="s">
        <v>52</v>
      </c>
      <c r="D460" s="0" t="s">
        <v>2384</v>
      </c>
      <c r="E460" s="14" t="n">
        <v>46220</v>
      </c>
      <c r="F460" s="14" t="n">
        <v>46218</v>
      </c>
      <c r="G460" s="0" t="s">
        <v>119</v>
      </c>
      <c r="H460" s="0" t="n">
        <v>1411921</v>
      </c>
      <c r="I460" s="0" t="n">
        <v>11</v>
      </c>
      <c r="J460" s="0" t="s">
        <v>2276</v>
      </c>
      <c r="K460" s="15" t="n">
        <v>1472.09</v>
      </c>
      <c r="L460" s="0" t="s">
        <v>2277</v>
      </c>
    </row>
    <row r="461" customFormat="false" ht="15" hidden="false" customHeight="true" outlineLevel="0" collapsed="false">
      <c r="A461" s="0" t="n">
        <v>2</v>
      </c>
      <c r="B461" s="0" t="n">
        <v>580865</v>
      </c>
      <c r="C461" s="0" t="s">
        <v>52</v>
      </c>
      <c r="D461" s="0" t="s">
        <v>2384</v>
      </c>
      <c r="E461" s="14" t="n">
        <v>46220</v>
      </c>
      <c r="F461" s="14" t="n">
        <v>46218</v>
      </c>
      <c r="G461" s="0" t="s">
        <v>119</v>
      </c>
      <c r="H461" s="0" t="n">
        <v>1411773</v>
      </c>
      <c r="I461" s="0" t="n">
        <v>11</v>
      </c>
      <c r="J461" s="0" t="s">
        <v>2276</v>
      </c>
      <c r="K461" s="15" t="n">
        <v>823.61</v>
      </c>
      <c r="L461" s="0" t="s">
        <v>2277</v>
      </c>
    </row>
    <row r="462" customFormat="false" ht="15" hidden="false" customHeight="true" outlineLevel="0" collapsed="false">
      <c r="A462" s="0" t="n">
        <v>2</v>
      </c>
      <c r="B462" s="0" t="n">
        <v>605020</v>
      </c>
      <c r="C462" s="0" t="s">
        <v>102</v>
      </c>
      <c r="D462" s="0" t="s">
        <v>2325</v>
      </c>
      <c r="E462" s="14" t="n">
        <v>46220</v>
      </c>
      <c r="F462" s="14" t="n">
        <v>46219</v>
      </c>
      <c r="G462" s="0" t="s">
        <v>471</v>
      </c>
      <c r="H462" s="0" t="n">
        <v>1411342</v>
      </c>
      <c r="I462" s="0" t="n">
        <v>11</v>
      </c>
      <c r="J462" s="0" t="s">
        <v>2276</v>
      </c>
      <c r="K462" s="15" t="n">
        <v>189</v>
      </c>
      <c r="L462" s="0" t="s">
        <v>2277</v>
      </c>
    </row>
    <row r="463" customFormat="false" ht="15" hidden="false" customHeight="true" outlineLevel="0" collapsed="false">
      <c r="A463" s="0" t="n">
        <v>2</v>
      </c>
      <c r="B463" s="0" t="n">
        <v>719</v>
      </c>
      <c r="C463" s="0" t="s">
        <v>44</v>
      </c>
      <c r="D463" s="0" t="s">
        <v>2283</v>
      </c>
      <c r="E463" s="14" t="n">
        <v>46220</v>
      </c>
      <c r="F463" s="14" t="n">
        <v>46219</v>
      </c>
      <c r="G463" s="0" t="s">
        <v>204</v>
      </c>
      <c r="H463" s="0" t="n">
        <v>1410461</v>
      </c>
      <c r="I463" s="0" t="n">
        <v>11</v>
      </c>
      <c r="J463" s="0" t="s">
        <v>2276</v>
      </c>
      <c r="K463" s="15" t="n">
        <v>184.9</v>
      </c>
      <c r="L463" s="0" t="s">
        <v>2277</v>
      </c>
    </row>
    <row r="464" customFormat="false" ht="15" hidden="false" customHeight="true" outlineLevel="0" collapsed="false">
      <c r="A464" s="0" t="n">
        <v>2</v>
      </c>
      <c r="B464" s="0" t="n">
        <v>1649285</v>
      </c>
      <c r="C464" s="0" t="s">
        <v>2280</v>
      </c>
      <c r="D464" s="0" t="s">
        <v>2281</v>
      </c>
      <c r="E464" s="14" t="n">
        <v>46221</v>
      </c>
      <c r="F464" s="14" t="n">
        <v>46220</v>
      </c>
      <c r="G464" s="0" t="s">
        <v>406</v>
      </c>
      <c r="H464" s="0" t="n">
        <v>1414655</v>
      </c>
      <c r="I464" s="0" t="n">
        <v>11</v>
      </c>
      <c r="J464" s="0" t="s">
        <v>2276</v>
      </c>
      <c r="K464" s="15" t="n">
        <v>97.5</v>
      </c>
      <c r="L464" s="0" t="s">
        <v>2277</v>
      </c>
    </row>
    <row r="465" customFormat="false" ht="15" hidden="false" customHeight="true" outlineLevel="0" collapsed="false">
      <c r="A465" s="0" t="n">
        <v>2</v>
      </c>
      <c r="B465" s="0" t="n">
        <v>3221212</v>
      </c>
      <c r="C465" s="0" t="s">
        <v>52</v>
      </c>
      <c r="D465" s="0" t="s">
        <v>2324</v>
      </c>
      <c r="E465" s="14" t="n">
        <v>46221</v>
      </c>
      <c r="F465" s="14" t="n">
        <v>46219</v>
      </c>
      <c r="G465" s="0" t="s">
        <v>61</v>
      </c>
      <c r="H465" s="0" t="n">
        <v>1414695</v>
      </c>
      <c r="I465" s="0" t="n">
        <v>11</v>
      </c>
      <c r="J465" s="0" t="s">
        <v>2276</v>
      </c>
      <c r="K465" s="15" t="n">
        <v>159.4</v>
      </c>
      <c r="L465" s="0" t="s">
        <v>2277</v>
      </c>
    </row>
    <row r="466" customFormat="false" ht="15" hidden="false" customHeight="true" outlineLevel="0" collapsed="false">
      <c r="A466" s="0" t="n">
        <v>2</v>
      </c>
      <c r="B466" s="0" t="n">
        <v>35</v>
      </c>
      <c r="C466" s="0" t="s">
        <v>52</v>
      </c>
      <c r="D466" s="0" t="s">
        <v>2399</v>
      </c>
      <c r="E466" s="14" t="n">
        <v>46221</v>
      </c>
      <c r="F466" s="14" t="n">
        <v>46221</v>
      </c>
      <c r="G466" s="0" t="s">
        <v>622</v>
      </c>
      <c r="H466" s="0" t="n">
        <v>1428457</v>
      </c>
      <c r="I466" s="0" t="n">
        <v>11</v>
      </c>
      <c r="J466" s="0" t="s">
        <v>2276</v>
      </c>
      <c r="K466" s="15" t="n">
        <v>120</v>
      </c>
      <c r="L466" s="0" t="s">
        <v>2277</v>
      </c>
    </row>
    <row r="467" customFormat="false" ht="15" hidden="false" customHeight="true" outlineLevel="0" collapsed="false">
      <c r="A467" s="0" t="n">
        <v>2</v>
      </c>
      <c r="B467" s="0" t="n">
        <v>3855</v>
      </c>
      <c r="C467" s="0" t="s">
        <v>52</v>
      </c>
      <c r="D467" s="0" t="s">
        <v>2400</v>
      </c>
      <c r="E467" s="14" t="n">
        <v>46221</v>
      </c>
      <c r="F467" s="14" t="n">
        <v>46220</v>
      </c>
      <c r="G467" s="0" t="s">
        <v>1225</v>
      </c>
      <c r="H467" s="0" t="n">
        <v>1414980</v>
      </c>
      <c r="I467" s="0" t="n">
        <v>39</v>
      </c>
      <c r="J467" s="0" t="s">
        <v>2276</v>
      </c>
      <c r="K467" s="15" t="n">
        <v>1109.15</v>
      </c>
      <c r="L467" s="0" t="s">
        <v>2346</v>
      </c>
    </row>
    <row r="468" customFormat="false" ht="15" hidden="false" customHeight="true" outlineLevel="0" collapsed="false">
      <c r="A468" s="0" t="n">
        <v>2</v>
      </c>
      <c r="B468" s="0" t="n">
        <v>535</v>
      </c>
      <c r="C468" s="0" t="s">
        <v>52</v>
      </c>
      <c r="D468" s="0" t="s">
        <v>2291</v>
      </c>
      <c r="E468" s="14" t="n">
        <v>46221</v>
      </c>
      <c r="F468" s="14" t="n">
        <v>46220</v>
      </c>
      <c r="G468" s="0" t="s">
        <v>123</v>
      </c>
      <c r="H468" s="0" t="n">
        <v>1414944</v>
      </c>
      <c r="I468" s="0" t="n">
        <v>11</v>
      </c>
      <c r="J468" s="0" t="s">
        <v>2276</v>
      </c>
      <c r="K468" s="15" t="n">
        <v>180</v>
      </c>
      <c r="L468" s="0" t="s">
        <v>2277</v>
      </c>
    </row>
    <row r="469" customFormat="false" ht="15" hidden="false" customHeight="true" outlineLevel="0" collapsed="false">
      <c r="A469" s="0" t="n">
        <v>2</v>
      </c>
      <c r="B469" s="0" t="n">
        <v>580863</v>
      </c>
      <c r="C469" s="0" t="s">
        <v>52</v>
      </c>
      <c r="D469" s="0" t="s">
        <v>2384</v>
      </c>
      <c r="E469" s="14" t="n">
        <v>46221</v>
      </c>
      <c r="F469" s="14" t="n">
        <v>46218</v>
      </c>
      <c r="G469" s="0" t="s">
        <v>119</v>
      </c>
      <c r="H469" s="0" t="n">
        <v>1414799</v>
      </c>
      <c r="I469" s="0" t="n">
        <v>11</v>
      </c>
      <c r="J469" s="0" t="s">
        <v>2276</v>
      </c>
      <c r="K469" s="15" t="n">
        <v>2827.44</v>
      </c>
      <c r="L469" s="0" t="s">
        <v>2277</v>
      </c>
    </row>
    <row r="470" customFormat="false" ht="15" hidden="false" customHeight="true" outlineLevel="0" collapsed="false">
      <c r="A470" s="0" t="n">
        <v>2</v>
      </c>
      <c r="B470" s="0" t="n">
        <v>11173</v>
      </c>
      <c r="C470" s="0" t="s">
        <v>52</v>
      </c>
      <c r="D470" s="0" t="s">
        <v>2376</v>
      </c>
      <c r="E470" s="14" t="n">
        <v>46223</v>
      </c>
      <c r="F470" s="14" t="n">
        <v>46219</v>
      </c>
      <c r="G470" s="0" t="s">
        <v>281</v>
      </c>
      <c r="H470" s="0" t="n">
        <v>1424623</v>
      </c>
      <c r="I470" s="0" t="n">
        <v>11</v>
      </c>
      <c r="J470" s="0" t="s">
        <v>2276</v>
      </c>
      <c r="K470" s="15" t="n">
        <v>1785.13</v>
      </c>
      <c r="L470" s="0" t="s">
        <v>2277</v>
      </c>
    </row>
    <row r="471" customFormat="false" ht="15" hidden="false" customHeight="true" outlineLevel="0" collapsed="false">
      <c r="A471" s="0" t="n">
        <v>2</v>
      </c>
      <c r="B471" s="0" t="n">
        <v>1210020</v>
      </c>
      <c r="C471" s="0" t="s">
        <v>80</v>
      </c>
      <c r="D471" s="0" t="s">
        <v>2275</v>
      </c>
      <c r="E471" s="14" t="n">
        <v>46223</v>
      </c>
      <c r="F471" s="14" t="n">
        <v>46220</v>
      </c>
      <c r="G471" s="0" t="s">
        <v>130</v>
      </c>
      <c r="H471" s="0" t="n">
        <v>1424515</v>
      </c>
      <c r="I471" s="0" t="n">
        <v>11</v>
      </c>
      <c r="J471" s="0" t="s">
        <v>2276</v>
      </c>
      <c r="K471" s="15" t="n">
        <v>49.45</v>
      </c>
      <c r="L471" s="0" t="s">
        <v>2277</v>
      </c>
    </row>
    <row r="472" customFormat="false" ht="15" hidden="false" customHeight="true" outlineLevel="0" collapsed="false">
      <c r="A472" s="0" t="n">
        <v>2</v>
      </c>
      <c r="B472" s="0" t="n">
        <v>1210021</v>
      </c>
      <c r="C472" s="0" t="s">
        <v>80</v>
      </c>
      <c r="D472" s="0" t="s">
        <v>2275</v>
      </c>
      <c r="E472" s="14" t="n">
        <v>46223</v>
      </c>
      <c r="F472" s="14" t="n">
        <v>46220</v>
      </c>
      <c r="G472" s="0" t="s">
        <v>130</v>
      </c>
      <c r="H472" s="0" t="n">
        <v>1424512</v>
      </c>
      <c r="I472" s="0" t="n">
        <v>11</v>
      </c>
      <c r="J472" s="0" t="s">
        <v>2276</v>
      </c>
      <c r="K472" s="15" t="n">
        <v>114.61</v>
      </c>
      <c r="L472" s="0" t="s">
        <v>2277</v>
      </c>
    </row>
    <row r="473" customFormat="false" ht="15" hidden="false" customHeight="true" outlineLevel="0" collapsed="false">
      <c r="A473" s="0" t="n">
        <v>2</v>
      </c>
      <c r="B473" s="0" t="n">
        <v>14751</v>
      </c>
      <c r="C473" s="0" t="s">
        <v>52</v>
      </c>
      <c r="D473" s="0" t="s">
        <v>2278</v>
      </c>
      <c r="E473" s="14" t="n">
        <v>46223</v>
      </c>
      <c r="F473" s="14" t="n">
        <v>46221</v>
      </c>
      <c r="G473" s="0" t="s">
        <v>270</v>
      </c>
      <c r="H473" s="0" t="n">
        <v>1424326</v>
      </c>
      <c r="I473" s="0" t="n">
        <v>11</v>
      </c>
      <c r="J473" s="0" t="s">
        <v>2276</v>
      </c>
      <c r="K473" s="15" t="n">
        <v>3804</v>
      </c>
      <c r="L473" s="0" t="s">
        <v>2277</v>
      </c>
    </row>
    <row r="474" customFormat="false" ht="15" hidden="false" customHeight="true" outlineLevel="0" collapsed="false">
      <c r="A474" s="0" t="n">
        <v>2</v>
      </c>
      <c r="B474" s="0" t="n">
        <v>1649501</v>
      </c>
      <c r="C474" s="0" t="s">
        <v>2280</v>
      </c>
      <c r="D474" s="0" t="s">
        <v>2281</v>
      </c>
      <c r="E474" s="14" t="n">
        <v>46223</v>
      </c>
      <c r="F474" s="14" t="n">
        <v>46221</v>
      </c>
      <c r="G474" s="0" t="s">
        <v>406</v>
      </c>
      <c r="H474" s="0" t="n">
        <v>1423680</v>
      </c>
      <c r="I474" s="0" t="n">
        <v>11</v>
      </c>
      <c r="J474" s="0" t="s">
        <v>2276</v>
      </c>
      <c r="K474" s="15" t="n">
        <v>137</v>
      </c>
      <c r="L474" s="0" t="s">
        <v>2277</v>
      </c>
    </row>
    <row r="475" customFormat="false" ht="15" hidden="false" customHeight="true" outlineLevel="0" collapsed="false">
      <c r="A475" s="0" t="n">
        <v>2</v>
      </c>
      <c r="B475" s="0" t="n">
        <v>1943423</v>
      </c>
      <c r="C475" s="0" t="s">
        <v>36</v>
      </c>
      <c r="D475" s="0" t="s">
        <v>2275</v>
      </c>
      <c r="E475" s="14" t="n">
        <v>46223</v>
      </c>
      <c r="F475" s="14" t="n">
        <v>46220</v>
      </c>
      <c r="G475" s="0" t="s">
        <v>130</v>
      </c>
      <c r="H475" s="0" t="n">
        <v>1424518</v>
      </c>
      <c r="I475" s="0" t="n">
        <v>11</v>
      </c>
      <c r="J475" s="0" t="s">
        <v>2276</v>
      </c>
      <c r="K475" s="15" t="n">
        <v>637.11</v>
      </c>
      <c r="L475" s="0" t="s">
        <v>2277</v>
      </c>
    </row>
    <row r="476" customFormat="false" ht="15" hidden="false" customHeight="true" outlineLevel="0" collapsed="false">
      <c r="A476" s="0" t="n">
        <v>2</v>
      </c>
      <c r="B476" s="0" t="n">
        <v>1964289</v>
      </c>
      <c r="C476" s="0" t="s">
        <v>52</v>
      </c>
      <c r="D476" s="0" t="s">
        <v>2369</v>
      </c>
      <c r="E476" s="14" t="n">
        <v>46223</v>
      </c>
      <c r="F476" s="14" t="n">
        <v>46220</v>
      </c>
      <c r="G476" s="0" t="s">
        <v>185</v>
      </c>
      <c r="H476" s="0" t="n">
        <v>1423821</v>
      </c>
      <c r="I476" s="0" t="n">
        <v>11</v>
      </c>
      <c r="J476" s="0" t="s">
        <v>2276</v>
      </c>
      <c r="K476" s="15" t="n">
        <v>945.12</v>
      </c>
      <c r="L476" s="0" t="s">
        <v>2277</v>
      </c>
    </row>
    <row r="477" customFormat="false" ht="15" hidden="false" customHeight="true" outlineLevel="0" collapsed="false">
      <c r="A477" s="0" t="n">
        <v>2</v>
      </c>
      <c r="B477" s="0" t="n">
        <v>2550</v>
      </c>
      <c r="C477" s="0" t="s">
        <v>52</v>
      </c>
      <c r="D477" s="0" t="s">
        <v>2288</v>
      </c>
      <c r="E477" s="14" t="n">
        <v>46223</v>
      </c>
      <c r="F477" s="14" t="n">
        <v>46223</v>
      </c>
      <c r="G477" s="0" t="s">
        <v>153</v>
      </c>
      <c r="H477" s="0" t="n">
        <v>1423704</v>
      </c>
      <c r="I477" s="0" t="n">
        <v>6</v>
      </c>
      <c r="J477" s="0" t="s">
        <v>2276</v>
      </c>
      <c r="K477" s="15" t="n">
        <v>949</v>
      </c>
      <c r="L477" s="0" t="s">
        <v>2277</v>
      </c>
    </row>
    <row r="478" customFormat="false" ht="15" hidden="false" customHeight="true" outlineLevel="0" collapsed="false">
      <c r="A478" s="0" t="n">
        <v>2</v>
      </c>
      <c r="B478" s="0" t="n">
        <v>2553</v>
      </c>
      <c r="C478" s="0" t="s">
        <v>52</v>
      </c>
      <c r="D478" s="0" t="s">
        <v>2288</v>
      </c>
      <c r="E478" s="14" t="n">
        <v>46223</v>
      </c>
      <c r="F478" s="14" t="n">
        <v>46223</v>
      </c>
      <c r="G478" s="0" t="s">
        <v>153</v>
      </c>
      <c r="H478" s="0" t="n">
        <v>1425087</v>
      </c>
      <c r="I478" s="0" t="n">
        <v>6</v>
      </c>
      <c r="J478" s="0" t="s">
        <v>2276</v>
      </c>
      <c r="K478" s="15" t="n">
        <v>210</v>
      </c>
      <c r="L478" s="0" t="s">
        <v>2277</v>
      </c>
    </row>
    <row r="479" customFormat="false" ht="15" hidden="false" customHeight="true" outlineLevel="0" collapsed="false">
      <c r="A479" s="0" t="n">
        <v>2</v>
      </c>
      <c r="B479" s="0" t="n">
        <v>31515</v>
      </c>
      <c r="C479" s="0" t="s">
        <v>52</v>
      </c>
      <c r="D479" s="0" t="s">
        <v>2294</v>
      </c>
      <c r="E479" s="14" t="n">
        <v>46223</v>
      </c>
      <c r="F479" s="14" t="n">
        <v>46223</v>
      </c>
      <c r="G479" s="0" t="s">
        <v>147</v>
      </c>
      <c r="H479" s="0" t="n">
        <v>1424565</v>
      </c>
      <c r="I479" s="0" t="n">
        <v>11</v>
      </c>
      <c r="J479" s="0" t="s">
        <v>2276</v>
      </c>
      <c r="K479" s="15" t="n">
        <v>199</v>
      </c>
      <c r="L479" s="0" t="s">
        <v>2277</v>
      </c>
    </row>
    <row r="480" customFormat="false" ht="15" hidden="false" customHeight="true" outlineLevel="0" collapsed="false">
      <c r="A480" s="0" t="n">
        <v>2</v>
      </c>
      <c r="B480" s="0" t="n">
        <v>64</v>
      </c>
      <c r="C480" s="0" t="s">
        <v>52</v>
      </c>
      <c r="D480" s="0" t="s">
        <v>2399</v>
      </c>
      <c r="E480" s="14" t="n">
        <v>46223</v>
      </c>
      <c r="F480" s="14" t="n">
        <v>46223</v>
      </c>
      <c r="G480" s="0" t="s">
        <v>622</v>
      </c>
      <c r="H480" s="0" t="n">
        <v>1439460</v>
      </c>
      <c r="I480" s="0" t="n">
        <v>11</v>
      </c>
      <c r="J480" s="0" t="s">
        <v>2276</v>
      </c>
      <c r="K480" s="15" t="n">
        <v>140</v>
      </c>
      <c r="L480" s="0" t="s">
        <v>2277</v>
      </c>
    </row>
    <row r="481" customFormat="false" ht="15" hidden="false" customHeight="true" outlineLevel="0" collapsed="false">
      <c r="A481" s="0" t="n">
        <v>2</v>
      </c>
      <c r="B481" s="0" t="n">
        <v>65</v>
      </c>
      <c r="C481" s="0" t="s">
        <v>52</v>
      </c>
      <c r="D481" s="0" t="s">
        <v>2399</v>
      </c>
      <c r="E481" s="14" t="n">
        <v>46223</v>
      </c>
      <c r="F481" s="14" t="n">
        <v>46223</v>
      </c>
      <c r="G481" s="0" t="s">
        <v>622</v>
      </c>
      <c r="H481" s="0" t="n">
        <v>1439463</v>
      </c>
      <c r="I481" s="0" t="n">
        <v>11</v>
      </c>
      <c r="J481" s="0" t="s">
        <v>2276</v>
      </c>
      <c r="K481" s="15" t="n">
        <v>140</v>
      </c>
      <c r="L481" s="0" t="s">
        <v>2277</v>
      </c>
    </row>
    <row r="482" customFormat="false" ht="15" hidden="false" customHeight="true" outlineLevel="0" collapsed="false">
      <c r="A482" s="0" t="n">
        <v>2</v>
      </c>
      <c r="B482" s="0" t="n">
        <v>664184</v>
      </c>
      <c r="C482" s="0" t="s">
        <v>52</v>
      </c>
      <c r="D482" s="0" t="s">
        <v>2353</v>
      </c>
      <c r="E482" s="14" t="n">
        <v>46223</v>
      </c>
      <c r="F482" s="14" t="n">
        <v>46219</v>
      </c>
      <c r="G482" s="0" t="s">
        <v>351</v>
      </c>
      <c r="H482" s="0" t="n">
        <v>1423713</v>
      </c>
      <c r="I482" s="0" t="n">
        <v>11</v>
      </c>
      <c r="J482" s="0" t="s">
        <v>2276</v>
      </c>
      <c r="K482" s="15" t="n">
        <v>1143</v>
      </c>
      <c r="L482" s="0" t="s">
        <v>2277</v>
      </c>
    </row>
    <row r="483" customFormat="false" ht="15" hidden="false" customHeight="true" outlineLevel="0" collapsed="false">
      <c r="A483" s="0" t="n">
        <v>2</v>
      </c>
      <c r="B483" s="0" t="n">
        <v>854967</v>
      </c>
      <c r="C483" s="0" t="s">
        <v>52</v>
      </c>
      <c r="D483" s="0" t="s">
        <v>2326</v>
      </c>
      <c r="E483" s="14" t="n">
        <v>46223</v>
      </c>
      <c r="F483" s="14" t="n">
        <v>46220</v>
      </c>
      <c r="G483" s="0" t="s">
        <v>193</v>
      </c>
      <c r="H483" s="0" t="n">
        <v>1423935</v>
      </c>
      <c r="I483" s="0" t="n">
        <v>11</v>
      </c>
      <c r="J483" s="0" t="s">
        <v>2276</v>
      </c>
      <c r="K483" s="15" t="n">
        <v>2030.92</v>
      </c>
      <c r="L483" s="0" t="s">
        <v>2277</v>
      </c>
    </row>
    <row r="484" customFormat="false" ht="15" hidden="false" customHeight="true" outlineLevel="0" collapsed="false">
      <c r="A484" s="0" t="n">
        <v>2</v>
      </c>
      <c r="B484" s="0" t="n">
        <v>1649880</v>
      </c>
      <c r="C484" s="0" t="s">
        <v>2280</v>
      </c>
      <c r="D484" s="0" t="s">
        <v>2281</v>
      </c>
      <c r="E484" s="14" t="n">
        <v>46224</v>
      </c>
      <c r="F484" s="14" t="n">
        <v>46223</v>
      </c>
      <c r="G484" s="0" t="s">
        <v>406</v>
      </c>
      <c r="H484" s="0" t="n">
        <v>1427577</v>
      </c>
      <c r="I484" s="0" t="n">
        <v>11</v>
      </c>
      <c r="J484" s="0" t="s">
        <v>2276</v>
      </c>
      <c r="K484" s="15" t="n">
        <v>151</v>
      </c>
      <c r="L484" s="0" t="s">
        <v>2277</v>
      </c>
    </row>
    <row r="485" customFormat="false" ht="15" hidden="false" customHeight="true" outlineLevel="0" collapsed="false">
      <c r="A485" s="0" t="n">
        <v>2</v>
      </c>
      <c r="B485" s="0" t="n">
        <v>2554</v>
      </c>
      <c r="C485" s="0" t="s">
        <v>52</v>
      </c>
      <c r="D485" s="0" t="s">
        <v>2288</v>
      </c>
      <c r="E485" s="14" t="n">
        <v>46224</v>
      </c>
      <c r="F485" s="14" t="n">
        <v>46224</v>
      </c>
      <c r="G485" s="0" t="s">
        <v>153</v>
      </c>
      <c r="H485" s="0" t="n">
        <v>1429010</v>
      </c>
      <c r="I485" s="0" t="n">
        <v>6</v>
      </c>
      <c r="J485" s="0" t="s">
        <v>2276</v>
      </c>
      <c r="K485" s="15" t="n">
        <v>1446.94</v>
      </c>
      <c r="L485" s="0" t="s">
        <v>2277</v>
      </c>
    </row>
    <row r="486" customFormat="false" ht="15" hidden="false" customHeight="true" outlineLevel="0" collapsed="false">
      <c r="A486" s="0" t="n">
        <v>2</v>
      </c>
      <c r="B486" s="0" t="n">
        <v>2555</v>
      </c>
      <c r="C486" s="0" t="s">
        <v>52</v>
      </c>
      <c r="D486" s="0" t="s">
        <v>2288</v>
      </c>
      <c r="E486" s="14" t="n">
        <v>46224</v>
      </c>
      <c r="F486" s="14" t="n">
        <v>46224</v>
      </c>
      <c r="G486" s="0" t="s">
        <v>153</v>
      </c>
      <c r="H486" s="0" t="n">
        <v>1429542</v>
      </c>
      <c r="I486" s="0" t="n">
        <v>6</v>
      </c>
      <c r="J486" s="0" t="s">
        <v>2276</v>
      </c>
      <c r="K486" s="15" t="n">
        <v>55</v>
      </c>
      <c r="L486" s="0" t="s">
        <v>2277</v>
      </c>
    </row>
    <row r="487" customFormat="false" ht="15" hidden="false" customHeight="true" outlineLevel="0" collapsed="false">
      <c r="A487" s="0" t="n">
        <v>2</v>
      </c>
      <c r="B487" s="0" t="n">
        <v>2556</v>
      </c>
      <c r="C487" s="0" t="s">
        <v>52</v>
      </c>
      <c r="D487" s="0" t="s">
        <v>2288</v>
      </c>
      <c r="E487" s="14" t="n">
        <v>46224</v>
      </c>
      <c r="F487" s="14" t="n">
        <v>46224</v>
      </c>
      <c r="G487" s="0" t="s">
        <v>153</v>
      </c>
      <c r="H487" s="0" t="n">
        <v>1429592</v>
      </c>
      <c r="I487" s="0" t="n">
        <v>6</v>
      </c>
      <c r="J487" s="0" t="s">
        <v>2276</v>
      </c>
      <c r="K487" s="15" t="n">
        <v>210</v>
      </c>
      <c r="L487" s="0" t="s">
        <v>2277</v>
      </c>
    </row>
    <row r="488" customFormat="false" ht="15" hidden="false" customHeight="true" outlineLevel="0" collapsed="false">
      <c r="A488" s="0" t="n">
        <v>2</v>
      </c>
      <c r="B488" s="0" t="n">
        <v>3579</v>
      </c>
      <c r="C488" s="0" t="s">
        <v>52</v>
      </c>
      <c r="D488" s="0" t="s">
        <v>2299</v>
      </c>
      <c r="E488" s="14" t="n">
        <v>46224</v>
      </c>
      <c r="F488" s="14" t="n">
        <v>46223</v>
      </c>
      <c r="G488" s="0" t="s">
        <v>174</v>
      </c>
      <c r="H488" s="0" t="n">
        <v>1427544</v>
      </c>
      <c r="I488" s="0" t="n">
        <v>11</v>
      </c>
      <c r="J488" s="0" t="s">
        <v>2276</v>
      </c>
      <c r="K488" s="15" t="n">
        <v>179</v>
      </c>
      <c r="L488" s="0" t="s">
        <v>2277</v>
      </c>
    </row>
    <row r="489" customFormat="false" ht="15" hidden="false" customHeight="true" outlineLevel="0" collapsed="false">
      <c r="A489" s="0" t="n">
        <v>2</v>
      </c>
      <c r="B489" s="0" t="n">
        <v>4132</v>
      </c>
      <c r="C489" s="0" t="s">
        <v>52</v>
      </c>
      <c r="D489" s="0" t="s">
        <v>2290</v>
      </c>
      <c r="E489" s="14" t="n">
        <v>46224</v>
      </c>
      <c r="F489" s="14" t="n">
        <v>46223</v>
      </c>
      <c r="G489" s="0" t="s">
        <v>95</v>
      </c>
      <c r="H489" s="0" t="n">
        <v>1427554</v>
      </c>
      <c r="I489" s="0" t="n">
        <v>11</v>
      </c>
      <c r="J489" s="0" t="s">
        <v>2276</v>
      </c>
      <c r="K489" s="15" t="n">
        <v>232.05</v>
      </c>
      <c r="L489" s="0" t="s">
        <v>2277</v>
      </c>
    </row>
    <row r="490" customFormat="false" ht="15" hidden="false" customHeight="true" outlineLevel="0" collapsed="false">
      <c r="A490" s="0" t="n">
        <v>2</v>
      </c>
      <c r="B490" s="0" t="n">
        <v>724</v>
      </c>
      <c r="C490" s="0" t="s">
        <v>44</v>
      </c>
      <c r="D490" s="0" t="s">
        <v>2283</v>
      </c>
      <c r="E490" s="14" t="n">
        <v>46224</v>
      </c>
      <c r="F490" s="14" t="n">
        <v>46223</v>
      </c>
      <c r="G490" s="0" t="s">
        <v>204</v>
      </c>
      <c r="H490" s="0" t="n">
        <v>1427568</v>
      </c>
      <c r="I490" s="0" t="n">
        <v>11</v>
      </c>
      <c r="J490" s="0" t="s">
        <v>2276</v>
      </c>
      <c r="K490" s="15" t="n">
        <v>182.36</v>
      </c>
      <c r="L490" s="0" t="s">
        <v>2277</v>
      </c>
    </row>
    <row r="491" customFormat="false" ht="15" hidden="false" customHeight="true" outlineLevel="0" collapsed="false">
      <c r="A491" s="0" t="n">
        <v>2</v>
      </c>
      <c r="B491" s="0" t="n">
        <v>9481</v>
      </c>
      <c r="C491" s="0" t="s">
        <v>52</v>
      </c>
      <c r="D491" s="0" t="s">
        <v>2401</v>
      </c>
      <c r="E491" s="14" t="n">
        <v>46224</v>
      </c>
      <c r="F491" s="14" t="n">
        <v>46223</v>
      </c>
      <c r="G491" s="0" t="s">
        <v>327</v>
      </c>
      <c r="H491" s="0" t="n">
        <v>1427596</v>
      </c>
      <c r="I491" s="0" t="n">
        <v>39</v>
      </c>
      <c r="J491" s="0" t="s">
        <v>2276</v>
      </c>
      <c r="K491" s="15" t="n">
        <v>800</v>
      </c>
      <c r="L491" s="0" t="s">
        <v>2346</v>
      </c>
    </row>
    <row r="492" customFormat="false" ht="15" hidden="false" customHeight="true" outlineLevel="0" collapsed="false">
      <c r="A492" s="0" t="n">
        <v>2</v>
      </c>
      <c r="B492" s="0" t="n">
        <v>1215300</v>
      </c>
      <c r="C492" s="0" t="s">
        <v>80</v>
      </c>
      <c r="D492" s="0" t="s">
        <v>2275</v>
      </c>
      <c r="E492" s="14" t="n">
        <v>46225</v>
      </c>
      <c r="F492" s="14" t="n">
        <v>46224</v>
      </c>
      <c r="G492" s="0" t="s">
        <v>130</v>
      </c>
      <c r="H492" s="0" t="n">
        <v>1435821</v>
      </c>
      <c r="I492" s="0" t="n">
        <v>11</v>
      </c>
      <c r="J492" s="0" t="s">
        <v>2276</v>
      </c>
      <c r="K492" s="15" t="n">
        <v>203.42</v>
      </c>
      <c r="L492" s="0" t="s">
        <v>2277</v>
      </c>
    </row>
    <row r="493" customFormat="false" ht="15" hidden="false" customHeight="true" outlineLevel="0" collapsed="false">
      <c r="A493" s="0" t="n">
        <v>2</v>
      </c>
      <c r="B493" s="0" t="n">
        <v>1401844</v>
      </c>
      <c r="C493" s="0" t="s">
        <v>52</v>
      </c>
      <c r="D493" s="0" t="s">
        <v>2308</v>
      </c>
      <c r="E493" s="14" t="n">
        <v>46225</v>
      </c>
      <c r="F493" s="14" t="n">
        <v>46224</v>
      </c>
      <c r="G493" s="0" t="s">
        <v>343</v>
      </c>
      <c r="H493" s="0" t="n">
        <v>1435876</v>
      </c>
      <c r="I493" s="0" t="n">
        <v>11</v>
      </c>
      <c r="J493" s="0" t="s">
        <v>2276</v>
      </c>
      <c r="K493" s="15" t="n">
        <v>1821.1</v>
      </c>
      <c r="L493" s="0" t="s">
        <v>2277</v>
      </c>
    </row>
    <row r="494" customFormat="false" ht="15" hidden="false" customHeight="true" outlineLevel="0" collapsed="false">
      <c r="A494" s="0" t="n">
        <v>2</v>
      </c>
      <c r="B494" s="0" t="n">
        <v>1625</v>
      </c>
      <c r="C494" s="0" t="s">
        <v>67</v>
      </c>
      <c r="D494" s="0" t="s">
        <v>2295</v>
      </c>
      <c r="E494" s="14" t="n">
        <v>46225</v>
      </c>
      <c r="F494" s="14" t="n">
        <v>46224</v>
      </c>
      <c r="G494" s="0" t="s">
        <v>128</v>
      </c>
      <c r="H494" s="0" t="n">
        <v>1435965</v>
      </c>
      <c r="I494" s="0" t="n">
        <v>11</v>
      </c>
      <c r="J494" s="0" t="s">
        <v>2276</v>
      </c>
      <c r="K494" s="15" t="n">
        <v>328.54</v>
      </c>
      <c r="L494" s="0" t="s">
        <v>2277</v>
      </c>
    </row>
    <row r="495" customFormat="false" ht="15" hidden="false" customHeight="true" outlineLevel="0" collapsed="false">
      <c r="A495" s="0" t="n">
        <v>2</v>
      </c>
      <c r="B495" s="0" t="n">
        <v>1695862</v>
      </c>
      <c r="C495" s="0" t="s">
        <v>52</v>
      </c>
      <c r="D495" s="0" t="s">
        <v>2287</v>
      </c>
      <c r="E495" s="14" t="n">
        <v>46225</v>
      </c>
      <c r="F495" s="14" t="n">
        <v>46223</v>
      </c>
      <c r="G495" s="0" t="s">
        <v>240</v>
      </c>
      <c r="H495" s="0" t="n">
        <v>1434765</v>
      </c>
      <c r="I495" s="0" t="n">
        <v>11</v>
      </c>
      <c r="J495" s="0" t="s">
        <v>2276</v>
      </c>
      <c r="K495" s="15" t="n">
        <v>554.4</v>
      </c>
      <c r="L495" s="0" t="s">
        <v>2277</v>
      </c>
    </row>
    <row r="496" customFormat="false" ht="15" hidden="false" customHeight="true" outlineLevel="0" collapsed="false">
      <c r="A496" s="0" t="n">
        <v>2</v>
      </c>
      <c r="B496" s="0" t="n">
        <v>1949480</v>
      </c>
      <c r="C496" s="0" t="s">
        <v>36</v>
      </c>
      <c r="D496" s="0" t="s">
        <v>2275</v>
      </c>
      <c r="E496" s="14" t="n">
        <v>46225</v>
      </c>
      <c r="F496" s="14" t="n">
        <v>46224</v>
      </c>
      <c r="G496" s="0" t="s">
        <v>130</v>
      </c>
      <c r="H496" s="0" t="n">
        <v>1435826</v>
      </c>
      <c r="I496" s="0" t="n">
        <v>11</v>
      </c>
      <c r="J496" s="0" t="s">
        <v>2276</v>
      </c>
      <c r="K496" s="15" t="n">
        <v>1712.69</v>
      </c>
      <c r="L496" s="0" t="s">
        <v>2277</v>
      </c>
    </row>
    <row r="497" customFormat="false" ht="15" hidden="false" customHeight="true" outlineLevel="0" collapsed="false">
      <c r="A497" s="0" t="n">
        <v>2</v>
      </c>
      <c r="B497" s="0" t="n">
        <v>21</v>
      </c>
      <c r="C497" s="0" t="s">
        <v>52</v>
      </c>
      <c r="D497" s="0" t="s">
        <v>2399</v>
      </c>
      <c r="E497" s="14" t="n">
        <v>46225</v>
      </c>
      <c r="F497" s="14" t="n">
        <v>46220</v>
      </c>
      <c r="G497" s="0" t="s">
        <v>622</v>
      </c>
      <c r="H497" s="0" t="n">
        <v>1439039</v>
      </c>
      <c r="I497" s="0" t="n">
        <v>11</v>
      </c>
      <c r="J497" s="0" t="s">
        <v>2276</v>
      </c>
      <c r="K497" s="15" t="n">
        <v>120</v>
      </c>
      <c r="L497" s="0" t="s">
        <v>2277</v>
      </c>
    </row>
    <row r="498" customFormat="false" ht="15" hidden="false" customHeight="true" outlineLevel="0" collapsed="false">
      <c r="A498" s="0" t="n">
        <v>2</v>
      </c>
      <c r="B498" s="0" t="n">
        <v>2557</v>
      </c>
      <c r="C498" s="0" t="s">
        <v>52</v>
      </c>
      <c r="D498" s="0" t="s">
        <v>2288</v>
      </c>
      <c r="E498" s="14" t="n">
        <v>46225</v>
      </c>
      <c r="F498" s="14" t="n">
        <v>46225</v>
      </c>
      <c r="G498" s="0" t="s">
        <v>153</v>
      </c>
      <c r="H498" s="0" t="n">
        <v>1435859</v>
      </c>
      <c r="I498" s="0" t="n">
        <v>6</v>
      </c>
      <c r="J498" s="0" t="s">
        <v>2276</v>
      </c>
      <c r="K498" s="15" t="n">
        <v>210</v>
      </c>
      <c r="L498" s="0" t="s">
        <v>2277</v>
      </c>
    </row>
    <row r="499" customFormat="false" ht="15" hidden="false" customHeight="true" outlineLevel="0" collapsed="false">
      <c r="A499" s="0" t="n">
        <v>2</v>
      </c>
      <c r="B499" s="0" t="n">
        <v>261</v>
      </c>
      <c r="C499" s="0" t="s">
        <v>52</v>
      </c>
      <c r="D499" s="0" t="s">
        <v>2377</v>
      </c>
      <c r="E499" s="14" t="n">
        <v>46225</v>
      </c>
      <c r="F499" s="14" t="n">
        <v>46225</v>
      </c>
      <c r="G499" s="0" t="s">
        <v>812</v>
      </c>
      <c r="H499" s="0" t="n">
        <v>1435793</v>
      </c>
      <c r="I499" s="0" t="n">
        <v>11</v>
      </c>
      <c r="J499" s="0" t="s">
        <v>2276</v>
      </c>
      <c r="K499" s="15" t="n">
        <v>1040</v>
      </c>
      <c r="L499" s="0" t="s">
        <v>2277</v>
      </c>
    </row>
    <row r="500" customFormat="false" ht="15" hidden="false" customHeight="true" outlineLevel="0" collapsed="false">
      <c r="A500" s="0" t="n">
        <v>2</v>
      </c>
      <c r="B500" s="0" t="n">
        <v>393890</v>
      </c>
      <c r="C500" s="0" t="s">
        <v>52</v>
      </c>
      <c r="D500" s="0" t="s">
        <v>2301</v>
      </c>
      <c r="E500" s="14" t="n">
        <v>46225</v>
      </c>
      <c r="F500" s="14" t="n">
        <v>46224</v>
      </c>
      <c r="G500" s="0" t="s">
        <v>172</v>
      </c>
      <c r="H500" s="0" t="n">
        <v>1436038</v>
      </c>
      <c r="I500" s="0" t="n">
        <v>11</v>
      </c>
      <c r="J500" s="0" t="s">
        <v>2276</v>
      </c>
      <c r="K500" s="15" t="n">
        <v>3493.2</v>
      </c>
      <c r="L500" s="0" t="s">
        <v>2277</v>
      </c>
    </row>
    <row r="501" customFormat="false" ht="15" hidden="false" customHeight="true" outlineLevel="0" collapsed="false">
      <c r="A501" s="0" t="n">
        <v>2</v>
      </c>
      <c r="B501" s="0" t="n">
        <v>5844</v>
      </c>
      <c r="C501" s="0" t="s">
        <v>52</v>
      </c>
      <c r="D501" s="0" t="s">
        <v>2302</v>
      </c>
      <c r="E501" s="14" t="n">
        <v>46225</v>
      </c>
      <c r="F501" s="14" t="n">
        <v>46225</v>
      </c>
      <c r="G501" s="0" t="s">
        <v>84</v>
      </c>
      <c r="H501" s="0" t="n">
        <v>1435769</v>
      </c>
      <c r="I501" s="0" t="n">
        <v>11</v>
      </c>
      <c r="J501" s="0" t="s">
        <v>2276</v>
      </c>
      <c r="K501" s="15" t="n">
        <v>409.65</v>
      </c>
      <c r="L501" s="0" t="s">
        <v>2277</v>
      </c>
    </row>
    <row r="502" customFormat="false" ht="15" hidden="false" customHeight="true" outlineLevel="0" collapsed="false">
      <c r="A502" s="0" t="n">
        <v>2</v>
      </c>
      <c r="B502" s="0" t="n">
        <v>740921</v>
      </c>
      <c r="C502" s="0" t="s">
        <v>2337</v>
      </c>
      <c r="D502" s="0" t="s">
        <v>2365</v>
      </c>
      <c r="E502" s="14" t="n">
        <v>46225</v>
      </c>
      <c r="F502" s="14" t="n">
        <v>46224</v>
      </c>
      <c r="G502" s="0" t="s">
        <v>151</v>
      </c>
      <c r="H502" s="0" t="n">
        <v>1436101</v>
      </c>
      <c r="I502" s="0" t="n">
        <v>39</v>
      </c>
      <c r="J502" s="0" t="s">
        <v>2276</v>
      </c>
      <c r="K502" s="15" t="n">
        <v>391.26</v>
      </c>
      <c r="L502" s="0" t="s">
        <v>2346</v>
      </c>
    </row>
    <row r="503" customFormat="false" ht="15" hidden="false" customHeight="true" outlineLevel="0" collapsed="false">
      <c r="A503" s="0" t="n">
        <v>2</v>
      </c>
      <c r="B503" s="0" t="n">
        <v>1651550</v>
      </c>
      <c r="C503" s="0" t="s">
        <v>2280</v>
      </c>
      <c r="D503" s="0" t="s">
        <v>2281</v>
      </c>
      <c r="E503" s="14" t="n">
        <v>46226</v>
      </c>
      <c r="F503" s="14" t="n">
        <v>46225</v>
      </c>
      <c r="G503" s="0" t="s">
        <v>406</v>
      </c>
      <c r="H503" s="0" t="n">
        <v>1438798</v>
      </c>
      <c r="I503" s="0" t="n">
        <v>11</v>
      </c>
      <c r="J503" s="0" t="s">
        <v>2276</v>
      </c>
      <c r="K503" s="15" t="n">
        <v>130.5</v>
      </c>
      <c r="L503" s="0" t="s">
        <v>2277</v>
      </c>
    </row>
    <row r="504" customFormat="false" ht="15" hidden="false" customHeight="true" outlineLevel="0" collapsed="false">
      <c r="A504" s="0" t="n">
        <v>2</v>
      </c>
      <c r="B504" s="0" t="n">
        <v>1697796</v>
      </c>
      <c r="C504" s="0" t="s">
        <v>52</v>
      </c>
      <c r="D504" s="0" t="s">
        <v>2287</v>
      </c>
      <c r="E504" s="14" t="n">
        <v>46226</v>
      </c>
      <c r="F504" s="14" t="n">
        <v>46225</v>
      </c>
      <c r="G504" s="0" t="s">
        <v>240</v>
      </c>
      <c r="H504" s="0" t="n">
        <v>1439289</v>
      </c>
      <c r="I504" s="0" t="n">
        <v>11</v>
      </c>
      <c r="J504" s="0" t="s">
        <v>2276</v>
      </c>
      <c r="K504" s="15" t="n">
        <v>1188</v>
      </c>
      <c r="L504" s="0" t="s">
        <v>2277</v>
      </c>
    </row>
    <row r="505" customFormat="false" ht="15" hidden="false" customHeight="true" outlineLevel="0" collapsed="false">
      <c r="A505" s="0" t="n">
        <v>2</v>
      </c>
      <c r="B505" s="0" t="n">
        <v>173594</v>
      </c>
      <c r="C505" s="0" t="s">
        <v>52</v>
      </c>
      <c r="D505" s="0" t="s">
        <v>2293</v>
      </c>
      <c r="E505" s="14" t="n">
        <v>46226</v>
      </c>
      <c r="F505" s="14" t="n">
        <v>46225</v>
      </c>
      <c r="G505" s="0" t="s">
        <v>371</v>
      </c>
      <c r="H505" s="0" t="n">
        <v>1439203</v>
      </c>
      <c r="I505" s="0" t="n">
        <v>11</v>
      </c>
      <c r="J505" s="0" t="s">
        <v>2276</v>
      </c>
      <c r="K505" s="15" t="n">
        <v>3811.4</v>
      </c>
      <c r="L505" s="0" t="s">
        <v>2277</v>
      </c>
    </row>
    <row r="506" customFormat="false" ht="15" hidden="false" customHeight="true" outlineLevel="0" collapsed="false">
      <c r="A506" s="0" t="n">
        <v>2</v>
      </c>
      <c r="B506" s="0" t="n">
        <v>21189</v>
      </c>
      <c r="C506" s="0" t="s">
        <v>89</v>
      </c>
      <c r="D506" s="0" t="s">
        <v>2347</v>
      </c>
      <c r="E506" s="14" t="n">
        <v>46226</v>
      </c>
      <c r="F506" s="14" t="n">
        <v>46221</v>
      </c>
      <c r="G506" s="0" t="s">
        <v>628</v>
      </c>
      <c r="H506" s="0" t="n">
        <v>1438828</v>
      </c>
      <c r="I506" s="0" t="n">
        <v>11</v>
      </c>
      <c r="J506" s="0" t="s">
        <v>2276</v>
      </c>
      <c r="K506" s="15" t="n">
        <v>6005.5</v>
      </c>
      <c r="L506" s="0" t="s">
        <v>2277</v>
      </c>
    </row>
    <row r="507" customFormat="false" ht="15" hidden="false" customHeight="true" outlineLevel="0" collapsed="false">
      <c r="A507" s="0" t="n">
        <v>2</v>
      </c>
      <c r="B507" s="0" t="n">
        <v>34738</v>
      </c>
      <c r="C507" s="0" t="s">
        <v>67</v>
      </c>
      <c r="D507" s="0" t="s">
        <v>2379</v>
      </c>
      <c r="E507" s="14" t="n">
        <v>46226</v>
      </c>
      <c r="F507" s="14" t="n">
        <v>46221</v>
      </c>
      <c r="G507" s="0" t="s">
        <v>349</v>
      </c>
      <c r="H507" s="0" t="n">
        <v>1438943</v>
      </c>
      <c r="I507" s="0" t="n">
        <v>11</v>
      </c>
      <c r="J507" s="0" t="s">
        <v>2276</v>
      </c>
      <c r="K507" s="15" t="n">
        <v>1773.2</v>
      </c>
      <c r="L507" s="0" t="s">
        <v>2277</v>
      </c>
    </row>
    <row r="508" customFormat="false" ht="15" hidden="false" customHeight="true" outlineLevel="0" collapsed="false">
      <c r="A508" s="0" t="n">
        <v>2</v>
      </c>
      <c r="B508" s="0" t="n">
        <v>3551</v>
      </c>
      <c r="C508" s="0" t="s">
        <v>52</v>
      </c>
      <c r="D508" s="0" t="s">
        <v>2402</v>
      </c>
      <c r="E508" s="14" t="n">
        <v>46226</v>
      </c>
      <c r="F508" s="14" t="n">
        <v>46225</v>
      </c>
      <c r="G508" s="0" t="s">
        <v>176</v>
      </c>
      <c r="H508" s="0" t="n">
        <v>1439313</v>
      </c>
      <c r="I508" s="0" t="n">
        <v>11</v>
      </c>
      <c r="J508" s="0" t="s">
        <v>2276</v>
      </c>
      <c r="K508" s="15" t="n">
        <v>1009.92</v>
      </c>
      <c r="L508" s="0" t="s">
        <v>2277</v>
      </c>
    </row>
    <row r="509" customFormat="false" ht="15" hidden="false" customHeight="true" outlineLevel="0" collapsed="false">
      <c r="A509" s="0" t="n">
        <v>2</v>
      </c>
      <c r="B509" s="0" t="n">
        <v>608657</v>
      </c>
      <c r="C509" s="0" t="s">
        <v>102</v>
      </c>
      <c r="D509" s="0" t="s">
        <v>2325</v>
      </c>
      <c r="E509" s="14" t="n">
        <v>46226</v>
      </c>
      <c r="F509" s="14" t="n">
        <v>46225</v>
      </c>
      <c r="G509" s="0" t="s">
        <v>471</v>
      </c>
      <c r="H509" s="0" t="n">
        <v>1439986</v>
      </c>
      <c r="I509" s="0" t="n">
        <v>11</v>
      </c>
      <c r="J509" s="0" t="s">
        <v>2276</v>
      </c>
      <c r="K509" s="15" t="n">
        <v>305</v>
      </c>
      <c r="L509" s="0" t="s">
        <v>2277</v>
      </c>
    </row>
    <row r="510" customFormat="false" ht="15" hidden="false" customHeight="true" outlineLevel="0" collapsed="false">
      <c r="A510" s="0" t="n">
        <v>2</v>
      </c>
      <c r="B510" s="0" t="n">
        <v>651350</v>
      </c>
      <c r="C510" s="0" t="s">
        <v>52</v>
      </c>
      <c r="D510" s="0" t="s">
        <v>2329</v>
      </c>
      <c r="E510" s="14" t="n">
        <v>46226</v>
      </c>
      <c r="F510" s="14" t="n">
        <v>46225</v>
      </c>
      <c r="G510" s="0" t="s">
        <v>64</v>
      </c>
      <c r="H510" s="0" t="n">
        <v>1440005</v>
      </c>
      <c r="I510" s="0" t="n">
        <v>11</v>
      </c>
      <c r="J510" s="0" t="s">
        <v>2276</v>
      </c>
      <c r="K510" s="15" t="n">
        <v>727.23</v>
      </c>
      <c r="L510" s="0" t="s">
        <v>2277</v>
      </c>
    </row>
    <row r="511" customFormat="false" ht="15" hidden="false" customHeight="true" outlineLevel="0" collapsed="false">
      <c r="A511" s="0" t="n">
        <v>2</v>
      </c>
      <c r="B511" s="0" t="n">
        <v>728</v>
      </c>
      <c r="C511" s="0" t="s">
        <v>44</v>
      </c>
      <c r="D511" s="0" t="s">
        <v>2283</v>
      </c>
      <c r="E511" s="14" t="n">
        <v>46226</v>
      </c>
      <c r="F511" s="14" t="n">
        <v>46225</v>
      </c>
      <c r="G511" s="0" t="s">
        <v>204</v>
      </c>
      <c r="H511" s="0" t="n">
        <v>1438982</v>
      </c>
      <c r="I511" s="0" t="n">
        <v>11</v>
      </c>
      <c r="J511" s="0" t="s">
        <v>2276</v>
      </c>
      <c r="K511" s="15" t="n">
        <v>247.23</v>
      </c>
      <c r="L511" s="0" t="s">
        <v>2277</v>
      </c>
    </row>
    <row r="512" customFormat="false" ht="15" hidden="false" customHeight="true" outlineLevel="0" collapsed="false">
      <c r="A512" s="0" t="n">
        <v>2</v>
      </c>
      <c r="B512" s="0" t="n">
        <v>886799</v>
      </c>
      <c r="C512" s="0" t="s">
        <v>52</v>
      </c>
      <c r="D512" s="0" t="s">
        <v>2342</v>
      </c>
      <c r="E512" s="14" t="n">
        <v>46226</v>
      </c>
      <c r="F512" s="14" t="n">
        <v>46225</v>
      </c>
      <c r="G512" s="0" t="s">
        <v>214</v>
      </c>
      <c r="H512" s="0" t="n">
        <v>1439398</v>
      </c>
      <c r="I512" s="0" t="n">
        <v>11</v>
      </c>
      <c r="J512" s="0" t="s">
        <v>2276</v>
      </c>
      <c r="K512" s="15" t="n">
        <v>3018.1</v>
      </c>
      <c r="L512" s="0" t="s">
        <v>2277</v>
      </c>
    </row>
    <row r="513" customFormat="false" ht="15" hidden="false" customHeight="true" outlineLevel="0" collapsed="false">
      <c r="A513" s="0" t="n">
        <v>2</v>
      </c>
      <c r="B513" s="0" t="n">
        <v>1033458</v>
      </c>
      <c r="C513" s="0" t="s">
        <v>52</v>
      </c>
      <c r="D513" s="0" t="s">
        <v>2286</v>
      </c>
      <c r="E513" s="14" t="n">
        <v>46227</v>
      </c>
      <c r="F513" s="14" t="n">
        <v>46226</v>
      </c>
      <c r="G513" s="0" t="s">
        <v>228</v>
      </c>
      <c r="H513" s="0" t="n">
        <v>1443650</v>
      </c>
      <c r="I513" s="0" t="n">
        <v>11</v>
      </c>
      <c r="J513" s="0" t="s">
        <v>2276</v>
      </c>
      <c r="K513" s="15" t="n">
        <v>254</v>
      </c>
      <c r="L513" s="0" t="s">
        <v>2277</v>
      </c>
    </row>
    <row r="514" customFormat="false" ht="15" hidden="false" customHeight="true" outlineLevel="0" collapsed="false">
      <c r="A514" s="0" t="n">
        <v>2</v>
      </c>
      <c r="B514" s="0" t="n">
        <v>1611346</v>
      </c>
      <c r="C514" s="0" t="s">
        <v>52</v>
      </c>
      <c r="D514" s="0" t="s">
        <v>2327</v>
      </c>
      <c r="E514" s="14" t="n">
        <v>46227</v>
      </c>
      <c r="F514" s="14" t="n">
        <v>46227</v>
      </c>
      <c r="G514" s="0" t="s">
        <v>50</v>
      </c>
      <c r="H514" s="0" t="n">
        <v>1443728</v>
      </c>
      <c r="I514" s="0" t="n">
        <v>11</v>
      </c>
      <c r="J514" s="0" t="s">
        <v>2276</v>
      </c>
      <c r="K514" s="15" t="n">
        <v>791.24</v>
      </c>
      <c r="L514" s="0" t="s">
        <v>2277</v>
      </c>
    </row>
    <row r="515" customFormat="false" ht="15" hidden="false" customHeight="true" outlineLevel="0" collapsed="false">
      <c r="A515" s="0" t="n">
        <v>2</v>
      </c>
      <c r="B515" s="0" t="n">
        <v>1652599</v>
      </c>
      <c r="C515" s="0" t="s">
        <v>2280</v>
      </c>
      <c r="D515" s="0" t="s">
        <v>2281</v>
      </c>
      <c r="E515" s="14" t="n">
        <v>46227</v>
      </c>
      <c r="F515" s="14" t="n">
        <v>46227</v>
      </c>
      <c r="G515" s="0" t="s">
        <v>406</v>
      </c>
      <c r="H515" s="0" t="n">
        <v>1444716</v>
      </c>
      <c r="I515" s="0" t="n">
        <v>11</v>
      </c>
      <c r="J515" s="0" t="s">
        <v>2276</v>
      </c>
      <c r="K515" s="15" t="n">
        <v>71.5</v>
      </c>
      <c r="L515" s="0" t="s">
        <v>2277</v>
      </c>
    </row>
    <row r="516" customFormat="false" ht="15" hidden="false" customHeight="true" outlineLevel="0" collapsed="false">
      <c r="A516" s="0" t="n">
        <v>2</v>
      </c>
      <c r="B516" s="0" t="n">
        <v>1698151</v>
      </c>
      <c r="C516" s="0" t="s">
        <v>52</v>
      </c>
      <c r="D516" s="0" t="s">
        <v>2287</v>
      </c>
      <c r="E516" s="14" t="n">
        <v>46227</v>
      </c>
      <c r="F516" s="14" t="n">
        <v>46226</v>
      </c>
      <c r="G516" s="0" t="s">
        <v>240</v>
      </c>
      <c r="H516" s="0" t="n">
        <v>1444838</v>
      </c>
      <c r="I516" s="0" t="n">
        <v>11</v>
      </c>
      <c r="J516" s="0" t="s">
        <v>2276</v>
      </c>
      <c r="K516" s="15" t="n">
        <v>1111.12</v>
      </c>
      <c r="L516" s="0" t="s">
        <v>2277</v>
      </c>
    </row>
    <row r="517" customFormat="false" ht="15" hidden="false" customHeight="true" outlineLevel="0" collapsed="false">
      <c r="A517" s="0" t="n">
        <v>2</v>
      </c>
      <c r="B517" s="0" t="n">
        <v>1698937</v>
      </c>
      <c r="C517" s="0" t="s">
        <v>52</v>
      </c>
      <c r="D517" s="0" t="s">
        <v>2287</v>
      </c>
      <c r="E517" s="14" t="n">
        <v>46227</v>
      </c>
      <c r="F517" s="14" t="n">
        <v>46226</v>
      </c>
      <c r="G517" s="0" t="s">
        <v>240</v>
      </c>
      <c r="H517" s="0" t="n">
        <v>1443660</v>
      </c>
      <c r="I517" s="0" t="n">
        <v>11</v>
      </c>
      <c r="J517" s="0" t="s">
        <v>2276</v>
      </c>
      <c r="K517" s="15" t="n">
        <v>590.09</v>
      </c>
      <c r="L517" s="0" t="s">
        <v>2277</v>
      </c>
    </row>
    <row r="518" customFormat="false" ht="15" hidden="false" customHeight="true" outlineLevel="0" collapsed="false">
      <c r="A518" s="0" t="n">
        <v>2</v>
      </c>
      <c r="B518" s="0" t="n">
        <v>21130</v>
      </c>
      <c r="C518" s="0" t="s">
        <v>52</v>
      </c>
      <c r="D518" s="0" t="s">
        <v>2304</v>
      </c>
      <c r="E518" s="14" t="n">
        <v>46227</v>
      </c>
      <c r="F518" s="14" t="n">
        <v>46227</v>
      </c>
      <c r="G518" s="0" t="s">
        <v>167</v>
      </c>
      <c r="H518" s="0" t="n">
        <v>1443802</v>
      </c>
      <c r="I518" s="0" t="n">
        <v>11</v>
      </c>
      <c r="J518" s="0" t="s">
        <v>2276</v>
      </c>
      <c r="K518" s="15" t="n">
        <v>581.65</v>
      </c>
      <c r="L518" s="0" t="s">
        <v>2277</v>
      </c>
    </row>
    <row r="519" customFormat="false" ht="15" hidden="false" customHeight="true" outlineLevel="0" collapsed="false">
      <c r="A519" s="0" t="n">
        <v>2</v>
      </c>
      <c r="B519" s="0" t="n">
        <v>2560</v>
      </c>
      <c r="C519" s="0" t="s">
        <v>52</v>
      </c>
      <c r="D519" s="0" t="s">
        <v>2288</v>
      </c>
      <c r="E519" s="14" t="n">
        <v>46227</v>
      </c>
      <c r="F519" s="14" t="n">
        <v>46227</v>
      </c>
      <c r="G519" s="0" t="s">
        <v>153</v>
      </c>
      <c r="H519" s="0" t="n">
        <v>1445080</v>
      </c>
      <c r="I519" s="0" t="n">
        <v>6</v>
      </c>
      <c r="J519" s="0" t="s">
        <v>2276</v>
      </c>
      <c r="K519" s="15" t="n">
        <v>1919.18</v>
      </c>
      <c r="L519" s="0" t="s">
        <v>2277</v>
      </c>
    </row>
    <row r="520" customFormat="false" ht="15" hidden="false" customHeight="true" outlineLevel="0" collapsed="false">
      <c r="A520" s="0" t="n">
        <v>2</v>
      </c>
      <c r="B520" s="0" t="n">
        <v>2561</v>
      </c>
      <c r="C520" s="0" t="s">
        <v>52</v>
      </c>
      <c r="D520" s="0" t="s">
        <v>2288</v>
      </c>
      <c r="E520" s="14" t="n">
        <v>46227</v>
      </c>
      <c r="F520" s="14" t="n">
        <v>46227</v>
      </c>
      <c r="G520" s="0" t="s">
        <v>153</v>
      </c>
      <c r="H520" s="0" t="n">
        <v>1445121</v>
      </c>
      <c r="I520" s="0" t="n">
        <v>6</v>
      </c>
      <c r="J520" s="0" t="s">
        <v>2276</v>
      </c>
      <c r="K520" s="15" t="n">
        <v>280</v>
      </c>
      <c r="L520" s="0" t="s">
        <v>2277</v>
      </c>
    </row>
    <row r="521" customFormat="false" ht="15" hidden="false" customHeight="true" outlineLevel="0" collapsed="false">
      <c r="A521" s="0" t="n">
        <v>2</v>
      </c>
      <c r="B521" s="0" t="n">
        <v>294640</v>
      </c>
      <c r="C521" s="0" t="s">
        <v>67</v>
      </c>
      <c r="D521" s="0" t="s">
        <v>2403</v>
      </c>
      <c r="E521" s="14" t="n">
        <v>46227</v>
      </c>
      <c r="F521" s="14" t="n">
        <v>46226</v>
      </c>
      <c r="G521" s="0" t="s">
        <v>1215</v>
      </c>
      <c r="H521" s="0" t="n">
        <v>1444921</v>
      </c>
      <c r="I521" s="0" t="n">
        <v>11</v>
      </c>
      <c r="J521" s="0" t="s">
        <v>2276</v>
      </c>
      <c r="K521" s="15" t="n">
        <v>2070</v>
      </c>
      <c r="L521" s="0" t="s">
        <v>2277</v>
      </c>
    </row>
    <row r="522" customFormat="false" ht="15" hidden="false" customHeight="true" outlineLevel="0" collapsed="false">
      <c r="A522" s="0" t="n">
        <v>2</v>
      </c>
      <c r="B522" s="0" t="n">
        <v>375</v>
      </c>
      <c r="C522" s="0" t="s">
        <v>52</v>
      </c>
      <c r="D522" s="0" t="s">
        <v>2311</v>
      </c>
      <c r="E522" s="14" t="n">
        <v>46227</v>
      </c>
      <c r="F522" s="14" t="n">
        <v>46227</v>
      </c>
      <c r="G522" s="0" t="s">
        <v>86</v>
      </c>
      <c r="H522" s="0" t="n">
        <v>1443784</v>
      </c>
      <c r="I522" s="0" t="n">
        <v>11</v>
      </c>
      <c r="J522" s="0" t="s">
        <v>2276</v>
      </c>
      <c r="K522" s="15" t="n">
        <v>270</v>
      </c>
      <c r="L522" s="0" t="s">
        <v>2277</v>
      </c>
    </row>
    <row r="523" customFormat="false" ht="15" hidden="false" customHeight="true" outlineLevel="0" collapsed="false">
      <c r="A523" s="0" t="n">
        <v>2</v>
      </c>
      <c r="B523" s="0" t="n">
        <v>568309</v>
      </c>
      <c r="C523" s="0" t="s">
        <v>2316</v>
      </c>
      <c r="D523" s="0" t="s">
        <v>2317</v>
      </c>
      <c r="E523" s="14" t="n">
        <v>46227</v>
      </c>
      <c r="F523" s="14" t="n">
        <v>46225</v>
      </c>
      <c r="G523" s="0" t="s">
        <v>266</v>
      </c>
      <c r="H523" s="0" t="n">
        <v>1443849</v>
      </c>
      <c r="I523" s="0" t="n">
        <v>11</v>
      </c>
      <c r="J523" s="0" t="s">
        <v>2276</v>
      </c>
      <c r="K523" s="15" t="n">
        <v>20148.15</v>
      </c>
      <c r="L523" s="0" t="s">
        <v>2277</v>
      </c>
    </row>
    <row r="524" customFormat="false" ht="15" hidden="false" customHeight="true" outlineLevel="0" collapsed="false">
      <c r="A524" s="0" t="n">
        <v>2</v>
      </c>
      <c r="B524" s="0" t="n">
        <v>7695</v>
      </c>
      <c r="C524" s="0" t="s">
        <v>52</v>
      </c>
      <c r="D524" s="0" t="s">
        <v>2394</v>
      </c>
      <c r="E524" s="14" t="n">
        <v>46227</v>
      </c>
      <c r="F524" s="14" t="n">
        <v>46226</v>
      </c>
      <c r="G524" s="0" t="s">
        <v>1090</v>
      </c>
      <c r="H524" s="0" t="n">
        <v>1443898</v>
      </c>
      <c r="I524" s="0" t="n">
        <v>39</v>
      </c>
      <c r="J524" s="0" t="s">
        <v>2276</v>
      </c>
      <c r="K524" s="15" t="n">
        <v>325</v>
      </c>
      <c r="L524" s="0" t="s">
        <v>2346</v>
      </c>
    </row>
    <row r="525" customFormat="false" ht="15" hidden="false" customHeight="true" outlineLevel="0" collapsed="false">
      <c r="A525" s="0" t="n">
        <v>2</v>
      </c>
      <c r="B525" s="0" t="n">
        <v>10760</v>
      </c>
      <c r="C525" s="0" t="s">
        <v>52</v>
      </c>
      <c r="D525" s="0" t="s">
        <v>2366</v>
      </c>
      <c r="E525" s="14" t="n">
        <v>46228</v>
      </c>
      <c r="F525" s="14" t="n">
        <v>46227</v>
      </c>
      <c r="G525" s="0" t="s">
        <v>212</v>
      </c>
      <c r="H525" s="0" t="n">
        <v>1448220</v>
      </c>
      <c r="I525" s="0" t="n">
        <v>11</v>
      </c>
      <c r="J525" s="0" t="s">
        <v>2276</v>
      </c>
      <c r="K525" s="15" t="n">
        <v>228</v>
      </c>
      <c r="L525" s="0" t="s">
        <v>2277</v>
      </c>
    </row>
    <row r="526" customFormat="false" ht="15" hidden="false" customHeight="true" outlineLevel="0" collapsed="false">
      <c r="A526" s="0" t="n">
        <v>2</v>
      </c>
      <c r="B526" s="0" t="n">
        <v>1842</v>
      </c>
      <c r="C526" s="0" t="s">
        <v>67</v>
      </c>
      <c r="D526" s="0" t="s">
        <v>2295</v>
      </c>
      <c r="E526" s="14" t="n">
        <v>46228</v>
      </c>
      <c r="F526" s="14" t="n">
        <v>46227</v>
      </c>
      <c r="G526" s="0" t="s">
        <v>128</v>
      </c>
      <c r="H526" s="0" t="n">
        <v>1448473</v>
      </c>
      <c r="I526" s="0" t="n">
        <v>11</v>
      </c>
      <c r="J526" s="0" t="s">
        <v>2276</v>
      </c>
      <c r="K526" s="15" t="n">
        <v>1481.04</v>
      </c>
      <c r="L526" s="0" t="s">
        <v>2277</v>
      </c>
    </row>
    <row r="527" customFormat="false" ht="15" hidden="false" customHeight="true" outlineLevel="0" collapsed="false">
      <c r="A527" s="0" t="n">
        <v>2</v>
      </c>
      <c r="B527" s="0" t="n">
        <v>2562</v>
      </c>
      <c r="C527" s="0" t="s">
        <v>52</v>
      </c>
      <c r="D527" s="0" t="s">
        <v>2288</v>
      </c>
      <c r="E527" s="14" t="n">
        <v>46228</v>
      </c>
      <c r="F527" s="14" t="n">
        <v>46228</v>
      </c>
      <c r="G527" s="0" t="s">
        <v>153</v>
      </c>
      <c r="H527" s="0" t="n">
        <v>1448190</v>
      </c>
      <c r="I527" s="0" t="n">
        <v>6</v>
      </c>
      <c r="J527" s="0" t="s">
        <v>2276</v>
      </c>
      <c r="K527" s="15" t="n">
        <v>200</v>
      </c>
      <c r="L527" s="0" t="s">
        <v>2277</v>
      </c>
    </row>
    <row r="528" customFormat="false" ht="15" hidden="false" customHeight="true" outlineLevel="0" collapsed="false">
      <c r="A528" s="0" t="n">
        <v>2</v>
      </c>
      <c r="B528" s="0" t="n">
        <v>544</v>
      </c>
      <c r="C528" s="0" t="s">
        <v>52</v>
      </c>
      <c r="D528" s="0" t="s">
        <v>2291</v>
      </c>
      <c r="E528" s="14" t="n">
        <v>46228</v>
      </c>
      <c r="F528" s="14" t="n">
        <v>46227</v>
      </c>
      <c r="G528" s="0" t="s">
        <v>123</v>
      </c>
      <c r="H528" s="0" t="n">
        <v>1448211</v>
      </c>
      <c r="I528" s="0" t="n">
        <v>11</v>
      </c>
      <c r="J528" s="0" t="s">
        <v>2276</v>
      </c>
      <c r="K528" s="15" t="n">
        <v>168</v>
      </c>
      <c r="L528" s="0" t="s">
        <v>2277</v>
      </c>
    </row>
    <row r="529" customFormat="false" ht="15" hidden="false" customHeight="true" outlineLevel="0" collapsed="false">
      <c r="A529" s="0" t="n">
        <v>2</v>
      </c>
      <c r="B529" s="0" t="n">
        <v>731</v>
      </c>
      <c r="C529" s="0" t="s">
        <v>44</v>
      </c>
      <c r="D529" s="0" t="s">
        <v>2283</v>
      </c>
      <c r="E529" s="14" t="n">
        <v>46228</v>
      </c>
      <c r="F529" s="14" t="n">
        <v>46227</v>
      </c>
      <c r="G529" s="0" t="s">
        <v>204</v>
      </c>
      <c r="H529" s="0" t="n">
        <v>1448465</v>
      </c>
      <c r="I529" s="0" t="n">
        <v>11</v>
      </c>
      <c r="J529" s="0" t="s">
        <v>2276</v>
      </c>
      <c r="K529" s="15" t="n">
        <v>239.7</v>
      </c>
      <c r="L529" s="0" t="s">
        <v>2277</v>
      </c>
    </row>
    <row r="530" customFormat="false" ht="15" hidden="false" customHeight="true" outlineLevel="0" collapsed="false">
      <c r="A530" s="0" t="n">
        <v>2</v>
      </c>
      <c r="B530" s="0" t="n">
        <v>1221623</v>
      </c>
      <c r="C530" s="0" t="s">
        <v>80</v>
      </c>
      <c r="D530" s="0" t="s">
        <v>2275</v>
      </c>
      <c r="E530" s="14" t="n">
        <v>46230</v>
      </c>
      <c r="F530" s="14" t="n">
        <v>46227</v>
      </c>
      <c r="G530" s="0" t="s">
        <v>130</v>
      </c>
      <c r="H530" s="0" t="n">
        <v>1459403</v>
      </c>
      <c r="I530" s="0" t="n">
        <v>11</v>
      </c>
      <c r="J530" s="0" t="s">
        <v>2276</v>
      </c>
      <c r="K530" s="15" t="n">
        <v>655.24</v>
      </c>
      <c r="L530" s="0" t="s">
        <v>2277</v>
      </c>
    </row>
    <row r="531" customFormat="false" ht="15" hidden="false" customHeight="true" outlineLevel="0" collapsed="false">
      <c r="A531" s="0" t="n">
        <v>2</v>
      </c>
      <c r="B531" s="0" t="n">
        <v>14816</v>
      </c>
      <c r="C531" s="0" t="s">
        <v>52</v>
      </c>
      <c r="D531" s="0" t="s">
        <v>2278</v>
      </c>
      <c r="E531" s="14" t="n">
        <v>46230</v>
      </c>
      <c r="F531" s="14" t="n">
        <v>46228</v>
      </c>
      <c r="G531" s="0" t="s">
        <v>270</v>
      </c>
      <c r="H531" s="0" t="n">
        <v>1459647</v>
      </c>
      <c r="I531" s="0" t="n">
        <v>11</v>
      </c>
      <c r="J531" s="0" t="s">
        <v>2276</v>
      </c>
      <c r="K531" s="15" t="n">
        <v>4958.1</v>
      </c>
      <c r="L531" s="0" t="s">
        <v>2277</v>
      </c>
    </row>
    <row r="532" customFormat="false" ht="15" hidden="false" customHeight="true" outlineLevel="0" collapsed="false">
      <c r="A532" s="0" t="n">
        <v>2</v>
      </c>
      <c r="B532" s="0" t="n">
        <v>15180</v>
      </c>
      <c r="C532" s="0" t="s">
        <v>52</v>
      </c>
      <c r="D532" s="0" t="s">
        <v>2279</v>
      </c>
      <c r="E532" s="14" t="n">
        <v>46230</v>
      </c>
      <c r="F532" s="14" t="n">
        <v>46230</v>
      </c>
      <c r="G532" s="0" t="s">
        <v>299</v>
      </c>
      <c r="H532" s="0" t="n">
        <v>1459253</v>
      </c>
      <c r="I532" s="0" t="n">
        <v>11</v>
      </c>
      <c r="J532" s="0" t="s">
        <v>2276</v>
      </c>
      <c r="K532" s="15" t="n">
        <v>272.52</v>
      </c>
      <c r="L532" s="0" t="s">
        <v>2277</v>
      </c>
    </row>
    <row r="533" customFormat="false" ht="15" hidden="false" customHeight="true" outlineLevel="0" collapsed="false">
      <c r="A533" s="0" t="n">
        <v>2</v>
      </c>
      <c r="B533" s="0" t="n">
        <v>1653050</v>
      </c>
      <c r="C533" s="0" t="s">
        <v>2280</v>
      </c>
      <c r="D533" s="0" t="s">
        <v>2281</v>
      </c>
      <c r="E533" s="14" t="n">
        <v>46230</v>
      </c>
      <c r="F533" s="14" t="n">
        <v>46228</v>
      </c>
      <c r="G533" s="0" t="s">
        <v>406</v>
      </c>
      <c r="H533" s="0" t="n">
        <v>1458280</v>
      </c>
      <c r="I533" s="0" t="n">
        <v>11</v>
      </c>
      <c r="J533" s="0" t="s">
        <v>2276</v>
      </c>
      <c r="K533" s="15" t="n">
        <v>158</v>
      </c>
      <c r="L533" s="0" t="s">
        <v>2277</v>
      </c>
    </row>
    <row r="534" customFormat="false" ht="15" hidden="false" customHeight="true" outlineLevel="0" collapsed="false">
      <c r="A534" s="0" t="n">
        <v>2</v>
      </c>
      <c r="B534" s="0" t="n">
        <v>1955856</v>
      </c>
      <c r="C534" s="0" t="s">
        <v>36</v>
      </c>
      <c r="D534" s="0" t="s">
        <v>2275</v>
      </c>
      <c r="E534" s="14" t="n">
        <v>46230</v>
      </c>
      <c r="F534" s="14" t="n">
        <v>46227</v>
      </c>
      <c r="G534" s="0" t="s">
        <v>130</v>
      </c>
      <c r="H534" s="0" t="n">
        <v>1459398</v>
      </c>
      <c r="I534" s="0" t="n">
        <v>11</v>
      </c>
      <c r="J534" s="0" t="s">
        <v>2276</v>
      </c>
      <c r="K534" s="15" t="n">
        <v>868.27</v>
      </c>
      <c r="L534" s="0" t="s">
        <v>2277</v>
      </c>
    </row>
    <row r="535" customFormat="false" ht="15" hidden="false" customHeight="true" outlineLevel="0" collapsed="false">
      <c r="A535" s="0" t="n">
        <v>2</v>
      </c>
      <c r="B535" s="0" t="n">
        <v>2563</v>
      </c>
      <c r="C535" s="0" t="s">
        <v>52</v>
      </c>
      <c r="D535" s="0" t="s">
        <v>2288</v>
      </c>
      <c r="E535" s="14" t="n">
        <v>46230</v>
      </c>
      <c r="F535" s="14" t="n">
        <v>46230</v>
      </c>
      <c r="G535" s="0" t="s">
        <v>153</v>
      </c>
      <c r="H535" s="0" t="n">
        <v>1459242</v>
      </c>
      <c r="I535" s="0" t="n">
        <v>6</v>
      </c>
      <c r="J535" s="0" t="s">
        <v>2276</v>
      </c>
      <c r="K535" s="15" t="n">
        <v>210</v>
      </c>
      <c r="L535" s="0" t="s">
        <v>2277</v>
      </c>
    </row>
    <row r="536" customFormat="false" ht="15" hidden="false" customHeight="true" outlineLevel="0" collapsed="false">
      <c r="A536" s="0" t="n">
        <v>2</v>
      </c>
      <c r="B536" s="0" t="n">
        <v>32052</v>
      </c>
      <c r="C536" s="0" t="s">
        <v>52</v>
      </c>
      <c r="D536" s="0" t="s">
        <v>2296</v>
      </c>
      <c r="E536" s="14" t="n">
        <v>46230</v>
      </c>
      <c r="F536" s="14" t="n">
        <v>46228</v>
      </c>
      <c r="G536" s="0" t="s">
        <v>162</v>
      </c>
      <c r="H536" s="0" t="n">
        <v>1458277</v>
      </c>
      <c r="I536" s="0" t="n">
        <v>11</v>
      </c>
      <c r="J536" s="0" t="s">
        <v>2276</v>
      </c>
      <c r="K536" s="15" t="n">
        <v>528</v>
      </c>
      <c r="L536" s="0" t="s">
        <v>2277</v>
      </c>
    </row>
    <row r="537" customFormat="false" ht="15" hidden="false" customHeight="true" outlineLevel="0" collapsed="false">
      <c r="A537" s="0" t="n">
        <v>2</v>
      </c>
      <c r="B537" s="0" t="n">
        <v>345</v>
      </c>
      <c r="C537" s="0" t="s">
        <v>52</v>
      </c>
      <c r="D537" s="0" t="s">
        <v>2289</v>
      </c>
      <c r="E537" s="14" t="n">
        <v>46230</v>
      </c>
      <c r="F537" s="14" t="n">
        <v>46228</v>
      </c>
      <c r="G537" s="0" t="s">
        <v>216</v>
      </c>
      <c r="H537" s="0" t="n">
        <v>1458288</v>
      </c>
      <c r="I537" s="0" t="n">
        <v>11</v>
      </c>
      <c r="J537" s="0" t="s">
        <v>2276</v>
      </c>
      <c r="K537" s="15" t="n">
        <v>950</v>
      </c>
      <c r="L537" s="0" t="s">
        <v>2277</v>
      </c>
    </row>
    <row r="538" customFormat="false" ht="15" hidden="false" customHeight="true" outlineLevel="0" collapsed="false">
      <c r="A538" s="0" t="n">
        <v>2</v>
      </c>
      <c r="B538" s="0" t="n">
        <v>3618</v>
      </c>
      <c r="C538" s="0" t="s">
        <v>52</v>
      </c>
      <c r="D538" s="0" t="s">
        <v>2299</v>
      </c>
      <c r="E538" s="14" t="n">
        <v>46230</v>
      </c>
      <c r="F538" s="14" t="n">
        <v>46230</v>
      </c>
      <c r="G538" s="0" t="s">
        <v>174</v>
      </c>
      <c r="H538" s="0" t="n">
        <v>1459556</v>
      </c>
      <c r="I538" s="0" t="n">
        <v>11</v>
      </c>
      <c r="J538" s="0" t="s">
        <v>2276</v>
      </c>
      <c r="K538" s="15" t="n">
        <v>125</v>
      </c>
      <c r="L538" s="0" t="s">
        <v>2277</v>
      </c>
    </row>
    <row r="539" customFormat="false" ht="15" hidden="false" customHeight="true" outlineLevel="0" collapsed="false">
      <c r="A539" s="0" t="n">
        <v>2</v>
      </c>
      <c r="B539" s="0" t="n">
        <v>749</v>
      </c>
      <c r="C539" s="0" t="s">
        <v>52</v>
      </c>
      <c r="D539" s="0" t="s">
        <v>2404</v>
      </c>
      <c r="E539" s="14" t="n">
        <v>46230</v>
      </c>
      <c r="F539" s="14" t="n">
        <v>46229</v>
      </c>
      <c r="G539" s="0" t="s">
        <v>1143</v>
      </c>
      <c r="H539" s="0" t="n">
        <v>1458366</v>
      </c>
      <c r="I539" s="0" t="n">
        <v>11</v>
      </c>
      <c r="J539" s="0" t="s">
        <v>2276</v>
      </c>
      <c r="K539" s="15" t="n">
        <v>778</v>
      </c>
      <c r="L539" s="0" t="s">
        <v>2277</v>
      </c>
    </row>
    <row r="540" customFormat="false" ht="15" hidden="false" customHeight="true" outlineLevel="0" collapsed="false">
      <c r="A540" s="0" t="n">
        <v>2</v>
      </c>
      <c r="B540" s="0" t="n">
        <v>81</v>
      </c>
      <c r="C540" s="0" t="s">
        <v>52</v>
      </c>
      <c r="D540" s="0" t="s">
        <v>2399</v>
      </c>
      <c r="E540" s="14" t="n">
        <v>46230</v>
      </c>
      <c r="F540" s="14" t="n">
        <v>46228</v>
      </c>
      <c r="G540" s="0" t="s">
        <v>622</v>
      </c>
      <c r="H540" s="0" t="n">
        <v>1459315</v>
      </c>
      <c r="I540" s="0" t="n">
        <v>11</v>
      </c>
      <c r="J540" s="0" t="s">
        <v>2276</v>
      </c>
      <c r="K540" s="15" t="n">
        <v>140</v>
      </c>
      <c r="L540" s="0" t="s">
        <v>2277</v>
      </c>
    </row>
    <row r="541" customFormat="false" ht="15" hidden="false" customHeight="true" outlineLevel="0" collapsed="false">
      <c r="A541" s="0" t="n">
        <v>2</v>
      </c>
      <c r="B541" s="0" t="n">
        <v>924535</v>
      </c>
      <c r="C541" s="0" t="s">
        <v>2340</v>
      </c>
      <c r="D541" s="0" t="s">
        <v>2341</v>
      </c>
      <c r="E541" s="14" t="n">
        <v>46230</v>
      </c>
      <c r="F541" s="14" t="n">
        <v>46228</v>
      </c>
      <c r="G541" s="0" t="s">
        <v>232</v>
      </c>
      <c r="H541" s="0" t="n">
        <v>1459299</v>
      </c>
      <c r="I541" s="0" t="n">
        <v>11</v>
      </c>
      <c r="J541" s="0" t="s">
        <v>2276</v>
      </c>
      <c r="K541" s="15" t="n">
        <v>304.43</v>
      </c>
      <c r="L541" s="0" t="s">
        <v>2277</v>
      </c>
    </row>
    <row r="542" customFormat="false" ht="15" hidden="false" customHeight="true" outlineLevel="0" collapsed="false">
      <c r="A542" s="0" t="n">
        <v>2</v>
      </c>
      <c r="B542" s="0" t="n">
        <v>1033945</v>
      </c>
      <c r="C542" s="0" t="s">
        <v>52</v>
      </c>
      <c r="D542" s="0" t="s">
        <v>2286</v>
      </c>
      <c r="E542" s="14" t="n">
        <v>46231</v>
      </c>
      <c r="F542" s="14" t="n">
        <v>46230</v>
      </c>
      <c r="G542" s="0" t="s">
        <v>228</v>
      </c>
      <c r="H542" s="0" t="n">
        <v>1464435</v>
      </c>
      <c r="I542" s="0" t="n">
        <v>11</v>
      </c>
      <c r="J542" s="0" t="s">
        <v>2276</v>
      </c>
      <c r="K542" s="15" t="n">
        <v>355.62</v>
      </c>
      <c r="L542" s="0" t="s">
        <v>2277</v>
      </c>
    </row>
    <row r="543" customFormat="false" ht="15" hidden="false" customHeight="true" outlineLevel="0" collapsed="false">
      <c r="A543" s="0" t="n">
        <v>2</v>
      </c>
      <c r="B543" s="0" t="n">
        <v>1653511</v>
      </c>
      <c r="C543" s="0" t="s">
        <v>2280</v>
      </c>
      <c r="D543" s="0" t="s">
        <v>2281</v>
      </c>
      <c r="E543" s="14" t="n">
        <v>46231</v>
      </c>
      <c r="F543" s="14" t="n">
        <v>46230</v>
      </c>
      <c r="G543" s="0" t="s">
        <v>406</v>
      </c>
      <c r="H543" s="0" t="n">
        <v>1464416</v>
      </c>
      <c r="I543" s="0" t="n">
        <v>11</v>
      </c>
      <c r="J543" s="0" t="s">
        <v>2276</v>
      </c>
      <c r="K543" s="15" t="n">
        <v>54</v>
      </c>
      <c r="L543" s="0" t="s">
        <v>2277</v>
      </c>
    </row>
    <row r="544" customFormat="false" ht="15" hidden="false" customHeight="true" outlineLevel="0" collapsed="false">
      <c r="A544" s="0" t="n">
        <v>2</v>
      </c>
      <c r="B544" s="0" t="n">
        <v>173885</v>
      </c>
      <c r="C544" s="0" t="s">
        <v>52</v>
      </c>
      <c r="D544" s="0" t="s">
        <v>2293</v>
      </c>
      <c r="E544" s="14" t="n">
        <v>46231</v>
      </c>
      <c r="F544" s="14" t="n">
        <v>46231</v>
      </c>
      <c r="G544" s="0" t="s">
        <v>371</v>
      </c>
      <c r="H544" s="0" t="n">
        <v>1464568</v>
      </c>
      <c r="I544" s="0" t="n">
        <v>11</v>
      </c>
      <c r="J544" s="0" t="s">
        <v>2276</v>
      </c>
      <c r="K544" s="15" t="n">
        <v>1262.8</v>
      </c>
      <c r="L544" s="0" t="s">
        <v>2277</v>
      </c>
    </row>
    <row r="545" customFormat="false" ht="15" hidden="false" customHeight="true" outlineLevel="0" collapsed="false">
      <c r="A545" s="0" t="n">
        <v>2</v>
      </c>
      <c r="B545" s="0" t="n">
        <v>2568</v>
      </c>
      <c r="C545" s="0" t="s">
        <v>52</v>
      </c>
      <c r="D545" s="0" t="s">
        <v>2288</v>
      </c>
      <c r="E545" s="14" t="n">
        <v>46231</v>
      </c>
      <c r="F545" s="14" t="n">
        <v>46231</v>
      </c>
      <c r="G545" s="0" t="s">
        <v>153</v>
      </c>
      <c r="H545" s="0" t="n">
        <v>1465066</v>
      </c>
      <c r="I545" s="0" t="n">
        <v>6</v>
      </c>
      <c r="J545" s="0" t="s">
        <v>2276</v>
      </c>
      <c r="K545" s="15" t="n">
        <v>1389.41</v>
      </c>
      <c r="L545" s="0" t="s">
        <v>2277</v>
      </c>
    </row>
    <row r="546" customFormat="false" ht="15" hidden="false" customHeight="true" outlineLevel="0" collapsed="false">
      <c r="A546" s="0" t="n">
        <v>2</v>
      </c>
      <c r="B546" s="0" t="n">
        <v>3718</v>
      </c>
      <c r="C546" s="0" t="s">
        <v>52</v>
      </c>
      <c r="D546" s="0" t="s">
        <v>2282</v>
      </c>
      <c r="E546" s="14" t="n">
        <v>46231</v>
      </c>
      <c r="F546" s="14" t="n">
        <v>46230</v>
      </c>
      <c r="G546" s="0" t="s">
        <v>209</v>
      </c>
      <c r="H546" s="0" t="n">
        <v>1464429</v>
      </c>
      <c r="I546" s="0" t="n">
        <v>11</v>
      </c>
      <c r="J546" s="0" t="s">
        <v>2276</v>
      </c>
      <c r="K546" s="15" t="n">
        <v>505.5</v>
      </c>
      <c r="L546" s="0" t="s">
        <v>2277</v>
      </c>
    </row>
    <row r="547" customFormat="false" ht="15" hidden="false" customHeight="true" outlineLevel="0" collapsed="false">
      <c r="A547" s="0" t="n">
        <v>2</v>
      </c>
      <c r="B547" s="0" t="n">
        <v>4207</v>
      </c>
      <c r="C547" s="0" t="s">
        <v>52</v>
      </c>
      <c r="D547" s="0" t="s">
        <v>2290</v>
      </c>
      <c r="E547" s="14" t="n">
        <v>46231</v>
      </c>
      <c r="F547" s="14" t="n">
        <v>46230</v>
      </c>
      <c r="G547" s="0" t="s">
        <v>95</v>
      </c>
      <c r="H547" s="0" t="n">
        <v>1464442</v>
      </c>
      <c r="I547" s="0" t="n">
        <v>11</v>
      </c>
      <c r="J547" s="0" t="s">
        <v>2276</v>
      </c>
      <c r="K547" s="15" t="n">
        <v>244</v>
      </c>
      <c r="L547" s="0" t="s">
        <v>2277</v>
      </c>
    </row>
    <row r="548" customFormat="false" ht="15" hidden="false" customHeight="true" outlineLevel="0" collapsed="false">
      <c r="A548" s="0" t="n">
        <v>2</v>
      </c>
      <c r="B548" s="0" t="n">
        <v>1295</v>
      </c>
      <c r="C548" s="0" t="s">
        <v>52</v>
      </c>
      <c r="D548" s="0" t="s">
        <v>2405</v>
      </c>
      <c r="E548" s="14" t="n">
        <v>46232</v>
      </c>
      <c r="F548" s="14" t="n">
        <v>46231</v>
      </c>
      <c r="G548" s="0" t="s">
        <v>1081</v>
      </c>
      <c r="H548" s="0" t="n">
        <v>1468983</v>
      </c>
      <c r="I548" s="0" t="n">
        <v>11</v>
      </c>
      <c r="J548" s="0" t="s">
        <v>2276</v>
      </c>
      <c r="K548" s="15" t="n">
        <v>139</v>
      </c>
      <c r="L548" s="0" t="s">
        <v>2277</v>
      </c>
    </row>
    <row r="549" customFormat="false" ht="15" hidden="false" customHeight="true" outlineLevel="0" collapsed="false">
      <c r="A549" s="0" t="n">
        <v>2</v>
      </c>
      <c r="B549" s="0" t="n">
        <v>1654882</v>
      </c>
      <c r="C549" s="0" t="s">
        <v>2280</v>
      </c>
      <c r="D549" s="0" t="s">
        <v>2281</v>
      </c>
      <c r="E549" s="14" t="n">
        <v>46232</v>
      </c>
      <c r="F549" s="14" t="n">
        <v>46232</v>
      </c>
      <c r="G549" s="0" t="s">
        <v>406</v>
      </c>
      <c r="H549" s="0" t="n">
        <v>1469138</v>
      </c>
      <c r="I549" s="0" t="n">
        <v>11</v>
      </c>
      <c r="J549" s="0" t="s">
        <v>2276</v>
      </c>
      <c r="K549" s="15" t="n">
        <v>129.5</v>
      </c>
      <c r="L549" s="0" t="s">
        <v>2277</v>
      </c>
    </row>
    <row r="550" customFormat="false" ht="15" hidden="false" customHeight="true" outlineLevel="0" collapsed="false">
      <c r="A550" s="0" t="n">
        <v>2</v>
      </c>
      <c r="B550" s="0" t="n">
        <v>2078</v>
      </c>
      <c r="C550" s="0" t="s">
        <v>67</v>
      </c>
      <c r="D550" s="0" t="s">
        <v>2295</v>
      </c>
      <c r="E550" s="14" t="n">
        <v>46232</v>
      </c>
      <c r="F550" s="14" t="n">
        <v>46231</v>
      </c>
      <c r="G550" s="0" t="s">
        <v>128</v>
      </c>
      <c r="H550" s="0" t="n">
        <v>1469131</v>
      </c>
      <c r="I550" s="0" t="n">
        <v>11</v>
      </c>
      <c r="J550" s="0" t="s">
        <v>2276</v>
      </c>
      <c r="K550" s="15" t="n">
        <v>926.71</v>
      </c>
      <c r="L550" s="0" t="s">
        <v>2277</v>
      </c>
    </row>
    <row r="551" customFormat="false" ht="15" hidden="false" customHeight="true" outlineLevel="0" collapsed="false">
      <c r="A551" s="0" t="n">
        <v>2</v>
      </c>
      <c r="B551" s="0" t="n">
        <v>253576</v>
      </c>
      <c r="C551" s="0" t="s">
        <v>52</v>
      </c>
      <c r="D551" s="0" t="s">
        <v>2406</v>
      </c>
      <c r="E551" s="14" t="n">
        <v>46232</v>
      </c>
      <c r="F551" s="14" t="n">
        <v>46231</v>
      </c>
      <c r="G551" s="0" t="s">
        <v>1206</v>
      </c>
      <c r="H551" s="0" t="n">
        <v>1468972</v>
      </c>
      <c r="I551" s="0" t="n">
        <v>11</v>
      </c>
      <c r="J551" s="0" t="s">
        <v>2276</v>
      </c>
      <c r="K551" s="15" t="n">
        <v>306.18</v>
      </c>
      <c r="L551" s="0" t="s">
        <v>2277</v>
      </c>
    </row>
    <row r="552" customFormat="false" ht="15" hidden="false" customHeight="true" outlineLevel="0" collapsed="false">
      <c r="A552" s="0" t="n">
        <v>2</v>
      </c>
      <c r="B552" s="0" t="n">
        <v>1253268</v>
      </c>
      <c r="C552" s="0" t="s">
        <v>52</v>
      </c>
      <c r="D552" s="0" t="s">
        <v>2320</v>
      </c>
      <c r="E552" s="14" t="n">
        <v>46233</v>
      </c>
      <c r="F552" s="14" t="n">
        <v>46233</v>
      </c>
      <c r="G552" s="0" t="s">
        <v>468</v>
      </c>
      <c r="H552" s="0" t="n">
        <v>1473201</v>
      </c>
      <c r="I552" s="0" t="n">
        <v>11</v>
      </c>
      <c r="J552" s="0" t="s">
        <v>2276</v>
      </c>
      <c r="K552" s="15" t="n">
        <v>459.25</v>
      </c>
      <c r="L552" s="0" t="s">
        <v>2277</v>
      </c>
    </row>
    <row r="553" customFormat="false" ht="15" hidden="false" customHeight="true" outlineLevel="0" collapsed="false">
      <c r="A553" s="0" t="n">
        <v>2</v>
      </c>
      <c r="B553" s="0" t="n">
        <v>14864</v>
      </c>
      <c r="C553" s="0" t="s">
        <v>52</v>
      </c>
      <c r="D553" s="0" t="s">
        <v>2278</v>
      </c>
      <c r="E553" s="14" t="n">
        <v>46233</v>
      </c>
      <c r="F553" s="14" t="n">
        <v>46232</v>
      </c>
      <c r="G553" s="0" t="s">
        <v>270</v>
      </c>
      <c r="H553" s="0" t="n">
        <v>1472744</v>
      </c>
      <c r="I553" s="0" t="n">
        <v>11</v>
      </c>
      <c r="J553" s="0" t="s">
        <v>2276</v>
      </c>
      <c r="K553" s="15" t="n">
        <v>3840</v>
      </c>
      <c r="L553" s="0" t="s">
        <v>2277</v>
      </c>
    </row>
    <row r="554" customFormat="false" ht="15" hidden="false" customHeight="true" outlineLevel="0" collapsed="false">
      <c r="A554" s="0" t="n">
        <v>2</v>
      </c>
      <c r="B554" s="0" t="n">
        <v>197070</v>
      </c>
      <c r="C554" s="0" t="s">
        <v>52</v>
      </c>
      <c r="D554" s="0" t="s">
        <v>2297</v>
      </c>
      <c r="E554" s="14" t="n">
        <v>46233</v>
      </c>
      <c r="F554" s="14" t="n">
        <v>46233</v>
      </c>
      <c r="G554" s="0" t="s">
        <v>197</v>
      </c>
      <c r="H554" s="0" t="n">
        <v>1472934</v>
      </c>
      <c r="I554" s="0" t="n">
        <v>11</v>
      </c>
      <c r="J554" s="0" t="s">
        <v>2276</v>
      </c>
      <c r="K554" s="15" t="n">
        <v>830.88</v>
      </c>
      <c r="L554" s="0" t="s">
        <v>2277</v>
      </c>
    </row>
    <row r="555" customFormat="false" ht="15" hidden="false" customHeight="true" outlineLevel="0" collapsed="false">
      <c r="A555" s="0" t="n">
        <v>2</v>
      </c>
      <c r="B555" s="0" t="n">
        <v>256582</v>
      </c>
      <c r="C555" s="0" t="s">
        <v>52</v>
      </c>
      <c r="D555" s="0" t="s">
        <v>2323</v>
      </c>
      <c r="E555" s="14" t="n">
        <v>46233</v>
      </c>
      <c r="F555" s="14" t="n">
        <v>46232</v>
      </c>
      <c r="G555" s="0" t="s">
        <v>566</v>
      </c>
      <c r="H555" s="0" t="n">
        <v>1473497</v>
      </c>
      <c r="I555" s="0" t="n">
        <v>11</v>
      </c>
      <c r="J555" s="0" t="s">
        <v>2276</v>
      </c>
      <c r="K555" s="15" t="n">
        <v>894.16</v>
      </c>
      <c r="L555" s="0" t="s">
        <v>2277</v>
      </c>
    </row>
    <row r="556" customFormat="false" ht="15" hidden="false" customHeight="true" outlineLevel="0" collapsed="false">
      <c r="A556" s="0" t="n">
        <v>2</v>
      </c>
      <c r="B556" s="0" t="n">
        <v>2571</v>
      </c>
      <c r="C556" s="0" t="s">
        <v>52</v>
      </c>
      <c r="D556" s="0" t="s">
        <v>2288</v>
      </c>
      <c r="E556" s="14" t="n">
        <v>46233</v>
      </c>
      <c r="F556" s="14" t="n">
        <v>46233</v>
      </c>
      <c r="G556" s="0" t="s">
        <v>153</v>
      </c>
      <c r="H556" s="0" t="n">
        <v>1473455</v>
      </c>
      <c r="I556" s="0" t="n">
        <v>6</v>
      </c>
      <c r="J556" s="0" t="s">
        <v>2276</v>
      </c>
      <c r="K556" s="15" t="n">
        <v>196</v>
      </c>
      <c r="L556" s="0" t="s">
        <v>2277</v>
      </c>
    </row>
    <row r="557" customFormat="false" ht="15" hidden="false" customHeight="true" outlineLevel="0" collapsed="false">
      <c r="A557" s="0" t="n">
        <v>2</v>
      </c>
      <c r="B557" s="0" t="n">
        <v>2572</v>
      </c>
      <c r="C557" s="0" t="s">
        <v>52</v>
      </c>
      <c r="D557" s="0" t="s">
        <v>2288</v>
      </c>
      <c r="E557" s="14" t="n">
        <v>46233</v>
      </c>
      <c r="F557" s="14" t="n">
        <v>46233</v>
      </c>
      <c r="G557" s="0" t="s">
        <v>153</v>
      </c>
      <c r="H557" s="0" t="n">
        <v>1473466</v>
      </c>
      <c r="I557" s="0" t="n">
        <v>6</v>
      </c>
      <c r="J557" s="0" t="s">
        <v>2276</v>
      </c>
      <c r="K557" s="15" t="n">
        <v>210</v>
      </c>
      <c r="L557" s="0" t="s">
        <v>2277</v>
      </c>
    </row>
    <row r="558" customFormat="false" ht="15" hidden="false" customHeight="true" outlineLevel="0" collapsed="false">
      <c r="A558" s="0" t="n">
        <v>2</v>
      </c>
      <c r="B558" s="0" t="n">
        <v>351</v>
      </c>
      <c r="C558" s="0" t="s">
        <v>52</v>
      </c>
      <c r="D558" s="0" t="s">
        <v>2289</v>
      </c>
      <c r="E558" s="14" t="n">
        <v>46233</v>
      </c>
      <c r="F558" s="14" t="n">
        <v>46232</v>
      </c>
      <c r="G558" s="0" t="s">
        <v>216</v>
      </c>
      <c r="H558" s="0" t="n">
        <v>1473968</v>
      </c>
      <c r="I558" s="0" t="n">
        <v>11</v>
      </c>
      <c r="J558" s="0" t="s">
        <v>2276</v>
      </c>
      <c r="K558" s="15" t="n">
        <v>733.78</v>
      </c>
      <c r="L558" s="0" t="s">
        <v>2277</v>
      </c>
    </row>
    <row r="559" customFormat="false" ht="15" hidden="false" customHeight="true" outlineLevel="0" collapsed="false">
      <c r="A559" s="0" t="n">
        <v>2</v>
      </c>
      <c r="B559" s="0" t="n">
        <v>523</v>
      </c>
      <c r="C559" s="0" t="s">
        <v>52</v>
      </c>
      <c r="D559" s="0" t="s">
        <v>2315</v>
      </c>
      <c r="E559" s="14" t="n">
        <v>46233</v>
      </c>
      <c r="F559" s="14" t="n">
        <v>46233</v>
      </c>
      <c r="G559" s="0" t="s">
        <v>340</v>
      </c>
      <c r="H559" s="0" t="n">
        <v>1473869</v>
      </c>
      <c r="I559" s="0" t="n">
        <v>11</v>
      </c>
      <c r="J559" s="0" t="s">
        <v>2276</v>
      </c>
      <c r="K559" s="15" t="n">
        <v>160.32</v>
      </c>
      <c r="L559" s="0" t="s">
        <v>2277</v>
      </c>
    </row>
    <row r="560" customFormat="false" ht="15" hidden="false" customHeight="true" outlineLevel="0" collapsed="false">
      <c r="A560" s="0" t="n">
        <v>2</v>
      </c>
      <c r="B560" s="0" t="n">
        <v>562</v>
      </c>
      <c r="C560" s="0" t="s">
        <v>52</v>
      </c>
      <c r="D560" s="0" t="s">
        <v>2291</v>
      </c>
      <c r="E560" s="14" t="n">
        <v>46233</v>
      </c>
      <c r="F560" s="14" t="n">
        <v>46232</v>
      </c>
      <c r="G560" s="0" t="s">
        <v>123</v>
      </c>
      <c r="H560" s="0" t="n">
        <v>1472573</v>
      </c>
      <c r="I560" s="0" t="n">
        <v>11</v>
      </c>
      <c r="J560" s="0" t="s">
        <v>2276</v>
      </c>
      <c r="K560" s="15" t="n">
        <v>180</v>
      </c>
      <c r="L560" s="0" t="s">
        <v>2277</v>
      </c>
    </row>
    <row r="561" customFormat="false" ht="15" hidden="false" customHeight="true" outlineLevel="0" collapsed="false">
      <c r="A561" s="0" t="n">
        <v>2</v>
      </c>
      <c r="B561" s="0" t="n">
        <v>5889</v>
      </c>
      <c r="C561" s="0" t="s">
        <v>52</v>
      </c>
      <c r="D561" s="0" t="s">
        <v>2302</v>
      </c>
      <c r="E561" s="14" t="n">
        <v>46233</v>
      </c>
      <c r="F561" s="14" t="n">
        <v>46233</v>
      </c>
      <c r="G561" s="0" t="s">
        <v>84</v>
      </c>
      <c r="H561" s="0" t="n">
        <v>1472907</v>
      </c>
      <c r="I561" s="0" t="n">
        <v>11</v>
      </c>
      <c r="J561" s="0" t="s">
        <v>2276</v>
      </c>
      <c r="K561" s="15" t="n">
        <v>524.65</v>
      </c>
      <c r="L561" s="0" t="s">
        <v>2277</v>
      </c>
    </row>
    <row r="562" customFormat="false" ht="15" hidden="false" customHeight="true" outlineLevel="0" collapsed="false">
      <c r="A562" s="0" t="n">
        <v>2</v>
      </c>
      <c r="B562" s="0" t="n">
        <v>737</v>
      </c>
      <c r="C562" s="0" t="s">
        <v>44</v>
      </c>
      <c r="D562" s="0" t="s">
        <v>2283</v>
      </c>
      <c r="E562" s="14" t="n">
        <v>46233</v>
      </c>
      <c r="F562" s="14" t="n">
        <v>46232</v>
      </c>
      <c r="G562" s="0" t="s">
        <v>204</v>
      </c>
      <c r="H562" s="0" t="n">
        <v>1472600</v>
      </c>
      <c r="I562" s="0" t="n">
        <v>11</v>
      </c>
      <c r="J562" s="0" t="s">
        <v>2276</v>
      </c>
      <c r="K562" s="15" t="n">
        <v>284.7</v>
      </c>
      <c r="L562" s="0" t="s">
        <v>2277</v>
      </c>
    </row>
    <row r="563" customFormat="false" ht="15" hidden="false" customHeight="true" outlineLevel="0" collapsed="false">
      <c r="A563" s="0" t="n">
        <v>2</v>
      </c>
      <c r="B563" s="0" t="n">
        <v>102</v>
      </c>
      <c r="C563" s="0" t="s">
        <v>52</v>
      </c>
      <c r="D563" s="0" t="s">
        <v>2399</v>
      </c>
      <c r="E563" s="14" t="n">
        <v>46234</v>
      </c>
      <c r="F563" s="14" t="n">
        <v>46234</v>
      </c>
      <c r="G563" s="0" t="s">
        <v>622</v>
      </c>
      <c r="H563" s="0" t="n">
        <v>1482223</v>
      </c>
      <c r="I563" s="0" t="n">
        <v>11</v>
      </c>
      <c r="J563" s="0" t="s">
        <v>2276</v>
      </c>
      <c r="K563" s="15" t="n">
        <v>140</v>
      </c>
      <c r="L563" s="0" t="s">
        <v>2277</v>
      </c>
    </row>
    <row r="564" customFormat="false" ht="15" hidden="false" customHeight="true" outlineLevel="0" collapsed="false">
      <c r="A564" s="0" t="n">
        <v>2</v>
      </c>
      <c r="B564" s="0" t="n">
        <v>1032720</v>
      </c>
      <c r="C564" s="0" t="s">
        <v>52</v>
      </c>
      <c r="D564" s="0" t="s">
        <v>2286</v>
      </c>
      <c r="E564" s="14" t="n">
        <v>46234</v>
      </c>
      <c r="F564" s="14" t="n">
        <v>46223</v>
      </c>
      <c r="G564" s="0" t="s">
        <v>228</v>
      </c>
      <c r="H564" s="0" t="n">
        <v>1478208</v>
      </c>
      <c r="I564" s="0" t="n">
        <v>11</v>
      </c>
      <c r="J564" s="0" t="s">
        <v>2276</v>
      </c>
      <c r="K564" s="15" t="n">
        <v>296.49</v>
      </c>
      <c r="L564" s="0" t="s">
        <v>2277</v>
      </c>
    </row>
    <row r="565" customFormat="false" ht="15" hidden="false" customHeight="true" outlineLevel="0" collapsed="false">
      <c r="A565" s="0" t="n">
        <v>2</v>
      </c>
      <c r="B565" s="0" t="n">
        <v>1228756</v>
      </c>
      <c r="C565" s="0" t="s">
        <v>80</v>
      </c>
      <c r="D565" s="0" t="s">
        <v>2275</v>
      </c>
      <c r="E565" s="14" t="n">
        <v>46234</v>
      </c>
      <c r="F565" s="14" t="n">
        <v>46233</v>
      </c>
      <c r="G565" s="0" t="s">
        <v>130</v>
      </c>
      <c r="H565" s="0" t="n">
        <v>1478084</v>
      </c>
      <c r="I565" s="0" t="n">
        <v>11</v>
      </c>
      <c r="J565" s="0" t="s">
        <v>2276</v>
      </c>
      <c r="K565" s="15" t="n">
        <v>327.46</v>
      </c>
      <c r="L565" s="0" t="s">
        <v>2277</v>
      </c>
    </row>
    <row r="566" customFormat="false" ht="15" hidden="false" customHeight="true" outlineLevel="0" collapsed="false">
      <c r="A566" s="0" t="n">
        <v>2</v>
      </c>
      <c r="B566" s="0" t="n">
        <v>1228757</v>
      </c>
      <c r="C566" s="0" t="s">
        <v>80</v>
      </c>
      <c r="D566" s="0" t="s">
        <v>2275</v>
      </c>
      <c r="E566" s="14" t="n">
        <v>46234</v>
      </c>
      <c r="F566" s="14" t="n">
        <v>46233</v>
      </c>
      <c r="G566" s="0" t="s">
        <v>130</v>
      </c>
      <c r="H566" s="0" t="n">
        <v>1478164</v>
      </c>
      <c r="I566" s="0" t="n">
        <v>11</v>
      </c>
      <c r="J566" s="0" t="s">
        <v>2276</v>
      </c>
      <c r="K566" s="15" t="n">
        <v>190.71</v>
      </c>
      <c r="L566" s="0" t="s">
        <v>2277</v>
      </c>
    </row>
    <row r="567" customFormat="false" ht="15" hidden="false" customHeight="true" outlineLevel="0" collapsed="false">
      <c r="A567" s="0" t="n">
        <v>2</v>
      </c>
      <c r="B567" s="0" t="n">
        <v>1614426</v>
      </c>
      <c r="C567" s="0" t="s">
        <v>52</v>
      </c>
      <c r="D567" s="0" t="s">
        <v>2327</v>
      </c>
      <c r="E567" s="14" t="n">
        <v>46234</v>
      </c>
      <c r="F567" s="14" t="n">
        <v>46234</v>
      </c>
      <c r="G567" s="0" t="s">
        <v>50</v>
      </c>
      <c r="H567" s="0" t="n">
        <v>1478618</v>
      </c>
      <c r="I567" s="0" t="n">
        <v>11</v>
      </c>
      <c r="J567" s="0" t="s">
        <v>2276</v>
      </c>
      <c r="K567" s="15" t="n">
        <v>2380.38</v>
      </c>
      <c r="L567" s="0" t="s">
        <v>2277</v>
      </c>
    </row>
    <row r="568" customFormat="false" ht="15" hidden="false" customHeight="true" outlineLevel="0" collapsed="false">
      <c r="A568" s="0" t="n">
        <v>2</v>
      </c>
      <c r="B568" s="0" t="n">
        <v>1656279</v>
      </c>
      <c r="C568" s="0" t="s">
        <v>2280</v>
      </c>
      <c r="D568" s="0" t="s">
        <v>2281</v>
      </c>
      <c r="E568" s="14" t="n">
        <v>46234</v>
      </c>
      <c r="F568" s="14" t="n">
        <v>46234</v>
      </c>
      <c r="G568" s="0" t="s">
        <v>406</v>
      </c>
      <c r="H568" s="0" t="n">
        <v>1478657</v>
      </c>
      <c r="I568" s="0" t="n">
        <v>11</v>
      </c>
      <c r="J568" s="0" t="s">
        <v>2276</v>
      </c>
      <c r="K568" s="15" t="n">
        <v>125</v>
      </c>
      <c r="L568" s="0" t="s">
        <v>2277</v>
      </c>
    </row>
    <row r="569" customFormat="false" ht="15" hidden="false" customHeight="true" outlineLevel="0" collapsed="false">
      <c r="A569" s="0" t="n">
        <v>2</v>
      </c>
      <c r="B569" s="0" t="n">
        <v>1702357</v>
      </c>
      <c r="C569" s="0" t="s">
        <v>52</v>
      </c>
      <c r="D569" s="0" t="s">
        <v>2287</v>
      </c>
      <c r="E569" s="14" t="n">
        <v>46234</v>
      </c>
      <c r="F569" s="14" t="n">
        <v>46233</v>
      </c>
      <c r="G569" s="0" t="s">
        <v>240</v>
      </c>
      <c r="H569" s="0" t="n">
        <v>1477784</v>
      </c>
      <c r="I569" s="0" t="n">
        <v>11</v>
      </c>
      <c r="J569" s="0" t="s">
        <v>2276</v>
      </c>
      <c r="K569" s="15" t="n">
        <v>328.14</v>
      </c>
      <c r="L569" s="0" t="s">
        <v>2277</v>
      </c>
    </row>
    <row r="570" customFormat="false" ht="15" hidden="false" customHeight="true" outlineLevel="0" collapsed="false">
      <c r="A570" s="0" t="n">
        <v>2</v>
      </c>
      <c r="B570" s="0" t="n">
        <v>1964124</v>
      </c>
      <c r="C570" s="0" t="s">
        <v>36</v>
      </c>
      <c r="D570" s="0" t="s">
        <v>2275</v>
      </c>
      <c r="E570" s="14" t="n">
        <v>46234</v>
      </c>
      <c r="F570" s="14" t="n">
        <v>46233</v>
      </c>
      <c r="G570" s="0" t="s">
        <v>130</v>
      </c>
      <c r="H570" s="0" t="n">
        <v>1478177</v>
      </c>
      <c r="I570" s="0" t="n">
        <v>11</v>
      </c>
      <c r="J570" s="0" t="s">
        <v>2276</v>
      </c>
      <c r="K570" s="15" t="n">
        <v>1308.86</v>
      </c>
      <c r="L570" s="0" t="s">
        <v>2277</v>
      </c>
    </row>
    <row r="571" customFormat="false" ht="15" hidden="false" customHeight="true" outlineLevel="0" collapsed="false">
      <c r="A571" s="0" t="n">
        <v>2</v>
      </c>
      <c r="B571" s="0" t="n">
        <v>1964129</v>
      </c>
      <c r="C571" s="0" t="s">
        <v>36</v>
      </c>
      <c r="D571" s="0" t="s">
        <v>2275</v>
      </c>
      <c r="E571" s="14" t="n">
        <v>46234</v>
      </c>
      <c r="F571" s="14" t="n">
        <v>46233</v>
      </c>
      <c r="G571" s="0" t="s">
        <v>130</v>
      </c>
      <c r="H571" s="0" t="n">
        <v>1477931</v>
      </c>
      <c r="I571" s="0" t="n">
        <v>11</v>
      </c>
      <c r="J571" s="0" t="s">
        <v>2276</v>
      </c>
      <c r="K571" s="15" t="n">
        <v>2636.73</v>
      </c>
      <c r="L571" s="0" t="s">
        <v>2277</v>
      </c>
    </row>
    <row r="572" customFormat="false" ht="15" hidden="false" customHeight="true" outlineLevel="0" collapsed="false">
      <c r="A572" s="0" t="n">
        <v>2</v>
      </c>
      <c r="B572" s="0" t="n">
        <v>1964130</v>
      </c>
      <c r="C572" s="0" t="s">
        <v>36</v>
      </c>
      <c r="D572" s="0" t="s">
        <v>2275</v>
      </c>
      <c r="E572" s="14" t="n">
        <v>46234</v>
      </c>
      <c r="F572" s="14" t="n">
        <v>46233</v>
      </c>
      <c r="G572" s="0" t="s">
        <v>130</v>
      </c>
      <c r="H572" s="0" t="n">
        <v>1477980</v>
      </c>
      <c r="I572" s="0" t="n">
        <v>11</v>
      </c>
      <c r="J572" s="0" t="s">
        <v>2276</v>
      </c>
      <c r="K572" s="15" t="n">
        <v>45.18</v>
      </c>
      <c r="L572" s="0" t="s">
        <v>2277</v>
      </c>
    </row>
    <row r="573" customFormat="false" ht="15" hidden="false" customHeight="true" outlineLevel="0" collapsed="false">
      <c r="A573" s="0" t="n">
        <v>2</v>
      </c>
      <c r="B573" s="0" t="n">
        <v>2578</v>
      </c>
      <c r="C573" s="0" t="s">
        <v>52</v>
      </c>
      <c r="D573" s="0" t="s">
        <v>2288</v>
      </c>
      <c r="E573" s="14" t="n">
        <v>46234</v>
      </c>
      <c r="F573" s="14" t="n">
        <v>46234</v>
      </c>
      <c r="G573" s="0" t="s">
        <v>153</v>
      </c>
      <c r="H573" s="0" t="n">
        <v>1479031</v>
      </c>
      <c r="I573" s="0" t="n">
        <v>6</v>
      </c>
      <c r="J573" s="0" t="s">
        <v>2276</v>
      </c>
      <c r="K573" s="15" t="n">
        <v>1612.25</v>
      </c>
      <c r="L573" s="0" t="s">
        <v>2277</v>
      </c>
    </row>
    <row r="574" customFormat="false" ht="15" hidden="false" customHeight="true" outlineLevel="0" collapsed="false">
      <c r="A574" s="0" t="n">
        <v>2</v>
      </c>
      <c r="B574" s="0" t="n">
        <v>31668</v>
      </c>
      <c r="C574" s="0" t="s">
        <v>52</v>
      </c>
      <c r="D574" s="0" t="s">
        <v>2294</v>
      </c>
      <c r="E574" s="14" t="n">
        <v>46234</v>
      </c>
      <c r="F574" s="14" t="n">
        <v>46232</v>
      </c>
      <c r="G574" s="0" t="s">
        <v>147</v>
      </c>
      <c r="H574" s="0" t="n">
        <v>1477699</v>
      </c>
      <c r="I574" s="0" t="n">
        <v>11</v>
      </c>
      <c r="J574" s="0" t="s">
        <v>2276</v>
      </c>
      <c r="K574" s="15" t="n">
        <v>266</v>
      </c>
      <c r="L574" s="0" t="s">
        <v>2277</v>
      </c>
    </row>
    <row r="575" customFormat="false" ht="15" hidden="false" customHeight="true" outlineLevel="0" collapsed="false">
      <c r="A575" s="0" t="n">
        <v>2</v>
      </c>
      <c r="B575" s="0" t="n">
        <v>389</v>
      </c>
      <c r="C575" s="0" t="s">
        <v>52</v>
      </c>
      <c r="D575" s="0" t="s">
        <v>2311</v>
      </c>
      <c r="E575" s="14" t="n">
        <v>46234</v>
      </c>
      <c r="F575" s="14" t="n">
        <v>46234</v>
      </c>
      <c r="G575" s="0" t="s">
        <v>86</v>
      </c>
      <c r="H575" s="0" t="n">
        <v>1477858</v>
      </c>
      <c r="I575" s="0" t="n">
        <v>11</v>
      </c>
      <c r="J575" s="0" t="s">
        <v>2276</v>
      </c>
      <c r="K575" s="15" t="n">
        <v>228</v>
      </c>
      <c r="L575" s="0" t="s">
        <v>2277</v>
      </c>
    </row>
    <row r="576" customFormat="false" ht="15" hidden="false" customHeight="true" outlineLevel="0" collapsed="false">
      <c r="A576" s="0" t="n">
        <v>2</v>
      </c>
      <c r="B576" s="0" t="n">
        <v>932576</v>
      </c>
      <c r="C576" s="0" t="s">
        <v>2340</v>
      </c>
      <c r="D576" s="0" t="s">
        <v>2341</v>
      </c>
      <c r="E576" s="14" t="n">
        <v>46234</v>
      </c>
      <c r="F576" s="14" t="n">
        <v>46233</v>
      </c>
      <c r="G576" s="0" t="s">
        <v>232</v>
      </c>
      <c r="H576" s="0" t="n">
        <v>1478268</v>
      </c>
      <c r="I576" s="0" t="n">
        <v>11</v>
      </c>
      <c r="J576" s="0" t="s">
        <v>2276</v>
      </c>
      <c r="K576" s="15" t="n">
        <v>314.42</v>
      </c>
      <c r="L576" s="0" t="s">
        <v>2277</v>
      </c>
    </row>
    <row r="577" customFormat="false" ht="15" hidden="false" customHeight="true" outlineLevel="0" collapsed="false">
      <c r="A577" s="0" t="n">
        <v>2</v>
      </c>
      <c r="B577" s="0" t="n">
        <v>174094</v>
      </c>
      <c r="C577" s="0" t="s">
        <v>52</v>
      </c>
      <c r="D577" s="0" t="s">
        <v>2293</v>
      </c>
      <c r="E577" s="14" t="n">
        <v>46235</v>
      </c>
      <c r="F577" s="14" t="n">
        <v>46234</v>
      </c>
      <c r="G577" s="0" t="s">
        <v>371</v>
      </c>
      <c r="H577" s="0" t="n">
        <v>1481937</v>
      </c>
      <c r="I577" s="0" t="n">
        <v>11</v>
      </c>
      <c r="J577" s="0" t="s">
        <v>2276</v>
      </c>
      <c r="K577" s="15" t="n">
        <v>1349.7</v>
      </c>
      <c r="L577" s="0" t="s">
        <v>2277</v>
      </c>
    </row>
    <row r="578" customFormat="false" ht="15" hidden="false" customHeight="true" outlineLevel="0" collapsed="false">
      <c r="A578" s="0" t="n">
        <v>2</v>
      </c>
      <c r="B578" s="0" t="n">
        <v>3040</v>
      </c>
      <c r="C578" s="0" t="s">
        <v>67</v>
      </c>
      <c r="D578" s="0" t="s">
        <v>2332</v>
      </c>
      <c r="E578" s="14" t="n">
        <v>46235</v>
      </c>
      <c r="F578" s="14" t="n">
        <v>46234</v>
      </c>
      <c r="G578" s="0" t="s">
        <v>585</v>
      </c>
      <c r="H578" s="0" t="n">
        <v>1482072</v>
      </c>
      <c r="I578" s="0" t="n">
        <v>11</v>
      </c>
      <c r="J578" s="0" t="s">
        <v>2276</v>
      </c>
      <c r="K578" s="15" t="n">
        <v>2975.9</v>
      </c>
      <c r="L578" s="0" t="s">
        <v>2277</v>
      </c>
    </row>
    <row r="579" customFormat="false" ht="15" hidden="false" customHeight="true" outlineLevel="0" collapsed="false">
      <c r="A579" s="0" t="n">
        <v>2</v>
      </c>
      <c r="B579" s="0" t="n">
        <v>569</v>
      </c>
      <c r="C579" s="0" t="s">
        <v>52</v>
      </c>
      <c r="D579" s="0" t="s">
        <v>2291</v>
      </c>
      <c r="E579" s="14" t="n">
        <v>46235</v>
      </c>
      <c r="F579" s="14" t="n">
        <v>46234</v>
      </c>
      <c r="G579" s="0" t="s">
        <v>123</v>
      </c>
      <c r="H579" s="0" t="n">
        <v>1481847</v>
      </c>
      <c r="I579" s="0" t="n">
        <v>11</v>
      </c>
      <c r="J579" s="0" t="s">
        <v>2276</v>
      </c>
      <c r="K579" s="15" t="n">
        <v>180</v>
      </c>
      <c r="L579" s="0" t="s">
        <v>2277</v>
      </c>
    </row>
    <row r="580" customFormat="false" ht="15" hidden="false" customHeight="true" outlineLevel="0" collapsed="false">
      <c r="A580" s="0" t="n">
        <v>2</v>
      </c>
      <c r="B580" s="0" t="n">
        <v>740</v>
      </c>
      <c r="C580" s="0" t="s">
        <v>44</v>
      </c>
      <c r="D580" s="0" t="s">
        <v>2283</v>
      </c>
      <c r="E580" s="14" t="n">
        <v>46235</v>
      </c>
      <c r="F580" s="14" t="n">
        <v>46234</v>
      </c>
      <c r="G580" s="0" t="s">
        <v>204</v>
      </c>
      <c r="H580" s="0" t="n">
        <v>1481872</v>
      </c>
      <c r="I580" s="0" t="n">
        <v>11</v>
      </c>
      <c r="J580" s="0" t="s">
        <v>2276</v>
      </c>
      <c r="K580" s="15" t="n">
        <v>357.1</v>
      </c>
      <c r="L580" s="0" t="s">
        <v>2277</v>
      </c>
    </row>
    <row r="581" customFormat="false" ht="15" hidden="false" customHeight="true" outlineLevel="0" collapsed="false">
      <c r="A581" s="0" t="n">
        <v>2</v>
      </c>
      <c r="B581" s="0" t="n">
        <v>1656821</v>
      </c>
      <c r="C581" s="0" t="s">
        <v>2280</v>
      </c>
      <c r="D581" s="0" t="s">
        <v>2281</v>
      </c>
      <c r="E581" s="14" t="n">
        <v>46237</v>
      </c>
      <c r="F581" s="14" t="n">
        <v>46235</v>
      </c>
      <c r="G581" s="0" t="s">
        <v>406</v>
      </c>
      <c r="H581" s="0" t="n">
        <v>1493056</v>
      </c>
      <c r="I581" s="0" t="n">
        <v>11</v>
      </c>
      <c r="J581" s="0" t="s">
        <v>2276</v>
      </c>
      <c r="K581" s="15" t="n">
        <v>120</v>
      </c>
      <c r="L581" s="0" t="s">
        <v>2277</v>
      </c>
    </row>
    <row r="582" customFormat="false" ht="15" hidden="false" customHeight="true" outlineLevel="0" collapsed="false">
      <c r="A582" s="0" t="n">
        <v>2</v>
      </c>
      <c r="B582" s="0" t="n">
        <v>19579</v>
      </c>
      <c r="C582" s="0" t="s">
        <v>89</v>
      </c>
      <c r="D582" s="0" t="s">
        <v>2322</v>
      </c>
      <c r="E582" s="14" t="n">
        <v>46237</v>
      </c>
      <c r="F582" s="14" t="n">
        <v>46235</v>
      </c>
      <c r="G582" s="0" t="s">
        <v>390</v>
      </c>
      <c r="H582" s="0" t="n">
        <v>1493332</v>
      </c>
      <c r="I582" s="0" t="n">
        <v>11</v>
      </c>
      <c r="J582" s="0" t="s">
        <v>2276</v>
      </c>
      <c r="K582" s="15" t="n">
        <v>4690.22</v>
      </c>
      <c r="L582" s="0" t="s">
        <v>2277</v>
      </c>
    </row>
    <row r="583" customFormat="false" ht="15" hidden="false" customHeight="true" outlineLevel="0" collapsed="false">
      <c r="A583" s="0" t="n">
        <v>2</v>
      </c>
      <c r="B583" s="0" t="n">
        <v>2581</v>
      </c>
      <c r="C583" s="0" t="s">
        <v>52</v>
      </c>
      <c r="D583" s="0" t="s">
        <v>2288</v>
      </c>
      <c r="E583" s="14" t="n">
        <v>46237</v>
      </c>
      <c r="F583" s="14" t="n">
        <v>46237</v>
      </c>
      <c r="G583" s="0" t="s">
        <v>153</v>
      </c>
      <c r="H583" s="0" t="n">
        <v>1493407</v>
      </c>
      <c r="I583" s="0" t="n">
        <v>6</v>
      </c>
      <c r="J583" s="0" t="s">
        <v>2276</v>
      </c>
      <c r="K583" s="15" t="n">
        <v>280</v>
      </c>
      <c r="L583" s="0" t="s">
        <v>2277</v>
      </c>
    </row>
    <row r="584" customFormat="false" ht="15" hidden="false" customHeight="true" outlineLevel="0" collapsed="false">
      <c r="A584" s="0" t="n">
        <v>2</v>
      </c>
      <c r="B584" s="0" t="n">
        <v>2582</v>
      </c>
      <c r="C584" s="0" t="s">
        <v>52</v>
      </c>
      <c r="D584" s="0" t="s">
        <v>2288</v>
      </c>
      <c r="E584" s="14" t="n">
        <v>46237</v>
      </c>
      <c r="F584" s="14" t="n">
        <v>46237</v>
      </c>
      <c r="G584" s="0" t="s">
        <v>153</v>
      </c>
      <c r="H584" s="0" t="n">
        <v>1493427</v>
      </c>
      <c r="I584" s="0" t="n">
        <v>6</v>
      </c>
      <c r="J584" s="0" t="s">
        <v>2276</v>
      </c>
      <c r="K584" s="15" t="n">
        <v>210</v>
      </c>
      <c r="L584" s="0" t="s">
        <v>2277</v>
      </c>
    </row>
    <row r="585" customFormat="false" ht="15" hidden="false" customHeight="true" outlineLevel="0" collapsed="false">
      <c r="A585" s="0" t="n">
        <v>2</v>
      </c>
      <c r="B585" s="0" t="n">
        <v>315892</v>
      </c>
      <c r="C585" s="0" t="s">
        <v>52</v>
      </c>
      <c r="D585" s="0" t="s">
        <v>2298</v>
      </c>
      <c r="E585" s="14" t="n">
        <v>46237</v>
      </c>
      <c r="F585" s="14" t="n">
        <v>46234</v>
      </c>
      <c r="G585" s="0" t="s">
        <v>77</v>
      </c>
      <c r="H585" s="0" t="n">
        <v>1495108</v>
      </c>
      <c r="I585" s="0" t="n">
        <v>11</v>
      </c>
      <c r="J585" s="0" t="s">
        <v>2276</v>
      </c>
      <c r="K585" s="15" t="n">
        <v>1242.42</v>
      </c>
      <c r="L585" s="0" t="s">
        <v>2277</v>
      </c>
    </row>
    <row r="586" customFormat="false" ht="15" hidden="false" customHeight="true" outlineLevel="0" collapsed="false">
      <c r="A586" s="0" t="n">
        <v>2</v>
      </c>
      <c r="B586" s="0" t="n">
        <v>32186</v>
      </c>
      <c r="C586" s="0" t="s">
        <v>52</v>
      </c>
      <c r="D586" s="0" t="s">
        <v>2296</v>
      </c>
      <c r="E586" s="14" t="n">
        <v>46237</v>
      </c>
      <c r="F586" s="14" t="n">
        <v>46235</v>
      </c>
      <c r="G586" s="0" t="s">
        <v>162</v>
      </c>
      <c r="H586" s="0" t="n">
        <v>1495002</v>
      </c>
      <c r="I586" s="0" t="n">
        <v>11</v>
      </c>
      <c r="J586" s="0" t="s">
        <v>2276</v>
      </c>
      <c r="K586" s="15" t="n">
        <v>3277.5</v>
      </c>
      <c r="L586" s="0" t="s">
        <v>2277</v>
      </c>
    </row>
    <row r="587" customFormat="false" ht="15" hidden="false" customHeight="true" outlineLevel="0" collapsed="false">
      <c r="A587" s="0" t="n">
        <v>2</v>
      </c>
      <c r="B587" s="0" t="n">
        <v>395656</v>
      </c>
      <c r="C587" s="0" t="s">
        <v>52</v>
      </c>
      <c r="D587" s="0" t="s">
        <v>2301</v>
      </c>
      <c r="E587" s="14" t="n">
        <v>46237</v>
      </c>
      <c r="F587" s="14" t="n">
        <v>46234</v>
      </c>
      <c r="G587" s="0" t="s">
        <v>172</v>
      </c>
      <c r="H587" s="0" t="n">
        <v>1493100</v>
      </c>
      <c r="I587" s="0" t="n">
        <v>11</v>
      </c>
      <c r="J587" s="0" t="s">
        <v>2276</v>
      </c>
      <c r="K587" s="15" t="n">
        <v>439.5</v>
      </c>
      <c r="L587" s="0" t="s">
        <v>2277</v>
      </c>
    </row>
    <row r="588" customFormat="false" ht="15" hidden="false" customHeight="true" outlineLevel="0" collapsed="false">
      <c r="A588" s="0" t="n">
        <v>2</v>
      </c>
      <c r="B588" s="0" t="n">
        <v>1657518</v>
      </c>
      <c r="C588" s="0" t="s">
        <v>2280</v>
      </c>
      <c r="D588" s="0" t="s">
        <v>2281</v>
      </c>
      <c r="E588" s="14" t="n">
        <v>46238</v>
      </c>
      <c r="F588" s="14" t="n">
        <v>46237</v>
      </c>
      <c r="G588" s="0" t="s">
        <v>406</v>
      </c>
      <c r="H588" s="0" t="n">
        <v>1498975</v>
      </c>
      <c r="I588" s="0" t="n">
        <v>11</v>
      </c>
      <c r="J588" s="0" t="s">
        <v>2276</v>
      </c>
      <c r="K588" s="15" t="n">
        <v>144.5</v>
      </c>
      <c r="L588" s="0" t="s">
        <v>2277</v>
      </c>
    </row>
    <row r="589" customFormat="false" ht="15" hidden="false" customHeight="true" outlineLevel="0" collapsed="false">
      <c r="A589" s="0" t="n">
        <v>2</v>
      </c>
      <c r="B589" s="0" t="n">
        <v>2585</v>
      </c>
      <c r="C589" s="0" t="s">
        <v>52</v>
      </c>
      <c r="D589" s="0" t="s">
        <v>2288</v>
      </c>
      <c r="E589" s="14" t="n">
        <v>46238</v>
      </c>
      <c r="F589" s="14" t="n">
        <v>46238</v>
      </c>
      <c r="G589" s="0" t="s">
        <v>153</v>
      </c>
      <c r="H589" s="0" t="n">
        <v>1500211</v>
      </c>
      <c r="I589" s="0" t="n">
        <v>6</v>
      </c>
      <c r="J589" s="0" t="s">
        <v>2276</v>
      </c>
      <c r="K589" s="15" t="n">
        <v>1910</v>
      </c>
      <c r="L589" s="0" t="s">
        <v>2277</v>
      </c>
    </row>
    <row r="590" customFormat="false" ht="15" hidden="false" customHeight="true" outlineLevel="0" collapsed="false">
      <c r="A590" s="0" t="n">
        <v>2</v>
      </c>
      <c r="B590" s="0" t="n">
        <v>4280</v>
      </c>
      <c r="C590" s="0" t="s">
        <v>52</v>
      </c>
      <c r="D590" s="0" t="s">
        <v>2290</v>
      </c>
      <c r="E590" s="14" t="n">
        <v>46238</v>
      </c>
      <c r="F590" s="14" t="n">
        <v>46237</v>
      </c>
      <c r="G590" s="0" t="s">
        <v>95</v>
      </c>
      <c r="H590" s="0" t="n">
        <v>1499869</v>
      </c>
      <c r="I590" s="0" t="n">
        <v>11</v>
      </c>
      <c r="J590" s="0" t="s">
        <v>2276</v>
      </c>
      <c r="K590" s="15" t="n">
        <v>219.3</v>
      </c>
      <c r="L590" s="0" t="s">
        <v>2277</v>
      </c>
    </row>
    <row r="591" customFormat="false" ht="15" hidden="false" customHeight="true" outlineLevel="0" collapsed="false">
      <c r="A591" s="0" t="n">
        <v>2</v>
      </c>
      <c r="B591" s="0" t="n">
        <v>577</v>
      </c>
      <c r="C591" s="0" t="s">
        <v>52</v>
      </c>
      <c r="D591" s="0" t="s">
        <v>2291</v>
      </c>
      <c r="E591" s="14" t="n">
        <v>46238</v>
      </c>
      <c r="F591" s="14" t="n">
        <v>46237</v>
      </c>
      <c r="G591" s="0" t="s">
        <v>123</v>
      </c>
      <c r="H591" s="0" t="n">
        <v>1499197</v>
      </c>
      <c r="I591" s="0" t="n">
        <v>11</v>
      </c>
      <c r="J591" s="0" t="s">
        <v>2276</v>
      </c>
      <c r="K591" s="15" t="n">
        <v>180</v>
      </c>
      <c r="L591" s="0" t="s">
        <v>2277</v>
      </c>
    </row>
    <row r="592" customFormat="false" ht="15" hidden="false" customHeight="true" outlineLevel="0" collapsed="false">
      <c r="A592" s="0" t="n">
        <v>2</v>
      </c>
      <c r="B592" s="0" t="n">
        <v>123</v>
      </c>
      <c r="C592" s="0" t="s">
        <v>52</v>
      </c>
      <c r="D592" s="0" t="s">
        <v>2399</v>
      </c>
      <c r="E592" s="14" t="n">
        <v>46239</v>
      </c>
      <c r="F592" s="14" t="n">
        <v>46239</v>
      </c>
      <c r="G592" s="0" t="s">
        <v>622</v>
      </c>
      <c r="H592" s="0" t="n">
        <v>1508121</v>
      </c>
      <c r="I592" s="0" t="n">
        <v>11</v>
      </c>
      <c r="J592" s="0" t="s">
        <v>2276</v>
      </c>
      <c r="K592" s="15" t="n">
        <v>200</v>
      </c>
      <c r="L592" s="0" t="s">
        <v>2277</v>
      </c>
    </row>
    <row r="593" customFormat="false" ht="15" hidden="false" customHeight="true" outlineLevel="0" collapsed="false">
      <c r="A593" s="0" t="n">
        <v>2</v>
      </c>
      <c r="B593" s="0" t="n">
        <v>174275</v>
      </c>
      <c r="C593" s="0" t="s">
        <v>52</v>
      </c>
      <c r="D593" s="0" t="s">
        <v>2293</v>
      </c>
      <c r="E593" s="14" t="n">
        <v>46239</v>
      </c>
      <c r="F593" s="14" t="n">
        <v>46238</v>
      </c>
      <c r="G593" s="0" t="s">
        <v>371</v>
      </c>
      <c r="H593" s="0" t="n">
        <v>1503570</v>
      </c>
      <c r="I593" s="0" t="n">
        <v>11</v>
      </c>
      <c r="J593" s="0" t="s">
        <v>2276</v>
      </c>
      <c r="K593" s="15" t="n">
        <v>2347.2</v>
      </c>
      <c r="L593" s="0" t="s">
        <v>2277</v>
      </c>
    </row>
    <row r="594" customFormat="false" ht="15" hidden="false" customHeight="true" outlineLevel="0" collapsed="false">
      <c r="A594" s="0" t="n">
        <v>2</v>
      </c>
      <c r="B594" s="0" t="n">
        <v>1915874</v>
      </c>
      <c r="C594" s="0" t="s">
        <v>52</v>
      </c>
      <c r="D594" s="0" t="s">
        <v>2368</v>
      </c>
      <c r="E594" s="14" t="n">
        <v>46239</v>
      </c>
      <c r="F594" s="14" t="n">
        <v>46234</v>
      </c>
      <c r="G594" s="0" t="s">
        <v>871</v>
      </c>
      <c r="H594" s="0" t="n">
        <v>1503877</v>
      </c>
      <c r="I594" s="0" t="n">
        <v>11</v>
      </c>
      <c r="J594" s="0" t="s">
        <v>2276</v>
      </c>
      <c r="K594" s="15" t="n">
        <v>1184.7</v>
      </c>
      <c r="L594" s="0" t="s">
        <v>2277</v>
      </c>
    </row>
    <row r="595" customFormat="false" ht="15" hidden="false" customHeight="true" outlineLevel="0" collapsed="false">
      <c r="A595" s="0" t="n">
        <v>2</v>
      </c>
      <c r="B595" s="0" t="n">
        <v>1915875</v>
      </c>
      <c r="C595" s="0" t="s">
        <v>52</v>
      </c>
      <c r="D595" s="0" t="s">
        <v>2368</v>
      </c>
      <c r="E595" s="14" t="n">
        <v>46239</v>
      </c>
      <c r="F595" s="14" t="n">
        <v>46234</v>
      </c>
      <c r="G595" s="0" t="s">
        <v>871</v>
      </c>
      <c r="H595" s="0" t="n">
        <v>1503892</v>
      </c>
      <c r="I595" s="0" t="n">
        <v>11</v>
      </c>
      <c r="J595" s="0" t="s">
        <v>2276</v>
      </c>
      <c r="K595" s="15" t="n">
        <v>1220.6</v>
      </c>
      <c r="L595" s="0" t="s">
        <v>2277</v>
      </c>
    </row>
    <row r="596" customFormat="false" ht="15" hidden="false" customHeight="true" outlineLevel="0" collapsed="false">
      <c r="A596" s="0" t="n">
        <v>2</v>
      </c>
      <c r="B596" s="0" t="n">
        <v>1915876</v>
      </c>
      <c r="C596" s="0" t="s">
        <v>52</v>
      </c>
      <c r="D596" s="0" t="s">
        <v>2368</v>
      </c>
      <c r="E596" s="14" t="n">
        <v>46239</v>
      </c>
      <c r="F596" s="14" t="n">
        <v>46234</v>
      </c>
      <c r="G596" s="0" t="s">
        <v>871</v>
      </c>
      <c r="H596" s="0" t="n">
        <v>1503915</v>
      </c>
      <c r="I596" s="0" t="n">
        <v>11</v>
      </c>
      <c r="J596" s="0" t="s">
        <v>2276</v>
      </c>
      <c r="K596" s="15" t="n">
        <v>1184.7</v>
      </c>
      <c r="L596" s="0" t="s">
        <v>2277</v>
      </c>
    </row>
    <row r="597" customFormat="false" ht="15" hidden="false" customHeight="true" outlineLevel="0" collapsed="false">
      <c r="A597" s="0" t="n">
        <v>2</v>
      </c>
      <c r="B597" s="0" t="n">
        <v>227803</v>
      </c>
      <c r="C597" s="0" t="s">
        <v>44</v>
      </c>
      <c r="D597" s="0" t="s">
        <v>2305</v>
      </c>
      <c r="E597" s="14" t="n">
        <v>46239</v>
      </c>
      <c r="F597" s="14" t="n">
        <v>46238</v>
      </c>
      <c r="G597" s="0" t="s">
        <v>438</v>
      </c>
      <c r="H597" s="0" t="n">
        <v>1503388</v>
      </c>
      <c r="I597" s="0" t="n">
        <v>11</v>
      </c>
      <c r="J597" s="0" t="s">
        <v>2276</v>
      </c>
      <c r="K597" s="15" t="n">
        <v>362.06</v>
      </c>
      <c r="L597" s="0" t="s">
        <v>2277</v>
      </c>
    </row>
    <row r="598" customFormat="false" ht="15" hidden="false" customHeight="true" outlineLevel="0" collapsed="false">
      <c r="A598" s="0" t="n">
        <v>2</v>
      </c>
      <c r="B598" s="0" t="n">
        <v>2586</v>
      </c>
      <c r="C598" s="0" t="s">
        <v>52</v>
      </c>
      <c r="D598" s="0" t="s">
        <v>2288</v>
      </c>
      <c r="E598" s="14" t="n">
        <v>46239</v>
      </c>
      <c r="F598" s="14" t="n">
        <v>46239</v>
      </c>
      <c r="G598" s="0" t="s">
        <v>153</v>
      </c>
      <c r="H598" s="0" t="n">
        <v>1503494</v>
      </c>
      <c r="I598" s="0" t="n">
        <v>6</v>
      </c>
      <c r="J598" s="0" t="s">
        <v>2276</v>
      </c>
      <c r="K598" s="15" t="n">
        <v>210</v>
      </c>
      <c r="L598" s="0" t="s">
        <v>2277</v>
      </c>
    </row>
    <row r="599" customFormat="false" ht="15" hidden="false" customHeight="true" outlineLevel="0" collapsed="false">
      <c r="A599" s="0" t="n">
        <v>2</v>
      </c>
      <c r="B599" s="0" t="n">
        <v>367</v>
      </c>
      <c r="C599" s="0" t="s">
        <v>52</v>
      </c>
      <c r="D599" s="0" t="s">
        <v>2407</v>
      </c>
      <c r="E599" s="14" t="n">
        <v>46239</v>
      </c>
      <c r="F599" s="14" t="n">
        <v>46239</v>
      </c>
      <c r="G599" s="0" t="s">
        <v>1247</v>
      </c>
      <c r="H599" s="0" t="n">
        <v>1504750</v>
      </c>
      <c r="I599" s="0" t="n">
        <v>11</v>
      </c>
      <c r="J599" s="0" t="s">
        <v>2276</v>
      </c>
      <c r="K599" s="15" t="n">
        <v>390</v>
      </c>
      <c r="L599" s="0" t="s">
        <v>2277</v>
      </c>
    </row>
    <row r="600" customFormat="false" ht="15" hidden="false" customHeight="true" outlineLevel="0" collapsed="false">
      <c r="A600" s="0" t="n">
        <v>2</v>
      </c>
      <c r="B600" s="0" t="n">
        <v>3674</v>
      </c>
      <c r="C600" s="0" t="s">
        <v>52</v>
      </c>
      <c r="D600" s="0" t="s">
        <v>2299</v>
      </c>
      <c r="E600" s="14" t="n">
        <v>46239</v>
      </c>
      <c r="F600" s="14" t="n">
        <v>46238</v>
      </c>
      <c r="G600" s="0" t="s">
        <v>174</v>
      </c>
      <c r="H600" s="0" t="n">
        <v>1503424</v>
      </c>
      <c r="I600" s="0" t="n">
        <v>11</v>
      </c>
      <c r="J600" s="0" t="s">
        <v>2276</v>
      </c>
      <c r="K600" s="15" t="n">
        <v>166</v>
      </c>
      <c r="L600" s="0" t="s">
        <v>2277</v>
      </c>
    </row>
    <row r="601" customFormat="false" ht="15" hidden="false" customHeight="true" outlineLevel="0" collapsed="false">
      <c r="A601" s="0" t="n">
        <v>2</v>
      </c>
      <c r="B601" s="0" t="n">
        <v>747</v>
      </c>
      <c r="C601" s="0" t="s">
        <v>44</v>
      </c>
      <c r="D601" s="0" t="s">
        <v>2283</v>
      </c>
      <c r="E601" s="14" t="n">
        <v>46239</v>
      </c>
      <c r="F601" s="14" t="n">
        <v>46238</v>
      </c>
      <c r="G601" s="0" t="s">
        <v>204</v>
      </c>
      <c r="H601" s="0" t="n">
        <v>1503440</v>
      </c>
      <c r="I601" s="0" t="n">
        <v>11</v>
      </c>
      <c r="J601" s="0" t="s">
        <v>2276</v>
      </c>
      <c r="K601" s="15" t="n">
        <v>312.1</v>
      </c>
      <c r="L601" s="0" t="s">
        <v>2277</v>
      </c>
    </row>
    <row r="602" customFormat="false" ht="15" hidden="false" customHeight="true" outlineLevel="0" collapsed="false">
      <c r="A602" s="0" t="n">
        <v>2</v>
      </c>
      <c r="B602" s="0" t="n">
        <v>940437</v>
      </c>
      <c r="C602" s="0" t="s">
        <v>2340</v>
      </c>
      <c r="D602" s="0" t="s">
        <v>2341</v>
      </c>
      <c r="E602" s="14" t="n">
        <v>46239</v>
      </c>
      <c r="F602" s="14" t="n">
        <v>46238</v>
      </c>
      <c r="G602" s="0" t="s">
        <v>232</v>
      </c>
      <c r="H602" s="0" t="n">
        <v>1504545</v>
      </c>
      <c r="I602" s="0" t="n">
        <v>11</v>
      </c>
      <c r="J602" s="0" t="s">
        <v>2276</v>
      </c>
      <c r="K602" s="15" t="n">
        <v>2447.06</v>
      </c>
      <c r="L602" s="0" t="s">
        <v>2277</v>
      </c>
    </row>
    <row r="603" customFormat="false" ht="15" hidden="false" customHeight="true" outlineLevel="0" collapsed="false">
      <c r="A603" s="0" t="n">
        <v>2</v>
      </c>
      <c r="B603" s="0" t="n">
        <v>1658743</v>
      </c>
      <c r="C603" s="0" t="s">
        <v>2280</v>
      </c>
      <c r="D603" s="0" t="s">
        <v>2281</v>
      </c>
      <c r="E603" s="14" t="n">
        <v>46240</v>
      </c>
      <c r="F603" s="14" t="n">
        <v>46239</v>
      </c>
      <c r="G603" s="0" t="s">
        <v>406</v>
      </c>
      <c r="H603" s="0" t="n">
        <v>1508132</v>
      </c>
      <c r="I603" s="0" t="n">
        <v>11</v>
      </c>
      <c r="J603" s="0" t="s">
        <v>2276</v>
      </c>
      <c r="K603" s="15" t="n">
        <v>184</v>
      </c>
      <c r="L603" s="0" t="s">
        <v>2277</v>
      </c>
    </row>
    <row r="604" customFormat="false" ht="15" hidden="false" customHeight="true" outlineLevel="0" collapsed="false">
      <c r="A604" s="0" t="n">
        <v>2</v>
      </c>
      <c r="B604" s="0" t="n">
        <v>2589</v>
      </c>
      <c r="C604" s="0" t="s">
        <v>52</v>
      </c>
      <c r="D604" s="0" t="s">
        <v>2288</v>
      </c>
      <c r="E604" s="14" t="n">
        <v>46240</v>
      </c>
      <c r="F604" s="14" t="n">
        <v>46240</v>
      </c>
      <c r="G604" s="0" t="s">
        <v>153</v>
      </c>
      <c r="H604" s="0" t="n">
        <v>1509485</v>
      </c>
      <c r="I604" s="0" t="n">
        <v>6</v>
      </c>
      <c r="J604" s="0" t="s">
        <v>2276</v>
      </c>
      <c r="K604" s="15" t="n">
        <v>300</v>
      </c>
      <c r="L604" s="0" t="s">
        <v>2277</v>
      </c>
    </row>
    <row r="605" customFormat="false" ht="15" hidden="false" customHeight="true" outlineLevel="0" collapsed="false">
      <c r="A605" s="0" t="n">
        <v>2</v>
      </c>
      <c r="B605" s="0" t="n">
        <v>2658</v>
      </c>
      <c r="C605" s="0" t="s">
        <v>67</v>
      </c>
      <c r="D605" s="0" t="s">
        <v>2295</v>
      </c>
      <c r="E605" s="14" t="n">
        <v>46240</v>
      </c>
      <c r="F605" s="14" t="n">
        <v>46239</v>
      </c>
      <c r="G605" s="0" t="s">
        <v>128</v>
      </c>
      <c r="H605" s="0" t="n">
        <v>1508897</v>
      </c>
      <c r="I605" s="0" t="n">
        <v>11</v>
      </c>
      <c r="J605" s="0" t="s">
        <v>2276</v>
      </c>
      <c r="K605" s="15" t="n">
        <v>491.46</v>
      </c>
      <c r="L605" s="0" t="s">
        <v>2277</v>
      </c>
    </row>
    <row r="606" customFormat="false" ht="15" hidden="false" customHeight="true" outlineLevel="0" collapsed="false">
      <c r="A606" s="0" t="n">
        <v>2</v>
      </c>
      <c r="B606" s="0" t="n">
        <v>306</v>
      </c>
      <c r="C606" s="0" t="s">
        <v>52</v>
      </c>
      <c r="D606" s="0" t="s">
        <v>2389</v>
      </c>
      <c r="E606" s="14" t="n">
        <v>46240</v>
      </c>
      <c r="F606" s="14" t="n">
        <v>46237</v>
      </c>
      <c r="G606" s="0" t="s">
        <v>814</v>
      </c>
      <c r="H606" s="0" t="n">
        <v>1508245</v>
      </c>
      <c r="I606" s="0" t="n">
        <v>11</v>
      </c>
      <c r="J606" s="0" t="s">
        <v>2276</v>
      </c>
      <c r="K606" s="15" t="n">
        <v>136.5</v>
      </c>
      <c r="L606" s="0" t="s">
        <v>2277</v>
      </c>
    </row>
    <row r="607" customFormat="false" ht="15" hidden="false" customHeight="true" outlineLevel="0" collapsed="false">
      <c r="A607" s="0" t="n">
        <v>2</v>
      </c>
      <c r="B607" s="0" t="n">
        <v>3785</v>
      </c>
      <c r="C607" s="0" t="s">
        <v>52</v>
      </c>
      <c r="D607" s="0" t="s">
        <v>2282</v>
      </c>
      <c r="E607" s="14" t="n">
        <v>46240</v>
      </c>
      <c r="F607" s="14" t="n">
        <v>46240</v>
      </c>
      <c r="G607" s="0" t="s">
        <v>209</v>
      </c>
      <c r="H607" s="0" t="n">
        <v>1551459</v>
      </c>
      <c r="I607" s="0" t="n">
        <v>11</v>
      </c>
      <c r="J607" s="0" t="s">
        <v>2276</v>
      </c>
      <c r="K607" s="15" t="n">
        <v>589.5</v>
      </c>
      <c r="L607" s="0" t="s">
        <v>2277</v>
      </c>
    </row>
    <row r="608" customFormat="false" ht="15" hidden="false" customHeight="true" outlineLevel="0" collapsed="false">
      <c r="A608" s="0" t="n">
        <v>2</v>
      </c>
      <c r="B608" s="0" t="n">
        <v>396443</v>
      </c>
      <c r="C608" s="0" t="s">
        <v>52</v>
      </c>
      <c r="D608" s="0" t="s">
        <v>2301</v>
      </c>
      <c r="E608" s="14" t="n">
        <v>46240</v>
      </c>
      <c r="F608" s="14" t="n">
        <v>46239</v>
      </c>
      <c r="G608" s="0" t="s">
        <v>172</v>
      </c>
      <c r="H608" s="0" t="n">
        <v>1508952</v>
      </c>
      <c r="I608" s="0" t="n">
        <v>11</v>
      </c>
      <c r="J608" s="0" t="s">
        <v>2276</v>
      </c>
      <c r="K608" s="15" t="n">
        <v>1884.59</v>
      </c>
      <c r="L608" s="0" t="s">
        <v>2277</v>
      </c>
    </row>
    <row r="609" customFormat="false" ht="15" hidden="false" customHeight="true" outlineLevel="0" collapsed="false">
      <c r="A609" s="0" t="n">
        <v>2</v>
      </c>
      <c r="B609" s="0" t="n">
        <v>45441</v>
      </c>
      <c r="C609" s="0" t="s">
        <v>52</v>
      </c>
      <c r="D609" s="0" t="s">
        <v>2306</v>
      </c>
      <c r="E609" s="14" t="n">
        <v>46240</v>
      </c>
      <c r="F609" s="14" t="n">
        <v>46239</v>
      </c>
      <c r="G609" s="0" t="s">
        <v>443</v>
      </c>
      <c r="H609" s="0" t="n">
        <v>1508149</v>
      </c>
      <c r="I609" s="0" t="n">
        <v>11</v>
      </c>
      <c r="J609" s="0" t="s">
        <v>2276</v>
      </c>
      <c r="K609" s="15" t="n">
        <v>460</v>
      </c>
      <c r="L609" s="0" t="s">
        <v>2277</v>
      </c>
    </row>
    <row r="610" customFormat="false" ht="15" hidden="false" customHeight="true" outlineLevel="0" collapsed="false">
      <c r="A610" s="0" t="n">
        <v>2</v>
      </c>
      <c r="B610" s="0" t="n">
        <v>616330</v>
      </c>
      <c r="C610" s="0" t="s">
        <v>102</v>
      </c>
      <c r="D610" s="0" t="s">
        <v>2325</v>
      </c>
      <c r="E610" s="14" t="n">
        <v>46240</v>
      </c>
      <c r="F610" s="14" t="n">
        <v>46239</v>
      </c>
      <c r="G610" s="0" t="s">
        <v>471</v>
      </c>
      <c r="H610" s="0" t="n">
        <v>1509755</v>
      </c>
      <c r="I610" s="0" t="n">
        <v>11</v>
      </c>
      <c r="J610" s="0" t="s">
        <v>2276</v>
      </c>
      <c r="K610" s="15" t="n">
        <v>485</v>
      </c>
      <c r="L610" s="0" t="s">
        <v>2277</v>
      </c>
    </row>
    <row r="611" customFormat="false" ht="15" hidden="false" customHeight="true" outlineLevel="0" collapsed="false">
      <c r="A611" s="0" t="n">
        <v>2</v>
      </c>
      <c r="B611" s="0" t="n">
        <v>1035731</v>
      </c>
      <c r="C611" s="0" t="s">
        <v>52</v>
      </c>
      <c r="D611" s="0" t="s">
        <v>2286</v>
      </c>
      <c r="E611" s="14" t="n">
        <v>46241</v>
      </c>
      <c r="F611" s="14" t="n">
        <v>46240</v>
      </c>
      <c r="G611" s="0" t="s">
        <v>228</v>
      </c>
      <c r="H611" s="0" t="n">
        <v>1513229</v>
      </c>
      <c r="I611" s="0" t="n">
        <v>11</v>
      </c>
      <c r="J611" s="0" t="s">
        <v>2276</v>
      </c>
      <c r="K611" s="15" t="n">
        <v>497.91</v>
      </c>
      <c r="L611" s="0" t="s">
        <v>2277</v>
      </c>
    </row>
    <row r="612" customFormat="false" ht="15" hidden="false" customHeight="true" outlineLevel="0" collapsed="false">
      <c r="A612" s="0" t="n">
        <v>2</v>
      </c>
      <c r="B612" s="0" t="n">
        <v>1236446</v>
      </c>
      <c r="C612" s="0" t="s">
        <v>80</v>
      </c>
      <c r="D612" s="0" t="s">
        <v>2275</v>
      </c>
      <c r="E612" s="14" t="n">
        <v>46241</v>
      </c>
      <c r="F612" s="14" t="n">
        <v>46239</v>
      </c>
      <c r="G612" s="0" t="s">
        <v>130</v>
      </c>
      <c r="H612" s="0" t="n">
        <v>1514077</v>
      </c>
      <c r="I612" s="0" t="n">
        <v>11</v>
      </c>
      <c r="J612" s="0" t="s">
        <v>2276</v>
      </c>
      <c r="K612" s="15" t="n">
        <v>201.65</v>
      </c>
      <c r="L612" s="0" t="s">
        <v>2277</v>
      </c>
    </row>
    <row r="613" customFormat="false" ht="15" hidden="false" customHeight="true" outlineLevel="0" collapsed="false">
      <c r="A613" s="0" t="n">
        <v>2</v>
      </c>
      <c r="B613" s="0" t="n">
        <v>1236941</v>
      </c>
      <c r="C613" s="0" t="s">
        <v>80</v>
      </c>
      <c r="D613" s="0" t="s">
        <v>2275</v>
      </c>
      <c r="E613" s="14" t="n">
        <v>46241</v>
      </c>
      <c r="F613" s="14" t="n">
        <v>46239</v>
      </c>
      <c r="G613" s="0" t="s">
        <v>130</v>
      </c>
      <c r="H613" s="0" t="n">
        <v>1514090</v>
      </c>
      <c r="I613" s="0" t="n">
        <v>11</v>
      </c>
      <c r="J613" s="0" t="s">
        <v>2276</v>
      </c>
      <c r="K613" s="15" t="n">
        <v>429.68</v>
      </c>
      <c r="L613" s="0" t="s">
        <v>2277</v>
      </c>
    </row>
    <row r="614" customFormat="false" ht="15" hidden="false" customHeight="true" outlineLevel="0" collapsed="false">
      <c r="A614" s="0" t="n">
        <v>2</v>
      </c>
      <c r="B614" s="0" t="n">
        <v>1236942</v>
      </c>
      <c r="C614" s="0" t="s">
        <v>80</v>
      </c>
      <c r="D614" s="0" t="s">
        <v>2275</v>
      </c>
      <c r="E614" s="14" t="n">
        <v>46241</v>
      </c>
      <c r="F614" s="14" t="n">
        <v>46239</v>
      </c>
      <c r="G614" s="0" t="s">
        <v>130</v>
      </c>
      <c r="H614" s="0" t="n">
        <v>1514069</v>
      </c>
      <c r="I614" s="0" t="n">
        <v>11</v>
      </c>
      <c r="J614" s="0" t="s">
        <v>2276</v>
      </c>
      <c r="K614" s="15" t="n">
        <v>77.62</v>
      </c>
      <c r="L614" s="0" t="s">
        <v>2277</v>
      </c>
    </row>
    <row r="615" customFormat="false" ht="15" hidden="false" customHeight="true" outlineLevel="0" collapsed="false">
      <c r="A615" s="0" t="n">
        <v>2</v>
      </c>
      <c r="B615" s="0" t="n">
        <v>1237147</v>
      </c>
      <c r="C615" s="0" t="s">
        <v>80</v>
      </c>
      <c r="D615" s="0" t="s">
        <v>2275</v>
      </c>
      <c r="E615" s="14" t="n">
        <v>46241</v>
      </c>
      <c r="F615" s="14" t="n">
        <v>46239</v>
      </c>
      <c r="G615" s="0" t="s">
        <v>130</v>
      </c>
      <c r="H615" s="0" t="n">
        <v>1514096</v>
      </c>
      <c r="I615" s="0" t="n">
        <v>11</v>
      </c>
      <c r="J615" s="0" t="s">
        <v>2276</v>
      </c>
      <c r="K615" s="15" t="n">
        <v>1055.41</v>
      </c>
      <c r="L615" s="0" t="s">
        <v>2277</v>
      </c>
    </row>
    <row r="616" customFormat="false" ht="15" hidden="false" customHeight="true" outlineLevel="0" collapsed="false">
      <c r="A616" s="0" t="n">
        <v>2</v>
      </c>
      <c r="B616" s="0" t="n">
        <v>14956</v>
      </c>
      <c r="C616" s="0" t="s">
        <v>52</v>
      </c>
      <c r="D616" s="0" t="s">
        <v>2278</v>
      </c>
      <c r="E616" s="14" t="n">
        <v>46241</v>
      </c>
      <c r="F616" s="14" t="n">
        <v>46240</v>
      </c>
      <c r="G616" s="0" t="s">
        <v>270</v>
      </c>
      <c r="H616" s="0" t="n">
        <v>1514501</v>
      </c>
      <c r="I616" s="0" t="n">
        <v>11</v>
      </c>
      <c r="J616" s="0" t="s">
        <v>2276</v>
      </c>
      <c r="K616" s="15" t="n">
        <v>4131.7</v>
      </c>
      <c r="L616" s="0" t="s">
        <v>2277</v>
      </c>
    </row>
    <row r="617" customFormat="false" ht="15" hidden="false" customHeight="true" outlineLevel="0" collapsed="false">
      <c r="A617" s="0" t="n">
        <v>2</v>
      </c>
      <c r="B617" s="0" t="n">
        <v>1616567</v>
      </c>
      <c r="C617" s="0" t="s">
        <v>52</v>
      </c>
      <c r="D617" s="0" t="s">
        <v>2327</v>
      </c>
      <c r="E617" s="14" t="n">
        <v>46241</v>
      </c>
      <c r="F617" s="14" t="n">
        <v>46241</v>
      </c>
      <c r="G617" s="0" t="s">
        <v>50</v>
      </c>
      <c r="H617" s="0" t="n">
        <v>1513480</v>
      </c>
      <c r="I617" s="0" t="n">
        <v>11</v>
      </c>
      <c r="J617" s="0" t="s">
        <v>2276</v>
      </c>
      <c r="K617" s="15" t="n">
        <v>2551.07</v>
      </c>
      <c r="L617" s="0" t="s">
        <v>2277</v>
      </c>
    </row>
    <row r="618" customFormat="false" ht="15" hidden="false" customHeight="true" outlineLevel="0" collapsed="false">
      <c r="A618" s="0" t="n">
        <v>2</v>
      </c>
      <c r="B618" s="0" t="n">
        <v>1973404</v>
      </c>
      <c r="C618" s="0" t="s">
        <v>36</v>
      </c>
      <c r="D618" s="0" t="s">
        <v>2275</v>
      </c>
      <c r="E618" s="14" t="n">
        <v>46241</v>
      </c>
      <c r="F618" s="14" t="n">
        <v>46239</v>
      </c>
      <c r="G618" s="0" t="s">
        <v>130</v>
      </c>
      <c r="H618" s="0" t="n">
        <v>1514074</v>
      </c>
      <c r="I618" s="0" t="n">
        <v>11</v>
      </c>
      <c r="J618" s="0" t="s">
        <v>2276</v>
      </c>
      <c r="K618" s="15" t="n">
        <v>356.01</v>
      </c>
      <c r="L618" s="0" t="s">
        <v>2277</v>
      </c>
    </row>
    <row r="619" customFormat="false" ht="15" hidden="false" customHeight="true" outlineLevel="0" collapsed="false">
      <c r="A619" s="0" t="n">
        <v>2</v>
      </c>
      <c r="B619" s="0" t="n">
        <v>1973888</v>
      </c>
      <c r="C619" s="0" t="s">
        <v>36</v>
      </c>
      <c r="D619" s="0" t="s">
        <v>2275</v>
      </c>
      <c r="E619" s="14" t="n">
        <v>46241</v>
      </c>
      <c r="F619" s="14" t="n">
        <v>46239</v>
      </c>
      <c r="G619" s="0" t="s">
        <v>130</v>
      </c>
      <c r="H619" s="0" t="n">
        <v>1514085</v>
      </c>
      <c r="I619" s="0" t="n">
        <v>11</v>
      </c>
      <c r="J619" s="0" t="s">
        <v>2276</v>
      </c>
      <c r="K619" s="15" t="n">
        <v>3289.2</v>
      </c>
      <c r="L619" s="0" t="s">
        <v>2277</v>
      </c>
    </row>
    <row r="620" customFormat="false" ht="15" hidden="false" customHeight="true" outlineLevel="0" collapsed="false">
      <c r="A620" s="0" t="n">
        <v>2</v>
      </c>
      <c r="B620" s="0" t="n">
        <v>1978</v>
      </c>
      <c r="C620" s="0" t="s">
        <v>52</v>
      </c>
      <c r="D620" s="0" t="s">
        <v>2310</v>
      </c>
      <c r="E620" s="14" t="n">
        <v>46241</v>
      </c>
      <c r="F620" s="14" t="n">
        <v>46241</v>
      </c>
      <c r="G620" s="0" t="s">
        <v>453</v>
      </c>
      <c r="H620" s="0" t="n">
        <v>1513950</v>
      </c>
      <c r="I620" s="0" t="n">
        <v>11</v>
      </c>
      <c r="J620" s="0" t="s">
        <v>2276</v>
      </c>
      <c r="K620" s="15" t="n">
        <v>250</v>
      </c>
      <c r="L620" s="0" t="s">
        <v>2277</v>
      </c>
    </row>
    <row r="621" customFormat="false" ht="15" hidden="false" customHeight="true" outlineLevel="0" collapsed="false">
      <c r="A621" s="0" t="n">
        <v>2</v>
      </c>
      <c r="B621" s="0" t="n">
        <v>2590</v>
      </c>
      <c r="C621" s="0" t="s">
        <v>52</v>
      </c>
      <c r="D621" s="0" t="s">
        <v>2288</v>
      </c>
      <c r="E621" s="14" t="n">
        <v>46241</v>
      </c>
      <c r="F621" s="14" t="n">
        <v>46241</v>
      </c>
      <c r="G621" s="0" t="s">
        <v>153</v>
      </c>
      <c r="H621" s="0" t="n">
        <v>1513987</v>
      </c>
      <c r="I621" s="0" t="n">
        <v>6</v>
      </c>
      <c r="J621" s="0" t="s">
        <v>2276</v>
      </c>
      <c r="K621" s="15" t="n">
        <v>300</v>
      </c>
      <c r="L621" s="0" t="s">
        <v>2277</v>
      </c>
    </row>
    <row r="622" customFormat="false" ht="15" hidden="false" customHeight="true" outlineLevel="0" collapsed="false">
      <c r="A622" s="0" t="n">
        <v>2</v>
      </c>
      <c r="B622" s="0" t="n">
        <v>2591</v>
      </c>
      <c r="C622" s="0" t="s">
        <v>52</v>
      </c>
      <c r="D622" s="0" t="s">
        <v>2288</v>
      </c>
      <c r="E622" s="14" t="n">
        <v>46241</v>
      </c>
      <c r="F622" s="14" t="n">
        <v>46241</v>
      </c>
      <c r="G622" s="0" t="s">
        <v>153</v>
      </c>
      <c r="H622" s="0" t="n">
        <v>1514010</v>
      </c>
      <c r="I622" s="0" t="n">
        <v>6</v>
      </c>
      <c r="J622" s="0" t="s">
        <v>2276</v>
      </c>
      <c r="K622" s="15" t="n">
        <v>1900</v>
      </c>
      <c r="L622" s="0" t="s">
        <v>2277</v>
      </c>
    </row>
    <row r="623" customFormat="false" ht="15" hidden="false" customHeight="true" outlineLevel="0" collapsed="false">
      <c r="A623" s="0" t="n">
        <v>2</v>
      </c>
      <c r="B623" s="0" t="n">
        <v>2594</v>
      </c>
      <c r="C623" s="0" t="s">
        <v>52</v>
      </c>
      <c r="D623" s="0" t="s">
        <v>2288</v>
      </c>
      <c r="E623" s="14" t="n">
        <v>46241</v>
      </c>
      <c r="F623" s="14" t="n">
        <v>46241</v>
      </c>
      <c r="G623" s="0" t="s">
        <v>153</v>
      </c>
      <c r="H623" s="0" t="n">
        <v>1514649</v>
      </c>
      <c r="I623" s="0" t="n">
        <v>6</v>
      </c>
      <c r="J623" s="0" t="s">
        <v>2276</v>
      </c>
      <c r="K623" s="15" t="n">
        <v>175</v>
      </c>
      <c r="L623" s="0" t="s">
        <v>2277</v>
      </c>
    </row>
    <row r="624" customFormat="false" ht="15" hidden="false" customHeight="true" outlineLevel="0" collapsed="false">
      <c r="A624" s="0" t="n">
        <v>2</v>
      </c>
      <c r="B624" s="0" t="n">
        <v>2595</v>
      </c>
      <c r="C624" s="0" t="s">
        <v>52</v>
      </c>
      <c r="D624" s="0" t="s">
        <v>2288</v>
      </c>
      <c r="E624" s="14" t="n">
        <v>46241</v>
      </c>
      <c r="F624" s="14" t="n">
        <v>46241</v>
      </c>
      <c r="G624" s="0" t="s">
        <v>153</v>
      </c>
      <c r="H624" s="0" t="n">
        <v>1514680</v>
      </c>
      <c r="I624" s="0" t="n">
        <v>6</v>
      </c>
      <c r="J624" s="0" t="s">
        <v>2276</v>
      </c>
      <c r="K624" s="15" t="n">
        <v>1848.86</v>
      </c>
      <c r="L624" s="0" t="s">
        <v>2277</v>
      </c>
    </row>
    <row r="625" customFormat="false" ht="15" hidden="false" customHeight="true" outlineLevel="0" collapsed="false">
      <c r="A625" s="0" t="n">
        <v>2</v>
      </c>
      <c r="B625" s="0" t="n">
        <v>32318</v>
      </c>
      <c r="C625" s="0" t="s">
        <v>102</v>
      </c>
      <c r="D625" s="0" t="s">
        <v>2313</v>
      </c>
      <c r="E625" s="14" t="n">
        <v>46241</v>
      </c>
      <c r="F625" s="14" t="n">
        <v>46241</v>
      </c>
      <c r="G625" s="0" t="s">
        <v>268</v>
      </c>
      <c r="H625" s="0" t="n">
        <v>1514125</v>
      </c>
      <c r="I625" s="0" t="n">
        <v>11</v>
      </c>
      <c r="J625" s="0" t="s">
        <v>2276</v>
      </c>
      <c r="K625" s="15" t="n">
        <v>2047.95</v>
      </c>
      <c r="L625" s="0" t="s">
        <v>2277</v>
      </c>
    </row>
    <row r="626" customFormat="false" ht="15" hidden="false" customHeight="true" outlineLevel="0" collapsed="false">
      <c r="A626" s="0" t="n">
        <v>2</v>
      </c>
      <c r="B626" s="0" t="n">
        <v>355</v>
      </c>
      <c r="C626" s="0" t="s">
        <v>52</v>
      </c>
      <c r="D626" s="0" t="s">
        <v>2289</v>
      </c>
      <c r="E626" s="14" t="n">
        <v>46241</v>
      </c>
      <c r="F626" s="14" t="n">
        <v>46239</v>
      </c>
      <c r="G626" s="0" t="s">
        <v>216</v>
      </c>
      <c r="H626" s="0" t="n">
        <v>1513508</v>
      </c>
      <c r="I626" s="0" t="n">
        <v>11</v>
      </c>
      <c r="J626" s="0" t="s">
        <v>2276</v>
      </c>
      <c r="K626" s="15" t="n">
        <v>899.5</v>
      </c>
      <c r="L626" s="0" t="s">
        <v>2277</v>
      </c>
    </row>
    <row r="627" customFormat="false" ht="15" hidden="false" customHeight="true" outlineLevel="0" collapsed="false">
      <c r="A627" s="0" t="n">
        <v>2</v>
      </c>
      <c r="B627" s="0" t="n">
        <v>395</v>
      </c>
      <c r="C627" s="0" t="s">
        <v>52</v>
      </c>
      <c r="D627" s="0" t="s">
        <v>2311</v>
      </c>
      <c r="E627" s="14" t="n">
        <v>46241</v>
      </c>
      <c r="F627" s="14" t="n">
        <v>46241</v>
      </c>
      <c r="G627" s="0" t="s">
        <v>86</v>
      </c>
      <c r="H627" s="0" t="n">
        <v>1514028</v>
      </c>
      <c r="I627" s="0" t="n">
        <v>11</v>
      </c>
      <c r="J627" s="0" t="s">
        <v>2276</v>
      </c>
      <c r="K627" s="15" t="n">
        <v>183</v>
      </c>
      <c r="L627" s="0" t="s">
        <v>2277</v>
      </c>
    </row>
    <row r="628" customFormat="false" ht="15" hidden="false" customHeight="true" outlineLevel="0" collapsed="false">
      <c r="A628" s="0" t="n">
        <v>2</v>
      </c>
      <c r="B628" s="0" t="n">
        <v>752</v>
      </c>
      <c r="C628" s="0" t="s">
        <v>44</v>
      </c>
      <c r="D628" s="0" t="s">
        <v>2283</v>
      </c>
      <c r="E628" s="14" t="n">
        <v>46241</v>
      </c>
      <c r="F628" s="14" t="n">
        <v>46240</v>
      </c>
      <c r="G628" s="0" t="s">
        <v>204</v>
      </c>
      <c r="H628" s="0" t="n">
        <v>1512883</v>
      </c>
      <c r="I628" s="0" t="n">
        <v>11</v>
      </c>
      <c r="J628" s="0" t="s">
        <v>2276</v>
      </c>
      <c r="K628" s="15" t="n">
        <v>374.7</v>
      </c>
      <c r="L628" s="0" t="s">
        <v>2277</v>
      </c>
    </row>
    <row r="629" customFormat="false" ht="15" hidden="false" customHeight="true" outlineLevel="0" collapsed="false">
      <c r="A629" s="0" t="n">
        <v>2</v>
      </c>
      <c r="B629" s="0" t="n">
        <v>8582</v>
      </c>
      <c r="C629" s="0" t="s">
        <v>52</v>
      </c>
      <c r="D629" s="0" t="s">
        <v>2374</v>
      </c>
      <c r="E629" s="14" t="n">
        <v>46241</v>
      </c>
      <c r="F629" s="14" t="n">
        <v>46240</v>
      </c>
      <c r="G629" s="0" t="s">
        <v>335</v>
      </c>
      <c r="H629" s="0" t="n">
        <v>1514338</v>
      </c>
      <c r="I629" s="0" t="n">
        <v>11</v>
      </c>
      <c r="J629" s="0" t="s">
        <v>2276</v>
      </c>
      <c r="K629" s="15" t="n">
        <v>765.24</v>
      </c>
      <c r="L629" s="0" t="s">
        <v>2277</v>
      </c>
    </row>
    <row r="630" customFormat="false" ht="15" hidden="false" customHeight="true" outlineLevel="0" collapsed="false">
      <c r="A630" s="0" t="n">
        <v>2</v>
      </c>
      <c r="B630" s="0" t="n">
        <v>8583</v>
      </c>
      <c r="C630" s="0" t="s">
        <v>52</v>
      </c>
      <c r="D630" s="0" t="s">
        <v>2374</v>
      </c>
      <c r="E630" s="14" t="n">
        <v>46241</v>
      </c>
      <c r="F630" s="14" t="n">
        <v>46240</v>
      </c>
      <c r="G630" s="0" t="s">
        <v>335</v>
      </c>
      <c r="H630" s="0" t="n">
        <v>1514240</v>
      </c>
      <c r="I630" s="0" t="n">
        <v>45</v>
      </c>
      <c r="J630" s="0" t="s">
        <v>2276</v>
      </c>
      <c r="K630" s="15" t="n">
        <v>1561.4</v>
      </c>
      <c r="L630" s="0" t="s">
        <v>2346</v>
      </c>
    </row>
    <row r="631" customFormat="false" ht="15" hidden="false" customHeight="true" outlineLevel="0" collapsed="false">
      <c r="A631" s="0" t="n">
        <v>2</v>
      </c>
      <c r="B631" s="0" t="n">
        <v>138</v>
      </c>
      <c r="C631" s="0" t="s">
        <v>52</v>
      </c>
      <c r="D631" s="0" t="s">
        <v>2399</v>
      </c>
      <c r="E631" s="14" t="n">
        <v>46242</v>
      </c>
      <c r="F631" s="14" t="n">
        <v>46242</v>
      </c>
      <c r="G631" s="0" t="s">
        <v>622</v>
      </c>
      <c r="H631" s="0" t="n">
        <v>1528792</v>
      </c>
      <c r="I631" s="0" t="n">
        <v>11</v>
      </c>
      <c r="J631" s="0" t="s">
        <v>2276</v>
      </c>
      <c r="K631" s="15" t="n">
        <v>200</v>
      </c>
      <c r="L631" s="0" t="s">
        <v>2277</v>
      </c>
    </row>
    <row r="632" customFormat="false" ht="15" hidden="false" customHeight="true" outlineLevel="0" collapsed="false">
      <c r="A632" s="0" t="n">
        <v>2</v>
      </c>
      <c r="B632" s="0" t="n">
        <v>1257279</v>
      </c>
      <c r="C632" s="0" t="s">
        <v>52</v>
      </c>
      <c r="D632" s="0" t="s">
        <v>2320</v>
      </c>
      <c r="E632" s="14" t="n">
        <v>46244</v>
      </c>
      <c r="F632" s="14" t="n">
        <v>46244</v>
      </c>
      <c r="G632" s="0" t="s">
        <v>468</v>
      </c>
      <c r="H632" s="0" t="n">
        <v>1528892</v>
      </c>
      <c r="I632" s="0" t="n">
        <v>11</v>
      </c>
      <c r="J632" s="0" t="s">
        <v>2276</v>
      </c>
      <c r="K632" s="15" t="n">
        <v>364.47</v>
      </c>
      <c r="L632" s="0" t="s">
        <v>2277</v>
      </c>
    </row>
    <row r="633" customFormat="false" ht="15" hidden="false" customHeight="true" outlineLevel="0" collapsed="false">
      <c r="A633" s="0" t="n">
        <v>2</v>
      </c>
      <c r="B633" s="0" t="n">
        <v>14993</v>
      </c>
      <c r="C633" s="0" t="s">
        <v>52</v>
      </c>
      <c r="D633" s="0" t="s">
        <v>2278</v>
      </c>
      <c r="E633" s="14" t="n">
        <v>46244</v>
      </c>
      <c r="F633" s="14" t="n">
        <v>46242</v>
      </c>
      <c r="G633" s="0" t="s">
        <v>270</v>
      </c>
      <c r="H633" s="0" t="n">
        <v>1529949</v>
      </c>
      <c r="I633" s="0" t="n">
        <v>11</v>
      </c>
      <c r="J633" s="0" t="s">
        <v>2276</v>
      </c>
      <c r="K633" s="15" t="n">
        <v>4599.9</v>
      </c>
      <c r="L633" s="0" t="s">
        <v>2277</v>
      </c>
    </row>
    <row r="634" customFormat="false" ht="15" hidden="false" customHeight="true" outlineLevel="0" collapsed="false">
      <c r="A634" s="0" t="n">
        <v>2</v>
      </c>
      <c r="B634" s="0" t="n">
        <v>15234</v>
      </c>
      <c r="C634" s="0" t="s">
        <v>52</v>
      </c>
      <c r="D634" s="0" t="s">
        <v>2279</v>
      </c>
      <c r="E634" s="14" t="n">
        <v>46244</v>
      </c>
      <c r="F634" s="14" t="n">
        <v>46244</v>
      </c>
      <c r="G634" s="0" t="s">
        <v>299</v>
      </c>
      <c r="H634" s="0" t="n">
        <v>1529978</v>
      </c>
      <c r="I634" s="0" t="n">
        <v>11</v>
      </c>
      <c r="J634" s="0" t="s">
        <v>2276</v>
      </c>
      <c r="K634" s="15" t="n">
        <v>284.93</v>
      </c>
      <c r="L634" s="0" t="s">
        <v>2277</v>
      </c>
    </row>
    <row r="635" customFormat="false" ht="15" hidden="false" customHeight="true" outlineLevel="0" collapsed="false">
      <c r="A635" s="0" t="n">
        <v>2</v>
      </c>
      <c r="B635" s="0" t="n">
        <v>1661052</v>
      </c>
      <c r="C635" s="0" t="s">
        <v>2280</v>
      </c>
      <c r="D635" s="0" t="s">
        <v>2281</v>
      </c>
      <c r="E635" s="14" t="n">
        <v>46244</v>
      </c>
      <c r="F635" s="14" t="n">
        <v>46244</v>
      </c>
      <c r="G635" s="0" t="s">
        <v>406</v>
      </c>
      <c r="H635" s="0" t="n">
        <v>1530015</v>
      </c>
      <c r="I635" s="0" t="n">
        <v>11</v>
      </c>
      <c r="J635" s="0" t="s">
        <v>2276</v>
      </c>
      <c r="K635" s="15" t="n">
        <v>216.5</v>
      </c>
      <c r="L635" s="0" t="s">
        <v>2277</v>
      </c>
    </row>
    <row r="636" customFormat="false" ht="15" hidden="false" customHeight="true" outlineLevel="0" collapsed="false">
      <c r="A636" s="0" t="n">
        <v>2</v>
      </c>
      <c r="B636" s="0" t="n">
        <v>1661057</v>
      </c>
      <c r="C636" s="0" t="s">
        <v>2280</v>
      </c>
      <c r="D636" s="0" t="s">
        <v>2281</v>
      </c>
      <c r="E636" s="14" t="n">
        <v>46244</v>
      </c>
      <c r="F636" s="14" t="n">
        <v>46244</v>
      </c>
      <c r="G636" s="0" t="s">
        <v>406</v>
      </c>
      <c r="H636" s="0" t="n">
        <v>1530019</v>
      </c>
      <c r="I636" s="0" t="n">
        <v>11</v>
      </c>
      <c r="J636" s="0" t="s">
        <v>2276</v>
      </c>
      <c r="K636" s="15" t="n">
        <v>136</v>
      </c>
      <c r="L636" s="0" t="s">
        <v>2277</v>
      </c>
    </row>
    <row r="637" customFormat="false" ht="15" hidden="false" customHeight="true" outlineLevel="0" collapsed="false">
      <c r="A637" s="0" t="n">
        <v>2</v>
      </c>
      <c r="B637" s="0" t="n">
        <v>2596</v>
      </c>
      <c r="C637" s="0" t="s">
        <v>52</v>
      </c>
      <c r="D637" s="0" t="s">
        <v>2288</v>
      </c>
      <c r="E637" s="14" t="n">
        <v>46244</v>
      </c>
      <c r="F637" s="14" t="n">
        <v>46244</v>
      </c>
      <c r="G637" s="0" t="s">
        <v>153</v>
      </c>
      <c r="H637" s="0" t="n">
        <v>1529194</v>
      </c>
      <c r="I637" s="0" t="n">
        <v>6</v>
      </c>
      <c r="J637" s="0" t="s">
        <v>2276</v>
      </c>
      <c r="K637" s="15" t="n">
        <v>375</v>
      </c>
      <c r="L637" s="0" t="s">
        <v>2277</v>
      </c>
    </row>
    <row r="638" customFormat="false" ht="15" hidden="false" customHeight="true" outlineLevel="0" collapsed="false">
      <c r="A638" s="0" t="n">
        <v>2</v>
      </c>
      <c r="B638" s="0" t="n">
        <v>31847</v>
      </c>
      <c r="C638" s="0" t="s">
        <v>52</v>
      </c>
      <c r="D638" s="0" t="s">
        <v>2294</v>
      </c>
      <c r="E638" s="14" t="n">
        <v>46244</v>
      </c>
      <c r="F638" s="14" t="n">
        <v>46244</v>
      </c>
      <c r="G638" s="0" t="s">
        <v>147</v>
      </c>
      <c r="H638" s="0" t="n">
        <v>1529985</v>
      </c>
      <c r="I638" s="0" t="n">
        <v>11</v>
      </c>
      <c r="J638" s="0" t="s">
        <v>2276</v>
      </c>
      <c r="K638" s="15" t="n">
        <v>138</v>
      </c>
      <c r="L638" s="0" t="s">
        <v>2277</v>
      </c>
    </row>
    <row r="639" customFormat="false" ht="15" hidden="false" customHeight="true" outlineLevel="0" collapsed="false">
      <c r="A639" s="0" t="n">
        <v>2</v>
      </c>
      <c r="B639" s="0" t="n">
        <v>32337</v>
      </c>
      <c r="C639" s="0" t="s">
        <v>52</v>
      </c>
      <c r="D639" s="0" t="s">
        <v>2296</v>
      </c>
      <c r="E639" s="14" t="n">
        <v>46244</v>
      </c>
      <c r="F639" s="14" t="n">
        <v>46242</v>
      </c>
      <c r="G639" s="0" t="s">
        <v>162</v>
      </c>
      <c r="H639" s="0" t="n">
        <v>1529233</v>
      </c>
      <c r="I639" s="0" t="n">
        <v>11</v>
      </c>
      <c r="J639" s="0" t="s">
        <v>2276</v>
      </c>
      <c r="K639" s="15" t="n">
        <v>2918.55</v>
      </c>
      <c r="L639" s="0" t="s">
        <v>2277</v>
      </c>
    </row>
    <row r="640" customFormat="false" ht="15" hidden="false" customHeight="true" outlineLevel="0" collapsed="false">
      <c r="A640" s="0" t="n">
        <v>2</v>
      </c>
      <c r="B640" s="0" t="n">
        <v>569335</v>
      </c>
      <c r="C640" s="0" t="s">
        <v>2316</v>
      </c>
      <c r="D640" s="0" t="s">
        <v>2317</v>
      </c>
      <c r="E640" s="14" t="n">
        <v>46244</v>
      </c>
      <c r="F640" s="14" t="n">
        <v>46239</v>
      </c>
      <c r="G640" s="0" t="s">
        <v>266</v>
      </c>
      <c r="H640" s="0" t="n">
        <v>1529041</v>
      </c>
      <c r="I640" s="0" t="n">
        <v>11</v>
      </c>
      <c r="J640" s="0" t="s">
        <v>2276</v>
      </c>
      <c r="K640" s="15" t="n">
        <v>13545.54</v>
      </c>
      <c r="L640" s="0" t="s">
        <v>2277</v>
      </c>
    </row>
    <row r="641" customFormat="false" ht="15" hidden="false" customHeight="true" outlineLevel="0" collapsed="false">
      <c r="A641" s="0" t="n">
        <v>2</v>
      </c>
      <c r="B641" s="0" t="n">
        <v>579</v>
      </c>
      <c r="C641" s="0" t="s">
        <v>52</v>
      </c>
      <c r="D641" s="0" t="s">
        <v>2291</v>
      </c>
      <c r="E641" s="14" t="n">
        <v>46244</v>
      </c>
      <c r="F641" s="14" t="n">
        <v>46241</v>
      </c>
      <c r="G641" s="0" t="s">
        <v>123</v>
      </c>
      <c r="H641" s="0" t="n">
        <v>1529123</v>
      </c>
      <c r="I641" s="0" t="n">
        <v>11</v>
      </c>
      <c r="J641" s="0" t="s">
        <v>2276</v>
      </c>
      <c r="K641" s="15" t="n">
        <v>420</v>
      </c>
      <c r="L641" s="0" t="s">
        <v>2277</v>
      </c>
    </row>
    <row r="642" customFormat="false" ht="15" hidden="false" customHeight="true" outlineLevel="0" collapsed="false">
      <c r="A642" s="0" t="n">
        <v>2</v>
      </c>
      <c r="B642" s="0" t="n">
        <v>889827</v>
      </c>
      <c r="C642" s="0" t="s">
        <v>52</v>
      </c>
      <c r="D642" s="0" t="s">
        <v>2342</v>
      </c>
      <c r="E642" s="14" t="n">
        <v>46244</v>
      </c>
      <c r="F642" s="14" t="n">
        <v>46241</v>
      </c>
      <c r="G642" s="0" t="s">
        <v>214</v>
      </c>
      <c r="H642" s="0" t="n">
        <v>1529137</v>
      </c>
      <c r="I642" s="0" t="n">
        <v>11</v>
      </c>
      <c r="J642" s="0" t="s">
        <v>2276</v>
      </c>
      <c r="K642" s="15" t="n">
        <v>698</v>
      </c>
      <c r="L642" s="0" t="s">
        <v>2277</v>
      </c>
    </row>
    <row r="643" customFormat="false" ht="15" hidden="false" customHeight="true" outlineLevel="0" collapsed="false">
      <c r="A643" s="0" t="n">
        <v>2</v>
      </c>
      <c r="B643" s="0" t="n">
        <v>948218</v>
      </c>
      <c r="C643" s="0" t="s">
        <v>2340</v>
      </c>
      <c r="D643" s="0" t="s">
        <v>2341</v>
      </c>
      <c r="E643" s="14" t="n">
        <v>46244</v>
      </c>
      <c r="F643" s="14" t="n">
        <v>46242</v>
      </c>
      <c r="G643" s="0" t="s">
        <v>232</v>
      </c>
      <c r="H643" s="0" t="n">
        <v>1529995</v>
      </c>
      <c r="I643" s="0" t="n">
        <v>11</v>
      </c>
      <c r="J643" s="0" t="s">
        <v>2276</v>
      </c>
      <c r="K643" s="15" t="n">
        <v>1124.39</v>
      </c>
      <c r="L643" s="0" t="s">
        <v>2277</v>
      </c>
    </row>
    <row r="644" customFormat="false" ht="15" hidden="false" customHeight="true" outlineLevel="0" collapsed="false">
      <c r="A644" s="0" t="n">
        <v>2</v>
      </c>
      <c r="B644" s="0" t="n">
        <v>1414620</v>
      </c>
      <c r="C644" s="0" t="s">
        <v>52</v>
      </c>
      <c r="D644" s="0" t="s">
        <v>2308</v>
      </c>
      <c r="E644" s="14" t="n">
        <v>46245</v>
      </c>
      <c r="F644" s="14" t="n">
        <v>46238</v>
      </c>
      <c r="G644" s="0" t="s">
        <v>343</v>
      </c>
      <c r="H644" s="0" t="n">
        <v>1532207</v>
      </c>
      <c r="I644" s="0" t="n">
        <v>11</v>
      </c>
      <c r="J644" s="0" t="s">
        <v>2276</v>
      </c>
      <c r="K644" s="15" t="n">
        <v>2852.4</v>
      </c>
      <c r="L644" s="0" t="s">
        <v>2277</v>
      </c>
    </row>
    <row r="645" customFormat="false" ht="15" hidden="false" customHeight="true" outlineLevel="0" collapsed="false">
      <c r="A645" s="0" t="n">
        <v>2</v>
      </c>
      <c r="B645" s="0" t="n">
        <v>1898</v>
      </c>
      <c r="C645" s="0" t="s">
        <v>52</v>
      </c>
      <c r="D645" s="0" t="s">
        <v>2321</v>
      </c>
      <c r="E645" s="14" t="n">
        <v>46245</v>
      </c>
      <c r="F645" s="14" t="n">
        <v>46238</v>
      </c>
      <c r="G645" s="0" t="s">
        <v>42</v>
      </c>
      <c r="H645" s="0" t="n">
        <v>1533172</v>
      </c>
      <c r="I645" s="0" t="n">
        <v>11</v>
      </c>
      <c r="J645" s="0" t="s">
        <v>2276</v>
      </c>
      <c r="K645" s="15" t="n">
        <v>1277.5</v>
      </c>
      <c r="L645" s="0" t="s">
        <v>2277</v>
      </c>
    </row>
    <row r="646" customFormat="false" ht="15" hidden="false" customHeight="true" outlineLevel="0" collapsed="false">
      <c r="A646" s="0" t="n">
        <v>2</v>
      </c>
      <c r="B646" s="0" t="n">
        <v>2599</v>
      </c>
      <c r="C646" s="0" t="s">
        <v>52</v>
      </c>
      <c r="D646" s="0" t="s">
        <v>2288</v>
      </c>
      <c r="E646" s="14" t="n">
        <v>46245</v>
      </c>
      <c r="F646" s="14" t="n">
        <v>46245</v>
      </c>
      <c r="G646" s="0" t="s">
        <v>153</v>
      </c>
      <c r="H646" s="0" t="n">
        <v>1533103</v>
      </c>
      <c r="I646" s="0" t="n">
        <v>6</v>
      </c>
      <c r="J646" s="0" t="s">
        <v>2276</v>
      </c>
      <c r="K646" s="15" t="n">
        <v>175</v>
      </c>
      <c r="L646" s="0" t="s">
        <v>2277</v>
      </c>
    </row>
    <row r="647" customFormat="false" ht="15" hidden="false" customHeight="true" outlineLevel="0" collapsed="false">
      <c r="A647" s="0" t="n">
        <v>2</v>
      </c>
      <c r="B647" s="0" t="n">
        <v>2600</v>
      </c>
      <c r="C647" s="0" t="s">
        <v>52</v>
      </c>
      <c r="D647" s="0" t="s">
        <v>2288</v>
      </c>
      <c r="E647" s="14" t="n">
        <v>46245</v>
      </c>
      <c r="F647" s="14" t="n">
        <v>46245</v>
      </c>
      <c r="G647" s="0" t="s">
        <v>153</v>
      </c>
      <c r="H647" s="0" t="n">
        <v>1533121</v>
      </c>
      <c r="I647" s="0" t="n">
        <v>6</v>
      </c>
      <c r="J647" s="0" t="s">
        <v>2276</v>
      </c>
      <c r="K647" s="15" t="n">
        <v>1838.25</v>
      </c>
      <c r="L647" s="0" t="s">
        <v>2277</v>
      </c>
    </row>
    <row r="648" customFormat="false" ht="15" hidden="false" customHeight="true" outlineLevel="0" collapsed="false">
      <c r="A648" s="0" t="n">
        <v>2</v>
      </c>
      <c r="B648" s="0" t="n">
        <v>394</v>
      </c>
      <c r="C648" s="0" t="s">
        <v>52</v>
      </c>
      <c r="D648" s="0" t="s">
        <v>2408</v>
      </c>
      <c r="E648" s="14" t="n">
        <v>46245</v>
      </c>
      <c r="F648" s="14" t="n">
        <v>46235</v>
      </c>
      <c r="G648" s="0" t="s">
        <v>524</v>
      </c>
      <c r="H648" s="0" t="n">
        <v>1532290</v>
      </c>
      <c r="I648" s="0" t="n">
        <v>11</v>
      </c>
      <c r="J648" s="0" t="s">
        <v>2276</v>
      </c>
      <c r="K648" s="15" t="n">
        <v>370.49</v>
      </c>
      <c r="L648" s="0" t="s">
        <v>2277</v>
      </c>
    </row>
    <row r="649" customFormat="false" ht="15" hidden="false" customHeight="true" outlineLevel="0" collapsed="false">
      <c r="A649" s="0" t="n">
        <v>2</v>
      </c>
      <c r="B649" s="0" t="n">
        <v>4340</v>
      </c>
      <c r="C649" s="0" t="s">
        <v>52</v>
      </c>
      <c r="D649" s="0" t="s">
        <v>2290</v>
      </c>
      <c r="E649" s="14" t="n">
        <v>46245</v>
      </c>
      <c r="F649" s="14" t="n">
        <v>46244</v>
      </c>
      <c r="G649" s="0" t="s">
        <v>95</v>
      </c>
      <c r="H649" s="0" t="n">
        <v>1532673</v>
      </c>
      <c r="I649" s="0" t="n">
        <v>11</v>
      </c>
      <c r="J649" s="0" t="s">
        <v>2276</v>
      </c>
      <c r="K649" s="15" t="n">
        <v>279.65</v>
      </c>
      <c r="L649" s="0" t="s">
        <v>2277</v>
      </c>
    </row>
    <row r="650" customFormat="false" ht="15" hidden="false" customHeight="true" outlineLevel="0" collapsed="false">
      <c r="A650" s="0" t="n">
        <v>2</v>
      </c>
      <c r="B650" s="0" t="n">
        <v>55971</v>
      </c>
      <c r="C650" s="0" t="s">
        <v>52</v>
      </c>
      <c r="D650" s="0" t="s">
        <v>2334</v>
      </c>
      <c r="E650" s="14" t="n">
        <v>46245</v>
      </c>
      <c r="F650" s="14" t="n">
        <v>46244</v>
      </c>
      <c r="G650" s="0" t="s">
        <v>487</v>
      </c>
      <c r="H650" s="0" t="n">
        <v>1532617</v>
      </c>
      <c r="I650" s="0" t="n">
        <v>11</v>
      </c>
      <c r="J650" s="0" t="s">
        <v>2276</v>
      </c>
      <c r="K650" s="15" t="n">
        <v>304.02</v>
      </c>
      <c r="L650" s="0" t="s">
        <v>2277</v>
      </c>
    </row>
    <row r="651" customFormat="false" ht="15" hidden="false" customHeight="true" outlineLevel="0" collapsed="false">
      <c r="A651" s="0" t="n">
        <v>2</v>
      </c>
      <c r="B651" s="0" t="n">
        <v>153</v>
      </c>
      <c r="C651" s="0" t="s">
        <v>52</v>
      </c>
      <c r="D651" s="0" t="s">
        <v>2399</v>
      </c>
      <c r="E651" s="14" t="n">
        <v>46246</v>
      </c>
      <c r="F651" s="14" t="n">
        <v>46246</v>
      </c>
      <c r="G651" s="0" t="s">
        <v>622</v>
      </c>
      <c r="H651" s="0" t="n">
        <v>1545490</v>
      </c>
      <c r="I651" s="0" t="n">
        <v>11</v>
      </c>
      <c r="J651" s="0" t="s">
        <v>2276</v>
      </c>
      <c r="K651" s="15" t="n">
        <v>140</v>
      </c>
      <c r="L651" s="0" t="s">
        <v>2277</v>
      </c>
    </row>
    <row r="652" customFormat="false" ht="15" hidden="false" customHeight="true" outlineLevel="0" collapsed="false">
      <c r="A652" s="0" t="n">
        <v>2</v>
      </c>
      <c r="B652" s="0" t="n">
        <v>1709601</v>
      </c>
      <c r="C652" s="0" t="s">
        <v>52</v>
      </c>
      <c r="D652" s="0" t="s">
        <v>2287</v>
      </c>
      <c r="E652" s="14" t="n">
        <v>46246</v>
      </c>
      <c r="F652" s="14" t="n">
        <v>46245</v>
      </c>
      <c r="G652" s="0" t="s">
        <v>240</v>
      </c>
      <c r="H652" s="0" t="n">
        <v>1534782</v>
      </c>
      <c r="I652" s="0" t="n">
        <v>11</v>
      </c>
      <c r="J652" s="0" t="s">
        <v>2276</v>
      </c>
      <c r="K652" s="15" t="n">
        <v>3838.74</v>
      </c>
      <c r="L652" s="0" t="s">
        <v>2277</v>
      </c>
    </row>
    <row r="653" customFormat="false" ht="15" hidden="false" customHeight="true" outlineLevel="0" collapsed="false">
      <c r="A653" s="0" t="n">
        <v>2</v>
      </c>
      <c r="B653" s="0" t="n">
        <v>330057</v>
      </c>
      <c r="C653" s="0" t="s">
        <v>52</v>
      </c>
      <c r="D653" s="0" t="s">
        <v>2364</v>
      </c>
      <c r="E653" s="14" t="n">
        <v>46246</v>
      </c>
      <c r="F653" s="14" t="n">
        <v>46245</v>
      </c>
      <c r="G653" s="0" t="s">
        <v>285</v>
      </c>
      <c r="H653" s="0" t="n">
        <v>1535235</v>
      </c>
      <c r="I653" s="0" t="n">
        <v>11</v>
      </c>
      <c r="J653" s="0" t="s">
        <v>2276</v>
      </c>
      <c r="K653" s="15" t="n">
        <v>1401.4</v>
      </c>
      <c r="L653" s="0" t="s">
        <v>2277</v>
      </c>
    </row>
    <row r="654" customFormat="false" ht="15" hidden="false" customHeight="true" outlineLevel="0" collapsed="false">
      <c r="A654" s="0" t="n">
        <v>2</v>
      </c>
      <c r="B654" s="0" t="n">
        <v>399</v>
      </c>
      <c r="C654" s="0" t="s">
        <v>52</v>
      </c>
      <c r="D654" s="0" t="s">
        <v>2408</v>
      </c>
      <c r="E654" s="14" t="n">
        <v>46246</v>
      </c>
      <c r="F654" s="14" t="n">
        <v>46245</v>
      </c>
      <c r="G654" s="0" t="s">
        <v>524</v>
      </c>
      <c r="H654" s="0" t="n">
        <v>1534914</v>
      </c>
      <c r="I654" s="0" t="n">
        <v>11</v>
      </c>
      <c r="J654" s="0" t="s">
        <v>2276</v>
      </c>
      <c r="K654" s="15" t="n">
        <v>346</v>
      </c>
      <c r="L654" s="0" t="s">
        <v>2277</v>
      </c>
    </row>
    <row r="655" customFormat="false" ht="15" hidden="false" customHeight="true" outlineLevel="0" collapsed="false">
      <c r="A655" s="0" t="n">
        <v>2</v>
      </c>
      <c r="B655" s="0" t="n">
        <v>44054</v>
      </c>
      <c r="C655" s="0" t="s">
        <v>102</v>
      </c>
      <c r="D655" s="0" t="s">
        <v>2358</v>
      </c>
      <c r="E655" s="14" t="n">
        <v>46246</v>
      </c>
      <c r="F655" s="14" t="n">
        <v>46245</v>
      </c>
      <c r="G655" s="0" t="s">
        <v>837</v>
      </c>
      <c r="H655" s="0" t="n">
        <v>1537380</v>
      </c>
      <c r="I655" s="0" t="n">
        <v>11</v>
      </c>
      <c r="J655" s="0" t="s">
        <v>2276</v>
      </c>
      <c r="K655" s="15" t="n">
        <v>205.44</v>
      </c>
      <c r="L655" s="0" t="s">
        <v>2277</v>
      </c>
    </row>
    <row r="656" customFormat="false" ht="15" hidden="false" customHeight="true" outlineLevel="0" collapsed="false">
      <c r="A656" s="0" t="n">
        <v>2</v>
      </c>
      <c r="B656" s="0" t="n">
        <v>598</v>
      </c>
      <c r="C656" s="0" t="s">
        <v>52</v>
      </c>
      <c r="D656" s="0" t="s">
        <v>2291</v>
      </c>
      <c r="E656" s="14" t="n">
        <v>46246</v>
      </c>
      <c r="F656" s="14" t="n">
        <v>46245</v>
      </c>
      <c r="G656" s="0" t="s">
        <v>123</v>
      </c>
      <c r="H656" s="0" t="n">
        <v>1534760</v>
      </c>
      <c r="I656" s="0" t="n">
        <v>11</v>
      </c>
      <c r="J656" s="0" t="s">
        <v>2276</v>
      </c>
      <c r="K656" s="15" t="n">
        <v>240</v>
      </c>
      <c r="L656" s="0" t="s">
        <v>2277</v>
      </c>
    </row>
    <row r="657" customFormat="false" ht="15" hidden="false" customHeight="true" outlineLevel="0" collapsed="false">
      <c r="A657" s="0" t="n">
        <v>2</v>
      </c>
      <c r="B657" s="0" t="n">
        <v>747704</v>
      </c>
      <c r="C657" s="0" t="s">
        <v>2337</v>
      </c>
      <c r="D657" s="0" t="s">
        <v>2365</v>
      </c>
      <c r="E657" s="14" t="n">
        <v>46246</v>
      </c>
      <c r="F657" s="14" t="n">
        <v>46244</v>
      </c>
      <c r="G657" s="0" t="s">
        <v>151</v>
      </c>
      <c r="H657" s="0" t="n">
        <v>1534499</v>
      </c>
      <c r="I657" s="0" t="n">
        <v>11</v>
      </c>
      <c r="J657" s="0" t="s">
        <v>2276</v>
      </c>
      <c r="K657" s="15" t="n">
        <v>509.85</v>
      </c>
      <c r="L657" s="0" t="s">
        <v>2277</v>
      </c>
    </row>
    <row r="658" customFormat="false" ht="15" hidden="false" customHeight="true" outlineLevel="0" collapsed="false">
      <c r="A658" s="0" t="n">
        <v>2</v>
      </c>
      <c r="B658" s="0" t="n">
        <v>1258801</v>
      </c>
      <c r="C658" s="0" t="s">
        <v>52</v>
      </c>
      <c r="D658" s="0" t="s">
        <v>2320</v>
      </c>
      <c r="E658" s="14" t="n">
        <v>46247</v>
      </c>
      <c r="F658" s="14" t="n">
        <v>46247</v>
      </c>
      <c r="G658" s="0" t="s">
        <v>468</v>
      </c>
      <c r="H658" s="0" t="n">
        <v>1541166</v>
      </c>
      <c r="I658" s="0" t="n">
        <v>11</v>
      </c>
      <c r="J658" s="0" t="s">
        <v>2276</v>
      </c>
      <c r="K658" s="15" t="n">
        <v>386.74</v>
      </c>
      <c r="L658" s="0" t="s">
        <v>2277</v>
      </c>
    </row>
    <row r="659" customFormat="false" ht="15" hidden="false" customHeight="true" outlineLevel="0" collapsed="false">
      <c r="A659" s="0" t="n">
        <v>2</v>
      </c>
      <c r="B659" s="0" t="n">
        <v>158</v>
      </c>
      <c r="C659" s="0" t="s">
        <v>52</v>
      </c>
      <c r="D659" s="0" t="s">
        <v>2399</v>
      </c>
      <c r="E659" s="14" t="n">
        <v>46247</v>
      </c>
      <c r="F659" s="14" t="n">
        <v>46247</v>
      </c>
      <c r="G659" s="0" t="s">
        <v>622</v>
      </c>
      <c r="H659" s="0" t="n">
        <v>1545507</v>
      </c>
      <c r="I659" s="0" t="n">
        <v>11</v>
      </c>
      <c r="J659" s="0" t="s">
        <v>2276</v>
      </c>
      <c r="K659" s="15" t="n">
        <v>120</v>
      </c>
      <c r="L659" s="0" t="s">
        <v>2277</v>
      </c>
    </row>
    <row r="660" customFormat="false" ht="15" hidden="false" customHeight="true" outlineLevel="0" collapsed="false">
      <c r="A660" s="0" t="n">
        <v>2</v>
      </c>
      <c r="B660" s="0" t="n">
        <v>1710665</v>
      </c>
      <c r="C660" s="0" t="s">
        <v>52</v>
      </c>
      <c r="D660" s="0" t="s">
        <v>2287</v>
      </c>
      <c r="E660" s="14" t="n">
        <v>46247</v>
      </c>
      <c r="F660" s="14" t="n">
        <v>46246</v>
      </c>
      <c r="G660" s="0" t="s">
        <v>240</v>
      </c>
      <c r="H660" s="0" t="n">
        <v>1540733</v>
      </c>
      <c r="I660" s="0" t="n">
        <v>11</v>
      </c>
      <c r="J660" s="0" t="s">
        <v>2276</v>
      </c>
      <c r="K660" s="15" t="n">
        <v>2076.78</v>
      </c>
      <c r="L660" s="0" t="s">
        <v>2277</v>
      </c>
    </row>
    <row r="661" customFormat="false" ht="15" hidden="false" customHeight="true" outlineLevel="0" collapsed="false">
      <c r="A661" s="0" t="n">
        <v>2</v>
      </c>
      <c r="B661" s="0" t="n">
        <v>174797</v>
      </c>
      <c r="C661" s="0" t="s">
        <v>52</v>
      </c>
      <c r="D661" s="0" t="s">
        <v>2293</v>
      </c>
      <c r="E661" s="14" t="n">
        <v>46247</v>
      </c>
      <c r="F661" s="14" t="n">
        <v>46247</v>
      </c>
      <c r="G661" s="0" t="s">
        <v>371</v>
      </c>
      <c r="H661" s="0" t="n">
        <v>1542553</v>
      </c>
      <c r="I661" s="0" t="n">
        <v>11</v>
      </c>
      <c r="J661" s="0" t="s">
        <v>2276</v>
      </c>
      <c r="K661" s="15" t="n">
        <v>3814.8</v>
      </c>
      <c r="L661" s="0" t="s">
        <v>2277</v>
      </c>
    </row>
    <row r="662" customFormat="false" ht="15" hidden="false" customHeight="true" outlineLevel="0" collapsed="false">
      <c r="A662" s="0" t="n">
        <v>2</v>
      </c>
      <c r="B662" s="0" t="n">
        <v>257600</v>
      </c>
      <c r="C662" s="0" t="s">
        <v>52</v>
      </c>
      <c r="D662" s="0" t="s">
        <v>2323</v>
      </c>
      <c r="E662" s="14" t="n">
        <v>46247</v>
      </c>
      <c r="F662" s="14" t="n">
        <v>46246</v>
      </c>
      <c r="G662" s="0" t="s">
        <v>566</v>
      </c>
      <c r="H662" s="0" t="n">
        <v>1542913</v>
      </c>
      <c r="I662" s="0" t="n">
        <v>11</v>
      </c>
      <c r="J662" s="0" t="s">
        <v>2276</v>
      </c>
      <c r="K662" s="15" t="n">
        <v>1050.07</v>
      </c>
      <c r="L662" s="0" t="s">
        <v>2277</v>
      </c>
    </row>
    <row r="663" customFormat="false" ht="15" hidden="false" customHeight="true" outlineLevel="0" collapsed="false">
      <c r="A663" s="0" t="n">
        <v>2</v>
      </c>
      <c r="B663" s="0" t="n">
        <v>3231</v>
      </c>
      <c r="C663" s="0" t="s">
        <v>67</v>
      </c>
      <c r="D663" s="0" t="s">
        <v>2295</v>
      </c>
      <c r="E663" s="14" t="n">
        <v>46247</v>
      </c>
      <c r="F663" s="14" t="n">
        <v>46246</v>
      </c>
      <c r="G663" s="0" t="s">
        <v>128</v>
      </c>
      <c r="H663" s="0" t="n">
        <v>1540992</v>
      </c>
      <c r="I663" s="0" t="n">
        <v>11</v>
      </c>
      <c r="J663" s="0" t="s">
        <v>2276</v>
      </c>
      <c r="K663" s="15" t="n">
        <v>600</v>
      </c>
      <c r="L663" s="0" t="s">
        <v>2277</v>
      </c>
    </row>
    <row r="664" customFormat="false" ht="15" hidden="false" customHeight="true" outlineLevel="0" collapsed="false">
      <c r="A664" s="0" t="n">
        <v>2</v>
      </c>
      <c r="B664" s="0" t="n">
        <v>398227</v>
      </c>
      <c r="C664" s="0" t="s">
        <v>52</v>
      </c>
      <c r="D664" s="0" t="s">
        <v>2328</v>
      </c>
      <c r="E664" s="14" t="n">
        <v>46247</v>
      </c>
      <c r="F664" s="14" t="n">
        <v>46246</v>
      </c>
      <c r="G664" s="0" t="s">
        <v>77</v>
      </c>
      <c r="H664" s="0" t="n">
        <v>1540902</v>
      </c>
      <c r="I664" s="0" t="n">
        <v>11</v>
      </c>
      <c r="J664" s="0" t="s">
        <v>2276</v>
      </c>
      <c r="K664" s="15" t="n">
        <v>1332.55</v>
      </c>
      <c r="L664" s="0" t="s">
        <v>2277</v>
      </c>
    </row>
    <row r="665" customFormat="false" ht="15" hidden="false" customHeight="true" outlineLevel="0" collapsed="false">
      <c r="A665" s="0" t="n">
        <v>2</v>
      </c>
      <c r="B665" s="0" t="n">
        <v>53859</v>
      </c>
      <c r="C665" s="0" t="s">
        <v>44</v>
      </c>
      <c r="D665" s="0" t="s">
        <v>2398</v>
      </c>
      <c r="E665" s="14" t="n">
        <v>46247</v>
      </c>
      <c r="F665" s="14" t="n">
        <v>46246</v>
      </c>
      <c r="G665" s="0" t="s">
        <v>1193</v>
      </c>
      <c r="H665" s="0" t="n">
        <v>1543143</v>
      </c>
      <c r="I665" s="0" t="n">
        <v>11</v>
      </c>
      <c r="J665" s="0" t="s">
        <v>2276</v>
      </c>
      <c r="K665" s="15" t="n">
        <v>1393.49</v>
      </c>
      <c r="L665" s="0" t="s">
        <v>2277</v>
      </c>
    </row>
    <row r="666" customFormat="false" ht="15" hidden="false" customHeight="true" outlineLevel="0" collapsed="false">
      <c r="A666" s="0" t="n">
        <v>2</v>
      </c>
      <c r="B666" s="0" t="n">
        <v>586317</v>
      </c>
      <c r="C666" s="0" t="s">
        <v>52</v>
      </c>
      <c r="D666" s="0" t="s">
        <v>2384</v>
      </c>
      <c r="E666" s="14" t="n">
        <v>46247</v>
      </c>
      <c r="F666" s="14" t="n">
        <v>46246</v>
      </c>
      <c r="G666" s="0" t="s">
        <v>119</v>
      </c>
      <c r="H666" s="0" t="n">
        <v>1543011</v>
      </c>
      <c r="I666" s="0" t="n">
        <v>11</v>
      </c>
      <c r="J666" s="0" t="s">
        <v>2276</v>
      </c>
      <c r="K666" s="15" t="n">
        <v>271.2</v>
      </c>
      <c r="L666" s="0" t="s">
        <v>2277</v>
      </c>
    </row>
    <row r="667" customFormat="false" ht="15" hidden="false" customHeight="true" outlineLevel="0" collapsed="false">
      <c r="A667" s="0" t="n">
        <v>2</v>
      </c>
      <c r="B667" s="0" t="n">
        <v>621794</v>
      </c>
      <c r="C667" s="0" t="s">
        <v>102</v>
      </c>
      <c r="D667" s="0" t="s">
        <v>2325</v>
      </c>
      <c r="E667" s="14" t="n">
        <v>46247</v>
      </c>
      <c r="F667" s="14" t="n">
        <v>46246</v>
      </c>
      <c r="G667" s="0" t="s">
        <v>471</v>
      </c>
      <c r="H667" s="0" t="n">
        <v>1541937</v>
      </c>
      <c r="I667" s="0" t="n">
        <v>11</v>
      </c>
      <c r="J667" s="0" t="s">
        <v>2276</v>
      </c>
      <c r="K667" s="15" t="n">
        <v>149</v>
      </c>
      <c r="L667" s="0" t="s">
        <v>2277</v>
      </c>
    </row>
    <row r="668" customFormat="false" ht="15" hidden="false" customHeight="true" outlineLevel="0" collapsed="false">
      <c r="A668" s="0" t="n">
        <v>2</v>
      </c>
      <c r="B668" s="0" t="n">
        <v>668739</v>
      </c>
      <c r="C668" s="0" t="s">
        <v>52</v>
      </c>
      <c r="D668" s="0" t="s">
        <v>2353</v>
      </c>
      <c r="E668" s="14" t="n">
        <v>46247</v>
      </c>
      <c r="F668" s="14" t="n">
        <v>46246</v>
      </c>
      <c r="G668" s="0" t="s">
        <v>351</v>
      </c>
      <c r="H668" s="0" t="n">
        <v>1543899</v>
      </c>
      <c r="I668" s="0" t="n">
        <v>11</v>
      </c>
      <c r="J668" s="0" t="s">
        <v>2276</v>
      </c>
      <c r="K668" s="15" t="n">
        <v>2490.4</v>
      </c>
      <c r="L668" s="0" t="s">
        <v>2277</v>
      </c>
    </row>
    <row r="669" customFormat="false" ht="15" hidden="false" customHeight="true" outlineLevel="0" collapsed="false">
      <c r="A669" s="0" t="n">
        <v>2</v>
      </c>
      <c r="B669" s="0" t="n">
        <v>760</v>
      </c>
      <c r="C669" s="0" t="s">
        <v>44</v>
      </c>
      <c r="D669" s="0" t="s">
        <v>2283</v>
      </c>
      <c r="E669" s="14" t="n">
        <v>46247</v>
      </c>
      <c r="F669" s="14" t="n">
        <v>46247</v>
      </c>
      <c r="G669" s="0" t="s">
        <v>204</v>
      </c>
      <c r="H669" s="0" t="n">
        <v>1543431</v>
      </c>
      <c r="I669" s="0" t="n">
        <v>11</v>
      </c>
      <c r="J669" s="0" t="s">
        <v>2276</v>
      </c>
      <c r="K669" s="15" t="n">
        <v>317.18</v>
      </c>
      <c r="L669" s="0" t="s">
        <v>2277</v>
      </c>
    </row>
    <row r="670" customFormat="false" ht="15" hidden="false" customHeight="true" outlineLevel="0" collapsed="false">
      <c r="A670" s="0" t="n">
        <v>2</v>
      </c>
      <c r="B670" s="0" t="n">
        <v>862791</v>
      </c>
      <c r="C670" s="0" t="s">
        <v>52</v>
      </c>
      <c r="D670" s="0" t="s">
        <v>2326</v>
      </c>
      <c r="E670" s="14" t="n">
        <v>46247</v>
      </c>
      <c r="F670" s="14" t="n">
        <v>46246</v>
      </c>
      <c r="G670" s="0" t="s">
        <v>193</v>
      </c>
      <c r="H670" s="0" t="n">
        <v>1543866</v>
      </c>
      <c r="I670" s="0" t="n">
        <v>11</v>
      </c>
      <c r="J670" s="0" t="s">
        <v>2276</v>
      </c>
      <c r="K670" s="15" t="n">
        <v>436.02</v>
      </c>
      <c r="L670" s="0" t="s">
        <v>2277</v>
      </c>
    </row>
    <row r="671" customFormat="false" ht="15" hidden="false" customHeight="true" outlineLevel="0" collapsed="false">
      <c r="A671" s="0" t="n">
        <v>2</v>
      </c>
      <c r="B671" s="0" t="n">
        <v>1246872</v>
      </c>
      <c r="C671" s="0" t="s">
        <v>80</v>
      </c>
      <c r="D671" s="0" t="s">
        <v>2275</v>
      </c>
      <c r="E671" s="14" t="n">
        <v>46248</v>
      </c>
      <c r="F671" s="14" t="n">
        <v>46246</v>
      </c>
      <c r="G671" s="0" t="s">
        <v>130</v>
      </c>
      <c r="H671" s="0" t="n">
        <v>1546018</v>
      </c>
      <c r="I671" s="0" t="n">
        <v>11</v>
      </c>
      <c r="J671" s="0" t="s">
        <v>2276</v>
      </c>
      <c r="K671" s="15" t="n">
        <v>50.85</v>
      </c>
      <c r="L671" s="0" t="s">
        <v>2277</v>
      </c>
    </row>
    <row r="672" customFormat="false" ht="15" hidden="false" customHeight="true" outlineLevel="0" collapsed="false">
      <c r="A672" s="0" t="n">
        <v>2</v>
      </c>
      <c r="B672" s="0" t="n">
        <v>1246873</v>
      </c>
      <c r="C672" s="0" t="s">
        <v>80</v>
      </c>
      <c r="D672" s="0" t="s">
        <v>2275</v>
      </c>
      <c r="E672" s="14" t="n">
        <v>46248</v>
      </c>
      <c r="F672" s="14" t="n">
        <v>46246</v>
      </c>
      <c r="G672" s="0" t="s">
        <v>130</v>
      </c>
      <c r="H672" s="0" t="n">
        <v>1546030</v>
      </c>
      <c r="I672" s="0" t="n">
        <v>11</v>
      </c>
      <c r="J672" s="0" t="s">
        <v>2276</v>
      </c>
      <c r="K672" s="15" t="n">
        <v>620.26</v>
      </c>
      <c r="L672" s="0" t="s">
        <v>2277</v>
      </c>
    </row>
    <row r="673" customFormat="false" ht="15" hidden="false" customHeight="true" outlineLevel="0" collapsed="false">
      <c r="A673" s="0" t="n">
        <v>2</v>
      </c>
      <c r="B673" s="0" t="n">
        <v>1619132</v>
      </c>
      <c r="C673" s="0" t="s">
        <v>52</v>
      </c>
      <c r="D673" s="0" t="s">
        <v>2327</v>
      </c>
      <c r="E673" s="14" t="n">
        <v>46248</v>
      </c>
      <c r="F673" s="14" t="n">
        <v>46248</v>
      </c>
      <c r="G673" s="0" t="s">
        <v>50</v>
      </c>
      <c r="H673" s="0" t="n">
        <v>1547445</v>
      </c>
      <c r="I673" s="0" t="n">
        <v>11</v>
      </c>
      <c r="J673" s="0" t="s">
        <v>2276</v>
      </c>
      <c r="K673" s="15" t="n">
        <v>2329.52</v>
      </c>
      <c r="L673" s="0" t="s">
        <v>2277</v>
      </c>
    </row>
    <row r="674" customFormat="false" ht="15" hidden="false" customHeight="true" outlineLevel="0" collapsed="false">
      <c r="A674" s="0" t="n">
        <v>2</v>
      </c>
      <c r="B674" s="0" t="n">
        <v>163912</v>
      </c>
      <c r="C674" s="0" t="s">
        <v>52</v>
      </c>
      <c r="D674" s="0" t="s">
        <v>2367</v>
      </c>
      <c r="E674" s="14" t="n">
        <v>46248</v>
      </c>
      <c r="F674" s="14" t="n">
        <v>46246</v>
      </c>
      <c r="G674" s="0" t="s">
        <v>840</v>
      </c>
      <c r="H674" s="0" t="n">
        <v>1545803</v>
      </c>
      <c r="I674" s="0" t="n">
        <v>11</v>
      </c>
      <c r="J674" s="0" t="s">
        <v>2276</v>
      </c>
      <c r="K674" s="15" t="n">
        <v>2153.25</v>
      </c>
      <c r="L674" s="0" t="s">
        <v>2277</v>
      </c>
    </row>
    <row r="675" customFormat="false" ht="15" hidden="false" customHeight="true" outlineLevel="0" collapsed="false">
      <c r="A675" s="0" t="n">
        <v>2</v>
      </c>
      <c r="B675" s="0" t="n">
        <v>1664419</v>
      </c>
      <c r="C675" s="0" t="s">
        <v>2280</v>
      </c>
      <c r="D675" s="0" t="s">
        <v>2281</v>
      </c>
      <c r="E675" s="14" t="n">
        <v>46248</v>
      </c>
      <c r="F675" s="14" t="n">
        <v>46248</v>
      </c>
      <c r="G675" s="0" t="s">
        <v>406</v>
      </c>
      <c r="H675" s="0" t="n">
        <v>1551184</v>
      </c>
      <c r="I675" s="0" t="n">
        <v>11</v>
      </c>
      <c r="J675" s="0" t="s">
        <v>2276</v>
      </c>
      <c r="K675" s="15" t="n">
        <v>147</v>
      </c>
      <c r="L675" s="0" t="s">
        <v>2277</v>
      </c>
    </row>
    <row r="676" customFormat="false" ht="15" hidden="false" customHeight="true" outlineLevel="0" collapsed="false">
      <c r="A676" s="0" t="n">
        <v>2</v>
      </c>
      <c r="B676" s="0" t="n">
        <v>1664421</v>
      </c>
      <c r="C676" s="0" t="s">
        <v>2280</v>
      </c>
      <c r="D676" s="0" t="s">
        <v>2281</v>
      </c>
      <c r="E676" s="14" t="n">
        <v>46248</v>
      </c>
      <c r="F676" s="14" t="n">
        <v>46248</v>
      </c>
      <c r="G676" s="0" t="s">
        <v>406</v>
      </c>
      <c r="H676" s="0" t="n">
        <v>1551194</v>
      </c>
      <c r="I676" s="0" t="n">
        <v>11</v>
      </c>
      <c r="J676" s="0" t="s">
        <v>2276</v>
      </c>
      <c r="K676" s="15" t="n">
        <v>79</v>
      </c>
      <c r="L676" s="0" t="s">
        <v>2277</v>
      </c>
    </row>
    <row r="677" customFormat="false" ht="15" hidden="false" customHeight="true" outlineLevel="0" collapsed="false">
      <c r="A677" s="0" t="n">
        <v>2</v>
      </c>
      <c r="B677" s="0" t="n">
        <v>1711525</v>
      </c>
      <c r="C677" s="0" t="s">
        <v>52</v>
      </c>
      <c r="D677" s="0" t="s">
        <v>2287</v>
      </c>
      <c r="E677" s="14" t="n">
        <v>46248</v>
      </c>
      <c r="F677" s="14" t="n">
        <v>46247</v>
      </c>
      <c r="G677" s="0" t="s">
        <v>240</v>
      </c>
      <c r="H677" s="0" t="n">
        <v>1547032</v>
      </c>
      <c r="I677" s="0" t="n">
        <v>11</v>
      </c>
      <c r="J677" s="0" t="s">
        <v>2276</v>
      </c>
      <c r="K677" s="15" t="n">
        <v>877.23</v>
      </c>
      <c r="L677" s="0" t="s">
        <v>2277</v>
      </c>
    </row>
    <row r="678" customFormat="false" ht="15" hidden="false" customHeight="true" outlineLevel="0" collapsed="false">
      <c r="A678" s="0" t="n">
        <v>2</v>
      </c>
      <c r="B678" s="0" t="n">
        <v>1986776</v>
      </c>
      <c r="C678" s="0" t="s">
        <v>36</v>
      </c>
      <c r="D678" s="0" t="s">
        <v>2275</v>
      </c>
      <c r="E678" s="14" t="n">
        <v>46248</v>
      </c>
      <c r="F678" s="14" t="n">
        <v>46246</v>
      </c>
      <c r="G678" s="0" t="s">
        <v>130</v>
      </c>
      <c r="H678" s="0" t="n">
        <v>1546065</v>
      </c>
      <c r="I678" s="0" t="n">
        <v>11</v>
      </c>
      <c r="J678" s="0" t="s">
        <v>2276</v>
      </c>
      <c r="K678" s="15" t="n">
        <v>2148.12</v>
      </c>
      <c r="L678" s="0" t="s">
        <v>2277</v>
      </c>
    </row>
    <row r="679" customFormat="false" ht="15" hidden="false" customHeight="true" outlineLevel="0" collapsed="false">
      <c r="A679" s="0" t="n">
        <v>2</v>
      </c>
      <c r="B679" s="0" t="n">
        <v>228832</v>
      </c>
      <c r="C679" s="0" t="s">
        <v>44</v>
      </c>
      <c r="D679" s="0" t="s">
        <v>2305</v>
      </c>
      <c r="E679" s="14" t="n">
        <v>46248</v>
      </c>
      <c r="F679" s="14" t="n">
        <v>46248</v>
      </c>
      <c r="G679" s="0" t="s">
        <v>438</v>
      </c>
      <c r="H679" s="0" t="n">
        <v>1547606</v>
      </c>
      <c r="I679" s="0" t="n">
        <v>11</v>
      </c>
      <c r="J679" s="0" t="s">
        <v>2276</v>
      </c>
      <c r="K679" s="15" t="n">
        <v>571.73</v>
      </c>
      <c r="L679" s="0" t="s">
        <v>2277</v>
      </c>
    </row>
    <row r="680" customFormat="false" ht="15" hidden="false" customHeight="true" outlineLevel="0" collapsed="false">
      <c r="A680" s="0" t="n">
        <v>2</v>
      </c>
      <c r="B680" s="0" t="n">
        <v>2603</v>
      </c>
      <c r="C680" s="0" t="s">
        <v>52</v>
      </c>
      <c r="D680" s="0" t="s">
        <v>2288</v>
      </c>
      <c r="E680" s="14" t="n">
        <v>46248</v>
      </c>
      <c r="F680" s="14" t="n">
        <v>46248</v>
      </c>
      <c r="G680" s="0" t="s">
        <v>153</v>
      </c>
      <c r="H680" s="0" t="n">
        <v>1545625</v>
      </c>
      <c r="I680" s="0" t="n">
        <v>6</v>
      </c>
      <c r="J680" s="0" t="s">
        <v>2276</v>
      </c>
      <c r="K680" s="15" t="n">
        <v>225</v>
      </c>
      <c r="L680" s="0" t="s">
        <v>2277</v>
      </c>
    </row>
    <row r="681" customFormat="false" ht="15" hidden="false" customHeight="true" outlineLevel="0" collapsed="false">
      <c r="A681" s="0" t="n">
        <v>2</v>
      </c>
      <c r="B681" s="0" t="n">
        <v>2604</v>
      </c>
      <c r="C681" s="0" t="s">
        <v>52</v>
      </c>
      <c r="D681" s="0" t="s">
        <v>2288</v>
      </c>
      <c r="E681" s="14" t="n">
        <v>46248</v>
      </c>
      <c r="F681" s="14" t="n">
        <v>46248</v>
      </c>
      <c r="G681" s="0" t="s">
        <v>153</v>
      </c>
      <c r="H681" s="0" t="n">
        <v>1546719</v>
      </c>
      <c r="I681" s="0" t="n">
        <v>6</v>
      </c>
      <c r="J681" s="0" t="s">
        <v>2276</v>
      </c>
      <c r="K681" s="15" t="n">
        <v>115</v>
      </c>
      <c r="L681" s="0" t="s">
        <v>2277</v>
      </c>
    </row>
    <row r="682" customFormat="false" ht="15" hidden="false" customHeight="true" outlineLevel="0" collapsed="false">
      <c r="A682" s="0" t="n">
        <v>2</v>
      </c>
      <c r="B682" s="0" t="n">
        <v>2605</v>
      </c>
      <c r="C682" s="0" t="s">
        <v>52</v>
      </c>
      <c r="D682" s="0" t="s">
        <v>2288</v>
      </c>
      <c r="E682" s="14" t="n">
        <v>46248</v>
      </c>
      <c r="F682" s="14" t="n">
        <v>46248</v>
      </c>
      <c r="G682" s="0" t="s">
        <v>153</v>
      </c>
      <c r="H682" s="0" t="n">
        <v>1546864</v>
      </c>
      <c r="I682" s="0" t="n">
        <v>6</v>
      </c>
      <c r="J682" s="0" t="s">
        <v>2276</v>
      </c>
      <c r="K682" s="15" t="n">
        <v>1899.7</v>
      </c>
      <c r="L682" s="0" t="s">
        <v>2277</v>
      </c>
    </row>
    <row r="683" customFormat="false" ht="15" hidden="false" customHeight="true" outlineLevel="0" collapsed="false">
      <c r="A683" s="0" t="n">
        <v>2</v>
      </c>
      <c r="B683" s="0" t="n">
        <v>269</v>
      </c>
      <c r="C683" s="0" t="s">
        <v>52</v>
      </c>
      <c r="D683" s="0" t="s">
        <v>2377</v>
      </c>
      <c r="E683" s="14" t="n">
        <v>46248</v>
      </c>
      <c r="F683" s="14" t="n">
        <v>46248</v>
      </c>
      <c r="G683" s="0" t="s">
        <v>812</v>
      </c>
      <c r="H683" s="0" t="n">
        <v>1546126</v>
      </c>
      <c r="I683" s="0" t="n">
        <v>11</v>
      </c>
      <c r="J683" s="0" t="s">
        <v>2276</v>
      </c>
      <c r="K683" s="15" t="n">
        <v>1045</v>
      </c>
      <c r="L683" s="0" t="s">
        <v>2277</v>
      </c>
    </row>
    <row r="684" customFormat="false" ht="15" hidden="false" customHeight="true" outlineLevel="0" collapsed="false">
      <c r="A684" s="0" t="n">
        <v>2</v>
      </c>
      <c r="B684" s="0" t="n">
        <v>31936</v>
      </c>
      <c r="C684" s="0" t="s">
        <v>52</v>
      </c>
      <c r="D684" s="0" t="s">
        <v>2294</v>
      </c>
      <c r="E684" s="14" t="n">
        <v>46248</v>
      </c>
      <c r="F684" s="14" t="n">
        <v>46248</v>
      </c>
      <c r="G684" s="0" t="s">
        <v>147</v>
      </c>
      <c r="H684" s="0" t="n">
        <v>1546110</v>
      </c>
      <c r="I684" s="0" t="n">
        <v>11</v>
      </c>
      <c r="J684" s="0" t="s">
        <v>2276</v>
      </c>
      <c r="K684" s="15" t="n">
        <v>195</v>
      </c>
      <c r="L684" s="0" t="s">
        <v>2277</v>
      </c>
    </row>
    <row r="685" customFormat="false" ht="15" hidden="false" customHeight="true" outlineLevel="0" collapsed="false">
      <c r="A685" s="0" t="n">
        <v>2</v>
      </c>
      <c r="B685" s="0" t="n">
        <v>35161</v>
      </c>
      <c r="C685" s="0" t="s">
        <v>67</v>
      </c>
      <c r="D685" s="0" t="s">
        <v>2379</v>
      </c>
      <c r="E685" s="14" t="n">
        <v>46248</v>
      </c>
      <c r="F685" s="14" t="n">
        <v>46247</v>
      </c>
      <c r="G685" s="0" t="s">
        <v>349</v>
      </c>
      <c r="H685" s="0" t="n">
        <v>1545975</v>
      </c>
      <c r="I685" s="0" t="n">
        <v>11</v>
      </c>
      <c r="J685" s="0" t="s">
        <v>2276</v>
      </c>
      <c r="K685" s="15" t="n">
        <v>685.15</v>
      </c>
      <c r="L685" s="0" t="s">
        <v>2277</v>
      </c>
    </row>
    <row r="686" customFormat="false" ht="15" hidden="false" customHeight="true" outlineLevel="0" collapsed="false">
      <c r="A686" s="0" t="n">
        <v>2</v>
      </c>
      <c r="B686" s="0" t="n">
        <v>401</v>
      </c>
      <c r="C686" s="0" t="s">
        <v>52</v>
      </c>
      <c r="D686" s="0" t="s">
        <v>2311</v>
      </c>
      <c r="E686" s="14" t="n">
        <v>46248</v>
      </c>
      <c r="F686" s="14" t="n">
        <v>46248</v>
      </c>
      <c r="G686" s="0" t="s">
        <v>86</v>
      </c>
      <c r="H686" s="0" t="n">
        <v>1547265</v>
      </c>
      <c r="I686" s="0" t="n">
        <v>11</v>
      </c>
      <c r="J686" s="0" t="s">
        <v>2276</v>
      </c>
      <c r="K686" s="15" t="n">
        <v>183</v>
      </c>
      <c r="L686" s="0" t="s">
        <v>2277</v>
      </c>
    </row>
    <row r="687" customFormat="false" ht="15" hidden="false" customHeight="true" outlineLevel="0" collapsed="false">
      <c r="A687" s="0" t="n">
        <v>2</v>
      </c>
      <c r="B687" s="0" t="n">
        <v>46106</v>
      </c>
      <c r="C687" s="0" t="s">
        <v>52</v>
      </c>
      <c r="D687" s="0" t="s">
        <v>2306</v>
      </c>
      <c r="E687" s="14" t="n">
        <v>46248</v>
      </c>
      <c r="F687" s="14" t="n">
        <v>46248</v>
      </c>
      <c r="G687" s="0" t="s">
        <v>443</v>
      </c>
      <c r="H687" s="0" t="n">
        <v>1547523</v>
      </c>
      <c r="I687" s="0" t="n">
        <v>11</v>
      </c>
      <c r="J687" s="0" t="s">
        <v>2276</v>
      </c>
      <c r="K687" s="15" t="n">
        <v>460</v>
      </c>
      <c r="L687" s="0" t="s">
        <v>2277</v>
      </c>
    </row>
    <row r="688" customFormat="false" ht="15" hidden="false" customHeight="true" outlineLevel="0" collapsed="false">
      <c r="A688" s="0" t="n">
        <v>2</v>
      </c>
      <c r="B688" s="0" t="n">
        <v>48205</v>
      </c>
      <c r="C688" s="0" t="s">
        <v>52</v>
      </c>
      <c r="D688" s="0" t="s">
        <v>2371</v>
      </c>
      <c r="E688" s="14" t="n">
        <v>46248</v>
      </c>
      <c r="F688" s="14" t="n">
        <v>46246</v>
      </c>
      <c r="G688" s="0" t="s">
        <v>842</v>
      </c>
      <c r="H688" s="0" t="n">
        <v>1545678</v>
      </c>
      <c r="I688" s="0" t="n">
        <v>11</v>
      </c>
      <c r="J688" s="0" t="s">
        <v>2276</v>
      </c>
      <c r="K688" s="15" t="n">
        <v>1130.5</v>
      </c>
      <c r="L688" s="0" t="s">
        <v>2277</v>
      </c>
    </row>
    <row r="689" customFormat="false" ht="15" hidden="false" customHeight="true" outlineLevel="0" collapsed="false">
      <c r="A689" s="0" t="n">
        <v>2</v>
      </c>
      <c r="B689" s="0" t="n">
        <v>5971</v>
      </c>
      <c r="C689" s="0" t="s">
        <v>52</v>
      </c>
      <c r="D689" s="0" t="s">
        <v>2302</v>
      </c>
      <c r="E689" s="14" t="n">
        <v>46248</v>
      </c>
      <c r="F689" s="14" t="n">
        <v>46246</v>
      </c>
      <c r="G689" s="0" t="s">
        <v>84</v>
      </c>
      <c r="H689" s="0" t="n">
        <v>1545655</v>
      </c>
      <c r="I689" s="0" t="n">
        <v>11</v>
      </c>
      <c r="J689" s="0" t="s">
        <v>2276</v>
      </c>
      <c r="K689" s="15" t="n">
        <v>597.4</v>
      </c>
      <c r="L689" s="0" t="s">
        <v>2277</v>
      </c>
    </row>
    <row r="690" customFormat="false" ht="15" hidden="false" customHeight="true" outlineLevel="0" collapsed="false">
      <c r="A690" s="0" t="n">
        <v>2</v>
      </c>
      <c r="B690" s="0" t="n">
        <v>689222</v>
      </c>
      <c r="C690" s="0" t="s">
        <v>52</v>
      </c>
      <c r="D690" s="0" t="s">
        <v>2318</v>
      </c>
      <c r="E690" s="14" t="n">
        <v>46248</v>
      </c>
      <c r="F690" s="14" t="n">
        <v>46247</v>
      </c>
      <c r="G690" s="0" t="s">
        <v>236</v>
      </c>
      <c r="H690" s="0" t="n">
        <v>1547723</v>
      </c>
      <c r="I690" s="0" t="n">
        <v>11</v>
      </c>
      <c r="J690" s="0" t="s">
        <v>2276</v>
      </c>
      <c r="K690" s="15" t="n">
        <v>2119.67</v>
      </c>
      <c r="L690" s="0" t="s">
        <v>2277</v>
      </c>
    </row>
    <row r="691" customFormat="false" ht="15" hidden="false" customHeight="true" outlineLevel="0" collapsed="false">
      <c r="A691" s="0" t="n">
        <v>2</v>
      </c>
      <c r="B691" s="0" t="n">
        <v>957093</v>
      </c>
      <c r="C691" s="0" t="s">
        <v>2340</v>
      </c>
      <c r="D691" s="0" t="s">
        <v>2341</v>
      </c>
      <c r="E691" s="14" t="n">
        <v>46248</v>
      </c>
      <c r="F691" s="14" t="n">
        <v>46247</v>
      </c>
      <c r="G691" s="0" t="s">
        <v>232</v>
      </c>
      <c r="H691" s="0" t="n">
        <v>1546177</v>
      </c>
      <c r="I691" s="0" t="n">
        <v>11</v>
      </c>
      <c r="J691" s="0" t="s">
        <v>2276</v>
      </c>
      <c r="K691" s="15" t="n">
        <v>3731.7</v>
      </c>
      <c r="L691" s="0" t="s">
        <v>2277</v>
      </c>
    </row>
    <row r="692" customFormat="false" ht="15" hidden="false" customHeight="true" outlineLevel="0" collapsed="false">
      <c r="A692" s="0" t="n">
        <v>2</v>
      </c>
      <c r="B692" s="0" t="n">
        <v>174</v>
      </c>
      <c r="C692" s="0" t="s">
        <v>52</v>
      </c>
      <c r="D692" s="0" t="s">
        <v>2399</v>
      </c>
      <c r="E692" s="14" t="n">
        <v>46249</v>
      </c>
      <c r="F692" s="14" t="n">
        <v>46249</v>
      </c>
      <c r="G692" s="0" t="s">
        <v>622</v>
      </c>
      <c r="H692" s="0" t="n">
        <v>1561098</v>
      </c>
      <c r="I692" s="0" t="n">
        <v>11</v>
      </c>
      <c r="J692" s="0" t="s">
        <v>2276</v>
      </c>
      <c r="K692" s="15" t="n">
        <v>200</v>
      </c>
      <c r="L692" s="0" t="s">
        <v>2277</v>
      </c>
    </row>
    <row r="693" customFormat="false" ht="15" hidden="false" customHeight="true" outlineLevel="0" collapsed="false">
      <c r="A693" s="0" t="n">
        <v>2</v>
      </c>
      <c r="B693" s="0" t="n">
        <v>2606</v>
      </c>
      <c r="C693" s="0" t="s">
        <v>52</v>
      </c>
      <c r="D693" s="0" t="s">
        <v>2288</v>
      </c>
      <c r="E693" s="14" t="n">
        <v>46249</v>
      </c>
      <c r="F693" s="14" t="n">
        <v>46249</v>
      </c>
      <c r="G693" s="0" t="s">
        <v>153</v>
      </c>
      <c r="H693" s="0" t="n">
        <v>1552260</v>
      </c>
      <c r="I693" s="0" t="n">
        <v>6</v>
      </c>
      <c r="J693" s="0" t="s">
        <v>2276</v>
      </c>
      <c r="K693" s="15" t="n">
        <v>270</v>
      </c>
      <c r="L693" s="0" t="s">
        <v>2277</v>
      </c>
    </row>
    <row r="694" customFormat="false" ht="15" hidden="false" customHeight="true" outlineLevel="0" collapsed="false">
      <c r="A694" s="0" t="n">
        <v>2</v>
      </c>
      <c r="B694" s="0" t="n">
        <v>3237036</v>
      </c>
      <c r="C694" s="0" t="s">
        <v>52</v>
      </c>
      <c r="D694" s="0" t="s">
        <v>2324</v>
      </c>
      <c r="E694" s="14" t="n">
        <v>46249</v>
      </c>
      <c r="F694" s="14" t="n">
        <v>46247</v>
      </c>
      <c r="G694" s="0" t="s">
        <v>61</v>
      </c>
      <c r="H694" s="0" t="n">
        <v>1551855</v>
      </c>
      <c r="I694" s="0" t="n">
        <v>11</v>
      </c>
      <c r="J694" s="0" t="s">
        <v>2276</v>
      </c>
      <c r="K694" s="15" t="n">
        <v>748.32</v>
      </c>
      <c r="L694" s="0" t="s">
        <v>2277</v>
      </c>
    </row>
    <row r="695" customFormat="false" ht="15" hidden="false" customHeight="true" outlineLevel="0" collapsed="false">
      <c r="A695" s="0" t="n">
        <v>2</v>
      </c>
      <c r="B695" s="0" t="n">
        <v>360</v>
      </c>
      <c r="C695" s="0" t="s">
        <v>52</v>
      </c>
      <c r="D695" s="0" t="s">
        <v>2289</v>
      </c>
      <c r="E695" s="14" t="n">
        <v>46249</v>
      </c>
      <c r="F695" s="14" t="n">
        <v>46246</v>
      </c>
      <c r="G695" s="0" t="s">
        <v>216</v>
      </c>
      <c r="H695" s="0" t="n">
        <v>1551741</v>
      </c>
      <c r="I695" s="0" t="n">
        <v>11</v>
      </c>
      <c r="J695" s="0" t="s">
        <v>2276</v>
      </c>
      <c r="K695" s="15" t="n">
        <v>899.5</v>
      </c>
      <c r="L695" s="0" t="s">
        <v>2277</v>
      </c>
    </row>
    <row r="696" customFormat="false" ht="15" hidden="false" customHeight="true" outlineLevel="0" collapsed="false">
      <c r="A696" s="0" t="n">
        <v>2</v>
      </c>
      <c r="B696" s="0" t="n">
        <v>398015</v>
      </c>
      <c r="C696" s="0" t="s">
        <v>52</v>
      </c>
      <c r="D696" s="0" t="s">
        <v>2301</v>
      </c>
      <c r="E696" s="14" t="n">
        <v>46249</v>
      </c>
      <c r="F696" s="14" t="n">
        <v>46248</v>
      </c>
      <c r="G696" s="0" t="s">
        <v>172</v>
      </c>
      <c r="H696" s="0" t="n">
        <v>1552107</v>
      </c>
      <c r="I696" s="0" t="n">
        <v>11</v>
      </c>
      <c r="J696" s="0" t="s">
        <v>2276</v>
      </c>
      <c r="K696" s="15" t="n">
        <v>511.98</v>
      </c>
      <c r="L696" s="0" t="s">
        <v>2277</v>
      </c>
    </row>
    <row r="697" customFormat="false" ht="15" hidden="false" customHeight="true" outlineLevel="0" collapsed="false">
      <c r="A697" s="0" t="n">
        <v>2</v>
      </c>
      <c r="B697" s="0" t="n">
        <v>689224</v>
      </c>
      <c r="C697" s="0" t="s">
        <v>52</v>
      </c>
      <c r="D697" s="0" t="s">
        <v>2318</v>
      </c>
      <c r="E697" s="14" t="n">
        <v>46249</v>
      </c>
      <c r="F697" s="14" t="n">
        <v>46247</v>
      </c>
      <c r="G697" s="0" t="s">
        <v>236</v>
      </c>
      <c r="H697" s="0" t="n">
        <v>1551950</v>
      </c>
      <c r="I697" s="0" t="n">
        <v>11</v>
      </c>
      <c r="J697" s="0" t="s">
        <v>2276</v>
      </c>
      <c r="K697" s="15" t="n">
        <v>4268.02</v>
      </c>
      <c r="L697" s="0" t="s">
        <v>2277</v>
      </c>
    </row>
    <row r="698" customFormat="false" ht="15" hidden="false" customHeight="true" outlineLevel="0" collapsed="false">
      <c r="A698" s="0" t="n">
        <v>2</v>
      </c>
      <c r="B698" s="0" t="n">
        <v>15061</v>
      </c>
      <c r="C698" s="0" t="s">
        <v>52</v>
      </c>
      <c r="D698" s="0" t="s">
        <v>2278</v>
      </c>
      <c r="E698" s="14" t="n">
        <v>46251</v>
      </c>
      <c r="F698" s="14" t="n">
        <v>46249</v>
      </c>
      <c r="G698" s="0" t="s">
        <v>270</v>
      </c>
      <c r="H698" s="0" t="n">
        <v>1562567</v>
      </c>
      <c r="I698" s="0" t="n">
        <v>11</v>
      </c>
      <c r="J698" s="0" t="s">
        <v>2276</v>
      </c>
      <c r="K698" s="15" t="n">
        <v>3472.5</v>
      </c>
      <c r="L698" s="0" t="s">
        <v>2277</v>
      </c>
    </row>
    <row r="699" customFormat="false" ht="15" hidden="false" customHeight="true" outlineLevel="0" collapsed="false">
      <c r="A699" s="0" t="n">
        <v>2</v>
      </c>
      <c r="B699" s="0" t="n">
        <v>1664730</v>
      </c>
      <c r="C699" s="0" t="s">
        <v>2280</v>
      </c>
      <c r="D699" s="0" t="s">
        <v>2281</v>
      </c>
      <c r="E699" s="14" t="n">
        <v>46251</v>
      </c>
      <c r="F699" s="14" t="n">
        <v>46249</v>
      </c>
      <c r="G699" s="0" t="s">
        <v>406</v>
      </c>
      <c r="H699" s="0" t="n">
        <v>1561145</v>
      </c>
      <c r="I699" s="0" t="n">
        <v>11</v>
      </c>
      <c r="J699" s="0" t="s">
        <v>2276</v>
      </c>
      <c r="K699" s="15" t="n">
        <v>97.5</v>
      </c>
      <c r="L699" s="0" t="s">
        <v>2277</v>
      </c>
    </row>
    <row r="700" customFormat="false" ht="15" hidden="false" customHeight="true" outlineLevel="0" collapsed="false">
      <c r="A700" s="0" t="n">
        <v>2</v>
      </c>
      <c r="B700" s="0" t="n">
        <v>181</v>
      </c>
      <c r="C700" s="0" t="s">
        <v>52</v>
      </c>
      <c r="D700" s="0" t="s">
        <v>2399</v>
      </c>
      <c r="E700" s="14" t="n">
        <v>46251</v>
      </c>
      <c r="F700" s="14" t="n">
        <v>46251</v>
      </c>
      <c r="G700" s="0" t="s">
        <v>622</v>
      </c>
      <c r="H700" s="0" t="n">
        <v>1566623</v>
      </c>
      <c r="I700" s="0" t="n">
        <v>11</v>
      </c>
      <c r="J700" s="0" t="s">
        <v>2276</v>
      </c>
      <c r="K700" s="15" t="n">
        <v>140</v>
      </c>
      <c r="L700" s="0" t="s">
        <v>2277</v>
      </c>
    </row>
    <row r="701" customFormat="false" ht="15" hidden="false" customHeight="true" outlineLevel="0" collapsed="false">
      <c r="A701" s="0" t="n">
        <v>2</v>
      </c>
      <c r="B701" s="0" t="n">
        <v>1919900</v>
      </c>
      <c r="C701" s="0" t="s">
        <v>52</v>
      </c>
      <c r="D701" s="0" t="s">
        <v>2368</v>
      </c>
      <c r="E701" s="14" t="n">
        <v>46251</v>
      </c>
      <c r="F701" s="14" t="n">
        <v>46247</v>
      </c>
      <c r="G701" s="0" t="s">
        <v>871</v>
      </c>
      <c r="H701" s="0" t="n">
        <v>1561293</v>
      </c>
      <c r="I701" s="0" t="n">
        <v>11</v>
      </c>
      <c r="J701" s="0" t="s">
        <v>2276</v>
      </c>
      <c r="K701" s="15" t="n">
        <v>561.84</v>
      </c>
      <c r="L701" s="0" t="s">
        <v>2277</v>
      </c>
    </row>
    <row r="702" customFormat="false" ht="15" hidden="false" customHeight="true" outlineLevel="0" collapsed="false">
      <c r="A702" s="0" t="n">
        <v>2</v>
      </c>
      <c r="B702" s="0" t="n">
        <v>195597</v>
      </c>
      <c r="C702" s="0" t="s">
        <v>67</v>
      </c>
      <c r="D702" s="0" t="s">
        <v>2333</v>
      </c>
      <c r="E702" s="14" t="n">
        <v>46251</v>
      </c>
      <c r="F702" s="14" t="n">
        <v>46249</v>
      </c>
      <c r="G702" s="0" t="s">
        <v>183</v>
      </c>
      <c r="H702" s="0" t="n">
        <v>1561177</v>
      </c>
      <c r="I702" s="0" t="n">
        <v>11</v>
      </c>
      <c r="J702" s="0" t="s">
        <v>2276</v>
      </c>
      <c r="K702" s="15" t="n">
        <v>1199.7</v>
      </c>
      <c r="L702" s="0" t="s">
        <v>2277</v>
      </c>
    </row>
    <row r="703" customFormat="false" ht="15" hidden="false" customHeight="true" outlineLevel="0" collapsed="false">
      <c r="A703" s="0" t="n">
        <v>2</v>
      </c>
      <c r="B703" s="0" t="n">
        <v>21279</v>
      </c>
      <c r="C703" s="0" t="s">
        <v>52</v>
      </c>
      <c r="D703" s="0" t="s">
        <v>2304</v>
      </c>
      <c r="E703" s="14" t="n">
        <v>46251</v>
      </c>
      <c r="F703" s="14" t="n">
        <v>46251</v>
      </c>
      <c r="G703" s="0" t="s">
        <v>167</v>
      </c>
      <c r="H703" s="0" t="n">
        <v>1562642</v>
      </c>
      <c r="I703" s="0" t="n">
        <v>11</v>
      </c>
      <c r="J703" s="0" t="s">
        <v>2276</v>
      </c>
      <c r="K703" s="15" t="n">
        <v>691.91</v>
      </c>
      <c r="L703" s="0" t="s">
        <v>2277</v>
      </c>
    </row>
    <row r="704" customFormat="false" ht="15" hidden="false" customHeight="true" outlineLevel="0" collapsed="false">
      <c r="A704" s="0" t="n">
        <v>2</v>
      </c>
      <c r="B704" s="0" t="n">
        <v>2609</v>
      </c>
      <c r="C704" s="0" t="s">
        <v>52</v>
      </c>
      <c r="D704" s="0" t="s">
        <v>2288</v>
      </c>
      <c r="E704" s="14" t="n">
        <v>46251</v>
      </c>
      <c r="F704" s="14" t="n">
        <v>46251</v>
      </c>
      <c r="G704" s="0" t="s">
        <v>153</v>
      </c>
      <c r="H704" s="0" t="n">
        <v>1562623</v>
      </c>
      <c r="I704" s="0" t="n">
        <v>6</v>
      </c>
      <c r="J704" s="0" t="s">
        <v>2276</v>
      </c>
      <c r="K704" s="15" t="n">
        <v>225</v>
      </c>
      <c r="L704" s="0" t="s">
        <v>2277</v>
      </c>
    </row>
    <row r="705" customFormat="false" ht="15" hidden="false" customHeight="true" outlineLevel="0" collapsed="false">
      <c r="A705" s="0" t="n">
        <v>2</v>
      </c>
      <c r="B705" s="0" t="n">
        <v>297321</v>
      </c>
      <c r="C705" s="0" t="s">
        <v>52</v>
      </c>
      <c r="D705" s="0" t="s">
        <v>2409</v>
      </c>
      <c r="E705" s="14" t="n">
        <v>46251</v>
      </c>
      <c r="F705" s="14" t="n">
        <v>46246</v>
      </c>
      <c r="G705" s="0" t="s">
        <v>1585</v>
      </c>
      <c r="H705" s="0" t="n">
        <v>1562787</v>
      </c>
      <c r="I705" s="0" t="n">
        <v>11</v>
      </c>
      <c r="J705" s="0" t="s">
        <v>2276</v>
      </c>
      <c r="K705" s="15" t="n">
        <v>1120.76</v>
      </c>
      <c r="L705" s="0" t="s">
        <v>2277</v>
      </c>
    </row>
    <row r="706" customFormat="false" ht="15" hidden="false" customHeight="true" outlineLevel="0" collapsed="false">
      <c r="A706" s="0" t="n">
        <v>2</v>
      </c>
      <c r="B706" s="0" t="n">
        <v>311270</v>
      </c>
      <c r="C706" s="0" t="s">
        <v>52</v>
      </c>
      <c r="D706" s="0" t="s">
        <v>2300</v>
      </c>
      <c r="E706" s="14" t="n">
        <v>46251</v>
      </c>
      <c r="F706" s="14" t="n">
        <v>46248</v>
      </c>
      <c r="G706" s="0" t="s">
        <v>248</v>
      </c>
      <c r="H706" s="0" t="n">
        <v>1562946</v>
      </c>
      <c r="I706" s="0" t="n">
        <v>11</v>
      </c>
      <c r="J706" s="0" t="s">
        <v>2276</v>
      </c>
      <c r="K706" s="15" t="n">
        <v>1976.4</v>
      </c>
      <c r="L706" s="0" t="s">
        <v>2277</v>
      </c>
    </row>
    <row r="707" customFormat="false" ht="15" hidden="false" customHeight="true" outlineLevel="0" collapsed="false">
      <c r="A707" s="0" t="n">
        <v>2</v>
      </c>
      <c r="B707" s="0" t="n">
        <v>3237634</v>
      </c>
      <c r="C707" s="0" t="s">
        <v>52</v>
      </c>
      <c r="D707" s="0" t="s">
        <v>2324</v>
      </c>
      <c r="E707" s="14" t="n">
        <v>46251</v>
      </c>
      <c r="F707" s="14" t="n">
        <v>46248</v>
      </c>
      <c r="G707" s="0" t="s">
        <v>61</v>
      </c>
      <c r="H707" s="0" t="n">
        <v>1562682</v>
      </c>
      <c r="I707" s="0" t="n">
        <v>11</v>
      </c>
      <c r="J707" s="0" t="s">
        <v>2276</v>
      </c>
      <c r="K707" s="15" t="n">
        <v>1352.12</v>
      </c>
      <c r="L707" s="0" t="s">
        <v>2277</v>
      </c>
    </row>
    <row r="708" customFormat="false" ht="15" hidden="false" customHeight="true" outlineLevel="0" collapsed="false">
      <c r="A708" s="0" t="n">
        <v>2</v>
      </c>
      <c r="B708" s="0" t="n">
        <v>3728</v>
      </c>
      <c r="C708" s="0" t="s">
        <v>52</v>
      </c>
      <c r="D708" s="0" t="s">
        <v>2299</v>
      </c>
      <c r="E708" s="14" t="n">
        <v>46251</v>
      </c>
      <c r="F708" s="14" t="n">
        <v>46248</v>
      </c>
      <c r="G708" s="0" t="s">
        <v>174</v>
      </c>
      <c r="H708" s="0" t="n">
        <v>1561156</v>
      </c>
      <c r="I708" s="0" t="n">
        <v>11</v>
      </c>
      <c r="J708" s="0" t="s">
        <v>2276</v>
      </c>
      <c r="K708" s="15" t="n">
        <v>142</v>
      </c>
      <c r="L708" s="0" t="s">
        <v>2277</v>
      </c>
    </row>
    <row r="709" customFormat="false" ht="15" hidden="false" customHeight="true" outlineLevel="0" collapsed="false">
      <c r="A709" s="0" t="n">
        <v>2</v>
      </c>
      <c r="B709" s="0" t="n">
        <v>1037278</v>
      </c>
      <c r="C709" s="0" t="s">
        <v>52</v>
      </c>
      <c r="D709" s="0" t="s">
        <v>2286</v>
      </c>
      <c r="E709" s="14" t="n">
        <v>46252</v>
      </c>
      <c r="F709" s="14" t="n">
        <v>46251</v>
      </c>
      <c r="G709" s="0" t="s">
        <v>228</v>
      </c>
      <c r="H709" s="0" t="n">
        <v>1566640</v>
      </c>
      <c r="I709" s="0" t="n">
        <v>11</v>
      </c>
      <c r="J709" s="0" t="s">
        <v>2276</v>
      </c>
      <c r="K709" s="15" t="n">
        <v>512.38</v>
      </c>
      <c r="L709" s="0" t="s">
        <v>2277</v>
      </c>
    </row>
    <row r="710" customFormat="false" ht="15" hidden="false" customHeight="true" outlineLevel="0" collapsed="false">
      <c r="A710" s="0" t="n">
        <v>2</v>
      </c>
      <c r="B710" s="0" t="n">
        <v>12793</v>
      </c>
      <c r="C710" s="0" t="s">
        <v>67</v>
      </c>
      <c r="D710" s="0" t="s">
        <v>2410</v>
      </c>
      <c r="E710" s="14" t="n">
        <v>46252</v>
      </c>
      <c r="F710" s="14" t="n">
        <v>46245</v>
      </c>
      <c r="G710" s="0" t="s">
        <v>1470</v>
      </c>
      <c r="H710" s="0" t="n">
        <v>1566577</v>
      </c>
      <c r="I710" s="0" t="n">
        <v>11</v>
      </c>
      <c r="J710" s="0" t="s">
        <v>2276</v>
      </c>
      <c r="K710" s="15" t="n">
        <v>855.99</v>
      </c>
      <c r="L710" s="0" t="s">
        <v>2277</v>
      </c>
    </row>
    <row r="711" customFormat="false" ht="15" hidden="false" customHeight="true" outlineLevel="0" collapsed="false">
      <c r="A711" s="0" t="n">
        <v>2</v>
      </c>
      <c r="B711" s="0" t="n">
        <v>160332</v>
      </c>
      <c r="C711" s="0" t="s">
        <v>89</v>
      </c>
      <c r="D711" s="0" t="s">
        <v>2411</v>
      </c>
      <c r="E711" s="14" t="n">
        <v>46252</v>
      </c>
      <c r="F711" s="14" t="n">
        <v>46248</v>
      </c>
      <c r="G711" s="0" t="s">
        <v>1537</v>
      </c>
      <c r="H711" s="0" t="n">
        <v>1568081</v>
      </c>
      <c r="I711" s="0" t="n">
        <v>11</v>
      </c>
      <c r="J711" s="0" t="s">
        <v>2276</v>
      </c>
      <c r="K711" s="15" t="n">
        <v>1937.14</v>
      </c>
      <c r="L711" s="0" t="s">
        <v>2277</v>
      </c>
    </row>
    <row r="712" customFormat="false" ht="15" hidden="false" customHeight="true" outlineLevel="0" collapsed="false">
      <c r="A712" s="0" t="n">
        <v>2</v>
      </c>
      <c r="B712" s="0" t="n">
        <v>1665386</v>
      </c>
      <c r="C712" s="0" t="s">
        <v>2280</v>
      </c>
      <c r="D712" s="0" t="s">
        <v>2281</v>
      </c>
      <c r="E712" s="14" t="n">
        <v>46252</v>
      </c>
      <c r="F712" s="14" t="n">
        <v>46251</v>
      </c>
      <c r="G712" s="0" t="s">
        <v>406</v>
      </c>
      <c r="H712" s="0" t="n">
        <v>1566483</v>
      </c>
      <c r="I712" s="0" t="n">
        <v>11</v>
      </c>
      <c r="J712" s="0" t="s">
        <v>2276</v>
      </c>
      <c r="K712" s="15" t="n">
        <v>151</v>
      </c>
      <c r="L712" s="0" t="s">
        <v>2277</v>
      </c>
    </row>
    <row r="713" customFormat="false" ht="15" hidden="false" customHeight="true" outlineLevel="0" collapsed="false">
      <c r="A713" s="0" t="n">
        <v>2</v>
      </c>
      <c r="B713" s="0" t="n">
        <v>1993231</v>
      </c>
      <c r="C713" s="0" t="s">
        <v>36</v>
      </c>
      <c r="D713" s="0" t="s">
        <v>2275</v>
      </c>
      <c r="E713" s="14" t="n">
        <v>46252</v>
      </c>
      <c r="F713" s="14" t="n">
        <v>46248</v>
      </c>
      <c r="G713" s="0" t="s">
        <v>130</v>
      </c>
      <c r="H713" s="0" t="n">
        <v>1567564</v>
      </c>
      <c r="I713" s="0" t="n">
        <v>11</v>
      </c>
      <c r="J713" s="0" t="s">
        <v>2276</v>
      </c>
      <c r="K713" s="15" t="n">
        <v>2351.65</v>
      </c>
      <c r="L713" s="0" t="s">
        <v>2277</v>
      </c>
    </row>
    <row r="714" customFormat="false" ht="15" hidden="false" customHeight="true" outlineLevel="0" collapsed="false">
      <c r="A714" s="0" t="n">
        <v>2</v>
      </c>
      <c r="B714" s="0" t="n">
        <v>211355</v>
      </c>
      <c r="C714" s="0" t="s">
        <v>52</v>
      </c>
      <c r="D714" s="0" t="s">
        <v>2370</v>
      </c>
      <c r="E714" s="14" t="n">
        <v>46252</v>
      </c>
      <c r="F714" s="14" t="n">
        <v>46251</v>
      </c>
      <c r="G714" s="0" t="s">
        <v>787</v>
      </c>
      <c r="H714" s="0" t="n">
        <v>1566715</v>
      </c>
      <c r="I714" s="0" t="n">
        <v>11</v>
      </c>
      <c r="J714" s="0" t="s">
        <v>2276</v>
      </c>
      <c r="K714" s="15" t="n">
        <v>1753.92</v>
      </c>
      <c r="L714" s="0" t="s">
        <v>2277</v>
      </c>
    </row>
    <row r="715" customFormat="false" ht="15" hidden="false" customHeight="true" outlineLevel="0" collapsed="false">
      <c r="A715" s="0" t="n">
        <v>2</v>
      </c>
      <c r="B715" s="0" t="n">
        <v>2310769</v>
      </c>
      <c r="C715" s="0" t="s">
        <v>52</v>
      </c>
      <c r="D715" s="0" t="s">
        <v>2390</v>
      </c>
      <c r="E715" s="14" t="n">
        <v>46252</v>
      </c>
      <c r="F715" s="14" t="n">
        <v>46252</v>
      </c>
      <c r="G715" s="0" t="s">
        <v>74</v>
      </c>
      <c r="H715" s="0" t="n">
        <v>1581542</v>
      </c>
      <c r="I715" s="0" t="n">
        <v>11</v>
      </c>
      <c r="J715" s="0" t="s">
        <v>2276</v>
      </c>
      <c r="K715" s="15" t="n">
        <v>3463.94</v>
      </c>
      <c r="L715" s="0" t="s">
        <v>2277</v>
      </c>
    </row>
    <row r="716" customFormat="false" ht="15" hidden="false" customHeight="true" outlineLevel="0" collapsed="false">
      <c r="A716" s="0" t="n">
        <v>2</v>
      </c>
      <c r="B716" s="0" t="n">
        <v>2610</v>
      </c>
      <c r="C716" s="0" t="s">
        <v>52</v>
      </c>
      <c r="D716" s="0" t="s">
        <v>2288</v>
      </c>
      <c r="E716" s="14" t="n">
        <v>46252</v>
      </c>
      <c r="F716" s="14" t="n">
        <v>46252</v>
      </c>
      <c r="G716" s="0" t="s">
        <v>153</v>
      </c>
      <c r="H716" s="0" t="n">
        <v>1567601</v>
      </c>
      <c r="I716" s="0" t="n">
        <v>6</v>
      </c>
      <c r="J716" s="0" t="s">
        <v>2276</v>
      </c>
      <c r="K716" s="15" t="n">
        <v>200</v>
      </c>
      <c r="L716" s="0" t="s">
        <v>2277</v>
      </c>
    </row>
    <row r="717" customFormat="false" ht="15" hidden="false" customHeight="true" outlineLevel="0" collapsed="false">
      <c r="A717" s="0" t="n">
        <v>2</v>
      </c>
      <c r="B717" s="0" t="n">
        <v>2611</v>
      </c>
      <c r="C717" s="0" t="s">
        <v>52</v>
      </c>
      <c r="D717" s="0" t="s">
        <v>2288</v>
      </c>
      <c r="E717" s="14" t="n">
        <v>46252</v>
      </c>
      <c r="F717" s="14" t="n">
        <v>46252</v>
      </c>
      <c r="G717" s="0" t="s">
        <v>153</v>
      </c>
      <c r="H717" s="0" t="n">
        <v>1567627</v>
      </c>
      <c r="I717" s="0" t="n">
        <v>6</v>
      </c>
      <c r="J717" s="0" t="s">
        <v>2276</v>
      </c>
      <c r="K717" s="15" t="n">
        <v>1404</v>
      </c>
      <c r="L717" s="0" t="s">
        <v>2277</v>
      </c>
    </row>
    <row r="718" customFormat="false" ht="15" hidden="false" customHeight="true" outlineLevel="0" collapsed="false">
      <c r="A718" s="0" t="n">
        <v>2</v>
      </c>
      <c r="B718" s="0" t="n">
        <v>311351</v>
      </c>
      <c r="C718" s="0" t="s">
        <v>52</v>
      </c>
      <c r="D718" s="0" t="s">
        <v>2300</v>
      </c>
      <c r="E718" s="14" t="n">
        <v>46252</v>
      </c>
      <c r="F718" s="14" t="n">
        <v>46251</v>
      </c>
      <c r="G718" s="0" t="s">
        <v>248</v>
      </c>
      <c r="H718" s="0" t="n">
        <v>1568205</v>
      </c>
      <c r="I718" s="0" t="n">
        <v>11</v>
      </c>
      <c r="J718" s="0" t="s">
        <v>2276</v>
      </c>
      <c r="K718" s="15" t="n">
        <v>949.5</v>
      </c>
      <c r="L718" s="0" t="s">
        <v>2277</v>
      </c>
    </row>
    <row r="719" customFormat="false" ht="15" hidden="false" customHeight="true" outlineLevel="0" collapsed="false">
      <c r="A719" s="0" t="n">
        <v>2</v>
      </c>
      <c r="B719" s="0" t="n">
        <v>4402</v>
      </c>
      <c r="C719" s="0" t="s">
        <v>52</v>
      </c>
      <c r="D719" s="0" t="s">
        <v>2290</v>
      </c>
      <c r="E719" s="14" t="n">
        <v>46252</v>
      </c>
      <c r="F719" s="14" t="n">
        <v>46251</v>
      </c>
      <c r="G719" s="0" t="s">
        <v>95</v>
      </c>
      <c r="H719" s="0" t="n">
        <v>1566662</v>
      </c>
      <c r="I719" s="0" t="n">
        <v>11</v>
      </c>
      <c r="J719" s="0" t="s">
        <v>2276</v>
      </c>
      <c r="K719" s="15" t="n">
        <v>301.95</v>
      </c>
      <c r="L719" s="0" t="s">
        <v>2277</v>
      </c>
    </row>
    <row r="720" customFormat="false" ht="15" hidden="false" customHeight="true" outlineLevel="0" collapsed="false">
      <c r="A720" s="0" t="n">
        <v>2</v>
      </c>
      <c r="B720" s="0" t="n">
        <v>508442</v>
      </c>
      <c r="C720" s="0" t="s">
        <v>52</v>
      </c>
      <c r="D720" s="0" t="s">
        <v>2395</v>
      </c>
      <c r="E720" s="14" t="n">
        <v>46252</v>
      </c>
      <c r="F720" s="14" t="n">
        <v>46248</v>
      </c>
      <c r="G720" s="0" t="s">
        <v>289</v>
      </c>
      <c r="H720" s="0" t="n">
        <v>1566789</v>
      </c>
      <c r="I720" s="0" t="n">
        <v>11</v>
      </c>
      <c r="J720" s="0" t="s">
        <v>2276</v>
      </c>
      <c r="K720" s="15" t="n">
        <v>470.34</v>
      </c>
      <c r="L720" s="0" t="s">
        <v>2277</v>
      </c>
    </row>
    <row r="721" customFormat="false" ht="15" hidden="false" customHeight="true" outlineLevel="0" collapsed="false">
      <c r="A721" s="0" t="n">
        <v>2</v>
      </c>
      <c r="B721" s="0" t="n">
        <v>586415</v>
      </c>
      <c r="C721" s="0" t="s">
        <v>52</v>
      </c>
      <c r="D721" s="0" t="s">
        <v>2384</v>
      </c>
      <c r="E721" s="14" t="n">
        <v>46252</v>
      </c>
      <c r="F721" s="14" t="n">
        <v>46247</v>
      </c>
      <c r="G721" s="0" t="s">
        <v>119</v>
      </c>
      <c r="H721" s="0" t="n">
        <v>1567122</v>
      </c>
      <c r="I721" s="0" t="n">
        <v>11</v>
      </c>
      <c r="J721" s="0" t="s">
        <v>2276</v>
      </c>
      <c r="K721" s="15" t="n">
        <v>3175.25</v>
      </c>
      <c r="L721" s="0" t="s">
        <v>2277</v>
      </c>
    </row>
    <row r="722" customFormat="false" ht="15" hidden="false" customHeight="true" outlineLevel="0" collapsed="false">
      <c r="A722" s="0" t="n">
        <v>2</v>
      </c>
      <c r="B722" s="0" t="n">
        <v>605</v>
      </c>
      <c r="C722" s="0" t="s">
        <v>52</v>
      </c>
      <c r="D722" s="0" t="s">
        <v>2291</v>
      </c>
      <c r="E722" s="14" t="n">
        <v>46252</v>
      </c>
      <c r="F722" s="14" t="n">
        <v>46251</v>
      </c>
      <c r="G722" s="0" t="s">
        <v>123</v>
      </c>
      <c r="H722" s="0" t="n">
        <v>1566508</v>
      </c>
      <c r="I722" s="0" t="n">
        <v>11</v>
      </c>
      <c r="J722" s="0" t="s">
        <v>2276</v>
      </c>
      <c r="K722" s="15" t="n">
        <v>204</v>
      </c>
      <c r="L722" s="0" t="s">
        <v>2277</v>
      </c>
    </row>
    <row r="723" customFormat="false" ht="15" hidden="false" customHeight="true" outlineLevel="0" collapsed="false">
      <c r="A723" s="0" t="n">
        <v>2</v>
      </c>
      <c r="B723" s="0" t="n">
        <v>767</v>
      </c>
      <c r="C723" s="0" t="s">
        <v>44</v>
      </c>
      <c r="D723" s="0" t="s">
        <v>2283</v>
      </c>
      <c r="E723" s="14" t="n">
        <v>46252</v>
      </c>
      <c r="F723" s="14" t="n">
        <v>46251</v>
      </c>
      <c r="G723" s="0" t="s">
        <v>204</v>
      </c>
      <c r="H723" s="0" t="n">
        <v>1566531</v>
      </c>
      <c r="I723" s="0" t="n">
        <v>11</v>
      </c>
      <c r="J723" s="0" t="s">
        <v>2276</v>
      </c>
      <c r="K723" s="15" t="n">
        <v>237.74</v>
      </c>
      <c r="L723" s="0" t="s">
        <v>2277</v>
      </c>
    </row>
    <row r="724" customFormat="false" ht="15" hidden="false" customHeight="true" outlineLevel="0" collapsed="false">
      <c r="A724" s="0" t="n">
        <v>2</v>
      </c>
      <c r="B724" s="0" t="n">
        <v>175038</v>
      </c>
      <c r="C724" s="0" t="s">
        <v>52</v>
      </c>
      <c r="D724" s="0" t="s">
        <v>2293</v>
      </c>
      <c r="E724" s="14" t="n">
        <v>46253</v>
      </c>
      <c r="F724" s="14" t="n">
        <v>46252</v>
      </c>
      <c r="G724" s="0" t="s">
        <v>371</v>
      </c>
      <c r="H724" s="0" t="n">
        <v>1572387</v>
      </c>
      <c r="I724" s="0" t="n">
        <v>11</v>
      </c>
      <c r="J724" s="0" t="s">
        <v>2276</v>
      </c>
      <c r="K724" s="15" t="n">
        <v>2334.75</v>
      </c>
      <c r="L724" s="0" t="s">
        <v>2277</v>
      </c>
    </row>
    <row r="725" customFormat="false" ht="15" hidden="false" customHeight="true" outlineLevel="0" collapsed="false">
      <c r="A725" s="0" t="n">
        <v>2</v>
      </c>
      <c r="B725" s="0" t="n">
        <v>2612</v>
      </c>
      <c r="C725" s="0" t="s">
        <v>52</v>
      </c>
      <c r="D725" s="0" t="s">
        <v>2288</v>
      </c>
      <c r="E725" s="14" t="n">
        <v>46253</v>
      </c>
      <c r="F725" s="14" t="n">
        <v>46253</v>
      </c>
      <c r="G725" s="0" t="s">
        <v>153</v>
      </c>
      <c r="H725" s="0" t="n">
        <v>1572278</v>
      </c>
      <c r="I725" s="0" t="n">
        <v>6</v>
      </c>
      <c r="J725" s="0" t="s">
        <v>2276</v>
      </c>
      <c r="K725" s="15" t="n">
        <v>225</v>
      </c>
      <c r="L725" s="0" t="s">
        <v>2277</v>
      </c>
    </row>
    <row r="726" customFormat="false" ht="15" hidden="false" customHeight="true" outlineLevel="0" collapsed="false">
      <c r="A726" s="0" t="n">
        <v>2</v>
      </c>
      <c r="B726" s="0" t="n">
        <v>265359</v>
      </c>
      <c r="C726" s="0" t="s">
        <v>52</v>
      </c>
      <c r="D726" s="0" t="s">
        <v>2348</v>
      </c>
      <c r="E726" s="14" t="n">
        <v>46253</v>
      </c>
      <c r="F726" s="14" t="n">
        <v>46247</v>
      </c>
      <c r="G726" s="0" t="s">
        <v>275</v>
      </c>
      <c r="H726" s="0" t="n">
        <v>1572865</v>
      </c>
      <c r="I726" s="0" t="n">
        <v>11</v>
      </c>
      <c r="J726" s="0" t="s">
        <v>2276</v>
      </c>
      <c r="K726" s="15" t="n">
        <v>1644.54</v>
      </c>
      <c r="L726" s="0" t="s">
        <v>2277</v>
      </c>
    </row>
    <row r="727" customFormat="false" ht="15" hidden="false" customHeight="true" outlineLevel="0" collapsed="false">
      <c r="A727" s="0" t="n">
        <v>2</v>
      </c>
      <c r="B727" s="0" t="n">
        <v>319296</v>
      </c>
      <c r="C727" s="0" t="s">
        <v>52</v>
      </c>
      <c r="D727" s="0" t="s">
        <v>2378</v>
      </c>
      <c r="E727" s="14" t="n">
        <v>46253</v>
      </c>
      <c r="F727" s="14" t="n">
        <v>46247</v>
      </c>
      <c r="G727" s="0" t="s">
        <v>941</v>
      </c>
      <c r="H727" s="0" t="n">
        <v>1572684</v>
      </c>
      <c r="I727" s="0" t="n">
        <v>11</v>
      </c>
      <c r="J727" s="0" t="s">
        <v>2276</v>
      </c>
      <c r="K727" s="15" t="n">
        <v>812.8</v>
      </c>
      <c r="L727" s="0" t="s">
        <v>2277</v>
      </c>
    </row>
    <row r="728" customFormat="false" ht="15" hidden="false" customHeight="true" outlineLevel="0" collapsed="false">
      <c r="A728" s="0" t="n">
        <v>2</v>
      </c>
      <c r="B728" s="0" t="n">
        <v>319297</v>
      </c>
      <c r="C728" s="0" t="s">
        <v>52</v>
      </c>
      <c r="D728" s="0" t="s">
        <v>2378</v>
      </c>
      <c r="E728" s="14" t="n">
        <v>46253</v>
      </c>
      <c r="F728" s="14" t="n">
        <v>46247</v>
      </c>
      <c r="G728" s="0" t="s">
        <v>941</v>
      </c>
      <c r="H728" s="0" t="n">
        <v>1572075</v>
      </c>
      <c r="I728" s="0" t="n">
        <v>11</v>
      </c>
      <c r="J728" s="0" t="s">
        <v>2276</v>
      </c>
      <c r="K728" s="15" t="n">
        <v>2138.5</v>
      </c>
      <c r="L728" s="0" t="s">
        <v>2277</v>
      </c>
    </row>
    <row r="729" customFormat="false" ht="15" hidden="false" customHeight="true" outlineLevel="0" collapsed="false">
      <c r="A729" s="0" t="n">
        <v>2</v>
      </c>
      <c r="B729" s="0" t="n">
        <v>3745</v>
      </c>
      <c r="C729" s="0" t="s">
        <v>67</v>
      </c>
      <c r="D729" s="0" t="s">
        <v>2295</v>
      </c>
      <c r="E729" s="14" t="n">
        <v>46253</v>
      </c>
      <c r="F729" s="14" t="n">
        <v>46252</v>
      </c>
      <c r="G729" s="0" t="s">
        <v>128</v>
      </c>
      <c r="H729" s="0" t="n">
        <v>1570866</v>
      </c>
      <c r="I729" s="0" t="n">
        <v>11</v>
      </c>
      <c r="J729" s="0" t="s">
        <v>2276</v>
      </c>
      <c r="K729" s="15" t="n">
        <v>1276.2</v>
      </c>
      <c r="L729" s="0" t="s">
        <v>2277</v>
      </c>
    </row>
    <row r="730" customFormat="false" ht="15" hidden="false" customHeight="true" outlineLevel="0" collapsed="false">
      <c r="A730" s="0" t="n">
        <v>2</v>
      </c>
      <c r="B730" s="0" t="n">
        <v>654907</v>
      </c>
      <c r="C730" s="0" t="s">
        <v>52</v>
      </c>
      <c r="D730" s="0" t="s">
        <v>2329</v>
      </c>
      <c r="E730" s="14" t="n">
        <v>46253</v>
      </c>
      <c r="F730" s="14" t="n">
        <v>46248</v>
      </c>
      <c r="G730" s="0" t="s">
        <v>64</v>
      </c>
      <c r="H730" s="0" t="n">
        <v>1570965</v>
      </c>
      <c r="I730" s="0" t="n">
        <v>11</v>
      </c>
      <c r="J730" s="0" t="s">
        <v>2276</v>
      </c>
      <c r="K730" s="15" t="n">
        <v>1213.11</v>
      </c>
      <c r="L730" s="0" t="s">
        <v>2277</v>
      </c>
    </row>
    <row r="731" customFormat="false" ht="15" hidden="false" customHeight="true" outlineLevel="0" collapsed="false">
      <c r="A731" s="0" t="n">
        <v>2</v>
      </c>
      <c r="B731" s="0" t="n">
        <v>654908</v>
      </c>
      <c r="C731" s="0" t="s">
        <v>52</v>
      </c>
      <c r="D731" s="0" t="s">
        <v>2329</v>
      </c>
      <c r="E731" s="14" t="n">
        <v>46253</v>
      </c>
      <c r="F731" s="14" t="n">
        <v>46248</v>
      </c>
      <c r="G731" s="0" t="s">
        <v>64</v>
      </c>
      <c r="H731" s="0" t="n">
        <v>1570885</v>
      </c>
      <c r="I731" s="0" t="n">
        <v>11</v>
      </c>
      <c r="J731" s="0" t="s">
        <v>2276</v>
      </c>
      <c r="K731" s="15" t="n">
        <v>431.3</v>
      </c>
      <c r="L731" s="0" t="s">
        <v>2277</v>
      </c>
    </row>
    <row r="732" customFormat="false" ht="15" hidden="false" customHeight="true" outlineLevel="0" collapsed="false">
      <c r="A732" s="0" t="n">
        <v>2</v>
      </c>
      <c r="B732" s="0" t="n">
        <v>1666696</v>
      </c>
      <c r="C732" s="0" t="s">
        <v>2280</v>
      </c>
      <c r="D732" s="0" t="s">
        <v>2281</v>
      </c>
      <c r="E732" s="14" t="n">
        <v>46254</v>
      </c>
      <c r="F732" s="14" t="n">
        <v>46253</v>
      </c>
      <c r="G732" s="0" t="s">
        <v>406</v>
      </c>
      <c r="H732" s="0" t="n">
        <v>1576171</v>
      </c>
      <c r="I732" s="0" t="n">
        <v>11</v>
      </c>
      <c r="J732" s="0" t="s">
        <v>2276</v>
      </c>
      <c r="K732" s="15" t="n">
        <v>156</v>
      </c>
      <c r="L732" s="0" t="s">
        <v>2277</v>
      </c>
    </row>
    <row r="733" customFormat="false" ht="15" hidden="false" customHeight="true" outlineLevel="0" collapsed="false">
      <c r="A733" s="0" t="n">
        <v>2</v>
      </c>
      <c r="B733" s="0" t="n">
        <v>1966312</v>
      </c>
      <c r="C733" s="0" t="s">
        <v>52</v>
      </c>
      <c r="D733" s="0" t="s">
        <v>2369</v>
      </c>
      <c r="E733" s="14" t="n">
        <v>46254</v>
      </c>
      <c r="F733" s="14" t="n">
        <v>46251</v>
      </c>
      <c r="G733" s="0" t="s">
        <v>185</v>
      </c>
      <c r="H733" s="0" t="n">
        <v>1577200</v>
      </c>
      <c r="I733" s="0" t="n">
        <v>11</v>
      </c>
      <c r="J733" s="0" t="s">
        <v>2276</v>
      </c>
      <c r="K733" s="15" t="n">
        <v>1564.9</v>
      </c>
      <c r="L733" s="0" t="s">
        <v>2277</v>
      </c>
    </row>
    <row r="734" customFormat="false" ht="15" hidden="false" customHeight="true" outlineLevel="0" collapsed="false">
      <c r="A734" s="0" t="n">
        <v>2</v>
      </c>
      <c r="B734" s="0" t="n">
        <v>2617</v>
      </c>
      <c r="C734" s="0" t="s">
        <v>52</v>
      </c>
      <c r="D734" s="0" t="s">
        <v>2288</v>
      </c>
      <c r="E734" s="14" t="n">
        <v>46254</v>
      </c>
      <c r="F734" s="14" t="n">
        <v>46254</v>
      </c>
      <c r="G734" s="0" t="s">
        <v>153</v>
      </c>
      <c r="H734" s="0" t="n">
        <v>1576425</v>
      </c>
      <c r="I734" s="0" t="n">
        <v>6</v>
      </c>
      <c r="J734" s="0" t="s">
        <v>2276</v>
      </c>
      <c r="K734" s="15" t="n">
        <v>300</v>
      </c>
      <c r="L734" s="0" t="s">
        <v>2277</v>
      </c>
    </row>
    <row r="735" customFormat="false" ht="15" hidden="false" customHeight="true" outlineLevel="0" collapsed="false">
      <c r="A735" s="0" t="n">
        <v>2</v>
      </c>
      <c r="B735" s="0" t="n">
        <v>32564</v>
      </c>
      <c r="C735" s="0" t="s">
        <v>52</v>
      </c>
      <c r="D735" s="0" t="s">
        <v>2296</v>
      </c>
      <c r="E735" s="14" t="n">
        <v>46254</v>
      </c>
      <c r="F735" s="14" t="n">
        <v>46253</v>
      </c>
      <c r="G735" s="0" t="s">
        <v>162</v>
      </c>
      <c r="H735" s="0" t="n">
        <v>1576222</v>
      </c>
      <c r="I735" s="0" t="n">
        <v>11</v>
      </c>
      <c r="J735" s="0" t="s">
        <v>2276</v>
      </c>
      <c r="K735" s="15" t="n">
        <v>1293.6</v>
      </c>
      <c r="L735" s="0" t="s">
        <v>2277</v>
      </c>
    </row>
    <row r="736" customFormat="false" ht="15" hidden="false" customHeight="true" outlineLevel="0" collapsed="false">
      <c r="A736" s="0" t="n">
        <v>2</v>
      </c>
      <c r="B736" s="0" t="n">
        <v>368</v>
      </c>
      <c r="C736" s="0" t="s">
        <v>52</v>
      </c>
      <c r="D736" s="0" t="s">
        <v>2289</v>
      </c>
      <c r="E736" s="14" t="n">
        <v>46254</v>
      </c>
      <c r="F736" s="14" t="n">
        <v>46254</v>
      </c>
      <c r="G736" s="0" t="s">
        <v>216</v>
      </c>
      <c r="H736" s="0" t="n">
        <v>1577556</v>
      </c>
      <c r="I736" s="0" t="n">
        <v>11</v>
      </c>
      <c r="J736" s="0" t="s">
        <v>2276</v>
      </c>
      <c r="K736" s="15" t="n">
        <v>1734.8</v>
      </c>
      <c r="L736" s="0" t="s">
        <v>2277</v>
      </c>
    </row>
    <row r="737" customFormat="false" ht="15" hidden="false" customHeight="true" outlineLevel="0" collapsed="false">
      <c r="A737" s="0" t="n">
        <v>2</v>
      </c>
      <c r="B737" s="0" t="n">
        <v>37213</v>
      </c>
      <c r="C737" s="0" t="s">
        <v>52</v>
      </c>
      <c r="D737" s="0" t="s">
        <v>2412</v>
      </c>
      <c r="E737" s="14" t="n">
        <v>46254</v>
      </c>
      <c r="F737" s="14" t="n">
        <v>46252</v>
      </c>
      <c r="G737" s="0" t="s">
        <v>1540</v>
      </c>
      <c r="H737" s="0" t="n">
        <v>1576139</v>
      </c>
      <c r="I737" s="0" t="n">
        <v>11</v>
      </c>
      <c r="J737" s="0" t="s">
        <v>2276</v>
      </c>
      <c r="K737" s="15" t="n">
        <v>842</v>
      </c>
      <c r="L737" s="0" t="s">
        <v>2277</v>
      </c>
    </row>
    <row r="738" customFormat="false" ht="15" hidden="false" customHeight="true" outlineLevel="0" collapsed="false">
      <c r="A738" s="0" t="n">
        <v>2</v>
      </c>
      <c r="B738" s="0" t="n">
        <v>1668090</v>
      </c>
      <c r="C738" s="0" t="s">
        <v>2280</v>
      </c>
      <c r="D738" s="0" t="s">
        <v>2281</v>
      </c>
      <c r="E738" s="14" t="n">
        <v>46255</v>
      </c>
      <c r="F738" s="14" t="n">
        <v>46255</v>
      </c>
      <c r="G738" s="0" t="s">
        <v>406</v>
      </c>
      <c r="H738" s="0" t="n">
        <v>1581998</v>
      </c>
      <c r="I738" s="0" t="n">
        <v>11</v>
      </c>
      <c r="J738" s="0" t="s">
        <v>2276</v>
      </c>
      <c r="K738" s="15" t="n">
        <v>100.5</v>
      </c>
      <c r="L738" s="0" t="s">
        <v>2277</v>
      </c>
    </row>
    <row r="739" customFormat="false" ht="15" hidden="false" customHeight="true" outlineLevel="0" collapsed="false">
      <c r="A739" s="0" t="n">
        <v>2</v>
      </c>
      <c r="B739" s="0" t="n">
        <v>175169</v>
      </c>
      <c r="C739" s="0" t="s">
        <v>52</v>
      </c>
      <c r="D739" s="0" t="s">
        <v>2293</v>
      </c>
      <c r="E739" s="14" t="n">
        <v>46255</v>
      </c>
      <c r="F739" s="14" t="n">
        <v>46254</v>
      </c>
      <c r="G739" s="0" t="s">
        <v>371</v>
      </c>
      <c r="H739" s="0" t="n">
        <v>1581785</v>
      </c>
      <c r="I739" s="0" t="n">
        <v>11</v>
      </c>
      <c r="J739" s="0" t="s">
        <v>2276</v>
      </c>
      <c r="K739" s="15" t="n">
        <v>3809.5</v>
      </c>
      <c r="L739" s="0" t="s">
        <v>2277</v>
      </c>
    </row>
    <row r="740" customFormat="false" ht="15" hidden="false" customHeight="true" outlineLevel="0" collapsed="false">
      <c r="A740" s="0" t="n">
        <v>2</v>
      </c>
      <c r="B740" s="0" t="n">
        <v>189</v>
      </c>
      <c r="C740" s="0" t="s">
        <v>52</v>
      </c>
      <c r="D740" s="0" t="s">
        <v>2399</v>
      </c>
      <c r="E740" s="14" t="n">
        <v>46255</v>
      </c>
      <c r="F740" s="14" t="n">
        <v>46253</v>
      </c>
      <c r="G740" s="0" t="s">
        <v>622</v>
      </c>
      <c r="H740" s="0" t="n">
        <v>1585107</v>
      </c>
      <c r="I740" s="0" t="n">
        <v>11</v>
      </c>
      <c r="J740" s="0" t="s">
        <v>2276</v>
      </c>
      <c r="K740" s="15" t="n">
        <v>200</v>
      </c>
      <c r="L740" s="0" t="s">
        <v>2277</v>
      </c>
    </row>
    <row r="741" customFormat="false" ht="15" hidden="false" customHeight="true" outlineLevel="0" collapsed="false">
      <c r="A741" s="0" t="n">
        <v>2</v>
      </c>
      <c r="B741" s="0" t="n">
        <v>2619</v>
      </c>
      <c r="C741" s="0" t="s">
        <v>52</v>
      </c>
      <c r="D741" s="0" t="s">
        <v>2288</v>
      </c>
      <c r="E741" s="14" t="n">
        <v>46255</v>
      </c>
      <c r="F741" s="14" t="n">
        <v>46255</v>
      </c>
      <c r="G741" s="0" t="s">
        <v>153</v>
      </c>
      <c r="H741" s="0" t="n">
        <v>1581741</v>
      </c>
      <c r="I741" s="0" t="n">
        <v>6</v>
      </c>
      <c r="J741" s="0" t="s">
        <v>2276</v>
      </c>
      <c r="K741" s="15" t="n">
        <v>300</v>
      </c>
      <c r="L741" s="0" t="s">
        <v>2277</v>
      </c>
    </row>
    <row r="742" customFormat="false" ht="15" hidden="false" customHeight="true" outlineLevel="0" collapsed="false">
      <c r="A742" s="0" t="n">
        <v>2</v>
      </c>
      <c r="B742" s="0" t="n">
        <v>2622</v>
      </c>
      <c r="C742" s="0" t="s">
        <v>52</v>
      </c>
      <c r="D742" s="0" t="s">
        <v>2288</v>
      </c>
      <c r="E742" s="14" t="n">
        <v>46255</v>
      </c>
      <c r="F742" s="14" t="n">
        <v>46255</v>
      </c>
      <c r="G742" s="0" t="s">
        <v>153</v>
      </c>
      <c r="H742" s="0" t="n">
        <v>1581902</v>
      </c>
      <c r="I742" s="0" t="n">
        <v>6</v>
      </c>
      <c r="J742" s="0" t="s">
        <v>2276</v>
      </c>
      <c r="K742" s="15" t="n">
        <v>200</v>
      </c>
      <c r="L742" s="0" t="s">
        <v>2277</v>
      </c>
    </row>
    <row r="743" customFormat="false" ht="15" hidden="false" customHeight="true" outlineLevel="0" collapsed="false">
      <c r="A743" s="0" t="n">
        <v>2</v>
      </c>
      <c r="B743" s="0" t="n">
        <v>2623</v>
      </c>
      <c r="C743" s="0" t="s">
        <v>52</v>
      </c>
      <c r="D743" s="0" t="s">
        <v>2288</v>
      </c>
      <c r="E743" s="14" t="n">
        <v>46255</v>
      </c>
      <c r="F743" s="14" t="n">
        <v>46255</v>
      </c>
      <c r="G743" s="0" t="s">
        <v>153</v>
      </c>
      <c r="H743" s="0" t="n">
        <v>1581941</v>
      </c>
      <c r="I743" s="0" t="n">
        <v>6</v>
      </c>
      <c r="J743" s="0" t="s">
        <v>2276</v>
      </c>
      <c r="K743" s="15" t="n">
        <v>1863.5</v>
      </c>
      <c r="L743" s="0" t="s">
        <v>2277</v>
      </c>
    </row>
    <row r="744" customFormat="false" ht="15" hidden="false" customHeight="true" outlineLevel="0" collapsed="false">
      <c r="A744" s="0" t="n">
        <v>2</v>
      </c>
      <c r="B744" s="0" t="n">
        <v>2624</v>
      </c>
      <c r="C744" s="0" t="s">
        <v>52</v>
      </c>
      <c r="D744" s="0" t="s">
        <v>2288</v>
      </c>
      <c r="E744" s="14" t="n">
        <v>46255</v>
      </c>
      <c r="F744" s="14" t="n">
        <v>46255</v>
      </c>
      <c r="G744" s="0" t="s">
        <v>153</v>
      </c>
      <c r="H744" s="0" t="n">
        <v>1582083</v>
      </c>
      <c r="I744" s="0" t="n">
        <v>6</v>
      </c>
      <c r="J744" s="0" t="s">
        <v>2276</v>
      </c>
      <c r="K744" s="15" t="n">
        <v>1383</v>
      </c>
      <c r="L744" s="0" t="s">
        <v>2277</v>
      </c>
    </row>
    <row r="745" customFormat="false" ht="15" hidden="false" customHeight="true" outlineLevel="0" collapsed="false">
      <c r="A745" s="0" t="n">
        <v>2</v>
      </c>
      <c r="B745" s="0" t="n">
        <v>3877</v>
      </c>
      <c r="C745" s="0" t="s">
        <v>52</v>
      </c>
      <c r="D745" s="0" t="s">
        <v>2282</v>
      </c>
      <c r="E745" s="14" t="n">
        <v>46255</v>
      </c>
      <c r="F745" s="14" t="n">
        <v>46255</v>
      </c>
      <c r="G745" s="0" t="s">
        <v>209</v>
      </c>
      <c r="H745" s="0" t="n">
        <v>1580948</v>
      </c>
      <c r="I745" s="0" t="n">
        <v>11</v>
      </c>
      <c r="J745" s="0" t="s">
        <v>2276</v>
      </c>
      <c r="K745" s="15" t="n">
        <v>814.25</v>
      </c>
      <c r="L745" s="0" t="s">
        <v>2277</v>
      </c>
    </row>
    <row r="746" customFormat="false" ht="15" hidden="false" customHeight="true" outlineLevel="0" collapsed="false">
      <c r="A746" s="0" t="n">
        <v>2</v>
      </c>
      <c r="B746" s="0" t="n">
        <v>39521</v>
      </c>
      <c r="C746" s="0" t="s">
        <v>2413</v>
      </c>
      <c r="D746" s="0" t="s">
        <v>2414</v>
      </c>
      <c r="E746" s="14" t="n">
        <v>46255</v>
      </c>
      <c r="F746" s="14" t="n">
        <v>46254</v>
      </c>
      <c r="G746" s="0" t="s">
        <v>1583</v>
      </c>
      <c r="H746" s="0" t="n">
        <v>1581136</v>
      </c>
      <c r="I746" s="0" t="n">
        <v>11</v>
      </c>
      <c r="J746" s="0" t="s">
        <v>2276</v>
      </c>
      <c r="K746" s="15" t="n">
        <v>2055.66</v>
      </c>
      <c r="L746" s="0" t="s">
        <v>2277</v>
      </c>
    </row>
    <row r="747" customFormat="false" ht="15" hidden="false" customHeight="true" outlineLevel="0" collapsed="false">
      <c r="A747" s="0" t="n">
        <v>2</v>
      </c>
      <c r="B747" s="0" t="n">
        <v>398</v>
      </c>
      <c r="C747" s="0" t="s">
        <v>52</v>
      </c>
      <c r="D747" s="0" t="s">
        <v>2311</v>
      </c>
      <c r="E747" s="14" t="n">
        <v>46255</v>
      </c>
      <c r="F747" s="14" t="n">
        <v>46246</v>
      </c>
      <c r="G747" s="0" t="s">
        <v>86</v>
      </c>
      <c r="H747" s="0" t="n">
        <v>1580962</v>
      </c>
      <c r="I747" s="0" t="n">
        <v>11</v>
      </c>
      <c r="J747" s="0" t="s">
        <v>2276</v>
      </c>
      <c r="K747" s="15" t="n">
        <v>183</v>
      </c>
      <c r="L747" s="0" t="s">
        <v>2277</v>
      </c>
    </row>
    <row r="748" customFormat="false" ht="15" hidden="false" customHeight="true" outlineLevel="0" collapsed="false">
      <c r="A748" s="0" t="n">
        <v>2</v>
      </c>
      <c r="B748" s="0" t="n">
        <v>408</v>
      </c>
      <c r="C748" s="0" t="s">
        <v>52</v>
      </c>
      <c r="D748" s="0" t="s">
        <v>2311</v>
      </c>
      <c r="E748" s="14" t="n">
        <v>46255</v>
      </c>
      <c r="F748" s="14" t="n">
        <v>46255</v>
      </c>
      <c r="G748" s="0" t="s">
        <v>86</v>
      </c>
      <c r="H748" s="0" t="n">
        <v>1580972</v>
      </c>
      <c r="I748" s="0" t="n">
        <v>11</v>
      </c>
      <c r="J748" s="0" t="s">
        <v>2276</v>
      </c>
      <c r="K748" s="15" t="n">
        <v>183</v>
      </c>
      <c r="L748" s="0" t="s">
        <v>2277</v>
      </c>
    </row>
    <row r="749" customFormat="false" ht="15" hidden="false" customHeight="true" outlineLevel="0" collapsed="false">
      <c r="A749" s="0" t="n">
        <v>2</v>
      </c>
      <c r="B749" s="0" t="n">
        <v>13976</v>
      </c>
      <c r="C749" s="0" t="s">
        <v>52</v>
      </c>
      <c r="D749" s="0" t="s">
        <v>2415</v>
      </c>
      <c r="E749" s="14" t="n">
        <v>46256</v>
      </c>
      <c r="F749" s="14" t="n">
        <v>46251</v>
      </c>
      <c r="G749" s="0" t="s">
        <v>104</v>
      </c>
      <c r="H749" s="0" t="n">
        <v>1585379</v>
      </c>
      <c r="I749" s="0" t="n">
        <v>39</v>
      </c>
      <c r="J749" s="0" t="s">
        <v>2276</v>
      </c>
      <c r="K749" s="15" t="n">
        <v>79.8</v>
      </c>
      <c r="L749" s="0" t="s">
        <v>2346</v>
      </c>
    </row>
    <row r="750" customFormat="false" ht="15" hidden="false" customHeight="true" outlineLevel="0" collapsed="false">
      <c r="A750" s="0" t="n">
        <v>2</v>
      </c>
      <c r="B750" s="0" t="n">
        <v>357892</v>
      </c>
      <c r="C750" s="0" t="s">
        <v>44</v>
      </c>
      <c r="D750" s="0" t="s">
        <v>2357</v>
      </c>
      <c r="E750" s="14" t="n">
        <v>46256</v>
      </c>
      <c r="F750" s="14" t="n">
        <v>46254</v>
      </c>
      <c r="G750" s="0" t="s">
        <v>189</v>
      </c>
      <c r="H750" s="0" t="n">
        <v>1585061</v>
      </c>
      <c r="I750" s="0" t="n">
        <v>11</v>
      </c>
      <c r="J750" s="0" t="s">
        <v>2276</v>
      </c>
      <c r="K750" s="15" t="n">
        <v>548.42</v>
      </c>
      <c r="L750" s="0" t="s">
        <v>2277</v>
      </c>
    </row>
    <row r="751" customFormat="false" ht="15" hidden="false" customHeight="true" outlineLevel="0" collapsed="false">
      <c r="A751" s="0" t="n">
        <v>2</v>
      </c>
      <c r="B751" s="0" t="n">
        <v>570907</v>
      </c>
      <c r="C751" s="0" t="s">
        <v>2316</v>
      </c>
      <c r="D751" s="0" t="s">
        <v>2317</v>
      </c>
      <c r="E751" s="14" t="n">
        <v>46256</v>
      </c>
      <c r="F751" s="14" t="n">
        <v>46253</v>
      </c>
      <c r="G751" s="0" t="s">
        <v>266</v>
      </c>
      <c r="H751" s="0" t="n">
        <v>1585257</v>
      </c>
      <c r="I751" s="0" t="n">
        <v>11</v>
      </c>
      <c r="J751" s="0" t="s">
        <v>2276</v>
      </c>
      <c r="K751" s="15" t="n">
        <v>21495.36</v>
      </c>
      <c r="L751" s="0" t="s">
        <v>2277</v>
      </c>
    </row>
    <row r="752" customFormat="false" ht="15" hidden="false" customHeight="true" outlineLevel="0" collapsed="false">
      <c r="A752" s="0" t="n">
        <v>2</v>
      </c>
      <c r="B752" s="0" t="n">
        <v>613</v>
      </c>
      <c r="C752" s="0" t="s">
        <v>52</v>
      </c>
      <c r="D752" s="0" t="s">
        <v>2291</v>
      </c>
      <c r="E752" s="14" t="n">
        <v>46256</v>
      </c>
      <c r="F752" s="14" t="n">
        <v>46255</v>
      </c>
      <c r="G752" s="0" t="s">
        <v>123</v>
      </c>
      <c r="H752" s="0" t="n">
        <v>1585334</v>
      </c>
      <c r="I752" s="0" t="n">
        <v>11</v>
      </c>
      <c r="J752" s="0" t="s">
        <v>2276</v>
      </c>
      <c r="K752" s="15" t="n">
        <v>240</v>
      </c>
      <c r="L752" s="0" t="s">
        <v>2277</v>
      </c>
    </row>
    <row r="753" customFormat="false" ht="15" hidden="false" customHeight="true" outlineLevel="0" collapsed="false">
      <c r="A753" s="0" t="n">
        <v>2</v>
      </c>
      <c r="B753" s="0" t="n">
        <v>15127</v>
      </c>
      <c r="C753" s="0" t="s">
        <v>52</v>
      </c>
      <c r="D753" s="0" t="s">
        <v>2278</v>
      </c>
      <c r="E753" s="14" t="n">
        <v>46258</v>
      </c>
      <c r="F753" s="14" t="n">
        <v>46256</v>
      </c>
      <c r="G753" s="0" t="s">
        <v>270</v>
      </c>
      <c r="H753" s="0" t="n">
        <v>1595549</v>
      </c>
      <c r="I753" s="0" t="n">
        <v>11</v>
      </c>
      <c r="J753" s="0" t="s">
        <v>2276</v>
      </c>
      <c r="K753" s="15" t="n">
        <v>4164.18</v>
      </c>
      <c r="L753" s="0" t="s">
        <v>2277</v>
      </c>
    </row>
    <row r="754" customFormat="false" ht="15" hidden="false" customHeight="true" outlineLevel="0" collapsed="false">
      <c r="A754" s="0" t="n">
        <v>2</v>
      </c>
      <c r="B754" s="0" t="n">
        <v>1668483</v>
      </c>
      <c r="C754" s="0" t="s">
        <v>2280</v>
      </c>
      <c r="D754" s="0" t="s">
        <v>2281</v>
      </c>
      <c r="E754" s="14" t="n">
        <v>46258</v>
      </c>
      <c r="F754" s="14" t="n">
        <v>46256</v>
      </c>
      <c r="G754" s="0" t="s">
        <v>406</v>
      </c>
      <c r="H754" s="0" t="n">
        <v>1594273</v>
      </c>
      <c r="I754" s="0" t="n">
        <v>11</v>
      </c>
      <c r="J754" s="0" t="s">
        <v>2276</v>
      </c>
      <c r="K754" s="15" t="n">
        <v>140</v>
      </c>
      <c r="L754" s="0" t="s">
        <v>2277</v>
      </c>
    </row>
    <row r="755" customFormat="false" ht="15" hidden="false" customHeight="true" outlineLevel="0" collapsed="false">
      <c r="A755" s="0" t="n">
        <v>2</v>
      </c>
      <c r="B755" s="0" t="n">
        <v>201</v>
      </c>
      <c r="C755" s="0" t="s">
        <v>52</v>
      </c>
      <c r="D755" s="0" t="s">
        <v>2399</v>
      </c>
      <c r="E755" s="14" t="n">
        <v>46258</v>
      </c>
      <c r="F755" s="14" t="n">
        <v>46256</v>
      </c>
      <c r="G755" s="0" t="s">
        <v>622</v>
      </c>
      <c r="H755" s="0" t="n">
        <v>1609741</v>
      </c>
      <c r="I755" s="0" t="n">
        <v>11</v>
      </c>
      <c r="J755" s="0" t="s">
        <v>2276</v>
      </c>
      <c r="K755" s="15" t="n">
        <v>140</v>
      </c>
      <c r="L755" s="0" t="s">
        <v>2277</v>
      </c>
    </row>
    <row r="756" customFormat="false" ht="15" hidden="false" customHeight="true" outlineLevel="0" collapsed="false">
      <c r="A756" s="0" t="n">
        <v>2</v>
      </c>
      <c r="B756" s="0" t="n">
        <v>2625</v>
      </c>
      <c r="C756" s="0" t="s">
        <v>52</v>
      </c>
      <c r="D756" s="0" t="s">
        <v>2288</v>
      </c>
      <c r="E756" s="14" t="n">
        <v>46258</v>
      </c>
      <c r="F756" s="14" t="n">
        <v>46258</v>
      </c>
      <c r="G756" s="0" t="s">
        <v>153</v>
      </c>
      <c r="H756" s="0" t="n">
        <v>1595265</v>
      </c>
      <c r="I756" s="0" t="n">
        <v>6</v>
      </c>
      <c r="J756" s="0" t="s">
        <v>2276</v>
      </c>
      <c r="K756" s="15" t="n">
        <v>225</v>
      </c>
      <c r="L756" s="0" t="s">
        <v>2277</v>
      </c>
    </row>
    <row r="757" customFormat="false" ht="15" hidden="false" customHeight="true" outlineLevel="0" collapsed="false">
      <c r="A757" s="0" t="n">
        <v>2</v>
      </c>
      <c r="B757" s="0" t="n">
        <v>46622</v>
      </c>
      <c r="C757" s="0" t="s">
        <v>52</v>
      </c>
      <c r="D757" s="0" t="s">
        <v>2306</v>
      </c>
      <c r="E757" s="14" t="n">
        <v>46258</v>
      </c>
      <c r="F757" s="14" t="n">
        <v>46258</v>
      </c>
      <c r="G757" s="0" t="s">
        <v>443</v>
      </c>
      <c r="H757" s="0" t="n">
        <v>1595740</v>
      </c>
      <c r="I757" s="0" t="n">
        <v>11</v>
      </c>
      <c r="J757" s="0" t="s">
        <v>2276</v>
      </c>
      <c r="K757" s="15" t="n">
        <v>460</v>
      </c>
      <c r="L757" s="0" t="s">
        <v>2277</v>
      </c>
    </row>
    <row r="758" customFormat="false" ht="15" hidden="false" customHeight="true" outlineLevel="0" collapsed="false">
      <c r="A758" s="0" t="n">
        <v>2</v>
      </c>
      <c r="B758" s="0" t="n">
        <v>772</v>
      </c>
      <c r="C758" s="0" t="s">
        <v>44</v>
      </c>
      <c r="D758" s="0" t="s">
        <v>2283</v>
      </c>
      <c r="E758" s="14" t="n">
        <v>46258</v>
      </c>
      <c r="F758" s="14" t="n">
        <v>46256</v>
      </c>
      <c r="G758" s="0" t="s">
        <v>204</v>
      </c>
      <c r="H758" s="0" t="n">
        <v>1594447</v>
      </c>
      <c r="I758" s="0" t="n">
        <v>11</v>
      </c>
      <c r="J758" s="0" t="s">
        <v>2276</v>
      </c>
      <c r="K758" s="15" t="n">
        <v>265.81</v>
      </c>
      <c r="L758" s="0" t="s">
        <v>2277</v>
      </c>
    </row>
    <row r="759" customFormat="false" ht="15" hidden="false" customHeight="true" outlineLevel="0" collapsed="false">
      <c r="A759" s="0" t="n">
        <v>2</v>
      </c>
      <c r="B759" s="0" t="n">
        <v>91661</v>
      </c>
      <c r="C759" s="0" t="s">
        <v>44</v>
      </c>
      <c r="D759" s="0" t="s">
        <v>2284</v>
      </c>
      <c r="E759" s="14" t="n">
        <v>46258</v>
      </c>
      <c r="F759" s="14" t="n">
        <v>46255</v>
      </c>
      <c r="G759" s="0" t="s">
        <v>217</v>
      </c>
      <c r="H759" s="0" t="n">
        <v>1594340</v>
      </c>
      <c r="I759" s="0" t="n">
        <v>11</v>
      </c>
      <c r="J759" s="0" t="s">
        <v>2276</v>
      </c>
      <c r="K759" s="15" t="n">
        <v>618.65</v>
      </c>
      <c r="L759" s="0" t="s">
        <v>2277</v>
      </c>
    </row>
    <row r="760" customFormat="false" ht="15" hidden="false" customHeight="true" outlineLevel="0" collapsed="false">
      <c r="A760" s="0" t="n">
        <v>2</v>
      </c>
      <c r="B760" s="0" t="n">
        <v>1038558</v>
      </c>
      <c r="C760" s="0" t="s">
        <v>52</v>
      </c>
      <c r="D760" s="0" t="s">
        <v>2286</v>
      </c>
      <c r="E760" s="14" t="n">
        <v>46259</v>
      </c>
      <c r="F760" s="14" t="n">
        <v>46258</v>
      </c>
      <c r="G760" s="0" t="s">
        <v>228</v>
      </c>
      <c r="H760" s="0" t="n">
        <v>1598912</v>
      </c>
      <c r="I760" s="0" t="n">
        <v>11</v>
      </c>
      <c r="J760" s="0" t="s">
        <v>2276</v>
      </c>
      <c r="K760" s="15" t="n">
        <v>437.2</v>
      </c>
      <c r="L760" s="0" t="s">
        <v>2277</v>
      </c>
    </row>
    <row r="761" customFormat="false" ht="15" hidden="false" customHeight="true" outlineLevel="0" collapsed="false">
      <c r="A761" s="0" t="n">
        <v>2</v>
      </c>
      <c r="B761" s="0" t="n">
        <v>1262093</v>
      </c>
      <c r="C761" s="0" t="s">
        <v>80</v>
      </c>
      <c r="D761" s="0" t="s">
        <v>2275</v>
      </c>
      <c r="E761" s="14" t="n">
        <v>46259</v>
      </c>
      <c r="F761" s="14" t="n">
        <v>46255</v>
      </c>
      <c r="G761" s="0" t="s">
        <v>130</v>
      </c>
      <c r="H761" s="0" t="n">
        <v>1600062</v>
      </c>
      <c r="I761" s="0" t="n">
        <v>11</v>
      </c>
      <c r="J761" s="0" t="s">
        <v>2276</v>
      </c>
      <c r="K761" s="15" t="n">
        <v>639.05</v>
      </c>
      <c r="L761" s="0" t="s">
        <v>2277</v>
      </c>
    </row>
    <row r="762" customFormat="false" ht="15" hidden="false" customHeight="true" outlineLevel="0" collapsed="false">
      <c r="A762" s="0" t="n">
        <v>2</v>
      </c>
      <c r="B762" s="0" t="n">
        <v>1262474</v>
      </c>
      <c r="C762" s="0" t="s">
        <v>52</v>
      </c>
      <c r="D762" s="0" t="s">
        <v>2320</v>
      </c>
      <c r="E762" s="14" t="n">
        <v>46259</v>
      </c>
      <c r="F762" s="14" t="n">
        <v>46259</v>
      </c>
      <c r="G762" s="0" t="s">
        <v>468</v>
      </c>
      <c r="H762" s="0" t="n">
        <v>1599314</v>
      </c>
      <c r="I762" s="0" t="n">
        <v>11</v>
      </c>
      <c r="J762" s="0" t="s">
        <v>2276</v>
      </c>
      <c r="K762" s="15" t="n">
        <v>2372.5</v>
      </c>
      <c r="L762" s="0" t="s">
        <v>2277</v>
      </c>
    </row>
    <row r="763" customFormat="false" ht="15" hidden="false" customHeight="true" outlineLevel="0" collapsed="false">
      <c r="A763" s="0" t="n">
        <v>2</v>
      </c>
      <c r="B763" s="0" t="n">
        <v>1441731</v>
      </c>
      <c r="C763" s="0" t="s">
        <v>52</v>
      </c>
      <c r="D763" s="0" t="s">
        <v>2331</v>
      </c>
      <c r="E763" s="14" t="n">
        <v>46259</v>
      </c>
      <c r="F763" s="14" t="n">
        <v>46258</v>
      </c>
      <c r="G763" s="0" t="s">
        <v>464</v>
      </c>
      <c r="H763" s="0" t="n">
        <v>1600294</v>
      </c>
      <c r="I763" s="0" t="n">
        <v>11</v>
      </c>
      <c r="J763" s="0" t="s">
        <v>2276</v>
      </c>
      <c r="K763" s="15" t="n">
        <v>1255.7</v>
      </c>
      <c r="L763" s="0" t="s">
        <v>2277</v>
      </c>
    </row>
    <row r="764" customFormat="false" ht="15" hidden="false" customHeight="true" outlineLevel="0" collapsed="false">
      <c r="A764" s="0" t="n">
        <v>2</v>
      </c>
      <c r="B764" s="0" t="n">
        <v>1441732</v>
      </c>
      <c r="C764" s="0" t="s">
        <v>52</v>
      </c>
      <c r="D764" s="0" t="s">
        <v>2331</v>
      </c>
      <c r="E764" s="14" t="n">
        <v>46259</v>
      </c>
      <c r="F764" s="14" t="n">
        <v>46258</v>
      </c>
      <c r="G764" s="0" t="s">
        <v>464</v>
      </c>
      <c r="H764" s="0" t="n">
        <v>1600162</v>
      </c>
      <c r="I764" s="0" t="n">
        <v>11</v>
      </c>
      <c r="J764" s="0" t="s">
        <v>2276</v>
      </c>
      <c r="K764" s="15" t="n">
        <v>202.95</v>
      </c>
      <c r="L764" s="0" t="s">
        <v>2277</v>
      </c>
    </row>
    <row r="765" customFormat="false" ht="15" hidden="false" customHeight="true" outlineLevel="0" collapsed="false">
      <c r="A765" s="0" t="n">
        <v>2</v>
      </c>
      <c r="B765" s="0" t="n">
        <v>1442200</v>
      </c>
      <c r="C765" s="0" t="s">
        <v>52</v>
      </c>
      <c r="D765" s="0" t="s">
        <v>2331</v>
      </c>
      <c r="E765" s="14" t="n">
        <v>46259</v>
      </c>
      <c r="F765" s="14" t="n">
        <v>46258</v>
      </c>
      <c r="G765" s="0" t="s">
        <v>464</v>
      </c>
      <c r="H765" s="0" t="n">
        <v>1600188</v>
      </c>
      <c r="I765" s="0" t="n">
        <v>11</v>
      </c>
      <c r="J765" s="0" t="s">
        <v>2276</v>
      </c>
      <c r="K765" s="15" t="n">
        <v>1268.78</v>
      </c>
      <c r="L765" s="0" t="s">
        <v>2277</v>
      </c>
    </row>
    <row r="766" customFormat="false" ht="15" hidden="false" customHeight="true" outlineLevel="0" collapsed="false">
      <c r="A766" s="0" t="n">
        <v>2</v>
      </c>
      <c r="B766" s="0" t="n">
        <v>1442202</v>
      </c>
      <c r="C766" s="0" t="s">
        <v>52</v>
      </c>
      <c r="D766" s="0" t="s">
        <v>2331</v>
      </c>
      <c r="E766" s="14" t="n">
        <v>46259</v>
      </c>
      <c r="F766" s="14" t="n">
        <v>46258</v>
      </c>
      <c r="G766" s="0" t="s">
        <v>464</v>
      </c>
      <c r="H766" s="0" t="n">
        <v>1600136</v>
      </c>
      <c r="I766" s="0" t="n">
        <v>11</v>
      </c>
      <c r="J766" s="0" t="s">
        <v>2276</v>
      </c>
      <c r="K766" s="15" t="n">
        <v>1509.12</v>
      </c>
      <c r="L766" s="0" t="s">
        <v>2277</v>
      </c>
    </row>
    <row r="767" customFormat="false" ht="15" hidden="false" customHeight="true" outlineLevel="0" collapsed="false">
      <c r="A767" s="0" t="n">
        <v>2</v>
      </c>
      <c r="B767" s="0" t="n">
        <v>1442668</v>
      </c>
      <c r="C767" s="0" t="s">
        <v>52</v>
      </c>
      <c r="D767" s="0" t="s">
        <v>2331</v>
      </c>
      <c r="E767" s="14" t="n">
        <v>46259</v>
      </c>
      <c r="F767" s="14" t="n">
        <v>46258</v>
      </c>
      <c r="G767" s="0" t="s">
        <v>464</v>
      </c>
      <c r="H767" s="0" t="n">
        <v>1600343</v>
      </c>
      <c r="I767" s="0" t="n">
        <v>11</v>
      </c>
      <c r="J767" s="0" t="s">
        <v>2276</v>
      </c>
      <c r="K767" s="15" t="n">
        <v>2477.62</v>
      </c>
      <c r="L767" s="0" t="s">
        <v>2277</v>
      </c>
    </row>
    <row r="768" customFormat="false" ht="15" hidden="false" customHeight="true" outlineLevel="0" collapsed="false">
      <c r="A768" s="0" t="n">
        <v>2</v>
      </c>
      <c r="B768" s="0" t="n">
        <v>1668884</v>
      </c>
      <c r="C768" s="0" t="s">
        <v>2280</v>
      </c>
      <c r="D768" s="0" t="s">
        <v>2281</v>
      </c>
      <c r="E768" s="14" t="n">
        <v>46259</v>
      </c>
      <c r="F768" s="14" t="n">
        <v>46258</v>
      </c>
      <c r="G768" s="0" t="s">
        <v>406</v>
      </c>
      <c r="H768" s="0" t="n">
        <v>1598935</v>
      </c>
      <c r="I768" s="0" t="n">
        <v>11</v>
      </c>
      <c r="J768" s="0" t="s">
        <v>2276</v>
      </c>
      <c r="K768" s="15" t="n">
        <v>126</v>
      </c>
      <c r="L768" s="0" t="s">
        <v>2277</v>
      </c>
    </row>
    <row r="769" customFormat="false" ht="15" hidden="false" customHeight="true" outlineLevel="0" collapsed="false">
      <c r="A769" s="0" t="n">
        <v>2</v>
      </c>
      <c r="B769" s="0" t="n">
        <v>2004983</v>
      </c>
      <c r="C769" s="0" t="s">
        <v>36</v>
      </c>
      <c r="D769" s="0" t="s">
        <v>2275</v>
      </c>
      <c r="E769" s="14" t="n">
        <v>46259</v>
      </c>
      <c r="F769" s="14" t="n">
        <v>46255</v>
      </c>
      <c r="G769" s="0" t="s">
        <v>130</v>
      </c>
      <c r="H769" s="0" t="n">
        <v>1600073</v>
      </c>
      <c r="I769" s="0" t="n">
        <v>11</v>
      </c>
      <c r="J769" s="0" t="s">
        <v>2276</v>
      </c>
      <c r="K769" s="15" t="n">
        <v>3064.41</v>
      </c>
      <c r="L769" s="0" t="s">
        <v>2277</v>
      </c>
    </row>
    <row r="770" customFormat="false" ht="15" hidden="false" customHeight="true" outlineLevel="0" collapsed="false">
      <c r="A770" s="0" t="n">
        <v>2</v>
      </c>
      <c r="B770" s="0" t="n">
        <v>229698</v>
      </c>
      <c r="C770" s="0" t="s">
        <v>44</v>
      </c>
      <c r="D770" s="0" t="s">
        <v>2305</v>
      </c>
      <c r="E770" s="14" t="n">
        <v>46259</v>
      </c>
      <c r="F770" s="14" t="n">
        <v>46259</v>
      </c>
      <c r="G770" s="0" t="s">
        <v>438</v>
      </c>
      <c r="H770" s="0" t="n">
        <v>1600435</v>
      </c>
      <c r="I770" s="0" t="n">
        <v>11</v>
      </c>
      <c r="J770" s="0" t="s">
        <v>2276</v>
      </c>
      <c r="K770" s="15" t="n">
        <v>363.97</v>
      </c>
      <c r="L770" s="0" t="s">
        <v>2277</v>
      </c>
    </row>
    <row r="771" customFormat="false" ht="15" hidden="false" customHeight="true" outlineLevel="0" collapsed="false">
      <c r="A771" s="0" t="n">
        <v>2</v>
      </c>
      <c r="B771" s="0" t="n">
        <v>2628</v>
      </c>
      <c r="C771" s="0" t="s">
        <v>52</v>
      </c>
      <c r="D771" s="0" t="s">
        <v>2288</v>
      </c>
      <c r="E771" s="14" t="n">
        <v>46259</v>
      </c>
      <c r="F771" s="14" t="n">
        <v>46259</v>
      </c>
      <c r="G771" s="0" t="s">
        <v>153</v>
      </c>
      <c r="H771" s="0" t="n">
        <v>1599496</v>
      </c>
      <c r="I771" s="0" t="n">
        <v>6</v>
      </c>
      <c r="J771" s="0" t="s">
        <v>2276</v>
      </c>
      <c r="K771" s="15" t="n">
        <v>200</v>
      </c>
      <c r="L771" s="0" t="s">
        <v>2277</v>
      </c>
    </row>
    <row r="772" customFormat="false" ht="15" hidden="false" customHeight="true" outlineLevel="0" collapsed="false">
      <c r="A772" s="0" t="n">
        <v>2</v>
      </c>
      <c r="B772" s="0" t="n">
        <v>2629</v>
      </c>
      <c r="C772" s="0" t="s">
        <v>52</v>
      </c>
      <c r="D772" s="0" t="s">
        <v>2288</v>
      </c>
      <c r="E772" s="14" t="n">
        <v>46259</v>
      </c>
      <c r="F772" s="14" t="n">
        <v>46259</v>
      </c>
      <c r="G772" s="0" t="s">
        <v>153</v>
      </c>
      <c r="H772" s="0" t="n">
        <v>1600582</v>
      </c>
      <c r="I772" s="0" t="n">
        <v>6</v>
      </c>
      <c r="J772" s="0" t="s">
        <v>2276</v>
      </c>
      <c r="K772" s="15" t="n">
        <v>1352</v>
      </c>
      <c r="L772" s="0" t="s">
        <v>2277</v>
      </c>
    </row>
    <row r="773" customFormat="false" ht="15" hidden="false" customHeight="true" outlineLevel="0" collapsed="false">
      <c r="A773" s="0" t="n">
        <v>2</v>
      </c>
      <c r="B773" s="0" t="n">
        <v>4446</v>
      </c>
      <c r="C773" s="0" t="s">
        <v>52</v>
      </c>
      <c r="D773" s="0" t="s">
        <v>2290</v>
      </c>
      <c r="E773" s="14" t="n">
        <v>46259</v>
      </c>
      <c r="F773" s="14" t="n">
        <v>46258</v>
      </c>
      <c r="G773" s="0" t="s">
        <v>95</v>
      </c>
      <c r="H773" s="0" t="n">
        <v>1598926</v>
      </c>
      <c r="I773" s="0" t="n">
        <v>11</v>
      </c>
      <c r="J773" s="0" t="s">
        <v>2276</v>
      </c>
      <c r="K773" s="15" t="n">
        <v>215.9</v>
      </c>
      <c r="L773" s="0" t="s">
        <v>2277</v>
      </c>
    </row>
    <row r="774" customFormat="false" ht="15" hidden="false" customHeight="true" outlineLevel="0" collapsed="false">
      <c r="A774" s="0" t="n">
        <v>2</v>
      </c>
      <c r="B774" s="0" t="n">
        <v>621</v>
      </c>
      <c r="C774" s="0" t="s">
        <v>52</v>
      </c>
      <c r="D774" s="0" t="s">
        <v>2291</v>
      </c>
      <c r="E774" s="14" t="n">
        <v>46259</v>
      </c>
      <c r="F774" s="14" t="n">
        <v>46258</v>
      </c>
      <c r="G774" s="0" t="s">
        <v>123</v>
      </c>
      <c r="H774" s="0" t="n">
        <v>1599470</v>
      </c>
      <c r="I774" s="0" t="n">
        <v>11</v>
      </c>
      <c r="J774" s="0" t="s">
        <v>2276</v>
      </c>
      <c r="K774" s="15" t="n">
        <v>240</v>
      </c>
      <c r="L774" s="0" t="s">
        <v>2277</v>
      </c>
    </row>
    <row r="775" customFormat="false" ht="15" hidden="false" customHeight="true" outlineLevel="0" collapsed="false">
      <c r="A775" s="0" t="n">
        <v>2</v>
      </c>
      <c r="B775" s="0" t="n">
        <v>110228</v>
      </c>
      <c r="C775" s="0" t="s">
        <v>67</v>
      </c>
      <c r="D775" s="0" t="s">
        <v>2416</v>
      </c>
      <c r="E775" s="14" t="n">
        <v>46260</v>
      </c>
      <c r="F775" s="14" t="n">
        <v>46260</v>
      </c>
      <c r="G775" s="0" t="s">
        <v>2010</v>
      </c>
      <c r="H775" s="0" t="n">
        <v>1605254</v>
      </c>
      <c r="I775" s="0" t="n">
        <v>39</v>
      </c>
      <c r="J775" s="0" t="s">
        <v>2276</v>
      </c>
      <c r="K775" s="15" t="n">
        <v>353.63</v>
      </c>
      <c r="L775" s="0" t="s">
        <v>2346</v>
      </c>
    </row>
    <row r="776" customFormat="false" ht="15" hidden="false" customHeight="true" outlineLevel="0" collapsed="false">
      <c r="A776" s="0" t="n">
        <v>2</v>
      </c>
      <c r="B776" s="0" t="n">
        <v>1263938</v>
      </c>
      <c r="C776" s="0" t="s">
        <v>80</v>
      </c>
      <c r="D776" s="0" t="s">
        <v>2275</v>
      </c>
      <c r="E776" s="14" t="n">
        <v>46260</v>
      </c>
      <c r="F776" s="14" t="n">
        <v>46258</v>
      </c>
      <c r="G776" s="0" t="s">
        <v>130</v>
      </c>
      <c r="H776" s="0" t="n">
        <v>1603816</v>
      </c>
      <c r="I776" s="0" t="n">
        <v>11</v>
      </c>
      <c r="J776" s="0" t="s">
        <v>2276</v>
      </c>
      <c r="K776" s="15" t="n">
        <v>259.86</v>
      </c>
      <c r="L776" s="0" t="s">
        <v>2277</v>
      </c>
    </row>
    <row r="777" customFormat="false" ht="15" hidden="false" customHeight="true" outlineLevel="0" collapsed="false">
      <c r="A777" s="0" t="n">
        <v>2</v>
      </c>
      <c r="B777" s="0" t="n">
        <v>1430146</v>
      </c>
      <c r="C777" s="0" t="s">
        <v>52</v>
      </c>
      <c r="D777" s="0" t="s">
        <v>2308</v>
      </c>
      <c r="E777" s="14" t="n">
        <v>46260</v>
      </c>
      <c r="F777" s="14" t="n">
        <v>46254</v>
      </c>
      <c r="G777" s="0" t="s">
        <v>343</v>
      </c>
      <c r="H777" s="0" t="n">
        <v>1605098</v>
      </c>
      <c r="I777" s="0" t="n">
        <v>11</v>
      </c>
      <c r="J777" s="0" t="s">
        <v>2276</v>
      </c>
      <c r="K777" s="15" t="n">
        <v>1515.2</v>
      </c>
      <c r="L777" s="0" t="s">
        <v>2277</v>
      </c>
    </row>
    <row r="778" customFormat="false" ht="15" hidden="false" customHeight="true" outlineLevel="0" collapsed="false">
      <c r="A778" s="0" t="n">
        <v>2</v>
      </c>
      <c r="B778" s="0" t="n">
        <v>15150</v>
      </c>
      <c r="C778" s="0" t="s">
        <v>52</v>
      </c>
      <c r="D778" s="0" t="s">
        <v>2278</v>
      </c>
      <c r="E778" s="14" t="n">
        <v>46260</v>
      </c>
      <c r="F778" s="14" t="n">
        <v>46259</v>
      </c>
      <c r="G778" s="0" t="s">
        <v>270</v>
      </c>
      <c r="H778" s="0" t="n">
        <v>1604506</v>
      </c>
      <c r="I778" s="0" t="n">
        <v>11</v>
      </c>
      <c r="J778" s="0" t="s">
        <v>2276</v>
      </c>
      <c r="K778" s="15" t="n">
        <v>3363.75</v>
      </c>
      <c r="L778" s="0" t="s">
        <v>2277</v>
      </c>
    </row>
    <row r="779" customFormat="false" ht="15" hidden="false" customHeight="true" outlineLevel="0" collapsed="false">
      <c r="A779" s="0" t="n">
        <v>2</v>
      </c>
      <c r="B779" s="0" t="n">
        <v>1670242</v>
      </c>
      <c r="C779" s="0" t="s">
        <v>2280</v>
      </c>
      <c r="D779" s="0" t="s">
        <v>2281</v>
      </c>
      <c r="E779" s="14" t="n">
        <v>46260</v>
      </c>
      <c r="F779" s="14" t="n">
        <v>46260</v>
      </c>
      <c r="G779" s="0" t="s">
        <v>406</v>
      </c>
      <c r="H779" s="0" t="n">
        <v>1605240</v>
      </c>
      <c r="I779" s="0" t="n">
        <v>11</v>
      </c>
      <c r="J779" s="0" t="s">
        <v>2276</v>
      </c>
      <c r="K779" s="15" t="n">
        <v>137</v>
      </c>
      <c r="L779" s="0" t="s">
        <v>2277</v>
      </c>
    </row>
    <row r="780" customFormat="false" ht="15" hidden="false" customHeight="true" outlineLevel="0" collapsed="false">
      <c r="A780" s="0" t="n">
        <v>2</v>
      </c>
      <c r="B780" s="0" t="n">
        <v>2007955</v>
      </c>
      <c r="C780" s="0" t="s">
        <v>36</v>
      </c>
      <c r="D780" s="0" t="s">
        <v>2275</v>
      </c>
      <c r="E780" s="14" t="n">
        <v>46260</v>
      </c>
      <c r="F780" s="14" t="n">
        <v>46258</v>
      </c>
      <c r="G780" s="0" t="s">
        <v>130</v>
      </c>
      <c r="H780" s="0" t="n">
        <v>1603837</v>
      </c>
      <c r="I780" s="0" t="n">
        <v>11</v>
      </c>
      <c r="J780" s="0" t="s">
        <v>2276</v>
      </c>
      <c r="K780" s="15" t="n">
        <v>3257.14</v>
      </c>
      <c r="L780" s="0" t="s">
        <v>2277</v>
      </c>
    </row>
    <row r="781" customFormat="false" ht="15" hidden="false" customHeight="true" outlineLevel="0" collapsed="false">
      <c r="A781" s="0" t="n">
        <v>2</v>
      </c>
      <c r="B781" s="0" t="n">
        <v>2630</v>
      </c>
      <c r="C781" s="0" t="s">
        <v>52</v>
      </c>
      <c r="D781" s="0" t="s">
        <v>2288</v>
      </c>
      <c r="E781" s="14" t="n">
        <v>46260</v>
      </c>
      <c r="F781" s="14" t="n">
        <v>46260</v>
      </c>
      <c r="G781" s="0" t="s">
        <v>153</v>
      </c>
      <c r="H781" s="0" t="n">
        <v>1604345</v>
      </c>
      <c r="I781" s="0" t="n">
        <v>6</v>
      </c>
      <c r="J781" s="0" t="s">
        <v>2276</v>
      </c>
      <c r="K781" s="15" t="n">
        <v>225</v>
      </c>
      <c r="L781" s="0" t="s">
        <v>2277</v>
      </c>
    </row>
    <row r="782" customFormat="false" ht="15" hidden="false" customHeight="true" outlineLevel="0" collapsed="false">
      <c r="A782" s="0" t="n">
        <v>2</v>
      </c>
      <c r="B782" s="0" t="n">
        <v>319020</v>
      </c>
      <c r="C782" s="0" t="s">
        <v>52</v>
      </c>
      <c r="D782" s="0" t="s">
        <v>2298</v>
      </c>
      <c r="E782" s="14" t="n">
        <v>46260</v>
      </c>
      <c r="F782" s="14" t="n">
        <v>46259</v>
      </c>
      <c r="G782" s="0" t="s">
        <v>77</v>
      </c>
      <c r="H782" s="0" t="n">
        <v>1605209</v>
      </c>
      <c r="I782" s="0" t="n">
        <v>11</v>
      </c>
      <c r="J782" s="0" t="s">
        <v>2276</v>
      </c>
      <c r="K782" s="15" t="n">
        <v>2029.99</v>
      </c>
      <c r="L782" s="0" t="s">
        <v>2277</v>
      </c>
    </row>
    <row r="783" customFormat="false" ht="15" hidden="false" customHeight="true" outlineLevel="0" collapsed="false">
      <c r="A783" s="0" t="n">
        <v>2</v>
      </c>
      <c r="B783" s="0" t="n">
        <v>33028</v>
      </c>
      <c r="C783" s="0" t="s">
        <v>102</v>
      </c>
      <c r="D783" s="0" t="s">
        <v>2313</v>
      </c>
      <c r="E783" s="14" t="n">
        <v>46260</v>
      </c>
      <c r="F783" s="14" t="n">
        <v>46260</v>
      </c>
      <c r="G783" s="0" t="s">
        <v>268</v>
      </c>
      <c r="H783" s="0" t="n">
        <v>1605116</v>
      </c>
      <c r="I783" s="0" t="n">
        <v>11</v>
      </c>
      <c r="J783" s="0" t="s">
        <v>2276</v>
      </c>
      <c r="K783" s="15" t="n">
        <v>5504.3</v>
      </c>
      <c r="L783" s="0" t="s">
        <v>2277</v>
      </c>
    </row>
    <row r="784" customFormat="false" ht="15" hidden="false" customHeight="true" outlineLevel="0" collapsed="false">
      <c r="A784" s="0" t="n">
        <v>2</v>
      </c>
      <c r="B784" s="0" t="n">
        <v>447609</v>
      </c>
      <c r="C784" s="0" t="s">
        <v>67</v>
      </c>
      <c r="D784" s="0" t="s">
        <v>2359</v>
      </c>
      <c r="E784" s="14" t="n">
        <v>46260</v>
      </c>
      <c r="F784" s="14" t="n">
        <v>46259</v>
      </c>
      <c r="G784" s="0" t="s">
        <v>254</v>
      </c>
      <c r="H784" s="0" t="n">
        <v>1605152</v>
      </c>
      <c r="I784" s="0" t="n">
        <v>11</v>
      </c>
      <c r="J784" s="0" t="s">
        <v>2276</v>
      </c>
      <c r="K784" s="15" t="n">
        <v>4531.01</v>
      </c>
      <c r="L784" s="0" t="s">
        <v>2277</v>
      </c>
    </row>
    <row r="785" customFormat="false" ht="15" hidden="false" customHeight="true" outlineLevel="0" collapsed="false">
      <c r="A785" s="0" t="n">
        <v>2</v>
      </c>
      <c r="B785" s="0" t="n">
        <v>7287</v>
      </c>
      <c r="C785" s="0" t="s">
        <v>44</v>
      </c>
      <c r="D785" s="0" t="s">
        <v>2417</v>
      </c>
      <c r="E785" s="14" t="n">
        <v>46260</v>
      </c>
      <c r="F785" s="14" t="n">
        <v>46258</v>
      </c>
      <c r="G785" s="0" t="s">
        <v>1906</v>
      </c>
      <c r="H785" s="0" t="n">
        <v>1603777</v>
      </c>
      <c r="I785" s="0" t="n">
        <v>11</v>
      </c>
      <c r="J785" s="0" t="s">
        <v>2276</v>
      </c>
      <c r="K785" s="15" t="n">
        <v>348.18</v>
      </c>
      <c r="L785" s="0" t="s">
        <v>2277</v>
      </c>
    </row>
    <row r="786" customFormat="false" ht="15" hidden="false" customHeight="true" outlineLevel="0" collapsed="false">
      <c r="A786" s="0" t="n">
        <v>2</v>
      </c>
      <c r="B786" s="0" t="n">
        <v>866347</v>
      </c>
      <c r="C786" s="0" t="s">
        <v>52</v>
      </c>
      <c r="D786" s="0" t="s">
        <v>2326</v>
      </c>
      <c r="E786" s="14" t="n">
        <v>46260</v>
      </c>
      <c r="F786" s="14" t="n">
        <v>46258</v>
      </c>
      <c r="G786" s="0" t="s">
        <v>193</v>
      </c>
      <c r="H786" s="0" t="n">
        <v>1603982</v>
      </c>
      <c r="I786" s="0" t="n">
        <v>11</v>
      </c>
      <c r="J786" s="0" t="s">
        <v>2276</v>
      </c>
      <c r="K786" s="15" t="n">
        <v>2530.95</v>
      </c>
      <c r="L786" s="0" t="s">
        <v>2277</v>
      </c>
    </row>
    <row r="787" customFormat="false" ht="15" hidden="false" customHeight="true" outlineLevel="0" collapsed="false">
      <c r="A787" s="0" t="n">
        <v>2</v>
      </c>
      <c r="B787" s="0" t="n">
        <v>8744</v>
      </c>
      <c r="C787" s="0" t="s">
        <v>52</v>
      </c>
      <c r="D787" s="0" t="s">
        <v>2374</v>
      </c>
      <c r="E787" s="14" t="n">
        <v>46260</v>
      </c>
      <c r="F787" s="14" t="n">
        <v>46259</v>
      </c>
      <c r="G787" s="0" t="s">
        <v>335</v>
      </c>
      <c r="H787" s="0" t="n">
        <v>1604138</v>
      </c>
      <c r="I787" s="0" t="n">
        <v>11</v>
      </c>
      <c r="J787" s="0" t="s">
        <v>2276</v>
      </c>
      <c r="K787" s="15" t="n">
        <v>3492.3</v>
      </c>
      <c r="L787" s="0" t="s">
        <v>2277</v>
      </c>
    </row>
    <row r="788" customFormat="false" ht="15" hidden="false" customHeight="true" outlineLevel="0" collapsed="false">
      <c r="A788" s="0" t="n">
        <v>2</v>
      </c>
      <c r="B788" s="0" t="n">
        <v>10951</v>
      </c>
      <c r="C788" s="0" t="s">
        <v>52</v>
      </c>
      <c r="D788" s="0" t="s">
        <v>2366</v>
      </c>
      <c r="E788" s="14" t="n">
        <v>46261</v>
      </c>
      <c r="F788" s="14" t="n">
        <v>46261</v>
      </c>
      <c r="G788" s="0" t="s">
        <v>212</v>
      </c>
      <c r="H788" s="0" t="n">
        <v>1608886</v>
      </c>
      <c r="I788" s="0" t="n">
        <v>11</v>
      </c>
      <c r="J788" s="0" t="s">
        <v>2276</v>
      </c>
      <c r="K788" s="15" t="n">
        <v>228</v>
      </c>
      <c r="L788" s="0" t="s">
        <v>2277</v>
      </c>
    </row>
    <row r="789" customFormat="false" ht="15" hidden="false" customHeight="true" outlineLevel="0" collapsed="false">
      <c r="A789" s="0" t="n">
        <v>2</v>
      </c>
      <c r="B789" s="0" t="n">
        <v>1719576</v>
      </c>
      <c r="C789" s="0" t="s">
        <v>52</v>
      </c>
      <c r="D789" s="0" t="s">
        <v>2287</v>
      </c>
      <c r="E789" s="14" t="n">
        <v>46261</v>
      </c>
      <c r="F789" s="14" t="n">
        <v>46260</v>
      </c>
      <c r="G789" s="0" t="s">
        <v>240</v>
      </c>
      <c r="H789" s="0" t="n">
        <v>1608374</v>
      </c>
      <c r="I789" s="0" t="n">
        <v>11</v>
      </c>
      <c r="J789" s="0" t="s">
        <v>2276</v>
      </c>
      <c r="K789" s="15" t="n">
        <v>774.74</v>
      </c>
      <c r="L789" s="0" t="s">
        <v>2277</v>
      </c>
    </row>
    <row r="790" customFormat="false" ht="15" hidden="false" customHeight="true" outlineLevel="0" collapsed="false">
      <c r="A790" s="0" t="n">
        <v>2</v>
      </c>
      <c r="B790" s="0" t="n">
        <v>1925381</v>
      </c>
      <c r="C790" s="0" t="s">
        <v>52</v>
      </c>
      <c r="D790" s="0" t="s">
        <v>2368</v>
      </c>
      <c r="E790" s="14" t="n">
        <v>46261</v>
      </c>
      <c r="F790" s="14" t="n">
        <v>46259</v>
      </c>
      <c r="G790" s="0" t="s">
        <v>871</v>
      </c>
      <c r="H790" s="0" t="n">
        <v>1608949</v>
      </c>
      <c r="I790" s="0" t="n">
        <v>11</v>
      </c>
      <c r="J790" s="0" t="s">
        <v>2276</v>
      </c>
      <c r="K790" s="15" t="n">
        <v>942.69</v>
      </c>
      <c r="L790" s="0" t="s">
        <v>2277</v>
      </c>
    </row>
    <row r="791" customFormat="false" ht="15" hidden="false" customHeight="true" outlineLevel="0" collapsed="false">
      <c r="A791" s="0" t="n">
        <v>2</v>
      </c>
      <c r="B791" s="0" t="n">
        <v>1925382</v>
      </c>
      <c r="C791" s="0" t="s">
        <v>52</v>
      </c>
      <c r="D791" s="0" t="s">
        <v>2368</v>
      </c>
      <c r="E791" s="14" t="n">
        <v>46261</v>
      </c>
      <c r="F791" s="14" t="n">
        <v>46259</v>
      </c>
      <c r="G791" s="0" t="s">
        <v>871</v>
      </c>
      <c r="H791" s="0" t="n">
        <v>1608917</v>
      </c>
      <c r="I791" s="0" t="n">
        <v>11</v>
      </c>
      <c r="J791" s="0" t="s">
        <v>2276</v>
      </c>
      <c r="K791" s="15" t="n">
        <v>974.55</v>
      </c>
      <c r="L791" s="0" t="s">
        <v>2277</v>
      </c>
    </row>
    <row r="792" customFormat="false" ht="15" hidden="false" customHeight="true" outlineLevel="0" collapsed="false">
      <c r="A792" s="0" t="n">
        <v>2</v>
      </c>
      <c r="B792" s="0" t="n">
        <v>206697</v>
      </c>
      <c r="C792" s="0" t="s">
        <v>44</v>
      </c>
      <c r="D792" s="0" t="s">
        <v>2418</v>
      </c>
      <c r="E792" s="14" t="n">
        <v>46261</v>
      </c>
      <c r="F792" s="14" t="n">
        <v>46258</v>
      </c>
      <c r="G792" s="0" t="s">
        <v>1671</v>
      </c>
      <c r="H792" s="0" t="n">
        <v>1608544</v>
      </c>
      <c r="I792" s="0" t="n">
        <v>11</v>
      </c>
      <c r="J792" s="0" t="s">
        <v>2276</v>
      </c>
      <c r="K792" s="15" t="n">
        <v>2416.2</v>
      </c>
      <c r="L792" s="0" t="s">
        <v>2277</v>
      </c>
    </row>
    <row r="793" customFormat="false" ht="15" hidden="false" customHeight="true" outlineLevel="0" collapsed="false">
      <c r="A793" s="0" t="n">
        <v>2</v>
      </c>
      <c r="B793" s="0" t="n">
        <v>213</v>
      </c>
      <c r="C793" s="0" t="s">
        <v>52</v>
      </c>
      <c r="D793" s="0" t="s">
        <v>2399</v>
      </c>
      <c r="E793" s="14" t="n">
        <v>46261</v>
      </c>
      <c r="F793" s="14" t="n">
        <v>46258</v>
      </c>
      <c r="G793" s="0" t="s">
        <v>622</v>
      </c>
      <c r="H793" s="0" t="n">
        <v>1613643</v>
      </c>
      <c r="I793" s="0" t="n">
        <v>11</v>
      </c>
      <c r="J793" s="0" t="s">
        <v>2276</v>
      </c>
      <c r="K793" s="15" t="n">
        <v>140</v>
      </c>
      <c r="L793" s="0" t="s">
        <v>2277</v>
      </c>
    </row>
    <row r="794" customFormat="false" ht="15" hidden="false" customHeight="true" outlineLevel="0" collapsed="false">
      <c r="A794" s="0" t="n">
        <v>2</v>
      </c>
      <c r="B794" s="0" t="n">
        <v>2635</v>
      </c>
      <c r="C794" s="0" t="s">
        <v>52</v>
      </c>
      <c r="D794" s="0" t="s">
        <v>2288</v>
      </c>
      <c r="E794" s="14" t="n">
        <v>46261</v>
      </c>
      <c r="F794" s="14" t="n">
        <v>46261</v>
      </c>
      <c r="G794" s="0" t="s">
        <v>153</v>
      </c>
      <c r="H794" s="0" t="n">
        <v>1609212</v>
      </c>
      <c r="I794" s="0" t="n">
        <v>6</v>
      </c>
      <c r="J794" s="0" t="s">
        <v>2276</v>
      </c>
      <c r="K794" s="15" t="n">
        <v>225</v>
      </c>
      <c r="L794" s="0" t="s">
        <v>2277</v>
      </c>
    </row>
    <row r="795" customFormat="false" ht="15" hidden="false" customHeight="true" outlineLevel="0" collapsed="false">
      <c r="A795" s="0" t="n">
        <v>2</v>
      </c>
      <c r="B795" s="0" t="n">
        <v>2859</v>
      </c>
      <c r="C795" s="0" t="s">
        <v>52</v>
      </c>
      <c r="D795" s="0" t="s">
        <v>2391</v>
      </c>
      <c r="E795" s="14" t="n">
        <v>46261</v>
      </c>
      <c r="F795" s="14" t="n">
        <v>46261</v>
      </c>
      <c r="G795" s="0" t="s">
        <v>925</v>
      </c>
      <c r="H795" s="0" t="n">
        <v>1609971</v>
      </c>
      <c r="I795" s="0" t="n">
        <v>11</v>
      </c>
      <c r="J795" s="0" t="s">
        <v>2276</v>
      </c>
      <c r="K795" s="15" t="n">
        <v>190</v>
      </c>
      <c r="L795" s="0" t="s">
        <v>2277</v>
      </c>
    </row>
    <row r="796" customFormat="false" ht="15" hidden="false" customHeight="true" outlineLevel="0" collapsed="false">
      <c r="A796" s="0" t="n">
        <v>2</v>
      </c>
      <c r="B796" s="0" t="n">
        <v>3242273</v>
      </c>
      <c r="C796" s="0" t="s">
        <v>52</v>
      </c>
      <c r="D796" s="0" t="s">
        <v>2324</v>
      </c>
      <c r="E796" s="14" t="n">
        <v>46261</v>
      </c>
      <c r="F796" s="14" t="n">
        <v>46259</v>
      </c>
      <c r="G796" s="0" t="s">
        <v>61</v>
      </c>
      <c r="H796" s="0" t="n">
        <v>1609043</v>
      </c>
      <c r="I796" s="0" t="n">
        <v>11</v>
      </c>
      <c r="J796" s="0" t="s">
        <v>2276</v>
      </c>
      <c r="K796" s="15" t="n">
        <v>2195.6</v>
      </c>
      <c r="L796" s="0" t="s">
        <v>2277</v>
      </c>
    </row>
    <row r="797" customFormat="false" ht="15" hidden="false" customHeight="true" outlineLevel="0" collapsed="false">
      <c r="A797" s="0" t="n">
        <v>2</v>
      </c>
      <c r="B797" s="0" t="n">
        <v>32719</v>
      </c>
      <c r="C797" s="0" t="s">
        <v>52</v>
      </c>
      <c r="D797" s="0" t="s">
        <v>2296</v>
      </c>
      <c r="E797" s="14" t="n">
        <v>46261</v>
      </c>
      <c r="F797" s="14" t="n">
        <v>46260</v>
      </c>
      <c r="G797" s="0" t="s">
        <v>162</v>
      </c>
      <c r="H797" s="0" t="n">
        <v>1608603</v>
      </c>
      <c r="I797" s="0" t="n">
        <v>11</v>
      </c>
      <c r="J797" s="0" t="s">
        <v>2276</v>
      </c>
      <c r="K797" s="15" t="n">
        <v>1069.2</v>
      </c>
      <c r="L797" s="0" t="s">
        <v>2277</v>
      </c>
    </row>
    <row r="798" customFormat="false" ht="15" hidden="false" customHeight="true" outlineLevel="0" collapsed="false">
      <c r="A798" s="0" t="n">
        <v>2</v>
      </c>
      <c r="B798" s="0" t="n">
        <v>374</v>
      </c>
      <c r="C798" s="0" t="s">
        <v>52</v>
      </c>
      <c r="D798" s="0" t="s">
        <v>2289</v>
      </c>
      <c r="E798" s="14" t="n">
        <v>46261</v>
      </c>
      <c r="F798" s="14" t="n">
        <v>46261</v>
      </c>
      <c r="G798" s="0" t="s">
        <v>216</v>
      </c>
      <c r="H798" s="0" t="n">
        <v>1610075</v>
      </c>
      <c r="I798" s="0" t="n">
        <v>11</v>
      </c>
      <c r="J798" s="0" t="s">
        <v>2276</v>
      </c>
      <c r="K798" s="15" t="n">
        <v>895</v>
      </c>
      <c r="L798" s="0" t="s">
        <v>2277</v>
      </c>
    </row>
    <row r="799" customFormat="false" ht="15" hidden="false" customHeight="true" outlineLevel="0" collapsed="false">
      <c r="A799" s="0" t="n">
        <v>2</v>
      </c>
      <c r="B799" s="0" t="n">
        <v>588254</v>
      </c>
      <c r="C799" s="0" t="s">
        <v>52</v>
      </c>
      <c r="D799" s="0" t="s">
        <v>2384</v>
      </c>
      <c r="E799" s="14" t="n">
        <v>46261</v>
      </c>
      <c r="F799" s="14" t="n">
        <v>46258</v>
      </c>
      <c r="G799" s="0" t="s">
        <v>119</v>
      </c>
      <c r="H799" s="0" t="n">
        <v>1610044</v>
      </c>
      <c r="I799" s="0" t="n">
        <v>11</v>
      </c>
      <c r="J799" s="0" t="s">
        <v>2276</v>
      </c>
      <c r="K799" s="15" t="n">
        <v>271.46</v>
      </c>
      <c r="L799" s="0" t="s">
        <v>2277</v>
      </c>
    </row>
    <row r="800" customFormat="false" ht="15" hidden="false" customHeight="true" outlineLevel="0" collapsed="false">
      <c r="A800" s="0" t="n">
        <v>2</v>
      </c>
      <c r="B800" s="0" t="n">
        <v>6042</v>
      </c>
      <c r="C800" s="0" t="s">
        <v>52</v>
      </c>
      <c r="D800" s="0" t="s">
        <v>2302</v>
      </c>
      <c r="E800" s="14" t="n">
        <v>46261</v>
      </c>
      <c r="F800" s="14" t="n">
        <v>46260</v>
      </c>
      <c r="G800" s="0" t="s">
        <v>84</v>
      </c>
      <c r="H800" s="0" t="n">
        <v>1609106</v>
      </c>
      <c r="I800" s="0" t="n">
        <v>11</v>
      </c>
      <c r="J800" s="0" t="s">
        <v>2276</v>
      </c>
      <c r="K800" s="15" t="n">
        <v>741.3</v>
      </c>
      <c r="L800" s="0" t="s">
        <v>2277</v>
      </c>
    </row>
    <row r="801" customFormat="false" ht="15" hidden="false" customHeight="true" outlineLevel="0" collapsed="false">
      <c r="A801" s="0" t="n">
        <v>2</v>
      </c>
      <c r="B801" s="0" t="n">
        <v>13070</v>
      </c>
      <c r="C801" s="0" t="s">
        <v>67</v>
      </c>
      <c r="D801" s="0" t="s">
        <v>2410</v>
      </c>
      <c r="E801" s="14" t="n">
        <v>46262</v>
      </c>
      <c r="F801" s="14" t="n">
        <v>46261</v>
      </c>
      <c r="G801" s="0" t="s">
        <v>1470</v>
      </c>
      <c r="H801" s="0" t="n">
        <v>1614508</v>
      </c>
      <c r="I801" s="0" t="n">
        <v>11</v>
      </c>
      <c r="J801" s="0" t="s">
        <v>2276</v>
      </c>
      <c r="K801" s="15" t="n">
        <v>3641.86</v>
      </c>
      <c r="L801" s="0" t="s">
        <v>2277</v>
      </c>
    </row>
    <row r="802" customFormat="false" ht="15" hidden="false" customHeight="true" outlineLevel="0" collapsed="false">
      <c r="A802" s="0" t="n">
        <v>2</v>
      </c>
      <c r="B802" s="0" t="n">
        <v>1671612</v>
      </c>
      <c r="C802" s="0" t="s">
        <v>2280</v>
      </c>
      <c r="D802" s="0" t="s">
        <v>2281</v>
      </c>
      <c r="E802" s="14" t="n">
        <v>46262</v>
      </c>
      <c r="F802" s="14" t="n">
        <v>46262</v>
      </c>
      <c r="G802" s="0" t="s">
        <v>406</v>
      </c>
      <c r="H802" s="0" t="n">
        <v>1614836</v>
      </c>
      <c r="I802" s="0" t="n">
        <v>11</v>
      </c>
      <c r="J802" s="0" t="s">
        <v>2276</v>
      </c>
      <c r="K802" s="15" t="n">
        <v>192</v>
      </c>
      <c r="L802" s="0" t="s">
        <v>2277</v>
      </c>
    </row>
    <row r="803" customFormat="false" ht="15" hidden="false" customHeight="true" outlineLevel="0" collapsed="false">
      <c r="A803" s="0" t="n">
        <v>2</v>
      </c>
      <c r="B803" s="0" t="n">
        <v>197945</v>
      </c>
      <c r="C803" s="0" t="s">
        <v>52</v>
      </c>
      <c r="D803" s="0" t="s">
        <v>2297</v>
      </c>
      <c r="E803" s="14" t="n">
        <v>46262</v>
      </c>
      <c r="F803" s="14" t="n">
        <v>46262</v>
      </c>
      <c r="G803" s="0" t="s">
        <v>197</v>
      </c>
      <c r="H803" s="0" t="n">
        <v>1614684</v>
      </c>
      <c r="I803" s="0" t="n">
        <v>11</v>
      </c>
      <c r="J803" s="0" t="s">
        <v>2276</v>
      </c>
      <c r="K803" s="15" t="n">
        <v>624.41</v>
      </c>
      <c r="L803" s="0" t="s">
        <v>2277</v>
      </c>
    </row>
    <row r="804" customFormat="false" ht="15" hidden="false" customHeight="true" outlineLevel="0" collapsed="false">
      <c r="A804" s="0" t="n">
        <v>2</v>
      </c>
      <c r="B804" s="0" t="n">
        <v>20104</v>
      </c>
      <c r="C804" s="0" t="s">
        <v>89</v>
      </c>
      <c r="D804" s="0" t="s">
        <v>2322</v>
      </c>
      <c r="E804" s="14" t="n">
        <v>46262</v>
      </c>
      <c r="F804" s="14" t="n">
        <v>46261</v>
      </c>
      <c r="G804" s="0" t="s">
        <v>390</v>
      </c>
      <c r="H804" s="0" t="n">
        <v>1613781</v>
      </c>
      <c r="I804" s="0" t="n">
        <v>11</v>
      </c>
      <c r="J804" s="0" t="s">
        <v>2276</v>
      </c>
      <c r="K804" s="15" t="n">
        <v>3191.52</v>
      </c>
      <c r="L804" s="0" t="s">
        <v>2277</v>
      </c>
    </row>
    <row r="805" customFormat="false" ht="15" hidden="false" customHeight="true" outlineLevel="0" collapsed="false">
      <c r="A805" s="0" t="n">
        <v>2</v>
      </c>
      <c r="B805" s="0" t="n">
        <v>2636</v>
      </c>
      <c r="C805" s="0" t="s">
        <v>52</v>
      </c>
      <c r="D805" s="0" t="s">
        <v>2288</v>
      </c>
      <c r="E805" s="14" t="n">
        <v>46262</v>
      </c>
      <c r="F805" s="14" t="n">
        <v>46262</v>
      </c>
      <c r="G805" s="0" t="s">
        <v>153</v>
      </c>
      <c r="H805" s="0" t="n">
        <v>1614644</v>
      </c>
      <c r="I805" s="0" t="n">
        <v>6</v>
      </c>
      <c r="J805" s="0" t="s">
        <v>2276</v>
      </c>
      <c r="K805" s="15" t="n">
        <v>200</v>
      </c>
      <c r="L805" s="0" t="s">
        <v>2277</v>
      </c>
    </row>
    <row r="806" customFormat="false" ht="15" hidden="false" customHeight="true" outlineLevel="0" collapsed="false">
      <c r="A806" s="0" t="n">
        <v>2</v>
      </c>
      <c r="B806" s="0" t="n">
        <v>2637</v>
      </c>
      <c r="C806" s="0" t="s">
        <v>52</v>
      </c>
      <c r="D806" s="0" t="s">
        <v>2288</v>
      </c>
      <c r="E806" s="14" t="n">
        <v>46262</v>
      </c>
      <c r="F806" s="14" t="n">
        <v>46262</v>
      </c>
      <c r="G806" s="0" t="s">
        <v>153</v>
      </c>
      <c r="H806" s="0" t="n">
        <v>1614784</v>
      </c>
      <c r="I806" s="0" t="n">
        <v>6</v>
      </c>
      <c r="J806" s="0" t="s">
        <v>2276</v>
      </c>
      <c r="K806" s="15" t="n">
        <v>1457.5</v>
      </c>
      <c r="L806" s="0" t="s">
        <v>2277</v>
      </c>
    </row>
    <row r="807" customFormat="false" ht="15" hidden="false" customHeight="true" outlineLevel="0" collapsed="false">
      <c r="A807" s="0" t="n">
        <v>2</v>
      </c>
      <c r="B807" s="0" t="n">
        <v>421</v>
      </c>
      <c r="C807" s="0" t="s">
        <v>52</v>
      </c>
      <c r="D807" s="0" t="s">
        <v>2311</v>
      </c>
      <c r="E807" s="14" t="n">
        <v>46262</v>
      </c>
      <c r="F807" s="14" t="n">
        <v>46262</v>
      </c>
      <c r="G807" s="0" t="s">
        <v>86</v>
      </c>
      <c r="H807" s="0" t="n">
        <v>1614658</v>
      </c>
      <c r="I807" s="0" t="n">
        <v>11</v>
      </c>
      <c r="J807" s="0" t="s">
        <v>2276</v>
      </c>
      <c r="K807" s="15" t="n">
        <v>214.5</v>
      </c>
      <c r="L807" s="0" t="s">
        <v>2277</v>
      </c>
    </row>
    <row r="808" customFormat="false" ht="15" hidden="false" customHeight="true" outlineLevel="0" collapsed="false">
      <c r="A808" s="0" t="n">
        <v>2</v>
      </c>
      <c r="B808" s="0" t="n">
        <v>532</v>
      </c>
      <c r="C808" s="0" t="s">
        <v>52</v>
      </c>
      <c r="D808" s="0" t="s">
        <v>2315</v>
      </c>
      <c r="E808" s="14" t="n">
        <v>46262</v>
      </c>
      <c r="F808" s="14" t="n">
        <v>46262</v>
      </c>
      <c r="G808" s="0" t="s">
        <v>340</v>
      </c>
      <c r="H808" s="0" t="n">
        <v>1614696</v>
      </c>
      <c r="I808" s="0" t="n">
        <v>11</v>
      </c>
      <c r="J808" s="0" t="s">
        <v>2276</v>
      </c>
      <c r="K808" s="15" t="n">
        <v>160.32</v>
      </c>
      <c r="L808" s="0" t="s">
        <v>2277</v>
      </c>
    </row>
    <row r="809" customFormat="false" ht="15" hidden="false" customHeight="true" outlineLevel="0" collapsed="false">
      <c r="A809" s="0" t="n">
        <v>2</v>
      </c>
      <c r="B809" s="0" t="n">
        <v>15192</v>
      </c>
      <c r="C809" s="0" t="s">
        <v>52</v>
      </c>
      <c r="D809" s="0" t="s">
        <v>2278</v>
      </c>
      <c r="E809" s="14" t="n">
        <v>46263</v>
      </c>
      <c r="F809" s="14" t="n">
        <v>46262</v>
      </c>
      <c r="G809" s="0" t="s">
        <v>270</v>
      </c>
      <c r="H809" s="0" t="n">
        <v>1618689</v>
      </c>
      <c r="I809" s="0" t="n">
        <v>11</v>
      </c>
      <c r="J809" s="0" t="s">
        <v>2276</v>
      </c>
      <c r="K809" s="15" t="n">
        <v>2771.2</v>
      </c>
      <c r="L809" s="0" t="s">
        <v>2277</v>
      </c>
    </row>
    <row r="810" customFormat="false" ht="15" hidden="false" customHeight="true" outlineLevel="0" collapsed="false">
      <c r="A810" s="0" t="n">
        <v>2</v>
      </c>
      <c r="B810" s="0" t="n">
        <v>218</v>
      </c>
      <c r="C810" s="0" t="s">
        <v>52</v>
      </c>
      <c r="D810" s="0" t="s">
        <v>2399</v>
      </c>
      <c r="E810" s="14" t="n">
        <v>46263</v>
      </c>
      <c r="F810" s="14" t="n">
        <v>46260</v>
      </c>
      <c r="G810" s="0" t="s">
        <v>622</v>
      </c>
      <c r="H810" s="0" t="n">
        <v>1628832</v>
      </c>
      <c r="I810" s="0" t="n">
        <v>11</v>
      </c>
      <c r="J810" s="0" t="s">
        <v>2276</v>
      </c>
      <c r="K810" s="15" t="n">
        <v>140</v>
      </c>
      <c r="L810" s="0" t="s">
        <v>2277</v>
      </c>
    </row>
    <row r="811" customFormat="false" ht="15" hidden="false" customHeight="true" outlineLevel="0" collapsed="false">
      <c r="A811" s="0" t="n">
        <v>2</v>
      </c>
      <c r="B811" s="0" t="n">
        <v>2640</v>
      </c>
      <c r="C811" s="0" t="s">
        <v>52</v>
      </c>
      <c r="D811" s="0" t="s">
        <v>2288</v>
      </c>
      <c r="E811" s="14" t="n">
        <v>46263</v>
      </c>
      <c r="F811" s="14" t="n">
        <v>46263</v>
      </c>
      <c r="G811" s="0" t="s">
        <v>153</v>
      </c>
      <c r="H811" s="0" t="n">
        <v>1619409</v>
      </c>
      <c r="I811" s="0" t="n">
        <v>6</v>
      </c>
      <c r="J811" s="0" t="s">
        <v>2276</v>
      </c>
      <c r="K811" s="15" t="n">
        <v>300</v>
      </c>
      <c r="L811" s="0" t="s">
        <v>2277</v>
      </c>
    </row>
    <row r="812" customFormat="false" ht="15" hidden="false" customHeight="true" outlineLevel="0" collapsed="false">
      <c r="A812" s="0" t="n">
        <v>2</v>
      </c>
      <c r="B812" s="0" t="n">
        <v>299</v>
      </c>
      <c r="C812" s="0" t="s">
        <v>52</v>
      </c>
      <c r="D812" s="0" t="s">
        <v>2388</v>
      </c>
      <c r="E812" s="14" t="n">
        <v>46263</v>
      </c>
      <c r="F812" s="14" t="n">
        <v>46262</v>
      </c>
      <c r="G812" s="0" t="s">
        <v>1578</v>
      </c>
      <c r="H812" s="0" t="n">
        <v>1618569</v>
      </c>
      <c r="I812" s="0" t="n">
        <v>11</v>
      </c>
      <c r="J812" s="0" t="s">
        <v>2276</v>
      </c>
      <c r="K812" s="15" t="n">
        <v>2024.87</v>
      </c>
      <c r="L812" s="0" t="s">
        <v>2277</v>
      </c>
    </row>
    <row r="813" customFormat="false" ht="15" hidden="false" customHeight="true" outlineLevel="0" collapsed="false">
      <c r="A813" s="0" t="n">
        <v>2</v>
      </c>
      <c r="B813" s="0" t="n">
        <v>32154</v>
      </c>
      <c r="C813" s="0" t="s">
        <v>52</v>
      </c>
      <c r="D813" s="0" t="s">
        <v>2294</v>
      </c>
      <c r="E813" s="14" t="n">
        <v>46263</v>
      </c>
      <c r="F813" s="14" t="n">
        <v>46262</v>
      </c>
      <c r="G813" s="0" t="s">
        <v>147</v>
      </c>
      <c r="H813" s="0" t="n">
        <v>1618522</v>
      </c>
      <c r="I813" s="0" t="n">
        <v>11</v>
      </c>
      <c r="J813" s="0" t="s">
        <v>2276</v>
      </c>
      <c r="K813" s="15" t="n">
        <v>264</v>
      </c>
      <c r="L813" s="0" t="s">
        <v>2277</v>
      </c>
    </row>
    <row r="814" customFormat="false" ht="15" hidden="false" customHeight="true" outlineLevel="0" collapsed="false">
      <c r="A814" s="0" t="n">
        <v>2</v>
      </c>
      <c r="B814" s="0" t="n">
        <v>627</v>
      </c>
      <c r="C814" s="0" t="s">
        <v>52</v>
      </c>
      <c r="D814" s="0" t="s">
        <v>2291</v>
      </c>
      <c r="E814" s="14" t="n">
        <v>46263</v>
      </c>
      <c r="F814" s="14" t="n">
        <v>46262</v>
      </c>
      <c r="G814" s="0" t="s">
        <v>123</v>
      </c>
      <c r="H814" s="0" t="n">
        <v>1618509</v>
      </c>
      <c r="I814" s="0" t="n">
        <v>11</v>
      </c>
      <c r="J814" s="0" t="s">
        <v>2276</v>
      </c>
      <c r="K814" s="15" t="n">
        <v>240</v>
      </c>
      <c r="L814" s="0" t="s">
        <v>2277</v>
      </c>
    </row>
    <row r="815" customFormat="false" ht="15" hidden="false" customHeight="true" outlineLevel="0" collapsed="false">
      <c r="A815" s="0" t="n">
        <v>2</v>
      </c>
      <c r="B815" s="0" t="n">
        <v>1272321</v>
      </c>
      <c r="C815" s="0" t="s">
        <v>80</v>
      </c>
      <c r="D815" s="0" t="s">
        <v>2275</v>
      </c>
      <c r="E815" s="14" t="n">
        <v>46265</v>
      </c>
      <c r="F815" s="14" t="n">
        <v>46262</v>
      </c>
      <c r="G815" s="0" t="s">
        <v>130</v>
      </c>
      <c r="H815" s="0" t="n">
        <v>1630542</v>
      </c>
      <c r="I815" s="0" t="n">
        <v>11</v>
      </c>
      <c r="J815" s="0" t="s">
        <v>2276</v>
      </c>
      <c r="K815" s="15" t="n">
        <v>1134.85</v>
      </c>
      <c r="L815" s="0" t="s">
        <v>2277</v>
      </c>
    </row>
    <row r="816" customFormat="false" ht="15" hidden="false" customHeight="true" outlineLevel="0" collapsed="false">
      <c r="A816" s="0" t="n">
        <v>2</v>
      </c>
      <c r="B816" s="0" t="n">
        <v>13095</v>
      </c>
      <c r="C816" s="0" t="s">
        <v>67</v>
      </c>
      <c r="D816" s="0" t="s">
        <v>2410</v>
      </c>
      <c r="E816" s="14" t="n">
        <v>46265</v>
      </c>
      <c r="F816" s="14" t="n">
        <v>46262</v>
      </c>
      <c r="G816" s="0" t="s">
        <v>1470</v>
      </c>
      <c r="H816" s="0" t="n">
        <v>1629251</v>
      </c>
      <c r="I816" s="0" t="n">
        <v>11</v>
      </c>
      <c r="J816" s="0" t="s">
        <v>2276</v>
      </c>
      <c r="K816" s="15" t="n">
        <v>820</v>
      </c>
      <c r="L816" s="0" t="s">
        <v>2277</v>
      </c>
    </row>
    <row r="817" customFormat="false" ht="15" hidden="false" customHeight="true" outlineLevel="0" collapsed="false">
      <c r="A817" s="0" t="n">
        <v>2</v>
      </c>
      <c r="B817" s="0" t="n">
        <v>15213</v>
      </c>
      <c r="C817" s="0" t="s">
        <v>52</v>
      </c>
      <c r="D817" s="0" t="s">
        <v>2278</v>
      </c>
      <c r="E817" s="14" t="n">
        <v>46265</v>
      </c>
      <c r="F817" s="14" t="n">
        <v>46263</v>
      </c>
      <c r="G817" s="0" t="s">
        <v>270</v>
      </c>
      <c r="H817" s="0" t="n">
        <v>1629072</v>
      </c>
      <c r="I817" s="0" t="n">
        <v>11</v>
      </c>
      <c r="J817" s="0" t="s">
        <v>2276</v>
      </c>
      <c r="K817" s="15" t="n">
        <v>1557.6</v>
      </c>
      <c r="L817" s="0" t="s">
        <v>2277</v>
      </c>
    </row>
    <row r="818" customFormat="false" ht="15" hidden="false" customHeight="true" outlineLevel="0" collapsed="false">
      <c r="A818" s="0" t="n">
        <v>2</v>
      </c>
      <c r="B818" s="0" t="n">
        <v>1672073</v>
      </c>
      <c r="C818" s="0" t="s">
        <v>2280</v>
      </c>
      <c r="D818" s="0" t="s">
        <v>2281</v>
      </c>
      <c r="E818" s="14" t="n">
        <v>46265</v>
      </c>
      <c r="F818" s="14" t="n">
        <v>46263</v>
      </c>
      <c r="G818" s="0" t="s">
        <v>406</v>
      </c>
      <c r="H818" s="0" t="n">
        <v>1628734</v>
      </c>
      <c r="I818" s="0" t="n">
        <v>11</v>
      </c>
      <c r="J818" s="0" t="s">
        <v>2276</v>
      </c>
      <c r="K818" s="15" t="n">
        <v>150</v>
      </c>
      <c r="L818" s="0" t="s">
        <v>2277</v>
      </c>
    </row>
    <row r="819" customFormat="false" ht="15" hidden="false" customHeight="true" outlineLevel="0" collapsed="false">
      <c r="A819" s="0" t="n">
        <v>2</v>
      </c>
      <c r="B819" s="0" t="n">
        <v>1672484</v>
      </c>
      <c r="C819" s="0" t="s">
        <v>2280</v>
      </c>
      <c r="D819" s="0" t="s">
        <v>2281</v>
      </c>
      <c r="E819" s="14" t="n">
        <v>46265</v>
      </c>
      <c r="F819" s="14" t="n">
        <v>46265</v>
      </c>
      <c r="G819" s="0" t="s">
        <v>406</v>
      </c>
      <c r="H819" s="0" t="n">
        <v>1630577</v>
      </c>
      <c r="I819" s="0" t="n">
        <v>11</v>
      </c>
      <c r="J819" s="0" t="s">
        <v>2276</v>
      </c>
      <c r="K819" s="15" t="n">
        <v>148.5</v>
      </c>
      <c r="L819" s="0" t="s">
        <v>2277</v>
      </c>
    </row>
    <row r="820" customFormat="false" ht="15" hidden="false" customHeight="true" outlineLevel="0" collapsed="false">
      <c r="A820" s="0" t="n">
        <v>2</v>
      </c>
      <c r="B820" s="0" t="n">
        <v>1927745</v>
      </c>
      <c r="C820" s="0" t="s">
        <v>52</v>
      </c>
      <c r="D820" s="0" t="s">
        <v>2368</v>
      </c>
      <c r="E820" s="14" t="n">
        <v>46265</v>
      </c>
      <c r="F820" s="14" t="n">
        <v>46263</v>
      </c>
      <c r="G820" s="0" t="s">
        <v>871</v>
      </c>
      <c r="H820" s="0" t="n">
        <v>1629183</v>
      </c>
      <c r="I820" s="0" t="n">
        <v>11</v>
      </c>
      <c r="J820" s="0" t="s">
        <v>2276</v>
      </c>
      <c r="K820" s="15" t="n">
        <v>1348.29</v>
      </c>
      <c r="L820" s="0" t="s">
        <v>2277</v>
      </c>
    </row>
    <row r="821" customFormat="false" ht="15" hidden="false" customHeight="true" outlineLevel="0" collapsed="false">
      <c r="A821" s="0" t="n">
        <v>2</v>
      </c>
      <c r="B821" s="0" t="n">
        <v>2643</v>
      </c>
      <c r="C821" s="0" t="s">
        <v>52</v>
      </c>
      <c r="D821" s="0" t="s">
        <v>2288</v>
      </c>
      <c r="E821" s="14" t="n">
        <v>46265</v>
      </c>
      <c r="F821" s="14" t="n">
        <v>46265</v>
      </c>
      <c r="G821" s="0" t="s">
        <v>153</v>
      </c>
      <c r="H821" s="0" t="n">
        <v>1630071</v>
      </c>
      <c r="I821" s="0" t="n">
        <v>6</v>
      </c>
      <c r="J821" s="0" t="s">
        <v>2276</v>
      </c>
      <c r="K821" s="15" t="n">
        <v>300</v>
      </c>
      <c r="L821" s="0" t="s">
        <v>2277</v>
      </c>
    </row>
    <row r="822" customFormat="false" ht="15" hidden="false" customHeight="true" outlineLevel="0" collapsed="false">
      <c r="A822" s="0" t="n">
        <v>2</v>
      </c>
      <c r="B822" s="0" t="n">
        <v>3829</v>
      </c>
      <c r="C822" s="0" t="s">
        <v>52</v>
      </c>
      <c r="D822" s="0" t="s">
        <v>2299</v>
      </c>
      <c r="E822" s="14" t="n">
        <v>46265</v>
      </c>
      <c r="F822" s="14" t="n">
        <v>46263</v>
      </c>
      <c r="G822" s="0" t="s">
        <v>174</v>
      </c>
      <c r="H822" s="0" t="n">
        <v>1628784</v>
      </c>
      <c r="I822" s="0" t="n">
        <v>11</v>
      </c>
      <c r="J822" s="0" t="s">
        <v>2276</v>
      </c>
      <c r="K822" s="15" t="n">
        <v>125</v>
      </c>
      <c r="L822" s="0" t="s">
        <v>2277</v>
      </c>
    </row>
    <row r="823" customFormat="false" ht="15" hidden="false" customHeight="true" outlineLevel="0" collapsed="false">
      <c r="A823" s="0" t="n">
        <v>2</v>
      </c>
      <c r="B823" s="0" t="n">
        <v>4363</v>
      </c>
      <c r="C823" s="0" t="s">
        <v>67</v>
      </c>
      <c r="D823" s="0" t="s">
        <v>2295</v>
      </c>
      <c r="E823" s="14" t="n">
        <v>46265</v>
      </c>
      <c r="F823" s="14" t="n">
        <v>46260</v>
      </c>
      <c r="G823" s="0" t="s">
        <v>128</v>
      </c>
      <c r="H823" s="0" t="n">
        <v>1628847</v>
      </c>
      <c r="I823" s="0" t="n">
        <v>11</v>
      </c>
      <c r="J823" s="0" t="s">
        <v>2276</v>
      </c>
      <c r="K823" s="15" t="n">
        <v>938.06</v>
      </c>
      <c r="L823" s="0" t="s">
        <v>2277</v>
      </c>
    </row>
    <row r="824" customFormat="false" ht="15" hidden="false" customHeight="true" outlineLevel="0" collapsed="false">
      <c r="A824" s="0" t="n">
        <v>2</v>
      </c>
      <c r="B824" s="0" t="n">
        <v>4492</v>
      </c>
      <c r="C824" s="0" t="s">
        <v>52</v>
      </c>
      <c r="D824" s="0" t="s">
        <v>2290</v>
      </c>
      <c r="E824" s="14" t="n">
        <v>46265</v>
      </c>
      <c r="F824" s="14" t="n">
        <v>46262</v>
      </c>
      <c r="G824" s="0" t="s">
        <v>95</v>
      </c>
      <c r="H824" s="0" t="n">
        <v>1628793</v>
      </c>
      <c r="I824" s="0" t="n">
        <v>11</v>
      </c>
      <c r="J824" s="0" t="s">
        <v>2276</v>
      </c>
      <c r="K824" s="15" t="n">
        <v>300</v>
      </c>
      <c r="L824" s="0" t="s">
        <v>2277</v>
      </c>
    </row>
    <row r="825" customFormat="false" ht="15" hidden="false" customHeight="true" outlineLevel="0" collapsed="false">
      <c r="A825" s="0" t="n">
        <v>2</v>
      </c>
      <c r="B825" s="0" t="n">
        <v>656817</v>
      </c>
      <c r="C825" s="0" t="s">
        <v>52</v>
      </c>
      <c r="D825" s="0" t="s">
        <v>2329</v>
      </c>
      <c r="E825" s="14" t="n">
        <v>46265</v>
      </c>
      <c r="F825" s="14" t="n">
        <v>46262</v>
      </c>
      <c r="G825" s="0" t="s">
        <v>64</v>
      </c>
      <c r="H825" s="0" t="n">
        <v>1629497</v>
      </c>
      <c r="I825" s="0" t="n">
        <v>11</v>
      </c>
      <c r="J825" s="0" t="s">
        <v>2276</v>
      </c>
      <c r="K825" s="15" t="n">
        <v>1830.58</v>
      </c>
      <c r="L825" s="0" t="s">
        <v>2277</v>
      </c>
    </row>
    <row r="826" customFormat="false" ht="15" hidden="false" customHeight="true" outlineLevel="0" collapsed="false">
      <c r="A826" s="0" t="n">
        <v>2</v>
      </c>
      <c r="B826" s="0" t="n">
        <v>780</v>
      </c>
      <c r="C826" s="0" t="s">
        <v>44</v>
      </c>
      <c r="D826" s="0" t="s">
        <v>2283</v>
      </c>
      <c r="E826" s="14" t="n">
        <v>46265</v>
      </c>
      <c r="F826" s="14" t="n">
        <v>46263</v>
      </c>
      <c r="G826" s="0" t="s">
        <v>204</v>
      </c>
      <c r="H826" s="0" t="n">
        <v>1628810</v>
      </c>
      <c r="I826" s="0" t="n">
        <v>11</v>
      </c>
      <c r="J826" s="0" t="s">
        <v>2276</v>
      </c>
      <c r="K826" s="15" t="n">
        <v>180.22</v>
      </c>
      <c r="L826" s="0" t="s">
        <v>2277</v>
      </c>
    </row>
    <row r="827" customFormat="false" ht="15" hidden="false" customHeight="true" outlineLevel="0" collapsed="false">
      <c r="A827" s="0" t="n">
        <v>2</v>
      </c>
      <c r="B827" s="0" t="n">
        <v>782</v>
      </c>
      <c r="C827" s="0" t="s">
        <v>44</v>
      </c>
      <c r="D827" s="0" t="s">
        <v>2283</v>
      </c>
      <c r="E827" s="14" t="n">
        <v>46265</v>
      </c>
      <c r="F827" s="14" t="n">
        <v>46265</v>
      </c>
      <c r="G827" s="0" t="s">
        <v>204</v>
      </c>
      <c r="H827" s="0" t="n">
        <v>1630506</v>
      </c>
      <c r="I827" s="0" t="n">
        <v>11</v>
      </c>
      <c r="J827" s="0" t="s">
        <v>2276</v>
      </c>
      <c r="K827" s="15" t="n">
        <v>90</v>
      </c>
      <c r="L827" s="0" t="s">
        <v>2277</v>
      </c>
    </row>
    <row r="828" customFormat="false" ht="15" hidden="false" customHeight="true" outlineLevel="0" collapsed="false">
      <c r="A828" s="0" t="n">
        <v>2</v>
      </c>
      <c r="B828" s="0" t="n">
        <v>982558</v>
      </c>
      <c r="C828" s="0" t="s">
        <v>2340</v>
      </c>
      <c r="D828" s="0" t="s">
        <v>2341</v>
      </c>
      <c r="E828" s="14" t="n">
        <v>46265</v>
      </c>
      <c r="F828" s="14" t="n">
        <v>46261</v>
      </c>
      <c r="G828" s="0" t="s">
        <v>232</v>
      </c>
      <c r="H828" s="0" t="n">
        <v>1630677</v>
      </c>
      <c r="I828" s="0" t="n">
        <v>11</v>
      </c>
      <c r="J828" s="0" t="s">
        <v>2276</v>
      </c>
      <c r="K828" s="15" t="n">
        <v>1823.82</v>
      </c>
      <c r="L828" s="0" t="s">
        <v>2277</v>
      </c>
    </row>
    <row r="829" customFormat="false" ht="15" hidden="false" customHeight="true" outlineLevel="0" collapsed="false">
      <c r="A829" s="0" t="n">
        <v>2</v>
      </c>
      <c r="B829" s="0" t="n">
        <v>1039683</v>
      </c>
      <c r="C829" s="0" t="s">
        <v>52</v>
      </c>
      <c r="D829" s="0" t="s">
        <v>2286</v>
      </c>
      <c r="E829" s="14" t="n">
        <v>46266</v>
      </c>
      <c r="F829" s="14" t="n">
        <v>46265</v>
      </c>
      <c r="G829" s="0" t="s">
        <v>228</v>
      </c>
      <c r="H829" s="0" t="n">
        <v>1633900</v>
      </c>
      <c r="I829" s="0" t="n">
        <v>11</v>
      </c>
      <c r="J829" s="0" t="s">
        <v>2276</v>
      </c>
      <c r="K829" s="15" t="n">
        <v>492.29</v>
      </c>
      <c r="L829" s="0" t="s">
        <v>2277</v>
      </c>
    </row>
    <row r="830" customFormat="false" ht="15" hidden="false" customHeight="true" outlineLevel="0" collapsed="false">
      <c r="A830" s="0" t="n">
        <v>2</v>
      </c>
      <c r="B830" s="0" t="n">
        <v>21345</v>
      </c>
      <c r="C830" s="0" t="s">
        <v>52</v>
      </c>
      <c r="D830" s="0" t="s">
        <v>2304</v>
      </c>
      <c r="E830" s="14" t="n">
        <v>46266</v>
      </c>
      <c r="F830" s="14" t="n">
        <v>46265</v>
      </c>
      <c r="G830" s="0" t="s">
        <v>167</v>
      </c>
      <c r="H830" s="0" t="n">
        <v>1633942</v>
      </c>
      <c r="I830" s="0" t="n">
        <v>11</v>
      </c>
      <c r="J830" s="0" t="s">
        <v>2276</v>
      </c>
      <c r="K830" s="15" t="n">
        <v>540.99</v>
      </c>
      <c r="L830" s="0" t="s">
        <v>2277</v>
      </c>
    </row>
    <row r="831" customFormat="false" ht="15" hidden="false" customHeight="true" outlineLevel="0" collapsed="false">
      <c r="A831" s="0" t="n">
        <v>2</v>
      </c>
      <c r="B831" s="0" t="n">
        <v>2142</v>
      </c>
      <c r="C831" s="0" t="s">
        <v>52</v>
      </c>
      <c r="D831" s="0" t="s">
        <v>2310</v>
      </c>
      <c r="E831" s="14" t="n">
        <v>46266</v>
      </c>
      <c r="F831" s="14" t="n">
        <v>46266</v>
      </c>
      <c r="G831" s="0" t="s">
        <v>453</v>
      </c>
      <c r="H831" s="0" t="n">
        <v>1635021</v>
      </c>
      <c r="I831" s="0" t="n">
        <v>11</v>
      </c>
      <c r="J831" s="0" t="s">
        <v>2276</v>
      </c>
      <c r="K831" s="15" t="n">
        <v>250</v>
      </c>
      <c r="L831" s="0" t="s">
        <v>2277</v>
      </c>
    </row>
    <row r="832" customFormat="false" ht="15" hidden="false" customHeight="true" outlineLevel="0" collapsed="false">
      <c r="A832" s="0" t="n">
        <v>2</v>
      </c>
      <c r="B832" s="0" t="n">
        <v>2649</v>
      </c>
      <c r="C832" s="0" t="s">
        <v>52</v>
      </c>
      <c r="D832" s="0" t="s">
        <v>2288</v>
      </c>
      <c r="E832" s="14" t="n">
        <v>46266</v>
      </c>
      <c r="F832" s="14" t="n">
        <v>46266</v>
      </c>
      <c r="G832" s="0" t="s">
        <v>153</v>
      </c>
      <c r="H832" s="0" t="n">
        <v>1635063</v>
      </c>
      <c r="I832" s="0" t="n">
        <v>6</v>
      </c>
      <c r="J832" s="0" t="s">
        <v>2276</v>
      </c>
      <c r="K832" s="15" t="n">
        <v>315</v>
      </c>
      <c r="L832" s="0" t="s">
        <v>2277</v>
      </c>
    </row>
    <row r="833" customFormat="false" ht="15" hidden="false" customHeight="true" outlineLevel="0" collapsed="false">
      <c r="A833" s="0" t="n">
        <v>2</v>
      </c>
      <c r="B833" s="0" t="n">
        <v>2650</v>
      </c>
      <c r="C833" s="0" t="s">
        <v>52</v>
      </c>
      <c r="D833" s="0" t="s">
        <v>2288</v>
      </c>
      <c r="E833" s="14" t="n">
        <v>46266</v>
      </c>
      <c r="F833" s="14" t="n">
        <v>46266</v>
      </c>
      <c r="G833" s="0" t="s">
        <v>153</v>
      </c>
      <c r="H833" s="0" t="n">
        <v>1635174</v>
      </c>
      <c r="I833" s="0" t="n">
        <v>6</v>
      </c>
      <c r="J833" s="0" t="s">
        <v>2276</v>
      </c>
      <c r="K833" s="15" t="n">
        <v>1440</v>
      </c>
      <c r="L833" s="0" t="s">
        <v>2277</v>
      </c>
    </row>
    <row r="834" customFormat="false" ht="15" hidden="false" customHeight="true" outlineLevel="0" collapsed="false">
      <c r="A834" s="0" t="n">
        <v>2</v>
      </c>
      <c r="B834" s="0" t="n">
        <v>633</v>
      </c>
      <c r="C834" s="0" t="s">
        <v>52</v>
      </c>
      <c r="D834" s="0" t="s">
        <v>2291</v>
      </c>
      <c r="E834" s="14" t="n">
        <v>46266</v>
      </c>
      <c r="F834" s="14" t="n">
        <v>46265</v>
      </c>
      <c r="G834" s="0" t="s">
        <v>123</v>
      </c>
      <c r="H834" s="0" t="n">
        <v>1635004</v>
      </c>
      <c r="I834" s="0" t="n">
        <v>11</v>
      </c>
      <c r="J834" s="0" t="s">
        <v>2276</v>
      </c>
      <c r="K834" s="15" t="n">
        <v>180</v>
      </c>
      <c r="L834" s="0" t="s">
        <v>2277</v>
      </c>
    </row>
    <row r="835" customFormat="false" ht="15" hidden="false" customHeight="true" outlineLevel="0" collapsed="false">
      <c r="A835" s="0" t="n">
        <v>2</v>
      </c>
      <c r="B835" s="0" t="n">
        <v>8802</v>
      </c>
      <c r="C835" s="0" t="s">
        <v>52</v>
      </c>
      <c r="D835" s="0" t="s">
        <v>2374</v>
      </c>
      <c r="E835" s="14" t="n">
        <v>46266</v>
      </c>
      <c r="F835" s="14" t="n">
        <v>46265</v>
      </c>
      <c r="G835" s="0" t="s">
        <v>335</v>
      </c>
      <c r="H835" s="0" t="n">
        <v>1633924</v>
      </c>
      <c r="I835" s="0" t="n">
        <v>39</v>
      </c>
      <c r="J835" s="0" t="s">
        <v>2276</v>
      </c>
      <c r="K835" s="15" t="n">
        <v>5330.2</v>
      </c>
      <c r="L835" s="0" t="s">
        <v>2346</v>
      </c>
    </row>
    <row r="836" customFormat="false" ht="15" hidden="false" customHeight="true" outlineLevel="0" collapsed="false">
      <c r="A836" s="0" t="n">
        <v>2</v>
      </c>
      <c r="B836" s="0" t="n">
        <v>15237</v>
      </c>
      <c r="C836" s="0" t="s">
        <v>52</v>
      </c>
      <c r="D836" s="0" t="s">
        <v>2278</v>
      </c>
      <c r="E836" s="14" t="n">
        <v>46267</v>
      </c>
      <c r="F836" s="14" t="n">
        <v>46266</v>
      </c>
      <c r="G836" s="0" t="s">
        <v>270</v>
      </c>
      <c r="H836" s="0" t="n">
        <v>1638572</v>
      </c>
      <c r="I836" s="0" t="n">
        <v>11</v>
      </c>
      <c r="J836" s="0" t="s">
        <v>2276</v>
      </c>
      <c r="K836" s="15" t="n">
        <v>4886.4</v>
      </c>
      <c r="L836" s="0" t="s">
        <v>2277</v>
      </c>
    </row>
    <row r="837" customFormat="false" ht="15" hidden="false" customHeight="true" outlineLevel="0" collapsed="false">
      <c r="A837" s="0" t="n">
        <v>2</v>
      </c>
      <c r="B837" s="0" t="n">
        <v>1674087</v>
      </c>
      <c r="C837" s="0" t="s">
        <v>2280</v>
      </c>
      <c r="D837" s="0" t="s">
        <v>2281</v>
      </c>
      <c r="E837" s="14" t="n">
        <v>46267</v>
      </c>
      <c r="F837" s="14" t="n">
        <v>46267</v>
      </c>
      <c r="G837" s="0" t="s">
        <v>406</v>
      </c>
      <c r="H837" s="0" t="n">
        <v>1639284</v>
      </c>
      <c r="I837" s="0" t="n">
        <v>11</v>
      </c>
      <c r="J837" s="0" t="s">
        <v>2276</v>
      </c>
      <c r="K837" s="15" t="n">
        <v>96</v>
      </c>
      <c r="L837" s="0" t="s">
        <v>2277</v>
      </c>
    </row>
    <row r="838" customFormat="false" ht="15" hidden="false" customHeight="true" outlineLevel="0" collapsed="false">
      <c r="A838" s="0" t="n">
        <v>2</v>
      </c>
      <c r="B838" s="0" t="n">
        <v>1796899</v>
      </c>
      <c r="C838" s="0" t="s">
        <v>2337</v>
      </c>
      <c r="D838" s="0" t="s">
        <v>2338</v>
      </c>
      <c r="E838" s="14" t="n">
        <v>46267</v>
      </c>
      <c r="F838" s="14" t="n">
        <v>46265</v>
      </c>
      <c r="G838" s="0" t="s">
        <v>178</v>
      </c>
      <c r="H838" s="0" t="n">
        <v>1643036</v>
      </c>
      <c r="I838" s="0" t="n">
        <v>11</v>
      </c>
      <c r="J838" s="0" t="s">
        <v>2276</v>
      </c>
      <c r="K838" s="15" t="n">
        <v>57.82</v>
      </c>
      <c r="L838" s="0" t="s">
        <v>2277</v>
      </c>
    </row>
    <row r="839" customFormat="false" ht="15" hidden="false" customHeight="true" outlineLevel="0" collapsed="false">
      <c r="A839" s="0" t="n">
        <v>2</v>
      </c>
      <c r="B839" s="0" t="n">
        <v>2653</v>
      </c>
      <c r="C839" s="0" t="s">
        <v>52</v>
      </c>
      <c r="D839" s="0" t="s">
        <v>2288</v>
      </c>
      <c r="E839" s="14" t="n">
        <v>46267</v>
      </c>
      <c r="F839" s="14" t="n">
        <v>46267</v>
      </c>
      <c r="G839" s="0" t="s">
        <v>153</v>
      </c>
      <c r="H839" s="0" t="n">
        <v>1641414</v>
      </c>
      <c r="I839" s="0" t="n">
        <v>6</v>
      </c>
      <c r="J839" s="0" t="s">
        <v>2276</v>
      </c>
      <c r="K839" s="15" t="n">
        <v>300</v>
      </c>
      <c r="L839" s="0" t="s">
        <v>2277</v>
      </c>
    </row>
    <row r="840" customFormat="false" ht="15" hidden="false" customHeight="true" outlineLevel="0" collapsed="false">
      <c r="A840" s="0" t="n">
        <v>2</v>
      </c>
      <c r="B840" s="0" t="n">
        <v>1796900</v>
      </c>
      <c r="C840" s="0" t="s">
        <v>2337</v>
      </c>
      <c r="D840" s="0" t="s">
        <v>2338</v>
      </c>
      <c r="E840" s="14" t="n">
        <v>46268</v>
      </c>
      <c r="F840" s="14" t="n">
        <v>46265</v>
      </c>
      <c r="G840" s="0" t="s">
        <v>178</v>
      </c>
      <c r="H840" s="0" t="n">
        <v>1646233</v>
      </c>
      <c r="I840" s="0" t="n">
        <v>11</v>
      </c>
      <c r="J840" s="0" t="s">
        <v>2276</v>
      </c>
      <c r="K840" s="15" t="n">
        <v>471.9</v>
      </c>
      <c r="L840" s="0" t="s">
        <v>2277</v>
      </c>
    </row>
    <row r="841" customFormat="false" ht="15" hidden="false" customHeight="true" outlineLevel="0" collapsed="false">
      <c r="A841" s="0" t="n">
        <v>2</v>
      </c>
      <c r="B841" s="0" t="n">
        <v>3867</v>
      </c>
      <c r="C841" s="0" t="s">
        <v>52</v>
      </c>
      <c r="D841" s="0" t="s">
        <v>2299</v>
      </c>
      <c r="E841" s="14" t="n">
        <v>46268</v>
      </c>
      <c r="F841" s="14" t="n">
        <v>46268</v>
      </c>
      <c r="G841" s="0" t="s">
        <v>174</v>
      </c>
      <c r="H841" s="0" t="n">
        <v>1647835</v>
      </c>
      <c r="I841" s="0" t="n">
        <v>11</v>
      </c>
      <c r="J841" s="0" t="s">
        <v>2276</v>
      </c>
      <c r="K841" s="15" t="n">
        <v>125</v>
      </c>
      <c r="L841" s="0" t="s">
        <v>2277</v>
      </c>
    </row>
    <row r="842" customFormat="false" ht="15" hidden="false" customHeight="true" outlineLevel="0" collapsed="false">
      <c r="A842" s="0" t="n">
        <v>2</v>
      </c>
      <c r="B842" s="0" t="n">
        <v>4523</v>
      </c>
      <c r="C842" s="0" t="s">
        <v>52</v>
      </c>
      <c r="D842" s="0" t="s">
        <v>2290</v>
      </c>
      <c r="E842" s="14" t="n">
        <v>46268</v>
      </c>
      <c r="F842" s="14" t="n">
        <v>46266</v>
      </c>
      <c r="G842" s="0" t="s">
        <v>95</v>
      </c>
      <c r="H842" s="0" t="n">
        <v>1646205</v>
      </c>
      <c r="I842" s="0" t="n">
        <v>11</v>
      </c>
      <c r="J842" s="0" t="s">
        <v>2276</v>
      </c>
      <c r="K842" s="15" t="n">
        <v>133.5</v>
      </c>
      <c r="L842" s="0" t="s">
        <v>2277</v>
      </c>
    </row>
    <row r="843" customFormat="false" ht="15" hidden="false" customHeight="true" outlineLevel="0" collapsed="false">
      <c r="A843" s="0" t="n">
        <v>2</v>
      </c>
      <c r="B843" s="0" t="n">
        <v>4884</v>
      </c>
      <c r="C843" s="0" t="s">
        <v>67</v>
      </c>
      <c r="D843" s="0" t="s">
        <v>2295</v>
      </c>
      <c r="E843" s="14" t="n">
        <v>46268</v>
      </c>
      <c r="F843" s="14" t="n">
        <v>46267</v>
      </c>
      <c r="G843" s="0" t="s">
        <v>128</v>
      </c>
      <c r="H843" s="0" t="n">
        <v>1647278</v>
      </c>
      <c r="I843" s="0" t="n">
        <v>11</v>
      </c>
      <c r="J843" s="0" t="s">
        <v>2276</v>
      </c>
      <c r="K843" s="15" t="n">
        <v>278.1</v>
      </c>
      <c r="L843" s="0" t="s">
        <v>2277</v>
      </c>
    </row>
    <row r="844" customFormat="false" ht="15" hidden="false" customHeight="true" outlineLevel="0" collapsed="false">
      <c r="A844" s="0" t="n">
        <v>2</v>
      </c>
      <c r="B844" s="0" t="n">
        <v>491629</v>
      </c>
      <c r="C844" s="0" t="s">
        <v>52</v>
      </c>
      <c r="D844" s="0" t="s">
        <v>2314</v>
      </c>
      <c r="E844" s="14" t="n">
        <v>46268</v>
      </c>
      <c r="F844" s="14" t="n">
        <v>46263</v>
      </c>
      <c r="G844" s="0" t="s">
        <v>394</v>
      </c>
      <c r="H844" s="0" t="n">
        <v>1646714</v>
      </c>
      <c r="I844" s="0" t="n">
        <v>11</v>
      </c>
      <c r="J844" s="0" t="s">
        <v>2276</v>
      </c>
      <c r="K844" s="15" t="n">
        <v>229.85</v>
      </c>
      <c r="L844" s="0" t="s">
        <v>2277</v>
      </c>
    </row>
    <row r="845" customFormat="false" ht="15" hidden="false" customHeight="true" outlineLevel="0" collapsed="false">
      <c r="A845" s="0" t="n">
        <v>2</v>
      </c>
      <c r="B845" s="0" t="n">
        <v>572518</v>
      </c>
      <c r="C845" s="0" t="s">
        <v>2316</v>
      </c>
      <c r="D845" s="0" t="s">
        <v>2317</v>
      </c>
      <c r="E845" s="14" t="n">
        <v>46268</v>
      </c>
      <c r="F845" s="14" t="n">
        <v>46266</v>
      </c>
      <c r="G845" s="0" t="s">
        <v>266</v>
      </c>
      <c r="H845" s="0" t="n">
        <v>1647431</v>
      </c>
      <c r="I845" s="0" t="n">
        <v>11</v>
      </c>
      <c r="J845" s="0" t="s">
        <v>2276</v>
      </c>
      <c r="K845" s="15" t="n">
        <v>9523.55</v>
      </c>
      <c r="L845" s="0" t="s">
        <v>2277</v>
      </c>
    </row>
    <row r="846" customFormat="false" ht="15" hidden="false" customHeight="true" outlineLevel="0" collapsed="false">
      <c r="A846" s="0" t="n">
        <v>2</v>
      </c>
      <c r="B846" s="0" t="n">
        <v>790</v>
      </c>
      <c r="C846" s="0" t="s">
        <v>44</v>
      </c>
      <c r="D846" s="0" t="s">
        <v>2283</v>
      </c>
      <c r="E846" s="14" t="n">
        <v>46268</v>
      </c>
      <c r="F846" s="14" t="n">
        <v>46268</v>
      </c>
      <c r="G846" s="0" t="s">
        <v>204</v>
      </c>
      <c r="H846" s="0" t="n">
        <v>1647875</v>
      </c>
      <c r="I846" s="0" t="n">
        <v>11</v>
      </c>
      <c r="J846" s="0" t="s">
        <v>2276</v>
      </c>
      <c r="K846" s="15" t="n">
        <v>204.77</v>
      </c>
      <c r="L846" s="0" t="s">
        <v>2277</v>
      </c>
    </row>
    <row r="847" customFormat="false" ht="15" hidden="false" customHeight="true" outlineLevel="0" collapsed="false">
      <c r="A847" s="0" t="n">
        <v>2</v>
      </c>
      <c r="B847" s="0" t="n">
        <v>8180</v>
      </c>
      <c r="C847" s="0" t="s">
        <v>52</v>
      </c>
      <c r="D847" s="0" t="s">
        <v>2330</v>
      </c>
      <c r="E847" s="14" t="n">
        <v>46268</v>
      </c>
      <c r="F847" s="14" t="n">
        <v>46266</v>
      </c>
      <c r="G847" s="0" t="s">
        <v>417</v>
      </c>
      <c r="H847" s="0" t="n">
        <v>1646673</v>
      </c>
      <c r="I847" s="0" t="n">
        <v>11</v>
      </c>
      <c r="J847" s="0" t="s">
        <v>2276</v>
      </c>
      <c r="K847" s="15" t="n">
        <v>314</v>
      </c>
      <c r="L847" s="0" t="s">
        <v>2277</v>
      </c>
    </row>
    <row r="848" customFormat="false" ht="15" hidden="false" customHeight="true" outlineLevel="0" collapsed="false">
      <c r="A848" s="0" t="n">
        <v>2</v>
      </c>
      <c r="B848" s="0" t="n">
        <v>993555</v>
      </c>
      <c r="C848" s="0" t="s">
        <v>2340</v>
      </c>
      <c r="D848" s="0" t="s">
        <v>2341</v>
      </c>
      <c r="E848" s="14" t="n">
        <v>46268</v>
      </c>
      <c r="F848" s="14" t="n">
        <v>46267</v>
      </c>
      <c r="G848" s="0" t="s">
        <v>232</v>
      </c>
      <c r="H848" s="0" t="n">
        <v>1646642</v>
      </c>
      <c r="I848" s="0" t="n">
        <v>11</v>
      </c>
      <c r="J848" s="0" t="s">
        <v>2276</v>
      </c>
      <c r="K848" s="15" t="n">
        <v>488.19</v>
      </c>
      <c r="L848" s="0" t="s">
        <v>2277</v>
      </c>
    </row>
    <row r="849" customFormat="false" ht="15" hidden="false" customHeight="true" outlineLevel="0" collapsed="false">
      <c r="A849" s="0" t="n">
        <v>2</v>
      </c>
      <c r="B849" s="0" t="n">
        <v>1440541</v>
      </c>
      <c r="C849" s="0" t="s">
        <v>52</v>
      </c>
      <c r="D849" s="0" t="s">
        <v>2308</v>
      </c>
      <c r="E849" s="14" t="n">
        <v>46269</v>
      </c>
      <c r="F849" s="14" t="n">
        <v>46266</v>
      </c>
      <c r="G849" s="0" t="s">
        <v>343</v>
      </c>
      <c r="H849" s="0" t="n">
        <v>1651521</v>
      </c>
      <c r="I849" s="0" t="n">
        <v>11</v>
      </c>
      <c r="J849" s="0" t="s">
        <v>2276</v>
      </c>
      <c r="K849" s="15" t="n">
        <v>1917.5</v>
      </c>
      <c r="L849" s="0" t="s">
        <v>2277</v>
      </c>
    </row>
    <row r="850" customFormat="false" ht="15" hidden="false" customHeight="true" outlineLevel="0" collapsed="false">
      <c r="A850" s="0" t="n">
        <v>2</v>
      </c>
      <c r="B850" s="0" t="n">
        <v>1627324</v>
      </c>
      <c r="C850" s="0" t="s">
        <v>52</v>
      </c>
      <c r="D850" s="0" t="s">
        <v>2327</v>
      </c>
      <c r="E850" s="14" t="n">
        <v>46269</v>
      </c>
      <c r="F850" s="14" t="n">
        <v>46269</v>
      </c>
      <c r="G850" s="0" t="s">
        <v>50</v>
      </c>
      <c r="H850" s="0" t="n">
        <v>1653042</v>
      </c>
      <c r="I850" s="0" t="n">
        <v>11</v>
      </c>
      <c r="J850" s="0" t="s">
        <v>2276</v>
      </c>
      <c r="K850" s="15" t="n">
        <v>4591.99</v>
      </c>
      <c r="L850" s="0" t="s">
        <v>2277</v>
      </c>
    </row>
    <row r="851" customFormat="false" ht="15" hidden="false" customHeight="true" outlineLevel="0" collapsed="false">
      <c r="A851" s="0" t="n">
        <v>2</v>
      </c>
      <c r="B851" s="0" t="n">
        <v>1675430</v>
      </c>
      <c r="C851" s="0" t="s">
        <v>2280</v>
      </c>
      <c r="D851" s="0" t="s">
        <v>2281</v>
      </c>
      <c r="E851" s="14" t="n">
        <v>46269</v>
      </c>
      <c r="F851" s="14" t="n">
        <v>46269</v>
      </c>
      <c r="G851" s="0" t="s">
        <v>406</v>
      </c>
      <c r="H851" s="0" t="n">
        <v>1652472</v>
      </c>
      <c r="I851" s="0" t="n">
        <v>11</v>
      </c>
      <c r="J851" s="0" t="s">
        <v>2276</v>
      </c>
      <c r="K851" s="15" t="n">
        <v>166.5</v>
      </c>
      <c r="L851" s="0" t="s">
        <v>2277</v>
      </c>
    </row>
    <row r="852" customFormat="false" ht="15" hidden="false" customHeight="true" outlineLevel="0" collapsed="false">
      <c r="A852" s="0" t="n">
        <v>2</v>
      </c>
      <c r="B852" s="0" t="n">
        <v>1724435</v>
      </c>
      <c r="C852" s="0" t="s">
        <v>52</v>
      </c>
      <c r="D852" s="0" t="s">
        <v>2287</v>
      </c>
      <c r="E852" s="14" t="n">
        <v>46269</v>
      </c>
      <c r="F852" s="14" t="n">
        <v>46268</v>
      </c>
      <c r="G852" s="0" t="s">
        <v>240</v>
      </c>
      <c r="H852" s="0" t="n">
        <v>1652919</v>
      </c>
      <c r="I852" s="0" t="n">
        <v>11</v>
      </c>
      <c r="J852" s="0" t="s">
        <v>2276</v>
      </c>
      <c r="K852" s="15" t="n">
        <v>3999.35</v>
      </c>
      <c r="L852" s="0" t="s">
        <v>2277</v>
      </c>
    </row>
    <row r="853" customFormat="false" ht="15" hidden="false" customHeight="true" outlineLevel="0" collapsed="false">
      <c r="A853" s="0" t="n">
        <v>2</v>
      </c>
      <c r="B853" s="0" t="n">
        <v>1724730</v>
      </c>
      <c r="C853" s="0" t="s">
        <v>52</v>
      </c>
      <c r="D853" s="0" t="s">
        <v>2287</v>
      </c>
      <c r="E853" s="14" t="n">
        <v>46269</v>
      </c>
      <c r="F853" s="14" t="n">
        <v>46268</v>
      </c>
      <c r="G853" s="0" t="s">
        <v>240</v>
      </c>
      <c r="H853" s="0" t="n">
        <v>1652216</v>
      </c>
      <c r="I853" s="0" t="n">
        <v>11</v>
      </c>
      <c r="J853" s="0" t="s">
        <v>2276</v>
      </c>
      <c r="K853" s="15" t="n">
        <v>832.2</v>
      </c>
      <c r="L853" s="0" t="s">
        <v>2277</v>
      </c>
    </row>
    <row r="854" customFormat="false" ht="15" hidden="false" customHeight="true" outlineLevel="0" collapsed="false">
      <c r="A854" s="0" t="n">
        <v>2</v>
      </c>
      <c r="B854" s="0" t="n">
        <v>2654</v>
      </c>
      <c r="C854" s="0" t="s">
        <v>52</v>
      </c>
      <c r="D854" s="0" t="s">
        <v>2288</v>
      </c>
      <c r="E854" s="14" t="n">
        <v>46269</v>
      </c>
      <c r="F854" s="14" t="n">
        <v>46269</v>
      </c>
      <c r="G854" s="0" t="s">
        <v>153</v>
      </c>
      <c r="H854" s="0" t="n">
        <v>1652454</v>
      </c>
      <c r="I854" s="0" t="n">
        <v>6</v>
      </c>
      <c r="J854" s="0" t="s">
        <v>2276</v>
      </c>
      <c r="K854" s="15" t="n">
        <v>300</v>
      </c>
      <c r="L854" s="0" t="s">
        <v>2277</v>
      </c>
    </row>
    <row r="855" customFormat="false" ht="15" hidden="false" customHeight="true" outlineLevel="0" collapsed="false">
      <c r="A855" s="0" t="n">
        <v>2</v>
      </c>
      <c r="B855" s="0" t="n">
        <v>2656</v>
      </c>
      <c r="C855" s="0" t="s">
        <v>52</v>
      </c>
      <c r="D855" s="0" t="s">
        <v>2288</v>
      </c>
      <c r="E855" s="14" t="n">
        <v>46269</v>
      </c>
      <c r="F855" s="14" t="n">
        <v>46269</v>
      </c>
      <c r="G855" s="0" t="s">
        <v>153</v>
      </c>
      <c r="H855" s="0" t="n">
        <v>1652758</v>
      </c>
      <c r="I855" s="0" t="n">
        <v>6</v>
      </c>
      <c r="J855" s="0" t="s">
        <v>2276</v>
      </c>
      <c r="K855" s="15" t="n">
        <v>340</v>
      </c>
      <c r="L855" s="0" t="s">
        <v>2277</v>
      </c>
    </row>
    <row r="856" customFormat="false" ht="15" hidden="false" customHeight="true" outlineLevel="0" collapsed="false">
      <c r="A856" s="0" t="n">
        <v>2</v>
      </c>
      <c r="B856" s="0" t="n">
        <v>2657</v>
      </c>
      <c r="C856" s="0" t="s">
        <v>52</v>
      </c>
      <c r="D856" s="0" t="s">
        <v>2288</v>
      </c>
      <c r="E856" s="14" t="n">
        <v>46269</v>
      </c>
      <c r="F856" s="14" t="n">
        <v>46269</v>
      </c>
      <c r="G856" s="0" t="s">
        <v>153</v>
      </c>
      <c r="H856" s="0" t="n">
        <v>1653148</v>
      </c>
      <c r="I856" s="0" t="n">
        <v>6</v>
      </c>
      <c r="J856" s="0" t="s">
        <v>2276</v>
      </c>
      <c r="K856" s="15" t="n">
        <v>1972</v>
      </c>
      <c r="L856" s="0" t="s">
        <v>2277</v>
      </c>
    </row>
    <row r="857" customFormat="false" ht="15" hidden="false" customHeight="true" outlineLevel="0" collapsed="false">
      <c r="A857" s="0" t="n">
        <v>2</v>
      </c>
      <c r="B857" s="0" t="n">
        <v>378</v>
      </c>
      <c r="C857" s="0" t="s">
        <v>52</v>
      </c>
      <c r="D857" s="0" t="s">
        <v>2289</v>
      </c>
      <c r="E857" s="14" t="n">
        <v>46269</v>
      </c>
      <c r="F857" s="14" t="n">
        <v>46268</v>
      </c>
      <c r="G857" s="0" t="s">
        <v>216</v>
      </c>
      <c r="H857" s="0" t="n">
        <v>1653363</v>
      </c>
      <c r="I857" s="0" t="n">
        <v>11</v>
      </c>
      <c r="J857" s="0" t="s">
        <v>2276</v>
      </c>
      <c r="K857" s="15" t="n">
        <v>1045</v>
      </c>
      <c r="L857" s="0" t="s">
        <v>2277</v>
      </c>
    </row>
    <row r="858" customFormat="false" ht="15" hidden="false" customHeight="true" outlineLevel="0" collapsed="false">
      <c r="A858" s="0" t="n">
        <v>2</v>
      </c>
      <c r="B858" s="0" t="n">
        <v>401423</v>
      </c>
      <c r="C858" s="0" t="s">
        <v>52</v>
      </c>
      <c r="D858" s="0" t="s">
        <v>2301</v>
      </c>
      <c r="E858" s="14" t="n">
        <v>46269</v>
      </c>
      <c r="F858" s="14" t="n">
        <v>46268</v>
      </c>
      <c r="G858" s="0" t="s">
        <v>172</v>
      </c>
      <c r="H858" s="0" t="n">
        <v>1652427</v>
      </c>
      <c r="I858" s="0" t="n">
        <v>11</v>
      </c>
      <c r="J858" s="0" t="s">
        <v>2276</v>
      </c>
      <c r="K858" s="15" t="n">
        <v>474.45</v>
      </c>
      <c r="L858" s="0" t="s">
        <v>2277</v>
      </c>
    </row>
    <row r="859" customFormat="false" ht="15" hidden="false" customHeight="true" outlineLevel="0" collapsed="false">
      <c r="A859" s="0" t="n">
        <v>2</v>
      </c>
      <c r="B859" s="0" t="n">
        <v>427</v>
      </c>
      <c r="C859" s="0" t="s">
        <v>52</v>
      </c>
      <c r="D859" s="0" t="s">
        <v>2311</v>
      </c>
      <c r="E859" s="14" t="n">
        <v>46269</v>
      </c>
      <c r="F859" s="14" t="n">
        <v>46269</v>
      </c>
      <c r="G859" s="0" t="s">
        <v>86</v>
      </c>
      <c r="H859" s="0" t="n">
        <v>1651831</v>
      </c>
      <c r="I859" s="0" t="n">
        <v>11</v>
      </c>
      <c r="J859" s="0" t="s">
        <v>2276</v>
      </c>
      <c r="K859" s="15" t="n">
        <v>177.5</v>
      </c>
      <c r="L859" s="0" t="s">
        <v>2277</v>
      </c>
    </row>
    <row r="860" customFormat="false" ht="15" hidden="false" customHeight="true" outlineLevel="0" collapsed="false">
      <c r="A860" s="0" t="n">
        <v>2</v>
      </c>
      <c r="B860" s="0" t="n">
        <v>47868</v>
      </c>
      <c r="C860" s="0" t="s">
        <v>89</v>
      </c>
      <c r="D860" s="0" t="s">
        <v>2419</v>
      </c>
      <c r="E860" s="14" t="n">
        <v>46269</v>
      </c>
      <c r="F860" s="14" t="n">
        <v>46239</v>
      </c>
      <c r="G860" s="0" t="s">
        <v>2420</v>
      </c>
      <c r="H860" s="0" t="n">
        <v>1778756</v>
      </c>
      <c r="I860" s="0" t="n">
        <v>11</v>
      </c>
      <c r="J860" s="0" t="s">
        <v>2276</v>
      </c>
      <c r="K860" s="15" t="n">
        <v>1225</v>
      </c>
      <c r="L860" s="0" t="s">
        <v>2277</v>
      </c>
    </row>
    <row r="861" customFormat="false" ht="15" hidden="false" customHeight="true" outlineLevel="0" collapsed="false">
      <c r="A861" s="0" t="n">
        <v>2</v>
      </c>
      <c r="B861" s="0" t="n">
        <v>58376</v>
      </c>
      <c r="C861" s="0" t="s">
        <v>52</v>
      </c>
      <c r="D861" s="0" t="s">
        <v>2334</v>
      </c>
      <c r="E861" s="14" t="n">
        <v>46269</v>
      </c>
      <c r="F861" s="14" t="n">
        <v>46269</v>
      </c>
      <c r="G861" s="0" t="s">
        <v>487</v>
      </c>
      <c r="H861" s="0" t="n">
        <v>1652140</v>
      </c>
      <c r="I861" s="0" t="n">
        <v>11</v>
      </c>
      <c r="J861" s="0" t="s">
        <v>2276</v>
      </c>
      <c r="K861" s="15" t="n">
        <v>495.11</v>
      </c>
      <c r="L861" s="0" t="s">
        <v>2277</v>
      </c>
    </row>
    <row r="862" customFormat="false" ht="15" hidden="false" customHeight="true" outlineLevel="0" collapsed="false">
      <c r="A862" s="0" t="n">
        <v>2</v>
      </c>
      <c r="B862" s="0" t="n">
        <v>894544</v>
      </c>
      <c r="C862" s="0" t="s">
        <v>52</v>
      </c>
      <c r="D862" s="0" t="s">
        <v>2342</v>
      </c>
      <c r="E862" s="14" t="n">
        <v>46269</v>
      </c>
      <c r="F862" s="14" t="n">
        <v>46268</v>
      </c>
      <c r="G862" s="0" t="s">
        <v>214</v>
      </c>
      <c r="H862" s="0" t="n">
        <v>1652069</v>
      </c>
      <c r="I862" s="0" t="n">
        <v>11</v>
      </c>
      <c r="J862" s="0" t="s">
        <v>2276</v>
      </c>
      <c r="K862" s="15" t="n">
        <v>365</v>
      </c>
      <c r="L862" s="0" t="s">
        <v>2277</v>
      </c>
    </row>
    <row r="863" customFormat="false" ht="15" hidden="false" customHeight="true" outlineLevel="0" collapsed="false">
      <c r="A863" s="0" t="n">
        <v>2</v>
      </c>
      <c r="B863" s="0" t="n">
        <v>256</v>
      </c>
      <c r="C863" s="0" t="s">
        <v>52</v>
      </c>
      <c r="D863" s="0" t="s">
        <v>2399</v>
      </c>
      <c r="E863" s="14" t="n">
        <v>46270</v>
      </c>
      <c r="F863" s="14" t="n">
        <v>46270</v>
      </c>
      <c r="G863" s="0" t="s">
        <v>622</v>
      </c>
      <c r="H863" s="0" t="n">
        <v>1672504</v>
      </c>
      <c r="I863" s="0" t="n">
        <v>11</v>
      </c>
      <c r="J863" s="0" t="s">
        <v>2276</v>
      </c>
      <c r="K863" s="15" t="n">
        <v>200</v>
      </c>
      <c r="L863" s="0" t="s">
        <v>2277</v>
      </c>
    </row>
    <row r="864" customFormat="false" ht="15" hidden="false" customHeight="true" outlineLevel="0" collapsed="false">
      <c r="A864" s="0" t="n">
        <v>2</v>
      </c>
      <c r="B864" s="0" t="n">
        <v>15256</v>
      </c>
      <c r="C864" s="0" t="s">
        <v>52</v>
      </c>
      <c r="D864" s="0" t="s">
        <v>2278</v>
      </c>
      <c r="E864" s="14" t="n">
        <v>46273</v>
      </c>
      <c r="F864" s="14" t="n">
        <v>46268</v>
      </c>
      <c r="G864" s="0" t="s">
        <v>270</v>
      </c>
      <c r="H864" s="0" t="n">
        <v>1673059</v>
      </c>
      <c r="I864" s="0" t="n">
        <v>11</v>
      </c>
      <c r="J864" s="0" t="s">
        <v>2276</v>
      </c>
      <c r="K864" s="15" t="n">
        <v>4057.6</v>
      </c>
      <c r="L864" s="0" t="s">
        <v>2277</v>
      </c>
    </row>
    <row r="865" customFormat="false" ht="15" hidden="false" customHeight="true" outlineLevel="0" collapsed="false">
      <c r="A865" s="0" t="n">
        <v>2</v>
      </c>
      <c r="B865" s="0" t="n">
        <v>15274</v>
      </c>
      <c r="C865" s="0" t="s">
        <v>52</v>
      </c>
      <c r="D865" s="0" t="s">
        <v>2278</v>
      </c>
      <c r="E865" s="14" t="n">
        <v>46273</v>
      </c>
      <c r="F865" s="14" t="n">
        <v>46269</v>
      </c>
      <c r="G865" s="0" t="s">
        <v>270</v>
      </c>
      <c r="H865" s="0" t="n">
        <v>1673709</v>
      </c>
      <c r="I865" s="0" t="n">
        <v>11</v>
      </c>
      <c r="J865" s="0" t="s">
        <v>2276</v>
      </c>
      <c r="K865" s="15" t="n">
        <v>1460.8</v>
      </c>
      <c r="L865" s="0" t="s">
        <v>2277</v>
      </c>
    </row>
    <row r="866" customFormat="false" ht="15" hidden="false" customHeight="true" outlineLevel="0" collapsed="false">
      <c r="A866" s="0" t="n">
        <v>2</v>
      </c>
      <c r="B866" s="0" t="n">
        <v>1968927</v>
      </c>
      <c r="C866" s="0" t="s">
        <v>52</v>
      </c>
      <c r="D866" s="0" t="s">
        <v>2369</v>
      </c>
      <c r="E866" s="14" t="n">
        <v>46273</v>
      </c>
      <c r="F866" s="14" t="n">
        <v>46268</v>
      </c>
      <c r="G866" s="0" t="s">
        <v>185</v>
      </c>
      <c r="H866" s="0" t="n">
        <v>1672883</v>
      </c>
      <c r="I866" s="0" t="n">
        <v>11</v>
      </c>
      <c r="J866" s="0" t="s">
        <v>2276</v>
      </c>
      <c r="K866" s="15" t="n">
        <v>1258.26</v>
      </c>
      <c r="L866" s="0" t="s">
        <v>2277</v>
      </c>
    </row>
    <row r="867" customFormat="false" ht="15" hidden="false" customHeight="true" outlineLevel="0" collapsed="false">
      <c r="A867" s="0" t="n">
        <v>2</v>
      </c>
      <c r="B867" s="0" t="n">
        <v>20278</v>
      </c>
      <c r="C867" s="0" t="s">
        <v>89</v>
      </c>
      <c r="D867" s="0" t="s">
        <v>2322</v>
      </c>
      <c r="E867" s="14" t="n">
        <v>46273</v>
      </c>
      <c r="F867" s="14" t="n">
        <v>46269</v>
      </c>
      <c r="G867" s="0" t="s">
        <v>390</v>
      </c>
      <c r="H867" s="0" t="n">
        <v>1673917</v>
      </c>
      <c r="I867" s="0" t="n">
        <v>11</v>
      </c>
      <c r="J867" s="0" t="s">
        <v>2276</v>
      </c>
      <c r="K867" s="15" t="n">
        <v>2581.52</v>
      </c>
      <c r="L867" s="0" t="s">
        <v>2277</v>
      </c>
    </row>
    <row r="868" customFormat="false" ht="15" hidden="false" customHeight="true" outlineLevel="0" collapsed="false">
      <c r="A868" s="0" t="n">
        <v>2</v>
      </c>
      <c r="B868" s="0" t="n">
        <v>259439</v>
      </c>
      <c r="C868" s="0" t="s">
        <v>52</v>
      </c>
      <c r="D868" s="0" t="s">
        <v>2323</v>
      </c>
      <c r="E868" s="14" t="n">
        <v>46273</v>
      </c>
      <c r="F868" s="14" t="n">
        <v>46273</v>
      </c>
      <c r="G868" s="0" t="s">
        <v>566</v>
      </c>
      <c r="H868" s="0" t="n">
        <v>1673839</v>
      </c>
      <c r="I868" s="0" t="n">
        <v>11</v>
      </c>
      <c r="J868" s="0" t="s">
        <v>2276</v>
      </c>
      <c r="K868" s="15" t="n">
        <v>972.4</v>
      </c>
      <c r="L868" s="0" t="s">
        <v>2277</v>
      </c>
    </row>
    <row r="869" customFormat="false" ht="15" hidden="false" customHeight="true" outlineLevel="0" collapsed="false">
      <c r="A869" s="0" t="n">
        <v>2</v>
      </c>
      <c r="B869" s="0" t="n">
        <v>2660</v>
      </c>
      <c r="C869" s="0" t="s">
        <v>52</v>
      </c>
      <c r="D869" s="0" t="s">
        <v>2288</v>
      </c>
      <c r="E869" s="14" t="n">
        <v>46273</v>
      </c>
      <c r="F869" s="14" t="n">
        <v>46273</v>
      </c>
      <c r="G869" s="0" t="s">
        <v>153</v>
      </c>
      <c r="H869" s="0" t="n">
        <v>1673597</v>
      </c>
      <c r="I869" s="0" t="n">
        <v>6</v>
      </c>
      <c r="J869" s="0" t="s">
        <v>2276</v>
      </c>
      <c r="K869" s="15" t="n">
        <v>300</v>
      </c>
      <c r="L869" s="0" t="s">
        <v>2277</v>
      </c>
    </row>
    <row r="870" customFormat="false" ht="15" hidden="false" customHeight="true" outlineLevel="0" collapsed="false">
      <c r="A870" s="0" t="n">
        <v>2</v>
      </c>
      <c r="B870" s="0" t="n">
        <v>2661</v>
      </c>
      <c r="C870" s="0" t="s">
        <v>52</v>
      </c>
      <c r="D870" s="0" t="s">
        <v>2288</v>
      </c>
      <c r="E870" s="14" t="n">
        <v>46273</v>
      </c>
      <c r="F870" s="14" t="n">
        <v>46273</v>
      </c>
      <c r="G870" s="0" t="s">
        <v>153</v>
      </c>
      <c r="H870" s="0" t="n">
        <v>1673635</v>
      </c>
      <c r="I870" s="0" t="n">
        <v>6</v>
      </c>
      <c r="J870" s="0" t="s">
        <v>2276</v>
      </c>
      <c r="K870" s="15" t="n">
        <v>1637</v>
      </c>
      <c r="L870" s="0" t="s">
        <v>2277</v>
      </c>
    </row>
    <row r="871" customFormat="false" ht="15" hidden="false" customHeight="true" outlineLevel="0" collapsed="false">
      <c r="A871" s="0" t="n">
        <v>2</v>
      </c>
      <c r="B871" s="0" t="n">
        <v>32268</v>
      </c>
      <c r="C871" s="0" t="s">
        <v>52</v>
      </c>
      <c r="D871" s="0" t="s">
        <v>2294</v>
      </c>
      <c r="E871" s="14" t="n">
        <v>46273</v>
      </c>
      <c r="F871" s="14" t="n">
        <v>46273</v>
      </c>
      <c r="G871" s="0" t="s">
        <v>147</v>
      </c>
      <c r="H871" s="0" t="n">
        <v>1672858</v>
      </c>
      <c r="I871" s="0" t="n">
        <v>11</v>
      </c>
      <c r="J871" s="0" t="s">
        <v>2276</v>
      </c>
      <c r="K871" s="15" t="n">
        <v>199</v>
      </c>
      <c r="L871" s="0" t="s">
        <v>2277</v>
      </c>
    </row>
    <row r="872" customFormat="false" ht="15" hidden="false" customHeight="true" outlineLevel="0" collapsed="false">
      <c r="A872" s="0" t="n">
        <v>2</v>
      </c>
      <c r="B872" s="0" t="n">
        <v>33408</v>
      </c>
      <c r="C872" s="0" t="s">
        <v>102</v>
      </c>
      <c r="D872" s="0" t="s">
        <v>2313</v>
      </c>
      <c r="E872" s="14" t="n">
        <v>46273</v>
      </c>
      <c r="F872" s="14" t="n">
        <v>46270</v>
      </c>
      <c r="G872" s="0" t="s">
        <v>268</v>
      </c>
      <c r="H872" s="0" t="n">
        <v>1673148</v>
      </c>
      <c r="I872" s="0" t="n">
        <v>11</v>
      </c>
      <c r="J872" s="0" t="s">
        <v>2276</v>
      </c>
      <c r="K872" s="15" t="n">
        <v>619.41</v>
      </c>
      <c r="L872" s="0" t="s">
        <v>2277</v>
      </c>
    </row>
    <row r="873" customFormat="false" ht="15" hidden="false" customHeight="true" outlineLevel="0" collapsed="false">
      <c r="A873" s="0" t="n">
        <v>2</v>
      </c>
      <c r="B873" s="0" t="n">
        <v>4007</v>
      </c>
      <c r="C873" s="0" t="s">
        <v>52</v>
      </c>
      <c r="D873" s="0" t="s">
        <v>2282</v>
      </c>
      <c r="E873" s="14" t="n">
        <v>46273</v>
      </c>
      <c r="F873" s="14" t="n">
        <v>46273</v>
      </c>
      <c r="G873" s="0" t="s">
        <v>209</v>
      </c>
      <c r="H873" s="0" t="n">
        <v>1673668</v>
      </c>
      <c r="I873" s="0" t="n">
        <v>11</v>
      </c>
      <c r="J873" s="0" t="s">
        <v>2276</v>
      </c>
      <c r="K873" s="15" t="n">
        <v>589.5</v>
      </c>
      <c r="L873" s="0" t="s">
        <v>2277</v>
      </c>
    </row>
    <row r="874" customFormat="false" ht="15" hidden="false" customHeight="true" outlineLevel="0" collapsed="false">
      <c r="A874" s="0" t="n">
        <v>2</v>
      </c>
      <c r="B874" s="0" t="n">
        <v>502</v>
      </c>
      <c r="C874" s="0" t="s">
        <v>52</v>
      </c>
      <c r="D874" s="0" t="s">
        <v>2392</v>
      </c>
      <c r="E874" s="14" t="n">
        <v>46273</v>
      </c>
      <c r="F874" s="14" t="n">
        <v>46268</v>
      </c>
      <c r="G874" s="0" t="s">
        <v>332</v>
      </c>
      <c r="H874" s="0" t="n">
        <v>1672361</v>
      </c>
      <c r="I874" s="0" t="n">
        <v>11</v>
      </c>
      <c r="J874" s="0" t="s">
        <v>2276</v>
      </c>
      <c r="K874" s="15" t="n">
        <v>660</v>
      </c>
      <c r="L874" s="0" t="s">
        <v>2277</v>
      </c>
    </row>
    <row r="875" customFormat="false" ht="15" hidden="false" customHeight="true" outlineLevel="0" collapsed="false">
      <c r="A875" s="0" t="n">
        <v>2</v>
      </c>
      <c r="B875" s="0" t="n">
        <v>644</v>
      </c>
      <c r="C875" s="0" t="s">
        <v>52</v>
      </c>
      <c r="D875" s="0" t="s">
        <v>2291</v>
      </c>
      <c r="E875" s="14" t="n">
        <v>46273</v>
      </c>
      <c r="F875" s="14" t="n">
        <v>46269</v>
      </c>
      <c r="G875" s="0" t="s">
        <v>123</v>
      </c>
      <c r="H875" s="0" t="n">
        <v>1672404</v>
      </c>
      <c r="I875" s="0" t="n">
        <v>11</v>
      </c>
      <c r="J875" s="0" t="s">
        <v>2276</v>
      </c>
      <c r="K875" s="15" t="n">
        <v>132</v>
      </c>
      <c r="L875" s="0" t="s">
        <v>2277</v>
      </c>
    </row>
    <row r="876" customFormat="false" ht="15" hidden="false" customHeight="true" outlineLevel="0" collapsed="false">
      <c r="A876" s="0" t="n">
        <v>2</v>
      </c>
      <c r="B876" s="0" t="n">
        <v>1281791</v>
      </c>
      <c r="C876" s="0" t="s">
        <v>80</v>
      </c>
      <c r="D876" s="0" t="s">
        <v>2275</v>
      </c>
      <c r="E876" s="14" t="n">
        <v>46274</v>
      </c>
      <c r="F876" s="14" t="n">
        <v>46269</v>
      </c>
      <c r="G876" s="0" t="s">
        <v>130</v>
      </c>
      <c r="H876" s="0" t="n">
        <v>1677301</v>
      </c>
      <c r="I876" s="0" t="n">
        <v>11</v>
      </c>
      <c r="J876" s="0" t="s">
        <v>2276</v>
      </c>
      <c r="K876" s="15" t="n">
        <v>630.74</v>
      </c>
      <c r="L876" s="0" t="s">
        <v>2277</v>
      </c>
    </row>
    <row r="877" customFormat="false" ht="15" hidden="false" customHeight="true" outlineLevel="0" collapsed="false">
      <c r="A877" s="0" t="n">
        <v>2</v>
      </c>
      <c r="B877" s="0" t="n">
        <v>1281795</v>
      </c>
      <c r="C877" s="0" t="s">
        <v>80</v>
      </c>
      <c r="D877" s="0" t="s">
        <v>2275</v>
      </c>
      <c r="E877" s="14" t="n">
        <v>46274</v>
      </c>
      <c r="F877" s="14" t="n">
        <v>46269</v>
      </c>
      <c r="G877" s="0" t="s">
        <v>130</v>
      </c>
      <c r="H877" s="0" t="n">
        <v>1677081</v>
      </c>
      <c r="I877" s="0" t="n">
        <v>11</v>
      </c>
      <c r="J877" s="0" t="s">
        <v>2276</v>
      </c>
      <c r="K877" s="15" t="n">
        <v>50.85</v>
      </c>
      <c r="L877" s="0" t="s">
        <v>2277</v>
      </c>
    </row>
    <row r="878" customFormat="false" ht="15" hidden="false" customHeight="true" outlineLevel="0" collapsed="false">
      <c r="A878" s="0" t="n">
        <v>2</v>
      </c>
      <c r="B878" s="0" t="n">
        <v>1281807</v>
      </c>
      <c r="C878" s="0" t="s">
        <v>80</v>
      </c>
      <c r="D878" s="0" t="s">
        <v>2275</v>
      </c>
      <c r="E878" s="14" t="n">
        <v>46274</v>
      </c>
      <c r="F878" s="14" t="n">
        <v>46269</v>
      </c>
      <c r="G878" s="0" t="s">
        <v>130</v>
      </c>
      <c r="H878" s="0" t="n">
        <v>1677160</v>
      </c>
      <c r="I878" s="0" t="n">
        <v>11</v>
      </c>
      <c r="J878" s="0" t="s">
        <v>2276</v>
      </c>
      <c r="K878" s="15" t="n">
        <v>949.62</v>
      </c>
      <c r="L878" s="0" t="s">
        <v>2277</v>
      </c>
    </row>
    <row r="879" customFormat="false" ht="15" hidden="false" customHeight="true" outlineLevel="0" collapsed="false">
      <c r="A879" s="0" t="n">
        <v>2</v>
      </c>
      <c r="B879" s="0" t="n">
        <v>15352</v>
      </c>
      <c r="C879" s="0" t="s">
        <v>52</v>
      </c>
      <c r="D879" s="0" t="s">
        <v>2279</v>
      </c>
      <c r="E879" s="14" t="n">
        <v>46274</v>
      </c>
      <c r="F879" s="14" t="n">
        <v>46274</v>
      </c>
      <c r="G879" s="0" t="s">
        <v>299</v>
      </c>
      <c r="H879" s="0" t="n">
        <v>1676628</v>
      </c>
      <c r="I879" s="0" t="n">
        <v>11</v>
      </c>
      <c r="J879" s="0" t="s">
        <v>2276</v>
      </c>
      <c r="K879" s="15" t="n">
        <v>388.68</v>
      </c>
      <c r="L879" s="0" t="s">
        <v>2277</v>
      </c>
    </row>
    <row r="880" customFormat="false" ht="15" hidden="false" customHeight="true" outlineLevel="0" collapsed="false">
      <c r="A880" s="0" t="n">
        <v>2</v>
      </c>
      <c r="B880" s="0" t="n">
        <v>1676617</v>
      </c>
      <c r="C880" s="0" t="s">
        <v>2280</v>
      </c>
      <c r="D880" s="0" t="s">
        <v>2281</v>
      </c>
      <c r="E880" s="14" t="n">
        <v>46274</v>
      </c>
      <c r="F880" s="14" t="n">
        <v>46273</v>
      </c>
      <c r="G880" s="0" t="s">
        <v>406</v>
      </c>
      <c r="H880" s="0" t="n">
        <v>1676700</v>
      </c>
      <c r="I880" s="0" t="n">
        <v>11</v>
      </c>
      <c r="J880" s="0" t="s">
        <v>2276</v>
      </c>
      <c r="K880" s="15" t="n">
        <v>115.5</v>
      </c>
      <c r="L880" s="0" t="s">
        <v>2277</v>
      </c>
    </row>
    <row r="881" customFormat="false" ht="15" hidden="false" customHeight="true" outlineLevel="0" collapsed="false">
      <c r="A881" s="0" t="n">
        <v>2</v>
      </c>
      <c r="B881" s="0" t="n">
        <v>1676622</v>
      </c>
      <c r="C881" s="0" t="s">
        <v>2280</v>
      </c>
      <c r="D881" s="0" t="s">
        <v>2281</v>
      </c>
      <c r="E881" s="14" t="n">
        <v>46274</v>
      </c>
      <c r="F881" s="14" t="n">
        <v>46273</v>
      </c>
      <c r="G881" s="0" t="s">
        <v>406</v>
      </c>
      <c r="H881" s="0" t="n">
        <v>1676703</v>
      </c>
      <c r="I881" s="0" t="n">
        <v>11</v>
      </c>
      <c r="J881" s="0" t="s">
        <v>2276</v>
      </c>
      <c r="K881" s="15" t="n">
        <v>147</v>
      </c>
      <c r="L881" s="0" t="s">
        <v>2277</v>
      </c>
    </row>
    <row r="882" customFormat="false" ht="15" hidden="false" customHeight="true" outlineLevel="0" collapsed="false">
      <c r="A882" s="0" t="n">
        <v>2</v>
      </c>
      <c r="B882" s="0" t="n">
        <v>1677338</v>
      </c>
      <c r="C882" s="0" t="s">
        <v>2280</v>
      </c>
      <c r="D882" s="0" t="s">
        <v>2281</v>
      </c>
      <c r="E882" s="14" t="n">
        <v>46274</v>
      </c>
      <c r="F882" s="14" t="n">
        <v>46274</v>
      </c>
      <c r="G882" s="0" t="s">
        <v>406</v>
      </c>
      <c r="H882" s="0" t="n">
        <v>1678228</v>
      </c>
      <c r="I882" s="0" t="n">
        <v>11</v>
      </c>
      <c r="J882" s="0" t="s">
        <v>2276</v>
      </c>
      <c r="K882" s="15" t="n">
        <v>178.5</v>
      </c>
      <c r="L882" s="0" t="s">
        <v>2277</v>
      </c>
    </row>
    <row r="883" customFormat="false" ht="15" hidden="false" customHeight="true" outlineLevel="0" collapsed="false">
      <c r="A883" s="0" t="n">
        <v>2</v>
      </c>
      <c r="B883" s="0" t="n">
        <v>2029788</v>
      </c>
      <c r="C883" s="0" t="s">
        <v>36</v>
      </c>
      <c r="D883" s="0" t="s">
        <v>2275</v>
      </c>
      <c r="E883" s="14" t="n">
        <v>46274</v>
      </c>
      <c r="F883" s="14" t="n">
        <v>46269</v>
      </c>
      <c r="G883" s="0" t="s">
        <v>130</v>
      </c>
      <c r="H883" s="0" t="n">
        <v>1677110</v>
      </c>
      <c r="I883" s="0" t="n">
        <v>11</v>
      </c>
      <c r="J883" s="0" t="s">
        <v>2276</v>
      </c>
      <c r="K883" s="15" t="n">
        <v>217.49</v>
      </c>
      <c r="L883" s="0" t="s">
        <v>2277</v>
      </c>
    </row>
    <row r="884" customFormat="false" ht="15" hidden="false" customHeight="true" outlineLevel="0" collapsed="false">
      <c r="A884" s="0" t="n">
        <v>2</v>
      </c>
      <c r="B884" s="0" t="n">
        <v>2030858</v>
      </c>
      <c r="C884" s="0" t="s">
        <v>36</v>
      </c>
      <c r="D884" s="0" t="s">
        <v>2275</v>
      </c>
      <c r="E884" s="14" t="n">
        <v>46274</v>
      </c>
      <c r="F884" s="14" t="n">
        <v>46269</v>
      </c>
      <c r="G884" s="0" t="s">
        <v>130</v>
      </c>
      <c r="H884" s="0" t="n">
        <v>1677355</v>
      </c>
      <c r="I884" s="0" t="n">
        <v>11</v>
      </c>
      <c r="J884" s="0" t="s">
        <v>2276</v>
      </c>
      <c r="K884" s="15" t="n">
        <v>2815.26</v>
      </c>
      <c r="L884" s="0" t="s">
        <v>2277</v>
      </c>
    </row>
    <row r="885" customFormat="false" ht="15" hidden="false" customHeight="true" outlineLevel="0" collapsed="false">
      <c r="A885" s="0" t="n">
        <v>2</v>
      </c>
      <c r="B885" s="0" t="n">
        <v>2664</v>
      </c>
      <c r="C885" s="0" t="s">
        <v>52</v>
      </c>
      <c r="D885" s="0" t="s">
        <v>2288</v>
      </c>
      <c r="E885" s="14" t="n">
        <v>46274</v>
      </c>
      <c r="F885" s="14" t="n">
        <v>46274</v>
      </c>
      <c r="G885" s="0" t="s">
        <v>153</v>
      </c>
      <c r="H885" s="0" t="n">
        <v>1677481</v>
      </c>
      <c r="I885" s="0" t="n">
        <v>6</v>
      </c>
      <c r="J885" s="0" t="s">
        <v>2276</v>
      </c>
      <c r="K885" s="15" t="n">
        <v>180</v>
      </c>
      <c r="L885" s="0" t="s">
        <v>2277</v>
      </c>
    </row>
    <row r="886" customFormat="false" ht="15" hidden="false" customHeight="true" outlineLevel="0" collapsed="false">
      <c r="A886" s="0" t="n">
        <v>2</v>
      </c>
      <c r="B886" s="0" t="n">
        <v>268</v>
      </c>
      <c r="C886" s="0" t="s">
        <v>52</v>
      </c>
      <c r="D886" s="0" t="s">
        <v>2399</v>
      </c>
      <c r="E886" s="14" t="n">
        <v>46274</v>
      </c>
      <c r="F886" s="14" t="n">
        <v>46274</v>
      </c>
      <c r="G886" s="0" t="s">
        <v>622</v>
      </c>
      <c r="H886" s="0" t="n">
        <v>1677452</v>
      </c>
      <c r="I886" s="0" t="n">
        <v>11</v>
      </c>
      <c r="J886" s="0" t="s">
        <v>2276</v>
      </c>
      <c r="K886" s="15" t="n">
        <v>140</v>
      </c>
      <c r="L886" s="0" t="s">
        <v>2277</v>
      </c>
    </row>
    <row r="887" customFormat="false" ht="15" hidden="false" customHeight="true" outlineLevel="0" collapsed="false">
      <c r="A887" s="0" t="n">
        <v>2</v>
      </c>
      <c r="B887" s="0" t="n">
        <v>303</v>
      </c>
      <c r="C887" s="0" t="s">
        <v>52</v>
      </c>
      <c r="D887" s="0" t="s">
        <v>2421</v>
      </c>
      <c r="E887" s="14" t="n">
        <v>46274</v>
      </c>
      <c r="F887" s="14" t="n">
        <v>46253</v>
      </c>
      <c r="G887" s="0" t="s">
        <v>2422</v>
      </c>
      <c r="H887" s="0" t="n">
        <v>1677786</v>
      </c>
      <c r="I887" s="0" t="n">
        <v>11</v>
      </c>
      <c r="J887" s="0" t="s">
        <v>2276</v>
      </c>
      <c r="K887" s="15" t="n">
        <v>403</v>
      </c>
      <c r="L887" s="0" t="s">
        <v>2277</v>
      </c>
    </row>
    <row r="888" customFormat="false" ht="15" hidden="false" customHeight="true" outlineLevel="0" collapsed="false">
      <c r="A888" s="0" t="n">
        <v>2</v>
      </c>
      <c r="B888" s="0" t="n">
        <v>3898</v>
      </c>
      <c r="C888" s="0" t="s">
        <v>52</v>
      </c>
      <c r="D888" s="0" t="s">
        <v>2299</v>
      </c>
      <c r="E888" s="14" t="n">
        <v>46274</v>
      </c>
      <c r="F888" s="14" t="n">
        <v>46274</v>
      </c>
      <c r="G888" s="0" t="s">
        <v>174</v>
      </c>
      <c r="H888" s="0" t="n">
        <v>1678433</v>
      </c>
      <c r="I888" s="0" t="n">
        <v>11</v>
      </c>
      <c r="J888" s="0" t="s">
        <v>2276</v>
      </c>
      <c r="K888" s="15" t="n">
        <v>149</v>
      </c>
      <c r="L888" s="0" t="s">
        <v>2277</v>
      </c>
    </row>
    <row r="889" customFormat="false" ht="15" hidden="false" customHeight="true" outlineLevel="0" collapsed="false">
      <c r="A889" s="0" t="n">
        <v>2</v>
      </c>
      <c r="B889" s="0" t="n">
        <v>399726</v>
      </c>
      <c r="C889" s="0" t="s">
        <v>52</v>
      </c>
      <c r="D889" s="0" t="s">
        <v>2328</v>
      </c>
      <c r="E889" s="14" t="n">
        <v>46274</v>
      </c>
      <c r="F889" s="14" t="n">
        <v>46269</v>
      </c>
      <c r="G889" s="0" t="s">
        <v>77</v>
      </c>
      <c r="H889" s="0" t="n">
        <v>1676736</v>
      </c>
      <c r="I889" s="0" t="n">
        <v>11</v>
      </c>
      <c r="J889" s="0" t="s">
        <v>2276</v>
      </c>
      <c r="K889" s="15" t="n">
        <v>1169.88</v>
      </c>
      <c r="L889" s="0" t="s">
        <v>2277</v>
      </c>
    </row>
    <row r="890" customFormat="false" ht="15" hidden="false" customHeight="true" outlineLevel="0" collapsed="false">
      <c r="A890" s="0" t="n">
        <v>2</v>
      </c>
      <c r="B890" s="0" t="n">
        <v>4564</v>
      </c>
      <c r="C890" s="0" t="s">
        <v>52</v>
      </c>
      <c r="D890" s="0" t="s">
        <v>2290</v>
      </c>
      <c r="E890" s="14" t="n">
        <v>46274</v>
      </c>
      <c r="F890" s="14" t="n">
        <v>46272</v>
      </c>
      <c r="G890" s="0" t="s">
        <v>95</v>
      </c>
      <c r="H890" s="0" t="n">
        <v>1676679</v>
      </c>
      <c r="I890" s="0" t="n">
        <v>11</v>
      </c>
      <c r="J890" s="0" t="s">
        <v>2276</v>
      </c>
      <c r="K890" s="15" t="n">
        <v>258.2</v>
      </c>
      <c r="L890" s="0" t="s">
        <v>2277</v>
      </c>
    </row>
    <row r="891" customFormat="false" ht="15" hidden="false" customHeight="true" outlineLevel="0" collapsed="false">
      <c r="A891" s="0" t="n">
        <v>2</v>
      </c>
      <c r="B891" s="0" t="n">
        <v>536</v>
      </c>
      <c r="C891" s="0" t="s">
        <v>52</v>
      </c>
      <c r="D891" s="0" t="s">
        <v>2315</v>
      </c>
      <c r="E891" s="14" t="n">
        <v>46274</v>
      </c>
      <c r="F891" s="14" t="n">
        <v>46274</v>
      </c>
      <c r="G891" s="0" t="s">
        <v>340</v>
      </c>
      <c r="H891" s="0" t="n">
        <v>1681524</v>
      </c>
      <c r="I891" s="0" t="n">
        <v>11</v>
      </c>
      <c r="J891" s="0" t="s">
        <v>2276</v>
      </c>
      <c r="K891" s="15" t="n">
        <v>160.32</v>
      </c>
      <c r="L891" s="0" t="s">
        <v>2277</v>
      </c>
    </row>
    <row r="892" customFormat="false" ht="15" hidden="false" customHeight="true" outlineLevel="0" collapsed="false">
      <c r="A892" s="0" t="n">
        <v>2</v>
      </c>
      <c r="B892" s="0" t="n">
        <v>591052</v>
      </c>
      <c r="C892" s="0" t="s">
        <v>52</v>
      </c>
      <c r="D892" s="0" t="s">
        <v>2384</v>
      </c>
      <c r="E892" s="14" t="n">
        <v>46274</v>
      </c>
      <c r="F892" s="14" t="n">
        <v>46268</v>
      </c>
      <c r="G892" s="0" t="s">
        <v>119</v>
      </c>
      <c r="H892" s="0" t="n">
        <v>1678482</v>
      </c>
      <c r="I892" s="0" t="n">
        <v>11</v>
      </c>
      <c r="J892" s="0" t="s">
        <v>2276</v>
      </c>
      <c r="K892" s="15" t="n">
        <v>1719.82</v>
      </c>
      <c r="L892" s="0" t="s">
        <v>2277</v>
      </c>
    </row>
    <row r="893" customFormat="false" ht="15" hidden="false" customHeight="true" outlineLevel="0" collapsed="false">
      <c r="A893" s="0" t="n">
        <v>2</v>
      </c>
      <c r="B893" s="0" t="n">
        <v>794</v>
      </c>
      <c r="C893" s="0" t="s">
        <v>44</v>
      </c>
      <c r="D893" s="0" t="s">
        <v>2283</v>
      </c>
      <c r="E893" s="14" t="n">
        <v>46274</v>
      </c>
      <c r="F893" s="14" t="n">
        <v>46273</v>
      </c>
      <c r="G893" s="0" t="s">
        <v>204</v>
      </c>
      <c r="H893" s="0" t="n">
        <v>1677062</v>
      </c>
      <c r="I893" s="0" t="n">
        <v>11</v>
      </c>
      <c r="J893" s="0" t="s">
        <v>2276</v>
      </c>
      <c r="K893" s="15" t="n">
        <v>124.75</v>
      </c>
      <c r="L893" s="0" t="s">
        <v>2277</v>
      </c>
    </row>
    <row r="894" customFormat="false" ht="15" hidden="false" customHeight="true" outlineLevel="0" collapsed="false">
      <c r="A894" s="0" t="n">
        <v>2</v>
      </c>
      <c r="B894" s="0" t="n">
        <v>797</v>
      </c>
      <c r="C894" s="0" t="s">
        <v>44</v>
      </c>
      <c r="D894" s="0" t="s">
        <v>2283</v>
      </c>
      <c r="E894" s="14" t="n">
        <v>46274</v>
      </c>
      <c r="F894" s="14" t="n">
        <v>46273</v>
      </c>
      <c r="G894" s="0" t="s">
        <v>204</v>
      </c>
      <c r="H894" s="0" t="n">
        <v>1678720</v>
      </c>
      <c r="I894" s="0" t="n">
        <v>11</v>
      </c>
      <c r="J894" s="0" t="s">
        <v>2276</v>
      </c>
      <c r="K894" s="15" t="n">
        <v>135</v>
      </c>
      <c r="L894" s="0" t="s">
        <v>2277</v>
      </c>
    </row>
    <row r="895" customFormat="false" ht="15" hidden="false" customHeight="true" outlineLevel="0" collapsed="false">
      <c r="A895" s="0" t="n">
        <v>2</v>
      </c>
      <c r="B895" s="0" t="n">
        <v>95</v>
      </c>
      <c r="C895" s="0" t="s">
        <v>52</v>
      </c>
      <c r="D895" s="0" t="s">
        <v>2393</v>
      </c>
      <c r="E895" s="14" t="n">
        <v>46274</v>
      </c>
      <c r="F895" s="14" t="n">
        <v>46272</v>
      </c>
      <c r="G895" s="0" t="s">
        <v>911</v>
      </c>
      <c r="H895" s="0" t="n">
        <v>1676810</v>
      </c>
      <c r="I895" s="0" t="n">
        <v>11</v>
      </c>
      <c r="J895" s="0" t="s">
        <v>2276</v>
      </c>
      <c r="K895" s="15" t="n">
        <v>144</v>
      </c>
      <c r="L895" s="0" t="s">
        <v>2277</v>
      </c>
    </row>
    <row r="896" customFormat="false" ht="15" hidden="false" customHeight="true" outlineLevel="0" collapsed="false">
      <c r="A896" s="0" t="n">
        <v>2</v>
      </c>
      <c r="B896" s="0" t="n">
        <v>996851</v>
      </c>
      <c r="C896" s="0" t="s">
        <v>2340</v>
      </c>
      <c r="D896" s="0" t="s">
        <v>2341</v>
      </c>
      <c r="E896" s="14" t="n">
        <v>46274</v>
      </c>
      <c r="F896" s="14" t="n">
        <v>46269</v>
      </c>
      <c r="G896" s="0" t="s">
        <v>232</v>
      </c>
      <c r="H896" s="0" t="n">
        <v>1676852</v>
      </c>
      <c r="I896" s="0" t="n">
        <v>11</v>
      </c>
      <c r="J896" s="0" t="s">
        <v>2276</v>
      </c>
      <c r="K896" s="15" t="n">
        <v>2140.72</v>
      </c>
      <c r="L896" s="0" t="s">
        <v>2277</v>
      </c>
    </row>
    <row r="897" customFormat="false" ht="15" hidden="false" customHeight="true" outlineLevel="0" collapsed="false">
      <c r="A897" s="0" t="n">
        <v>2</v>
      </c>
      <c r="B897" s="0" t="n">
        <v>110466</v>
      </c>
      <c r="C897" s="0" t="s">
        <v>67</v>
      </c>
      <c r="D897" s="0" t="s">
        <v>2416</v>
      </c>
      <c r="E897" s="14" t="n">
        <v>46275</v>
      </c>
      <c r="F897" s="14" t="n">
        <v>46263</v>
      </c>
      <c r="G897" s="0" t="s">
        <v>2010</v>
      </c>
      <c r="H897" s="0" t="n">
        <v>1683240</v>
      </c>
      <c r="I897" s="0" t="n">
        <v>39</v>
      </c>
      <c r="J897" s="0" t="s">
        <v>2276</v>
      </c>
      <c r="K897" s="15" t="n">
        <v>174.02</v>
      </c>
      <c r="L897" s="0" t="s">
        <v>2346</v>
      </c>
    </row>
    <row r="898" customFormat="false" ht="15" hidden="false" customHeight="true" outlineLevel="0" collapsed="false">
      <c r="A898" s="0" t="n">
        <v>2</v>
      </c>
      <c r="B898" s="0" t="n">
        <v>110584</v>
      </c>
      <c r="C898" s="0" t="s">
        <v>67</v>
      </c>
      <c r="D898" s="0" t="s">
        <v>2416</v>
      </c>
      <c r="E898" s="14" t="n">
        <v>46275</v>
      </c>
      <c r="F898" s="14" t="n">
        <v>46265</v>
      </c>
      <c r="G898" s="0" t="s">
        <v>2010</v>
      </c>
      <c r="H898" s="0" t="n">
        <v>1683282</v>
      </c>
      <c r="I898" s="0" t="n">
        <v>39</v>
      </c>
      <c r="J898" s="0" t="s">
        <v>2276</v>
      </c>
      <c r="K898" s="15" t="n">
        <v>725.47</v>
      </c>
      <c r="L898" s="0" t="s">
        <v>2346</v>
      </c>
    </row>
    <row r="899" customFormat="false" ht="15" hidden="false" customHeight="true" outlineLevel="0" collapsed="false">
      <c r="A899" s="0" t="n">
        <v>2</v>
      </c>
      <c r="B899" s="0" t="n">
        <v>110737</v>
      </c>
      <c r="C899" s="0" t="s">
        <v>67</v>
      </c>
      <c r="D899" s="0" t="s">
        <v>2416</v>
      </c>
      <c r="E899" s="14" t="n">
        <v>46275</v>
      </c>
      <c r="F899" s="14" t="n">
        <v>46267</v>
      </c>
      <c r="G899" s="0" t="s">
        <v>2010</v>
      </c>
      <c r="H899" s="0" t="n">
        <v>1683253</v>
      </c>
      <c r="I899" s="0" t="n">
        <v>39</v>
      </c>
      <c r="J899" s="0" t="s">
        <v>2276</v>
      </c>
      <c r="K899" s="15" t="n">
        <v>122.57</v>
      </c>
      <c r="L899" s="0" t="s">
        <v>2346</v>
      </c>
    </row>
    <row r="900" customFormat="false" ht="15" hidden="false" customHeight="true" outlineLevel="0" collapsed="false">
      <c r="A900" s="0" t="n">
        <v>2</v>
      </c>
      <c r="B900" s="0" t="n">
        <v>111032</v>
      </c>
      <c r="C900" s="0" t="s">
        <v>67</v>
      </c>
      <c r="D900" s="0" t="s">
        <v>2416</v>
      </c>
      <c r="E900" s="14" t="n">
        <v>46275</v>
      </c>
      <c r="F900" s="14" t="n">
        <v>46272</v>
      </c>
      <c r="G900" s="0" t="s">
        <v>2010</v>
      </c>
      <c r="H900" s="0" t="n">
        <v>1683313</v>
      </c>
      <c r="I900" s="0" t="n">
        <v>39</v>
      </c>
      <c r="J900" s="0" t="s">
        <v>2276</v>
      </c>
      <c r="K900" s="15" t="n">
        <v>213.78</v>
      </c>
      <c r="L900" s="0" t="s">
        <v>2346</v>
      </c>
    </row>
    <row r="901" customFormat="false" ht="15" hidden="false" customHeight="true" outlineLevel="0" collapsed="false">
      <c r="A901" s="0" t="n">
        <v>2</v>
      </c>
      <c r="B901" s="0" t="n">
        <v>1268629</v>
      </c>
      <c r="C901" s="0" t="s">
        <v>52</v>
      </c>
      <c r="D901" s="0" t="s">
        <v>2320</v>
      </c>
      <c r="E901" s="14" t="n">
        <v>46275</v>
      </c>
      <c r="F901" s="14" t="n">
        <v>46275</v>
      </c>
      <c r="G901" s="0" t="s">
        <v>468</v>
      </c>
      <c r="H901" s="0" t="n">
        <v>1682145</v>
      </c>
      <c r="I901" s="0" t="n">
        <v>11</v>
      </c>
      <c r="J901" s="0" t="s">
        <v>2276</v>
      </c>
      <c r="K901" s="15" t="n">
        <v>458.93</v>
      </c>
      <c r="L901" s="0" t="s">
        <v>2277</v>
      </c>
    </row>
    <row r="902" customFormat="false" ht="15" hidden="false" customHeight="true" outlineLevel="0" collapsed="false">
      <c r="A902" s="0" t="n">
        <v>2</v>
      </c>
      <c r="B902" s="0" t="n">
        <v>138039</v>
      </c>
      <c r="C902" s="0" t="s">
        <v>52</v>
      </c>
      <c r="D902" s="0" t="s">
        <v>2354</v>
      </c>
      <c r="E902" s="14" t="n">
        <v>46275</v>
      </c>
      <c r="F902" s="14" t="n">
        <v>46274</v>
      </c>
      <c r="G902" s="0" t="s">
        <v>554</v>
      </c>
      <c r="H902" s="0" t="n">
        <v>1683167</v>
      </c>
      <c r="I902" s="0" t="n">
        <v>11</v>
      </c>
      <c r="J902" s="0" t="s">
        <v>2276</v>
      </c>
      <c r="K902" s="15" t="n">
        <v>243</v>
      </c>
      <c r="L902" s="0" t="s">
        <v>2277</v>
      </c>
    </row>
    <row r="903" customFormat="false" ht="15" hidden="false" customHeight="true" outlineLevel="0" collapsed="false">
      <c r="A903" s="0" t="n">
        <v>2</v>
      </c>
      <c r="B903" s="0" t="n">
        <v>15323</v>
      </c>
      <c r="C903" s="0" t="s">
        <v>52</v>
      </c>
      <c r="D903" s="0" t="s">
        <v>2278</v>
      </c>
      <c r="E903" s="14" t="n">
        <v>46275</v>
      </c>
      <c r="F903" s="14" t="n">
        <v>46274</v>
      </c>
      <c r="G903" s="0" t="s">
        <v>270</v>
      </c>
      <c r="H903" s="0" t="n">
        <v>1681773</v>
      </c>
      <c r="I903" s="0" t="n">
        <v>11</v>
      </c>
      <c r="J903" s="0" t="s">
        <v>2276</v>
      </c>
      <c r="K903" s="15" t="n">
        <v>4070</v>
      </c>
      <c r="L903" s="0" t="s">
        <v>2277</v>
      </c>
    </row>
    <row r="904" customFormat="false" ht="15" hidden="false" customHeight="true" outlineLevel="0" collapsed="false">
      <c r="A904" s="0" t="n">
        <v>2</v>
      </c>
      <c r="B904" s="0" t="n">
        <v>1544516</v>
      </c>
      <c r="C904" s="0" t="s">
        <v>52</v>
      </c>
      <c r="D904" s="0" t="s">
        <v>2423</v>
      </c>
      <c r="E904" s="14" t="n">
        <v>46275</v>
      </c>
      <c r="F904" s="14" t="n">
        <v>46275</v>
      </c>
      <c r="G904" s="0" t="s">
        <v>2013</v>
      </c>
      <c r="H904" s="0" t="n">
        <v>1683659</v>
      </c>
      <c r="I904" s="0" t="n">
        <v>39</v>
      </c>
      <c r="J904" s="0" t="s">
        <v>2276</v>
      </c>
      <c r="K904" s="15" t="n">
        <v>485.24</v>
      </c>
      <c r="L904" s="0" t="s">
        <v>2346</v>
      </c>
    </row>
    <row r="905" customFormat="false" ht="15" hidden="false" customHeight="true" outlineLevel="0" collapsed="false">
      <c r="A905" s="0" t="n">
        <v>2</v>
      </c>
      <c r="B905" s="0" t="n">
        <v>1726308</v>
      </c>
      <c r="C905" s="0" t="s">
        <v>52</v>
      </c>
      <c r="D905" s="0" t="s">
        <v>2287</v>
      </c>
      <c r="E905" s="14" t="n">
        <v>46275</v>
      </c>
      <c r="F905" s="14" t="n">
        <v>46273</v>
      </c>
      <c r="G905" s="0" t="s">
        <v>240</v>
      </c>
      <c r="H905" s="0" t="n">
        <v>1681679</v>
      </c>
      <c r="I905" s="0" t="n">
        <v>11</v>
      </c>
      <c r="J905" s="0" t="s">
        <v>2276</v>
      </c>
      <c r="K905" s="15" t="n">
        <v>2738.66</v>
      </c>
      <c r="L905" s="0" t="s">
        <v>2277</v>
      </c>
    </row>
    <row r="906" customFormat="false" ht="15" hidden="false" customHeight="true" outlineLevel="0" collapsed="false">
      <c r="A906" s="0" t="n">
        <v>2</v>
      </c>
      <c r="B906" s="0" t="n">
        <v>1726860</v>
      </c>
      <c r="C906" s="0" t="s">
        <v>52</v>
      </c>
      <c r="D906" s="0" t="s">
        <v>2287</v>
      </c>
      <c r="E906" s="14" t="n">
        <v>46275</v>
      </c>
      <c r="F906" s="14" t="n">
        <v>46274</v>
      </c>
      <c r="G906" s="0" t="s">
        <v>240</v>
      </c>
      <c r="H906" s="0" t="n">
        <v>1681554</v>
      </c>
      <c r="I906" s="0" t="n">
        <v>11</v>
      </c>
      <c r="J906" s="0" t="s">
        <v>2276</v>
      </c>
      <c r="K906" s="15" t="n">
        <v>318.78</v>
      </c>
      <c r="L906" s="0" t="s">
        <v>2277</v>
      </c>
    </row>
    <row r="907" customFormat="false" ht="15" hidden="false" customHeight="true" outlineLevel="0" collapsed="false">
      <c r="A907" s="0" t="n">
        <v>2</v>
      </c>
      <c r="B907" s="0" t="n">
        <v>174068</v>
      </c>
      <c r="C907" s="0" t="s">
        <v>102</v>
      </c>
      <c r="D907" s="0" t="s">
        <v>2424</v>
      </c>
      <c r="E907" s="14" t="n">
        <v>46275</v>
      </c>
      <c r="F907" s="14" t="n">
        <v>46274</v>
      </c>
      <c r="G907" s="0" t="s">
        <v>66</v>
      </c>
      <c r="H907" s="0" t="n">
        <v>1683589</v>
      </c>
      <c r="I907" s="0" t="n">
        <v>39</v>
      </c>
      <c r="J907" s="0" t="s">
        <v>2276</v>
      </c>
      <c r="K907" s="15" t="n">
        <v>68.98</v>
      </c>
      <c r="L907" s="0" t="s">
        <v>2346</v>
      </c>
    </row>
    <row r="908" customFormat="false" ht="15" hidden="false" customHeight="true" outlineLevel="0" collapsed="false">
      <c r="A908" s="0" t="n">
        <v>2</v>
      </c>
      <c r="B908" s="0" t="n">
        <v>1930761</v>
      </c>
      <c r="C908" s="0" t="s">
        <v>52</v>
      </c>
      <c r="D908" s="0" t="s">
        <v>2368</v>
      </c>
      <c r="E908" s="14" t="n">
        <v>46275</v>
      </c>
      <c r="F908" s="14" t="n">
        <v>46269</v>
      </c>
      <c r="G908" s="0" t="s">
        <v>871</v>
      </c>
      <c r="H908" s="0" t="n">
        <v>1681925</v>
      </c>
      <c r="I908" s="0" t="n">
        <v>11</v>
      </c>
      <c r="J908" s="0" t="s">
        <v>2276</v>
      </c>
      <c r="K908" s="15" t="n">
        <v>476.24</v>
      </c>
      <c r="L908" s="0" t="s">
        <v>2277</v>
      </c>
    </row>
    <row r="909" customFormat="false" ht="15" hidden="false" customHeight="true" outlineLevel="0" collapsed="false">
      <c r="A909" s="0" t="n">
        <v>2</v>
      </c>
      <c r="B909" s="0" t="n">
        <v>2667</v>
      </c>
      <c r="C909" s="0" t="s">
        <v>52</v>
      </c>
      <c r="D909" s="0" t="s">
        <v>2288</v>
      </c>
      <c r="E909" s="14" t="n">
        <v>46275</v>
      </c>
      <c r="F909" s="14" t="n">
        <v>46275</v>
      </c>
      <c r="G909" s="0" t="s">
        <v>153</v>
      </c>
      <c r="H909" s="0" t="n">
        <v>1682333</v>
      </c>
      <c r="I909" s="0" t="n">
        <v>6</v>
      </c>
      <c r="J909" s="0" t="s">
        <v>2276</v>
      </c>
      <c r="K909" s="15" t="n">
        <v>300</v>
      </c>
      <c r="L909" s="0" t="s">
        <v>2277</v>
      </c>
    </row>
    <row r="910" customFormat="false" ht="15" hidden="false" customHeight="true" outlineLevel="0" collapsed="false">
      <c r="A910" s="0" t="n">
        <v>2</v>
      </c>
      <c r="B910" s="0" t="n">
        <v>288543</v>
      </c>
      <c r="C910" s="0" t="s">
        <v>52</v>
      </c>
      <c r="D910" s="0" t="s">
        <v>2425</v>
      </c>
      <c r="E910" s="14" t="n">
        <v>46275</v>
      </c>
      <c r="F910" s="14" t="n">
        <v>46267</v>
      </c>
      <c r="G910" s="0" t="s">
        <v>1921</v>
      </c>
      <c r="H910" s="0" t="n">
        <v>1683380</v>
      </c>
      <c r="I910" s="0" t="n">
        <v>39</v>
      </c>
      <c r="J910" s="0" t="s">
        <v>2276</v>
      </c>
      <c r="K910" s="15" t="n">
        <v>84</v>
      </c>
      <c r="L910" s="0" t="s">
        <v>2346</v>
      </c>
    </row>
    <row r="911" customFormat="false" ht="15" hidden="false" customHeight="true" outlineLevel="0" collapsed="false">
      <c r="A911" s="0" t="n">
        <v>2</v>
      </c>
      <c r="B911" s="0" t="n">
        <v>33492</v>
      </c>
      <c r="C911" s="0" t="s">
        <v>102</v>
      </c>
      <c r="D911" s="0" t="s">
        <v>2313</v>
      </c>
      <c r="E911" s="14" t="n">
        <v>46275</v>
      </c>
      <c r="F911" s="14" t="n">
        <v>46274</v>
      </c>
      <c r="G911" s="0" t="s">
        <v>268</v>
      </c>
      <c r="H911" s="0" t="n">
        <v>1681623</v>
      </c>
      <c r="I911" s="0" t="n">
        <v>11</v>
      </c>
      <c r="J911" s="0" t="s">
        <v>2276</v>
      </c>
      <c r="K911" s="15" t="n">
        <v>4341.25</v>
      </c>
      <c r="L911" s="0" t="s">
        <v>2277</v>
      </c>
    </row>
    <row r="912" customFormat="false" ht="15" hidden="false" customHeight="true" outlineLevel="0" collapsed="false">
      <c r="A912" s="0" t="n">
        <v>2</v>
      </c>
      <c r="B912" s="0" t="n">
        <v>38204</v>
      </c>
      <c r="C912" s="0" t="s">
        <v>2076</v>
      </c>
      <c r="D912" s="0" t="s">
        <v>2313</v>
      </c>
      <c r="E912" s="14" t="n">
        <v>46275</v>
      </c>
      <c r="F912" s="14" t="n">
        <v>46274</v>
      </c>
      <c r="G912" s="0" t="s">
        <v>268</v>
      </c>
      <c r="H912" s="0" t="n">
        <v>1681642</v>
      </c>
      <c r="I912" s="0" t="n">
        <v>11</v>
      </c>
      <c r="J912" s="0" t="s">
        <v>2276</v>
      </c>
      <c r="K912" s="15" t="n">
        <v>865.52</v>
      </c>
      <c r="L912" s="0" t="s">
        <v>2277</v>
      </c>
    </row>
    <row r="913" customFormat="false" ht="15" hidden="false" customHeight="true" outlineLevel="0" collapsed="false">
      <c r="A913" s="0" t="n">
        <v>2</v>
      </c>
      <c r="B913" s="0" t="n">
        <v>448663</v>
      </c>
      <c r="C913" s="0" t="s">
        <v>44</v>
      </c>
      <c r="D913" s="0" t="s">
        <v>2426</v>
      </c>
      <c r="E913" s="14" t="n">
        <v>46275</v>
      </c>
      <c r="F913" s="14" t="n">
        <v>46267</v>
      </c>
      <c r="G913" s="0" t="s">
        <v>93</v>
      </c>
      <c r="H913" s="0" t="n">
        <v>1683259</v>
      </c>
      <c r="I913" s="0" t="n">
        <v>39</v>
      </c>
      <c r="J913" s="0" t="s">
        <v>2276</v>
      </c>
      <c r="K913" s="15" t="n">
        <v>70</v>
      </c>
      <c r="L913" s="0" t="s">
        <v>2346</v>
      </c>
    </row>
    <row r="914" customFormat="false" ht="15" hidden="false" customHeight="true" outlineLevel="0" collapsed="false">
      <c r="A914" s="0" t="n">
        <v>2</v>
      </c>
      <c r="B914" s="0" t="n">
        <v>448974</v>
      </c>
      <c r="C914" s="0" t="s">
        <v>44</v>
      </c>
      <c r="D914" s="0" t="s">
        <v>2426</v>
      </c>
      <c r="E914" s="14" t="n">
        <v>46275</v>
      </c>
      <c r="F914" s="14" t="n">
        <v>46274</v>
      </c>
      <c r="G914" s="0" t="s">
        <v>93</v>
      </c>
      <c r="H914" s="0" t="n">
        <v>1683551</v>
      </c>
      <c r="I914" s="0" t="n">
        <v>39</v>
      </c>
      <c r="J914" s="0" t="s">
        <v>2276</v>
      </c>
      <c r="K914" s="15" t="n">
        <v>60.06</v>
      </c>
      <c r="L914" s="0" t="s">
        <v>2346</v>
      </c>
    </row>
    <row r="915" customFormat="false" ht="15" hidden="false" customHeight="true" outlineLevel="0" collapsed="false">
      <c r="A915" s="0" t="n">
        <v>2</v>
      </c>
      <c r="B915" s="0" t="n">
        <v>5642</v>
      </c>
      <c r="C915" s="0" t="s">
        <v>52</v>
      </c>
      <c r="D915" s="0" t="s">
        <v>2427</v>
      </c>
      <c r="E915" s="14" t="n">
        <v>46275</v>
      </c>
      <c r="F915" s="14" t="n">
        <v>46274</v>
      </c>
      <c r="G915" s="0" t="s">
        <v>313</v>
      </c>
      <c r="H915" s="0" t="n">
        <v>1682601</v>
      </c>
      <c r="I915" s="0" t="n">
        <v>11</v>
      </c>
      <c r="J915" s="0" t="s">
        <v>2276</v>
      </c>
      <c r="K915" s="15" t="n">
        <v>2344.16</v>
      </c>
      <c r="L915" s="0" t="s">
        <v>2277</v>
      </c>
    </row>
    <row r="916" customFormat="false" ht="15" hidden="false" customHeight="true" outlineLevel="0" collapsed="false">
      <c r="A916" s="0" t="n">
        <v>2</v>
      </c>
      <c r="B916" s="0" t="n">
        <v>639283</v>
      </c>
      <c r="C916" s="0" t="s">
        <v>102</v>
      </c>
      <c r="D916" s="0" t="s">
        <v>2325</v>
      </c>
      <c r="E916" s="14" t="n">
        <v>46275</v>
      </c>
      <c r="F916" s="14" t="n">
        <v>46274</v>
      </c>
      <c r="G916" s="0" t="s">
        <v>471</v>
      </c>
      <c r="H916" s="0" t="n">
        <v>1682594</v>
      </c>
      <c r="I916" s="0" t="n">
        <v>11</v>
      </c>
      <c r="J916" s="0" t="s">
        <v>2276</v>
      </c>
      <c r="K916" s="15" t="n">
        <v>362</v>
      </c>
      <c r="L916" s="0" t="s">
        <v>2277</v>
      </c>
    </row>
    <row r="917" customFormat="false" ht="15" hidden="false" customHeight="true" outlineLevel="0" collapsed="false">
      <c r="A917" s="0" t="n">
        <v>2</v>
      </c>
      <c r="B917" s="0" t="n">
        <v>1041221</v>
      </c>
      <c r="C917" s="0" t="s">
        <v>52</v>
      </c>
      <c r="D917" s="0" t="s">
        <v>2286</v>
      </c>
      <c r="E917" s="14" t="n">
        <v>46276</v>
      </c>
      <c r="F917" s="14" t="n">
        <v>46275</v>
      </c>
      <c r="G917" s="0" t="s">
        <v>228</v>
      </c>
      <c r="H917" s="0" t="n">
        <v>1686364</v>
      </c>
      <c r="I917" s="0" t="n">
        <v>11</v>
      </c>
      <c r="J917" s="0" t="s">
        <v>2276</v>
      </c>
      <c r="K917" s="15" t="n">
        <v>311.8</v>
      </c>
      <c r="L917" s="0" t="s">
        <v>2277</v>
      </c>
    </row>
    <row r="918" customFormat="false" ht="15" hidden="false" customHeight="true" outlineLevel="0" collapsed="false">
      <c r="A918" s="0" t="n">
        <v>2</v>
      </c>
      <c r="B918" s="0" t="n">
        <v>1629386</v>
      </c>
      <c r="C918" s="0" t="s">
        <v>52</v>
      </c>
      <c r="D918" s="0" t="s">
        <v>2327</v>
      </c>
      <c r="E918" s="14" t="n">
        <v>46276</v>
      </c>
      <c r="F918" s="14" t="n">
        <v>46276</v>
      </c>
      <c r="G918" s="0" t="s">
        <v>50</v>
      </c>
      <c r="H918" s="0" t="n">
        <v>1686402</v>
      </c>
      <c r="I918" s="0" t="n">
        <v>11</v>
      </c>
      <c r="J918" s="0" t="s">
        <v>2276</v>
      </c>
      <c r="K918" s="15" t="n">
        <v>957.44</v>
      </c>
      <c r="L918" s="0" t="s">
        <v>2277</v>
      </c>
    </row>
    <row r="919" customFormat="false" ht="15" hidden="false" customHeight="true" outlineLevel="0" collapsed="false">
      <c r="A919" s="0" t="n">
        <v>2</v>
      </c>
      <c r="B919" s="0" t="n">
        <v>2668</v>
      </c>
      <c r="C919" s="0" t="s">
        <v>52</v>
      </c>
      <c r="D919" s="0" t="s">
        <v>2288</v>
      </c>
      <c r="E919" s="14" t="n">
        <v>46276</v>
      </c>
      <c r="F919" s="14" t="n">
        <v>46276</v>
      </c>
      <c r="G919" s="0" t="s">
        <v>153</v>
      </c>
      <c r="H919" s="0" t="n">
        <v>1687423</v>
      </c>
      <c r="I919" s="0" t="n">
        <v>6</v>
      </c>
      <c r="J919" s="0" t="s">
        <v>2276</v>
      </c>
      <c r="K919" s="15" t="n">
        <v>260</v>
      </c>
      <c r="L919" s="0" t="s">
        <v>2277</v>
      </c>
    </row>
    <row r="920" customFormat="false" ht="15" hidden="false" customHeight="true" outlineLevel="0" collapsed="false">
      <c r="A920" s="0" t="n">
        <v>2</v>
      </c>
      <c r="B920" s="0" t="n">
        <v>2669</v>
      </c>
      <c r="C920" s="0" t="s">
        <v>52</v>
      </c>
      <c r="D920" s="0" t="s">
        <v>2288</v>
      </c>
      <c r="E920" s="14" t="n">
        <v>46276</v>
      </c>
      <c r="F920" s="14" t="n">
        <v>46276</v>
      </c>
      <c r="G920" s="0" t="s">
        <v>153</v>
      </c>
      <c r="H920" s="0" t="n">
        <v>1687467</v>
      </c>
      <c r="I920" s="0" t="n">
        <v>6</v>
      </c>
      <c r="J920" s="0" t="s">
        <v>2276</v>
      </c>
      <c r="K920" s="15" t="n">
        <v>2174</v>
      </c>
      <c r="L920" s="0" t="s">
        <v>2277</v>
      </c>
    </row>
    <row r="921" customFormat="false" ht="15" hidden="false" customHeight="true" outlineLevel="0" collapsed="false">
      <c r="A921" s="0" t="n">
        <v>2</v>
      </c>
      <c r="B921" s="0" t="n">
        <v>278</v>
      </c>
      <c r="C921" s="0" t="s">
        <v>52</v>
      </c>
      <c r="D921" s="0" t="s">
        <v>2399</v>
      </c>
      <c r="E921" s="14" t="n">
        <v>46276</v>
      </c>
      <c r="F921" s="14" t="n">
        <v>46276</v>
      </c>
      <c r="G921" s="0" t="s">
        <v>622</v>
      </c>
      <c r="H921" s="0" t="n">
        <v>1687525</v>
      </c>
      <c r="I921" s="0" t="n">
        <v>11</v>
      </c>
      <c r="J921" s="0" t="s">
        <v>2276</v>
      </c>
      <c r="K921" s="15" t="n">
        <v>200</v>
      </c>
      <c r="L921" s="0" t="s">
        <v>2277</v>
      </c>
    </row>
    <row r="922" customFormat="false" ht="15" hidden="false" customHeight="true" outlineLevel="0" collapsed="false">
      <c r="A922" s="0" t="n">
        <v>2</v>
      </c>
      <c r="B922" s="0" t="n">
        <v>440</v>
      </c>
      <c r="C922" s="0" t="s">
        <v>52</v>
      </c>
      <c r="D922" s="0" t="s">
        <v>2311</v>
      </c>
      <c r="E922" s="14" t="n">
        <v>46276</v>
      </c>
      <c r="F922" s="14" t="n">
        <v>46276</v>
      </c>
      <c r="G922" s="0" t="s">
        <v>86</v>
      </c>
      <c r="H922" s="0" t="n">
        <v>1686469</v>
      </c>
      <c r="I922" s="0" t="n">
        <v>11</v>
      </c>
      <c r="J922" s="0" t="s">
        <v>2276</v>
      </c>
      <c r="K922" s="15" t="n">
        <v>286</v>
      </c>
      <c r="L922" s="0" t="s">
        <v>2277</v>
      </c>
    </row>
    <row r="923" customFormat="false" ht="15" hidden="false" customHeight="true" outlineLevel="0" collapsed="false">
      <c r="A923" s="0" t="n">
        <v>2</v>
      </c>
      <c r="B923" s="0" t="n">
        <v>45405</v>
      </c>
      <c r="C923" s="0" t="s">
        <v>52</v>
      </c>
      <c r="D923" s="0" t="s">
        <v>2428</v>
      </c>
      <c r="E923" s="14" t="n">
        <v>46276</v>
      </c>
      <c r="F923" s="14" t="n">
        <v>46276</v>
      </c>
      <c r="G923" s="0" t="s">
        <v>1777</v>
      </c>
      <c r="H923" s="0" t="n">
        <v>1687541</v>
      </c>
      <c r="I923" s="0" t="n">
        <v>11</v>
      </c>
      <c r="J923" s="0" t="s">
        <v>2276</v>
      </c>
      <c r="K923" s="15" t="n">
        <v>428</v>
      </c>
      <c r="L923" s="0" t="s">
        <v>2277</v>
      </c>
    </row>
    <row r="924" customFormat="false" ht="15" hidden="false" customHeight="true" outlineLevel="0" collapsed="false">
      <c r="A924" s="0" t="n">
        <v>2</v>
      </c>
      <c r="B924" s="0" t="n">
        <v>4614</v>
      </c>
      <c r="C924" s="0" t="s">
        <v>52</v>
      </c>
      <c r="D924" s="0" t="s">
        <v>2290</v>
      </c>
      <c r="E924" s="14" t="n">
        <v>46276</v>
      </c>
      <c r="F924" s="14" t="n">
        <v>46275</v>
      </c>
      <c r="G924" s="0" t="s">
        <v>95</v>
      </c>
      <c r="H924" s="0" t="n">
        <v>1687536</v>
      </c>
      <c r="I924" s="0" t="n">
        <v>11</v>
      </c>
      <c r="J924" s="0" t="s">
        <v>2276</v>
      </c>
      <c r="K924" s="15" t="n">
        <v>212.1</v>
      </c>
      <c r="L924" s="0" t="s">
        <v>2277</v>
      </c>
    </row>
    <row r="925" customFormat="false" ht="15" hidden="false" customHeight="true" outlineLevel="0" collapsed="false">
      <c r="A925" s="0" t="n">
        <v>2</v>
      </c>
      <c r="B925" s="0" t="n">
        <v>802</v>
      </c>
      <c r="C925" s="0" t="s">
        <v>44</v>
      </c>
      <c r="D925" s="0" t="s">
        <v>2283</v>
      </c>
      <c r="E925" s="14" t="n">
        <v>46276</v>
      </c>
      <c r="F925" s="14" t="n">
        <v>46275</v>
      </c>
      <c r="G925" s="0" t="s">
        <v>204</v>
      </c>
      <c r="H925" s="0" t="n">
        <v>1686374</v>
      </c>
      <c r="I925" s="0" t="n">
        <v>11</v>
      </c>
      <c r="J925" s="0" t="s">
        <v>2276</v>
      </c>
      <c r="K925" s="15" t="n">
        <v>259.75</v>
      </c>
      <c r="L925" s="0" t="s">
        <v>2277</v>
      </c>
    </row>
    <row r="926" customFormat="false" ht="15" hidden="false" customHeight="true" outlineLevel="0" collapsed="false">
      <c r="A926" s="0" t="n">
        <v>2</v>
      </c>
      <c r="B926" s="0" t="n">
        <v>871154</v>
      </c>
      <c r="C926" s="0" t="s">
        <v>52</v>
      </c>
      <c r="D926" s="0" t="s">
        <v>2326</v>
      </c>
      <c r="E926" s="14" t="n">
        <v>46276</v>
      </c>
      <c r="F926" s="14" t="n">
        <v>46275</v>
      </c>
      <c r="G926" s="0" t="s">
        <v>193</v>
      </c>
      <c r="H926" s="0" t="n">
        <v>1687573</v>
      </c>
      <c r="I926" s="0" t="n">
        <v>11</v>
      </c>
      <c r="J926" s="0" t="s">
        <v>2276</v>
      </c>
      <c r="K926" s="15" t="n">
        <v>357.22</v>
      </c>
      <c r="L926" s="0" t="s">
        <v>2277</v>
      </c>
    </row>
    <row r="927" customFormat="false" ht="15" hidden="false" customHeight="true" outlineLevel="0" collapsed="false">
      <c r="A927" s="0" t="n">
        <v>2</v>
      </c>
      <c r="B927" s="0" t="n">
        <v>1269729</v>
      </c>
      <c r="C927" s="0" t="s">
        <v>52</v>
      </c>
      <c r="D927" s="0" t="s">
        <v>2320</v>
      </c>
      <c r="E927" s="14" t="n">
        <v>46277</v>
      </c>
      <c r="F927" s="14" t="n">
        <v>46276</v>
      </c>
      <c r="G927" s="0" t="s">
        <v>468</v>
      </c>
      <c r="H927" s="0" t="n">
        <v>1688715</v>
      </c>
      <c r="I927" s="0" t="n">
        <v>11</v>
      </c>
      <c r="J927" s="0" t="s">
        <v>2276</v>
      </c>
      <c r="K927" s="15" t="n">
        <v>2311.25</v>
      </c>
      <c r="L927" s="0" t="s">
        <v>2277</v>
      </c>
    </row>
    <row r="928" customFormat="false" ht="15" hidden="false" customHeight="true" outlineLevel="0" collapsed="false">
      <c r="A928" s="0" t="n">
        <v>2</v>
      </c>
      <c r="B928" s="0" t="n">
        <v>1679032</v>
      </c>
      <c r="C928" s="0" t="s">
        <v>2280</v>
      </c>
      <c r="D928" s="0" t="s">
        <v>2281</v>
      </c>
      <c r="E928" s="14" t="n">
        <v>46277</v>
      </c>
      <c r="F928" s="14" t="n">
        <v>46276</v>
      </c>
      <c r="G928" s="0" t="s">
        <v>406</v>
      </c>
      <c r="H928" s="0" t="n">
        <v>1688709</v>
      </c>
      <c r="I928" s="0" t="n">
        <v>11</v>
      </c>
      <c r="J928" s="0" t="s">
        <v>2276</v>
      </c>
      <c r="K928" s="15" t="n">
        <v>81</v>
      </c>
      <c r="L928" s="0" t="s">
        <v>2277</v>
      </c>
    </row>
    <row r="929" customFormat="false" ht="15" hidden="false" customHeight="true" outlineLevel="0" collapsed="false">
      <c r="A929" s="0" t="n">
        <v>2</v>
      </c>
      <c r="B929" s="0" t="n">
        <v>437</v>
      </c>
      <c r="C929" s="0" t="s">
        <v>52</v>
      </c>
      <c r="D929" s="0" t="s">
        <v>2311</v>
      </c>
      <c r="E929" s="14" t="n">
        <v>46277</v>
      </c>
      <c r="F929" s="14" t="n">
        <v>46276</v>
      </c>
      <c r="G929" s="0" t="s">
        <v>86</v>
      </c>
      <c r="H929" s="0" t="n">
        <v>1688703</v>
      </c>
      <c r="I929" s="0" t="n">
        <v>11</v>
      </c>
      <c r="J929" s="0" t="s">
        <v>2276</v>
      </c>
      <c r="K929" s="15" t="n">
        <v>362</v>
      </c>
      <c r="L929" s="0" t="s">
        <v>2277</v>
      </c>
    </row>
    <row r="930" customFormat="false" ht="15" hidden="false" customHeight="true" outlineLevel="0" collapsed="false">
      <c r="A930" s="0" t="n">
        <v>2</v>
      </c>
      <c r="B930" s="0" t="n">
        <v>5521</v>
      </c>
      <c r="C930" s="0" t="s">
        <v>52</v>
      </c>
      <c r="D930" s="0" t="s">
        <v>2385</v>
      </c>
      <c r="E930" s="14" t="n">
        <v>46277</v>
      </c>
      <c r="F930" s="14" t="n">
        <v>46274</v>
      </c>
      <c r="G930" s="0" t="s">
        <v>776</v>
      </c>
      <c r="H930" s="0" t="n">
        <v>1688954</v>
      </c>
      <c r="I930" s="0" t="n">
        <v>11</v>
      </c>
      <c r="J930" s="0" t="s">
        <v>2276</v>
      </c>
      <c r="K930" s="15" t="n">
        <v>4759.82</v>
      </c>
      <c r="L930" s="0" t="s">
        <v>2277</v>
      </c>
    </row>
    <row r="931" customFormat="false" ht="15" hidden="false" customHeight="true" outlineLevel="0" collapsed="false">
      <c r="A931" s="0" t="n">
        <v>2</v>
      </c>
      <c r="B931" s="0" t="n">
        <v>6092</v>
      </c>
      <c r="C931" s="0" t="s">
        <v>52</v>
      </c>
      <c r="D931" s="0" t="s">
        <v>2302</v>
      </c>
      <c r="E931" s="14" t="n">
        <v>46277</v>
      </c>
      <c r="F931" s="14" t="n">
        <v>46275</v>
      </c>
      <c r="G931" s="0" t="s">
        <v>84</v>
      </c>
      <c r="H931" s="0" t="n">
        <v>1688781</v>
      </c>
      <c r="I931" s="0" t="n">
        <v>11</v>
      </c>
      <c r="J931" s="0" t="s">
        <v>2276</v>
      </c>
      <c r="K931" s="15" t="n">
        <v>793.3</v>
      </c>
      <c r="L931" s="0" t="s">
        <v>2277</v>
      </c>
    </row>
    <row r="932" customFormat="false" ht="15" hidden="false" customHeight="true" outlineLevel="0" collapsed="false">
      <c r="A932" s="0" t="n">
        <v>2</v>
      </c>
      <c r="B932" s="0" t="n">
        <v>654</v>
      </c>
      <c r="C932" s="0" t="s">
        <v>52</v>
      </c>
      <c r="D932" s="0" t="s">
        <v>2291</v>
      </c>
      <c r="E932" s="14" t="n">
        <v>46277</v>
      </c>
      <c r="F932" s="14" t="n">
        <v>46276</v>
      </c>
      <c r="G932" s="0" t="s">
        <v>123</v>
      </c>
      <c r="H932" s="0" t="n">
        <v>1688932</v>
      </c>
      <c r="I932" s="0" t="n">
        <v>11</v>
      </c>
      <c r="J932" s="0" t="s">
        <v>2276</v>
      </c>
      <c r="K932" s="15" t="n">
        <v>180</v>
      </c>
      <c r="L932" s="0" t="s">
        <v>2277</v>
      </c>
    </row>
    <row r="933" customFormat="false" ht="15" hidden="false" customHeight="true" outlineLevel="0" collapsed="false">
      <c r="A933" s="0" t="n">
        <v>2</v>
      </c>
      <c r="B933" s="0" t="n">
        <v>11011</v>
      </c>
      <c r="C933" s="0" t="s">
        <v>52</v>
      </c>
      <c r="D933" s="0" t="s">
        <v>2366</v>
      </c>
      <c r="E933" s="14" t="n">
        <v>46279</v>
      </c>
      <c r="F933" s="14" t="n">
        <v>46279</v>
      </c>
      <c r="G933" s="0" t="s">
        <v>212</v>
      </c>
      <c r="H933" s="0" t="n">
        <v>1702628</v>
      </c>
      <c r="I933" s="0" t="n">
        <v>11</v>
      </c>
      <c r="J933" s="0" t="s">
        <v>2276</v>
      </c>
      <c r="K933" s="15" t="n">
        <v>228</v>
      </c>
      <c r="L933" s="0" t="s">
        <v>2277</v>
      </c>
    </row>
    <row r="934" customFormat="false" ht="15" hidden="false" customHeight="true" outlineLevel="0" collapsed="false">
      <c r="A934" s="0" t="n">
        <v>2</v>
      </c>
      <c r="B934" s="0" t="n">
        <v>1288685</v>
      </c>
      <c r="C934" s="0" t="s">
        <v>80</v>
      </c>
      <c r="D934" s="0" t="s">
        <v>2275</v>
      </c>
      <c r="E934" s="14" t="n">
        <v>46279</v>
      </c>
      <c r="F934" s="14" t="n">
        <v>46276</v>
      </c>
      <c r="G934" s="0" t="s">
        <v>130</v>
      </c>
      <c r="H934" s="0" t="n">
        <v>1702794</v>
      </c>
      <c r="I934" s="0" t="n">
        <v>11</v>
      </c>
      <c r="J934" s="0" t="s">
        <v>2276</v>
      </c>
      <c r="K934" s="15" t="n">
        <v>47.37</v>
      </c>
      <c r="L934" s="0" t="s">
        <v>2277</v>
      </c>
    </row>
    <row r="935" customFormat="false" ht="15" hidden="false" customHeight="true" outlineLevel="0" collapsed="false">
      <c r="A935" s="0" t="n">
        <v>2</v>
      </c>
      <c r="B935" s="0" t="n">
        <v>1288687</v>
      </c>
      <c r="C935" s="0" t="s">
        <v>80</v>
      </c>
      <c r="D935" s="0" t="s">
        <v>2275</v>
      </c>
      <c r="E935" s="14" t="n">
        <v>46279</v>
      </c>
      <c r="F935" s="14" t="n">
        <v>46276</v>
      </c>
      <c r="G935" s="0" t="s">
        <v>130</v>
      </c>
      <c r="H935" s="0" t="n">
        <v>1702855</v>
      </c>
      <c r="I935" s="0" t="n">
        <v>11</v>
      </c>
      <c r="J935" s="0" t="s">
        <v>2276</v>
      </c>
      <c r="K935" s="15" t="n">
        <v>684.09</v>
      </c>
      <c r="L935" s="0" t="s">
        <v>2277</v>
      </c>
    </row>
    <row r="936" customFormat="false" ht="15" hidden="false" customHeight="true" outlineLevel="0" collapsed="false">
      <c r="A936" s="0" t="n">
        <v>2</v>
      </c>
      <c r="B936" s="0" t="n">
        <v>1288725</v>
      </c>
      <c r="C936" s="0" t="s">
        <v>80</v>
      </c>
      <c r="D936" s="0" t="s">
        <v>2275</v>
      </c>
      <c r="E936" s="14" t="n">
        <v>46279</v>
      </c>
      <c r="F936" s="14" t="n">
        <v>46276</v>
      </c>
      <c r="G936" s="0" t="s">
        <v>130</v>
      </c>
      <c r="H936" s="0" t="n">
        <v>1702827</v>
      </c>
      <c r="I936" s="0" t="n">
        <v>11</v>
      </c>
      <c r="J936" s="0" t="s">
        <v>2276</v>
      </c>
      <c r="K936" s="15" t="n">
        <v>355.97</v>
      </c>
      <c r="L936" s="0" t="s">
        <v>2277</v>
      </c>
    </row>
    <row r="937" customFormat="false" ht="15" hidden="false" customHeight="true" outlineLevel="0" collapsed="false">
      <c r="A937" s="0" t="n">
        <v>2</v>
      </c>
      <c r="B937" s="0" t="n">
        <v>1288792</v>
      </c>
      <c r="C937" s="0" t="s">
        <v>80</v>
      </c>
      <c r="D937" s="0" t="s">
        <v>2275</v>
      </c>
      <c r="E937" s="14" t="n">
        <v>46279</v>
      </c>
      <c r="F937" s="14" t="n">
        <v>46276</v>
      </c>
      <c r="G937" s="0" t="s">
        <v>130</v>
      </c>
      <c r="H937" s="0" t="n">
        <v>1702808</v>
      </c>
      <c r="I937" s="0" t="n">
        <v>11</v>
      </c>
      <c r="J937" s="0" t="s">
        <v>2276</v>
      </c>
      <c r="K937" s="15" t="n">
        <v>40.46</v>
      </c>
      <c r="L937" s="0" t="s">
        <v>2277</v>
      </c>
    </row>
    <row r="938" customFormat="false" ht="15" hidden="false" customHeight="true" outlineLevel="0" collapsed="false">
      <c r="A938" s="0" t="n">
        <v>2</v>
      </c>
      <c r="B938" s="0" t="n">
        <v>1449042</v>
      </c>
      <c r="C938" s="0" t="s">
        <v>52</v>
      </c>
      <c r="D938" s="0" t="s">
        <v>2331</v>
      </c>
      <c r="E938" s="14" t="n">
        <v>46279</v>
      </c>
      <c r="F938" s="14" t="n">
        <v>46279</v>
      </c>
      <c r="G938" s="0" t="s">
        <v>464</v>
      </c>
      <c r="H938" s="0" t="n">
        <v>1702483</v>
      </c>
      <c r="I938" s="0" t="n">
        <v>11</v>
      </c>
      <c r="J938" s="0" t="s">
        <v>2276</v>
      </c>
      <c r="K938" s="15" t="n">
        <v>782.78</v>
      </c>
      <c r="L938" s="0" t="s">
        <v>2277</v>
      </c>
    </row>
    <row r="939" customFormat="false" ht="15" hidden="false" customHeight="true" outlineLevel="0" collapsed="false">
      <c r="A939" s="0" t="n">
        <v>2</v>
      </c>
      <c r="B939" s="0" t="n">
        <v>15352</v>
      </c>
      <c r="C939" s="0" t="s">
        <v>52</v>
      </c>
      <c r="D939" s="0" t="s">
        <v>2278</v>
      </c>
      <c r="E939" s="14" t="n">
        <v>46279</v>
      </c>
      <c r="F939" s="14" t="n">
        <v>46277</v>
      </c>
      <c r="G939" s="0" t="s">
        <v>270</v>
      </c>
      <c r="H939" s="0" t="n">
        <v>1701594</v>
      </c>
      <c r="I939" s="0" t="n">
        <v>11</v>
      </c>
      <c r="J939" s="0" t="s">
        <v>2276</v>
      </c>
      <c r="K939" s="15" t="n">
        <v>4531.6</v>
      </c>
      <c r="L939" s="0" t="s">
        <v>2277</v>
      </c>
    </row>
    <row r="940" customFormat="false" ht="15" hidden="false" customHeight="true" outlineLevel="0" collapsed="false">
      <c r="A940" s="0" t="n">
        <v>2</v>
      </c>
      <c r="B940" s="0" t="n">
        <v>1679781</v>
      </c>
      <c r="C940" s="0" t="s">
        <v>2280</v>
      </c>
      <c r="D940" s="0" t="s">
        <v>2281</v>
      </c>
      <c r="E940" s="14" t="n">
        <v>46279</v>
      </c>
      <c r="F940" s="14" t="n">
        <v>46279</v>
      </c>
      <c r="G940" s="0" t="s">
        <v>406</v>
      </c>
      <c r="H940" s="0" t="n">
        <v>1702648</v>
      </c>
      <c r="I940" s="0" t="n">
        <v>11</v>
      </c>
      <c r="J940" s="0" t="s">
        <v>2276</v>
      </c>
      <c r="K940" s="15" t="n">
        <v>127.5</v>
      </c>
      <c r="L940" s="0" t="s">
        <v>2277</v>
      </c>
    </row>
    <row r="941" customFormat="false" ht="15" hidden="false" customHeight="true" outlineLevel="0" collapsed="false">
      <c r="A941" s="0" t="n">
        <v>2</v>
      </c>
      <c r="B941" s="0" t="n">
        <v>1679944</v>
      </c>
      <c r="C941" s="0" t="s">
        <v>2280</v>
      </c>
      <c r="D941" s="0" t="s">
        <v>2281</v>
      </c>
      <c r="E941" s="14" t="n">
        <v>46279</v>
      </c>
      <c r="F941" s="14" t="n">
        <v>46279</v>
      </c>
      <c r="G941" s="0" t="s">
        <v>406</v>
      </c>
      <c r="H941" s="0" t="n">
        <v>1702663</v>
      </c>
      <c r="I941" s="0" t="n">
        <v>11</v>
      </c>
      <c r="J941" s="0" t="s">
        <v>2276</v>
      </c>
      <c r="K941" s="15" t="n">
        <v>165</v>
      </c>
      <c r="L941" s="0" t="s">
        <v>2277</v>
      </c>
    </row>
    <row r="942" customFormat="false" ht="15" hidden="false" customHeight="true" outlineLevel="0" collapsed="false">
      <c r="A942" s="0" t="n">
        <v>2</v>
      </c>
      <c r="B942" s="0" t="n">
        <v>2039865</v>
      </c>
      <c r="C942" s="0" t="s">
        <v>36</v>
      </c>
      <c r="D942" s="0" t="s">
        <v>2275</v>
      </c>
      <c r="E942" s="14" t="n">
        <v>46279</v>
      </c>
      <c r="F942" s="14" t="n">
        <v>46276</v>
      </c>
      <c r="G942" s="0" t="s">
        <v>130</v>
      </c>
      <c r="H942" s="0" t="n">
        <v>1702772</v>
      </c>
      <c r="I942" s="0" t="n">
        <v>11</v>
      </c>
      <c r="J942" s="0" t="s">
        <v>2276</v>
      </c>
      <c r="K942" s="15" t="n">
        <v>29.85</v>
      </c>
      <c r="L942" s="0" t="s">
        <v>2277</v>
      </c>
    </row>
    <row r="943" customFormat="false" ht="15" hidden="false" customHeight="true" outlineLevel="0" collapsed="false">
      <c r="A943" s="0" t="n">
        <v>2</v>
      </c>
      <c r="B943" s="0" t="n">
        <v>2039974</v>
      </c>
      <c r="C943" s="0" t="s">
        <v>36</v>
      </c>
      <c r="D943" s="0" t="s">
        <v>2275</v>
      </c>
      <c r="E943" s="14" t="n">
        <v>46279</v>
      </c>
      <c r="F943" s="14" t="n">
        <v>46276</v>
      </c>
      <c r="G943" s="0" t="s">
        <v>130</v>
      </c>
      <c r="H943" s="0" t="n">
        <v>1702801</v>
      </c>
      <c r="I943" s="0" t="n">
        <v>11</v>
      </c>
      <c r="J943" s="0" t="s">
        <v>2276</v>
      </c>
      <c r="K943" s="15" t="n">
        <v>317.58</v>
      </c>
      <c r="L943" s="0" t="s">
        <v>2277</v>
      </c>
    </row>
    <row r="944" customFormat="false" ht="15" hidden="false" customHeight="true" outlineLevel="0" collapsed="false">
      <c r="A944" s="0" t="n">
        <v>2</v>
      </c>
      <c r="B944" s="0" t="n">
        <v>2040862</v>
      </c>
      <c r="C944" s="0" t="s">
        <v>36</v>
      </c>
      <c r="D944" s="0" t="s">
        <v>2275</v>
      </c>
      <c r="E944" s="14" t="n">
        <v>46279</v>
      </c>
      <c r="F944" s="14" t="n">
        <v>46276</v>
      </c>
      <c r="G944" s="0" t="s">
        <v>130</v>
      </c>
      <c r="H944" s="0" t="n">
        <v>1702876</v>
      </c>
      <c r="I944" s="0" t="n">
        <v>11</v>
      </c>
      <c r="J944" s="0" t="s">
        <v>2276</v>
      </c>
      <c r="K944" s="15" t="n">
        <v>2617.42</v>
      </c>
      <c r="L944" s="0" t="s">
        <v>2277</v>
      </c>
    </row>
    <row r="945" customFormat="false" ht="15" hidden="false" customHeight="true" outlineLevel="0" collapsed="false">
      <c r="A945" s="0" t="n">
        <v>2</v>
      </c>
      <c r="B945" s="0" t="n">
        <v>2670</v>
      </c>
      <c r="C945" s="0" t="s">
        <v>52</v>
      </c>
      <c r="D945" s="0" t="s">
        <v>2288</v>
      </c>
      <c r="E945" s="14" t="n">
        <v>46279</v>
      </c>
      <c r="F945" s="14" t="n">
        <v>46279</v>
      </c>
      <c r="G945" s="0" t="s">
        <v>153</v>
      </c>
      <c r="H945" s="0" t="n">
        <v>1700824</v>
      </c>
      <c r="I945" s="0" t="n">
        <v>6</v>
      </c>
      <c r="J945" s="0" t="s">
        <v>2276</v>
      </c>
      <c r="K945" s="15" t="n">
        <v>225</v>
      </c>
      <c r="L945" s="0" t="s">
        <v>2277</v>
      </c>
    </row>
    <row r="946" customFormat="false" ht="15" hidden="false" customHeight="true" outlineLevel="0" collapsed="false">
      <c r="A946" s="0" t="n">
        <v>2</v>
      </c>
      <c r="B946" s="0" t="n">
        <v>2673</v>
      </c>
      <c r="C946" s="0" t="s">
        <v>52</v>
      </c>
      <c r="D946" s="0" t="s">
        <v>2288</v>
      </c>
      <c r="E946" s="14" t="n">
        <v>46279</v>
      </c>
      <c r="F946" s="14" t="n">
        <v>46279</v>
      </c>
      <c r="G946" s="0" t="s">
        <v>153</v>
      </c>
      <c r="H946" s="0" t="n">
        <v>1702549</v>
      </c>
      <c r="I946" s="0" t="n">
        <v>6</v>
      </c>
      <c r="J946" s="0" t="s">
        <v>2276</v>
      </c>
      <c r="K946" s="15" t="n">
        <v>300</v>
      </c>
      <c r="L946" s="0" t="s">
        <v>2277</v>
      </c>
    </row>
    <row r="947" customFormat="false" ht="15" hidden="false" customHeight="true" outlineLevel="0" collapsed="false">
      <c r="A947" s="0" t="n">
        <v>2</v>
      </c>
      <c r="B947" s="0" t="n">
        <v>286</v>
      </c>
      <c r="C947" s="0" t="s">
        <v>52</v>
      </c>
      <c r="D947" s="0" t="s">
        <v>2399</v>
      </c>
      <c r="E947" s="14" t="n">
        <v>46279</v>
      </c>
      <c r="F947" s="14" t="n">
        <v>46279</v>
      </c>
      <c r="G947" s="0" t="s">
        <v>622</v>
      </c>
      <c r="H947" s="0" t="n">
        <v>1706160</v>
      </c>
      <c r="I947" s="0" t="n">
        <v>11</v>
      </c>
      <c r="J947" s="0" t="s">
        <v>2276</v>
      </c>
      <c r="K947" s="15" t="n">
        <v>140</v>
      </c>
      <c r="L947" s="0" t="s">
        <v>2277</v>
      </c>
    </row>
    <row r="948" customFormat="false" ht="15" hidden="false" customHeight="true" outlineLevel="0" collapsed="false">
      <c r="A948" s="0" t="n">
        <v>2</v>
      </c>
      <c r="B948" s="0" t="n">
        <v>35693</v>
      </c>
      <c r="C948" s="0" t="s">
        <v>67</v>
      </c>
      <c r="D948" s="0" t="s">
        <v>2379</v>
      </c>
      <c r="E948" s="14" t="n">
        <v>46279</v>
      </c>
      <c r="F948" s="14" t="n">
        <v>46276</v>
      </c>
      <c r="G948" s="0" t="s">
        <v>349</v>
      </c>
      <c r="H948" s="0" t="n">
        <v>1701738</v>
      </c>
      <c r="I948" s="0" t="n">
        <v>11</v>
      </c>
      <c r="J948" s="0" t="s">
        <v>2276</v>
      </c>
      <c r="K948" s="15" t="n">
        <v>4379.07</v>
      </c>
      <c r="L948" s="0" t="s">
        <v>2277</v>
      </c>
    </row>
    <row r="949" customFormat="false" ht="15" hidden="false" customHeight="true" outlineLevel="0" collapsed="false">
      <c r="A949" s="0" t="n">
        <v>2</v>
      </c>
      <c r="B949" s="0" t="n">
        <v>5600</v>
      </c>
      <c r="C949" s="0" t="s">
        <v>67</v>
      </c>
      <c r="D949" s="0" t="s">
        <v>2295</v>
      </c>
      <c r="E949" s="14" t="n">
        <v>46279</v>
      </c>
      <c r="F949" s="14" t="n">
        <v>46277</v>
      </c>
      <c r="G949" s="0" t="s">
        <v>128</v>
      </c>
      <c r="H949" s="0" t="n">
        <v>1700910</v>
      </c>
      <c r="I949" s="0" t="n">
        <v>11</v>
      </c>
      <c r="J949" s="0" t="s">
        <v>2276</v>
      </c>
      <c r="K949" s="15" t="n">
        <v>902.13</v>
      </c>
      <c r="L949" s="0" t="s">
        <v>2277</v>
      </c>
    </row>
    <row r="950" customFormat="false" ht="15" hidden="false" customHeight="true" outlineLevel="0" collapsed="false">
      <c r="A950" s="0" t="n">
        <v>2</v>
      </c>
      <c r="B950" s="0" t="n">
        <v>107635</v>
      </c>
      <c r="C950" s="0" t="s">
        <v>89</v>
      </c>
      <c r="D950" s="0" t="s">
        <v>2343</v>
      </c>
      <c r="E950" s="14" t="n">
        <v>46280</v>
      </c>
      <c r="F950" s="14" t="n">
        <v>46275</v>
      </c>
      <c r="G950" s="0" t="s">
        <v>668</v>
      </c>
      <c r="H950" s="0" t="n">
        <v>1706810</v>
      </c>
      <c r="I950" s="0" t="n">
        <v>11</v>
      </c>
      <c r="J950" s="0" t="s">
        <v>2276</v>
      </c>
      <c r="K950" s="15" t="n">
        <v>322.8</v>
      </c>
      <c r="L950" s="0" t="s">
        <v>2277</v>
      </c>
    </row>
    <row r="951" customFormat="false" ht="15" hidden="false" customHeight="true" outlineLevel="0" collapsed="false">
      <c r="A951" s="0" t="n">
        <v>2</v>
      </c>
      <c r="B951" s="0" t="n">
        <v>2674</v>
      </c>
      <c r="C951" s="0" t="s">
        <v>52</v>
      </c>
      <c r="D951" s="0" t="s">
        <v>2288</v>
      </c>
      <c r="E951" s="14" t="n">
        <v>46280</v>
      </c>
      <c r="F951" s="14" t="n">
        <v>46280</v>
      </c>
      <c r="G951" s="0" t="s">
        <v>153</v>
      </c>
      <c r="H951" s="0" t="n">
        <v>1706190</v>
      </c>
      <c r="I951" s="0" t="n">
        <v>6</v>
      </c>
      <c r="J951" s="0" t="s">
        <v>2276</v>
      </c>
      <c r="K951" s="15" t="n">
        <v>570</v>
      </c>
      <c r="L951" s="0" t="s">
        <v>2277</v>
      </c>
    </row>
    <row r="952" customFormat="false" ht="15" hidden="false" customHeight="true" outlineLevel="0" collapsed="false">
      <c r="A952" s="0" t="n">
        <v>2</v>
      </c>
      <c r="B952" s="0" t="n">
        <v>2676</v>
      </c>
      <c r="C952" s="0" t="s">
        <v>52</v>
      </c>
      <c r="D952" s="0" t="s">
        <v>2288</v>
      </c>
      <c r="E952" s="14" t="n">
        <v>46280</v>
      </c>
      <c r="F952" s="14" t="n">
        <v>46280</v>
      </c>
      <c r="G952" s="0" t="s">
        <v>153</v>
      </c>
      <c r="H952" s="0" t="n">
        <v>1706918</v>
      </c>
      <c r="I952" s="0" t="n">
        <v>6</v>
      </c>
      <c r="J952" s="0" t="s">
        <v>2276</v>
      </c>
      <c r="K952" s="15" t="n">
        <v>1758</v>
      </c>
      <c r="L952" s="0" t="s">
        <v>2277</v>
      </c>
    </row>
    <row r="953" customFormat="false" ht="15" hidden="false" customHeight="true" outlineLevel="0" collapsed="false">
      <c r="A953" s="0" t="n">
        <v>2</v>
      </c>
      <c r="B953" s="0" t="n">
        <v>2677</v>
      </c>
      <c r="C953" s="0" t="s">
        <v>52</v>
      </c>
      <c r="D953" s="0" t="s">
        <v>2288</v>
      </c>
      <c r="E953" s="14" t="n">
        <v>46280</v>
      </c>
      <c r="F953" s="14" t="n">
        <v>46280</v>
      </c>
      <c r="G953" s="0" t="s">
        <v>153</v>
      </c>
      <c r="H953" s="0" t="n">
        <v>1707364</v>
      </c>
      <c r="I953" s="0" t="n">
        <v>6</v>
      </c>
      <c r="J953" s="0" t="s">
        <v>2276</v>
      </c>
      <c r="K953" s="15" t="n">
        <v>300</v>
      </c>
      <c r="L953" s="0" t="s">
        <v>2277</v>
      </c>
    </row>
    <row r="954" customFormat="false" ht="15" hidden="false" customHeight="true" outlineLevel="0" collapsed="false">
      <c r="A954" s="0" t="n">
        <v>2</v>
      </c>
      <c r="B954" s="0" t="n">
        <v>383</v>
      </c>
      <c r="C954" s="0" t="s">
        <v>52</v>
      </c>
      <c r="D954" s="0" t="s">
        <v>2289</v>
      </c>
      <c r="E954" s="14" t="n">
        <v>46280</v>
      </c>
      <c r="F954" s="14" t="n">
        <v>46277</v>
      </c>
      <c r="G954" s="0" t="s">
        <v>216</v>
      </c>
      <c r="H954" s="0" t="n">
        <v>1706668</v>
      </c>
      <c r="I954" s="0" t="n">
        <v>11</v>
      </c>
      <c r="J954" s="0" t="s">
        <v>2276</v>
      </c>
      <c r="K954" s="15" t="n">
        <v>769.5</v>
      </c>
      <c r="L954" s="0" t="s">
        <v>2277</v>
      </c>
    </row>
    <row r="955" customFormat="false" ht="15" hidden="false" customHeight="true" outlineLevel="0" collapsed="false">
      <c r="A955" s="0" t="n">
        <v>2</v>
      </c>
      <c r="B955" s="0" t="n">
        <v>400026</v>
      </c>
      <c r="C955" s="0" t="s">
        <v>52</v>
      </c>
      <c r="D955" s="0" t="s">
        <v>2328</v>
      </c>
      <c r="E955" s="14" t="n">
        <v>46280</v>
      </c>
      <c r="F955" s="14" t="n">
        <v>46279</v>
      </c>
      <c r="G955" s="0" t="s">
        <v>77</v>
      </c>
      <c r="H955" s="0" t="n">
        <v>1707152</v>
      </c>
      <c r="I955" s="0" t="n">
        <v>11</v>
      </c>
      <c r="J955" s="0" t="s">
        <v>2276</v>
      </c>
      <c r="K955" s="15" t="n">
        <v>2180.43</v>
      </c>
      <c r="L955" s="0" t="s">
        <v>2277</v>
      </c>
    </row>
    <row r="956" customFormat="false" ht="15" hidden="false" customHeight="true" outlineLevel="0" collapsed="false">
      <c r="A956" s="0" t="n">
        <v>2</v>
      </c>
      <c r="B956" s="0" t="n">
        <v>573768</v>
      </c>
      <c r="C956" s="0" t="s">
        <v>2316</v>
      </c>
      <c r="D956" s="0" t="s">
        <v>2317</v>
      </c>
      <c r="E956" s="14" t="n">
        <v>46280</v>
      </c>
      <c r="F956" s="14" t="n">
        <v>46276</v>
      </c>
      <c r="G956" s="0" t="s">
        <v>266</v>
      </c>
      <c r="H956" s="0" t="n">
        <v>1706844</v>
      </c>
      <c r="I956" s="0" t="n">
        <v>11</v>
      </c>
      <c r="J956" s="0" t="s">
        <v>2276</v>
      </c>
      <c r="K956" s="15" t="n">
        <v>8432.49</v>
      </c>
      <c r="L956" s="0" t="s">
        <v>2277</v>
      </c>
    </row>
    <row r="957" customFormat="false" ht="15" hidden="false" customHeight="true" outlineLevel="0" collapsed="false">
      <c r="A957" s="0" t="n">
        <v>2</v>
      </c>
      <c r="B957" s="0" t="n">
        <v>1681547</v>
      </c>
      <c r="C957" s="0" t="s">
        <v>2280</v>
      </c>
      <c r="D957" s="0" t="s">
        <v>2281</v>
      </c>
      <c r="E957" s="14" t="n">
        <v>46281</v>
      </c>
      <c r="F957" s="14" t="n">
        <v>46281</v>
      </c>
      <c r="G957" s="0" t="s">
        <v>406</v>
      </c>
      <c r="H957" s="0" t="n">
        <v>1712033</v>
      </c>
      <c r="I957" s="0" t="n">
        <v>11</v>
      </c>
      <c r="J957" s="0" t="s">
        <v>2276</v>
      </c>
      <c r="K957" s="15" t="n">
        <v>122</v>
      </c>
      <c r="L957" s="0" t="s">
        <v>2277</v>
      </c>
    </row>
    <row r="958" customFormat="false" ht="15" hidden="false" customHeight="true" outlineLevel="0" collapsed="false">
      <c r="A958" s="0" t="n">
        <v>2</v>
      </c>
      <c r="B958" s="0" t="n">
        <v>2678</v>
      </c>
      <c r="C958" s="0" t="s">
        <v>52</v>
      </c>
      <c r="D958" s="0" t="s">
        <v>2288</v>
      </c>
      <c r="E958" s="14" t="n">
        <v>46281</v>
      </c>
      <c r="F958" s="14" t="n">
        <v>46281</v>
      </c>
      <c r="G958" s="0" t="s">
        <v>153</v>
      </c>
      <c r="H958" s="0" t="n">
        <v>1711583</v>
      </c>
      <c r="I958" s="0" t="n">
        <v>6</v>
      </c>
      <c r="J958" s="0" t="s">
        <v>2276</v>
      </c>
      <c r="K958" s="15" t="n">
        <v>300</v>
      </c>
      <c r="L958" s="0" t="s">
        <v>2277</v>
      </c>
    </row>
    <row r="959" customFormat="false" ht="15" hidden="false" customHeight="true" outlineLevel="0" collapsed="false">
      <c r="A959" s="0" t="n">
        <v>2</v>
      </c>
      <c r="B959" s="0" t="n">
        <v>3941</v>
      </c>
      <c r="C959" s="0" t="s">
        <v>52</v>
      </c>
      <c r="D959" s="0" t="s">
        <v>2299</v>
      </c>
      <c r="E959" s="14" t="n">
        <v>46281</v>
      </c>
      <c r="F959" s="14" t="n">
        <v>46281</v>
      </c>
      <c r="G959" s="0" t="s">
        <v>174</v>
      </c>
      <c r="H959" s="0" t="n">
        <v>1711569</v>
      </c>
      <c r="I959" s="0" t="n">
        <v>11</v>
      </c>
      <c r="J959" s="0" t="s">
        <v>2276</v>
      </c>
      <c r="K959" s="15" t="n">
        <v>128</v>
      </c>
      <c r="L959" s="0" t="s">
        <v>2277</v>
      </c>
    </row>
    <row r="960" customFormat="false" ht="15" hidden="false" customHeight="true" outlineLevel="0" collapsed="false">
      <c r="A960" s="0" t="n">
        <v>2</v>
      </c>
      <c r="B960" s="0" t="n">
        <v>644000</v>
      </c>
      <c r="C960" s="0" t="s">
        <v>102</v>
      </c>
      <c r="D960" s="0" t="s">
        <v>2325</v>
      </c>
      <c r="E960" s="14" t="n">
        <v>46281</v>
      </c>
      <c r="F960" s="14" t="n">
        <v>46280</v>
      </c>
      <c r="G960" s="0" t="s">
        <v>471</v>
      </c>
      <c r="H960" s="0" t="n">
        <v>1711599</v>
      </c>
      <c r="I960" s="0" t="n">
        <v>11</v>
      </c>
      <c r="J960" s="0" t="s">
        <v>2276</v>
      </c>
      <c r="K960" s="15" t="n">
        <v>240</v>
      </c>
      <c r="L960" s="0" t="s">
        <v>2277</v>
      </c>
    </row>
    <row r="961" customFormat="false" ht="15" hidden="false" customHeight="true" outlineLevel="0" collapsed="false">
      <c r="A961" s="0" t="n">
        <v>2</v>
      </c>
      <c r="B961" s="0" t="n">
        <v>81837</v>
      </c>
      <c r="C961" s="0" t="s">
        <v>52</v>
      </c>
      <c r="D961" s="0" t="s">
        <v>2383</v>
      </c>
      <c r="E961" s="14" t="n">
        <v>46281</v>
      </c>
      <c r="F961" s="14" t="n">
        <v>46274</v>
      </c>
      <c r="G961" s="0" t="s">
        <v>825</v>
      </c>
      <c r="H961" s="0" t="n">
        <v>1710545</v>
      </c>
      <c r="I961" s="0" t="n">
        <v>11</v>
      </c>
      <c r="J961" s="0" t="s">
        <v>2276</v>
      </c>
      <c r="K961" s="15" t="n">
        <v>488.94</v>
      </c>
      <c r="L961" s="0" t="s">
        <v>2277</v>
      </c>
    </row>
    <row r="962" customFormat="false" ht="15" hidden="false" customHeight="true" outlineLevel="0" collapsed="false">
      <c r="A962" s="0" t="n">
        <v>2</v>
      </c>
      <c r="B962" s="0" t="n">
        <v>1448339</v>
      </c>
      <c r="C962" s="0" t="s">
        <v>52</v>
      </c>
      <c r="D962" s="0" t="s">
        <v>2331</v>
      </c>
      <c r="E962" s="14" t="n">
        <v>46282</v>
      </c>
      <c r="F962" s="14" t="n">
        <v>46275</v>
      </c>
      <c r="G962" s="0" t="s">
        <v>464</v>
      </c>
      <c r="H962" s="0" t="n">
        <v>1716044</v>
      </c>
      <c r="I962" s="0" t="n">
        <v>11</v>
      </c>
      <c r="J962" s="0" t="s">
        <v>2276</v>
      </c>
      <c r="K962" s="15" t="n">
        <v>935.81</v>
      </c>
      <c r="L962" s="0" t="s">
        <v>2277</v>
      </c>
    </row>
    <row r="963" customFormat="false" ht="15" hidden="false" customHeight="true" outlineLevel="0" collapsed="false">
      <c r="A963" s="0" t="n">
        <v>2</v>
      </c>
      <c r="B963" s="0" t="n">
        <v>1936305</v>
      </c>
      <c r="C963" s="0" t="s">
        <v>52</v>
      </c>
      <c r="D963" s="0" t="s">
        <v>2368</v>
      </c>
      <c r="E963" s="14" t="n">
        <v>46282</v>
      </c>
      <c r="F963" s="14" t="n">
        <v>46277</v>
      </c>
      <c r="G963" s="0" t="s">
        <v>871</v>
      </c>
      <c r="H963" s="0" t="n">
        <v>1716166</v>
      </c>
      <c r="I963" s="0" t="n">
        <v>11</v>
      </c>
      <c r="J963" s="0" t="s">
        <v>2276</v>
      </c>
      <c r="K963" s="15" t="n">
        <v>1043.2</v>
      </c>
      <c r="L963" s="0" t="s">
        <v>2277</v>
      </c>
    </row>
    <row r="964" customFormat="false" ht="15" hidden="false" customHeight="true" outlineLevel="0" collapsed="false">
      <c r="A964" s="0" t="n">
        <v>2</v>
      </c>
      <c r="B964" s="0" t="n">
        <v>1936306</v>
      </c>
      <c r="C964" s="0" t="s">
        <v>52</v>
      </c>
      <c r="D964" s="0" t="s">
        <v>2368</v>
      </c>
      <c r="E964" s="14" t="n">
        <v>46282</v>
      </c>
      <c r="F964" s="14" t="n">
        <v>46277</v>
      </c>
      <c r="G964" s="0" t="s">
        <v>871</v>
      </c>
      <c r="H964" s="0" t="n">
        <v>1716140</v>
      </c>
      <c r="I964" s="0" t="n">
        <v>11</v>
      </c>
      <c r="J964" s="0" t="s">
        <v>2276</v>
      </c>
      <c r="K964" s="15" t="n">
        <v>787.4</v>
      </c>
      <c r="L964" s="0" t="s">
        <v>2277</v>
      </c>
    </row>
    <row r="965" customFormat="false" ht="15" hidden="false" customHeight="true" outlineLevel="0" collapsed="false">
      <c r="A965" s="0" t="n">
        <v>2</v>
      </c>
      <c r="B965" s="0" t="n">
        <v>1936307</v>
      </c>
      <c r="C965" s="0" t="s">
        <v>52</v>
      </c>
      <c r="D965" s="0" t="s">
        <v>2368</v>
      </c>
      <c r="E965" s="14" t="n">
        <v>46282</v>
      </c>
      <c r="F965" s="14" t="n">
        <v>46277</v>
      </c>
      <c r="G965" s="0" t="s">
        <v>871</v>
      </c>
      <c r="H965" s="0" t="n">
        <v>1716127</v>
      </c>
      <c r="I965" s="0" t="n">
        <v>11</v>
      </c>
      <c r="J965" s="0" t="s">
        <v>2276</v>
      </c>
      <c r="K965" s="15" t="n">
        <v>787.4</v>
      </c>
      <c r="L965" s="0" t="s">
        <v>2277</v>
      </c>
    </row>
    <row r="966" customFormat="false" ht="15" hidden="false" customHeight="true" outlineLevel="0" collapsed="false">
      <c r="A966" s="0" t="n">
        <v>2</v>
      </c>
      <c r="B966" s="0" t="n">
        <v>304</v>
      </c>
      <c r="C966" s="0" t="s">
        <v>52</v>
      </c>
      <c r="D966" s="0" t="s">
        <v>2399</v>
      </c>
      <c r="E966" s="14" t="n">
        <v>46282</v>
      </c>
      <c r="F966" s="14" t="n">
        <v>46282</v>
      </c>
      <c r="G966" s="0" t="s">
        <v>622</v>
      </c>
      <c r="H966" s="0" t="n">
        <v>1719843</v>
      </c>
      <c r="I966" s="0" t="n">
        <v>11</v>
      </c>
      <c r="J966" s="0" t="s">
        <v>2276</v>
      </c>
      <c r="K966" s="15" t="n">
        <v>200</v>
      </c>
      <c r="L966" s="0" t="s">
        <v>2277</v>
      </c>
    </row>
    <row r="967" customFormat="false" ht="15" hidden="false" customHeight="true" outlineLevel="0" collapsed="false">
      <c r="A967" s="0" t="n">
        <v>2</v>
      </c>
      <c r="B967" s="0" t="n">
        <v>32429</v>
      </c>
      <c r="C967" s="0" t="s">
        <v>52</v>
      </c>
      <c r="D967" s="0" t="s">
        <v>2294</v>
      </c>
      <c r="E967" s="14" t="n">
        <v>46282</v>
      </c>
      <c r="F967" s="14" t="n">
        <v>46282</v>
      </c>
      <c r="G967" s="0" t="s">
        <v>147</v>
      </c>
      <c r="H967" s="0" t="n">
        <v>1715464</v>
      </c>
      <c r="I967" s="0" t="n">
        <v>11</v>
      </c>
      <c r="J967" s="0" t="s">
        <v>2276</v>
      </c>
      <c r="K967" s="15" t="n">
        <v>199</v>
      </c>
      <c r="L967" s="0" t="s">
        <v>2277</v>
      </c>
    </row>
    <row r="968" customFormat="false" ht="15" hidden="false" customHeight="true" outlineLevel="0" collapsed="false">
      <c r="A968" s="0" t="n">
        <v>2</v>
      </c>
      <c r="B968" s="0" t="n">
        <v>33639</v>
      </c>
      <c r="C968" s="0" t="s">
        <v>102</v>
      </c>
      <c r="D968" s="0" t="s">
        <v>2313</v>
      </c>
      <c r="E968" s="14" t="n">
        <v>46282</v>
      </c>
      <c r="F968" s="14" t="n">
        <v>46282</v>
      </c>
      <c r="G968" s="0" t="s">
        <v>268</v>
      </c>
      <c r="H968" s="0" t="n">
        <v>1715681</v>
      </c>
      <c r="I968" s="0" t="n">
        <v>11</v>
      </c>
      <c r="J968" s="0" t="s">
        <v>2276</v>
      </c>
      <c r="K968" s="15" t="n">
        <v>1277</v>
      </c>
      <c r="L968" s="0" t="s">
        <v>2277</v>
      </c>
    </row>
    <row r="969" customFormat="false" ht="15" hidden="false" customHeight="true" outlineLevel="0" collapsed="false">
      <c r="A969" s="0" t="n">
        <v>2</v>
      </c>
      <c r="B969" s="0" t="n">
        <v>807</v>
      </c>
      <c r="C969" s="0" t="s">
        <v>44</v>
      </c>
      <c r="D969" s="0" t="s">
        <v>2283</v>
      </c>
      <c r="E969" s="14" t="n">
        <v>46282</v>
      </c>
      <c r="F969" s="14" t="n">
        <v>46281</v>
      </c>
      <c r="G969" s="0" t="s">
        <v>204</v>
      </c>
      <c r="H969" s="0" t="n">
        <v>1715428</v>
      </c>
      <c r="I969" s="0" t="n">
        <v>11</v>
      </c>
      <c r="J969" s="0" t="s">
        <v>2276</v>
      </c>
      <c r="K969" s="15" t="n">
        <v>159.95</v>
      </c>
      <c r="L969" s="0" t="s">
        <v>2277</v>
      </c>
    </row>
    <row r="970" customFormat="false" ht="15" hidden="false" customHeight="true" outlineLevel="0" collapsed="false">
      <c r="A970" s="0" t="n">
        <v>2</v>
      </c>
      <c r="B970" s="0" t="n">
        <v>895938</v>
      </c>
      <c r="C970" s="0" t="s">
        <v>52</v>
      </c>
      <c r="D970" s="0" t="s">
        <v>2342</v>
      </c>
      <c r="E970" s="14" t="n">
        <v>46282</v>
      </c>
      <c r="F970" s="14" t="n">
        <v>46279</v>
      </c>
      <c r="G970" s="0" t="s">
        <v>214</v>
      </c>
      <c r="H970" s="0" t="n">
        <v>1714637</v>
      </c>
      <c r="I970" s="0" t="n">
        <v>11</v>
      </c>
      <c r="J970" s="0" t="s">
        <v>2276</v>
      </c>
      <c r="K970" s="15" t="n">
        <v>3364.08</v>
      </c>
      <c r="L970" s="0" t="s">
        <v>2277</v>
      </c>
    </row>
    <row r="971" customFormat="false" ht="15" hidden="false" customHeight="true" outlineLevel="0" collapsed="false">
      <c r="A971" s="0" t="n">
        <v>2</v>
      </c>
      <c r="B971" s="0" t="n">
        <v>1042436</v>
      </c>
      <c r="C971" s="0" t="s">
        <v>52</v>
      </c>
      <c r="D971" s="0" t="s">
        <v>2286</v>
      </c>
      <c r="E971" s="14" t="n">
        <v>46283</v>
      </c>
      <c r="F971" s="14" t="n">
        <v>46282</v>
      </c>
      <c r="G971" s="0" t="s">
        <v>228</v>
      </c>
      <c r="H971" s="0" t="n">
        <v>1719398</v>
      </c>
      <c r="I971" s="0" t="n">
        <v>11</v>
      </c>
      <c r="J971" s="0" t="s">
        <v>2276</v>
      </c>
      <c r="K971" s="15" t="n">
        <v>331.39</v>
      </c>
      <c r="L971" s="0" t="s">
        <v>2277</v>
      </c>
    </row>
    <row r="972" customFormat="false" ht="15" hidden="false" customHeight="true" outlineLevel="0" collapsed="false">
      <c r="A972" s="0" t="n">
        <v>2</v>
      </c>
      <c r="B972" s="0" t="n">
        <v>11681</v>
      </c>
      <c r="C972" s="0" t="s">
        <v>52</v>
      </c>
      <c r="D972" s="0" t="s">
        <v>2376</v>
      </c>
      <c r="E972" s="14" t="n">
        <v>46283</v>
      </c>
      <c r="F972" s="14" t="n">
        <v>46275</v>
      </c>
      <c r="G972" s="0" t="s">
        <v>281</v>
      </c>
      <c r="H972" s="0" t="n">
        <v>1720015</v>
      </c>
      <c r="I972" s="0" t="n">
        <v>11</v>
      </c>
      <c r="J972" s="0" t="s">
        <v>2276</v>
      </c>
      <c r="K972" s="15" t="n">
        <v>4719.47</v>
      </c>
      <c r="L972" s="0" t="s">
        <v>2277</v>
      </c>
    </row>
    <row r="973" customFormat="false" ht="15" hidden="false" customHeight="true" outlineLevel="0" collapsed="false">
      <c r="A973" s="0" t="n">
        <v>2</v>
      </c>
      <c r="B973" s="0" t="n">
        <v>1294293</v>
      </c>
      <c r="C973" s="0" t="s">
        <v>80</v>
      </c>
      <c r="D973" s="0" t="s">
        <v>2275</v>
      </c>
      <c r="E973" s="14" t="n">
        <v>46283</v>
      </c>
      <c r="F973" s="14" t="n">
        <v>46281</v>
      </c>
      <c r="G973" s="0" t="s">
        <v>130</v>
      </c>
      <c r="H973" s="0" t="n">
        <v>1720682</v>
      </c>
      <c r="I973" s="0" t="n">
        <v>11</v>
      </c>
      <c r="J973" s="0" t="s">
        <v>2276</v>
      </c>
      <c r="K973" s="15" t="n">
        <v>176.67</v>
      </c>
      <c r="L973" s="0" t="s">
        <v>2277</v>
      </c>
    </row>
    <row r="974" customFormat="false" ht="15" hidden="false" customHeight="true" outlineLevel="0" collapsed="false">
      <c r="A974" s="0" t="n">
        <v>2</v>
      </c>
      <c r="B974" s="0" t="n">
        <v>1295018</v>
      </c>
      <c r="C974" s="0" t="s">
        <v>80</v>
      </c>
      <c r="D974" s="0" t="s">
        <v>2275</v>
      </c>
      <c r="E974" s="14" t="n">
        <v>46283</v>
      </c>
      <c r="F974" s="14" t="n">
        <v>46281</v>
      </c>
      <c r="G974" s="0" t="s">
        <v>130</v>
      </c>
      <c r="H974" s="0" t="n">
        <v>1720639</v>
      </c>
      <c r="I974" s="0" t="n">
        <v>11</v>
      </c>
      <c r="J974" s="0" t="s">
        <v>2276</v>
      </c>
      <c r="K974" s="15" t="n">
        <v>915.39</v>
      </c>
      <c r="L974" s="0" t="s">
        <v>2277</v>
      </c>
    </row>
    <row r="975" customFormat="false" ht="15" hidden="false" customHeight="true" outlineLevel="0" collapsed="false">
      <c r="A975" s="0" t="n">
        <v>2</v>
      </c>
      <c r="B975" s="0" t="n">
        <v>15388</v>
      </c>
      <c r="C975" s="0" t="s">
        <v>52</v>
      </c>
      <c r="D975" s="0" t="s">
        <v>2278</v>
      </c>
      <c r="E975" s="14" t="n">
        <v>46283</v>
      </c>
      <c r="F975" s="14" t="n">
        <v>46282</v>
      </c>
      <c r="G975" s="0" t="s">
        <v>270</v>
      </c>
      <c r="H975" s="0" t="n">
        <v>1720586</v>
      </c>
      <c r="I975" s="0" t="n">
        <v>11</v>
      </c>
      <c r="J975" s="0" t="s">
        <v>2276</v>
      </c>
      <c r="K975" s="15" t="n">
        <v>3442.4</v>
      </c>
      <c r="L975" s="0" t="s">
        <v>2277</v>
      </c>
    </row>
    <row r="976" customFormat="false" ht="15" hidden="false" customHeight="true" outlineLevel="0" collapsed="false">
      <c r="A976" s="0" t="n">
        <v>2</v>
      </c>
      <c r="B976" s="0" t="n">
        <v>16306</v>
      </c>
      <c r="C976" s="0" t="s">
        <v>2429</v>
      </c>
      <c r="D976" s="0" t="s">
        <v>2341</v>
      </c>
      <c r="E976" s="14" t="n">
        <v>46283</v>
      </c>
      <c r="F976" s="14" t="n">
        <v>46282</v>
      </c>
      <c r="G976" s="0" t="s">
        <v>232</v>
      </c>
      <c r="H976" s="0" t="n">
        <v>1721069</v>
      </c>
      <c r="I976" s="0" t="n">
        <v>11</v>
      </c>
      <c r="J976" s="0" t="s">
        <v>2276</v>
      </c>
      <c r="K976" s="15" t="n">
        <v>1321.69</v>
      </c>
      <c r="L976" s="0" t="s">
        <v>2277</v>
      </c>
    </row>
    <row r="977" customFormat="false" ht="15" hidden="false" customHeight="true" outlineLevel="0" collapsed="false">
      <c r="A977" s="0" t="n">
        <v>2</v>
      </c>
      <c r="B977" s="0" t="n">
        <v>1632482</v>
      </c>
      <c r="C977" s="0" t="s">
        <v>52</v>
      </c>
      <c r="D977" s="0" t="s">
        <v>2327</v>
      </c>
      <c r="E977" s="14" t="n">
        <v>46283</v>
      </c>
      <c r="F977" s="14" t="n">
        <v>46283</v>
      </c>
      <c r="G977" s="0" t="s">
        <v>50</v>
      </c>
      <c r="H977" s="0" t="n">
        <v>1720786</v>
      </c>
      <c r="I977" s="0" t="n">
        <v>11</v>
      </c>
      <c r="J977" s="0" t="s">
        <v>2276</v>
      </c>
      <c r="K977" s="15" t="n">
        <v>906.73</v>
      </c>
      <c r="L977" s="0" t="s">
        <v>2277</v>
      </c>
    </row>
    <row r="978" customFormat="false" ht="15" hidden="false" customHeight="true" outlineLevel="0" collapsed="false">
      <c r="A978" s="0" t="n">
        <v>2</v>
      </c>
      <c r="B978" s="0" t="n">
        <v>2047847</v>
      </c>
      <c r="C978" s="0" t="s">
        <v>36</v>
      </c>
      <c r="D978" s="0" t="s">
        <v>2275</v>
      </c>
      <c r="E978" s="14" t="n">
        <v>46283</v>
      </c>
      <c r="F978" s="14" t="n">
        <v>46281</v>
      </c>
      <c r="G978" s="0" t="s">
        <v>130</v>
      </c>
      <c r="H978" s="0" t="n">
        <v>1720694</v>
      </c>
      <c r="I978" s="0" t="n">
        <v>11</v>
      </c>
      <c r="J978" s="0" t="s">
        <v>2276</v>
      </c>
      <c r="K978" s="15" t="n">
        <v>3065.9</v>
      </c>
      <c r="L978" s="0" t="s">
        <v>2277</v>
      </c>
    </row>
    <row r="979" customFormat="false" ht="15" hidden="false" customHeight="true" outlineLevel="0" collapsed="false">
      <c r="A979" s="0" t="n">
        <v>2</v>
      </c>
      <c r="B979" s="0" t="n">
        <v>2679</v>
      </c>
      <c r="C979" s="0" t="s">
        <v>52</v>
      </c>
      <c r="D979" s="0" t="s">
        <v>2288</v>
      </c>
      <c r="E979" s="14" t="n">
        <v>46283</v>
      </c>
      <c r="F979" s="14" t="n">
        <v>46283</v>
      </c>
      <c r="G979" s="0" t="s">
        <v>153</v>
      </c>
      <c r="H979" s="0" t="n">
        <v>1720478</v>
      </c>
      <c r="I979" s="0" t="n">
        <v>6</v>
      </c>
      <c r="J979" s="0" t="s">
        <v>2276</v>
      </c>
      <c r="K979" s="15" t="n">
        <v>120</v>
      </c>
      <c r="L979" s="0" t="s">
        <v>2277</v>
      </c>
    </row>
    <row r="980" customFormat="false" ht="15" hidden="false" customHeight="true" outlineLevel="0" collapsed="false">
      <c r="A980" s="0" t="n">
        <v>2</v>
      </c>
      <c r="B980" s="0" t="n">
        <v>2683</v>
      </c>
      <c r="C980" s="0" t="s">
        <v>52</v>
      </c>
      <c r="D980" s="0" t="s">
        <v>2288</v>
      </c>
      <c r="E980" s="14" t="n">
        <v>46283</v>
      </c>
      <c r="F980" s="14" t="n">
        <v>46283</v>
      </c>
      <c r="G980" s="0" t="s">
        <v>153</v>
      </c>
      <c r="H980" s="0" t="n">
        <v>1720951</v>
      </c>
      <c r="I980" s="0" t="n">
        <v>6</v>
      </c>
      <c r="J980" s="0" t="s">
        <v>2276</v>
      </c>
      <c r="K980" s="15" t="n">
        <v>1561.5</v>
      </c>
      <c r="L980" s="0" t="s">
        <v>2277</v>
      </c>
    </row>
    <row r="981" customFormat="false" ht="15" hidden="false" customHeight="true" outlineLevel="0" collapsed="false">
      <c r="A981" s="0" t="n">
        <v>2</v>
      </c>
      <c r="B981" s="0" t="n">
        <v>321762</v>
      </c>
      <c r="C981" s="0" t="s">
        <v>52</v>
      </c>
      <c r="D981" s="0" t="s">
        <v>2298</v>
      </c>
      <c r="E981" s="14" t="n">
        <v>46283</v>
      </c>
      <c r="F981" s="14" t="n">
        <v>46282</v>
      </c>
      <c r="G981" s="0" t="s">
        <v>77</v>
      </c>
      <c r="H981" s="0" t="n">
        <v>1720800</v>
      </c>
      <c r="I981" s="0" t="n">
        <v>11</v>
      </c>
      <c r="J981" s="0" t="s">
        <v>2276</v>
      </c>
      <c r="K981" s="15" t="n">
        <v>2213.36</v>
      </c>
      <c r="L981" s="0" t="s">
        <v>2277</v>
      </c>
    </row>
    <row r="982" customFormat="false" ht="15" hidden="false" customHeight="true" outlineLevel="0" collapsed="false">
      <c r="A982" s="0" t="n">
        <v>2</v>
      </c>
      <c r="B982" s="0" t="n">
        <v>444</v>
      </c>
      <c r="C982" s="0" t="s">
        <v>52</v>
      </c>
      <c r="D982" s="0" t="s">
        <v>2311</v>
      </c>
      <c r="E982" s="14" t="n">
        <v>46283</v>
      </c>
      <c r="F982" s="14" t="n">
        <v>46283</v>
      </c>
      <c r="G982" s="0" t="s">
        <v>86</v>
      </c>
      <c r="H982" s="0" t="n">
        <v>1719537</v>
      </c>
      <c r="I982" s="0" t="n">
        <v>11</v>
      </c>
      <c r="J982" s="0" t="s">
        <v>2276</v>
      </c>
      <c r="K982" s="15" t="n">
        <v>309.5</v>
      </c>
      <c r="L982" s="0" t="s">
        <v>2277</v>
      </c>
    </row>
    <row r="983" customFormat="false" ht="15" hidden="false" customHeight="true" outlineLevel="0" collapsed="false">
      <c r="A983" s="0" t="n">
        <v>2</v>
      </c>
      <c r="B983" s="0" t="n">
        <v>515341</v>
      </c>
      <c r="C983" s="0" t="s">
        <v>52</v>
      </c>
      <c r="D983" s="0" t="s">
        <v>2395</v>
      </c>
      <c r="E983" s="14" t="n">
        <v>46283</v>
      </c>
      <c r="F983" s="14" t="n">
        <v>46282</v>
      </c>
      <c r="G983" s="0" t="s">
        <v>289</v>
      </c>
      <c r="H983" s="0" t="n">
        <v>1720438</v>
      </c>
      <c r="I983" s="0" t="n">
        <v>11</v>
      </c>
      <c r="J983" s="0" t="s">
        <v>2276</v>
      </c>
      <c r="K983" s="15" t="n">
        <v>541.68</v>
      </c>
      <c r="L983" s="0" t="s">
        <v>2277</v>
      </c>
    </row>
    <row r="984" customFormat="false" ht="15" hidden="false" customHeight="true" outlineLevel="0" collapsed="false">
      <c r="A984" s="0" t="n">
        <v>2</v>
      </c>
      <c r="B984" s="0" t="n">
        <v>59578</v>
      </c>
      <c r="C984" s="0" t="s">
        <v>52</v>
      </c>
      <c r="D984" s="0" t="s">
        <v>2334</v>
      </c>
      <c r="E984" s="14" t="n">
        <v>46283</v>
      </c>
      <c r="F984" s="14" t="n">
        <v>46283</v>
      </c>
      <c r="G984" s="0" t="s">
        <v>487</v>
      </c>
      <c r="H984" s="0" t="n">
        <v>1720844</v>
      </c>
      <c r="I984" s="0" t="n">
        <v>11</v>
      </c>
      <c r="J984" s="0" t="s">
        <v>2276</v>
      </c>
      <c r="K984" s="15" t="n">
        <v>365.48</v>
      </c>
      <c r="L984" s="0" t="s">
        <v>2277</v>
      </c>
    </row>
    <row r="985" customFormat="false" ht="15" hidden="false" customHeight="true" outlineLevel="0" collapsed="false">
      <c r="A985" s="0" t="n">
        <v>2</v>
      </c>
      <c r="B985" s="0" t="n">
        <v>994</v>
      </c>
      <c r="C985" s="0" t="s">
        <v>52</v>
      </c>
      <c r="D985" s="0" t="s">
        <v>2381</v>
      </c>
      <c r="E985" s="14" t="n">
        <v>46283</v>
      </c>
      <c r="F985" s="14" t="n">
        <v>46276</v>
      </c>
      <c r="G985" s="0" t="s">
        <v>666</v>
      </c>
      <c r="H985" s="0" t="n">
        <v>1719664</v>
      </c>
      <c r="I985" s="0" t="n">
        <v>11</v>
      </c>
      <c r="J985" s="0" t="s">
        <v>2276</v>
      </c>
      <c r="K985" s="15" t="n">
        <v>571.91</v>
      </c>
      <c r="L985" s="0" t="s">
        <v>2277</v>
      </c>
    </row>
    <row r="986" customFormat="false" ht="15" hidden="false" customHeight="true" outlineLevel="0" collapsed="false">
      <c r="A986" s="0" t="n">
        <v>2</v>
      </c>
      <c r="B986" s="0" t="n">
        <v>1452168</v>
      </c>
      <c r="C986" s="0" t="s">
        <v>52</v>
      </c>
      <c r="D986" s="0" t="s">
        <v>2308</v>
      </c>
      <c r="E986" s="14" t="n">
        <v>46284</v>
      </c>
      <c r="F986" s="14" t="n">
        <v>46280</v>
      </c>
      <c r="G986" s="0" t="s">
        <v>343</v>
      </c>
      <c r="H986" s="0" t="n">
        <v>1724072</v>
      </c>
      <c r="I986" s="0" t="n">
        <v>11</v>
      </c>
      <c r="J986" s="0" t="s">
        <v>2276</v>
      </c>
      <c r="K986" s="15" t="n">
        <v>1598.5</v>
      </c>
      <c r="L986" s="0" t="s">
        <v>2277</v>
      </c>
    </row>
    <row r="987" customFormat="false" ht="15" hidden="false" customHeight="true" outlineLevel="0" collapsed="false">
      <c r="A987" s="0" t="n">
        <v>2</v>
      </c>
      <c r="B987" s="0" t="n">
        <v>15408</v>
      </c>
      <c r="C987" s="0" t="s">
        <v>52</v>
      </c>
      <c r="D987" s="0" t="s">
        <v>2278</v>
      </c>
      <c r="E987" s="14" t="n">
        <v>46284</v>
      </c>
      <c r="F987" s="14" t="n">
        <v>46284</v>
      </c>
      <c r="G987" s="0" t="s">
        <v>270</v>
      </c>
      <c r="H987" s="0" t="n">
        <v>1724290</v>
      </c>
      <c r="I987" s="0" t="n">
        <v>11</v>
      </c>
      <c r="J987" s="0" t="s">
        <v>2276</v>
      </c>
      <c r="K987" s="15" t="n">
        <v>672</v>
      </c>
      <c r="L987" s="0" t="s">
        <v>2277</v>
      </c>
    </row>
    <row r="988" customFormat="false" ht="15" hidden="false" customHeight="true" outlineLevel="0" collapsed="false">
      <c r="A988" s="0" t="n">
        <v>2</v>
      </c>
      <c r="B988" s="0" t="n">
        <v>1682632</v>
      </c>
      <c r="C988" s="0" t="s">
        <v>2280</v>
      </c>
      <c r="D988" s="0" t="s">
        <v>2281</v>
      </c>
      <c r="E988" s="14" t="n">
        <v>46284</v>
      </c>
      <c r="F988" s="14" t="n">
        <v>46283</v>
      </c>
      <c r="G988" s="0" t="s">
        <v>406</v>
      </c>
      <c r="H988" s="0" t="n">
        <v>1724027</v>
      </c>
      <c r="I988" s="0" t="n">
        <v>11</v>
      </c>
      <c r="J988" s="0" t="s">
        <v>2276</v>
      </c>
      <c r="K988" s="15" t="n">
        <v>151.5</v>
      </c>
      <c r="L988" s="0" t="s">
        <v>2277</v>
      </c>
    </row>
    <row r="989" customFormat="false" ht="15" hidden="false" customHeight="true" outlineLevel="0" collapsed="false">
      <c r="A989" s="0" t="n">
        <v>2</v>
      </c>
      <c r="B989" s="0" t="n">
        <v>311</v>
      </c>
      <c r="C989" s="0" t="s">
        <v>52</v>
      </c>
      <c r="D989" s="0" t="s">
        <v>2399</v>
      </c>
      <c r="E989" s="14" t="n">
        <v>46284</v>
      </c>
      <c r="F989" s="14" t="n">
        <v>46284</v>
      </c>
      <c r="G989" s="0" t="s">
        <v>622</v>
      </c>
      <c r="H989" s="0" t="n">
        <v>1734591</v>
      </c>
      <c r="I989" s="0" t="n">
        <v>11</v>
      </c>
      <c r="J989" s="0" t="s">
        <v>2276</v>
      </c>
      <c r="K989" s="15" t="n">
        <v>260</v>
      </c>
      <c r="L989" s="0" t="s">
        <v>2277</v>
      </c>
    </row>
    <row r="990" customFormat="false" ht="15" hidden="false" customHeight="true" outlineLevel="0" collapsed="false">
      <c r="A990" s="0" t="n">
        <v>2</v>
      </c>
      <c r="B990" s="0" t="n">
        <v>391</v>
      </c>
      <c r="C990" s="0" t="s">
        <v>52</v>
      </c>
      <c r="D990" s="0" t="s">
        <v>2289</v>
      </c>
      <c r="E990" s="14" t="n">
        <v>46284</v>
      </c>
      <c r="F990" s="14" t="n">
        <v>46283</v>
      </c>
      <c r="G990" s="0" t="s">
        <v>216</v>
      </c>
      <c r="H990" s="0" t="n">
        <v>1724049</v>
      </c>
      <c r="I990" s="0" t="n">
        <v>11</v>
      </c>
      <c r="J990" s="0" t="s">
        <v>2276</v>
      </c>
      <c r="K990" s="15" t="n">
        <v>350</v>
      </c>
      <c r="L990" s="0" t="s">
        <v>2277</v>
      </c>
    </row>
    <row r="991" customFormat="false" ht="15" hidden="false" customHeight="true" outlineLevel="0" collapsed="false">
      <c r="A991" s="0" t="n">
        <v>2</v>
      </c>
      <c r="B991" s="0" t="n">
        <v>4086</v>
      </c>
      <c r="C991" s="0" t="s">
        <v>52</v>
      </c>
      <c r="D991" s="0" t="s">
        <v>2282</v>
      </c>
      <c r="E991" s="14" t="n">
        <v>46284</v>
      </c>
      <c r="F991" s="14" t="n">
        <v>46283</v>
      </c>
      <c r="G991" s="0" t="s">
        <v>209</v>
      </c>
      <c r="H991" s="0" t="n">
        <v>1723987</v>
      </c>
      <c r="I991" s="0" t="n">
        <v>11</v>
      </c>
      <c r="J991" s="0" t="s">
        <v>2276</v>
      </c>
      <c r="K991" s="15" t="n">
        <v>589.5</v>
      </c>
      <c r="L991" s="0" t="s">
        <v>2277</v>
      </c>
    </row>
    <row r="992" customFormat="false" ht="15" hidden="false" customHeight="true" outlineLevel="0" collapsed="false">
      <c r="A992" s="0" t="n">
        <v>2</v>
      </c>
      <c r="B992" s="0" t="n">
        <v>4426</v>
      </c>
      <c r="C992" s="0" t="s">
        <v>67</v>
      </c>
      <c r="D992" s="0" t="s">
        <v>2332</v>
      </c>
      <c r="E992" s="14" t="n">
        <v>46284</v>
      </c>
      <c r="F992" s="14" t="n">
        <v>46283</v>
      </c>
      <c r="G992" s="0" t="s">
        <v>585</v>
      </c>
      <c r="H992" s="0" t="n">
        <v>1724146</v>
      </c>
      <c r="I992" s="0" t="n">
        <v>11</v>
      </c>
      <c r="J992" s="0" t="s">
        <v>2276</v>
      </c>
      <c r="K992" s="15" t="n">
        <v>3463.5</v>
      </c>
      <c r="L992" s="0" t="s">
        <v>2277</v>
      </c>
    </row>
    <row r="993" customFormat="false" ht="15" hidden="false" customHeight="true" outlineLevel="0" collapsed="false">
      <c r="A993" s="0" t="n">
        <v>2</v>
      </c>
      <c r="B993" s="0" t="n">
        <v>4694</v>
      </c>
      <c r="C993" s="0" t="s">
        <v>52</v>
      </c>
      <c r="D993" s="0" t="s">
        <v>2290</v>
      </c>
      <c r="E993" s="14" t="n">
        <v>46284</v>
      </c>
      <c r="F993" s="14" t="n">
        <v>46282</v>
      </c>
      <c r="G993" s="0" t="s">
        <v>95</v>
      </c>
      <c r="H993" s="0" t="n">
        <v>1724002</v>
      </c>
      <c r="I993" s="0" t="n">
        <v>11</v>
      </c>
      <c r="J993" s="0" t="s">
        <v>2276</v>
      </c>
      <c r="K993" s="15" t="n">
        <v>222</v>
      </c>
      <c r="L993" s="0" t="s">
        <v>2277</v>
      </c>
    </row>
    <row r="994" customFormat="false" ht="15" hidden="false" customHeight="true" outlineLevel="0" collapsed="false">
      <c r="A994" s="0" t="n">
        <v>2</v>
      </c>
      <c r="B994" s="0" t="n">
        <v>668</v>
      </c>
      <c r="C994" s="0" t="s">
        <v>52</v>
      </c>
      <c r="D994" s="0" t="s">
        <v>2291</v>
      </c>
      <c r="E994" s="14" t="n">
        <v>46284</v>
      </c>
      <c r="F994" s="14" t="n">
        <v>46283</v>
      </c>
      <c r="G994" s="0" t="s">
        <v>123</v>
      </c>
      <c r="H994" s="0" t="n">
        <v>1724324</v>
      </c>
      <c r="I994" s="0" t="n">
        <v>11</v>
      </c>
      <c r="J994" s="0" t="s">
        <v>2276</v>
      </c>
      <c r="K994" s="15" t="n">
        <v>180</v>
      </c>
      <c r="L994" s="0" t="s">
        <v>2277</v>
      </c>
    </row>
    <row r="995" customFormat="false" ht="15" hidden="false" customHeight="true" outlineLevel="0" collapsed="false">
      <c r="A995" s="0" t="n">
        <v>2</v>
      </c>
      <c r="B995" s="0" t="n">
        <v>11105</v>
      </c>
      <c r="C995" s="0" t="s">
        <v>52</v>
      </c>
      <c r="D995" s="0" t="s">
        <v>2382</v>
      </c>
      <c r="E995" s="14" t="n">
        <v>46286</v>
      </c>
      <c r="F995" s="14" t="n">
        <v>46275</v>
      </c>
      <c r="G995" s="0" t="s">
        <v>659</v>
      </c>
      <c r="H995" s="0" t="n">
        <v>1735888</v>
      </c>
      <c r="I995" s="0" t="n">
        <v>11</v>
      </c>
      <c r="J995" s="0" t="s">
        <v>2276</v>
      </c>
      <c r="K995" s="15" t="n">
        <v>10448.62</v>
      </c>
      <c r="L995" s="0" t="s">
        <v>2277</v>
      </c>
    </row>
    <row r="996" customFormat="false" ht="15" hidden="false" customHeight="true" outlineLevel="0" collapsed="false">
      <c r="A996" s="0" t="n">
        <v>2</v>
      </c>
      <c r="B996" s="0" t="n">
        <v>1272675</v>
      </c>
      <c r="C996" s="0" t="s">
        <v>52</v>
      </c>
      <c r="D996" s="0" t="s">
        <v>2320</v>
      </c>
      <c r="E996" s="14" t="n">
        <v>46286</v>
      </c>
      <c r="F996" s="14" t="n">
        <v>46286</v>
      </c>
      <c r="G996" s="0" t="s">
        <v>468</v>
      </c>
      <c r="H996" s="0" t="n">
        <v>1734537</v>
      </c>
      <c r="I996" s="0" t="n">
        <v>11</v>
      </c>
      <c r="J996" s="0" t="s">
        <v>2276</v>
      </c>
      <c r="K996" s="15" t="n">
        <v>447.47</v>
      </c>
      <c r="L996" s="0" t="s">
        <v>2277</v>
      </c>
    </row>
    <row r="997" customFormat="false" ht="15" hidden="false" customHeight="true" outlineLevel="0" collapsed="false">
      <c r="A997" s="0" t="n">
        <v>2</v>
      </c>
      <c r="B997" s="0" t="n">
        <v>15417</v>
      </c>
      <c r="C997" s="0" t="s">
        <v>52</v>
      </c>
      <c r="D997" s="0" t="s">
        <v>2278</v>
      </c>
      <c r="E997" s="14" t="n">
        <v>46286</v>
      </c>
      <c r="F997" s="14" t="n">
        <v>46284</v>
      </c>
      <c r="G997" s="0" t="s">
        <v>270</v>
      </c>
      <c r="H997" s="0" t="n">
        <v>1734909</v>
      </c>
      <c r="I997" s="0" t="n">
        <v>11</v>
      </c>
      <c r="J997" s="0" t="s">
        <v>2276</v>
      </c>
      <c r="K997" s="15" t="n">
        <v>4506.6</v>
      </c>
      <c r="L997" s="0" t="s">
        <v>2277</v>
      </c>
    </row>
    <row r="998" customFormat="false" ht="15" hidden="false" customHeight="true" outlineLevel="0" collapsed="false">
      <c r="A998" s="0" t="n">
        <v>2</v>
      </c>
      <c r="B998" s="0" t="n">
        <v>165649</v>
      </c>
      <c r="C998" s="0" t="s">
        <v>52</v>
      </c>
      <c r="D998" s="0" t="s">
        <v>2367</v>
      </c>
      <c r="E998" s="14" t="n">
        <v>46286</v>
      </c>
      <c r="F998" s="14" t="n">
        <v>46283</v>
      </c>
      <c r="G998" s="0" t="s">
        <v>840</v>
      </c>
      <c r="H998" s="0" t="n">
        <v>1734614</v>
      </c>
      <c r="I998" s="0" t="n">
        <v>11</v>
      </c>
      <c r="J998" s="0" t="s">
        <v>2276</v>
      </c>
      <c r="K998" s="15" t="n">
        <v>177</v>
      </c>
      <c r="L998" s="0" t="s">
        <v>2277</v>
      </c>
    </row>
    <row r="999" customFormat="false" ht="15" hidden="false" customHeight="true" outlineLevel="0" collapsed="false">
      <c r="A999" s="0" t="n">
        <v>2</v>
      </c>
      <c r="B999" s="0" t="n">
        <v>1683099</v>
      </c>
      <c r="C999" s="0" t="s">
        <v>2280</v>
      </c>
      <c r="D999" s="0" t="s">
        <v>2281</v>
      </c>
      <c r="E999" s="14" t="n">
        <v>46286</v>
      </c>
      <c r="F999" s="14" t="n">
        <v>46284</v>
      </c>
      <c r="G999" s="0" t="s">
        <v>406</v>
      </c>
      <c r="H999" s="0" t="n">
        <v>1734403</v>
      </c>
      <c r="I999" s="0" t="n">
        <v>11</v>
      </c>
      <c r="J999" s="0" t="s">
        <v>2276</v>
      </c>
      <c r="K999" s="15" t="n">
        <v>115</v>
      </c>
      <c r="L999" s="0" t="s">
        <v>2277</v>
      </c>
    </row>
    <row r="1000" customFormat="false" ht="15" hidden="false" customHeight="true" outlineLevel="0" collapsed="false">
      <c r="A1000" s="0" t="n">
        <v>2</v>
      </c>
      <c r="B1000" s="0" t="n">
        <v>1732186</v>
      </c>
      <c r="C1000" s="0" t="s">
        <v>52</v>
      </c>
      <c r="D1000" s="0" t="s">
        <v>2287</v>
      </c>
      <c r="E1000" s="14" t="n">
        <v>46286</v>
      </c>
      <c r="F1000" s="14" t="n">
        <v>46282</v>
      </c>
      <c r="G1000" s="0" t="s">
        <v>240</v>
      </c>
      <c r="H1000" s="0" t="n">
        <v>1734417</v>
      </c>
      <c r="I1000" s="0" t="n">
        <v>11</v>
      </c>
      <c r="J1000" s="0" t="s">
        <v>2276</v>
      </c>
      <c r="K1000" s="15" t="n">
        <v>395.28</v>
      </c>
      <c r="L1000" s="0" t="s">
        <v>2277</v>
      </c>
    </row>
    <row r="1001" customFormat="false" ht="15" hidden="false" customHeight="true" outlineLevel="0" collapsed="false">
      <c r="A1001" s="0" t="n">
        <v>2</v>
      </c>
      <c r="B1001" s="0" t="n">
        <v>1934563</v>
      </c>
      <c r="C1001" s="0" t="s">
        <v>52</v>
      </c>
      <c r="D1001" s="0" t="s">
        <v>2368</v>
      </c>
      <c r="E1001" s="14" t="n">
        <v>46286</v>
      </c>
      <c r="F1001" s="14" t="n">
        <v>46276</v>
      </c>
      <c r="G1001" s="0" t="s">
        <v>871</v>
      </c>
      <c r="H1001" s="0" t="n">
        <v>1734744</v>
      </c>
      <c r="I1001" s="0" t="n">
        <v>11</v>
      </c>
      <c r="J1001" s="0" t="s">
        <v>2276</v>
      </c>
      <c r="K1001" s="15" t="n">
        <v>896.25</v>
      </c>
      <c r="L1001" s="0" t="s">
        <v>2277</v>
      </c>
    </row>
    <row r="1002" customFormat="false" ht="15" hidden="false" customHeight="true" outlineLevel="0" collapsed="false">
      <c r="A1002" s="0" t="n">
        <v>2</v>
      </c>
      <c r="B1002" s="0" t="n">
        <v>1934564</v>
      </c>
      <c r="C1002" s="0" t="s">
        <v>52</v>
      </c>
      <c r="D1002" s="0" t="s">
        <v>2368</v>
      </c>
      <c r="E1002" s="14" t="n">
        <v>46286</v>
      </c>
      <c r="F1002" s="14" t="n">
        <v>46276</v>
      </c>
      <c r="G1002" s="0" t="s">
        <v>871</v>
      </c>
      <c r="H1002" s="0" t="n">
        <v>1734775</v>
      </c>
      <c r="I1002" s="0" t="n">
        <v>11</v>
      </c>
      <c r="J1002" s="0" t="s">
        <v>2276</v>
      </c>
      <c r="K1002" s="15" t="n">
        <v>896.25</v>
      </c>
      <c r="L1002" s="0" t="s">
        <v>2277</v>
      </c>
    </row>
    <row r="1003" customFormat="false" ht="15" hidden="false" customHeight="true" outlineLevel="0" collapsed="false">
      <c r="A1003" s="0" t="n">
        <v>2</v>
      </c>
      <c r="B1003" s="0" t="n">
        <v>2686</v>
      </c>
      <c r="C1003" s="0" t="s">
        <v>52</v>
      </c>
      <c r="D1003" s="0" t="s">
        <v>2288</v>
      </c>
      <c r="E1003" s="14" t="n">
        <v>46286</v>
      </c>
      <c r="F1003" s="14" t="n">
        <v>46286</v>
      </c>
      <c r="G1003" s="0" t="s">
        <v>153</v>
      </c>
      <c r="H1003" s="0" t="n">
        <v>1734519</v>
      </c>
      <c r="I1003" s="0" t="n">
        <v>6</v>
      </c>
      <c r="J1003" s="0" t="s">
        <v>2276</v>
      </c>
      <c r="K1003" s="15" t="n">
        <v>225</v>
      </c>
      <c r="L1003" s="0" t="s">
        <v>2277</v>
      </c>
    </row>
    <row r="1004" customFormat="false" ht="15" hidden="false" customHeight="true" outlineLevel="0" collapsed="false">
      <c r="A1004" s="0" t="n">
        <v>2</v>
      </c>
      <c r="B1004" s="0" t="n">
        <v>1042983</v>
      </c>
      <c r="C1004" s="0" t="s">
        <v>52</v>
      </c>
      <c r="D1004" s="0" t="s">
        <v>2286</v>
      </c>
      <c r="E1004" s="14" t="n">
        <v>46287</v>
      </c>
      <c r="F1004" s="14" t="n">
        <v>46286</v>
      </c>
      <c r="G1004" s="0" t="s">
        <v>228</v>
      </c>
      <c r="H1004" s="0" t="n">
        <v>1739522</v>
      </c>
      <c r="I1004" s="0" t="n">
        <v>11</v>
      </c>
      <c r="J1004" s="0" t="s">
        <v>2276</v>
      </c>
      <c r="K1004" s="15" t="n">
        <v>259.62</v>
      </c>
      <c r="L1004" s="0" t="s">
        <v>2277</v>
      </c>
    </row>
    <row r="1005" customFormat="false" ht="15" hidden="false" customHeight="true" outlineLevel="0" collapsed="false">
      <c r="A1005" s="0" t="n">
        <v>2</v>
      </c>
      <c r="B1005" s="0" t="n">
        <v>15422</v>
      </c>
      <c r="C1005" s="0" t="s">
        <v>52</v>
      </c>
      <c r="D1005" s="0" t="s">
        <v>2278</v>
      </c>
      <c r="E1005" s="14" t="n">
        <v>46287</v>
      </c>
      <c r="F1005" s="14" t="n">
        <v>46286</v>
      </c>
      <c r="G1005" s="0" t="s">
        <v>270</v>
      </c>
      <c r="H1005" s="0" t="n">
        <v>1740647</v>
      </c>
      <c r="I1005" s="0" t="n">
        <v>11</v>
      </c>
      <c r="J1005" s="0" t="s">
        <v>2276</v>
      </c>
      <c r="K1005" s="15" t="n">
        <v>2444.8</v>
      </c>
      <c r="L1005" s="0" t="s">
        <v>2277</v>
      </c>
    </row>
    <row r="1006" customFormat="false" ht="15" hidden="false" customHeight="true" outlineLevel="0" collapsed="false">
      <c r="A1006" s="0" t="n">
        <v>2</v>
      </c>
      <c r="B1006" s="0" t="n">
        <v>1683531</v>
      </c>
      <c r="C1006" s="0" t="s">
        <v>2280</v>
      </c>
      <c r="D1006" s="0" t="s">
        <v>2281</v>
      </c>
      <c r="E1006" s="14" t="n">
        <v>46287</v>
      </c>
      <c r="F1006" s="14" t="n">
        <v>46286</v>
      </c>
      <c r="G1006" s="0" t="s">
        <v>406</v>
      </c>
      <c r="H1006" s="0" t="n">
        <v>1739497</v>
      </c>
      <c r="I1006" s="0" t="n">
        <v>11</v>
      </c>
      <c r="J1006" s="0" t="s">
        <v>2276</v>
      </c>
      <c r="K1006" s="15" t="n">
        <v>157</v>
      </c>
      <c r="L1006" s="0" t="s">
        <v>2277</v>
      </c>
    </row>
    <row r="1007" customFormat="false" ht="15" hidden="false" customHeight="true" outlineLevel="0" collapsed="false">
      <c r="A1007" s="0" t="n">
        <v>2</v>
      </c>
      <c r="B1007" s="0" t="n">
        <v>1733742</v>
      </c>
      <c r="C1007" s="0" t="s">
        <v>52</v>
      </c>
      <c r="D1007" s="0" t="s">
        <v>2287</v>
      </c>
      <c r="E1007" s="14" t="n">
        <v>46287</v>
      </c>
      <c r="F1007" s="14" t="n">
        <v>46286</v>
      </c>
      <c r="G1007" s="0" t="s">
        <v>240</v>
      </c>
      <c r="H1007" s="0" t="n">
        <v>1739514</v>
      </c>
      <c r="I1007" s="0" t="n">
        <v>11</v>
      </c>
      <c r="J1007" s="0" t="s">
        <v>2276</v>
      </c>
      <c r="K1007" s="15" t="n">
        <v>366.24</v>
      </c>
      <c r="L1007" s="0" t="s">
        <v>2277</v>
      </c>
    </row>
    <row r="1008" customFormat="false" ht="15" hidden="false" customHeight="true" outlineLevel="0" collapsed="false">
      <c r="A1008" s="0" t="n">
        <v>2</v>
      </c>
      <c r="B1008" s="0" t="n">
        <v>2320993</v>
      </c>
      <c r="C1008" s="0" t="s">
        <v>52</v>
      </c>
      <c r="D1008" s="0" t="s">
        <v>2390</v>
      </c>
      <c r="E1008" s="14" t="n">
        <v>46287</v>
      </c>
      <c r="F1008" s="14" t="n">
        <v>46287</v>
      </c>
      <c r="G1008" s="0" t="s">
        <v>74</v>
      </c>
      <c r="H1008" s="0" t="n">
        <v>1739585</v>
      </c>
      <c r="I1008" s="0" t="n">
        <v>11</v>
      </c>
      <c r="J1008" s="0" t="s">
        <v>2276</v>
      </c>
      <c r="K1008" s="15" t="n">
        <v>707.16</v>
      </c>
      <c r="L1008" s="0" t="s">
        <v>2277</v>
      </c>
    </row>
    <row r="1009" customFormat="false" ht="15" hidden="false" customHeight="true" outlineLevel="0" collapsed="false">
      <c r="A1009" s="0" t="n">
        <v>2</v>
      </c>
      <c r="B1009" s="0" t="n">
        <v>2691</v>
      </c>
      <c r="C1009" s="0" t="s">
        <v>52</v>
      </c>
      <c r="D1009" s="0" t="s">
        <v>2288</v>
      </c>
      <c r="E1009" s="14" t="n">
        <v>46287</v>
      </c>
      <c r="F1009" s="14" t="n">
        <v>46287</v>
      </c>
      <c r="G1009" s="0" t="s">
        <v>153</v>
      </c>
      <c r="H1009" s="0" t="n">
        <v>1740335</v>
      </c>
      <c r="I1009" s="0" t="n">
        <v>6</v>
      </c>
      <c r="J1009" s="0" t="s">
        <v>2276</v>
      </c>
      <c r="K1009" s="15" t="n">
        <v>280</v>
      </c>
      <c r="L1009" s="0" t="s">
        <v>2277</v>
      </c>
    </row>
    <row r="1010" customFormat="false" ht="15" hidden="false" customHeight="true" outlineLevel="0" collapsed="false">
      <c r="A1010" s="0" t="n">
        <v>2</v>
      </c>
      <c r="B1010" s="0" t="n">
        <v>2692</v>
      </c>
      <c r="C1010" s="0" t="s">
        <v>52</v>
      </c>
      <c r="D1010" s="0" t="s">
        <v>2288</v>
      </c>
      <c r="E1010" s="14" t="n">
        <v>46287</v>
      </c>
      <c r="F1010" s="14" t="n">
        <v>46287</v>
      </c>
      <c r="G1010" s="0" t="s">
        <v>153</v>
      </c>
      <c r="H1010" s="0" t="n">
        <v>1740545</v>
      </c>
      <c r="I1010" s="0" t="n">
        <v>6</v>
      </c>
      <c r="J1010" s="0" t="s">
        <v>2276</v>
      </c>
      <c r="K1010" s="15" t="n">
        <v>2456</v>
      </c>
      <c r="L1010" s="0" t="s">
        <v>2277</v>
      </c>
    </row>
    <row r="1011" customFormat="false" ht="15" hidden="false" customHeight="true" outlineLevel="0" collapsed="false">
      <c r="A1011" s="0" t="n">
        <v>2</v>
      </c>
      <c r="B1011" s="0" t="n">
        <v>176831</v>
      </c>
      <c r="C1011" s="0" t="s">
        <v>52</v>
      </c>
      <c r="D1011" s="0" t="s">
        <v>2293</v>
      </c>
      <c r="E1011" s="14" t="n">
        <v>46288</v>
      </c>
      <c r="F1011" s="14" t="n">
        <v>46288</v>
      </c>
      <c r="G1011" s="0" t="s">
        <v>371</v>
      </c>
      <c r="H1011" s="0" t="n">
        <v>1745532</v>
      </c>
      <c r="I1011" s="0" t="n">
        <v>11</v>
      </c>
      <c r="J1011" s="0" t="s">
        <v>2276</v>
      </c>
      <c r="K1011" s="15" t="n">
        <v>2528.5</v>
      </c>
      <c r="L1011" s="0" t="s">
        <v>2277</v>
      </c>
    </row>
    <row r="1012" customFormat="false" ht="15" hidden="false" customHeight="true" outlineLevel="0" collapsed="false">
      <c r="A1012" s="0" t="n">
        <v>2</v>
      </c>
      <c r="B1012" s="0" t="n">
        <v>232190</v>
      </c>
      <c r="C1012" s="0" t="s">
        <v>44</v>
      </c>
      <c r="D1012" s="0" t="s">
        <v>2305</v>
      </c>
      <c r="E1012" s="14" t="n">
        <v>46288</v>
      </c>
      <c r="F1012" s="14" t="n">
        <v>46287</v>
      </c>
      <c r="G1012" s="0" t="s">
        <v>438</v>
      </c>
      <c r="H1012" s="0" t="n">
        <v>1744155</v>
      </c>
      <c r="I1012" s="0" t="n">
        <v>11</v>
      </c>
      <c r="J1012" s="0" t="s">
        <v>2276</v>
      </c>
      <c r="K1012" s="15" t="n">
        <v>473.34</v>
      </c>
      <c r="L1012" s="0" t="s">
        <v>2277</v>
      </c>
    </row>
    <row r="1013" customFormat="false" ht="15" hidden="false" customHeight="true" outlineLevel="0" collapsed="false">
      <c r="A1013" s="0" t="n">
        <v>2</v>
      </c>
      <c r="B1013" s="0" t="n">
        <v>2695</v>
      </c>
      <c r="C1013" s="0" t="s">
        <v>52</v>
      </c>
      <c r="D1013" s="0" t="s">
        <v>2288</v>
      </c>
      <c r="E1013" s="14" t="n">
        <v>46288</v>
      </c>
      <c r="F1013" s="14" t="n">
        <v>46288</v>
      </c>
      <c r="G1013" s="0" t="s">
        <v>153</v>
      </c>
      <c r="H1013" s="0" t="n">
        <v>1744126</v>
      </c>
      <c r="I1013" s="0" t="n">
        <v>6</v>
      </c>
      <c r="J1013" s="0" t="s">
        <v>2276</v>
      </c>
      <c r="K1013" s="15" t="n">
        <v>195</v>
      </c>
      <c r="L1013" s="0" t="s">
        <v>2277</v>
      </c>
    </row>
    <row r="1014" customFormat="false" ht="15" hidden="false" customHeight="true" outlineLevel="0" collapsed="false">
      <c r="A1014" s="0" t="n">
        <v>2</v>
      </c>
      <c r="B1014" s="0" t="n">
        <v>2696</v>
      </c>
      <c r="C1014" s="0" t="s">
        <v>52</v>
      </c>
      <c r="D1014" s="0" t="s">
        <v>2288</v>
      </c>
      <c r="E1014" s="14" t="n">
        <v>46288</v>
      </c>
      <c r="F1014" s="14" t="n">
        <v>46288</v>
      </c>
      <c r="G1014" s="0" t="s">
        <v>153</v>
      </c>
      <c r="H1014" s="0" t="n">
        <v>1744490</v>
      </c>
      <c r="I1014" s="0" t="n">
        <v>6</v>
      </c>
      <c r="J1014" s="0" t="s">
        <v>2276</v>
      </c>
      <c r="K1014" s="15" t="n">
        <v>1200</v>
      </c>
      <c r="L1014" s="0" t="s">
        <v>2277</v>
      </c>
    </row>
    <row r="1015" customFormat="false" ht="15" hidden="false" customHeight="true" outlineLevel="0" collapsed="false">
      <c r="A1015" s="0" t="n">
        <v>2</v>
      </c>
      <c r="B1015" s="0" t="n">
        <v>294</v>
      </c>
      <c r="C1015" s="0" t="s">
        <v>52</v>
      </c>
      <c r="D1015" s="0" t="s">
        <v>2399</v>
      </c>
      <c r="E1015" s="14" t="n">
        <v>46288</v>
      </c>
      <c r="F1015" s="14" t="n">
        <v>46280</v>
      </c>
      <c r="G1015" s="0" t="s">
        <v>622</v>
      </c>
      <c r="H1015" s="0" t="n">
        <v>1748728</v>
      </c>
      <c r="I1015" s="0" t="n">
        <v>11</v>
      </c>
      <c r="J1015" s="0" t="s">
        <v>2276</v>
      </c>
      <c r="K1015" s="15" t="n">
        <v>140</v>
      </c>
      <c r="L1015" s="0" t="s">
        <v>2277</v>
      </c>
    </row>
    <row r="1016" customFormat="false" ht="15" hidden="false" customHeight="true" outlineLevel="0" collapsed="false">
      <c r="A1016" s="0" t="n">
        <v>2</v>
      </c>
      <c r="B1016" s="0" t="n">
        <v>3973</v>
      </c>
      <c r="C1016" s="0" t="s">
        <v>52</v>
      </c>
      <c r="D1016" s="0" t="s">
        <v>2299</v>
      </c>
      <c r="E1016" s="14" t="n">
        <v>46288</v>
      </c>
      <c r="F1016" s="14" t="n">
        <v>46287</v>
      </c>
      <c r="G1016" s="0" t="s">
        <v>174</v>
      </c>
      <c r="H1016" s="0" t="n">
        <v>1744105</v>
      </c>
      <c r="I1016" s="0" t="n">
        <v>11</v>
      </c>
      <c r="J1016" s="0" t="s">
        <v>2276</v>
      </c>
      <c r="K1016" s="15" t="n">
        <v>108</v>
      </c>
      <c r="L1016" s="0" t="s">
        <v>2277</v>
      </c>
    </row>
    <row r="1017" customFormat="false" ht="15" hidden="false" customHeight="true" outlineLevel="0" collapsed="false">
      <c r="A1017" s="0" t="n">
        <v>2</v>
      </c>
      <c r="B1017" s="0" t="n">
        <v>48651</v>
      </c>
      <c r="C1017" s="0" t="s">
        <v>52</v>
      </c>
      <c r="D1017" s="0" t="s">
        <v>2306</v>
      </c>
      <c r="E1017" s="14" t="n">
        <v>46288</v>
      </c>
      <c r="F1017" s="14" t="n">
        <v>46287</v>
      </c>
      <c r="G1017" s="0" t="s">
        <v>443</v>
      </c>
      <c r="H1017" s="0" t="n">
        <v>1744066</v>
      </c>
      <c r="I1017" s="0" t="n">
        <v>11</v>
      </c>
      <c r="J1017" s="0" t="s">
        <v>2276</v>
      </c>
      <c r="K1017" s="15" t="n">
        <v>460</v>
      </c>
      <c r="L1017" s="0" t="s">
        <v>2277</v>
      </c>
    </row>
    <row r="1018" customFormat="false" ht="15" hidden="false" customHeight="true" outlineLevel="0" collapsed="false">
      <c r="A1018" s="0" t="n">
        <v>2</v>
      </c>
      <c r="B1018" s="0" t="n">
        <v>698007</v>
      </c>
      <c r="C1018" s="0" t="s">
        <v>52</v>
      </c>
      <c r="D1018" s="0" t="s">
        <v>2318</v>
      </c>
      <c r="E1018" s="14" t="n">
        <v>46288</v>
      </c>
      <c r="F1018" s="14" t="n">
        <v>46287</v>
      </c>
      <c r="G1018" s="0" t="s">
        <v>236</v>
      </c>
      <c r="H1018" s="0" t="n">
        <v>1745266</v>
      </c>
      <c r="I1018" s="0" t="n">
        <v>11</v>
      </c>
      <c r="J1018" s="0" t="s">
        <v>2276</v>
      </c>
      <c r="K1018" s="15" t="n">
        <v>359.5</v>
      </c>
      <c r="L1018" s="0" t="s">
        <v>2277</v>
      </c>
    </row>
    <row r="1019" customFormat="false" ht="15" hidden="false" customHeight="true" outlineLevel="0" collapsed="false">
      <c r="A1019" s="0" t="n">
        <v>2</v>
      </c>
      <c r="B1019" s="0" t="n">
        <v>762379</v>
      </c>
      <c r="C1019" s="0" t="s">
        <v>2337</v>
      </c>
      <c r="D1019" s="0" t="s">
        <v>2365</v>
      </c>
      <c r="E1019" s="14" t="n">
        <v>46288</v>
      </c>
      <c r="F1019" s="14" t="n">
        <v>46287</v>
      </c>
      <c r="G1019" s="0" t="s">
        <v>151</v>
      </c>
      <c r="H1019" s="0" t="n">
        <v>1745659</v>
      </c>
      <c r="I1019" s="0" t="n">
        <v>11</v>
      </c>
      <c r="J1019" s="0" t="s">
        <v>2276</v>
      </c>
      <c r="K1019" s="15" t="n">
        <v>730.75</v>
      </c>
      <c r="L1019" s="0" t="s">
        <v>2277</v>
      </c>
    </row>
    <row r="1020" customFormat="false" ht="15" hidden="false" customHeight="true" outlineLevel="0" collapsed="false">
      <c r="A1020" s="0" t="n">
        <v>2</v>
      </c>
      <c r="B1020" s="0" t="n">
        <v>776</v>
      </c>
      <c r="C1020" s="0" t="s">
        <v>52</v>
      </c>
      <c r="D1020" s="0" t="s">
        <v>2404</v>
      </c>
      <c r="E1020" s="14" t="n">
        <v>46288</v>
      </c>
      <c r="F1020" s="14" t="n">
        <v>46287</v>
      </c>
      <c r="G1020" s="0" t="s">
        <v>1143</v>
      </c>
      <c r="H1020" s="0" t="n">
        <v>1744550</v>
      </c>
      <c r="I1020" s="0" t="n">
        <v>11</v>
      </c>
      <c r="J1020" s="0" t="s">
        <v>2276</v>
      </c>
      <c r="K1020" s="15" t="n">
        <v>673</v>
      </c>
      <c r="L1020" s="0" t="s">
        <v>2277</v>
      </c>
    </row>
    <row r="1021" customFormat="false" ht="15" hidden="false" customHeight="true" outlineLevel="0" collapsed="false">
      <c r="A1021" s="0" t="n">
        <v>2</v>
      </c>
      <c r="B1021" s="0" t="n">
        <v>816</v>
      </c>
      <c r="C1021" s="0" t="s">
        <v>44</v>
      </c>
      <c r="D1021" s="0" t="s">
        <v>2283</v>
      </c>
      <c r="E1021" s="14" t="n">
        <v>46288</v>
      </c>
      <c r="F1021" s="14" t="n">
        <v>46287</v>
      </c>
      <c r="G1021" s="0" t="s">
        <v>204</v>
      </c>
      <c r="H1021" s="0" t="n">
        <v>1745294</v>
      </c>
      <c r="I1021" s="0" t="n">
        <v>11</v>
      </c>
      <c r="J1021" s="0" t="s">
        <v>2276</v>
      </c>
      <c r="K1021" s="15" t="n">
        <v>254.76</v>
      </c>
      <c r="L1021" s="0" t="s">
        <v>2277</v>
      </c>
    </row>
    <row r="1022" customFormat="false" ht="15" hidden="false" customHeight="true" outlineLevel="0" collapsed="false">
      <c r="A1022" s="0" t="n">
        <v>2</v>
      </c>
      <c r="B1022" s="0" t="n">
        <v>874491</v>
      </c>
      <c r="C1022" s="0" t="s">
        <v>52</v>
      </c>
      <c r="D1022" s="0" t="s">
        <v>2326</v>
      </c>
      <c r="E1022" s="14" t="n">
        <v>46288</v>
      </c>
      <c r="F1022" s="14" t="n">
        <v>46287</v>
      </c>
      <c r="G1022" s="0" t="s">
        <v>193</v>
      </c>
      <c r="H1022" s="0" t="n">
        <v>1744604</v>
      </c>
      <c r="I1022" s="0" t="n">
        <v>11</v>
      </c>
      <c r="J1022" s="0" t="s">
        <v>2276</v>
      </c>
      <c r="K1022" s="15" t="n">
        <v>592.8</v>
      </c>
      <c r="L1022" s="0" t="s">
        <v>2277</v>
      </c>
    </row>
    <row r="1023" customFormat="false" ht="15" hidden="false" customHeight="true" outlineLevel="0" collapsed="false">
      <c r="A1023" s="0" t="n">
        <v>2</v>
      </c>
      <c r="B1023" s="0" t="n">
        <v>1274240</v>
      </c>
      <c r="C1023" s="0" t="s">
        <v>52</v>
      </c>
      <c r="D1023" s="0" t="s">
        <v>2320</v>
      </c>
      <c r="E1023" s="14" t="n">
        <v>46289</v>
      </c>
      <c r="F1023" s="14" t="n">
        <v>46289</v>
      </c>
      <c r="G1023" s="0" t="s">
        <v>468</v>
      </c>
      <c r="H1023" s="0" t="n">
        <v>1749058</v>
      </c>
      <c r="I1023" s="0" t="n">
        <v>11</v>
      </c>
      <c r="J1023" s="0" t="s">
        <v>2276</v>
      </c>
      <c r="K1023" s="15" t="n">
        <v>381.01</v>
      </c>
      <c r="L1023" s="0" t="s">
        <v>2277</v>
      </c>
    </row>
    <row r="1024" customFormat="false" ht="15" hidden="false" customHeight="true" outlineLevel="0" collapsed="false">
      <c r="A1024" s="0" t="n">
        <v>2</v>
      </c>
      <c r="B1024" s="0" t="n">
        <v>1684770</v>
      </c>
      <c r="C1024" s="0" t="s">
        <v>2280</v>
      </c>
      <c r="D1024" s="0" t="s">
        <v>2281</v>
      </c>
      <c r="E1024" s="14" t="n">
        <v>46289</v>
      </c>
      <c r="F1024" s="14" t="n">
        <v>46288</v>
      </c>
      <c r="G1024" s="0" t="s">
        <v>406</v>
      </c>
      <c r="H1024" s="0" t="n">
        <v>1748789</v>
      </c>
      <c r="I1024" s="0" t="n">
        <v>11</v>
      </c>
      <c r="J1024" s="0" t="s">
        <v>2276</v>
      </c>
      <c r="K1024" s="15" t="n">
        <v>130</v>
      </c>
      <c r="L1024" s="0" t="s">
        <v>2277</v>
      </c>
    </row>
    <row r="1025" customFormat="false" ht="15" hidden="false" customHeight="true" outlineLevel="0" collapsed="false">
      <c r="A1025" s="0" t="n">
        <v>2</v>
      </c>
      <c r="B1025" s="0" t="n">
        <v>198764</v>
      </c>
      <c r="C1025" s="0" t="s">
        <v>52</v>
      </c>
      <c r="D1025" s="0" t="s">
        <v>2297</v>
      </c>
      <c r="E1025" s="14" t="n">
        <v>46289</v>
      </c>
      <c r="F1025" s="14" t="n">
        <v>46288</v>
      </c>
      <c r="G1025" s="0" t="s">
        <v>197</v>
      </c>
      <c r="H1025" s="0" t="n">
        <v>1748776</v>
      </c>
      <c r="I1025" s="0" t="n">
        <v>11</v>
      </c>
      <c r="J1025" s="0" t="s">
        <v>2276</v>
      </c>
      <c r="K1025" s="15" t="n">
        <v>809.66</v>
      </c>
      <c r="L1025" s="0" t="s">
        <v>2277</v>
      </c>
    </row>
    <row r="1026" customFormat="false" ht="15" hidden="false" customHeight="true" outlineLevel="0" collapsed="false">
      <c r="A1026" s="0" t="n">
        <v>2</v>
      </c>
      <c r="B1026" s="0" t="n">
        <v>2699</v>
      </c>
      <c r="C1026" s="0" t="s">
        <v>52</v>
      </c>
      <c r="D1026" s="0" t="s">
        <v>2288</v>
      </c>
      <c r="E1026" s="14" t="n">
        <v>46289</v>
      </c>
      <c r="F1026" s="14" t="n">
        <v>46289</v>
      </c>
      <c r="G1026" s="0" t="s">
        <v>153</v>
      </c>
      <c r="H1026" s="0" t="n">
        <v>1752172</v>
      </c>
      <c r="I1026" s="0" t="n">
        <v>6</v>
      </c>
      <c r="J1026" s="0" t="s">
        <v>2276</v>
      </c>
      <c r="K1026" s="15" t="n">
        <v>225</v>
      </c>
      <c r="L1026" s="0" t="s">
        <v>2277</v>
      </c>
    </row>
    <row r="1027" customFormat="false" ht="15" hidden="false" customHeight="true" outlineLevel="0" collapsed="false">
      <c r="A1027" s="0" t="n">
        <v>2</v>
      </c>
      <c r="B1027" s="0" t="n">
        <v>32550</v>
      </c>
      <c r="C1027" s="0" t="s">
        <v>52</v>
      </c>
      <c r="D1027" s="0" t="s">
        <v>2294</v>
      </c>
      <c r="E1027" s="14" t="n">
        <v>46289</v>
      </c>
      <c r="F1027" s="14" t="n">
        <v>46289</v>
      </c>
      <c r="G1027" s="0" t="s">
        <v>147</v>
      </c>
      <c r="H1027" s="0" t="n">
        <v>1752146</v>
      </c>
      <c r="I1027" s="0" t="n">
        <v>11</v>
      </c>
      <c r="J1027" s="0" t="s">
        <v>2276</v>
      </c>
      <c r="K1027" s="15" t="n">
        <v>264</v>
      </c>
      <c r="L1027" s="0" t="s">
        <v>2277</v>
      </c>
    </row>
    <row r="1028" customFormat="false" ht="15" hidden="false" customHeight="true" outlineLevel="0" collapsed="false">
      <c r="A1028" s="0" t="n">
        <v>2</v>
      </c>
      <c r="B1028" s="0" t="n">
        <v>330</v>
      </c>
      <c r="C1028" s="0" t="s">
        <v>52</v>
      </c>
      <c r="D1028" s="0" t="s">
        <v>2399</v>
      </c>
      <c r="E1028" s="14" t="n">
        <v>46289</v>
      </c>
      <c r="F1028" s="14" t="n">
        <v>46289</v>
      </c>
      <c r="G1028" s="0" t="s">
        <v>622</v>
      </c>
      <c r="H1028" s="0" t="n">
        <v>1752096</v>
      </c>
      <c r="I1028" s="0" t="n">
        <v>11</v>
      </c>
      <c r="J1028" s="0" t="s">
        <v>2276</v>
      </c>
      <c r="K1028" s="15" t="n">
        <v>200</v>
      </c>
      <c r="L1028" s="0" t="s">
        <v>2277</v>
      </c>
    </row>
    <row r="1029" customFormat="false" ht="15" hidden="false" customHeight="true" outlineLevel="0" collapsed="false">
      <c r="A1029" s="0" t="n">
        <v>2</v>
      </c>
      <c r="B1029" s="0" t="n">
        <v>33788</v>
      </c>
      <c r="C1029" s="0" t="s">
        <v>102</v>
      </c>
      <c r="D1029" s="0" t="s">
        <v>2313</v>
      </c>
      <c r="E1029" s="14" t="n">
        <v>46289</v>
      </c>
      <c r="F1029" s="14" t="n">
        <v>46288</v>
      </c>
      <c r="G1029" s="0" t="s">
        <v>268</v>
      </c>
      <c r="H1029" s="0" t="n">
        <v>1748842</v>
      </c>
      <c r="I1029" s="0" t="n">
        <v>11</v>
      </c>
      <c r="J1029" s="0" t="s">
        <v>2276</v>
      </c>
      <c r="K1029" s="15" t="n">
        <v>5496.63</v>
      </c>
      <c r="L1029" s="0" t="s">
        <v>2277</v>
      </c>
    </row>
    <row r="1030" customFormat="false" ht="12.75" hidden="false" customHeight="true" outlineLevel="0" collapsed="false">
      <c r="A1030" s="0" t="n">
        <v>2</v>
      </c>
      <c r="B1030" s="0" t="n">
        <v>649357</v>
      </c>
      <c r="C1030" s="0" t="s">
        <v>102</v>
      </c>
      <c r="D1030" s="0" t="s">
        <v>2325</v>
      </c>
      <c r="E1030" s="14" t="n">
        <v>46289</v>
      </c>
      <c r="F1030" s="14" t="n">
        <v>46288</v>
      </c>
      <c r="G1030" s="0" t="s">
        <v>471</v>
      </c>
      <c r="H1030" s="0" t="n">
        <v>1749535</v>
      </c>
      <c r="I1030" s="0" t="n">
        <v>11</v>
      </c>
      <c r="J1030" s="0" t="s">
        <v>2276</v>
      </c>
      <c r="K1030" s="15" t="n">
        <v>617</v>
      </c>
      <c r="L1030" s="0" t="s">
        <v>2277</v>
      </c>
    </row>
    <row r="1031" customFormat="false" ht="12.75" hidden="false" customHeight="true" outlineLevel="0" collapsed="false">
      <c r="A1031" s="0" t="n">
        <v>2</v>
      </c>
      <c r="B1031" s="0" t="n">
        <v>1301295</v>
      </c>
      <c r="C1031" s="0" t="s">
        <v>80</v>
      </c>
      <c r="D1031" s="0" t="s">
        <v>2275</v>
      </c>
      <c r="E1031" s="14" t="n">
        <v>46290</v>
      </c>
      <c r="F1031" s="14" t="n">
        <v>46287</v>
      </c>
      <c r="G1031" s="0" t="s">
        <v>130</v>
      </c>
      <c r="H1031" s="0" t="n">
        <v>1755117</v>
      </c>
      <c r="I1031" s="0" t="n">
        <v>11</v>
      </c>
      <c r="J1031" s="0" t="s">
        <v>2276</v>
      </c>
      <c r="K1031" s="15" t="n">
        <v>538.83</v>
      </c>
      <c r="L1031" s="0" t="s">
        <v>2277</v>
      </c>
    </row>
    <row r="1032" customFormat="false" ht="12.75" hidden="false" customHeight="true" outlineLevel="0" collapsed="false">
      <c r="A1032" s="0" t="n">
        <v>2</v>
      </c>
      <c r="B1032" s="0" t="n">
        <v>1634890</v>
      </c>
      <c r="C1032" s="0" t="s">
        <v>52</v>
      </c>
      <c r="D1032" s="0" t="s">
        <v>2327</v>
      </c>
      <c r="E1032" s="14" t="n">
        <v>46290</v>
      </c>
      <c r="F1032" s="14" t="n">
        <v>46290</v>
      </c>
      <c r="G1032" s="0" t="s">
        <v>50</v>
      </c>
      <c r="H1032" s="0" t="n">
        <v>1756301</v>
      </c>
      <c r="I1032" s="0" t="n">
        <v>11</v>
      </c>
      <c r="J1032" s="0" t="s">
        <v>2276</v>
      </c>
      <c r="K1032" s="15" t="n">
        <v>642.58</v>
      </c>
      <c r="L1032" s="0" t="s">
        <v>2277</v>
      </c>
    </row>
    <row r="1033" customFormat="false" ht="12.75" hidden="false" customHeight="true" outlineLevel="0" collapsed="false">
      <c r="A1033" s="0" t="n">
        <v>2</v>
      </c>
      <c r="B1033" s="0" t="n">
        <v>1736722</v>
      </c>
      <c r="C1033" s="0" t="s">
        <v>52</v>
      </c>
      <c r="D1033" s="0" t="s">
        <v>2287</v>
      </c>
      <c r="E1033" s="14" t="n">
        <v>46290</v>
      </c>
      <c r="F1033" s="14" t="n">
        <v>46289</v>
      </c>
      <c r="G1033" s="0" t="s">
        <v>240</v>
      </c>
      <c r="H1033" s="0" t="n">
        <v>1756180</v>
      </c>
      <c r="I1033" s="0" t="n">
        <v>11</v>
      </c>
      <c r="J1033" s="0" t="s">
        <v>2276</v>
      </c>
      <c r="K1033" s="15" t="n">
        <v>318.99</v>
      </c>
      <c r="L1033" s="0" t="s">
        <v>2277</v>
      </c>
    </row>
    <row r="1034" customFormat="false" ht="12.75" hidden="false" customHeight="true" outlineLevel="0" collapsed="false">
      <c r="A1034" s="0" t="n">
        <v>2</v>
      </c>
      <c r="B1034" s="0" t="n">
        <v>2056092</v>
      </c>
      <c r="C1034" s="0" t="s">
        <v>36</v>
      </c>
      <c r="D1034" s="0" t="s">
        <v>2275</v>
      </c>
      <c r="E1034" s="14" t="n">
        <v>46290</v>
      </c>
      <c r="F1034" s="14" t="n">
        <v>46287</v>
      </c>
      <c r="G1034" s="0" t="s">
        <v>130</v>
      </c>
      <c r="H1034" s="0" t="n">
        <v>1755142</v>
      </c>
      <c r="I1034" s="0" t="n">
        <v>11</v>
      </c>
      <c r="J1034" s="0" t="s">
        <v>2276</v>
      </c>
      <c r="K1034" s="15" t="n">
        <v>950.6</v>
      </c>
      <c r="L1034" s="0" t="s">
        <v>2277</v>
      </c>
    </row>
    <row r="1035" customFormat="false" ht="12.75" hidden="false" customHeight="true" outlineLevel="0" collapsed="false">
      <c r="A1035" s="0" t="n">
        <v>2</v>
      </c>
      <c r="B1035" s="0" t="n">
        <v>20716</v>
      </c>
      <c r="C1035" s="0" t="s">
        <v>89</v>
      </c>
      <c r="D1035" s="0" t="s">
        <v>2322</v>
      </c>
      <c r="E1035" s="14" t="n">
        <v>46290</v>
      </c>
      <c r="F1035" s="14" t="n">
        <v>46289</v>
      </c>
      <c r="G1035" s="0" t="s">
        <v>390</v>
      </c>
      <c r="H1035" s="0" t="n">
        <v>1755212</v>
      </c>
      <c r="I1035" s="0" t="n">
        <v>11</v>
      </c>
      <c r="J1035" s="0" t="s">
        <v>2276</v>
      </c>
      <c r="K1035" s="15" t="n">
        <v>4041.68</v>
      </c>
      <c r="L1035" s="0" t="s">
        <v>2277</v>
      </c>
    </row>
    <row r="1036" customFormat="false" ht="12.75" hidden="false" customHeight="true" outlineLevel="0" collapsed="false">
      <c r="A1036" s="0" t="n">
        <v>2</v>
      </c>
      <c r="B1036" s="0" t="n">
        <v>213686</v>
      </c>
      <c r="C1036" s="0" t="s">
        <v>52</v>
      </c>
      <c r="D1036" s="0" t="s">
        <v>2370</v>
      </c>
      <c r="E1036" s="14" t="n">
        <v>46290</v>
      </c>
      <c r="F1036" s="14" t="n">
        <v>46289</v>
      </c>
      <c r="G1036" s="0" t="s">
        <v>787</v>
      </c>
      <c r="H1036" s="0" t="n">
        <v>1756488</v>
      </c>
      <c r="I1036" s="0" t="n">
        <v>11</v>
      </c>
      <c r="J1036" s="0" t="s">
        <v>2276</v>
      </c>
      <c r="K1036" s="15" t="n">
        <v>1766.5</v>
      </c>
      <c r="L1036" s="0" t="s">
        <v>2277</v>
      </c>
    </row>
    <row r="1037" customFormat="false" ht="12.75" hidden="false" customHeight="true" outlineLevel="0" collapsed="false">
      <c r="A1037" s="0" t="n">
        <v>2</v>
      </c>
      <c r="B1037" s="0" t="n">
        <v>2700</v>
      </c>
      <c r="C1037" s="0" t="s">
        <v>52</v>
      </c>
      <c r="D1037" s="0" t="s">
        <v>2288</v>
      </c>
      <c r="E1037" s="14" t="n">
        <v>46290</v>
      </c>
      <c r="F1037" s="14" t="n">
        <v>46290</v>
      </c>
      <c r="G1037" s="0" t="s">
        <v>153</v>
      </c>
      <c r="H1037" s="0" t="n">
        <v>1756574</v>
      </c>
      <c r="I1037" s="0" t="n">
        <v>6</v>
      </c>
      <c r="J1037" s="0" t="s">
        <v>2276</v>
      </c>
      <c r="K1037" s="15" t="n">
        <v>1382</v>
      </c>
      <c r="L1037" s="0" t="s">
        <v>2277</v>
      </c>
    </row>
    <row r="1038" customFormat="false" ht="12.75" hidden="false" customHeight="true" outlineLevel="0" collapsed="false">
      <c r="A1038" s="0" t="n">
        <v>2</v>
      </c>
      <c r="B1038" s="0" t="n">
        <v>395</v>
      </c>
      <c r="C1038" s="0" t="s">
        <v>52</v>
      </c>
      <c r="D1038" s="0" t="s">
        <v>2289</v>
      </c>
      <c r="E1038" s="14" t="n">
        <v>46290</v>
      </c>
      <c r="F1038" s="14" t="n">
        <v>46289</v>
      </c>
      <c r="G1038" s="0" t="s">
        <v>216</v>
      </c>
      <c r="H1038" s="0" t="n">
        <v>1755337</v>
      </c>
      <c r="I1038" s="0" t="n">
        <v>11</v>
      </c>
      <c r="J1038" s="0" t="s">
        <v>2276</v>
      </c>
      <c r="K1038" s="15" t="n">
        <v>949.6</v>
      </c>
      <c r="L1038" s="0" t="s">
        <v>2277</v>
      </c>
    </row>
    <row r="1039" customFormat="false" ht="12.75" hidden="false" customHeight="true" outlineLevel="0" collapsed="false">
      <c r="A1039" s="0" t="n">
        <v>2</v>
      </c>
      <c r="B1039" s="0" t="n">
        <v>4140</v>
      </c>
      <c r="C1039" s="0" t="s">
        <v>52</v>
      </c>
      <c r="D1039" s="0" t="s">
        <v>2282</v>
      </c>
      <c r="E1039" s="14" t="n">
        <v>46290</v>
      </c>
      <c r="F1039" s="14" t="n">
        <v>46289</v>
      </c>
      <c r="G1039" s="0" t="s">
        <v>209</v>
      </c>
      <c r="H1039" s="0" t="n">
        <v>1755003</v>
      </c>
      <c r="I1039" s="0" t="n">
        <v>11</v>
      </c>
      <c r="J1039" s="0" t="s">
        <v>2276</v>
      </c>
      <c r="K1039" s="15" t="n">
        <v>454.65</v>
      </c>
      <c r="L1039" s="0" t="s">
        <v>2277</v>
      </c>
    </row>
    <row r="1040" customFormat="false" ht="12.75" hidden="false" customHeight="true" outlineLevel="0" collapsed="false">
      <c r="A1040" s="0" t="n">
        <v>2</v>
      </c>
      <c r="B1040" s="0" t="n">
        <v>452</v>
      </c>
      <c r="C1040" s="0" t="s">
        <v>52</v>
      </c>
      <c r="D1040" s="0" t="s">
        <v>2311</v>
      </c>
      <c r="E1040" s="14" t="n">
        <v>46290</v>
      </c>
      <c r="F1040" s="14" t="n">
        <v>46290</v>
      </c>
      <c r="G1040" s="0" t="s">
        <v>86</v>
      </c>
      <c r="H1040" s="0" t="n">
        <v>1756281</v>
      </c>
      <c r="I1040" s="0" t="n">
        <v>11</v>
      </c>
      <c r="J1040" s="0" t="s">
        <v>2276</v>
      </c>
      <c r="K1040" s="15" t="n">
        <v>297</v>
      </c>
      <c r="L1040" s="0" t="s">
        <v>2277</v>
      </c>
    </row>
    <row r="1041" customFormat="false" ht="12.75" hidden="false" customHeight="true" outlineLevel="0" collapsed="false">
      <c r="A1041" s="0" t="n">
        <v>2</v>
      </c>
      <c r="B1041" s="0" t="n">
        <v>4761</v>
      </c>
      <c r="C1041" s="0" t="s">
        <v>52</v>
      </c>
      <c r="D1041" s="0" t="s">
        <v>2290</v>
      </c>
      <c r="E1041" s="14" t="n">
        <v>46290</v>
      </c>
      <c r="F1041" s="14" t="n">
        <v>46289</v>
      </c>
      <c r="G1041" s="0" t="s">
        <v>95</v>
      </c>
      <c r="H1041" s="0" t="n">
        <v>1756260</v>
      </c>
      <c r="I1041" s="0" t="n">
        <v>11</v>
      </c>
      <c r="J1041" s="0" t="s">
        <v>2276</v>
      </c>
      <c r="K1041" s="15" t="n">
        <v>133.05</v>
      </c>
      <c r="L1041" s="0" t="s">
        <v>2277</v>
      </c>
    </row>
    <row r="1042" customFormat="false" ht="12.75" hidden="false" customHeight="true" outlineLevel="0" collapsed="false">
      <c r="A1042" s="0" t="n">
        <v>2</v>
      </c>
      <c r="B1042" s="0" t="n">
        <v>6165</v>
      </c>
      <c r="C1042" s="0" t="s">
        <v>52</v>
      </c>
      <c r="D1042" s="0" t="s">
        <v>2302</v>
      </c>
      <c r="E1042" s="14" t="n">
        <v>46290</v>
      </c>
      <c r="F1042" s="14" t="n">
        <v>46290</v>
      </c>
      <c r="G1042" s="0" t="s">
        <v>84</v>
      </c>
      <c r="H1042" s="0" t="n">
        <v>1756316</v>
      </c>
      <c r="I1042" s="0" t="n">
        <v>11</v>
      </c>
      <c r="J1042" s="0" t="s">
        <v>2276</v>
      </c>
      <c r="K1042" s="15" t="n">
        <v>608.65</v>
      </c>
      <c r="L1042" s="0" t="s">
        <v>2277</v>
      </c>
    </row>
    <row r="1043" customFormat="false" ht="12.75" hidden="false" customHeight="true" outlineLevel="0" collapsed="false">
      <c r="A1043" s="0" t="n">
        <v>2</v>
      </c>
      <c r="B1043" s="0" t="n">
        <v>762380</v>
      </c>
      <c r="C1043" s="0" t="s">
        <v>2337</v>
      </c>
      <c r="D1043" s="0" t="s">
        <v>2365</v>
      </c>
      <c r="E1043" s="14" t="n">
        <v>46290</v>
      </c>
      <c r="F1043" s="14" t="n">
        <v>46287</v>
      </c>
      <c r="G1043" s="0" t="s">
        <v>151</v>
      </c>
      <c r="H1043" s="0" t="n">
        <v>1755391</v>
      </c>
      <c r="I1043" s="0" t="n">
        <v>39</v>
      </c>
      <c r="J1043" s="0" t="s">
        <v>2276</v>
      </c>
      <c r="K1043" s="15" t="n">
        <v>442.45</v>
      </c>
      <c r="L1043" s="0" t="s">
        <v>2346</v>
      </c>
    </row>
    <row r="1044" customFormat="false" ht="12.75" hidden="false" customHeight="true" outlineLevel="0" collapsed="false">
      <c r="A1044" s="0" t="n">
        <v>2</v>
      </c>
      <c r="B1044" s="0" t="n">
        <v>1685939</v>
      </c>
      <c r="C1044" s="0" t="s">
        <v>2280</v>
      </c>
      <c r="D1044" s="0" t="s">
        <v>2281</v>
      </c>
      <c r="E1044" s="14" t="n">
        <v>46291</v>
      </c>
      <c r="F1044" s="14" t="n">
        <v>46290</v>
      </c>
      <c r="G1044" s="0" t="s">
        <v>406</v>
      </c>
      <c r="H1044" s="0" t="n">
        <v>1759125</v>
      </c>
      <c r="I1044" s="0" t="n">
        <v>11</v>
      </c>
      <c r="J1044" s="0" t="s">
        <v>2276</v>
      </c>
      <c r="K1044" s="15" t="n">
        <v>187</v>
      </c>
      <c r="L1044" s="0" t="s">
        <v>2277</v>
      </c>
    </row>
    <row r="1045" customFormat="false" ht="12.75" hidden="false" customHeight="true" outlineLevel="0" collapsed="false">
      <c r="A1045" s="0" t="n">
        <v>2</v>
      </c>
      <c r="B1045" s="0" t="n">
        <v>339</v>
      </c>
      <c r="C1045" s="0" t="s">
        <v>52</v>
      </c>
      <c r="D1045" s="0" t="s">
        <v>2399</v>
      </c>
      <c r="E1045" s="14" t="n">
        <v>46291</v>
      </c>
      <c r="F1045" s="14" t="n">
        <v>46291</v>
      </c>
      <c r="G1045" s="0" t="s">
        <v>622</v>
      </c>
      <c r="H1045" s="0" t="n">
        <v>1768650</v>
      </c>
      <c r="I1045" s="0" t="n">
        <v>11</v>
      </c>
      <c r="J1045" s="0" t="s">
        <v>2276</v>
      </c>
      <c r="K1045" s="15" t="n">
        <v>120</v>
      </c>
      <c r="L1045" s="0" t="s">
        <v>2277</v>
      </c>
    </row>
    <row r="1046" customFormat="false" ht="12.75" hidden="false" customHeight="true" outlineLevel="0" collapsed="false">
      <c r="A1046" s="0" t="n">
        <v>2</v>
      </c>
      <c r="B1046" s="0" t="n">
        <v>404714</v>
      </c>
      <c r="C1046" s="0" t="s">
        <v>52</v>
      </c>
      <c r="D1046" s="0" t="s">
        <v>2301</v>
      </c>
      <c r="E1046" s="14" t="n">
        <v>46291</v>
      </c>
      <c r="F1046" s="14" t="n">
        <v>46289</v>
      </c>
      <c r="G1046" s="0" t="s">
        <v>172</v>
      </c>
      <c r="H1046" s="0" t="n">
        <v>1759074</v>
      </c>
      <c r="I1046" s="0" t="n">
        <v>11</v>
      </c>
      <c r="J1046" s="0" t="s">
        <v>2276</v>
      </c>
      <c r="K1046" s="15" t="n">
        <v>2148.3</v>
      </c>
      <c r="L1046" s="0" t="s">
        <v>2277</v>
      </c>
    </row>
    <row r="1047" customFormat="false" ht="12.75" hidden="false" customHeight="true" outlineLevel="0" collapsed="false">
      <c r="A1047" s="0" t="n">
        <v>2</v>
      </c>
      <c r="B1047" s="0" t="n">
        <v>575307</v>
      </c>
      <c r="C1047" s="0" t="s">
        <v>2316</v>
      </c>
      <c r="D1047" s="0" t="s">
        <v>2317</v>
      </c>
      <c r="E1047" s="14" t="n">
        <v>46291</v>
      </c>
      <c r="F1047" s="14" t="n">
        <v>46290</v>
      </c>
      <c r="G1047" s="0" t="s">
        <v>266</v>
      </c>
      <c r="H1047" s="0" t="n">
        <v>1759149</v>
      </c>
      <c r="I1047" s="0" t="n">
        <v>11</v>
      </c>
      <c r="J1047" s="0" t="s">
        <v>2276</v>
      </c>
      <c r="K1047" s="15" t="n">
        <v>11524.1</v>
      </c>
      <c r="L1047" s="0" t="s">
        <v>2277</v>
      </c>
    </row>
    <row r="1048" customFormat="false" ht="12.75" hidden="false" customHeight="true" outlineLevel="0" collapsed="false">
      <c r="A1048" s="0" t="n">
        <v>2</v>
      </c>
      <c r="B1048" s="0" t="n">
        <v>681</v>
      </c>
      <c r="C1048" s="0" t="s">
        <v>52</v>
      </c>
      <c r="D1048" s="0" t="s">
        <v>2291</v>
      </c>
      <c r="E1048" s="14" t="n">
        <v>46291</v>
      </c>
      <c r="F1048" s="14" t="n">
        <v>46290</v>
      </c>
      <c r="G1048" s="0" t="s">
        <v>123</v>
      </c>
      <c r="H1048" s="0" t="n">
        <v>1759595</v>
      </c>
      <c r="I1048" s="0" t="n">
        <v>11</v>
      </c>
      <c r="J1048" s="0" t="s">
        <v>2276</v>
      </c>
      <c r="K1048" s="15" t="n">
        <v>180</v>
      </c>
      <c r="L1048" s="0" t="s">
        <v>2277</v>
      </c>
    </row>
    <row r="1049" customFormat="false" ht="12.75" hidden="false" customHeight="true" outlineLevel="0" collapsed="false">
      <c r="A1049" s="0" t="n">
        <v>2</v>
      </c>
      <c r="B1049" s="0" t="n">
        <v>823</v>
      </c>
      <c r="C1049" s="0" t="s">
        <v>44</v>
      </c>
      <c r="D1049" s="0" t="s">
        <v>2283</v>
      </c>
      <c r="E1049" s="14" t="n">
        <v>46291</v>
      </c>
      <c r="F1049" s="14" t="n">
        <v>46290</v>
      </c>
      <c r="G1049" s="0" t="s">
        <v>204</v>
      </c>
      <c r="H1049" s="0" t="n">
        <v>1758885</v>
      </c>
      <c r="I1049" s="0" t="n">
        <v>11</v>
      </c>
      <c r="J1049" s="0" t="s">
        <v>2276</v>
      </c>
      <c r="K1049" s="15" t="n">
        <v>279.8</v>
      </c>
      <c r="L1049" s="0" t="s">
        <v>2277</v>
      </c>
    </row>
    <row r="1050" customFormat="false" ht="12.75" hidden="false" customHeight="true" outlineLevel="0" collapsed="false">
      <c r="A1050" s="0" t="n">
        <v>2</v>
      </c>
      <c r="B1050" s="0" t="n">
        <v>15464</v>
      </c>
      <c r="C1050" s="0" t="s">
        <v>52</v>
      </c>
      <c r="D1050" s="0" t="s">
        <v>2278</v>
      </c>
      <c r="E1050" s="14" t="n">
        <v>46293</v>
      </c>
      <c r="F1050" s="14" t="n">
        <v>46291</v>
      </c>
      <c r="G1050" s="0" t="s">
        <v>270</v>
      </c>
      <c r="H1050" s="0" t="n">
        <v>1768803</v>
      </c>
      <c r="I1050" s="0" t="n">
        <v>11</v>
      </c>
      <c r="J1050" s="0" t="s">
        <v>2276</v>
      </c>
      <c r="K1050" s="15" t="n">
        <v>3753.6</v>
      </c>
      <c r="L1050" s="0" t="s">
        <v>2277</v>
      </c>
    </row>
    <row r="1051" customFormat="false" ht="12.75" hidden="false" customHeight="true" outlineLevel="0" collapsed="false">
      <c r="A1051" s="0" t="n">
        <v>2</v>
      </c>
      <c r="B1051" s="0" t="n">
        <v>1686439</v>
      </c>
      <c r="C1051" s="0" t="s">
        <v>2280</v>
      </c>
      <c r="D1051" s="0" t="s">
        <v>2281</v>
      </c>
      <c r="E1051" s="14" t="n">
        <v>46293</v>
      </c>
      <c r="F1051" s="14" t="n">
        <v>46291</v>
      </c>
      <c r="G1051" s="0" t="s">
        <v>406</v>
      </c>
      <c r="H1051" s="0" t="n">
        <v>1768627</v>
      </c>
      <c r="I1051" s="0" t="n">
        <v>11</v>
      </c>
      <c r="J1051" s="0" t="s">
        <v>2276</v>
      </c>
      <c r="K1051" s="15" t="n">
        <v>89</v>
      </c>
      <c r="L1051" s="0" t="s">
        <v>2277</v>
      </c>
    </row>
    <row r="1052" customFormat="false" ht="12.75" hidden="false" customHeight="true" outlineLevel="0" collapsed="false">
      <c r="A1052" s="0" t="n">
        <v>2</v>
      </c>
      <c r="B1052" s="0" t="n">
        <v>178788</v>
      </c>
      <c r="C1052" s="0" t="s">
        <v>44</v>
      </c>
      <c r="D1052" s="0" t="s">
        <v>2430</v>
      </c>
      <c r="E1052" s="14" t="n">
        <v>46293</v>
      </c>
      <c r="F1052" s="14" t="n">
        <v>46291</v>
      </c>
      <c r="G1052" s="0" t="s">
        <v>2056</v>
      </c>
      <c r="H1052" s="0" t="n">
        <v>1769877</v>
      </c>
      <c r="I1052" s="0" t="n">
        <v>39</v>
      </c>
      <c r="J1052" s="0" t="s">
        <v>2276</v>
      </c>
      <c r="K1052" s="15" t="n">
        <v>770</v>
      </c>
      <c r="L1052" s="0" t="s">
        <v>2346</v>
      </c>
    </row>
    <row r="1053" customFormat="false" ht="12.75" hidden="false" customHeight="true" outlineLevel="0" collapsed="false">
      <c r="A1053" s="0" t="n">
        <v>2</v>
      </c>
      <c r="B1053" s="0" t="n">
        <v>2701</v>
      </c>
      <c r="C1053" s="0" t="s">
        <v>52</v>
      </c>
      <c r="D1053" s="0" t="s">
        <v>2288</v>
      </c>
      <c r="E1053" s="14" t="n">
        <v>46293</v>
      </c>
      <c r="F1053" s="14" t="n">
        <v>46293</v>
      </c>
      <c r="G1053" s="0" t="s">
        <v>153</v>
      </c>
      <c r="H1053" s="0" t="n">
        <v>1768684</v>
      </c>
      <c r="I1053" s="0" t="n">
        <v>6</v>
      </c>
      <c r="J1053" s="0" t="s">
        <v>2276</v>
      </c>
      <c r="K1053" s="15" t="n">
        <v>210</v>
      </c>
      <c r="L1053" s="0" t="s">
        <v>2277</v>
      </c>
    </row>
    <row r="1054" customFormat="false" ht="12.75" hidden="false" customHeight="true" outlineLevel="0" collapsed="false">
      <c r="A1054" s="0" t="n">
        <v>2</v>
      </c>
      <c r="B1054" s="0" t="n">
        <v>2704</v>
      </c>
      <c r="C1054" s="0" t="s">
        <v>52</v>
      </c>
      <c r="D1054" s="0" t="s">
        <v>2288</v>
      </c>
      <c r="E1054" s="14" t="n">
        <v>46293</v>
      </c>
      <c r="F1054" s="14" t="n">
        <v>46293</v>
      </c>
      <c r="G1054" s="0" t="s">
        <v>153</v>
      </c>
      <c r="H1054" s="0" t="n">
        <v>1770519</v>
      </c>
      <c r="I1054" s="0" t="n">
        <v>6</v>
      </c>
      <c r="J1054" s="0" t="s">
        <v>2276</v>
      </c>
      <c r="K1054" s="15" t="n">
        <v>2275</v>
      </c>
      <c r="L1054" s="0" t="s">
        <v>2277</v>
      </c>
    </row>
    <row r="1055" customFormat="false" ht="12.75" hidden="false" customHeight="true" outlineLevel="0" collapsed="false">
      <c r="A1055" s="0" t="n">
        <v>2</v>
      </c>
      <c r="B1055" s="0" t="n">
        <v>292150</v>
      </c>
      <c r="C1055" s="0" t="s">
        <v>52</v>
      </c>
      <c r="D1055" s="0" t="s">
        <v>2425</v>
      </c>
      <c r="E1055" s="14" t="n">
        <v>46293</v>
      </c>
      <c r="F1055" s="14" t="n">
        <v>46291</v>
      </c>
      <c r="G1055" s="0" t="s">
        <v>1921</v>
      </c>
      <c r="H1055" s="0" t="n">
        <v>1769948</v>
      </c>
      <c r="I1055" s="0" t="n">
        <v>39</v>
      </c>
      <c r="J1055" s="0" t="s">
        <v>2276</v>
      </c>
      <c r="K1055" s="15" t="n">
        <v>234</v>
      </c>
      <c r="L1055" s="0" t="s">
        <v>2346</v>
      </c>
    </row>
    <row r="1056" customFormat="false" ht="12.75" hidden="false" customHeight="true" outlineLevel="0" collapsed="false">
      <c r="A1056" s="0" t="n">
        <v>2</v>
      </c>
      <c r="B1056" s="0" t="n">
        <v>449309</v>
      </c>
      <c r="C1056" s="0" t="s">
        <v>44</v>
      </c>
      <c r="D1056" s="0" t="s">
        <v>2426</v>
      </c>
      <c r="E1056" s="14" t="n">
        <v>46293</v>
      </c>
      <c r="F1056" s="14" t="n">
        <v>46280</v>
      </c>
      <c r="G1056" s="0" t="s">
        <v>93</v>
      </c>
      <c r="H1056" s="0" t="n">
        <v>1770150</v>
      </c>
      <c r="I1056" s="0" t="n">
        <v>39</v>
      </c>
      <c r="J1056" s="0" t="s">
        <v>2276</v>
      </c>
      <c r="K1056" s="15" t="n">
        <v>50</v>
      </c>
      <c r="L1056" s="0" t="s">
        <v>2346</v>
      </c>
    </row>
    <row r="1057" customFormat="false" ht="12.75" hidden="false" customHeight="true" outlineLevel="0" collapsed="false">
      <c r="A1057" s="0" t="n">
        <v>2</v>
      </c>
      <c r="B1057" s="0" t="n">
        <v>1044095</v>
      </c>
      <c r="C1057" s="0" t="s">
        <v>52</v>
      </c>
      <c r="D1057" s="0" t="s">
        <v>2286</v>
      </c>
      <c r="E1057" s="14" t="n">
        <v>46294</v>
      </c>
      <c r="F1057" s="14" t="n">
        <v>46293</v>
      </c>
      <c r="G1057" s="0" t="s">
        <v>228</v>
      </c>
      <c r="H1057" s="0" t="n">
        <v>1773525</v>
      </c>
      <c r="I1057" s="0" t="n">
        <v>11</v>
      </c>
      <c r="J1057" s="0" t="s">
        <v>2276</v>
      </c>
      <c r="K1057" s="15" t="n">
        <v>290.51</v>
      </c>
      <c r="L1057" s="0" t="s">
        <v>2277</v>
      </c>
    </row>
    <row r="1058" customFormat="false" ht="12.75" hidden="false" customHeight="true" outlineLevel="0" collapsed="false">
      <c r="A1058" s="0" t="n">
        <v>2</v>
      </c>
      <c r="B1058" s="0" t="n">
        <v>15487</v>
      </c>
      <c r="C1058" s="0" t="s">
        <v>52</v>
      </c>
      <c r="D1058" s="0" t="s">
        <v>2278</v>
      </c>
      <c r="E1058" s="14" t="n">
        <v>46294</v>
      </c>
      <c r="F1058" s="14" t="n">
        <v>46294</v>
      </c>
      <c r="G1058" s="0" t="s">
        <v>270</v>
      </c>
      <c r="H1058" s="0" t="n">
        <v>1774906</v>
      </c>
      <c r="I1058" s="0" t="n">
        <v>11</v>
      </c>
      <c r="J1058" s="0" t="s">
        <v>2276</v>
      </c>
      <c r="K1058" s="15" t="n">
        <v>3661</v>
      </c>
      <c r="L1058" s="0" t="s">
        <v>2277</v>
      </c>
    </row>
    <row r="1059" customFormat="false" ht="12.75" hidden="false" customHeight="true" outlineLevel="0" collapsed="false">
      <c r="A1059" s="0" t="n">
        <v>2</v>
      </c>
      <c r="B1059" s="0" t="n">
        <v>1686869</v>
      </c>
      <c r="C1059" s="0" t="s">
        <v>2280</v>
      </c>
      <c r="D1059" s="0" t="s">
        <v>2281</v>
      </c>
      <c r="E1059" s="14" t="n">
        <v>46294</v>
      </c>
      <c r="F1059" s="14" t="n">
        <v>46293</v>
      </c>
      <c r="G1059" s="0" t="s">
        <v>406</v>
      </c>
      <c r="H1059" s="0" t="n">
        <v>1773584</v>
      </c>
      <c r="I1059" s="0" t="n">
        <v>11</v>
      </c>
      <c r="J1059" s="0" t="s">
        <v>2276</v>
      </c>
      <c r="K1059" s="15" t="n">
        <v>155</v>
      </c>
      <c r="L1059" s="0" t="s">
        <v>2277</v>
      </c>
    </row>
    <row r="1060" customFormat="false" ht="12.75" hidden="false" customHeight="true" outlineLevel="0" collapsed="false">
      <c r="A1060" s="0" t="n">
        <v>2</v>
      </c>
      <c r="B1060" s="0" t="n">
        <v>2705</v>
      </c>
      <c r="C1060" s="0" t="s">
        <v>52</v>
      </c>
      <c r="D1060" s="0" t="s">
        <v>2288</v>
      </c>
      <c r="E1060" s="14" t="n">
        <v>46294</v>
      </c>
      <c r="F1060" s="14" t="n">
        <v>46294</v>
      </c>
      <c r="G1060" s="0" t="s">
        <v>153</v>
      </c>
      <c r="H1060" s="0" t="n">
        <v>1773763</v>
      </c>
      <c r="I1060" s="0" t="n">
        <v>6</v>
      </c>
      <c r="J1060" s="0" t="s">
        <v>2276</v>
      </c>
      <c r="K1060" s="15" t="n">
        <v>225</v>
      </c>
      <c r="L1060" s="0" t="s">
        <v>2277</v>
      </c>
    </row>
    <row r="1061" customFormat="false" ht="12.75" hidden="false" customHeight="true" outlineLevel="0" collapsed="false">
      <c r="A1061" s="0" t="n">
        <v>2</v>
      </c>
      <c r="B1061" s="0" t="n">
        <v>2708</v>
      </c>
      <c r="C1061" s="0" t="s">
        <v>52</v>
      </c>
      <c r="D1061" s="0" t="s">
        <v>2288</v>
      </c>
      <c r="E1061" s="14" t="n">
        <v>46294</v>
      </c>
      <c r="F1061" s="14" t="n">
        <v>46294</v>
      </c>
      <c r="G1061" s="0" t="s">
        <v>153</v>
      </c>
      <c r="H1061" s="0" t="n">
        <v>1775023</v>
      </c>
      <c r="I1061" s="0" t="n">
        <v>6</v>
      </c>
      <c r="J1061" s="0" t="s">
        <v>2276</v>
      </c>
      <c r="K1061" s="15" t="n">
        <v>1904</v>
      </c>
      <c r="L1061" s="0" t="s">
        <v>2277</v>
      </c>
    </row>
    <row r="1062" customFormat="false" ht="12.75" hidden="false" customHeight="true" outlineLevel="0" collapsed="false">
      <c r="A1062" s="0" t="n">
        <v>2</v>
      </c>
      <c r="B1062" s="0" t="n">
        <v>3260278</v>
      </c>
      <c r="C1062" s="0" t="s">
        <v>52</v>
      </c>
      <c r="D1062" s="0" t="s">
        <v>2324</v>
      </c>
      <c r="E1062" s="14" t="n">
        <v>46294</v>
      </c>
      <c r="F1062" s="14" t="n">
        <v>46293</v>
      </c>
      <c r="G1062" s="0" t="s">
        <v>61</v>
      </c>
      <c r="H1062" s="0" t="n">
        <v>1774593</v>
      </c>
      <c r="I1062" s="0" t="n">
        <v>39</v>
      </c>
      <c r="J1062" s="0" t="s">
        <v>2276</v>
      </c>
      <c r="K1062" s="15" t="n">
        <v>483.51</v>
      </c>
      <c r="L1062" s="0" t="s">
        <v>2346</v>
      </c>
    </row>
    <row r="1063" customFormat="false" ht="12.75" hidden="false" customHeight="true" outlineLevel="0" collapsed="false">
      <c r="A1063" s="0" t="n">
        <v>2</v>
      </c>
      <c r="B1063" s="0" t="n">
        <v>39433</v>
      </c>
      <c r="C1063" s="0" t="s">
        <v>52</v>
      </c>
      <c r="D1063" s="0" t="s">
        <v>2412</v>
      </c>
      <c r="E1063" s="14" t="n">
        <v>46294</v>
      </c>
      <c r="F1063" s="14" t="n">
        <v>46293</v>
      </c>
      <c r="G1063" s="0" t="s">
        <v>1540</v>
      </c>
      <c r="H1063" s="0" t="n">
        <v>1774798</v>
      </c>
      <c r="I1063" s="0" t="n">
        <v>11</v>
      </c>
      <c r="J1063" s="0" t="s">
        <v>2276</v>
      </c>
      <c r="K1063" s="15" t="n">
        <v>1162.32</v>
      </c>
      <c r="L1063" s="0" t="s">
        <v>2277</v>
      </c>
    </row>
    <row r="1064" customFormat="false" ht="12.75" hidden="false" customHeight="true" outlineLevel="0" collapsed="false">
      <c r="A1064" s="0" t="n">
        <v>2</v>
      </c>
      <c r="B1064" s="0" t="n">
        <v>402</v>
      </c>
      <c r="C1064" s="0" t="s">
        <v>44</v>
      </c>
      <c r="D1064" s="0" t="s">
        <v>2397</v>
      </c>
      <c r="E1064" s="14" t="n">
        <v>46294</v>
      </c>
      <c r="F1064" s="14" t="n">
        <v>46294</v>
      </c>
      <c r="G1064" s="0" t="s">
        <v>984</v>
      </c>
      <c r="H1064" s="0" t="n">
        <v>1773778</v>
      </c>
      <c r="I1064" s="0" t="n">
        <v>11</v>
      </c>
      <c r="J1064" s="0" t="s">
        <v>2276</v>
      </c>
      <c r="K1064" s="15" t="n">
        <v>200</v>
      </c>
      <c r="L1064" s="0" t="s">
        <v>2277</v>
      </c>
    </row>
    <row r="1065" customFormat="false" ht="12.75" hidden="false" customHeight="true" outlineLevel="0" collapsed="false">
      <c r="A1065" s="0" t="n">
        <v>2</v>
      </c>
      <c r="B1065" s="0" t="n">
        <v>4169</v>
      </c>
      <c r="C1065" s="0" t="s">
        <v>52</v>
      </c>
      <c r="D1065" s="0" t="s">
        <v>2282</v>
      </c>
      <c r="E1065" s="14" t="n">
        <v>46294</v>
      </c>
      <c r="F1065" s="14" t="n">
        <v>46293</v>
      </c>
      <c r="G1065" s="0" t="s">
        <v>209</v>
      </c>
      <c r="H1065" s="0" t="n">
        <v>1773571</v>
      </c>
      <c r="I1065" s="0" t="n">
        <v>11</v>
      </c>
      <c r="J1065" s="0" t="s">
        <v>2276</v>
      </c>
      <c r="K1065" s="15" t="n">
        <v>364.75</v>
      </c>
      <c r="L1065" s="0" t="s">
        <v>2277</v>
      </c>
    </row>
    <row r="1066" customFormat="false" ht="12.75" hidden="false" customHeight="true" outlineLevel="0" collapsed="false">
      <c r="A1066" s="0" t="n">
        <v>2</v>
      </c>
      <c r="B1066" s="0" t="n">
        <v>692</v>
      </c>
      <c r="C1066" s="0" t="s">
        <v>52</v>
      </c>
      <c r="D1066" s="0" t="s">
        <v>2291</v>
      </c>
      <c r="E1066" s="14" t="n">
        <v>46294</v>
      </c>
      <c r="F1066" s="14" t="n">
        <v>46293</v>
      </c>
      <c r="G1066" s="0" t="s">
        <v>123</v>
      </c>
      <c r="H1066" s="0" t="n">
        <v>1774684</v>
      </c>
      <c r="I1066" s="0" t="n">
        <v>11</v>
      </c>
      <c r="J1066" s="0" t="s">
        <v>2276</v>
      </c>
      <c r="K1066" s="15" t="n">
        <v>180</v>
      </c>
      <c r="L1066" s="0" t="s">
        <v>2277</v>
      </c>
    </row>
    <row r="1067" customFormat="false" ht="12.75" hidden="false" customHeight="true" outlineLevel="0" collapsed="false">
      <c r="A1067" s="0" t="n">
        <v>2</v>
      </c>
      <c r="B1067" s="0" t="n">
        <v>1309310</v>
      </c>
      <c r="C1067" s="0" t="s">
        <v>80</v>
      </c>
      <c r="D1067" s="0" t="s">
        <v>2275</v>
      </c>
      <c r="E1067" s="14" t="n">
        <v>46295</v>
      </c>
      <c r="F1067" s="14" t="n">
        <v>46293</v>
      </c>
      <c r="G1067" s="0" t="s">
        <v>130</v>
      </c>
      <c r="H1067" s="0" t="n">
        <v>1779396</v>
      </c>
      <c r="I1067" s="0" t="n">
        <v>11</v>
      </c>
      <c r="J1067" s="0" t="s">
        <v>2276</v>
      </c>
      <c r="K1067" s="15" t="n">
        <v>610.26</v>
      </c>
      <c r="L1067" s="0" t="s">
        <v>2277</v>
      </c>
    </row>
    <row r="1068" customFormat="false" ht="12.75" hidden="false" customHeight="true" outlineLevel="0" collapsed="false">
      <c r="A1068" s="0" t="n">
        <v>2</v>
      </c>
      <c r="B1068" s="0" t="n">
        <v>1309311</v>
      </c>
      <c r="C1068" s="0" t="s">
        <v>80</v>
      </c>
      <c r="D1068" s="0" t="s">
        <v>2275</v>
      </c>
      <c r="E1068" s="14" t="n">
        <v>46295</v>
      </c>
      <c r="F1068" s="14" t="n">
        <v>46293</v>
      </c>
      <c r="G1068" s="0" t="s">
        <v>130</v>
      </c>
      <c r="H1068" s="0" t="n">
        <v>1779348</v>
      </c>
      <c r="I1068" s="0" t="n">
        <v>11</v>
      </c>
      <c r="J1068" s="0" t="s">
        <v>2276</v>
      </c>
      <c r="K1068" s="15" t="n">
        <v>152.55</v>
      </c>
      <c r="L1068" s="0" t="s">
        <v>2277</v>
      </c>
    </row>
    <row r="1069" customFormat="false" ht="12.75" hidden="false" customHeight="true" outlineLevel="0" collapsed="false">
      <c r="A1069" s="0" t="n">
        <v>2</v>
      </c>
      <c r="B1069" s="0" t="n">
        <v>1688025</v>
      </c>
      <c r="C1069" s="0" t="s">
        <v>2280</v>
      </c>
      <c r="D1069" s="0" t="s">
        <v>2281</v>
      </c>
      <c r="E1069" s="14" t="n">
        <v>46295</v>
      </c>
      <c r="F1069" s="14" t="n">
        <v>46295</v>
      </c>
      <c r="G1069" s="0" t="s">
        <v>406</v>
      </c>
      <c r="H1069" s="0" t="n">
        <v>1779519</v>
      </c>
      <c r="I1069" s="0" t="n">
        <v>11</v>
      </c>
      <c r="J1069" s="0" t="s">
        <v>2276</v>
      </c>
      <c r="K1069" s="15" t="n">
        <v>158</v>
      </c>
      <c r="L1069" s="0" t="s">
        <v>2277</v>
      </c>
    </row>
    <row r="1070" customFormat="false" ht="12.75" hidden="false" customHeight="true" outlineLevel="0" collapsed="false">
      <c r="A1070" s="0" t="n">
        <v>2</v>
      </c>
      <c r="B1070" s="0" t="n">
        <v>1736096</v>
      </c>
      <c r="C1070" s="0" t="s">
        <v>52</v>
      </c>
      <c r="D1070" s="0" t="s">
        <v>2287</v>
      </c>
      <c r="E1070" s="14" t="n">
        <v>46295</v>
      </c>
      <c r="F1070" s="14" t="n">
        <v>46289</v>
      </c>
      <c r="G1070" s="0" t="s">
        <v>240</v>
      </c>
      <c r="H1070" s="0" t="n">
        <v>1779096</v>
      </c>
      <c r="I1070" s="0" t="n">
        <v>11</v>
      </c>
      <c r="J1070" s="0" t="s">
        <v>2276</v>
      </c>
      <c r="K1070" s="15" t="n">
        <v>1092.48</v>
      </c>
      <c r="L1070" s="0" t="s">
        <v>2277</v>
      </c>
    </row>
    <row r="1071" customFormat="false" ht="12.75" hidden="false" customHeight="true" outlineLevel="0" collapsed="false">
      <c r="A1071" s="0" t="n">
        <v>2</v>
      </c>
      <c r="B1071" s="0" t="n">
        <v>1975</v>
      </c>
      <c r="C1071" s="0" t="s">
        <v>52</v>
      </c>
      <c r="D1071" s="0" t="s">
        <v>2321</v>
      </c>
      <c r="E1071" s="14" t="n">
        <v>46295</v>
      </c>
      <c r="F1071" s="14" t="n">
        <v>46289</v>
      </c>
      <c r="G1071" s="0" t="s">
        <v>42</v>
      </c>
      <c r="H1071" s="0" t="n">
        <v>1780512</v>
      </c>
      <c r="I1071" s="0" t="n">
        <v>11</v>
      </c>
      <c r="J1071" s="0" t="s">
        <v>2276</v>
      </c>
      <c r="K1071" s="15" t="n">
        <v>2329</v>
      </c>
      <c r="L1071" s="0" t="s">
        <v>2277</v>
      </c>
    </row>
    <row r="1072" customFormat="false" ht="12.75" hidden="false" customHeight="true" outlineLevel="0" collapsed="false">
      <c r="A1072" s="0" t="n">
        <v>2</v>
      </c>
      <c r="B1072" s="0" t="n">
        <v>2066814</v>
      </c>
      <c r="C1072" s="0" t="s">
        <v>36</v>
      </c>
      <c r="D1072" s="0" t="s">
        <v>2275</v>
      </c>
      <c r="E1072" s="14" t="n">
        <v>46295</v>
      </c>
      <c r="F1072" s="14" t="n">
        <v>46293</v>
      </c>
      <c r="G1072" s="0" t="s">
        <v>130</v>
      </c>
      <c r="H1072" s="0" t="n">
        <v>1779320</v>
      </c>
      <c r="I1072" s="0" t="n">
        <v>11</v>
      </c>
      <c r="J1072" s="0" t="s">
        <v>2276</v>
      </c>
      <c r="K1072" s="15" t="n">
        <v>132.72</v>
      </c>
      <c r="L1072" s="0" t="s">
        <v>2277</v>
      </c>
    </row>
    <row r="1073" customFormat="false" ht="12.75" hidden="false" customHeight="true" outlineLevel="0" collapsed="false">
      <c r="A1073" s="0" t="n">
        <v>2</v>
      </c>
      <c r="B1073" s="0" t="n">
        <v>2067069</v>
      </c>
      <c r="C1073" s="0" t="s">
        <v>36</v>
      </c>
      <c r="D1073" s="0" t="s">
        <v>2275</v>
      </c>
      <c r="E1073" s="14" t="n">
        <v>46295</v>
      </c>
      <c r="F1073" s="14" t="n">
        <v>46293</v>
      </c>
      <c r="G1073" s="0" t="s">
        <v>130</v>
      </c>
      <c r="H1073" s="0" t="n">
        <v>1779418</v>
      </c>
      <c r="I1073" s="0" t="n">
        <v>11</v>
      </c>
      <c r="J1073" s="0" t="s">
        <v>2276</v>
      </c>
      <c r="K1073" s="15" t="n">
        <v>2952.06</v>
      </c>
      <c r="L1073" s="0" t="s">
        <v>2277</v>
      </c>
    </row>
    <row r="1074" customFormat="false" ht="12.75" hidden="false" customHeight="true" outlineLevel="0" collapsed="false">
      <c r="A1074" s="0" t="n">
        <v>2</v>
      </c>
      <c r="B1074" s="0" t="n">
        <v>2709</v>
      </c>
      <c r="C1074" s="0" t="s">
        <v>52</v>
      </c>
      <c r="D1074" s="0" t="s">
        <v>2288</v>
      </c>
      <c r="E1074" s="14" t="n">
        <v>46295</v>
      </c>
      <c r="F1074" s="14" t="n">
        <v>46295</v>
      </c>
      <c r="G1074" s="0" t="s">
        <v>153</v>
      </c>
      <c r="H1074" s="0" t="n">
        <v>1779569</v>
      </c>
      <c r="I1074" s="0" t="n">
        <v>6</v>
      </c>
      <c r="J1074" s="0" t="s">
        <v>2276</v>
      </c>
      <c r="K1074" s="15" t="n">
        <v>405</v>
      </c>
      <c r="L1074" s="0" t="s">
        <v>2277</v>
      </c>
    </row>
    <row r="1075" customFormat="false" ht="12.75" hidden="false" customHeight="true" outlineLevel="0" collapsed="false">
      <c r="A1075" s="0" t="n">
        <v>2</v>
      </c>
      <c r="B1075" s="0" t="n">
        <v>2828</v>
      </c>
      <c r="C1075" s="0" t="s">
        <v>52</v>
      </c>
      <c r="D1075" s="0" t="s">
        <v>2373</v>
      </c>
      <c r="E1075" s="14" t="n">
        <v>46295</v>
      </c>
      <c r="F1075" s="14" t="n">
        <v>46295</v>
      </c>
      <c r="G1075" s="0" t="s">
        <v>804</v>
      </c>
      <c r="H1075" s="0" t="n">
        <v>1780601</v>
      </c>
      <c r="I1075" s="0" t="n">
        <v>39</v>
      </c>
      <c r="J1075" s="0" t="s">
        <v>2276</v>
      </c>
      <c r="K1075" s="15" t="n">
        <v>638</v>
      </c>
      <c r="L1075" s="0" t="s">
        <v>2346</v>
      </c>
    </row>
    <row r="1076" customFormat="false" ht="12.75" hidden="false" customHeight="true" outlineLevel="0" collapsed="false">
      <c r="A1076" s="0" t="n">
        <v>2</v>
      </c>
      <c r="B1076" s="0" t="n">
        <v>349</v>
      </c>
      <c r="C1076" s="0" t="s">
        <v>52</v>
      </c>
      <c r="D1076" s="0" t="s">
        <v>2399</v>
      </c>
      <c r="E1076" s="14" t="n">
        <v>46295</v>
      </c>
      <c r="F1076" s="14" t="n">
        <v>46293</v>
      </c>
      <c r="G1076" s="0" t="s">
        <v>622</v>
      </c>
      <c r="H1076" s="0" t="n">
        <v>1779146</v>
      </c>
      <c r="I1076" s="0" t="n">
        <v>11</v>
      </c>
      <c r="J1076" s="0" t="s">
        <v>2276</v>
      </c>
      <c r="K1076" s="15" t="n">
        <v>120</v>
      </c>
      <c r="L1076" s="0" t="s">
        <v>2277</v>
      </c>
    </row>
    <row r="1077" customFormat="false" ht="12.75" hidden="false" customHeight="true" outlineLevel="0" collapsed="false">
      <c r="A1077" s="0" t="n">
        <v>2</v>
      </c>
      <c r="B1077" s="0" t="n">
        <v>60655</v>
      </c>
      <c r="C1077" s="0" t="s">
        <v>52</v>
      </c>
      <c r="D1077" s="0" t="s">
        <v>2334</v>
      </c>
      <c r="E1077" s="14" t="n">
        <v>46295</v>
      </c>
      <c r="F1077" s="14" t="n">
        <v>46294</v>
      </c>
      <c r="G1077" s="0" t="s">
        <v>487</v>
      </c>
      <c r="H1077" s="0" t="n">
        <v>1779210</v>
      </c>
      <c r="I1077" s="0" t="n">
        <v>11</v>
      </c>
      <c r="J1077" s="0" t="s">
        <v>2276</v>
      </c>
      <c r="K1077" s="15" t="n">
        <v>223.84</v>
      </c>
      <c r="L1077" s="0" t="s">
        <v>2277</v>
      </c>
    </row>
    <row r="1078" customFormat="false" ht="12.75" hidden="false" customHeight="true" outlineLevel="0" collapsed="false">
      <c r="A1078" s="0" t="n">
        <v>2</v>
      </c>
      <c r="B1078" s="0" t="n">
        <v>2072597</v>
      </c>
      <c r="C1078" s="0" t="s">
        <v>36</v>
      </c>
      <c r="D1078" s="0" t="s">
        <v>2275</v>
      </c>
      <c r="E1078" s="14" t="n">
        <v>46296</v>
      </c>
      <c r="F1078" s="14" t="n">
        <v>46295</v>
      </c>
      <c r="G1078" s="0" t="s">
        <v>130</v>
      </c>
      <c r="H1078" s="0" t="n">
        <v>1785270</v>
      </c>
      <c r="I1078" s="0" t="n">
        <v>11</v>
      </c>
      <c r="J1078" s="0" t="s">
        <v>2276</v>
      </c>
      <c r="K1078" s="15" t="n">
        <v>1066.72</v>
      </c>
      <c r="L1078" s="0" t="s">
        <v>2277</v>
      </c>
    </row>
    <row r="1079" customFormat="false" ht="12.75" hidden="false" customHeight="true" outlineLevel="0" collapsed="false">
      <c r="A1079" s="0" t="n">
        <v>2</v>
      </c>
      <c r="B1079" s="0" t="n">
        <v>2164</v>
      </c>
      <c r="C1079" s="0" t="s">
        <v>52</v>
      </c>
      <c r="D1079" s="0" t="s">
        <v>2431</v>
      </c>
      <c r="E1079" s="14" t="n">
        <v>46296</v>
      </c>
      <c r="F1079" s="14" t="n">
        <v>46295</v>
      </c>
      <c r="G1079" s="0" t="s">
        <v>696</v>
      </c>
      <c r="H1079" s="0" t="n">
        <v>1784800</v>
      </c>
      <c r="I1079" s="0" t="n">
        <v>11</v>
      </c>
      <c r="J1079" s="0" t="s">
        <v>2276</v>
      </c>
      <c r="K1079" s="15" t="n">
        <v>1480.74</v>
      </c>
      <c r="L1079" s="0" t="s">
        <v>2277</v>
      </c>
    </row>
    <row r="1080" customFormat="false" ht="12.75" hidden="false" customHeight="true" outlineLevel="0" collapsed="false">
      <c r="A1080" s="0" t="n">
        <v>2</v>
      </c>
      <c r="B1080" s="0" t="n">
        <v>2716</v>
      </c>
      <c r="C1080" s="0" t="s">
        <v>52</v>
      </c>
      <c r="D1080" s="0" t="s">
        <v>2288</v>
      </c>
      <c r="E1080" s="14" t="n">
        <v>46296</v>
      </c>
      <c r="F1080" s="14" t="n">
        <v>46296</v>
      </c>
      <c r="G1080" s="0" t="s">
        <v>153</v>
      </c>
      <c r="H1080" s="0" t="n">
        <v>1784850</v>
      </c>
      <c r="I1080" s="0" t="n">
        <v>6</v>
      </c>
      <c r="J1080" s="0" t="s">
        <v>2276</v>
      </c>
      <c r="K1080" s="15" t="n">
        <v>300</v>
      </c>
      <c r="L1080" s="0" t="s">
        <v>2277</v>
      </c>
    </row>
    <row r="1081" customFormat="false" ht="12.75" hidden="false" customHeight="true" outlineLevel="0" collapsed="false">
      <c r="A1081" s="0" t="n">
        <v>2</v>
      </c>
      <c r="B1081" s="0" t="n">
        <v>360</v>
      </c>
      <c r="C1081" s="0" t="s">
        <v>52</v>
      </c>
      <c r="D1081" s="0" t="s">
        <v>2399</v>
      </c>
      <c r="E1081" s="14" t="n">
        <v>46296</v>
      </c>
      <c r="F1081" s="14" t="n">
        <v>46296</v>
      </c>
      <c r="G1081" s="0" t="s">
        <v>622</v>
      </c>
      <c r="H1081" s="0" t="n">
        <v>1785363</v>
      </c>
      <c r="I1081" s="0" t="n">
        <v>11</v>
      </c>
      <c r="J1081" s="0" t="s">
        <v>2276</v>
      </c>
      <c r="K1081" s="15" t="n">
        <v>140</v>
      </c>
      <c r="L1081" s="0" t="s">
        <v>2277</v>
      </c>
    </row>
    <row r="1082" customFormat="false" ht="12.75" hidden="false" customHeight="true" outlineLevel="0" collapsed="false">
      <c r="A1082" s="0" t="n">
        <v>2</v>
      </c>
      <c r="B1082" s="0" t="n">
        <v>545</v>
      </c>
      <c r="C1082" s="0" t="s">
        <v>52</v>
      </c>
      <c r="D1082" s="0" t="s">
        <v>2315</v>
      </c>
      <c r="E1082" s="14" t="n">
        <v>46296</v>
      </c>
      <c r="F1082" s="14" t="n">
        <v>46296</v>
      </c>
      <c r="G1082" s="0" t="s">
        <v>340</v>
      </c>
      <c r="H1082" s="0" t="n">
        <v>1784866</v>
      </c>
      <c r="I1082" s="0" t="n">
        <v>11</v>
      </c>
      <c r="J1082" s="0" t="s">
        <v>2276</v>
      </c>
      <c r="K1082" s="15" t="n">
        <v>160.32</v>
      </c>
      <c r="L1082" s="0" t="s">
        <v>2277</v>
      </c>
    </row>
    <row r="1083" customFormat="false" ht="12.75" hidden="false" customHeight="true" outlineLevel="0" collapsed="false">
      <c r="A1083" s="0" t="n">
        <v>2</v>
      </c>
      <c r="B1083" s="0" t="n">
        <v>899623</v>
      </c>
      <c r="C1083" s="0" t="s">
        <v>52</v>
      </c>
      <c r="D1083" s="0" t="s">
        <v>2342</v>
      </c>
      <c r="E1083" s="14" t="n">
        <v>46296</v>
      </c>
      <c r="F1083" s="14" t="n">
        <v>46295</v>
      </c>
      <c r="G1083" s="0" t="s">
        <v>214</v>
      </c>
      <c r="H1083" s="0" t="n">
        <v>1783812</v>
      </c>
      <c r="I1083" s="0" t="n">
        <v>11</v>
      </c>
      <c r="J1083" s="0" t="s">
        <v>2276</v>
      </c>
      <c r="K1083" s="15" t="n">
        <v>1231.51</v>
      </c>
      <c r="L1083" s="0" t="s">
        <v>2277</v>
      </c>
    </row>
    <row r="1084" customFormat="false" ht="12.75" hidden="false" customHeight="false" outlineLevel="0" collapsed="false">
      <c r="A1084" s="0" t="n">
        <v>2</v>
      </c>
      <c r="B1084" s="0" t="n">
        <v>1044713</v>
      </c>
      <c r="C1084" s="0" t="s">
        <v>52</v>
      </c>
      <c r="D1084" s="0" t="s">
        <v>2286</v>
      </c>
      <c r="E1084" s="14" t="n">
        <v>46297</v>
      </c>
      <c r="F1084" s="14" t="n">
        <v>46296</v>
      </c>
      <c r="G1084" s="0" t="s">
        <v>228</v>
      </c>
      <c r="H1084" s="0" t="n">
        <v>1789300</v>
      </c>
      <c r="I1084" s="0" t="n">
        <v>11</v>
      </c>
      <c r="J1084" s="0" t="s">
        <v>2276</v>
      </c>
      <c r="K1084" s="15" t="n">
        <v>408.97</v>
      </c>
      <c r="L1084" s="0" t="s">
        <v>2277</v>
      </c>
    </row>
    <row r="1085" customFormat="false" ht="12.75" hidden="false" customHeight="false" outlineLevel="0" collapsed="false">
      <c r="A1085" s="0" t="n">
        <v>2</v>
      </c>
      <c r="B1085" s="0" t="n">
        <v>1464424</v>
      </c>
      <c r="C1085" s="0" t="s">
        <v>52</v>
      </c>
      <c r="D1085" s="0" t="s">
        <v>2308</v>
      </c>
      <c r="E1085" s="14" t="n">
        <v>46297</v>
      </c>
      <c r="F1085" s="14" t="n">
        <v>46294</v>
      </c>
      <c r="G1085" s="0" t="s">
        <v>343</v>
      </c>
      <c r="H1085" s="0" t="n">
        <v>1790308</v>
      </c>
      <c r="I1085" s="0" t="n">
        <v>11</v>
      </c>
      <c r="J1085" s="0" t="s">
        <v>2276</v>
      </c>
      <c r="K1085" s="15" t="n">
        <v>1389.2</v>
      </c>
      <c r="L1085" s="0" t="s">
        <v>2277</v>
      </c>
    </row>
    <row r="1086" customFormat="false" ht="12.75" hidden="false" customHeight="false" outlineLevel="0" collapsed="false">
      <c r="A1086" s="0" t="n">
        <v>2</v>
      </c>
      <c r="B1086" s="0" t="n">
        <v>1637369</v>
      </c>
      <c r="C1086" s="0" t="s">
        <v>52</v>
      </c>
      <c r="D1086" s="0" t="s">
        <v>2327</v>
      </c>
      <c r="E1086" s="14" t="n">
        <v>46297</v>
      </c>
      <c r="F1086" s="14" t="n">
        <v>46297</v>
      </c>
      <c r="G1086" s="0" t="s">
        <v>50</v>
      </c>
      <c r="H1086" s="0" t="n">
        <v>1789389</v>
      </c>
      <c r="I1086" s="0" t="n">
        <v>11</v>
      </c>
      <c r="J1086" s="0" t="s">
        <v>2276</v>
      </c>
      <c r="K1086" s="15" t="n">
        <v>1360.95</v>
      </c>
      <c r="L1086" s="0" t="s">
        <v>2277</v>
      </c>
    </row>
    <row r="1087" customFormat="false" ht="12.75" hidden="false" customHeight="false" outlineLevel="0" collapsed="false">
      <c r="A1087" s="0" t="n">
        <v>2</v>
      </c>
      <c r="B1087" s="0" t="n">
        <v>1689561</v>
      </c>
      <c r="C1087" s="0" t="s">
        <v>2280</v>
      </c>
      <c r="D1087" s="0" t="s">
        <v>2281</v>
      </c>
      <c r="E1087" s="14" t="n">
        <v>46297</v>
      </c>
      <c r="F1087" s="14" t="n">
        <v>46297</v>
      </c>
      <c r="G1087" s="0" t="s">
        <v>406</v>
      </c>
      <c r="H1087" s="0" t="n">
        <v>1790367</v>
      </c>
      <c r="I1087" s="0" t="n">
        <v>11</v>
      </c>
      <c r="J1087" s="0" t="s">
        <v>2276</v>
      </c>
      <c r="K1087" s="15" t="n">
        <v>175</v>
      </c>
      <c r="L1087" s="0" t="s">
        <v>2277</v>
      </c>
    </row>
    <row r="1088" customFormat="false" ht="12.75" hidden="false" customHeight="false" outlineLevel="0" collapsed="false">
      <c r="A1088" s="0" t="n">
        <v>2</v>
      </c>
      <c r="B1088" s="0" t="n">
        <v>1741445</v>
      </c>
      <c r="C1088" s="0" t="s">
        <v>52</v>
      </c>
      <c r="D1088" s="0" t="s">
        <v>2287</v>
      </c>
      <c r="E1088" s="14" t="n">
        <v>46297</v>
      </c>
      <c r="F1088" s="14" t="n">
        <v>46295</v>
      </c>
      <c r="G1088" s="0" t="s">
        <v>240</v>
      </c>
      <c r="H1088" s="0" t="n">
        <v>1790246</v>
      </c>
      <c r="I1088" s="0" t="n">
        <v>11</v>
      </c>
      <c r="J1088" s="0" t="s">
        <v>2276</v>
      </c>
      <c r="K1088" s="15" t="n">
        <v>552.1</v>
      </c>
      <c r="L1088" s="0" t="s">
        <v>2277</v>
      </c>
    </row>
    <row r="1089" customFormat="false" ht="12.75" hidden="false" customHeight="false" outlineLevel="0" collapsed="false">
      <c r="A1089" s="0" t="n">
        <v>2</v>
      </c>
      <c r="B1089" s="0" t="n">
        <v>1741887</v>
      </c>
      <c r="C1089" s="0" t="s">
        <v>52</v>
      </c>
      <c r="D1089" s="0" t="s">
        <v>2287</v>
      </c>
      <c r="E1089" s="14" t="n">
        <v>46297</v>
      </c>
      <c r="F1089" s="14" t="n">
        <v>46297</v>
      </c>
      <c r="G1089" s="0" t="s">
        <v>240</v>
      </c>
      <c r="H1089" s="0" t="n">
        <v>1789334</v>
      </c>
      <c r="I1089" s="0" t="n">
        <v>11</v>
      </c>
      <c r="J1089" s="0" t="s">
        <v>2276</v>
      </c>
      <c r="K1089" s="15" t="n">
        <v>539.66</v>
      </c>
      <c r="L1089" s="0" t="s">
        <v>2277</v>
      </c>
    </row>
    <row r="1090" customFormat="false" ht="12.75" hidden="false" customHeight="false" outlineLevel="0" collapsed="false">
      <c r="A1090" s="0" t="n">
        <v>2</v>
      </c>
      <c r="B1090" s="0" t="n">
        <v>2368</v>
      </c>
      <c r="C1090" s="0" t="s">
        <v>52</v>
      </c>
      <c r="D1090" s="0" t="s">
        <v>2310</v>
      </c>
      <c r="E1090" s="14" t="n">
        <v>46297</v>
      </c>
      <c r="F1090" s="14" t="n">
        <v>46297</v>
      </c>
      <c r="G1090" s="0" t="s">
        <v>453</v>
      </c>
      <c r="H1090" s="0" t="n">
        <v>1790211</v>
      </c>
      <c r="I1090" s="0" t="n">
        <v>11</v>
      </c>
      <c r="J1090" s="0" t="s">
        <v>2276</v>
      </c>
      <c r="K1090" s="15" t="n">
        <v>250</v>
      </c>
      <c r="L1090" s="0" t="s">
        <v>2277</v>
      </c>
    </row>
    <row r="1091" customFormat="false" ht="12.75" hidden="false" customHeight="false" outlineLevel="0" collapsed="false">
      <c r="A1091" s="0" t="n">
        <v>2</v>
      </c>
      <c r="B1091" s="0" t="n">
        <v>2717</v>
      </c>
      <c r="C1091" s="0" t="s">
        <v>52</v>
      </c>
      <c r="D1091" s="0" t="s">
        <v>2288</v>
      </c>
      <c r="E1091" s="14" t="n">
        <v>46297</v>
      </c>
      <c r="F1091" s="14" t="n">
        <v>46297</v>
      </c>
      <c r="G1091" s="0" t="s">
        <v>153</v>
      </c>
      <c r="H1091" s="0" t="n">
        <v>1790588</v>
      </c>
      <c r="I1091" s="0" t="n">
        <v>6</v>
      </c>
      <c r="J1091" s="0" t="s">
        <v>2276</v>
      </c>
      <c r="K1091" s="15" t="n">
        <v>2520</v>
      </c>
      <c r="L1091" s="0" t="s">
        <v>2277</v>
      </c>
    </row>
    <row r="1092" customFormat="false" ht="12.75" hidden="false" customHeight="false" outlineLevel="0" collapsed="false">
      <c r="A1092" s="0" t="n">
        <v>2</v>
      </c>
      <c r="B1092" s="0" t="n">
        <v>38346</v>
      </c>
      <c r="C1092" s="0" t="s">
        <v>2429</v>
      </c>
      <c r="D1092" s="0" t="s">
        <v>2341</v>
      </c>
      <c r="E1092" s="14" t="n">
        <v>46297</v>
      </c>
      <c r="F1092" s="14" t="n">
        <v>46296</v>
      </c>
      <c r="G1092" s="0" t="s">
        <v>232</v>
      </c>
      <c r="H1092" s="0" t="n">
        <v>1790438</v>
      </c>
      <c r="I1092" s="0" t="n">
        <v>11</v>
      </c>
      <c r="J1092" s="0" t="s">
        <v>2276</v>
      </c>
      <c r="K1092" s="15" t="n">
        <v>484.25</v>
      </c>
      <c r="L1092" s="0" t="s">
        <v>2277</v>
      </c>
    </row>
    <row r="1093" customFormat="false" ht="12.75" hidden="false" customHeight="false" outlineLevel="0" collapsed="false">
      <c r="A1093" s="0" t="n">
        <v>2</v>
      </c>
      <c r="B1093" s="0" t="n">
        <v>458</v>
      </c>
      <c r="C1093" s="0" t="s">
        <v>52</v>
      </c>
      <c r="D1093" s="0" t="s">
        <v>2311</v>
      </c>
      <c r="E1093" s="14" t="n">
        <v>46297</v>
      </c>
      <c r="F1093" s="14" t="n">
        <v>46297</v>
      </c>
      <c r="G1093" s="0" t="s">
        <v>86</v>
      </c>
      <c r="H1093" s="0" t="n">
        <v>1790218</v>
      </c>
      <c r="I1093" s="0" t="n">
        <v>11</v>
      </c>
      <c r="J1093" s="0" t="s">
        <v>2276</v>
      </c>
      <c r="K1093" s="15" t="n">
        <v>422</v>
      </c>
      <c r="L1093" s="0" t="s">
        <v>2277</v>
      </c>
    </row>
    <row r="1094" customFormat="false" ht="12.75" hidden="false" customHeight="false" outlineLevel="0" collapsed="false">
      <c r="A1094" s="0" t="n">
        <v>2</v>
      </c>
      <c r="B1094" s="0" t="n">
        <v>830</v>
      </c>
      <c r="C1094" s="0" t="s">
        <v>44</v>
      </c>
      <c r="D1094" s="0" t="s">
        <v>2283</v>
      </c>
      <c r="E1094" s="14" t="n">
        <v>46297</v>
      </c>
      <c r="F1094" s="14" t="n">
        <v>46296</v>
      </c>
      <c r="G1094" s="0" t="s">
        <v>204</v>
      </c>
      <c r="H1094" s="0" t="n">
        <v>1789468</v>
      </c>
      <c r="I1094" s="0" t="n">
        <v>11</v>
      </c>
      <c r="J1094" s="0" t="s">
        <v>2276</v>
      </c>
      <c r="K1094" s="15" t="n">
        <v>209.85</v>
      </c>
      <c r="L1094" s="0" t="s">
        <v>2277</v>
      </c>
    </row>
    <row r="1095" customFormat="false" ht="12.75" hidden="false" customHeight="false" outlineLevel="0" collapsed="false">
      <c r="A1095" s="0" t="n">
        <v>2</v>
      </c>
      <c r="B1095" s="0" t="n">
        <v>15523</v>
      </c>
      <c r="C1095" s="0" t="s">
        <v>52</v>
      </c>
      <c r="D1095" s="0" t="s">
        <v>2278</v>
      </c>
      <c r="E1095" s="14" t="n">
        <v>46298</v>
      </c>
      <c r="F1095" s="14" t="n">
        <v>46297</v>
      </c>
      <c r="G1095" s="0" t="s">
        <v>270</v>
      </c>
      <c r="H1095" s="0" t="n">
        <v>1793419</v>
      </c>
      <c r="I1095" s="0" t="n">
        <v>11</v>
      </c>
      <c r="J1095" s="0" t="s">
        <v>2276</v>
      </c>
      <c r="K1095" s="15" t="n">
        <v>5747</v>
      </c>
      <c r="L1095" s="0" t="s">
        <v>2277</v>
      </c>
    </row>
    <row r="1096" customFormat="false" ht="12.75" hidden="false" customHeight="false" outlineLevel="0" collapsed="false">
      <c r="A1096" s="0" t="n">
        <v>2</v>
      </c>
      <c r="B1096" s="0" t="n">
        <v>372</v>
      </c>
      <c r="C1096" s="0" t="s">
        <v>52</v>
      </c>
      <c r="D1096" s="0" t="s">
        <v>2399</v>
      </c>
      <c r="E1096" s="14" t="n">
        <v>46298</v>
      </c>
      <c r="F1096" s="14" t="n">
        <v>46298</v>
      </c>
      <c r="G1096" s="0" t="s">
        <v>622</v>
      </c>
      <c r="H1096" s="0" t="n">
        <v>1805447</v>
      </c>
      <c r="I1096" s="0" t="n">
        <v>11</v>
      </c>
      <c r="J1096" s="0" t="s">
        <v>2276</v>
      </c>
      <c r="K1096" s="15" t="n">
        <v>140</v>
      </c>
      <c r="L1096" s="0" t="s">
        <v>2277</v>
      </c>
    </row>
    <row r="1097" customFormat="false" ht="12.75" hidden="false" customHeight="false" outlineLevel="0" collapsed="false">
      <c r="A1097" s="0" t="n">
        <v>2</v>
      </c>
      <c r="B1097" s="0" t="n">
        <v>4046</v>
      </c>
      <c r="C1097" s="0" t="s">
        <v>52</v>
      </c>
      <c r="D1097" s="0" t="s">
        <v>2299</v>
      </c>
      <c r="E1097" s="14" t="n">
        <v>46298</v>
      </c>
      <c r="F1097" s="14" t="n">
        <v>46297</v>
      </c>
      <c r="G1097" s="0" t="s">
        <v>174</v>
      </c>
      <c r="H1097" s="0" t="n">
        <v>1793313</v>
      </c>
      <c r="I1097" s="0" t="n">
        <v>11</v>
      </c>
      <c r="J1097" s="0" t="s">
        <v>2276</v>
      </c>
      <c r="K1097" s="15" t="n">
        <v>185</v>
      </c>
      <c r="L1097" s="0" t="s">
        <v>2277</v>
      </c>
    </row>
    <row r="1098" customFormat="false" ht="12.75" hidden="false" customHeight="false" outlineLevel="0" collapsed="false">
      <c r="A1098" s="0" t="n">
        <v>2</v>
      </c>
      <c r="B1098" s="0" t="n">
        <v>696</v>
      </c>
      <c r="C1098" s="0" t="s">
        <v>52</v>
      </c>
      <c r="D1098" s="0" t="s">
        <v>2291</v>
      </c>
      <c r="E1098" s="14" t="n">
        <v>46298</v>
      </c>
      <c r="F1098" s="14" t="n">
        <v>46297</v>
      </c>
      <c r="G1098" s="0" t="s">
        <v>123</v>
      </c>
      <c r="H1098" s="0" t="n">
        <v>1793300</v>
      </c>
      <c r="I1098" s="0" t="n">
        <v>11</v>
      </c>
      <c r="J1098" s="0" t="s">
        <v>2276</v>
      </c>
      <c r="K1098" s="15" t="n">
        <v>180</v>
      </c>
      <c r="L1098" s="0" t="s">
        <v>2277</v>
      </c>
    </row>
    <row r="1099" customFormat="false" ht="12.75" hidden="false" customHeight="false" outlineLevel="0" collapsed="false">
      <c r="A1099" s="0" t="n">
        <v>2</v>
      </c>
      <c r="B1099" s="0" t="n">
        <v>15466</v>
      </c>
      <c r="C1099" s="0" t="s">
        <v>52</v>
      </c>
      <c r="D1099" s="0" t="s">
        <v>2279</v>
      </c>
      <c r="E1099" s="14" t="n">
        <v>46300</v>
      </c>
      <c r="F1099" s="14" t="n">
        <v>46300</v>
      </c>
      <c r="G1099" s="0" t="s">
        <v>299</v>
      </c>
      <c r="H1099" s="0" t="n">
        <v>1806914</v>
      </c>
      <c r="I1099" s="0" t="n">
        <v>11</v>
      </c>
      <c r="J1099" s="0" t="s">
        <v>2276</v>
      </c>
      <c r="K1099" s="15" t="n">
        <v>253.72</v>
      </c>
      <c r="L1099" s="0" t="s">
        <v>2277</v>
      </c>
    </row>
    <row r="1100" customFormat="false" ht="12.75" hidden="false" customHeight="false" outlineLevel="0" collapsed="false">
      <c r="A1100" s="0" t="n">
        <v>2</v>
      </c>
      <c r="B1100" s="0" t="n">
        <v>15538</v>
      </c>
      <c r="C1100" s="0" t="s">
        <v>52</v>
      </c>
      <c r="D1100" s="0" t="s">
        <v>2278</v>
      </c>
      <c r="E1100" s="14" t="n">
        <v>46300</v>
      </c>
      <c r="F1100" s="14" t="n">
        <v>46298</v>
      </c>
      <c r="G1100" s="0" t="s">
        <v>270</v>
      </c>
      <c r="H1100" s="0" t="n">
        <v>1806989</v>
      </c>
      <c r="I1100" s="0" t="n">
        <v>11</v>
      </c>
      <c r="J1100" s="0" t="s">
        <v>2276</v>
      </c>
      <c r="K1100" s="15" t="n">
        <v>2656</v>
      </c>
      <c r="L1100" s="0" t="s">
        <v>2277</v>
      </c>
    </row>
    <row r="1101" customFormat="false" ht="12.75" hidden="false" customHeight="false" outlineLevel="0" collapsed="false">
      <c r="A1101" s="0" t="n">
        <v>2</v>
      </c>
      <c r="B1101" s="0" t="n">
        <v>20936</v>
      </c>
      <c r="C1101" s="0" t="s">
        <v>89</v>
      </c>
      <c r="D1101" s="0" t="s">
        <v>2322</v>
      </c>
      <c r="E1101" s="14" t="n">
        <v>46300</v>
      </c>
      <c r="F1101" s="14" t="n">
        <v>46298</v>
      </c>
      <c r="G1101" s="0" t="s">
        <v>390</v>
      </c>
      <c r="H1101" s="0" t="n">
        <v>1805537</v>
      </c>
      <c r="I1101" s="0" t="n">
        <v>11</v>
      </c>
      <c r="J1101" s="0" t="s">
        <v>2276</v>
      </c>
      <c r="K1101" s="15" t="n">
        <v>381.6</v>
      </c>
      <c r="L1101" s="0" t="s">
        <v>2277</v>
      </c>
    </row>
    <row r="1102" customFormat="false" ht="12.75" hidden="false" customHeight="false" outlineLevel="0" collapsed="false">
      <c r="A1102" s="0" t="n">
        <v>2</v>
      </c>
      <c r="B1102" s="0" t="n">
        <v>2720</v>
      </c>
      <c r="C1102" s="0" t="s">
        <v>52</v>
      </c>
      <c r="D1102" s="0" t="s">
        <v>2288</v>
      </c>
      <c r="E1102" s="14" t="n">
        <v>46300</v>
      </c>
      <c r="F1102" s="14" t="n">
        <v>46300</v>
      </c>
      <c r="G1102" s="0" t="s">
        <v>153</v>
      </c>
      <c r="H1102" s="0" t="n">
        <v>1805438</v>
      </c>
      <c r="I1102" s="0" t="n">
        <v>6</v>
      </c>
      <c r="J1102" s="0" t="s">
        <v>2276</v>
      </c>
      <c r="K1102" s="15" t="n">
        <v>300</v>
      </c>
      <c r="L1102" s="0" t="s">
        <v>2277</v>
      </c>
    </row>
    <row r="1103" customFormat="false" ht="12.75" hidden="false" customHeight="false" outlineLevel="0" collapsed="false">
      <c r="A1103" s="0" t="n">
        <v>2</v>
      </c>
      <c r="B1103" s="0" t="n">
        <v>2721</v>
      </c>
      <c r="C1103" s="0" t="s">
        <v>52</v>
      </c>
      <c r="D1103" s="0" t="s">
        <v>2288</v>
      </c>
      <c r="E1103" s="14" t="n">
        <v>46300</v>
      </c>
      <c r="F1103" s="14" t="n">
        <v>46300</v>
      </c>
      <c r="G1103" s="0" t="s">
        <v>153</v>
      </c>
      <c r="H1103" s="0" t="n">
        <v>1805598</v>
      </c>
      <c r="I1103" s="0" t="n">
        <v>6</v>
      </c>
      <c r="J1103" s="0" t="s">
        <v>2276</v>
      </c>
      <c r="K1103" s="15" t="n">
        <v>240</v>
      </c>
      <c r="L1103" s="0" t="s">
        <v>2277</v>
      </c>
    </row>
    <row r="1104" customFormat="false" ht="12.75" hidden="false" customHeight="false" outlineLevel="0" collapsed="false">
      <c r="A1104" s="0" t="n">
        <v>2</v>
      </c>
      <c r="B1104" s="0" t="n">
        <v>324423</v>
      </c>
      <c r="C1104" s="0" t="s">
        <v>52</v>
      </c>
      <c r="D1104" s="0" t="s">
        <v>2298</v>
      </c>
      <c r="E1104" s="14" t="n">
        <v>46300</v>
      </c>
      <c r="F1104" s="14" t="n">
        <v>46297</v>
      </c>
      <c r="G1104" s="0" t="s">
        <v>77</v>
      </c>
      <c r="H1104" s="0" t="n">
        <v>1805573</v>
      </c>
      <c r="I1104" s="0" t="n">
        <v>11</v>
      </c>
      <c r="J1104" s="0" t="s">
        <v>2276</v>
      </c>
      <c r="K1104" s="15" t="n">
        <v>1209.21</v>
      </c>
      <c r="L1104" s="0" t="s">
        <v>2277</v>
      </c>
    </row>
    <row r="1105" customFormat="false" ht="12.75" hidden="false" customHeight="false" outlineLevel="0" collapsed="false">
      <c r="A1105" s="0" t="n">
        <v>2</v>
      </c>
      <c r="B1105" s="0" t="n">
        <v>32674</v>
      </c>
      <c r="C1105" s="0" t="s">
        <v>52</v>
      </c>
      <c r="D1105" s="0" t="s">
        <v>2294</v>
      </c>
      <c r="E1105" s="14" t="n">
        <v>46300</v>
      </c>
      <c r="F1105" s="14" t="n">
        <v>46300</v>
      </c>
      <c r="G1105" s="0" t="s">
        <v>147</v>
      </c>
      <c r="H1105" s="0" t="n">
        <v>1806905</v>
      </c>
      <c r="I1105" s="0" t="n">
        <v>11</v>
      </c>
      <c r="J1105" s="0" t="s">
        <v>2276</v>
      </c>
      <c r="K1105" s="15" t="n">
        <v>264</v>
      </c>
      <c r="L1105" s="0" t="s">
        <v>2277</v>
      </c>
    </row>
    <row r="1106" customFormat="false" ht="12.75" hidden="false" customHeight="false" outlineLevel="0" collapsed="false">
      <c r="A1106" s="0" t="n">
        <v>2</v>
      </c>
      <c r="B1106" s="0" t="n">
        <v>400</v>
      </c>
      <c r="C1106" s="0" t="s">
        <v>52</v>
      </c>
      <c r="D1106" s="0" t="s">
        <v>2289</v>
      </c>
      <c r="E1106" s="14" t="n">
        <v>46300</v>
      </c>
      <c r="F1106" s="14" t="n">
        <v>46297</v>
      </c>
      <c r="G1106" s="0" t="s">
        <v>216</v>
      </c>
      <c r="H1106" s="0" t="n">
        <v>1805359</v>
      </c>
      <c r="I1106" s="0" t="n">
        <v>11</v>
      </c>
      <c r="J1106" s="0" t="s">
        <v>2276</v>
      </c>
      <c r="K1106" s="15" t="n">
        <v>519</v>
      </c>
      <c r="L1106" s="0" t="s">
        <v>2277</v>
      </c>
    </row>
    <row r="1107" customFormat="false" ht="12.75" hidden="false" customHeight="false" outlineLevel="0" collapsed="false">
      <c r="A1107" s="0" t="n">
        <v>2</v>
      </c>
      <c r="B1107" s="0" t="n">
        <v>4230</v>
      </c>
      <c r="C1107" s="0" t="s">
        <v>52</v>
      </c>
      <c r="D1107" s="0" t="s">
        <v>2282</v>
      </c>
      <c r="E1107" s="14" t="n">
        <v>46300</v>
      </c>
      <c r="F1107" s="14" t="n">
        <v>46298</v>
      </c>
      <c r="G1107" s="0" t="s">
        <v>209</v>
      </c>
      <c r="H1107" s="0" t="n">
        <v>1805474</v>
      </c>
      <c r="I1107" s="0" t="n">
        <v>11</v>
      </c>
      <c r="J1107" s="0" t="s">
        <v>2276</v>
      </c>
      <c r="K1107" s="15" t="n">
        <v>617.5</v>
      </c>
      <c r="L1107" s="0" t="s">
        <v>2277</v>
      </c>
    </row>
    <row r="1108" customFormat="false" ht="12.75" hidden="false" customHeight="false" outlineLevel="0" collapsed="false">
      <c r="A1108" s="0" t="n">
        <v>2</v>
      </c>
      <c r="B1108" s="0" t="n">
        <v>838</v>
      </c>
      <c r="C1108" s="0" t="s">
        <v>44</v>
      </c>
      <c r="D1108" s="0" t="s">
        <v>2283</v>
      </c>
      <c r="E1108" s="14" t="n">
        <v>46300</v>
      </c>
      <c r="F1108" s="14" t="n">
        <v>46300</v>
      </c>
      <c r="G1108" s="0" t="s">
        <v>204</v>
      </c>
      <c r="H1108" s="0" t="n">
        <v>1806964</v>
      </c>
      <c r="I1108" s="0" t="n">
        <v>11</v>
      </c>
      <c r="J1108" s="0" t="s">
        <v>2276</v>
      </c>
      <c r="K1108" s="15" t="n">
        <v>162.4</v>
      </c>
      <c r="L1108" s="0" t="s">
        <v>2277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9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sheetData>
    <row r="1" customFormat="false" ht="15" hidden="false" customHeight="true" outlineLevel="0" collapsed="false">
      <c r="A1" s="0" t="s">
        <v>9</v>
      </c>
      <c r="B1" s="0" t="s">
        <v>2128</v>
      </c>
      <c r="C1" s="0" t="s">
        <v>2432</v>
      </c>
      <c r="D1" s="0" t="s">
        <v>2433</v>
      </c>
      <c r="E1" s="0" t="s">
        <v>2434</v>
      </c>
      <c r="F1" s="0" t="s">
        <v>13</v>
      </c>
      <c r="I1" s="0" t="s">
        <v>2435</v>
      </c>
      <c r="J1" s="0" t="s">
        <v>2436</v>
      </c>
      <c r="K1" s="0" t="s">
        <v>2437</v>
      </c>
      <c r="L1" s="0" t="s">
        <v>2438</v>
      </c>
      <c r="N1" s="0" t="s">
        <v>2439</v>
      </c>
      <c r="O1" s="0" t="s">
        <v>2440</v>
      </c>
      <c r="P1" s="0" t="s">
        <v>2441</v>
      </c>
    </row>
    <row r="2" customFormat="false" ht="15" hidden="false" customHeight="true" outlineLevel="0" collapsed="false">
      <c r="A2" s="0" t="n">
        <v>2</v>
      </c>
      <c r="B2" s="71" t="n">
        <v>46174</v>
      </c>
      <c r="C2" s="0" t="n">
        <v>1</v>
      </c>
      <c r="D2" s="0" t="s">
        <v>2442</v>
      </c>
      <c r="E2" s="0" t="n">
        <v>1899</v>
      </c>
      <c r="F2" s="0" t="s">
        <v>204</v>
      </c>
      <c r="I2" s="0" t="n">
        <v>643</v>
      </c>
      <c r="J2" s="0" t="n">
        <v>44588</v>
      </c>
      <c r="K2" s="0" t="n">
        <v>7898904331091</v>
      </c>
      <c r="L2" s="0" t="s">
        <v>2443</v>
      </c>
      <c r="N2" s="0" t="n">
        <v>10</v>
      </c>
      <c r="O2" s="0" t="n">
        <v>49.9</v>
      </c>
      <c r="P2" s="0" t="s">
        <v>2444</v>
      </c>
    </row>
    <row r="3" customFormat="false" ht="15" hidden="false" customHeight="true" outlineLevel="0" collapsed="false">
      <c r="A3" s="0" t="n">
        <v>2</v>
      </c>
      <c r="B3" s="71" t="n">
        <v>46174</v>
      </c>
      <c r="C3" s="0" t="n">
        <v>1</v>
      </c>
      <c r="D3" s="0" t="s">
        <v>2442</v>
      </c>
      <c r="E3" s="0" t="n">
        <v>1899</v>
      </c>
      <c r="F3" s="0" t="s">
        <v>204</v>
      </c>
      <c r="I3" s="0" t="n">
        <v>643</v>
      </c>
      <c r="J3" s="0" t="n">
        <v>77463</v>
      </c>
      <c r="K3" s="0" t="n">
        <v>774642</v>
      </c>
      <c r="L3" s="0" t="s">
        <v>2445</v>
      </c>
      <c r="N3" s="0" t="n">
        <v>30</v>
      </c>
      <c r="O3" s="0" t="n">
        <v>135</v>
      </c>
      <c r="P3" s="0" t="s">
        <v>2444</v>
      </c>
    </row>
    <row r="4" customFormat="false" ht="15" hidden="false" customHeight="true" outlineLevel="0" collapsed="false">
      <c r="A4" s="0" t="n">
        <v>2</v>
      </c>
      <c r="B4" s="71" t="n">
        <v>46174</v>
      </c>
      <c r="C4" s="0" t="n">
        <v>1</v>
      </c>
      <c r="D4" s="0" t="s">
        <v>2442</v>
      </c>
      <c r="E4" s="0" t="n">
        <v>1899</v>
      </c>
      <c r="F4" s="0" t="s">
        <v>204</v>
      </c>
      <c r="I4" s="0" t="n">
        <v>643</v>
      </c>
      <c r="J4" s="0" t="n">
        <v>77465</v>
      </c>
      <c r="K4" s="0" t="n">
        <v>774666</v>
      </c>
      <c r="L4" s="0" t="s">
        <v>2446</v>
      </c>
      <c r="N4" s="0" t="n">
        <v>20</v>
      </c>
      <c r="O4" s="0" t="n">
        <v>99.8</v>
      </c>
      <c r="P4" s="0" t="s">
        <v>2444</v>
      </c>
    </row>
    <row r="5" customFormat="false" ht="15" hidden="false" customHeight="true" outlineLevel="0" collapsed="false">
      <c r="A5" s="0" t="n">
        <v>2</v>
      </c>
      <c r="B5" s="71" t="n">
        <v>46174</v>
      </c>
      <c r="C5" s="0" t="n">
        <v>1</v>
      </c>
      <c r="D5" s="0" t="s">
        <v>2442</v>
      </c>
      <c r="E5" s="0" t="n">
        <v>1899</v>
      </c>
      <c r="F5" s="0" t="s">
        <v>204</v>
      </c>
      <c r="I5" s="0" t="n">
        <v>643</v>
      </c>
      <c r="J5" s="0" t="n">
        <v>78015</v>
      </c>
      <c r="K5" s="0" t="n">
        <v>780162</v>
      </c>
      <c r="L5" s="0" t="s">
        <v>2447</v>
      </c>
      <c r="N5" s="0" t="n">
        <v>10</v>
      </c>
      <c r="O5" s="0" t="n">
        <v>49.9</v>
      </c>
      <c r="P5" s="0" t="s">
        <v>2444</v>
      </c>
    </row>
    <row r="6" customFormat="false" ht="15" hidden="false" customHeight="true" outlineLevel="0" collapsed="false">
      <c r="A6" s="0" t="n">
        <v>2</v>
      </c>
      <c r="B6" s="71" t="n">
        <v>46174</v>
      </c>
      <c r="C6" s="0" t="n">
        <v>1</v>
      </c>
      <c r="D6" s="0" t="s">
        <v>2442</v>
      </c>
      <c r="E6" s="0" t="n">
        <v>1292</v>
      </c>
      <c r="F6" s="0" t="s">
        <v>209</v>
      </c>
      <c r="I6" s="0" t="n">
        <v>3301</v>
      </c>
      <c r="J6" s="0" t="n">
        <v>58633</v>
      </c>
      <c r="K6" s="0" t="n">
        <v>7891164025250</v>
      </c>
      <c r="L6" s="0" t="s">
        <v>2448</v>
      </c>
      <c r="N6" s="0" t="n">
        <v>50</v>
      </c>
      <c r="O6" s="0" t="n">
        <v>449.5</v>
      </c>
      <c r="P6" s="0" t="s">
        <v>2444</v>
      </c>
    </row>
    <row r="7" customFormat="false" ht="15" hidden="false" customHeight="true" outlineLevel="0" collapsed="false">
      <c r="A7" s="0" t="n">
        <v>2</v>
      </c>
      <c r="B7" s="71" t="n">
        <v>46174</v>
      </c>
      <c r="C7" s="0" t="n">
        <v>1</v>
      </c>
      <c r="D7" s="0" t="s">
        <v>2442</v>
      </c>
      <c r="E7" s="0" t="n">
        <v>1625</v>
      </c>
      <c r="F7" s="0" t="s">
        <v>270</v>
      </c>
      <c r="I7" s="0" t="n">
        <v>14361</v>
      </c>
      <c r="J7" s="0" t="n">
        <v>29079</v>
      </c>
      <c r="K7" s="0" t="n">
        <v>55515</v>
      </c>
      <c r="L7" s="0" t="s">
        <v>2449</v>
      </c>
      <c r="N7" s="0" t="n">
        <v>65.2</v>
      </c>
      <c r="O7" s="0" t="n">
        <v>2119</v>
      </c>
      <c r="P7" s="0" t="s">
        <v>2444</v>
      </c>
    </row>
    <row r="8" customFormat="false" ht="15" hidden="false" customHeight="true" outlineLevel="0" collapsed="false">
      <c r="A8" s="0" t="n">
        <v>2</v>
      </c>
      <c r="B8" s="71" t="n">
        <v>46174</v>
      </c>
      <c r="C8" s="0" t="n">
        <v>1</v>
      </c>
      <c r="D8" s="0" t="s">
        <v>2442</v>
      </c>
      <c r="E8" s="0" t="n">
        <v>1625</v>
      </c>
      <c r="F8" s="0" t="s">
        <v>270</v>
      </c>
      <c r="I8" s="0" t="n">
        <v>14361</v>
      </c>
      <c r="J8" s="0" t="n">
        <v>29080</v>
      </c>
      <c r="K8" s="0" t="n">
        <v>55516</v>
      </c>
      <c r="L8" s="0" t="s">
        <v>2450</v>
      </c>
      <c r="N8" s="0" t="n">
        <v>55</v>
      </c>
      <c r="O8" s="0" t="n">
        <v>1210</v>
      </c>
      <c r="P8" s="0" t="s">
        <v>2444</v>
      </c>
    </row>
    <row r="9" customFormat="false" ht="15" hidden="false" customHeight="true" outlineLevel="0" collapsed="false">
      <c r="A9" s="0" t="n">
        <v>2</v>
      </c>
      <c r="B9" s="71" t="n">
        <v>46174</v>
      </c>
      <c r="C9" s="0" t="n">
        <v>1</v>
      </c>
      <c r="D9" s="0" t="s">
        <v>2442</v>
      </c>
      <c r="E9" s="0" t="n">
        <v>1631</v>
      </c>
      <c r="F9" s="0" t="s">
        <v>299</v>
      </c>
      <c r="I9" s="0" t="n">
        <v>14975</v>
      </c>
      <c r="J9" s="0" t="n">
        <v>108539</v>
      </c>
      <c r="K9" s="0" t="n">
        <v>7898185800170</v>
      </c>
      <c r="L9" s="0" t="s">
        <v>2451</v>
      </c>
      <c r="N9" s="0" t="n">
        <v>5</v>
      </c>
      <c r="O9" s="0" t="n">
        <v>20.67</v>
      </c>
      <c r="P9" s="0" t="s">
        <v>2444</v>
      </c>
    </row>
    <row r="10" customFormat="false" ht="15" hidden="false" customHeight="true" outlineLevel="0" collapsed="false">
      <c r="A10" s="0" t="n">
        <v>2</v>
      </c>
      <c r="B10" s="71" t="n">
        <v>46174</v>
      </c>
      <c r="C10" s="0" t="n">
        <v>1</v>
      </c>
      <c r="D10" s="0" t="s">
        <v>2442</v>
      </c>
      <c r="E10" s="0" t="n">
        <v>1631</v>
      </c>
      <c r="F10" s="0" t="s">
        <v>299</v>
      </c>
      <c r="I10" s="0" t="n">
        <v>14975</v>
      </c>
      <c r="J10" s="0" t="n">
        <v>108570</v>
      </c>
      <c r="K10" s="0" t="n">
        <v>7898185800255</v>
      </c>
      <c r="L10" s="0" t="s">
        <v>2452</v>
      </c>
      <c r="N10" s="0" t="n">
        <v>20</v>
      </c>
      <c r="O10" s="0" t="n">
        <v>37.59</v>
      </c>
      <c r="P10" s="0" t="s">
        <v>2444</v>
      </c>
    </row>
    <row r="11" customFormat="false" ht="15" hidden="false" customHeight="true" outlineLevel="0" collapsed="false">
      <c r="A11" s="0" t="n">
        <v>2</v>
      </c>
      <c r="B11" s="71" t="n">
        <v>46174</v>
      </c>
      <c r="C11" s="0" t="n">
        <v>1</v>
      </c>
      <c r="D11" s="0" t="s">
        <v>2442</v>
      </c>
      <c r="E11" s="0" t="n">
        <v>1631</v>
      </c>
      <c r="F11" s="0" t="s">
        <v>299</v>
      </c>
      <c r="I11" s="0" t="n">
        <v>14975</v>
      </c>
      <c r="J11" s="0" t="n">
        <v>14393</v>
      </c>
      <c r="K11" s="0" t="n">
        <v>7898185800125</v>
      </c>
      <c r="L11" s="0" t="s">
        <v>2453</v>
      </c>
      <c r="N11" s="0" t="n">
        <v>10</v>
      </c>
      <c r="O11" s="0" t="n">
        <v>41.35</v>
      </c>
      <c r="P11" s="0" t="s">
        <v>2444</v>
      </c>
    </row>
    <row r="12" customFormat="false" ht="15" hidden="false" customHeight="true" outlineLevel="0" collapsed="false">
      <c r="A12" s="0" t="n">
        <v>2</v>
      </c>
      <c r="B12" s="71" t="n">
        <v>46174</v>
      </c>
      <c r="C12" s="0" t="n">
        <v>1</v>
      </c>
      <c r="D12" s="0" t="s">
        <v>2442</v>
      </c>
      <c r="E12" s="0" t="n">
        <v>1631</v>
      </c>
      <c r="F12" s="0" t="s">
        <v>299</v>
      </c>
      <c r="I12" s="0" t="n">
        <v>14975</v>
      </c>
      <c r="J12" s="0" t="n">
        <v>19882</v>
      </c>
      <c r="K12" s="0" t="n">
        <v>7898185800156</v>
      </c>
      <c r="L12" s="0" t="s">
        <v>2454</v>
      </c>
      <c r="N12" s="0" t="n">
        <v>5</v>
      </c>
      <c r="O12" s="0" t="n">
        <v>20.67</v>
      </c>
      <c r="P12" s="0" t="s">
        <v>2444</v>
      </c>
    </row>
    <row r="13" customFormat="false" ht="15" hidden="false" customHeight="true" outlineLevel="0" collapsed="false">
      <c r="A13" s="0" t="n">
        <v>2</v>
      </c>
      <c r="B13" s="71" t="n">
        <v>46174</v>
      </c>
      <c r="C13" s="0" t="n">
        <v>1</v>
      </c>
      <c r="D13" s="0" t="s">
        <v>2442</v>
      </c>
      <c r="E13" s="0" t="n">
        <v>1631</v>
      </c>
      <c r="F13" s="0" t="s">
        <v>299</v>
      </c>
      <c r="I13" s="0" t="n">
        <v>14975</v>
      </c>
      <c r="J13" s="0" t="n">
        <v>24098</v>
      </c>
      <c r="K13" s="0" t="n">
        <v>7898185800385</v>
      </c>
      <c r="L13" s="0" t="s">
        <v>2455</v>
      </c>
      <c r="N13" s="0" t="n">
        <v>20</v>
      </c>
      <c r="O13" s="0" t="n">
        <v>75.18</v>
      </c>
      <c r="P13" s="0" t="s">
        <v>2444</v>
      </c>
    </row>
    <row r="14" customFormat="false" ht="15" hidden="false" customHeight="true" outlineLevel="0" collapsed="false">
      <c r="A14" s="0" t="n">
        <v>2</v>
      </c>
      <c r="B14" s="71" t="n">
        <v>46174</v>
      </c>
      <c r="C14" s="0" t="n">
        <v>1</v>
      </c>
      <c r="D14" s="0" t="s">
        <v>2442</v>
      </c>
      <c r="E14" s="0" t="n">
        <v>1631</v>
      </c>
      <c r="F14" s="0" t="s">
        <v>299</v>
      </c>
      <c r="I14" s="0" t="n">
        <v>14975</v>
      </c>
      <c r="J14" s="0" t="n">
        <v>25555</v>
      </c>
      <c r="K14" s="0" t="n">
        <v>7898185800200</v>
      </c>
      <c r="L14" s="0" t="s">
        <v>2456</v>
      </c>
      <c r="N14" s="0" t="n">
        <v>5</v>
      </c>
      <c r="O14" s="0" t="n">
        <v>41.35</v>
      </c>
      <c r="P14" s="0" t="s">
        <v>2444</v>
      </c>
    </row>
    <row r="15" customFormat="false" ht="15" hidden="false" customHeight="true" outlineLevel="0" collapsed="false">
      <c r="A15" s="0" t="n">
        <v>2</v>
      </c>
      <c r="B15" s="71" t="n">
        <v>46174</v>
      </c>
      <c r="C15" s="0" t="n">
        <v>1</v>
      </c>
      <c r="D15" s="0" t="s">
        <v>2442</v>
      </c>
      <c r="E15" s="0" t="n">
        <v>1631</v>
      </c>
      <c r="F15" s="0" t="s">
        <v>299</v>
      </c>
      <c r="I15" s="0" t="n">
        <v>14975</v>
      </c>
      <c r="J15" s="0" t="n">
        <v>26573</v>
      </c>
      <c r="K15" s="0" t="n">
        <v>7898185800347</v>
      </c>
      <c r="L15" s="0" t="s">
        <v>2457</v>
      </c>
      <c r="N15" s="0" t="n">
        <v>5</v>
      </c>
      <c r="O15" s="0" t="n">
        <v>41.35</v>
      </c>
      <c r="P15" s="0" t="s">
        <v>2444</v>
      </c>
    </row>
    <row r="16" customFormat="false" ht="15" hidden="false" customHeight="true" outlineLevel="0" collapsed="false">
      <c r="A16" s="0" t="n">
        <v>2</v>
      </c>
      <c r="B16" s="71" t="n">
        <v>46174</v>
      </c>
      <c r="C16" s="0" t="n">
        <v>1</v>
      </c>
      <c r="D16" s="0" t="s">
        <v>2442</v>
      </c>
      <c r="E16" s="0" t="n">
        <v>1631</v>
      </c>
      <c r="F16" s="0" t="s">
        <v>299</v>
      </c>
      <c r="I16" s="0" t="n">
        <v>14975</v>
      </c>
      <c r="J16" s="0" t="n">
        <v>26574</v>
      </c>
      <c r="K16" s="0" t="n">
        <v>7898185800217</v>
      </c>
      <c r="L16" s="0" t="s">
        <v>2458</v>
      </c>
      <c r="N16" s="0" t="n">
        <v>5</v>
      </c>
      <c r="O16" s="0" t="n">
        <v>41.35</v>
      </c>
      <c r="P16" s="0" t="s">
        <v>2444</v>
      </c>
    </row>
    <row r="17" customFormat="false" ht="15" hidden="false" customHeight="true" outlineLevel="0" collapsed="false">
      <c r="A17" s="0" t="n">
        <v>2</v>
      </c>
      <c r="B17" s="71" t="n">
        <v>46174</v>
      </c>
      <c r="C17" s="0" t="n">
        <v>1</v>
      </c>
      <c r="D17" s="0" t="s">
        <v>2442</v>
      </c>
      <c r="E17" s="0" t="n">
        <v>1631</v>
      </c>
      <c r="F17" s="0" t="s">
        <v>299</v>
      </c>
      <c r="I17" s="0" t="n">
        <v>14975</v>
      </c>
      <c r="J17" s="0" t="n">
        <v>30684</v>
      </c>
      <c r="K17" s="0" t="n">
        <v>7898185800453</v>
      </c>
      <c r="L17" s="0" t="s">
        <v>2459</v>
      </c>
      <c r="N17" s="0" t="n">
        <v>30</v>
      </c>
      <c r="O17" s="0" t="n">
        <v>33.83</v>
      </c>
      <c r="P17" s="0" t="s">
        <v>2444</v>
      </c>
    </row>
    <row r="18" customFormat="false" ht="15" hidden="false" customHeight="true" outlineLevel="0" collapsed="false">
      <c r="A18" s="0" t="n">
        <v>2</v>
      </c>
      <c r="B18" s="71" t="n">
        <v>46174</v>
      </c>
      <c r="C18" s="0" t="n">
        <v>1</v>
      </c>
      <c r="D18" s="0" t="s">
        <v>2442</v>
      </c>
      <c r="E18" s="0" t="n">
        <v>1631</v>
      </c>
      <c r="F18" s="0" t="s">
        <v>299</v>
      </c>
      <c r="I18" s="0" t="n">
        <v>14975</v>
      </c>
      <c r="J18" s="0" t="n">
        <v>41356</v>
      </c>
      <c r="K18" s="0" t="n">
        <v>7898185800163</v>
      </c>
      <c r="L18" s="0" t="s">
        <v>2460</v>
      </c>
      <c r="N18" s="0" t="n">
        <v>3</v>
      </c>
      <c r="O18" s="0" t="n">
        <v>12.4</v>
      </c>
      <c r="P18" s="0" t="s">
        <v>2444</v>
      </c>
    </row>
    <row r="19" customFormat="false" ht="15" hidden="false" customHeight="true" outlineLevel="0" collapsed="false">
      <c r="A19" s="0" t="n">
        <v>2</v>
      </c>
      <c r="B19" s="71" t="n">
        <v>46174</v>
      </c>
      <c r="C19" s="0" t="n">
        <v>1</v>
      </c>
      <c r="D19" s="0" t="s">
        <v>2442</v>
      </c>
      <c r="E19" s="0" t="n">
        <v>1631</v>
      </c>
      <c r="F19" s="0" t="s">
        <v>299</v>
      </c>
      <c r="I19" s="0" t="n">
        <v>14975</v>
      </c>
      <c r="J19" s="0" t="n">
        <v>41359</v>
      </c>
      <c r="K19" s="0" t="n">
        <v>7898185800132</v>
      </c>
      <c r="L19" s="0" t="s">
        <v>2461</v>
      </c>
      <c r="N19" s="0" t="n">
        <v>2</v>
      </c>
      <c r="O19" s="0" t="n">
        <v>8.27</v>
      </c>
      <c r="P19" s="0" t="s">
        <v>2444</v>
      </c>
    </row>
    <row r="20" customFormat="false" ht="15" hidden="false" customHeight="true" outlineLevel="0" collapsed="false">
      <c r="A20" s="0" t="n">
        <v>2</v>
      </c>
      <c r="B20" s="71" t="n">
        <v>46174</v>
      </c>
      <c r="C20" s="0" t="n">
        <v>1</v>
      </c>
      <c r="D20" s="0" t="s">
        <v>2442</v>
      </c>
      <c r="E20" s="0" t="n">
        <v>1705</v>
      </c>
      <c r="F20" s="0" t="s">
        <v>130</v>
      </c>
      <c r="I20" s="0" t="n">
        <v>1143885</v>
      </c>
      <c r="J20" s="0" t="n">
        <v>24324</v>
      </c>
      <c r="K20" s="0" t="n">
        <v>70847022015</v>
      </c>
      <c r="L20" s="0" t="s">
        <v>2462</v>
      </c>
      <c r="N20" s="0" t="n">
        <v>24</v>
      </c>
      <c r="O20" s="0" t="n">
        <v>203.42</v>
      </c>
      <c r="P20" s="0" t="s">
        <v>2444</v>
      </c>
    </row>
    <row r="21" customFormat="false" ht="15" hidden="false" customHeight="true" outlineLevel="0" collapsed="false">
      <c r="A21" s="0" t="n">
        <v>2</v>
      </c>
      <c r="B21" s="71" t="n">
        <v>46174</v>
      </c>
      <c r="C21" s="0" t="n">
        <v>1</v>
      </c>
      <c r="D21" s="0" t="s">
        <v>2442</v>
      </c>
      <c r="E21" s="0" t="n">
        <v>1705</v>
      </c>
      <c r="F21" s="0" t="s">
        <v>130</v>
      </c>
      <c r="I21" s="0" t="n">
        <v>1143885</v>
      </c>
      <c r="J21" s="0" t="n">
        <v>25136</v>
      </c>
      <c r="K21" s="0" t="n">
        <v>70847022206</v>
      </c>
      <c r="L21" s="0" t="s">
        <v>2463</v>
      </c>
      <c r="N21" s="0" t="n">
        <v>6</v>
      </c>
      <c r="O21" s="0" t="n">
        <v>50.85</v>
      </c>
      <c r="P21" s="0" t="s">
        <v>2444</v>
      </c>
    </row>
    <row r="22" customFormat="false" ht="15" hidden="false" customHeight="true" outlineLevel="0" collapsed="false">
      <c r="A22" s="0" t="n">
        <v>2</v>
      </c>
      <c r="B22" s="71" t="n">
        <v>46174</v>
      </c>
      <c r="C22" s="0" t="n">
        <v>1</v>
      </c>
      <c r="D22" s="0" t="s">
        <v>2442</v>
      </c>
      <c r="E22" s="0" t="n">
        <v>1705</v>
      </c>
      <c r="F22" s="0" t="s">
        <v>130</v>
      </c>
      <c r="I22" s="0" t="n">
        <v>1143885</v>
      </c>
      <c r="J22" s="0" t="n">
        <v>54315</v>
      </c>
      <c r="K22" s="0" t="n">
        <v>1220000250222</v>
      </c>
      <c r="L22" s="0" t="s">
        <v>2464</v>
      </c>
      <c r="N22" s="0" t="n">
        <v>6</v>
      </c>
      <c r="O22" s="0" t="n">
        <v>50.85</v>
      </c>
      <c r="P22" s="0" t="s">
        <v>2444</v>
      </c>
    </row>
    <row r="23" customFormat="false" ht="15" hidden="false" customHeight="true" outlineLevel="0" collapsed="false">
      <c r="A23" s="0" t="n">
        <v>2</v>
      </c>
      <c r="B23" s="71" t="n">
        <v>46174</v>
      </c>
      <c r="C23" s="0" t="n">
        <v>1</v>
      </c>
      <c r="D23" s="0" t="s">
        <v>2442</v>
      </c>
      <c r="E23" s="0" t="n">
        <v>1683</v>
      </c>
      <c r="F23" s="0" t="s">
        <v>406</v>
      </c>
      <c r="I23" s="0" t="n">
        <v>1624511</v>
      </c>
      <c r="J23" s="0" t="n">
        <v>109791</v>
      </c>
      <c r="K23" s="0" t="n">
        <v>9667</v>
      </c>
      <c r="L23" s="0" t="s">
        <v>2465</v>
      </c>
      <c r="N23" s="0" t="n">
        <v>12</v>
      </c>
      <c r="O23" s="0" t="n">
        <v>18</v>
      </c>
      <c r="P23" s="0" t="s">
        <v>2444</v>
      </c>
    </row>
    <row r="24" customFormat="false" ht="15" hidden="false" customHeight="true" outlineLevel="0" collapsed="false">
      <c r="A24" s="0" t="n">
        <v>2</v>
      </c>
      <c r="B24" s="71" t="n">
        <v>46174</v>
      </c>
      <c r="C24" s="0" t="n">
        <v>1</v>
      </c>
      <c r="D24" s="0" t="s">
        <v>2442</v>
      </c>
      <c r="E24" s="0" t="n">
        <v>1683</v>
      </c>
      <c r="F24" s="0" t="s">
        <v>406</v>
      </c>
      <c r="I24" s="0" t="n">
        <v>1624511</v>
      </c>
      <c r="J24" s="0" t="n">
        <v>37359</v>
      </c>
      <c r="K24" s="0" t="n">
        <v>55526</v>
      </c>
      <c r="L24" s="0" t="s">
        <v>2466</v>
      </c>
      <c r="N24" s="0" t="n">
        <v>8</v>
      </c>
      <c r="O24" s="0" t="n">
        <v>28</v>
      </c>
      <c r="P24" s="0" t="s">
        <v>2444</v>
      </c>
    </row>
    <row r="25" customFormat="false" ht="15" hidden="false" customHeight="true" outlineLevel="0" collapsed="false">
      <c r="A25" s="0" t="n">
        <v>2</v>
      </c>
      <c r="B25" s="71" t="n">
        <v>46174</v>
      </c>
      <c r="C25" s="0" t="n">
        <v>1</v>
      </c>
      <c r="D25" s="0" t="s">
        <v>2442</v>
      </c>
      <c r="E25" s="0" t="n">
        <v>1683</v>
      </c>
      <c r="F25" s="0" t="s">
        <v>406</v>
      </c>
      <c r="I25" s="0" t="n">
        <v>1624511</v>
      </c>
      <c r="J25" s="0" t="n">
        <v>37361</v>
      </c>
      <c r="K25" s="0" t="n">
        <v>2240817</v>
      </c>
      <c r="L25" s="0" t="s">
        <v>2467</v>
      </c>
      <c r="N25" s="0" t="n">
        <v>70</v>
      </c>
      <c r="O25" s="0" t="n">
        <v>126</v>
      </c>
      <c r="P25" s="0" t="s">
        <v>2444</v>
      </c>
    </row>
    <row r="26" customFormat="false" ht="15" hidden="false" customHeight="true" outlineLevel="0" collapsed="false">
      <c r="A26" s="0" t="n">
        <v>2</v>
      </c>
      <c r="B26" s="71" t="n">
        <v>46174</v>
      </c>
      <c r="C26" s="0" t="n">
        <v>1</v>
      </c>
      <c r="D26" s="0" t="s">
        <v>2442</v>
      </c>
      <c r="E26" s="0" t="n">
        <v>1705</v>
      </c>
      <c r="F26" s="0" t="s">
        <v>130</v>
      </c>
      <c r="I26" s="0" t="n">
        <v>1858412</v>
      </c>
      <c r="J26" s="0" t="n">
        <v>11678</v>
      </c>
      <c r="K26" s="0" t="n">
        <v>7894900701593</v>
      </c>
      <c r="L26" s="0" t="s">
        <v>2468</v>
      </c>
      <c r="N26" s="0" t="n">
        <v>12</v>
      </c>
      <c r="O26" s="0" t="n">
        <v>113.8</v>
      </c>
      <c r="P26" s="0" t="s">
        <v>2444</v>
      </c>
    </row>
    <row r="27" customFormat="false" ht="15" hidden="false" customHeight="true" outlineLevel="0" collapsed="false">
      <c r="A27" s="0" t="n">
        <v>2</v>
      </c>
      <c r="B27" s="71" t="n">
        <v>46174</v>
      </c>
      <c r="C27" s="0" t="n">
        <v>1</v>
      </c>
      <c r="D27" s="0" t="s">
        <v>2442</v>
      </c>
      <c r="E27" s="0" t="n">
        <v>1705</v>
      </c>
      <c r="F27" s="0" t="s">
        <v>130</v>
      </c>
      <c r="I27" s="0" t="n">
        <v>1858412</v>
      </c>
      <c r="J27" s="0" t="n">
        <v>21425</v>
      </c>
      <c r="K27" s="0" t="n">
        <v>7894900034219</v>
      </c>
      <c r="L27" s="0" t="s">
        <v>2469</v>
      </c>
      <c r="N27" s="0" t="n">
        <v>9</v>
      </c>
      <c r="O27" s="0" t="n">
        <v>52.11</v>
      </c>
      <c r="P27" s="0" t="s">
        <v>2444</v>
      </c>
    </row>
    <row r="28" customFormat="false" ht="15" hidden="false" customHeight="true" outlineLevel="0" collapsed="false">
      <c r="A28" s="0" t="n">
        <v>2</v>
      </c>
      <c r="B28" s="71" t="n">
        <v>46174</v>
      </c>
      <c r="C28" s="0" t="n">
        <v>1</v>
      </c>
      <c r="D28" s="0" t="s">
        <v>2442</v>
      </c>
      <c r="E28" s="0" t="n">
        <v>1705</v>
      </c>
      <c r="F28" s="0" t="s">
        <v>130</v>
      </c>
      <c r="I28" s="0" t="n">
        <v>1858412</v>
      </c>
      <c r="J28" s="0" t="n">
        <v>21426</v>
      </c>
      <c r="K28" s="0" t="n">
        <v>7894900014211</v>
      </c>
      <c r="L28" s="0" t="s">
        <v>2470</v>
      </c>
      <c r="N28" s="0" t="n">
        <v>9</v>
      </c>
      <c r="O28" s="0" t="n">
        <v>59.89</v>
      </c>
      <c r="P28" s="0" t="s">
        <v>2444</v>
      </c>
    </row>
    <row r="29" customFormat="false" ht="15" hidden="false" customHeight="true" outlineLevel="0" collapsed="false">
      <c r="A29" s="0" t="n">
        <v>2</v>
      </c>
      <c r="B29" s="71" t="n">
        <v>46174</v>
      </c>
      <c r="C29" s="0" t="n">
        <v>11</v>
      </c>
      <c r="D29" s="0" t="s">
        <v>2471</v>
      </c>
      <c r="E29" s="0" t="n">
        <v>1628</v>
      </c>
      <c r="F29" s="0" t="s">
        <v>217</v>
      </c>
      <c r="I29" s="0" t="n">
        <v>88296</v>
      </c>
      <c r="J29" s="0" t="n">
        <v>10618</v>
      </c>
      <c r="K29" s="0" t="n">
        <v>78900134</v>
      </c>
      <c r="L29" s="0" t="s">
        <v>2472</v>
      </c>
      <c r="N29" s="0" t="n">
        <v>10</v>
      </c>
      <c r="O29" s="0" t="n">
        <v>140.81</v>
      </c>
      <c r="P29" s="0" t="s">
        <v>2444</v>
      </c>
    </row>
    <row r="30" customFormat="false" ht="15" hidden="false" customHeight="true" outlineLevel="0" collapsed="false">
      <c r="A30" s="0" t="n">
        <v>2</v>
      </c>
      <c r="B30" s="71" t="n">
        <v>46174</v>
      </c>
      <c r="C30" s="0" t="n">
        <v>11</v>
      </c>
      <c r="D30" s="0" t="s">
        <v>2471</v>
      </c>
      <c r="E30" s="0" t="n">
        <v>1628</v>
      </c>
      <c r="F30" s="0" t="s">
        <v>217</v>
      </c>
      <c r="I30" s="0" t="n">
        <v>88296</v>
      </c>
      <c r="J30" s="0" t="n">
        <v>20859</v>
      </c>
      <c r="K30" s="0" t="n">
        <v>78903418</v>
      </c>
      <c r="L30" s="0" t="s">
        <v>2473</v>
      </c>
      <c r="N30" s="0" t="n">
        <v>10</v>
      </c>
      <c r="O30" s="0" t="n">
        <v>140.81</v>
      </c>
      <c r="P30" s="0" t="s">
        <v>2444</v>
      </c>
    </row>
    <row r="31" customFormat="false" ht="15" hidden="false" customHeight="true" outlineLevel="0" collapsed="false">
      <c r="A31" s="0" t="n">
        <v>2</v>
      </c>
      <c r="B31" s="71" t="n">
        <v>46174</v>
      </c>
      <c r="C31" s="0" t="n">
        <v>11</v>
      </c>
      <c r="D31" s="0" t="s">
        <v>2471</v>
      </c>
      <c r="E31" s="0" t="n">
        <v>1628</v>
      </c>
      <c r="F31" s="0" t="s">
        <v>217</v>
      </c>
      <c r="I31" s="0" t="n">
        <v>88296</v>
      </c>
      <c r="J31" s="0" t="n">
        <v>35028</v>
      </c>
      <c r="K31" s="0" t="n">
        <v>78939837</v>
      </c>
      <c r="L31" s="0" t="s">
        <v>2474</v>
      </c>
      <c r="N31" s="0" t="n">
        <v>10</v>
      </c>
      <c r="O31" s="0" t="n">
        <v>145.43</v>
      </c>
      <c r="P31" s="0" t="s">
        <v>2444</v>
      </c>
    </row>
    <row r="32" customFormat="false" ht="15" hidden="false" customHeight="true" outlineLevel="0" collapsed="false">
      <c r="A32" s="0" t="n">
        <v>2</v>
      </c>
      <c r="B32" s="71" t="n">
        <v>46174</v>
      </c>
      <c r="C32" s="0" t="n">
        <v>11</v>
      </c>
      <c r="D32" s="0" t="s">
        <v>2471</v>
      </c>
      <c r="E32" s="0" t="n">
        <v>1628</v>
      </c>
      <c r="F32" s="0" t="s">
        <v>217</v>
      </c>
      <c r="I32" s="0" t="n">
        <v>88296</v>
      </c>
      <c r="J32" s="0" t="n">
        <v>80674</v>
      </c>
      <c r="K32" s="0" t="n">
        <v>819244</v>
      </c>
      <c r="L32" s="0" t="s">
        <v>2475</v>
      </c>
      <c r="N32" s="0" t="n">
        <v>250</v>
      </c>
      <c r="O32" s="0" t="n">
        <v>200</v>
      </c>
      <c r="P32" s="0" t="s">
        <v>2444</v>
      </c>
    </row>
    <row r="33" customFormat="false" ht="15" hidden="false" customHeight="true" outlineLevel="0" collapsed="false">
      <c r="A33" s="0" t="n">
        <v>2</v>
      </c>
      <c r="B33" s="71" t="n">
        <v>46174</v>
      </c>
      <c r="C33" s="0" t="n">
        <v>11</v>
      </c>
      <c r="D33" s="0" t="s">
        <v>2471</v>
      </c>
      <c r="E33" s="0" t="n">
        <v>1628</v>
      </c>
      <c r="F33" s="0" t="s">
        <v>217</v>
      </c>
      <c r="I33" s="0" t="n">
        <v>88296</v>
      </c>
      <c r="J33" s="0" t="n">
        <v>81100</v>
      </c>
      <c r="K33" s="0" t="n">
        <v>78948884</v>
      </c>
      <c r="L33" s="0" t="s">
        <v>2476</v>
      </c>
      <c r="N33" s="0" t="n">
        <v>5</v>
      </c>
      <c r="O33" s="0" t="n">
        <v>45.8</v>
      </c>
      <c r="P33" s="0" t="s">
        <v>2444</v>
      </c>
    </row>
    <row r="34" customFormat="false" ht="15" hidden="false" customHeight="true" outlineLevel="0" collapsed="false">
      <c r="A34" s="0" t="n">
        <v>2</v>
      </c>
      <c r="B34" s="71" t="n">
        <v>46174</v>
      </c>
      <c r="C34" s="0" t="n">
        <v>11</v>
      </c>
      <c r="D34" s="0" t="s">
        <v>2471</v>
      </c>
      <c r="E34" s="0" t="n">
        <v>1705</v>
      </c>
      <c r="F34" s="0" t="s">
        <v>130</v>
      </c>
      <c r="I34" s="0" t="n">
        <v>1857569</v>
      </c>
      <c r="J34" s="0" t="n">
        <v>30188</v>
      </c>
      <c r="K34" s="0" t="n">
        <v>78908901</v>
      </c>
      <c r="L34" s="0" t="s">
        <v>2477</v>
      </c>
      <c r="N34" s="0" t="n">
        <v>15</v>
      </c>
      <c r="O34" s="0" t="n">
        <v>29.46</v>
      </c>
      <c r="P34" s="0" t="s">
        <v>2444</v>
      </c>
    </row>
    <row r="35" customFormat="false" ht="15" hidden="false" customHeight="true" outlineLevel="0" collapsed="false">
      <c r="A35" s="0" t="n">
        <v>2</v>
      </c>
      <c r="B35" s="71" t="n">
        <v>46174</v>
      </c>
      <c r="C35" s="0" t="n">
        <v>11</v>
      </c>
      <c r="D35" s="0" t="s">
        <v>2471</v>
      </c>
      <c r="E35" s="0" t="n">
        <v>1705</v>
      </c>
      <c r="F35" s="0" t="s">
        <v>130</v>
      </c>
      <c r="I35" s="0" t="n">
        <v>1857569</v>
      </c>
      <c r="J35" s="0" t="n">
        <v>34629</v>
      </c>
      <c r="K35" s="0" t="n">
        <v>7894900027020</v>
      </c>
      <c r="L35" s="0" t="s">
        <v>2478</v>
      </c>
      <c r="N35" s="0" t="n">
        <v>30</v>
      </c>
      <c r="O35" s="0" t="n">
        <v>289.68</v>
      </c>
      <c r="P35" s="0" t="s">
        <v>2444</v>
      </c>
    </row>
    <row r="36" customFormat="false" ht="15" hidden="false" customHeight="true" outlineLevel="0" collapsed="false">
      <c r="A36" s="0" t="n">
        <v>2</v>
      </c>
      <c r="B36" s="71" t="n">
        <v>46174</v>
      </c>
      <c r="C36" s="0" t="n">
        <v>22</v>
      </c>
      <c r="D36" s="0" t="s">
        <v>2479</v>
      </c>
      <c r="E36" s="0" t="n">
        <v>48</v>
      </c>
      <c r="F36" s="0" t="s">
        <v>153</v>
      </c>
      <c r="I36" s="0" t="n">
        <v>2472</v>
      </c>
      <c r="J36" s="0" t="n">
        <v>100000</v>
      </c>
      <c r="K36" s="0" t="n">
        <v>1</v>
      </c>
      <c r="L36" s="0" t="s">
        <v>2480</v>
      </c>
      <c r="N36" s="0" t="n">
        <v>2.57</v>
      </c>
      <c r="O36" s="0" t="n">
        <v>48.5</v>
      </c>
      <c r="P36" s="0" t="s">
        <v>2444</v>
      </c>
    </row>
    <row r="37" customFormat="false" ht="15" hidden="false" customHeight="true" outlineLevel="0" collapsed="false">
      <c r="A37" s="0" t="n">
        <v>2</v>
      </c>
      <c r="B37" s="71" t="n">
        <v>46174</v>
      </c>
      <c r="C37" s="0" t="n">
        <v>22</v>
      </c>
      <c r="D37" s="0" t="s">
        <v>2479</v>
      </c>
      <c r="E37" s="0" t="n">
        <v>48</v>
      </c>
      <c r="F37" s="0" t="s">
        <v>153</v>
      </c>
      <c r="I37" s="0" t="n">
        <v>2472</v>
      </c>
      <c r="J37" s="0" t="n">
        <v>100000</v>
      </c>
      <c r="K37" s="0" t="n">
        <v>1</v>
      </c>
      <c r="L37" s="0" t="s">
        <v>2480</v>
      </c>
      <c r="N37" s="0" t="n">
        <v>3.265</v>
      </c>
      <c r="O37" s="0" t="n">
        <v>65.85</v>
      </c>
      <c r="P37" s="0" t="s">
        <v>2444</v>
      </c>
    </row>
    <row r="38" customFormat="false" ht="15" hidden="false" customHeight="true" outlineLevel="0" collapsed="false">
      <c r="A38" s="0" t="n">
        <v>2</v>
      </c>
      <c r="B38" s="71" t="n">
        <v>46174</v>
      </c>
      <c r="C38" s="0" t="n">
        <v>22</v>
      </c>
      <c r="D38" s="0" t="s">
        <v>2479</v>
      </c>
      <c r="E38" s="0" t="n">
        <v>48</v>
      </c>
      <c r="F38" s="0" t="s">
        <v>153</v>
      </c>
      <c r="I38" s="0" t="n">
        <v>2472</v>
      </c>
      <c r="J38" s="0" t="n">
        <v>100001</v>
      </c>
      <c r="K38" s="0" t="n">
        <v>2</v>
      </c>
      <c r="L38" s="0" t="s">
        <v>2481</v>
      </c>
      <c r="N38" s="0" t="n">
        <v>10.085</v>
      </c>
      <c r="O38" s="0" t="n">
        <v>206.18</v>
      </c>
      <c r="P38" s="0" t="s">
        <v>2444</v>
      </c>
    </row>
    <row r="39" customFormat="false" ht="15" hidden="false" customHeight="true" outlineLevel="0" collapsed="false">
      <c r="A39" s="0" t="n">
        <v>2</v>
      </c>
      <c r="B39" s="71" t="n">
        <v>46174</v>
      </c>
      <c r="C39" s="0" t="n">
        <v>22</v>
      </c>
      <c r="D39" s="0" t="s">
        <v>2479</v>
      </c>
      <c r="E39" s="0" t="n">
        <v>48</v>
      </c>
      <c r="F39" s="0" t="s">
        <v>153</v>
      </c>
      <c r="I39" s="0" t="n">
        <v>2472</v>
      </c>
      <c r="J39" s="0" t="n">
        <v>100002</v>
      </c>
      <c r="K39" s="0" t="n">
        <v>3</v>
      </c>
      <c r="L39" s="0" t="s">
        <v>2482</v>
      </c>
      <c r="N39" s="0" t="n">
        <v>19.92</v>
      </c>
      <c r="O39" s="0" t="n">
        <v>469.92</v>
      </c>
      <c r="P39" s="0" t="s">
        <v>2444</v>
      </c>
    </row>
    <row r="40" customFormat="false" ht="15" hidden="false" customHeight="true" outlineLevel="0" collapsed="false">
      <c r="A40" s="0" t="n">
        <v>2</v>
      </c>
      <c r="B40" s="71" t="n">
        <v>46174</v>
      </c>
      <c r="C40" s="0" t="n">
        <v>22</v>
      </c>
      <c r="D40" s="0" t="s">
        <v>2479</v>
      </c>
      <c r="E40" s="0" t="n">
        <v>48</v>
      </c>
      <c r="F40" s="0" t="s">
        <v>153</v>
      </c>
      <c r="I40" s="0" t="n">
        <v>2472</v>
      </c>
      <c r="J40" s="0" t="n">
        <v>100003</v>
      </c>
      <c r="K40" s="0" t="n">
        <v>4</v>
      </c>
      <c r="L40" s="0" t="s">
        <v>2483</v>
      </c>
      <c r="N40" s="0" t="n">
        <v>16.65</v>
      </c>
      <c r="O40" s="0" t="n">
        <v>418.97</v>
      </c>
      <c r="P40" s="0" t="s">
        <v>2444</v>
      </c>
    </row>
    <row r="41" customFormat="false" ht="15" hidden="false" customHeight="true" outlineLevel="0" collapsed="false">
      <c r="A41" s="0" t="n">
        <v>2</v>
      </c>
      <c r="B41" s="71" t="n">
        <v>46174</v>
      </c>
      <c r="C41" s="0" t="n">
        <v>22</v>
      </c>
      <c r="D41" s="0" t="s">
        <v>2479</v>
      </c>
      <c r="E41" s="0" t="n">
        <v>48</v>
      </c>
      <c r="F41" s="0" t="s">
        <v>153</v>
      </c>
      <c r="I41" s="0" t="n">
        <v>2472</v>
      </c>
      <c r="J41" s="0" t="n">
        <v>100004</v>
      </c>
      <c r="K41" s="0" t="n">
        <v>5</v>
      </c>
      <c r="L41" s="0" t="s">
        <v>2484</v>
      </c>
      <c r="N41" s="0" t="n">
        <v>1.142</v>
      </c>
      <c r="O41" s="0" t="n">
        <v>25.14</v>
      </c>
      <c r="P41" s="0" t="s">
        <v>2444</v>
      </c>
    </row>
    <row r="42" customFormat="false" ht="15" hidden="false" customHeight="true" outlineLevel="0" collapsed="false">
      <c r="A42" s="0" t="n">
        <v>2</v>
      </c>
      <c r="B42" s="71" t="n">
        <v>46174</v>
      </c>
      <c r="C42" s="0" t="n">
        <v>22</v>
      </c>
      <c r="D42" s="0" t="s">
        <v>2479</v>
      </c>
      <c r="E42" s="0" t="n">
        <v>48</v>
      </c>
      <c r="F42" s="0" t="s">
        <v>153</v>
      </c>
      <c r="I42" s="0" t="n">
        <v>2472</v>
      </c>
      <c r="J42" s="0" t="n">
        <v>100006</v>
      </c>
      <c r="K42" s="0" t="n">
        <v>7</v>
      </c>
      <c r="L42" s="0" t="s">
        <v>2485</v>
      </c>
      <c r="N42" s="0" t="n">
        <v>2.45</v>
      </c>
      <c r="O42" s="0" t="n">
        <v>70.01</v>
      </c>
      <c r="P42" s="0" t="s">
        <v>2444</v>
      </c>
    </row>
    <row r="43" customFormat="false" ht="15" hidden="false" customHeight="true" outlineLevel="0" collapsed="false">
      <c r="A43" s="0" t="n">
        <v>2</v>
      </c>
      <c r="B43" s="71" t="n">
        <v>46174</v>
      </c>
      <c r="C43" s="0" t="n">
        <v>22</v>
      </c>
      <c r="D43" s="0" t="s">
        <v>2479</v>
      </c>
      <c r="E43" s="0" t="n">
        <v>48</v>
      </c>
      <c r="F43" s="0" t="s">
        <v>153</v>
      </c>
      <c r="I43" s="0" t="n">
        <v>2472</v>
      </c>
      <c r="J43" s="0" t="n">
        <v>100007</v>
      </c>
      <c r="K43" s="0" t="n">
        <v>8</v>
      </c>
      <c r="L43" s="0" t="s">
        <v>2486</v>
      </c>
      <c r="N43" s="0" t="n">
        <v>1.486</v>
      </c>
      <c r="O43" s="0" t="n">
        <v>35.06</v>
      </c>
      <c r="P43" s="0" t="s">
        <v>2444</v>
      </c>
    </row>
    <row r="44" customFormat="false" ht="15" hidden="false" customHeight="true" outlineLevel="0" collapsed="false">
      <c r="A44" s="0" t="n">
        <v>2</v>
      </c>
      <c r="B44" s="71" t="n">
        <v>46174</v>
      </c>
      <c r="C44" s="0" t="n">
        <v>22</v>
      </c>
      <c r="D44" s="0" t="s">
        <v>2479</v>
      </c>
      <c r="E44" s="0" t="n">
        <v>48</v>
      </c>
      <c r="F44" s="0" t="s">
        <v>153</v>
      </c>
      <c r="I44" s="0" t="n">
        <v>2472</v>
      </c>
      <c r="J44" s="0" t="n">
        <v>100007</v>
      </c>
      <c r="K44" s="0" t="n">
        <v>8</v>
      </c>
      <c r="L44" s="0" t="s">
        <v>2486</v>
      </c>
      <c r="N44" s="0" t="n">
        <v>2.5</v>
      </c>
      <c r="O44" s="0" t="n">
        <v>63.03</v>
      </c>
      <c r="P44" s="0" t="s">
        <v>2444</v>
      </c>
    </row>
    <row r="45" customFormat="false" ht="15" hidden="false" customHeight="true" outlineLevel="0" collapsed="false">
      <c r="A45" s="0" t="n">
        <v>2</v>
      </c>
      <c r="B45" s="71" t="n">
        <v>46174</v>
      </c>
      <c r="C45" s="0" t="n">
        <v>22</v>
      </c>
      <c r="D45" s="0" t="s">
        <v>2479</v>
      </c>
      <c r="E45" s="0" t="n">
        <v>48</v>
      </c>
      <c r="F45" s="0" t="s">
        <v>153</v>
      </c>
      <c r="I45" s="0" t="n">
        <v>2472</v>
      </c>
      <c r="J45" s="0" t="n">
        <v>100008</v>
      </c>
      <c r="K45" s="0" t="n">
        <v>9</v>
      </c>
      <c r="L45" s="0" t="s">
        <v>2487</v>
      </c>
      <c r="N45" s="0" t="n">
        <v>13.995</v>
      </c>
      <c r="O45" s="0" t="n">
        <v>458.75</v>
      </c>
      <c r="P45" s="0" t="s">
        <v>2444</v>
      </c>
    </row>
    <row r="46" customFormat="false" ht="15" hidden="false" customHeight="true" outlineLevel="0" collapsed="false">
      <c r="A46" s="0" t="n">
        <v>2</v>
      </c>
      <c r="B46" s="71" t="n">
        <v>46174</v>
      </c>
      <c r="C46" s="0" t="n">
        <v>22</v>
      </c>
      <c r="D46" s="0" t="s">
        <v>2479</v>
      </c>
      <c r="E46" s="0" t="n">
        <v>48</v>
      </c>
      <c r="F46" s="0" t="s">
        <v>153</v>
      </c>
      <c r="I46" s="0" t="n">
        <v>2472</v>
      </c>
      <c r="J46" s="0" t="n">
        <v>100011</v>
      </c>
      <c r="K46" s="0" t="n">
        <v>12</v>
      </c>
      <c r="L46" s="0" t="s">
        <v>2488</v>
      </c>
      <c r="N46" s="0" t="n">
        <v>9</v>
      </c>
      <c r="O46" s="0" t="n">
        <v>332.85</v>
      </c>
      <c r="P46" s="0" t="s">
        <v>2444</v>
      </c>
    </row>
    <row r="47" customFormat="false" ht="15" hidden="false" customHeight="true" outlineLevel="0" collapsed="false">
      <c r="A47" s="0" t="n">
        <v>2</v>
      </c>
      <c r="B47" s="71" t="n">
        <v>46174</v>
      </c>
      <c r="C47" s="0" t="n">
        <v>22</v>
      </c>
      <c r="D47" s="0" t="s">
        <v>2479</v>
      </c>
      <c r="E47" s="0" t="n">
        <v>48</v>
      </c>
      <c r="F47" s="0" t="s">
        <v>153</v>
      </c>
      <c r="I47" s="0" t="n">
        <v>2472</v>
      </c>
      <c r="J47" s="0" t="n">
        <v>100012</v>
      </c>
      <c r="K47" s="0" t="n">
        <v>13</v>
      </c>
      <c r="L47" s="0" t="s">
        <v>2489</v>
      </c>
      <c r="N47" s="0" t="n">
        <v>4.9</v>
      </c>
      <c r="O47" s="0" t="n">
        <v>205.93</v>
      </c>
      <c r="P47" s="0" t="s">
        <v>2444</v>
      </c>
    </row>
    <row r="48" customFormat="false" ht="15" hidden="false" customHeight="true" outlineLevel="0" collapsed="false">
      <c r="A48" s="0" t="n">
        <v>2</v>
      </c>
      <c r="B48" s="71" t="n">
        <v>46174</v>
      </c>
      <c r="C48" s="0" t="n">
        <v>22</v>
      </c>
      <c r="D48" s="0" t="s">
        <v>2479</v>
      </c>
      <c r="E48" s="0" t="n">
        <v>48</v>
      </c>
      <c r="F48" s="0" t="s">
        <v>153</v>
      </c>
      <c r="I48" s="0" t="n">
        <v>2472</v>
      </c>
      <c r="J48" s="0" t="n">
        <v>100013</v>
      </c>
      <c r="K48" s="0" t="n">
        <v>14</v>
      </c>
      <c r="L48" s="0" t="s">
        <v>2490</v>
      </c>
      <c r="N48" s="0" t="n">
        <v>9.17</v>
      </c>
      <c r="O48" s="0" t="n">
        <v>408.52</v>
      </c>
      <c r="P48" s="0" t="s">
        <v>2444</v>
      </c>
    </row>
    <row r="49" customFormat="false" ht="15" hidden="false" customHeight="true" outlineLevel="0" collapsed="false">
      <c r="A49" s="0" t="n">
        <v>2</v>
      </c>
      <c r="B49" s="71" t="n">
        <v>46174</v>
      </c>
      <c r="C49" s="0" t="n">
        <v>22</v>
      </c>
      <c r="D49" s="0" t="s">
        <v>2479</v>
      </c>
      <c r="E49" s="0" t="n">
        <v>48</v>
      </c>
      <c r="F49" s="0" t="s">
        <v>153</v>
      </c>
      <c r="I49" s="0" t="n">
        <v>2472</v>
      </c>
      <c r="J49" s="0" t="n">
        <v>100014</v>
      </c>
      <c r="K49" s="0" t="n">
        <v>15</v>
      </c>
      <c r="L49" s="0" t="s">
        <v>2491</v>
      </c>
      <c r="N49" s="0" t="n">
        <v>3.8</v>
      </c>
      <c r="O49" s="0" t="n">
        <v>172.48</v>
      </c>
      <c r="P49" s="0" t="s">
        <v>2444</v>
      </c>
    </row>
    <row r="50" customFormat="false" ht="15" hidden="false" customHeight="true" outlineLevel="0" collapsed="false">
      <c r="A50" s="0" t="n">
        <v>2</v>
      </c>
      <c r="B50" s="71" t="n">
        <v>46174</v>
      </c>
      <c r="C50" s="0" t="n">
        <v>22</v>
      </c>
      <c r="D50" s="0" t="s">
        <v>2479</v>
      </c>
      <c r="E50" s="0" t="n">
        <v>48</v>
      </c>
      <c r="F50" s="0" t="s">
        <v>153</v>
      </c>
      <c r="I50" s="0" t="n">
        <v>2472</v>
      </c>
      <c r="J50" s="0" t="n">
        <v>100015</v>
      </c>
      <c r="K50" s="0" t="n">
        <v>16</v>
      </c>
      <c r="L50" s="0" t="s">
        <v>2492</v>
      </c>
      <c r="N50" s="0" t="n">
        <v>1.694</v>
      </c>
      <c r="O50" s="0" t="n">
        <v>68.35</v>
      </c>
      <c r="P50" s="0" t="s">
        <v>2444</v>
      </c>
    </row>
    <row r="51" customFormat="false" ht="15" hidden="false" customHeight="true" outlineLevel="0" collapsed="false">
      <c r="A51" s="0" t="n">
        <v>2</v>
      </c>
      <c r="B51" s="71" t="n">
        <v>46174</v>
      </c>
      <c r="C51" s="0" t="n">
        <v>22</v>
      </c>
      <c r="D51" s="0" t="s">
        <v>2479</v>
      </c>
      <c r="E51" s="0" t="n">
        <v>48</v>
      </c>
      <c r="F51" s="0" t="s">
        <v>153</v>
      </c>
      <c r="I51" s="0" t="n">
        <v>2472</v>
      </c>
      <c r="J51" s="0" t="n">
        <v>100016</v>
      </c>
      <c r="K51" s="0" t="n">
        <v>17</v>
      </c>
      <c r="L51" s="0" t="s">
        <v>2493</v>
      </c>
      <c r="N51" s="0" t="n">
        <v>2.05</v>
      </c>
      <c r="O51" s="0" t="n">
        <v>103.39</v>
      </c>
      <c r="P51" s="0" t="s">
        <v>2444</v>
      </c>
    </row>
    <row r="52" customFormat="false" ht="15" hidden="false" customHeight="true" outlineLevel="0" collapsed="false">
      <c r="A52" s="0" t="n">
        <v>2</v>
      </c>
      <c r="B52" s="71" t="n">
        <v>46174</v>
      </c>
      <c r="C52" s="0" t="n">
        <v>22</v>
      </c>
      <c r="D52" s="0" t="s">
        <v>2479</v>
      </c>
      <c r="E52" s="0" t="n">
        <v>48</v>
      </c>
      <c r="F52" s="0" t="s">
        <v>153</v>
      </c>
      <c r="I52" s="0" t="n">
        <v>2472</v>
      </c>
      <c r="J52" s="0" t="n">
        <v>100017</v>
      </c>
      <c r="K52" s="0" t="n">
        <v>18</v>
      </c>
      <c r="L52" s="0" t="s">
        <v>2494</v>
      </c>
      <c r="N52" s="0" t="n">
        <v>1.37</v>
      </c>
      <c r="O52" s="0" t="n">
        <v>80.61</v>
      </c>
      <c r="P52" s="0" t="s">
        <v>2444</v>
      </c>
    </row>
    <row r="53" customFormat="false" ht="15" hidden="false" customHeight="true" outlineLevel="0" collapsed="false">
      <c r="A53" s="0" t="n">
        <v>2</v>
      </c>
      <c r="B53" s="71" t="n">
        <v>46174</v>
      </c>
      <c r="C53" s="0" t="n">
        <v>22</v>
      </c>
      <c r="D53" s="0" t="s">
        <v>2479</v>
      </c>
      <c r="E53" s="0" t="n">
        <v>48</v>
      </c>
      <c r="F53" s="0" t="s">
        <v>153</v>
      </c>
      <c r="I53" s="0" t="n">
        <v>2472</v>
      </c>
      <c r="J53" s="0" t="n">
        <v>100053</v>
      </c>
      <c r="K53" s="0" t="n">
        <v>54</v>
      </c>
      <c r="L53" s="0" t="s">
        <v>2495</v>
      </c>
      <c r="N53" s="0" t="n">
        <v>1.818</v>
      </c>
      <c r="O53" s="0" t="n">
        <v>67.23</v>
      </c>
      <c r="P53" s="0" t="s">
        <v>2444</v>
      </c>
    </row>
    <row r="54" customFormat="false" ht="15" hidden="false" customHeight="true" outlineLevel="0" collapsed="false">
      <c r="A54" s="0" t="n">
        <v>2</v>
      </c>
      <c r="B54" s="71" t="n">
        <v>46174</v>
      </c>
      <c r="C54" s="0" t="n">
        <v>22</v>
      </c>
      <c r="D54" s="0" t="s">
        <v>2479</v>
      </c>
      <c r="E54" s="0" t="n">
        <v>48</v>
      </c>
      <c r="F54" s="0" t="s">
        <v>153</v>
      </c>
      <c r="I54" s="0" t="n">
        <v>2472</v>
      </c>
      <c r="J54" s="0" t="n">
        <v>100638</v>
      </c>
      <c r="K54" s="0" t="n">
        <v>508</v>
      </c>
      <c r="L54" s="0" t="s">
        <v>2496</v>
      </c>
      <c r="N54" s="0" t="n">
        <v>1</v>
      </c>
      <c r="O54" s="0" t="n">
        <v>2.51</v>
      </c>
      <c r="P54" s="0" t="s">
        <v>2444</v>
      </c>
    </row>
    <row r="55" customFormat="false" ht="15" hidden="false" customHeight="true" outlineLevel="0" collapsed="false">
      <c r="A55" s="0" t="n">
        <v>2</v>
      </c>
      <c r="B55" s="71" t="n">
        <v>46174</v>
      </c>
      <c r="C55" s="0" t="n">
        <v>22</v>
      </c>
      <c r="D55" s="0" t="s">
        <v>2479</v>
      </c>
      <c r="E55" s="0" t="n">
        <v>48</v>
      </c>
      <c r="F55" s="0" t="s">
        <v>153</v>
      </c>
      <c r="I55" s="0" t="n">
        <v>2472</v>
      </c>
      <c r="J55" s="0" t="n">
        <v>100638</v>
      </c>
      <c r="K55" s="0" t="n">
        <v>508</v>
      </c>
      <c r="L55" s="0" t="s">
        <v>2496</v>
      </c>
      <c r="N55" s="0" t="n">
        <v>0.806</v>
      </c>
      <c r="O55" s="0" t="n">
        <v>1.9</v>
      </c>
      <c r="P55" s="0" t="s">
        <v>2444</v>
      </c>
    </row>
    <row r="56" customFormat="false" ht="15" hidden="false" customHeight="true" outlineLevel="0" collapsed="false">
      <c r="A56" s="0" t="n">
        <v>2</v>
      </c>
      <c r="B56" s="71" t="n">
        <v>46174</v>
      </c>
      <c r="C56" s="0" t="n">
        <v>22</v>
      </c>
      <c r="D56" s="0" t="s">
        <v>2479</v>
      </c>
      <c r="E56" s="0" t="n">
        <v>48</v>
      </c>
      <c r="F56" s="0" t="s">
        <v>153</v>
      </c>
      <c r="I56" s="0" t="n">
        <v>2472</v>
      </c>
      <c r="J56" s="0" t="n">
        <v>100520</v>
      </c>
      <c r="K56" s="0" t="n">
        <v>507</v>
      </c>
      <c r="L56" s="0" t="s">
        <v>2497</v>
      </c>
      <c r="N56" s="0" t="n">
        <v>7.75</v>
      </c>
      <c r="O56" s="0" t="n">
        <v>19.48</v>
      </c>
      <c r="P56" s="0" t="s">
        <v>2444</v>
      </c>
    </row>
    <row r="57" customFormat="false" ht="15" hidden="false" customHeight="true" outlineLevel="0" collapsed="false">
      <c r="A57" s="0" t="n">
        <v>2</v>
      </c>
      <c r="B57" s="71" t="n">
        <v>46174</v>
      </c>
      <c r="C57" s="0" t="n">
        <v>22</v>
      </c>
      <c r="D57" s="0" t="s">
        <v>2479</v>
      </c>
      <c r="E57" s="0" t="n">
        <v>48</v>
      </c>
      <c r="F57" s="0" t="s">
        <v>153</v>
      </c>
      <c r="I57" s="0" t="n">
        <v>2472</v>
      </c>
      <c r="J57" s="0" t="n">
        <v>100520</v>
      </c>
      <c r="K57" s="0" t="n">
        <v>507</v>
      </c>
      <c r="L57" s="0" t="s">
        <v>2497</v>
      </c>
      <c r="N57" s="0" t="n">
        <v>1.844</v>
      </c>
      <c r="O57" s="0" t="n">
        <v>4.34</v>
      </c>
      <c r="P57" s="0" t="s">
        <v>2444</v>
      </c>
    </row>
    <row r="58" customFormat="false" ht="15" hidden="false" customHeight="true" outlineLevel="0" collapsed="false">
      <c r="A58" s="0" t="n">
        <v>2</v>
      </c>
      <c r="B58" s="71" t="n">
        <v>46174</v>
      </c>
      <c r="C58" s="0" t="n">
        <v>22</v>
      </c>
      <c r="D58" s="0" t="s">
        <v>2479</v>
      </c>
      <c r="E58" s="0" t="n">
        <v>48</v>
      </c>
      <c r="F58" s="0" t="s">
        <v>153</v>
      </c>
      <c r="I58" s="0" t="n">
        <v>2472</v>
      </c>
      <c r="J58" s="0" t="n">
        <v>110455</v>
      </c>
      <c r="K58" s="0" t="n">
        <v>53212</v>
      </c>
      <c r="L58" s="0" t="s">
        <v>2498</v>
      </c>
      <c r="N58" s="0" t="n">
        <v>0.497</v>
      </c>
      <c r="O58" s="0" t="n">
        <v>0</v>
      </c>
      <c r="P58" s="0" t="s">
        <v>2444</v>
      </c>
    </row>
    <row r="59" customFormat="false" ht="15" hidden="false" customHeight="true" outlineLevel="0" collapsed="false">
      <c r="A59" s="0" t="n">
        <v>2</v>
      </c>
      <c r="B59" s="71" t="n">
        <v>46174</v>
      </c>
      <c r="C59" s="0" t="n">
        <v>22</v>
      </c>
      <c r="D59" s="0" t="s">
        <v>2479</v>
      </c>
      <c r="E59" s="0" t="n">
        <v>48</v>
      </c>
      <c r="F59" s="0" t="s">
        <v>153</v>
      </c>
      <c r="I59" s="0" t="n">
        <v>2472</v>
      </c>
      <c r="J59" s="0" t="n">
        <v>110455</v>
      </c>
      <c r="K59" s="0" t="n">
        <v>53212</v>
      </c>
      <c r="L59" s="0" t="s">
        <v>2498</v>
      </c>
      <c r="N59" s="0" t="n">
        <v>0.438</v>
      </c>
      <c r="O59" s="0" t="n">
        <v>0.01</v>
      </c>
      <c r="P59" s="0" t="s">
        <v>2444</v>
      </c>
    </row>
    <row r="60" customFormat="false" ht="15" hidden="false" customHeight="true" outlineLevel="0" collapsed="false">
      <c r="A60" s="0" t="n">
        <v>2</v>
      </c>
      <c r="B60" s="71" t="n">
        <v>46174</v>
      </c>
      <c r="C60" s="0" t="n">
        <v>100</v>
      </c>
      <c r="D60" s="0" t="s">
        <v>2499</v>
      </c>
      <c r="E60" s="0" t="n">
        <v>48</v>
      </c>
      <c r="F60" s="0" t="s">
        <v>153</v>
      </c>
      <c r="I60" s="0" t="n">
        <v>1188029</v>
      </c>
      <c r="J60" s="0" t="n">
        <v>100000</v>
      </c>
      <c r="K60" s="0" t="n">
        <v>1</v>
      </c>
      <c r="L60" s="0" t="s">
        <v>2480</v>
      </c>
      <c r="N60" s="0" t="n">
        <v>3.265</v>
      </c>
      <c r="O60" s="0" t="n">
        <v>65.85</v>
      </c>
      <c r="P60" s="0" t="s">
        <v>2444</v>
      </c>
    </row>
    <row r="61" customFormat="false" ht="15" hidden="false" customHeight="true" outlineLevel="0" collapsed="false">
      <c r="A61" s="0" t="n">
        <v>2</v>
      </c>
      <c r="B61" s="71" t="n">
        <v>46174</v>
      </c>
      <c r="C61" s="0" t="n">
        <v>100</v>
      </c>
      <c r="D61" s="0" t="s">
        <v>2499</v>
      </c>
      <c r="E61" s="0" t="n">
        <v>48</v>
      </c>
      <c r="F61" s="0" t="s">
        <v>153</v>
      </c>
      <c r="I61" s="0" t="n">
        <v>1188029</v>
      </c>
      <c r="J61" s="0" t="n">
        <v>100006</v>
      </c>
      <c r="K61" s="0" t="n">
        <v>7</v>
      </c>
      <c r="L61" s="0" t="s">
        <v>2485</v>
      </c>
      <c r="N61" s="0" t="n">
        <v>2.45</v>
      </c>
      <c r="O61" s="0" t="n">
        <v>70.01</v>
      </c>
      <c r="P61" s="0" t="s">
        <v>2444</v>
      </c>
    </row>
    <row r="62" customFormat="false" ht="15" hidden="false" customHeight="true" outlineLevel="0" collapsed="false">
      <c r="A62" s="0" t="n">
        <v>2</v>
      </c>
      <c r="B62" s="71" t="n">
        <v>46174</v>
      </c>
      <c r="C62" s="0" t="n">
        <v>100</v>
      </c>
      <c r="D62" s="0" t="s">
        <v>2499</v>
      </c>
      <c r="E62" s="0" t="n">
        <v>48</v>
      </c>
      <c r="F62" s="0" t="s">
        <v>153</v>
      </c>
      <c r="I62" s="0" t="n">
        <v>1188029</v>
      </c>
      <c r="J62" s="0" t="n">
        <v>100007</v>
      </c>
      <c r="K62" s="0" t="n">
        <v>8</v>
      </c>
      <c r="L62" s="0" t="s">
        <v>2486</v>
      </c>
      <c r="N62" s="0" t="n">
        <v>2.5</v>
      </c>
      <c r="O62" s="0" t="n">
        <v>63.03</v>
      </c>
      <c r="P62" s="0" t="s">
        <v>2444</v>
      </c>
    </row>
    <row r="63" customFormat="false" ht="15" hidden="false" customHeight="true" outlineLevel="0" collapsed="false">
      <c r="A63" s="0" t="n">
        <v>2</v>
      </c>
      <c r="B63" s="71" t="n">
        <v>46174</v>
      </c>
      <c r="C63" s="0" t="n">
        <v>100</v>
      </c>
      <c r="D63" s="0" t="s">
        <v>2499</v>
      </c>
      <c r="E63" s="0" t="n">
        <v>48</v>
      </c>
      <c r="F63" s="0" t="s">
        <v>153</v>
      </c>
      <c r="I63" s="0" t="n">
        <v>1188029</v>
      </c>
      <c r="J63" s="0" t="n">
        <v>100008</v>
      </c>
      <c r="K63" s="0" t="n">
        <v>9</v>
      </c>
      <c r="L63" s="0" t="s">
        <v>2487</v>
      </c>
      <c r="N63" s="0" t="n">
        <v>13.995</v>
      </c>
      <c r="O63" s="0" t="n">
        <v>458.75</v>
      </c>
      <c r="P63" s="0" t="s">
        <v>2444</v>
      </c>
    </row>
    <row r="64" customFormat="false" ht="15" hidden="false" customHeight="true" outlineLevel="0" collapsed="false">
      <c r="A64" s="0" t="n">
        <v>2</v>
      </c>
      <c r="B64" s="71" t="n">
        <v>46174</v>
      </c>
      <c r="C64" s="0" t="n">
        <v>100</v>
      </c>
      <c r="D64" s="0" t="s">
        <v>2499</v>
      </c>
      <c r="E64" s="0" t="n">
        <v>48</v>
      </c>
      <c r="F64" s="0" t="s">
        <v>153</v>
      </c>
      <c r="I64" s="0" t="n">
        <v>1188029</v>
      </c>
      <c r="J64" s="0" t="n">
        <v>100011</v>
      </c>
      <c r="K64" s="0" t="n">
        <v>12</v>
      </c>
      <c r="L64" s="0" t="s">
        <v>2488</v>
      </c>
      <c r="N64" s="0" t="n">
        <v>9</v>
      </c>
      <c r="O64" s="0" t="n">
        <v>332.85</v>
      </c>
      <c r="P64" s="0" t="s">
        <v>2444</v>
      </c>
    </row>
    <row r="65" customFormat="false" ht="15" hidden="false" customHeight="true" outlineLevel="0" collapsed="false">
      <c r="A65" s="0" t="n">
        <v>2</v>
      </c>
      <c r="B65" s="71" t="n">
        <v>46174</v>
      </c>
      <c r="C65" s="0" t="n">
        <v>100</v>
      </c>
      <c r="D65" s="0" t="s">
        <v>2499</v>
      </c>
      <c r="E65" s="0" t="n">
        <v>48</v>
      </c>
      <c r="F65" s="0" t="s">
        <v>153</v>
      </c>
      <c r="I65" s="0" t="n">
        <v>1188029</v>
      </c>
      <c r="J65" s="0" t="n">
        <v>100012</v>
      </c>
      <c r="K65" s="0" t="n">
        <v>13</v>
      </c>
      <c r="L65" s="0" t="s">
        <v>2489</v>
      </c>
      <c r="N65" s="0" t="n">
        <v>4.9</v>
      </c>
      <c r="O65" s="0" t="n">
        <v>205.93</v>
      </c>
      <c r="P65" s="0" t="s">
        <v>2444</v>
      </c>
    </row>
    <row r="66" customFormat="false" ht="15" hidden="false" customHeight="true" outlineLevel="0" collapsed="false">
      <c r="A66" s="0" t="n">
        <v>2</v>
      </c>
      <c r="B66" s="71" t="n">
        <v>46174</v>
      </c>
      <c r="C66" s="0" t="n">
        <v>100</v>
      </c>
      <c r="D66" s="0" t="s">
        <v>2499</v>
      </c>
      <c r="E66" s="0" t="n">
        <v>48</v>
      </c>
      <c r="F66" s="0" t="s">
        <v>153</v>
      </c>
      <c r="I66" s="0" t="n">
        <v>1188029</v>
      </c>
      <c r="J66" s="0" t="n">
        <v>100013</v>
      </c>
      <c r="K66" s="0" t="n">
        <v>14</v>
      </c>
      <c r="L66" s="0" t="s">
        <v>2490</v>
      </c>
      <c r="N66" s="0" t="n">
        <v>9.17</v>
      </c>
      <c r="O66" s="0" t="n">
        <v>408.52</v>
      </c>
      <c r="P66" s="0" t="s">
        <v>2444</v>
      </c>
    </row>
    <row r="67" customFormat="false" ht="15" hidden="false" customHeight="true" outlineLevel="0" collapsed="false">
      <c r="A67" s="0" t="n">
        <v>2</v>
      </c>
      <c r="B67" s="71" t="n">
        <v>46174</v>
      </c>
      <c r="C67" s="0" t="n">
        <v>100</v>
      </c>
      <c r="D67" s="0" t="s">
        <v>2499</v>
      </c>
      <c r="E67" s="0" t="n">
        <v>48</v>
      </c>
      <c r="F67" s="0" t="s">
        <v>153</v>
      </c>
      <c r="I67" s="0" t="n">
        <v>1188029</v>
      </c>
      <c r="J67" s="0" t="n">
        <v>100014</v>
      </c>
      <c r="K67" s="0" t="n">
        <v>15</v>
      </c>
      <c r="L67" s="0" t="s">
        <v>2491</v>
      </c>
      <c r="N67" s="0" t="n">
        <v>3.8</v>
      </c>
      <c r="O67" s="0" t="n">
        <v>172.48</v>
      </c>
      <c r="P67" s="0" t="s">
        <v>2444</v>
      </c>
    </row>
    <row r="68" customFormat="false" ht="15" hidden="false" customHeight="true" outlineLevel="0" collapsed="false">
      <c r="A68" s="0" t="n">
        <v>2</v>
      </c>
      <c r="B68" s="71" t="n">
        <v>46174</v>
      </c>
      <c r="C68" s="0" t="n">
        <v>100</v>
      </c>
      <c r="D68" s="0" t="s">
        <v>2499</v>
      </c>
      <c r="E68" s="0" t="n">
        <v>48</v>
      </c>
      <c r="F68" s="0" t="s">
        <v>153</v>
      </c>
      <c r="I68" s="0" t="n">
        <v>1188029</v>
      </c>
      <c r="J68" s="0" t="n">
        <v>100015</v>
      </c>
      <c r="K68" s="0" t="n">
        <v>16</v>
      </c>
      <c r="L68" s="0" t="s">
        <v>2492</v>
      </c>
      <c r="N68" s="0" t="n">
        <v>1.694</v>
      </c>
      <c r="O68" s="0" t="n">
        <v>68.35</v>
      </c>
      <c r="P68" s="0" t="s">
        <v>2444</v>
      </c>
    </row>
    <row r="69" customFormat="false" ht="15" hidden="false" customHeight="true" outlineLevel="0" collapsed="false">
      <c r="A69" s="0" t="n">
        <v>2</v>
      </c>
      <c r="B69" s="71" t="n">
        <v>46174</v>
      </c>
      <c r="C69" s="0" t="n">
        <v>100</v>
      </c>
      <c r="D69" s="0" t="s">
        <v>2499</v>
      </c>
      <c r="E69" s="0" t="n">
        <v>48</v>
      </c>
      <c r="F69" s="0" t="s">
        <v>153</v>
      </c>
      <c r="I69" s="0" t="n">
        <v>1188029</v>
      </c>
      <c r="J69" s="0" t="n">
        <v>100016</v>
      </c>
      <c r="K69" s="0" t="n">
        <v>17</v>
      </c>
      <c r="L69" s="0" t="s">
        <v>2493</v>
      </c>
      <c r="N69" s="0" t="n">
        <v>2.05</v>
      </c>
      <c r="O69" s="0" t="n">
        <v>103.39</v>
      </c>
      <c r="P69" s="0" t="s">
        <v>2444</v>
      </c>
    </row>
    <row r="70" customFormat="false" ht="15" hidden="false" customHeight="true" outlineLevel="0" collapsed="false">
      <c r="A70" s="0" t="n">
        <v>2</v>
      </c>
      <c r="B70" s="71" t="n">
        <v>46174</v>
      </c>
      <c r="C70" s="0" t="n">
        <v>100</v>
      </c>
      <c r="D70" s="0" t="s">
        <v>2499</v>
      </c>
      <c r="E70" s="0" t="n">
        <v>48</v>
      </c>
      <c r="F70" s="0" t="s">
        <v>153</v>
      </c>
      <c r="I70" s="0" t="n">
        <v>1188029</v>
      </c>
      <c r="J70" s="0" t="n">
        <v>100017</v>
      </c>
      <c r="K70" s="0" t="n">
        <v>18</v>
      </c>
      <c r="L70" s="0" t="s">
        <v>2494</v>
      </c>
      <c r="N70" s="0" t="n">
        <v>1.37</v>
      </c>
      <c r="O70" s="0" t="n">
        <v>80.61</v>
      </c>
      <c r="P70" s="0" t="s">
        <v>2444</v>
      </c>
    </row>
    <row r="71" customFormat="false" ht="15" hidden="false" customHeight="true" outlineLevel="0" collapsed="false">
      <c r="A71" s="0" t="n">
        <v>2</v>
      </c>
      <c r="B71" s="71" t="n">
        <v>46174</v>
      </c>
      <c r="C71" s="0" t="n">
        <v>100</v>
      </c>
      <c r="D71" s="0" t="s">
        <v>2499</v>
      </c>
      <c r="E71" s="0" t="n">
        <v>48</v>
      </c>
      <c r="F71" s="0" t="s">
        <v>153</v>
      </c>
      <c r="I71" s="0" t="n">
        <v>1188029</v>
      </c>
      <c r="J71" s="0" t="n">
        <v>100053</v>
      </c>
      <c r="K71" s="0" t="n">
        <v>54</v>
      </c>
      <c r="L71" s="0" t="s">
        <v>2495</v>
      </c>
      <c r="N71" s="0" t="n">
        <v>1.818</v>
      </c>
      <c r="O71" s="0" t="n">
        <v>67.23</v>
      </c>
      <c r="P71" s="0" t="s">
        <v>2444</v>
      </c>
    </row>
    <row r="72" customFormat="false" ht="15" hidden="false" customHeight="true" outlineLevel="0" collapsed="false">
      <c r="A72" s="0" t="n">
        <v>2</v>
      </c>
      <c r="B72" s="71" t="n">
        <v>46174</v>
      </c>
      <c r="C72" s="0" t="n">
        <v>100</v>
      </c>
      <c r="D72" s="0" t="s">
        <v>2499</v>
      </c>
      <c r="E72" s="0" t="n">
        <v>48</v>
      </c>
      <c r="F72" s="0" t="s">
        <v>153</v>
      </c>
      <c r="I72" s="0" t="n">
        <v>1188029</v>
      </c>
      <c r="J72" s="0" t="n">
        <v>100638</v>
      </c>
      <c r="K72" s="0" t="n">
        <v>508</v>
      </c>
      <c r="L72" s="0" t="s">
        <v>2496</v>
      </c>
      <c r="N72" s="0" t="n">
        <v>1</v>
      </c>
      <c r="O72" s="0" t="n">
        <v>2.51</v>
      </c>
      <c r="P72" s="0" t="s">
        <v>2444</v>
      </c>
    </row>
    <row r="73" customFormat="false" ht="15" hidden="false" customHeight="true" outlineLevel="0" collapsed="false">
      <c r="A73" s="0" t="n">
        <v>2</v>
      </c>
      <c r="B73" s="71" t="n">
        <v>46174</v>
      </c>
      <c r="C73" s="0" t="n">
        <v>100</v>
      </c>
      <c r="D73" s="0" t="s">
        <v>2499</v>
      </c>
      <c r="E73" s="0" t="n">
        <v>48</v>
      </c>
      <c r="F73" s="0" t="s">
        <v>153</v>
      </c>
      <c r="I73" s="0" t="n">
        <v>1188029</v>
      </c>
      <c r="J73" s="0" t="n">
        <v>100520</v>
      </c>
      <c r="K73" s="0" t="n">
        <v>507</v>
      </c>
      <c r="L73" s="0" t="s">
        <v>2497</v>
      </c>
      <c r="N73" s="0" t="n">
        <v>7.75</v>
      </c>
      <c r="O73" s="0" t="n">
        <v>19.48</v>
      </c>
      <c r="P73" s="0" t="s">
        <v>2444</v>
      </c>
    </row>
    <row r="74" customFormat="false" ht="15" hidden="false" customHeight="true" outlineLevel="0" collapsed="false">
      <c r="A74" s="0" t="n">
        <v>2</v>
      </c>
      <c r="B74" s="71" t="n">
        <v>46174</v>
      </c>
      <c r="C74" s="0" t="n">
        <v>100</v>
      </c>
      <c r="D74" s="0" t="s">
        <v>2499</v>
      </c>
      <c r="E74" s="0" t="n">
        <v>48</v>
      </c>
      <c r="F74" s="0" t="s">
        <v>153</v>
      </c>
      <c r="I74" s="0" t="n">
        <v>1188029</v>
      </c>
      <c r="J74" s="0" t="n">
        <v>110455</v>
      </c>
      <c r="K74" s="0" t="n">
        <v>53212</v>
      </c>
      <c r="L74" s="0" t="s">
        <v>2498</v>
      </c>
      <c r="N74" s="0" t="n">
        <v>0.438</v>
      </c>
      <c r="O74" s="0" t="n">
        <v>0.01</v>
      </c>
      <c r="P74" s="0" t="s">
        <v>2444</v>
      </c>
    </row>
    <row r="75" customFormat="false" ht="15" hidden="false" customHeight="true" outlineLevel="0" collapsed="false">
      <c r="A75" s="0" t="n">
        <v>2</v>
      </c>
      <c r="B75" s="71" t="n">
        <v>46174</v>
      </c>
      <c r="C75" s="0" t="n">
        <v>100</v>
      </c>
      <c r="D75" s="0" t="s">
        <v>2499</v>
      </c>
      <c r="E75" s="0" t="n">
        <v>48</v>
      </c>
      <c r="F75" s="0" t="s">
        <v>153</v>
      </c>
      <c r="I75" s="0" t="n">
        <v>1188032</v>
      </c>
      <c r="J75" s="0" t="n">
        <v>100000</v>
      </c>
      <c r="K75" s="0" t="n">
        <v>1</v>
      </c>
      <c r="L75" s="0" t="s">
        <v>2480</v>
      </c>
      <c r="N75" s="0" t="n">
        <v>2.57</v>
      </c>
      <c r="O75" s="0" t="n">
        <v>48.5</v>
      </c>
      <c r="P75" s="0" t="s">
        <v>2444</v>
      </c>
    </row>
    <row r="76" customFormat="false" ht="15" hidden="false" customHeight="true" outlineLevel="0" collapsed="false">
      <c r="A76" s="0" t="n">
        <v>2</v>
      </c>
      <c r="B76" s="71" t="n">
        <v>46174</v>
      </c>
      <c r="C76" s="0" t="n">
        <v>100</v>
      </c>
      <c r="D76" s="0" t="s">
        <v>2499</v>
      </c>
      <c r="E76" s="0" t="n">
        <v>48</v>
      </c>
      <c r="F76" s="0" t="s">
        <v>153</v>
      </c>
      <c r="I76" s="0" t="n">
        <v>1188032</v>
      </c>
      <c r="J76" s="0" t="n">
        <v>100001</v>
      </c>
      <c r="K76" s="0" t="n">
        <v>2</v>
      </c>
      <c r="L76" s="0" t="s">
        <v>2481</v>
      </c>
      <c r="N76" s="0" t="n">
        <v>10.085</v>
      </c>
      <c r="O76" s="0" t="n">
        <v>206.18</v>
      </c>
      <c r="P76" s="0" t="s">
        <v>2444</v>
      </c>
    </row>
    <row r="77" customFormat="false" ht="15" hidden="false" customHeight="true" outlineLevel="0" collapsed="false">
      <c r="A77" s="0" t="n">
        <v>2</v>
      </c>
      <c r="B77" s="71" t="n">
        <v>46174</v>
      </c>
      <c r="C77" s="0" t="n">
        <v>100</v>
      </c>
      <c r="D77" s="0" t="s">
        <v>2499</v>
      </c>
      <c r="E77" s="0" t="n">
        <v>48</v>
      </c>
      <c r="F77" s="0" t="s">
        <v>153</v>
      </c>
      <c r="I77" s="0" t="n">
        <v>1188032</v>
      </c>
      <c r="J77" s="0" t="n">
        <v>100002</v>
      </c>
      <c r="K77" s="0" t="n">
        <v>3</v>
      </c>
      <c r="L77" s="0" t="s">
        <v>2482</v>
      </c>
      <c r="N77" s="0" t="n">
        <v>19.92</v>
      </c>
      <c r="O77" s="0" t="n">
        <v>469.92</v>
      </c>
      <c r="P77" s="0" t="s">
        <v>2444</v>
      </c>
    </row>
    <row r="78" customFormat="false" ht="15" hidden="false" customHeight="true" outlineLevel="0" collapsed="false">
      <c r="A78" s="0" t="n">
        <v>2</v>
      </c>
      <c r="B78" s="71" t="n">
        <v>46174</v>
      </c>
      <c r="C78" s="0" t="n">
        <v>100</v>
      </c>
      <c r="D78" s="0" t="s">
        <v>2499</v>
      </c>
      <c r="E78" s="0" t="n">
        <v>48</v>
      </c>
      <c r="F78" s="0" t="s">
        <v>153</v>
      </c>
      <c r="I78" s="0" t="n">
        <v>1188032</v>
      </c>
      <c r="J78" s="0" t="n">
        <v>100003</v>
      </c>
      <c r="K78" s="0" t="n">
        <v>4</v>
      </c>
      <c r="L78" s="0" t="s">
        <v>2483</v>
      </c>
      <c r="N78" s="0" t="n">
        <v>16.65</v>
      </c>
      <c r="O78" s="0" t="n">
        <v>418.97</v>
      </c>
      <c r="P78" s="0" t="s">
        <v>2444</v>
      </c>
    </row>
    <row r="79" customFormat="false" ht="15" hidden="false" customHeight="true" outlineLevel="0" collapsed="false">
      <c r="A79" s="0" t="n">
        <v>2</v>
      </c>
      <c r="B79" s="71" t="n">
        <v>46174</v>
      </c>
      <c r="C79" s="0" t="n">
        <v>100</v>
      </c>
      <c r="D79" s="0" t="s">
        <v>2499</v>
      </c>
      <c r="E79" s="0" t="n">
        <v>48</v>
      </c>
      <c r="F79" s="0" t="s">
        <v>153</v>
      </c>
      <c r="I79" s="0" t="n">
        <v>1188032</v>
      </c>
      <c r="J79" s="0" t="n">
        <v>100004</v>
      </c>
      <c r="K79" s="0" t="n">
        <v>5</v>
      </c>
      <c r="L79" s="0" t="s">
        <v>2484</v>
      </c>
      <c r="N79" s="0" t="n">
        <v>1.142</v>
      </c>
      <c r="O79" s="0" t="n">
        <v>25.14</v>
      </c>
      <c r="P79" s="0" t="s">
        <v>2444</v>
      </c>
    </row>
    <row r="80" customFormat="false" ht="15" hidden="false" customHeight="true" outlineLevel="0" collapsed="false">
      <c r="A80" s="0" t="n">
        <v>2</v>
      </c>
      <c r="B80" s="71" t="n">
        <v>46174</v>
      </c>
      <c r="C80" s="0" t="n">
        <v>100</v>
      </c>
      <c r="D80" s="0" t="s">
        <v>2499</v>
      </c>
      <c r="E80" s="0" t="n">
        <v>48</v>
      </c>
      <c r="F80" s="0" t="s">
        <v>153</v>
      </c>
      <c r="I80" s="0" t="n">
        <v>1188032</v>
      </c>
      <c r="J80" s="0" t="n">
        <v>100007</v>
      </c>
      <c r="K80" s="0" t="n">
        <v>8</v>
      </c>
      <c r="L80" s="0" t="s">
        <v>2486</v>
      </c>
      <c r="N80" s="0" t="n">
        <v>1.486</v>
      </c>
      <c r="O80" s="0" t="n">
        <v>35.06</v>
      </c>
      <c r="P80" s="0" t="s">
        <v>2444</v>
      </c>
    </row>
    <row r="81" customFormat="false" ht="15" hidden="false" customHeight="true" outlineLevel="0" collapsed="false">
      <c r="A81" s="0" t="n">
        <v>2</v>
      </c>
      <c r="B81" s="71" t="n">
        <v>46174</v>
      </c>
      <c r="C81" s="0" t="n">
        <v>100</v>
      </c>
      <c r="D81" s="0" t="s">
        <v>2499</v>
      </c>
      <c r="E81" s="0" t="n">
        <v>48</v>
      </c>
      <c r="F81" s="0" t="s">
        <v>153</v>
      </c>
      <c r="I81" s="0" t="n">
        <v>1188032</v>
      </c>
      <c r="J81" s="0" t="n">
        <v>100638</v>
      </c>
      <c r="K81" s="0" t="n">
        <v>508</v>
      </c>
      <c r="L81" s="0" t="s">
        <v>2496</v>
      </c>
      <c r="N81" s="0" t="n">
        <v>0.806</v>
      </c>
      <c r="O81" s="0" t="n">
        <v>1.9</v>
      </c>
      <c r="P81" s="0" t="s">
        <v>2444</v>
      </c>
    </row>
    <row r="82" customFormat="false" ht="15" hidden="false" customHeight="true" outlineLevel="0" collapsed="false">
      <c r="A82" s="0" t="n">
        <v>2</v>
      </c>
      <c r="B82" s="71" t="n">
        <v>46174</v>
      </c>
      <c r="C82" s="0" t="n">
        <v>100</v>
      </c>
      <c r="D82" s="0" t="s">
        <v>2499</v>
      </c>
      <c r="E82" s="0" t="n">
        <v>48</v>
      </c>
      <c r="F82" s="0" t="s">
        <v>153</v>
      </c>
      <c r="I82" s="0" t="n">
        <v>1188032</v>
      </c>
      <c r="J82" s="0" t="n">
        <v>100520</v>
      </c>
      <c r="K82" s="0" t="n">
        <v>507</v>
      </c>
      <c r="L82" s="0" t="s">
        <v>2497</v>
      </c>
      <c r="N82" s="0" t="n">
        <v>1.844</v>
      </c>
      <c r="O82" s="0" t="n">
        <v>4.34</v>
      </c>
      <c r="P82" s="0" t="s">
        <v>2444</v>
      </c>
    </row>
    <row r="83" customFormat="false" ht="15" hidden="false" customHeight="true" outlineLevel="0" collapsed="false">
      <c r="A83" s="0" t="n">
        <v>2</v>
      </c>
      <c r="B83" s="71" t="n">
        <v>46174</v>
      </c>
      <c r="C83" s="0" t="n">
        <v>100</v>
      </c>
      <c r="D83" s="0" t="s">
        <v>2499</v>
      </c>
      <c r="E83" s="0" t="n">
        <v>48</v>
      </c>
      <c r="F83" s="0" t="s">
        <v>153</v>
      </c>
      <c r="I83" s="0" t="n">
        <v>1188032</v>
      </c>
      <c r="J83" s="0" t="n">
        <v>110455</v>
      </c>
      <c r="K83" s="0" t="n">
        <v>53212</v>
      </c>
      <c r="L83" s="0" t="s">
        <v>2498</v>
      </c>
      <c r="N83" s="0" t="n">
        <v>0.497</v>
      </c>
      <c r="O83" s="0" t="n">
        <v>0</v>
      </c>
      <c r="P83" s="0" t="s">
        <v>2444</v>
      </c>
    </row>
    <row r="84" customFormat="false" ht="15" hidden="false" customHeight="true" outlineLevel="0" collapsed="false">
      <c r="A84" s="0" t="n">
        <v>2</v>
      </c>
      <c r="B84" s="71" t="n">
        <v>46175</v>
      </c>
      <c r="C84" s="0" t="n">
        <v>1</v>
      </c>
      <c r="D84" s="0" t="s">
        <v>2442</v>
      </c>
      <c r="E84" s="0" t="n">
        <v>10018</v>
      </c>
      <c r="F84" s="0" t="s">
        <v>216</v>
      </c>
      <c r="I84" s="0" t="n">
        <v>287</v>
      </c>
      <c r="J84" s="0" t="n">
        <v>100933</v>
      </c>
      <c r="K84" s="0" t="n">
        <v>7896982100059</v>
      </c>
      <c r="L84" s="0" t="s">
        <v>2500</v>
      </c>
      <c r="N84" s="0" t="n">
        <v>1080</v>
      </c>
      <c r="O84" s="0" t="n">
        <v>570</v>
      </c>
      <c r="P84" s="0" t="s">
        <v>2444</v>
      </c>
    </row>
    <row r="85" customFormat="false" ht="15" hidden="false" customHeight="true" outlineLevel="0" collapsed="false">
      <c r="A85" s="0" t="n">
        <v>2</v>
      </c>
      <c r="B85" s="71" t="n">
        <v>46175</v>
      </c>
      <c r="C85" s="0" t="n">
        <v>1</v>
      </c>
      <c r="D85" s="0" t="s">
        <v>2442</v>
      </c>
      <c r="E85" s="0" t="n">
        <v>642</v>
      </c>
      <c r="F85" s="0" t="s">
        <v>123</v>
      </c>
      <c r="I85" s="0" t="n">
        <v>483</v>
      </c>
      <c r="J85" s="0" t="n">
        <v>71766</v>
      </c>
      <c r="K85" s="0" t="n">
        <v>779180</v>
      </c>
      <c r="L85" s="0" t="s">
        <v>2501</v>
      </c>
      <c r="N85" s="0" t="n">
        <v>15</v>
      </c>
      <c r="O85" s="0" t="n">
        <v>180</v>
      </c>
      <c r="P85" s="0" t="s">
        <v>2444</v>
      </c>
    </row>
    <row r="86" customFormat="false" ht="15" hidden="false" customHeight="true" outlineLevel="0" collapsed="false">
      <c r="A86" s="0" t="n">
        <v>2</v>
      </c>
      <c r="B86" s="71" t="n">
        <v>46175</v>
      </c>
      <c r="C86" s="0" t="n">
        <v>1</v>
      </c>
      <c r="D86" s="0" t="s">
        <v>2442</v>
      </c>
      <c r="E86" s="0" t="n">
        <v>1328</v>
      </c>
      <c r="F86" s="0" t="s">
        <v>95</v>
      </c>
      <c r="I86" s="0" t="n">
        <v>3628</v>
      </c>
      <c r="J86" s="0" t="n">
        <v>50310</v>
      </c>
      <c r="K86" s="0" t="n">
        <v>7898588380101</v>
      </c>
      <c r="L86" s="0" t="s">
        <v>2502</v>
      </c>
      <c r="N86" s="0" t="n">
        <v>3</v>
      </c>
      <c r="O86" s="0" t="n">
        <v>23.1</v>
      </c>
      <c r="P86" s="0" t="s">
        <v>2444</v>
      </c>
    </row>
    <row r="87" customFormat="false" ht="15" hidden="false" customHeight="true" outlineLevel="0" collapsed="false">
      <c r="A87" s="0" t="n">
        <v>2</v>
      </c>
      <c r="B87" s="71" t="n">
        <v>46175</v>
      </c>
      <c r="C87" s="0" t="n">
        <v>1</v>
      </c>
      <c r="D87" s="0" t="s">
        <v>2442</v>
      </c>
      <c r="E87" s="0" t="n">
        <v>1328</v>
      </c>
      <c r="F87" s="0" t="s">
        <v>95</v>
      </c>
      <c r="I87" s="0" t="n">
        <v>3628</v>
      </c>
      <c r="J87" s="0" t="n">
        <v>21045</v>
      </c>
      <c r="K87" s="0" t="n">
        <v>7898588380255</v>
      </c>
      <c r="L87" s="0" t="s">
        <v>2503</v>
      </c>
      <c r="N87" s="0" t="n">
        <v>3</v>
      </c>
      <c r="O87" s="0" t="n">
        <v>17.16</v>
      </c>
      <c r="P87" s="0" t="s">
        <v>2444</v>
      </c>
    </row>
    <row r="88" customFormat="false" ht="15" hidden="false" customHeight="true" outlineLevel="0" collapsed="false">
      <c r="A88" s="0" t="n">
        <v>2</v>
      </c>
      <c r="B88" s="71" t="n">
        <v>46175</v>
      </c>
      <c r="C88" s="0" t="n">
        <v>1</v>
      </c>
      <c r="D88" s="0" t="s">
        <v>2442</v>
      </c>
      <c r="E88" s="0" t="n">
        <v>1328</v>
      </c>
      <c r="F88" s="0" t="s">
        <v>95</v>
      </c>
      <c r="I88" s="0" t="n">
        <v>3628</v>
      </c>
      <c r="J88" s="0" t="n">
        <v>21060</v>
      </c>
      <c r="K88" s="0" t="n">
        <v>7898588380118</v>
      </c>
      <c r="L88" s="0" t="s">
        <v>2504</v>
      </c>
      <c r="N88" s="0" t="n">
        <v>12</v>
      </c>
      <c r="O88" s="0" t="n">
        <v>84</v>
      </c>
      <c r="P88" s="0" t="s">
        <v>2444</v>
      </c>
    </row>
    <row r="89" customFormat="false" ht="15" hidden="false" customHeight="true" outlineLevel="0" collapsed="false">
      <c r="A89" s="0" t="n">
        <v>2</v>
      </c>
      <c r="B89" s="71" t="n">
        <v>46175</v>
      </c>
      <c r="C89" s="0" t="n">
        <v>1</v>
      </c>
      <c r="D89" s="0" t="s">
        <v>2442</v>
      </c>
      <c r="E89" s="0" t="n">
        <v>1328</v>
      </c>
      <c r="F89" s="0" t="s">
        <v>95</v>
      </c>
      <c r="I89" s="0" t="n">
        <v>3628</v>
      </c>
      <c r="J89" s="0" t="n">
        <v>31789</v>
      </c>
      <c r="K89" s="0" t="n">
        <v>7898588380149</v>
      </c>
      <c r="L89" s="0" t="s">
        <v>2446</v>
      </c>
      <c r="N89" s="0" t="n">
        <v>3</v>
      </c>
      <c r="O89" s="0" t="n">
        <v>17.16</v>
      </c>
      <c r="P89" s="0" t="s">
        <v>2444</v>
      </c>
    </row>
    <row r="90" customFormat="false" ht="15" hidden="false" customHeight="true" outlineLevel="0" collapsed="false">
      <c r="A90" s="0" t="n">
        <v>2</v>
      </c>
      <c r="B90" s="71" t="n">
        <v>46175</v>
      </c>
      <c r="C90" s="0" t="n">
        <v>1</v>
      </c>
      <c r="D90" s="0" t="s">
        <v>2442</v>
      </c>
      <c r="E90" s="0" t="n">
        <v>1328</v>
      </c>
      <c r="F90" s="0" t="s">
        <v>95</v>
      </c>
      <c r="I90" s="0" t="n">
        <v>3628</v>
      </c>
      <c r="J90" s="0" t="n">
        <v>31782</v>
      </c>
      <c r="K90" s="0" t="n">
        <v>7898588380132</v>
      </c>
      <c r="L90" s="0" t="s">
        <v>2505</v>
      </c>
      <c r="N90" s="0" t="n">
        <v>3</v>
      </c>
      <c r="O90" s="0" t="n">
        <v>17.16</v>
      </c>
      <c r="P90" s="0" t="s">
        <v>2444</v>
      </c>
    </row>
    <row r="91" customFormat="false" ht="15" hidden="false" customHeight="true" outlineLevel="0" collapsed="false">
      <c r="A91" s="0" t="n">
        <v>2</v>
      </c>
      <c r="B91" s="71" t="n">
        <v>46175</v>
      </c>
      <c r="C91" s="0" t="n">
        <v>1</v>
      </c>
      <c r="D91" s="0" t="s">
        <v>2442</v>
      </c>
      <c r="E91" s="0" t="n">
        <v>1328</v>
      </c>
      <c r="F91" s="0" t="s">
        <v>95</v>
      </c>
      <c r="I91" s="0" t="n">
        <v>3628</v>
      </c>
      <c r="J91" s="0" t="n">
        <v>31786</v>
      </c>
      <c r="K91" s="0" t="n">
        <v>7898588380187</v>
      </c>
      <c r="L91" s="0" t="s">
        <v>2506</v>
      </c>
      <c r="N91" s="0" t="n">
        <v>3</v>
      </c>
      <c r="O91" s="0" t="n">
        <v>17.16</v>
      </c>
      <c r="P91" s="0" t="s">
        <v>2444</v>
      </c>
    </row>
    <row r="92" customFormat="false" ht="15" hidden="false" customHeight="true" outlineLevel="0" collapsed="false">
      <c r="A92" s="0" t="n">
        <v>2</v>
      </c>
      <c r="B92" s="71" t="n">
        <v>46175</v>
      </c>
      <c r="C92" s="0" t="n">
        <v>1</v>
      </c>
      <c r="D92" s="0" t="s">
        <v>2442</v>
      </c>
      <c r="E92" s="0" t="n">
        <v>1328</v>
      </c>
      <c r="F92" s="0" t="s">
        <v>95</v>
      </c>
      <c r="I92" s="0" t="n">
        <v>3628</v>
      </c>
      <c r="J92" s="0" t="n">
        <v>31787</v>
      </c>
      <c r="K92" s="0" t="n">
        <v>7898588380125</v>
      </c>
      <c r="L92" s="0" t="s">
        <v>2507</v>
      </c>
      <c r="N92" s="0" t="n">
        <v>2</v>
      </c>
      <c r="O92" s="0" t="n">
        <v>16.8</v>
      </c>
      <c r="P92" s="0" t="s">
        <v>2444</v>
      </c>
    </row>
    <row r="93" customFormat="false" ht="15" hidden="false" customHeight="true" outlineLevel="0" collapsed="false">
      <c r="A93" s="0" t="n">
        <v>2</v>
      </c>
      <c r="B93" s="71" t="n">
        <v>46175</v>
      </c>
      <c r="C93" s="0" t="n">
        <v>1</v>
      </c>
      <c r="D93" s="0" t="s">
        <v>2442</v>
      </c>
      <c r="E93" s="0" t="n">
        <v>1328</v>
      </c>
      <c r="F93" s="0" t="s">
        <v>95</v>
      </c>
      <c r="I93" s="0" t="n">
        <v>3628</v>
      </c>
      <c r="J93" s="0" t="n">
        <v>31790</v>
      </c>
      <c r="K93" s="0" t="n">
        <v>7898588380231</v>
      </c>
      <c r="L93" s="0" t="s">
        <v>2508</v>
      </c>
      <c r="N93" s="0" t="n">
        <v>3</v>
      </c>
      <c r="O93" s="0" t="n">
        <v>17.16</v>
      </c>
      <c r="P93" s="0" t="s">
        <v>2444</v>
      </c>
    </row>
    <row r="94" customFormat="false" ht="15" hidden="false" customHeight="true" outlineLevel="0" collapsed="false">
      <c r="A94" s="0" t="n">
        <v>2</v>
      </c>
      <c r="B94" s="71" t="n">
        <v>46175</v>
      </c>
      <c r="C94" s="0" t="n">
        <v>1</v>
      </c>
      <c r="D94" s="0" t="s">
        <v>2442</v>
      </c>
      <c r="E94" s="0" t="n">
        <v>1038</v>
      </c>
      <c r="F94" s="0" t="s">
        <v>149</v>
      </c>
      <c r="I94" s="0" t="n">
        <v>5932</v>
      </c>
      <c r="J94" s="0" t="n">
        <v>61580</v>
      </c>
      <c r="K94" s="0" t="n">
        <v>2258157</v>
      </c>
      <c r="L94" s="0" t="s">
        <v>2509</v>
      </c>
      <c r="N94" s="0" t="n">
        <v>10</v>
      </c>
      <c r="O94" s="0" t="n">
        <v>120</v>
      </c>
      <c r="P94" s="0" t="s">
        <v>2444</v>
      </c>
    </row>
    <row r="95" customFormat="false" ht="15" hidden="false" customHeight="true" outlineLevel="0" collapsed="false">
      <c r="A95" s="0" t="n">
        <v>2</v>
      </c>
      <c r="B95" s="71" t="n">
        <v>46175</v>
      </c>
      <c r="C95" s="0" t="n">
        <v>1</v>
      </c>
      <c r="D95" s="0" t="s">
        <v>2442</v>
      </c>
      <c r="E95" s="0" t="n">
        <v>1038</v>
      </c>
      <c r="F95" s="0" t="s">
        <v>149</v>
      </c>
      <c r="I95" s="0" t="n">
        <v>5932</v>
      </c>
      <c r="J95" s="0" t="n">
        <v>61597</v>
      </c>
      <c r="K95" s="0" t="n">
        <v>2258188</v>
      </c>
      <c r="L95" s="0" t="s">
        <v>2510</v>
      </c>
      <c r="N95" s="0" t="n">
        <v>5</v>
      </c>
      <c r="O95" s="0" t="n">
        <v>20</v>
      </c>
      <c r="P95" s="0" t="s">
        <v>2444</v>
      </c>
    </row>
    <row r="96" customFormat="false" ht="15" hidden="false" customHeight="true" outlineLevel="0" collapsed="false">
      <c r="A96" s="0" t="n">
        <v>2</v>
      </c>
      <c r="B96" s="71" t="n">
        <v>46175</v>
      </c>
      <c r="C96" s="0" t="n">
        <v>1</v>
      </c>
      <c r="D96" s="0" t="s">
        <v>2442</v>
      </c>
      <c r="E96" s="0" t="n">
        <v>1642</v>
      </c>
      <c r="F96" s="0" t="s">
        <v>228</v>
      </c>
      <c r="I96" s="0" t="n">
        <v>1025111</v>
      </c>
      <c r="J96" s="0" t="n">
        <v>105780</v>
      </c>
      <c r="K96" s="0" t="n">
        <v>7896289210017</v>
      </c>
      <c r="L96" s="0" t="s">
        <v>2511</v>
      </c>
      <c r="N96" s="0" t="n">
        <v>10</v>
      </c>
      <c r="O96" s="0" t="n">
        <v>106.7</v>
      </c>
      <c r="P96" s="0" t="s">
        <v>2444</v>
      </c>
    </row>
    <row r="97" customFormat="false" ht="15" hidden="false" customHeight="true" outlineLevel="0" collapsed="false">
      <c r="A97" s="0" t="n">
        <v>2</v>
      </c>
      <c r="B97" s="71" t="n">
        <v>46175</v>
      </c>
      <c r="C97" s="0" t="n">
        <v>1</v>
      </c>
      <c r="D97" s="0" t="s">
        <v>2442</v>
      </c>
      <c r="E97" s="0" t="n">
        <v>1642</v>
      </c>
      <c r="F97" s="0" t="s">
        <v>228</v>
      </c>
      <c r="I97" s="0" t="n">
        <v>1025111</v>
      </c>
      <c r="J97" s="0" t="n">
        <v>105782</v>
      </c>
      <c r="K97" s="0" t="n">
        <v>7896289210352</v>
      </c>
      <c r="L97" s="0" t="s">
        <v>2512</v>
      </c>
      <c r="N97" s="0" t="n">
        <v>5</v>
      </c>
      <c r="O97" s="0" t="n">
        <v>34.3</v>
      </c>
      <c r="P97" s="0" t="s">
        <v>2444</v>
      </c>
    </row>
    <row r="98" customFormat="false" ht="15" hidden="false" customHeight="true" outlineLevel="0" collapsed="false">
      <c r="A98" s="0" t="n">
        <v>2</v>
      </c>
      <c r="B98" s="71" t="n">
        <v>46175</v>
      </c>
      <c r="C98" s="0" t="n">
        <v>1</v>
      </c>
      <c r="D98" s="0" t="s">
        <v>2442</v>
      </c>
      <c r="E98" s="0" t="n">
        <v>1642</v>
      </c>
      <c r="F98" s="0" t="s">
        <v>228</v>
      </c>
      <c r="I98" s="0" t="n">
        <v>1025111</v>
      </c>
      <c r="J98" s="0" t="n">
        <v>106079</v>
      </c>
      <c r="K98" s="0" t="n">
        <v>7896289210130</v>
      </c>
      <c r="L98" s="0" t="s">
        <v>2513</v>
      </c>
      <c r="N98" s="0" t="n">
        <v>3</v>
      </c>
      <c r="O98" s="0" t="n">
        <v>41.1</v>
      </c>
      <c r="P98" s="0" t="s">
        <v>2444</v>
      </c>
    </row>
    <row r="99" customFormat="false" ht="15" hidden="false" customHeight="true" outlineLevel="0" collapsed="false">
      <c r="A99" s="0" t="n">
        <v>2</v>
      </c>
      <c r="B99" s="71" t="n">
        <v>46175</v>
      </c>
      <c r="C99" s="0" t="n">
        <v>1</v>
      </c>
      <c r="D99" s="0" t="s">
        <v>2442</v>
      </c>
      <c r="E99" s="0" t="n">
        <v>1642</v>
      </c>
      <c r="F99" s="0" t="s">
        <v>228</v>
      </c>
      <c r="I99" s="0" t="n">
        <v>1025111</v>
      </c>
      <c r="J99" s="0" t="n">
        <v>106274</v>
      </c>
      <c r="K99" s="0" t="n">
        <v>7896289210086</v>
      </c>
      <c r="L99" s="0" t="s">
        <v>2514</v>
      </c>
      <c r="N99" s="0" t="n">
        <v>4</v>
      </c>
      <c r="O99" s="0" t="n">
        <v>50.24</v>
      </c>
      <c r="P99" s="0" t="s">
        <v>2444</v>
      </c>
    </row>
    <row r="100" customFormat="false" ht="15" hidden="false" customHeight="true" outlineLevel="0" collapsed="false">
      <c r="A100" s="0" t="n">
        <v>2</v>
      </c>
      <c r="B100" s="71" t="n">
        <v>46175</v>
      </c>
      <c r="C100" s="0" t="n">
        <v>1</v>
      </c>
      <c r="D100" s="0" t="s">
        <v>2442</v>
      </c>
      <c r="E100" s="0" t="n">
        <v>1642</v>
      </c>
      <c r="F100" s="0" t="s">
        <v>228</v>
      </c>
      <c r="I100" s="0" t="n">
        <v>1025111</v>
      </c>
      <c r="J100" s="0" t="n">
        <v>106280</v>
      </c>
      <c r="K100" s="0" t="n">
        <v>7896289210062</v>
      </c>
      <c r="L100" s="0" t="s">
        <v>2515</v>
      </c>
      <c r="N100" s="0" t="n">
        <v>3</v>
      </c>
      <c r="O100" s="0" t="n">
        <v>37.68</v>
      </c>
      <c r="P100" s="0" t="s">
        <v>2444</v>
      </c>
    </row>
    <row r="101" customFormat="false" ht="15" hidden="false" customHeight="true" outlineLevel="0" collapsed="false">
      <c r="A101" s="0" t="n">
        <v>2</v>
      </c>
      <c r="B101" s="71" t="n">
        <v>46175</v>
      </c>
      <c r="C101" s="0" t="n">
        <v>1</v>
      </c>
      <c r="D101" s="0" t="s">
        <v>2442</v>
      </c>
      <c r="E101" s="0" t="n">
        <v>1642</v>
      </c>
      <c r="F101" s="0" t="s">
        <v>228</v>
      </c>
      <c r="I101" s="0" t="n">
        <v>1025111</v>
      </c>
      <c r="J101" s="0" t="n">
        <v>106407</v>
      </c>
      <c r="K101" s="0" t="n">
        <v>7896289210031</v>
      </c>
      <c r="L101" s="0" t="s">
        <v>2516</v>
      </c>
      <c r="N101" s="0" t="n">
        <v>4</v>
      </c>
      <c r="O101" s="0" t="n">
        <v>46.56</v>
      </c>
      <c r="P101" s="0" t="s">
        <v>2444</v>
      </c>
    </row>
    <row r="102" customFormat="false" ht="15" hidden="false" customHeight="true" outlineLevel="0" collapsed="false">
      <c r="A102" s="0" t="n">
        <v>2</v>
      </c>
      <c r="B102" s="71" t="n">
        <v>46175</v>
      </c>
      <c r="C102" s="0" t="n">
        <v>1</v>
      </c>
      <c r="D102" s="0" t="s">
        <v>2442</v>
      </c>
      <c r="E102" s="0" t="n">
        <v>1642</v>
      </c>
      <c r="F102" s="0" t="s">
        <v>228</v>
      </c>
      <c r="I102" s="0" t="n">
        <v>1025111</v>
      </c>
      <c r="J102" s="0" t="n">
        <v>107817</v>
      </c>
      <c r="K102" s="0" t="n">
        <v>7896289210048</v>
      </c>
      <c r="L102" s="0" t="s">
        <v>2517</v>
      </c>
      <c r="N102" s="0" t="n">
        <v>2</v>
      </c>
      <c r="O102" s="0" t="n">
        <v>20.5</v>
      </c>
      <c r="P102" s="0" t="s">
        <v>2444</v>
      </c>
    </row>
    <row r="103" customFormat="false" ht="15" hidden="false" customHeight="true" outlineLevel="0" collapsed="false">
      <c r="A103" s="0" t="n">
        <v>2</v>
      </c>
      <c r="B103" s="71" t="n">
        <v>46175</v>
      </c>
      <c r="C103" s="0" t="n">
        <v>1</v>
      </c>
      <c r="D103" s="0" t="s">
        <v>2442</v>
      </c>
      <c r="E103" s="0" t="n">
        <v>1683</v>
      </c>
      <c r="F103" s="0" t="s">
        <v>406</v>
      </c>
      <c r="I103" s="0" t="n">
        <v>1624969</v>
      </c>
      <c r="J103" s="0" t="n">
        <v>109791</v>
      </c>
      <c r="K103" s="0" t="n">
        <v>9667</v>
      </c>
      <c r="L103" s="0" t="s">
        <v>2465</v>
      </c>
      <c r="N103" s="0" t="n">
        <v>15</v>
      </c>
      <c r="O103" s="0" t="n">
        <v>22.5</v>
      </c>
      <c r="P103" s="0" t="s">
        <v>2444</v>
      </c>
    </row>
    <row r="104" customFormat="false" ht="15" hidden="false" customHeight="true" outlineLevel="0" collapsed="false">
      <c r="A104" s="0" t="n">
        <v>2</v>
      </c>
      <c r="B104" s="71" t="n">
        <v>46175</v>
      </c>
      <c r="C104" s="0" t="n">
        <v>1</v>
      </c>
      <c r="D104" s="0" t="s">
        <v>2442</v>
      </c>
      <c r="E104" s="0" t="n">
        <v>1683</v>
      </c>
      <c r="F104" s="0" t="s">
        <v>406</v>
      </c>
      <c r="I104" s="0" t="n">
        <v>1624969</v>
      </c>
      <c r="J104" s="0" t="n">
        <v>37361</v>
      </c>
      <c r="K104" s="0" t="n">
        <v>2240817</v>
      </c>
      <c r="L104" s="0" t="s">
        <v>2467</v>
      </c>
      <c r="N104" s="0" t="n">
        <v>60</v>
      </c>
      <c r="O104" s="0" t="n">
        <v>108</v>
      </c>
      <c r="P104" s="0" t="s">
        <v>2444</v>
      </c>
    </row>
    <row r="105" customFormat="false" ht="15" hidden="false" customHeight="true" outlineLevel="0" collapsed="false">
      <c r="A105" s="0" t="n">
        <v>2</v>
      </c>
      <c r="B105" s="71" t="n">
        <v>46175</v>
      </c>
      <c r="C105" s="0" t="n">
        <v>1</v>
      </c>
      <c r="D105" s="0" t="s">
        <v>2442</v>
      </c>
      <c r="E105" s="0" t="n">
        <v>1608</v>
      </c>
      <c r="F105" s="0" t="s">
        <v>240</v>
      </c>
      <c r="I105" s="0" t="n">
        <v>1664082</v>
      </c>
      <c r="J105" s="0" t="n">
        <v>29169</v>
      </c>
      <c r="K105" s="0" t="n">
        <v>7891025115656</v>
      </c>
      <c r="L105" s="0" t="s">
        <v>2518</v>
      </c>
      <c r="N105" s="0" t="n">
        <v>4</v>
      </c>
      <c r="O105" s="0" t="n">
        <v>28.48</v>
      </c>
      <c r="P105" s="0" t="s">
        <v>2444</v>
      </c>
    </row>
    <row r="106" customFormat="false" ht="15" hidden="false" customHeight="true" outlineLevel="0" collapsed="false">
      <c r="A106" s="0" t="n">
        <v>2</v>
      </c>
      <c r="B106" s="71" t="n">
        <v>46175</v>
      </c>
      <c r="C106" s="0" t="n">
        <v>1</v>
      </c>
      <c r="D106" s="0" t="s">
        <v>2442</v>
      </c>
      <c r="E106" s="0" t="n">
        <v>1608</v>
      </c>
      <c r="F106" s="0" t="s">
        <v>240</v>
      </c>
      <c r="I106" s="0" t="n">
        <v>1664082</v>
      </c>
      <c r="J106" s="0" t="n">
        <v>31496</v>
      </c>
      <c r="K106" s="0" t="n">
        <v>7891025117797</v>
      </c>
      <c r="L106" s="0" t="s">
        <v>2519</v>
      </c>
      <c r="N106" s="0" t="n">
        <v>2</v>
      </c>
      <c r="O106" s="0" t="n">
        <v>10.6</v>
      </c>
      <c r="P106" s="0" t="s">
        <v>2444</v>
      </c>
    </row>
    <row r="107" customFormat="false" ht="15" hidden="false" customHeight="true" outlineLevel="0" collapsed="false">
      <c r="A107" s="0" t="n">
        <v>2</v>
      </c>
      <c r="B107" s="71" t="n">
        <v>46175</v>
      </c>
      <c r="C107" s="0" t="n">
        <v>1</v>
      </c>
      <c r="D107" s="0" t="s">
        <v>2442</v>
      </c>
      <c r="E107" s="0" t="n">
        <v>1608</v>
      </c>
      <c r="F107" s="0" t="s">
        <v>240</v>
      </c>
      <c r="I107" s="0" t="n">
        <v>1664082</v>
      </c>
      <c r="J107" s="0" t="n">
        <v>31497</v>
      </c>
      <c r="K107" s="0" t="n">
        <v>7891025117773</v>
      </c>
      <c r="L107" s="0" t="s">
        <v>2520</v>
      </c>
      <c r="N107" s="0" t="n">
        <v>2</v>
      </c>
      <c r="O107" s="0" t="n">
        <v>10.6</v>
      </c>
      <c r="P107" s="0" t="s">
        <v>2444</v>
      </c>
    </row>
    <row r="108" customFormat="false" ht="15" hidden="false" customHeight="true" outlineLevel="0" collapsed="false">
      <c r="A108" s="0" t="n">
        <v>2</v>
      </c>
      <c r="B108" s="71" t="n">
        <v>46175</v>
      </c>
      <c r="C108" s="0" t="n">
        <v>1</v>
      </c>
      <c r="D108" s="0" t="s">
        <v>2442</v>
      </c>
      <c r="E108" s="0" t="n">
        <v>1608</v>
      </c>
      <c r="F108" s="0" t="s">
        <v>240</v>
      </c>
      <c r="I108" s="0" t="n">
        <v>1664082</v>
      </c>
      <c r="J108" s="0" t="n">
        <v>31551</v>
      </c>
      <c r="K108" s="0" t="n">
        <v>7891025117742</v>
      </c>
      <c r="L108" s="0" t="s">
        <v>2521</v>
      </c>
      <c r="N108" s="0" t="n">
        <v>2</v>
      </c>
      <c r="O108" s="0" t="n">
        <v>10.6</v>
      </c>
      <c r="P108" s="0" t="s">
        <v>2444</v>
      </c>
    </row>
    <row r="109" customFormat="false" ht="15" hidden="false" customHeight="true" outlineLevel="0" collapsed="false">
      <c r="A109" s="0" t="n">
        <v>2</v>
      </c>
      <c r="B109" s="71" t="n">
        <v>46175</v>
      </c>
      <c r="C109" s="0" t="n">
        <v>1</v>
      </c>
      <c r="D109" s="0" t="s">
        <v>2442</v>
      </c>
      <c r="E109" s="0" t="n">
        <v>1608</v>
      </c>
      <c r="F109" s="0" t="s">
        <v>240</v>
      </c>
      <c r="I109" s="0" t="n">
        <v>1664082</v>
      </c>
      <c r="J109" s="0" t="n">
        <v>35842</v>
      </c>
      <c r="K109" s="0" t="n">
        <v>7891025120230</v>
      </c>
      <c r="L109" s="0" t="s">
        <v>2522</v>
      </c>
      <c r="N109" s="0" t="n">
        <v>6</v>
      </c>
      <c r="O109" s="0" t="n">
        <v>21.48</v>
      </c>
      <c r="P109" s="0" t="s">
        <v>2444</v>
      </c>
    </row>
    <row r="110" customFormat="false" ht="15" hidden="false" customHeight="true" outlineLevel="0" collapsed="false">
      <c r="A110" s="0" t="n">
        <v>2</v>
      </c>
      <c r="B110" s="71" t="n">
        <v>46175</v>
      </c>
      <c r="C110" s="0" t="n">
        <v>1</v>
      </c>
      <c r="D110" s="0" t="s">
        <v>2442</v>
      </c>
      <c r="E110" s="0" t="n">
        <v>1608</v>
      </c>
      <c r="F110" s="0" t="s">
        <v>240</v>
      </c>
      <c r="I110" s="0" t="n">
        <v>1664082</v>
      </c>
      <c r="J110" s="0" t="n">
        <v>37024</v>
      </c>
      <c r="K110" s="0" t="n">
        <v>7891025121251</v>
      </c>
      <c r="L110" s="0" t="s">
        <v>2523</v>
      </c>
      <c r="N110" s="0" t="n">
        <v>2</v>
      </c>
      <c r="O110" s="0" t="n">
        <v>7.16</v>
      </c>
      <c r="P110" s="0" t="s">
        <v>2444</v>
      </c>
    </row>
    <row r="111" customFormat="false" ht="15" hidden="false" customHeight="true" outlineLevel="0" collapsed="false">
      <c r="A111" s="0" t="n">
        <v>2</v>
      </c>
      <c r="B111" s="71" t="n">
        <v>46175</v>
      </c>
      <c r="C111" s="0" t="n">
        <v>1</v>
      </c>
      <c r="D111" s="0" t="s">
        <v>2442</v>
      </c>
      <c r="E111" s="0" t="n">
        <v>1608</v>
      </c>
      <c r="F111" s="0" t="s">
        <v>240</v>
      </c>
      <c r="I111" s="0" t="n">
        <v>1664082</v>
      </c>
      <c r="J111" s="0" t="n">
        <v>48139</v>
      </c>
      <c r="K111" s="0" t="n">
        <v>7891025122067</v>
      </c>
      <c r="L111" s="0" t="s">
        <v>2524</v>
      </c>
      <c r="N111" s="0" t="n">
        <v>5</v>
      </c>
      <c r="O111" s="0" t="n">
        <v>35.6</v>
      </c>
      <c r="P111" s="0" t="s">
        <v>2444</v>
      </c>
    </row>
    <row r="112" customFormat="false" ht="15" hidden="false" customHeight="true" outlineLevel="0" collapsed="false">
      <c r="A112" s="0" t="n">
        <v>2</v>
      </c>
      <c r="B112" s="71" t="n">
        <v>46175</v>
      </c>
      <c r="C112" s="0" t="n">
        <v>1</v>
      </c>
      <c r="D112" s="0" t="s">
        <v>2442</v>
      </c>
      <c r="E112" s="0" t="n">
        <v>1608</v>
      </c>
      <c r="F112" s="0" t="s">
        <v>240</v>
      </c>
      <c r="I112" s="0" t="n">
        <v>1664082</v>
      </c>
      <c r="J112" s="0" t="n">
        <v>69612</v>
      </c>
      <c r="K112" s="0" t="n">
        <v>7891025123453</v>
      </c>
      <c r="L112" s="0" t="s">
        <v>2525</v>
      </c>
      <c r="N112" s="0" t="n">
        <v>2</v>
      </c>
      <c r="O112" s="0" t="n">
        <v>24.58</v>
      </c>
      <c r="P112" s="0" t="s">
        <v>2444</v>
      </c>
    </row>
    <row r="113" customFormat="false" ht="15" hidden="false" customHeight="true" outlineLevel="0" collapsed="false">
      <c r="A113" s="0" t="n">
        <v>2</v>
      </c>
      <c r="B113" s="71" t="n">
        <v>46175</v>
      </c>
      <c r="C113" s="0" t="n">
        <v>1</v>
      </c>
      <c r="D113" s="0" t="s">
        <v>2442</v>
      </c>
      <c r="E113" s="0" t="n">
        <v>1608</v>
      </c>
      <c r="F113" s="0" t="s">
        <v>240</v>
      </c>
      <c r="I113" s="0" t="n">
        <v>1664082</v>
      </c>
      <c r="J113" s="0" t="n">
        <v>69613</v>
      </c>
      <c r="K113" s="0" t="n">
        <v>7891025123460</v>
      </c>
      <c r="L113" s="0" t="s">
        <v>2526</v>
      </c>
      <c r="N113" s="0" t="n">
        <v>3</v>
      </c>
      <c r="O113" s="0" t="n">
        <v>36.87</v>
      </c>
      <c r="P113" s="0" t="s">
        <v>2444</v>
      </c>
    </row>
    <row r="114" customFormat="false" ht="15" hidden="false" customHeight="true" outlineLevel="0" collapsed="false">
      <c r="A114" s="0" t="n">
        <v>2</v>
      </c>
      <c r="B114" s="71" t="n">
        <v>46175</v>
      </c>
      <c r="C114" s="0" t="n">
        <v>1</v>
      </c>
      <c r="D114" s="0" t="s">
        <v>2442</v>
      </c>
      <c r="E114" s="0" t="n">
        <v>1608</v>
      </c>
      <c r="F114" s="0" t="s">
        <v>240</v>
      </c>
      <c r="I114" s="0" t="n">
        <v>1664082</v>
      </c>
      <c r="J114" s="0" t="n">
        <v>69614</v>
      </c>
      <c r="K114" s="0" t="n">
        <v>7891025123477</v>
      </c>
      <c r="L114" s="0" t="s">
        <v>2527</v>
      </c>
      <c r="N114" s="0" t="n">
        <v>2</v>
      </c>
      <c r="O114" s="0" t="n">
        <v>24.58</v>
      </c>
      <c r="P114" s="0" t="s">
        <v>2444</v>
      </c>
    </row>
    <row r="115" customFormat="false" ht="15" hidden="false" customHeight="true" outlineLevel="0" collapsed="false">
      <c r="A115" s="0" t="n">
        <v>2</v>
      </c>
      <c r="B115" s="71" t="n">
        <v>46175</v>
      </c>
      <c r="C115" s="0" t="n">
        <v>1</v>
      </c>
      <c r="D115" s="0" t="s">
        <v>2442</v>
      </c>
      <c r="E115" s="0" t="n">
        <v>1608</v>
      </c>
      <c r="F115" s="0" t="s">
        <v>240</v>
      </c>
      <c r="I115" s="0" t="n">
        <v>1664082</v>
      </c>
      <c r="J115" s="0" t="n">
        <v>79069</v>
      </c>
      <c r="K115" s="0" t="n">
        <v>7899916919901</v>
      </c>
      <c r="L115" s="0" t="s">
        <v>2528</v>
      </c>
      <c r="N115" s="0" t="n">
        <v>6</v>
      </c>
      <c r="O115" s="0" t="n">
        <v>46.32</v>
      </c>
      <c r="P115" s="0" t="s">
        <v>2444</v>
      </c>
    </row>
    <row r="116" customFormat="false" ht="15" hidden="false" customHeight="true" outlineLevel="0" collapsed="false">
      <c r="A116" s="0" t="n">
        <v>2</v>
      </c>
      <c r="B116" s="71" t="n">
        <v>46175</v>
      </c>
      <c r="C116" s="0" t="n">
        <v>1</v>
      </c>
      <c r="D116" s="0" t="s">
        <v>2442</v>
      </c>
      <c r="E116" s="0" t="n">
        <v>1608</v>
      </c>
      <c r="F116" s="0" t="s">
        <v>240</v>
      </c>
      <c r="I116" s="0" t="n">
        <v>1664082</v>
      </c>
      <c r="J116" s="0" t="n">
        <v>79588</v>
      </c>
      <c r="K116" s="0" t="n">
        <v>7891025125150</v>
      </c>
      <c r="L116" s="0" t="s">
        <v>2529</v>
      </c>
      <c r="N116" s="0" t="n">
        <v>4</v>
      </c>
      <c r="O116" s="0" t="n">
        <v>34.16</v>
      </c>
      <c r="P116" s="0" t="s">
        <v>2444</v>
      </c>
    </row>
    <row r="117" customFormat="false" ht="15" hidden="false" customHeight="true" outlineLevel="0" collapsed="false">
      <c r="A117" s="0" t="n">
        <v>2</v>
      </c>
      <c r="B117" s="71" t="n">
        <v>46175</v>
      </c>
      <c r="C117" s="0" t="n">
        <v>1</v>
      </c>
      <c r="D117" s="0" t="s">
        <v>2442</v>
      </c>
      <c r="E117" s="0" t="n">
        <v>1608</v>
      </c>
      <c r="F117" s="0" t="s">
        <v>240</v>
      </c>
      <c r="I117" s="0" t="n">
        <v>1664082</v>
      </c>
      <c r="J117" s="0" t="n">
        <v>79589</v>
      </c>
      <c r="K117" s="0" t="n">
        <v>7891025125167</v>
      </c>
      <c r="L117" s="0" t="s">
        <v>2530</v>
      </c>
      <c r="N117" s="0" t="n">
        <v>4</v>
      </c>
      <c r="O117" s="0" t="n">
        <v>34.16</v>
      </c>
      <c r="P117" s="0" t="s">
        <v>2444</v>
      </c>
    </row>
    <row r="118" customFormat="false" ht="15" hidden="false" customHeight="true" outlineLevel="0" collapsed="false">
      <c r="A118" s="0" t="n">
        <v>2</v>
      </c>
      <c r="B118" s="71" t="n">
        <v>46175</v>
      </c>
      <c r="C118" s="0" t="n">
        <v>1</v>
      </c>
      <c r="D118" s="0" t="s">
        <v>2442</v>
      </c>
      <c r="E118" s="0" t="n">
        <v>1608</v>
      </c>
      <c r="F118" s="0" t="s">
        <v>240</v>
      </c>
      <c r="I118" s="0" t="n">
        <v>1664082</v>
      </c>
      <c r="J118" s="0" t="n">
        <v>80680</v>
      </c>
      <c r="K118" s="0" t="n">
        <v>7891025125488</v>
      </c>
      <c r="L118" s="0" t="s">
        <v>2531</v>
      </c>
      <c r="N118" s="0" t="n">
        <v>3</v>
      </c>
      <c r="O118" s="0" t="n">
        <v>8.7</v>
      </c>
      <c r="P118" s="0" t="s">
        <v>2444</v>
      </c>
    </row>
    <row r="119" customFormat="false" ht="15" hidden="false" customHeight="true" outlineLevel="0" collapsed="false">
      <c r="A119" s="0" t="n">
        <v>2</v>
      </c>
      <c r="B119" s="71" t="n">
        <v>46175</v>
      </c>
      <c r="C119" s="0" t="n">
        <v>1</v>
      </c>
      <c r="D119" s="0" t="s">
        <v>2442</v>
      </c>
      <c r="E119" s="0" t="n">
        <v>1608</v>
      </c>
      <c r="F119" s="0" t="s">
        <v>240</v>
      </c>
      <c r="I119" s="0" t="n">
        <v>1664082</v>
      </c>
      <c r="J119" s="0" t="n">
        <v>80681</v>
      </c>
      <c r="K119" s="0" t="n">
        <v>7891025125495</v>
      </c>
      <c r="L119" s="0" t="s">
        <v>2532</v>
      </c>
      <c r="N119" s="0" t="n">
        <v>3</v>
      </c>
      <c r="O119" s="0" t="n">
        <v>8.7</v>
      </c>
      <c r="P119" s="0" t="s">
        <v>2444</v>
      </c>
    </row>
    <row r="120" customFormat="false" ht="15" hidden="false" customHeight="true" outlineLevel="0" collapsed="false">
      <c r="A120" s="0" t="n">
        <v>2</v>
      </c>
      <c r="B120" s="71" t="n">
        <v>46175</v>
      </c>
      <c r="C120" s="0" t="n">
        <v>2</v>
      </c>
      <c r="D120" s="0" t="s">
        <v>2533</v>
      </c>
      <c r="E120" s="0" t="n">
        <v>48</v>
      </c>
      <c r="F120" s="0" t="s">
        <v>153</v>
      </c>
      <c r="I120" s="0" t="n">
        <v>2626</v>
      </c>
      <c r="J120" s="0" t="n">
        <v>42564</v>
      </c>
      <c r="K120" s="0" t="n">
        <v>574</v>
      </c>
      <c r="L120" s="0" t="s">
        <v>2534</v>
      </c>
      <c r="N120" s="0" t="n">
        <v>15</v>
      </c>
      <c r="O120" s="0" t="n">
        <v>195</v>
      </c>
      <c r="P120" s="0" t="s">
        <v>2444</v>
      </c>
    </row>
    <row r="121" customFormat="false" ht="15" hidden="false" customHeight="true" outlineLevel="0" collapsed="false">
      <c r="A121" s="0" t="n">
        <v>2</v>
      </c>
      <c r="B121" s="71" t="n">
        <v>46175</v>
      </c>
      <c r="C121" s="0" t="n">
        <v>2</v>
      </c>
      <c r="D121" s="0" t="s">
        <v>2533</v>
      </c>
      <c r="E121" s="0" t="n">
        <v>48</v>
      </c>
      <c r="F121" s="0" t="s">
        <v>153</v>
      </c>
      <c r="I121" s="0" t="n">
        <v>262026</v>
      </c>
      <c r="J121" s="0" t="n">
        <v>100062</v>
      </c>
      <c r="K121" s="0" t="n">
        <v>63</v>
      </c>
      <c r="L121" s="0" t="s">
        <v>2535</v>
      </c>
      <c r="N121" s="0" t="n">
        <v>13</v>
      </c>
      <c r="O121" s="0" t="n">
        <v>93.86</v>
      </c>
      <c r="P121" s="0" t="s">
        <v>2444</v>
      </c>
    </row>
    <row r="122" customFormat="false" ht="15" hidden="false" customHeight="true" outlineLevel="0" collapsed="false">
      <c r="A122" s="0" t="n">
        <v>2</v>
      </c>
      <c r="B122" s="71" t="n">
        <v>46175</v>
      </c>
      <c r="C122" s="0" t="n">
        <v>2</v>
      </c>
      <c r="D122" s="0" t="s">
        <v>2533</v>
      </c>
      <c r="E122" s="0" t="n">
        <v>48</v>
      </c>
      <c r="F122" s="0" t="s">
        <v>153</v>
      </c>
      <c r="I122" s="0" t="n">
        <v>262026</v>
      </c>
      <c r="J122" s="0" t="n">
        <v>100105</v>
      </c>
      <c r="K122" s="0" t="n">
        <v>106</v>
      </c>
      <c r="L122" s="0" t="s">
        <v>2536</v>
      </c>
      <c r="N122" s="0" t="n">
        <v>24</v>
      </c>
      <c r="O122" s="0" t="n">
        <v>160</v>
      </c>
      <c r="P122" s="0" t="s">
        <v>2444</v>
      </c>
    </row>
    <row r="123" customFormat="false" ht="15" hidden="false" customHeight="true" outlineLevel="0" collapsed="false">
      <c r="A123" s="0" t="n">
        <v>2</v>
      </c>
      <c r="B123" s="71" t="n">
        <v>46175</v>
      </c>
      <c r="C123" s="0" t="n">
        <v>2</v>
      </c>
      <c r="D123" s="0" t="s">
        <v>2533</v>
      </c>
      <c r="E123" s="0" t="n">
        <v>48</v>
      </c>
      <c r="F123" s="0" t="s">
        <v>153</v>
      </c>
      <c r="I123" s="0" t="n">
        <v>262026</v>
      </c>
      <c r="J123" s="0" t="n">
        <v>100109</v>
      </c>
      <c r="K123" s="0" t="n">
        <v>110</v>
      </c>
      <c r="L123" s="0" t="s">
        <v>2537</v>
      </c>
      <c r="N123" s="0" t="n">
        <v>40</v>
      </c>
      <c r="O123" s="0" t="n">
        <v>200</v>
      </c>
      <c r="P123" s="0" t="s">
        <v>2444</v>
      </c>
    </row>
    <row r="124" customFormat="false" ht="15" hidden="false" customHeight="true" outlineLevel="0" collapsed="false">
      <c r="A124" s="0" t="n">
        <v>2</v>
      </c>
      <c r="B124" s="71" t="n">
        <v>46175</v>
      </c>
      <c r="C124" s="0" t="n">
        <v>2</v>
      </c>
      <c r="D124" s="0" t="s">
        <v>2533</v>
      </c>
      <c r="E124" s="0" t="n">
        <v>48</v>
      </c>
      <c r="F124" s="0" t="s">
        <v>153</v>
      </c>
      <c r="I124" s="0" t="n">
        <v>262026</v>
      </c>
      <c r="J124" s="0" t="n">
        <v>100112</v>
      </c>
      <c r="K124" s="0" t="n">
        <v>113</v>
      </c>
      <c r="L124" s="0" t="s">
        <v>2538</v>
      </c>
      <c r="N124" s="0" t="n">
        <v>18</v>
      </c>
      <c r="O124" s="0" t="n">
        <v>45</v>
      </c>
      <c r="P124" s="0" t="s">
        <v>2444</v>
      </c>
    </row>
    <row r="125" customFormat="false" ht="15" hidden="false" customHeight="true" outlineLevel="0" collapsed="false">
      <c r="A125" s="0" t="n">
        <v>2</v>
      </c>
      <c r="B125" s="71" t="n">
        <v>46175</v>
      </c>
      <c r="C125" s="0" t="n">
        <v>2</v>
      </c>
      <c r="D125" s="0" t="s">
        <v>2533</v>
      </c>
      <c r="E125" s="0" t="n">
        <v>48</v>
      </c>
      <c r="F125" s="0" t="s">
        <v>153</v>
      </c>
      <c r="I125" s="0" t="n">
        <v>262026</v>
      </c>
      <c r="J125" s="0" t="n">
        <v>100113</v>
      </c>
      <c r="K125" s="0" t="n">
        <v>114</v>
      </c>
      <c r="L125" s="0" t="s">
        <v>2539</v>
      </c>
      <c r="N125" s="0" t="n">
        <v>20</v>
      </c>
      <c r="O125" s="0" t="n">
        <v>40</v>
      </c>
      <c r="P125" s="0" t="s">
        <v>2444</v>
      </c>
    </row>
    <row r="126" customFormat="false" ht="15" hidden="false" customHeight="true" outlineLevel="0" collapsed="false">
      <c r="A126" s="0" t="n">
        <v>2</v>
      </c>
      <c r="B126" s="71" t="n">
        <v>46175</v>
      </c>
      <c r="C126" s="0" t="n">
        <v>2</v>
      </c>
      <c r="D126" s="0" t="s">
        <v>2533</v>
      </c>
      <c r="E126" s="0" t="n">
        <v>48</v>
      </c>
      <c r="F126" s="0" t="s">
        <v>153</v>
      </c>
      <c r="I126" s="0" t="n">
        <v>262026</v>
      </c>
      <c r="J126" s="0" t="n">
        <v>100116</v>
      </c>
      <c r="K126" s="0" t="n">
        <v>117</v>
      </c>
      <c r="L126" s="0" t="s">
        <v>2540</v>
      </c>
      <c r="N126" s="0" t="n">
        <v>2</v>
      </c>
      <c r="O126" s="0" t="n">
        <v>36</v>
      </c>
      <c r="P126" s="0" t="s">
        <v>2444</v>
      </c>
    </row>
    <row r="127" customFormat="false" ht="15" hidden="false" customHeight="true" outlineLevel="0" collapsed="false">
      <c r="A127" s="0" t="n">
        <v>2</v>
      </c>
      <c r="B127" s="71" t="n">
        <v>46175</v>
      </c>
      <c r="C127" s="0" t="n">
        <v>2</v>
      </c>
      <c r="D127" s="0" t="s">
        <v>2533</v>
      </c>
      <c r="E127" s="0" t="n">
        <v>48</v>
      </c>
      <c r="F127" s="0" t="s">
        <v>153</v>
      </c>
      <c r="I127" s="0" t="n">
        <v>262026</v>
      </c>
      <c r="J127" s="0" t="n">
        <v>100118</v>
      </c>
      <c r="K127" s="0" t="n">
        <v>119</v>
      </c>
      <c r="L127" s="0" t="s">
        <v>2541</v>
      </c>
      <c r="N127" s="0" t="n">
        <v>6</v>
      </c>
      <c r="O127" s="0" t="n">
        <v>24</v>
      </c>
      <c r="P127" s="0" t="s">
        <v>2444</v>
      </c>
    </row>
    <row r="128" customFormat="false" ht="15" hidden="false" customHeight="true" outlineLevel="0" collapsed="false">
      <c r="A128" s="0" t="n">
        <v>2</v>
      </c>
      <c r="B128" s="71" t="n">
        <v>46175</v>
      </c>
      <c r="C128" s="0" t="n">
        <v>2</v>
      </c>
      <c r="D128" s="0" t="s">
        <v>2533</v>
      </c>
      <c r="E128" s="0" t="n">
        <v>48</v>
      </c>
      <c r="F128" s="0" t="s">
        <v>153</v>
      </c>
      <c r="I128" s="0" t="n">
        <v>262026</v>
      </c>
      <c r="J128" s="0" t="n">
        <v>100121</v>
      </c>
      <c r="K128" s="0" t="n">
        <v>122</v>
      </c>
      <c r="L128" s="0" t="s">
        <v>2542</v>
      </c>
      <c r="N128" s="0" t="n">
        <v>5</v>
      </c>
      <c r="O128" s="0" t="n">
        <v>85</v>
      </c>
      <c r="P128" s="0" t="s">
        <v>2444</v>
      </c>
    </row>
    <row r="129" customFormat="false" ht="15" hidden="false" customHeight="true" outlineLevel="0" collapsed="false">
      <c r="A129" s="0" t="n">
        <v>2</v>
      </c>
      <c r="B129" s="71" t="n">
        <v>46175</v>
      </c>
      <c r="C129" s="0" t="n">
        <v>2</v>
      </c>
      <c r="D129" s="0" t="s">
        <v>2533</v>
      </c>
      <c r="E129" s="0" t="n">
        <v>48</v>
      </c>
      <c r="F129" s="0" t="s">
        <v>153</v>
      </c>
      <c r="I129" s="0" t="n">
        <v>262026</v>
      </c>
      <c r="J129" s="0" t="n">
        <v>100122</v>
      </c>
      <c r="K129" s="0" t="n">
        <v>123</v>
      </c>
      <c r="L129" s="0" t="s">
        <v>2543</v>
      </c>
      <c r="N129" s="0" t="n">
        <v>5</v>
      </c>
      <c r="O129" s="0" t="n">
        <v>75</v>
      </c>
      <c r="P129" s="0" t="s">
        <v>2444</v>
      </c>
    </row>
    <row r="130" customFormat="false" ht="15" hidden="false" customHeight="true" outlineLevel="0" collapsed="false">
      <c r="A130" s="0" t="n">
        <v>2</v>
      </c>
      <c r="B130" s="71" t="n">
        <v>46175</v>
      </c>
      <c r="C130" s="0" t="n">
        <v>2</v>
      </c>
      <c r="D130" s="0" t="s">
        <v>2533</v>
      </c>
      <c r="E130" s="0" t="n">
        <v>48</v>
      </c>
      <c r="F130" s="0" t="s">
        <v>153</v>
      </c>
      <c r="I130" s="0" t="n">
        <v>262026</v>
      </c>
      <c r="J130" s="0" t="n">
        <v>100123</v>
      </c>
      <c r="K130" s="0" t="n">
        <v>124</v>
      </c>
      <c r="L130" s="0" t="s">
        <v>2544</v>
      </c>
      <c r="N130" s="0" t="n">
        <v>1</v>
      </c>
      <c r="O130" s="0" t="n">
        <v>10</v>
      </c>
      <c r="P130" s="0" t="s">
        <v>2444</v>
      </c>
    </row>
    <row r="131" customFormat="false" ht="15" hidden="false" customHeight="true" outlineLevel="0" collapsed="false">
      <c r="A131" s="0" t="n">
        <v>2</v>
      </c>
      <c r="B131" s="71" t="n">
        <v>46175</v>
      </c>
      <c r="C131" s="0" t="n">
        <v>2</v>
      </c>
      <c r="D131" s="0" t="s">
        <v>2533</v>
      </c>
      <c r="E131" s="0" t="n">
        <v>48</v>
      </c>
      <c r="F131" s="0" t="s">
        <v>153</v>
      </c>
      <c r="I131" s="0" t="n">
        <v>262026</v>
      </c>
      <c r="J131" s="0" t="n">
        <v>100130</v>
      </c>
      <c r="K131" s="0" t="n">
        <v>131</v>
      </c>
      <c r="L131" s="0" t="s">
        <v>2545</v>
      </c>
      <c r="N131" s="0" t="n">
        <v>25</v>
      </c>
      <c r="O131" s="0" t="n">
        <v>150</v>
      </c>
      <c r="P131" s="0" t="s">
        <v>2444</v>
      </c>
    </row>
    <row r="132" customFormat="false" ht="15" hidden="false" customHeight="true" outlineLevel="0" collapsed="false">
      <c r="A132" s="0" t="n">
        <v>2</v>
      </c>
      <c r="B132" s="71" t="n">
        <v>46175</v>
      </c>
      <c r="C132" s="0" t="n">
        <v>2</v>
      </c>
      <c r="D132" s="0" t="s">
        <v>2533</v>
      </c>
      <c r="E132" s="0" t="n">
        <v>48</v>
      </c>
      <c r="F132" s="0" t="s">
        <v>153</v>
      </c>
      <c r="I132" s="0" t="n">
        <v>262026</v>
      </c>
      <c r="J132" s="0" t="n">
        <v>100132</v>
      </c>
      <c r="K132" s="0" t="n">
        <v>133</v>
      </c>
      <c r="L132" s="0" t="s">
        <v>2546</v>
      </c>
      <c r="N132" s="0" t="n">
        <v>18.155</v>
      </c>
      <c r="O132" s="0" t="n">
        <v>60</v>
      </c>
      <c r="P132" s="0" t="s">
        <v>2444</v>
      </c>
    </row>
    <row r="133" customFormat="false" ht="15" hidden="false" customHeight="true" outlineLevel="0" collapsed="false">
      <c r="A133" s="0" t="n">
        <v>2</v>
      </c>
      <c r="B133" s="71" t="n">
        <v>46175</v>
      </c>
      <c r="C133" s="0" t="n">
        <v>2</v>
      </c>
      <c r="D133" s="0" t="s">
        <v>2533</v>
      </c>
      <c r="E133" s="0" t="n">
        <v>48</v>
      </c>
      <c r="F133" s="0" t="s">
        <v>153</v>
      </c>
      <c r="I133" s="0" t="n">
        <v>262026</v>
      </c>
      <c r="J133" s="0" t="n">
        <v>100133</v>
      </c>
      <c r="K133" s="0" t="n">
        <v>134</v>
      </c>
      <c r="L133" s="0" t="s">
        <v>2547</v>
      </c>
      <c r="N133" s="0" t="n">
        <v>15</v>
      </c>
      <c r="O133" s="0" t="n">
        <v>45</v>
      </c>
      <c r="P133" s="0" t="s">
        <v>2444</v>
      </c>
    </row>
    <row r="134" customFormat="false" ht="15" hidden="false" customHeight="true" outlineLevel="0" collapsed="false">
      <c r="A134" s="0" t="n">
        <v>2</v>
      </c>
      <c r="B134" s="71" t="n">
        <v>46175</v>
      </c>
      <c r="C134" s="0" t="n">
        <v>2</v>
      </c>
      <c r="D134" s="0" t="s">
        <v>2533</v>
      </c>
      <c r="E134" s="0" t="n">
        <v>48</v>
      </c>
      <c r="F134" s="0" t="s">
        <v>153</v>
      </c>
      <c r="I134" s="0" t="n">
        <v>262026</v>
      </c>
      <c r="J134" s="0" t="n">
        <v>100227</v>
      </c>
      <c r="K134" s="0" t="n">
        <v>40538</v>
      </c>
      <c r="L134" s="0" t="s">
        <v>2548</v>
      </c>
      <c r="N134" s="0" t="n">
        <v>10</v>
      </c>
      <c r="O134" s="0" t="n">
        <v>26</v>
      </c>
      <c r="P134" s="0" t="s">
        <v>2444</v>
      </c>
    </row>
    <row r="135" customFormat="false" ht="15" hidden="false" customHeight="true" outlineLevel="0" collapsed="false">
      <c r="A135" s="0" t="n">
        <v>2</v>
      </c>
      <c r="B135" s="71" t="n">
        <v>46175</v>
      </c>
      <c r="C135" s="0" t="n">
        <v>2</v>
      </c>
      <c r="D135" s="0" t="s">
        <v>2533</v>
      </c>
      <c r="E135" s="0" t="n">
        <v>48</v>
      </c>
      <c r="F135" s="0" t="s">
        <v>153</v>
      </c>
      <c r="I135" s="0" t="n">
        <v>262026</v>
      </c>
      <c r="J135" s="0" t="n">
        <v>110142</v>
      </c>
      <c r="K135" s="0" t="n">
        <v>16699</v>
      </c>
      <c r="L135" s="0" t="s">
        <v>2549</v>
      </c>
      <c r="N135" s="0" t="n">
        <v>20</v>
      </c>
      <c r="O135" s="0" t="n">
        <v>125</v>
      </c>
      <c r="P135" s="0" t="s">
        <v>2444</v>
      </c>
    </row>
    <row r="136" customFormat="false" ht="15" hidden="false" customHeight="true" outlineLevel="0" collapsed="false">
      <c r="A136" s="0" t="n">
        <v>2</v>
      </c>
      <c r="B136" s="71" t="n">
        <v>46175</v>
      </c>
      <c r="C136" s="0" t="n">
        <v>2</v>
      </c>
      <c r="D136" s="0" t="s">
        <v>2533</v>
      </c>
      <c r="E136" s="0" t="n">
        <v>48</v>
      </c>
      <c r="F136" s="0" t="s">
        <v>153</v>
      </c>
      <c r="I136" s="0" t="n">
        <v>262026</v>
      </c>
      <c r="J136" s="0" t="n">
        <v>110489</v>
      </c>
      <c r="K136" s="0" t="n">
        <v>54743</v>
      </c>
      <c r="L136" s="0" t="s">
        <v>2550</v>
      </c>
      <c r="N136" s="0" t="n">
        <v>40</v>
      </c>
      <c r="O136" s="0" t="n">
        <v>240</v>
      </c>
      <c r="P136" s="0" t="s">
        <v>2444</v>
      </c>
    </row>
    <row r="137" customFormat="false" ht="15" hidden="false" customHeight="true" outlineLevel="0" collapsed="false">
      <c r="A137" s="0" t="n">
        <v>2</v>
      </c>
      <c r="B137" s="71" t="n">
        <v>46175</v>
      </c>
      <c r="C137" s="0" t="n">
        <v>2</v>
      </c>
      <c r="D137" s="0" t="s">
        <v>2533</v>
      </c>
      <c r="E137" s="0" t="n">
        <v>48</v>
      </c>
      <c r="F137" s="0" t="s">
        <v>153</v>
      </c>
      <c r="I137" s="0" t="n">
        <v>262026</v>
      </c>
      <c r="J137" s="0" t="n">
        <v>80078</v>
      </c>
      <c r="K137" s="0" t="n">
        <v>710</v>
      </c>
      <c r="L137" s="0" t="s">
        <v>2551</v>
      </c>
      <c r="N137" s="0" t="n">
        <v>10</v>
      </c>
      <c r="O137" s="0" t="n">
        <v>30</v>
      </c>
      <c r="P137" s="0" t="s">
        <v>2444</v>
      </c>
    </row>
    <row r="138" customFormat="false" ht="15" hidden="false" customHeight="true" outlineLevel="0" collapsed="false">
      <c r="A138" s="0" t="n">
        <v>2</v>
      </c>
      <c r="B138" s="71" t="n">
        <v>46175</v>
      </c>
      <c r="C138" s="0" t="n">
        <v>2</v>
      </c>
      <c r="D138" s="0" t="s">
        <v>2533</v>
      </c>
      <c r="E138" s="0" t="n">
        <v>48</v>
      </c>
      <c r="F138" s="0" t="s">
        <v>153</v>
      </c>
      <c r="I138" s="0" t="n">
        <v>262026</v>
      </c>
      <c r="J138" s="0" t="n">
        <v>80308</v>
      </c>
      <c r="K138" s="0" t="n">
        <v>1250</v>
      </c>
      <c r="L138" s="0" t="s">
        <v>2552</v>
      </c>
      <c r="N138" s="0" t="n">
        <v>7</v>
      </c>
      <c r="O138" s="0" t="n">
        <v>21</v>
      </c>
      <c r="P138" s="0" t="s">
        <v>2444</v>
      </c>
    </row>
    <row r="139" customFormat="false" ht="15" hidden="false" customHeight="true" outlineLevel="0" collapsed="false">
      <c r="A139" s="0" t="n">
        <v>2</v>
      </c>
      <c r="B139" s="71" t="n">
        <v>46175</v>
      </c>
      <c r="C139" s="0" t="n">
        <v>6</v>
      </c>
      <c r="D139" s="0" t="s">
        <v>2553</v>
      </c>
      <c r="E139" s="0" t="n">
        <v>48</v>
      </c>
      <c r="F139" s="0" t="s">
        <v>153</v>
      </c>
      <c r="I139" s="0" t="n">
        <v>2473</v>
      </c>
      <c r="J139" s="0" t="n">
        <v>42564</v>
      </c>
      <c r="K139" s="0" t="n">
        <v>574</v>
      </c>
      <c r="L139" s="0" t="s">
        <v>2534</v>
      </c>
      <c r="N139" s="0" t="n">
        <v>15</v>
      </c>
      <c r="O139" s="0" t="n">
        <v>195</v>
      </c>
      <c r="P139" s="0" t="s">
        <v>2444</v>
      </c>
    </row>
    <row r="140" customFormat="false" ht="15" hidden="false" customHeight="true" outlineLevel="0" collapsed="false">
      <c r="A140" s="0" t="n">
        <v>2</v>
      </c>
      <c r="B140" s="71" t="n">
        <v>46175</v>
      </c>
      <c r="C140" s="0" t="n">
        <v>6</v>
      </c>
      <c r="D140" s="0" t="s">
        <v>2553</v>
      </c>
      <c r="E140" s="0" t="n">
        <v>48</v>
      </c>
      <c r="F140" s="0" t="s">
        <v>153</v>
      </c>
      <c r="I140" s="0" t="n">
        <v>2474</v>
      </c>
      <c r="J140" s="0" t="n">
        <v>100062</v>
      </c>
      <c r="K140" s="0" t="n">
        <v>63</v>
      </c>
      <c r="L140" s="0" t="s">
        <v>2535</v>
      </c>
      <c r="N140" s="0" t="n">
        <v>13</v>
      </c>
      <c r="O140" s="0" t="n">
        <v>93.86</v>
      </c>
      <c r="P140" s="0" t="s">
        <v>2444</v>
      </c>
    </row>
    <row r="141" customFormat="false" ht="15" hidden="false" customHeight="true" outlineLevel="0" collapsed="false">
      <c r="A141" s="0" t="n">
        <v>2</v>
      </c>
      <c r="B141" s="71" t="n">
        <v>46175</v>
      </c>
      <c r="C141" s="0" t="n">
        <v>6</v>
      </c>
      <c r="D141" s="0" t="s">
        <v>2553</v>
      </c>
      <c r="E141" s="0" t="n">
        <v>48</v>
      </c>
      <c r="F141" s="0" t="s">
        <v>153</v>
      </c>
      <c r="I141" s="0" t="n">
        <v>2474</v>
      </c>
      <c r="J141" s="0" t="n">
        <v>100105</v>
      </c>
      <c r="K141" s="0" t="n">
        <v>106</v>
      </c>
      <c r="L141" s="0" t="s">
        <v>2536</v>
      </c>
      <c r="N141" s="0" t="n">
        <v>24</v>
      </c>
      <c r="O141" s="0" t="n">
        <v>160</v>
      </c>
      <c r="P141" s="0" t="s">
        <v>2444</v>
      </c>
    </row>
    <row r="142" customFormat="false" ht="15" hidden="false" customHeight="true" outlineLevel="0" collapsed="false">
      <c r="A142" s="0" t="n">
        <v>2</v>
      </c>
      <c r="B142" s="71" t="n">
        <v>46175</v>
      </c>
      <c r="C142" s="0" t="n">
        <v>6</v>
      </c>
      <c r="D142" s="0" t="s">
        <v>2553</v>
      </c>
      <c r="E142" s="0" t="n">
        <v>48</v>
      </c>
      <c r="F142" s="0" t="s">
        <v>153</v>
      </c>
      <c r="I142" s="0" t="n">
        <v>2474</v>
      </c>
      <c r="J142" s="0" t="n">
        <v>100109</v>
      </c>
      <c r="K142" s="0" t="n">
        <v>110</v>
      </c>
      <c r="L142" s="0" t="s">
        <v>2537</v>
      </c>
      <c r="N142" s="0" t="n">
        <v>40</v>
      </c>
      <c r="O142" s="0" t="n">
        <v>200</v>
      </c>
      <c r="P142" s="0" t="s">
        <v>2444</v>
      </c>
    </row>
    <row r="143" customFormat="false" ht="15" hidden="false" customHeight="true" outlineLevel="0" collapsed="false">
      <c r="A143" s="0" t="n">
        <v>2</v>
      </c>
      <c r="B143" s="71" t="n">
        <v>46175</v>
      </c>
      <c r="C143" s="0" t="n">
        <v>6</v>
      </c>
      <c r="D143" s="0" t="s">
        <v>2553</v>
      </c>
      <c r="E143" s="0" t="n">
        <v>48</v>
      </c>
      <c r="F143" s="0" t="s">
        <v>153</v>
      </c>
      <c r="I143" s="0" t="n">
        <v>2474</v>
      </c>
      <c r="J143" s="0" t="n">
        <v>100112</v>
      </c>
      <c r="K143" s="0" t="n">
        <v>113</v>
      </c>
      <c r="L143" s="0" t="s">
        <v>2538</v>
      </c>
      <c r="N143" s="0" t="n">
        <v>18</v>
      </c>
      <c r="O143" s="0" t="n">
        <v>45</v>
      </c>
      <c r="P143" s="0" t="s">
        <v>2444</v>
      </c>
    </row>
    <row r="144" customFormat="false" ht="15" hidden="false" customHeight="true" outlineLevel="0" collapsed="false">
      <c r="A144" s="0" t="n">
        <v>2</v>
      </c>
      <c r="B144" s="71" t="n">
        <v>46175</v>
      </c>
      <c r="C144" s="0" t="n">
        <v>6</v>
      </c>
      <c r="D144" s="0" t="s">
        <v>2553</v>
      </c>
      <c r="E144" s="0" t="n">
        <v>48</v>
      </c>
      <c r="F144" s="0" t="s">
        <v>153</v>
      </c>
      <c r="I144" s="0" t="n">
        <v>2474</v>
      </c>
      <c r="J144" s="0" t="n">
        <v>100113</v>
      </c>
      <c r="K144" s="0" t="n">
        <v>114</v>
      </c>
      <c r="L144" s="0" t="s">
        <v>2539</v>
      </c>
      <c r="N144" s="0" t="n">
        <v>20</v>
      </c>
      <c r="O144" s="0" t="n">
        <v>40</v>
      </c>
      <c r="P144" s="0" t="s">
        <v>2444</v>
      </c>
    </row>
    <row r="145" customFormat="false" ht="15" hidden="false" customHeight="true" outlineLevel="0" collapsed="false">
      <c r="A145" s="0" t="n">
        <v>2</v>
      </c>
      <c r="B145" s="71" t="n">
        <v>46175</v>
      </c>
      <c r="C145" s="0" t="n">
        <v>6</v>
      </c>
      <c r="D145" s="0" t="s">
        <v>2553</v>
      </c>
      <c r="E145" s="0" t="n">
        <v>48</v>
      </c>
      <c r="F145" s="0" t="s">
        <v>153</v>
      </c>
      <c r="I145" s="0" t="n">
        <v>2474</v>
      </c>
      <c r="J145" s="0" t="n">
        <v>100116</v>
      </c>
      <c r="K145" s="0" t="n">
        <v>117</v>
      </c>
      <c r="L145" s="0" t="s">
        <v>2540</v>
      </c>
      <c r="N145" s="0" t="n">
        <v>2</v>
      </c>
      <c r="O145" s="0" t="n">
        <v>36</v>
      </c>
      <c r="P145" s="0" t="s">
        <v>2444</v>
      </c>
    </row>
    <row r="146" customFormat="false" ht="15" hidden="false" customHeight="true" outlineLevel="0" collapsed="false">
      <c r="A146" s="0" t="n">
        <v>2</v>
      </c>
      <c r="B146" s="71" t="n">
        <v>46175</v>
      </c>
      <c r="C146" s="0" t="n">
        <v>6</v>
      </c>
      <c r="D146" s="0" t="s">
        <v>2553</v>
      </c>
      <c r="E146" s="0" t="n">
        <v>48</v>
      </c>
      <c r="F146" s="0" t="s">
        <v>153</v>
      </c>
      <c r="I146" s="0" t="n">
        <v>2474</v>
      </c>
      <c r="J146" s="0" t="n">
        <v>100118</v>
      </c>
      <c r="K146" s="0" t="n">
        <v>119</v>
      </c>
      <c r="L146" s="0" t="s">
        <v>2541</v>
      </c>
      <c r="N146" s="0" t="n">
        <v>6</v>
      </c>
      <c r="O146" s="0" t="n">
        <v>24</v>
      </c>
      <c r="P146" s="0" t="s">
        <v>2444</v>
      </c>
    </row>
    <row r="147" customFormat="false" ht="15" hidden="false" customHeight="true" outlineLevel="0" collapsed="false">
      <c r="A147" s="0" t="n">
        <v>2</v>
      </c>
      <c r="B147" s="71" t="n">
        <v>46175</v>
      </c>
      <c r="C147" s="0" t="n">
        <v>6</v>
      </c>
      <c r="D147" s="0" t="s">
        <v>2553</v>
      </c>
      <c r="E147" s="0" t="n">
        <v>48</v>
      </c>
      <c r="F147" s="0" t="s">
        <v>153</v>
      </c>
      <c r="I147" s="0" t="n">
        <v>2474</v>
      </c>
      <c r="J147" s="0" t="n">
        <v>100121</v>
      </c>
      <c r="K147" s="0" t="n">
        <v>122</v>
      </c>
      <c r="L147" s="0" t="s">
        <v>2542</v>
      </c>
      <c r="N147" s="0" t="n">
        <v>5</v>
      </c>
      <c r="O147" s="0" t="n">
        <v>85</v>
      </c>
      <c r="P147" s="0" t="s">
        <v>2444</v>
      </c>
    </row>
    <row r="148" customFormat="false" ht="15" hidden="false" customHeight="true" outlineLevel="0" collapsed="false">
      <c r="A148" s="0" t="n">
        <v>2</v>
      </c>
      <c r="B148" s="71" t="n">
        <v>46175</v>
      </c>
      <c r="C148" s="0" t="n">
        <v>6</v>
      </c>
      <c r="D148" s="0" t="s">
        <v>2553</v>
      </c>
      <c r="E148" s="0" t="n">
        <v>48</v>
      </c>
      <c r="F148" s="0" t="s">
        <v>153</v>
      </c>
      <c r="I148" s="0" t="n">
        <v>2474</v>
      </c>
      <c r="J148" s="0" t="n">
        <v>100122</v>
      </c>
      <c r="K148" s="0" t="n">
        <v>123</v>
      </c>
      <c r="L148" s="0" t="s">
        <v>2543</v>
      </c>
      <c r="N148" s="0" t="n">
        <v>5</v>
      </c>
      <c r="O148" s="0" t="n">
        <v>75</v>
      </c>
      <c r="P148" s="0" t="s">
        <v>2444</v>
      </c>
    </row>
    <row r="149" customFormat="false" ht="15" hidden="false" customHeight="true" outlineLevel="0" collapsed="false">
      <c r="A149" s="0" t="n">
        <v>2</v>
      </c>
      <c r="B149" s="71" t="n">
        <v>46175</v>
      </c>
      <c r="C149" s="0" t="n">
        <v>6</v>
      </c>
      <c r="D149" s="0" t="s">
        <v>2553</v>
      </c>
      <c r="E149" s="0" t="n">
        <v>48</v>
      </c>
      <c r="F149" s="0" t="s">
        <v>153</v>
      </c>
      <c r="I149" s="0" t="n">
        <v>2474</v>
      </c>
      <c r="J149" s="0" t="n">
        <v>100123</v>
      </c>
      <c r="K149" s="0" t="n">
        <v>124</v>
      </c>
      <c r="L149" s="0" t="s">
        <v>2544</v>
      </c>
      <c r="N149" s="0" t="n">
        <v>1</v>
      </c>
      <c r="O149" s="0" t="n">
        <v>10</v>
      </c>
      <c r="P149" s="0" t="s">
        <v>2444</v>
      </c>
    </row>
    <row r="150" customFormat="false" ht="15" hidden="false" customHeight="true" outlineLevel="0" collapsed="false">
      <c r="A150" s="0" t="n">
        <v>2</v>
      </c>
      <c r="B150" s="71" t="n">
        <v>46175</v>
      </c>
      <c r="C150" s="0" t="n">
        <v>6</v>
      </c>
      <c r="D150" s="0" t="s">
        <v>2553</v>
      </c>
      <c r="E150" s="0" t="n">
        <v>48</v>
      </c>
      <c r="F150" s="0" t="s">
        <v>153</v>
      </c>
      <c r="I150" s="0" t="n">
        <v>2474</v>
      </c>
      <c r="J150" s="0" t="n">
        <v>100130</v>
      </c>
      <c r="K150" s="0" t="n">
        <v>131</v>
      </c>
      <c r="L150" s="0" t="s">
        <v>2545</v>
      </c>
      <c r="N150" s="0" t="n">
        <v>25</v>
      </c>
      <c r="O150" s="0" t="n">
        <v>150</v>
      </c>
      <c r="P150" s="0" t="s">
        <v>2444</v>
      </c>
    </row>
    <row r="151" customFormat="false" ht="15" hidden="false" customHeight="true" outlineLevel="0" collapsed="false">
      <c r="A151" s="0" t="n">
        <v>2</v>
      </c>
      <c r="B151" s="71" t="n">
        <v>46175</v>
      </c>
      <c r="C151" s="0" t="n">
        <v>6</v>
      </c>
      <c r="D151" s="0" t="s">
        <v>2553</v>
      </c>
      <c r="E151" s="0" t="n">
        <v>48</v>
      </c>
      <c r="F151" s="0" t="s">
        <v>153</v>
      </c>
      <c r="I151" s="0" t="n">
        <v>2474</v>
      </c>
      <c r="J151" s="0" t="n">
        <v>100132</v>
      </c>
      <c r="K151" s="0" t="n">
        <v>133</v>
      </c>
      <c r="L151" s="0" t="s">
        <v>2546</v>
      </c>
      <c r="N151" s="0" t="n">
        <v>18.155</v>
      </c>
      <c r="O151" s="0" t="n">
        <v>60</v>
      </c>
      <c r="P151" s="0" t="s">
        <v>2444</v>
      </c>
    </row>
    <row r="152" customFormat="false" ht="15" hidden="false" customHeight="true" outlineLevel="0" collapsed="false">
      <c r="A152" s="0" t="n">
        <v>2</v>
      </c>
      <c r="B152" s="71" t="n">
        <v>46175</v>
      </c>
      <c r="C152" s="0" t="n">
        <v>6</v>
      </c>
      <c r="D152" s="0" t="s">
        <v>2553</v>
      </c>
      <c r="E152" s="0" t="n">
        <v>48</v>
      </c>
      <c r="F152" s="0" t="s">
        <v>153</v>
      </c>
      <c r="I152" s="0" t="n">
        <v>2474</v>
      </c>
      <c r="J152" s="0" t="n">
        <v>100133</v>
      </c>
      <c r="K152" s="0" t="n">
        <v>134</v>
      </c>
      <c r="L152" s="0" t="s">
        <v>2547</v>
      </c>
      <c r="N152" s="0" t="n">
        <v>15</v>
      </c>
      <c r="O152" s="0" t="n">
        <v>45</v>
      </c>
      <c r="P152" s="0" t="s">
        <v>2444</v>
      </c>
    </row>
    <row r="153" customFormat="false" ht="15" hidden="false" customHeight="true" outlineLevel="0" collapsed="false">
      <c r="A153" s="0" t="n">
        <v>2</v>
      </c>
      <c r="B153" s="71" t="n">
        <v>46175</v>
      </c>
      <c r="C153" s="0" t="n">
        <v>6</v>
      </c>
      <c r="D153" s="0" t="s">
        <v>2553</v>
      </c>
      <c r="E153" s="0" t="n">
        <v>48</v>
      </c>
      <c r="F153" s="0" t="s">
        <v>153</v>
      </c>
      <c r="I153" s="0" t="n">
        <v>2474</v>
      </c>
      <c r="J153" s="0" t="n">
        <v>100227</v>
      </c>
      <c r="K153" s="0" t="n">
        <v>40538</v>
      </c>
      <c r="L153" s="0" t="s">
        <v>2548</v>
      </c>
      <c r="N153" s="0" t="n">
        <v>10</v>
      </c>
      <c r="O153" s="0" t="n">
        <v>26</v>
      </c>
      <c r="P153" s="0" t="s">
        <v>2444</v>
      </c>
    </row>
    <row r="154" customFormat="false" ht="15" hidden="false" customHeight="true" outlineLevel="0" collapsed="false">
      <c r="A154" s="0" t="n">
        <v>2</v>
      </c>
      <c r="B154" s="71" t="n">
        <v>46175</v>
      </c>
      <c r="C154" s="0" t="n">
        <v>6</v>
      </c>
      <c r="D154" s="0" t="s">
        <v>2553</v>
      </c>
      <c r="E154" s="0" t="n">
        <v>48</v>
      </c>
      <c r="F154" s="0" t="s">
        <v>153</v>
      </c>
      <c r="I154" s="0" t="n">
        <v>2474</v>
      </c>
      <c r="J154" s="0" t="n">
        <v>110142</v>
      </c>
      <c r="K154" s="0" t="n">
        <v>16699</v>
      </c>
      <c r="L154" s="0" t="s">
        <v>2549</v>
      </c>
      <c r="N154" s="0" t="n">
        <v>20</v>
      </c>
      <c r="O154" s="0" t="n">
        <v>125</v>
      </c>
      <c r="P154" s="0" t="s">
        <v>2444</v>
      </c>
    </row>
    <row r="155" customFormat="false" ht="15" hidden="false" customHeight="true" outlineLevel="0" collapsed="false">
      <c r="A155" s="0" t="n">
        <v>2</v>
      </c>
      <c r="B155" s="71" t="n">
        <v>46175</v>
      </c>
      <c r="C155" s="0" t="n">
        <v>6</v>
      </c>
      <c r="D155" s="0" t="s">
        <v>2553</v>
      </c>
      <c r="E155" s="0" t="n">
        <v>48</v>
      </c>
      <c r="F155" s="0" t="s">
        <v>153</v>
      </c>
      <c r="I155" s="0" t="n">
        <v>2474</v>
      </c>
      <c r="J155" s="0" t="n">
        <v>110489</v>
      </c>
      <c r="K155" s="0" t="n">
        <v>54743</v>
      </c>
      <c r="L155" s="0" t="s">
        <v>2550</v>
      </c>
      <c r="N155" s="0" t="n">
        <v>40</v>
      </c>
      <c r="O155" s="0" t="n">
        <v>240</v>
      </c>
      <c r="P155" s="0" t="s">
        <v>2444</v>
      </c>
    </row>
    <row r="156" customFormat="false" ht="15" hidden="false" customHeight="true" outlineLevel="0" collapsed="false">
      <c r="A156" s="0" t="n">
        <v>2</v>
      </c>
      <c r="B156" s="71" t="n">
        <v>46175</v>
      </c>
      <c r="C156" s="0" t="n">
        <v>6</v>
      </c>
      <c r="D156" s="0" t="s">
        <v>2553</v>
      </c>
      <c r="E156" s="0" t="n">
        <v>48</v>
      </c>
      <c r="F156" s="0" t="s">
        <v>153</v>
      </c>
      <c r="I156" s="0" t="n">
        <v>2474</v>
      </c>
      <c r="J156" s="0" t="n">
        <v>80078</v>
      </c>
      <c r="K156" s="0" t="n">
        <v>710</v>
      </c>
      <c r="L156" s="0" t="s">
        <v>2551</v>
      </c>
      <c r="N156" s="0" t="n">
        <v>10</v>
      </c>
      <c r="O156" s="0" t="n">
        <v>30</v>
      </c>
      <c r="P156" s="0" t="s">
        <v>2444</v>
      </c>
    </row>
    <row r="157" customFormat="false" ht="15" hidden="false" customHeight="true" outlineLevel="0" collapsed="false">
      <c r="A157" s="0" t="n">
        <v>2</v>
      </c>
      <c r="B157" s="71" t="n">
        <v>46175</v>
      </c>
      <c r="C157" s="0" t="n">
        <v>6</v>
      </c>
      <c r="D157" s="0" t="s">
        <v>2553</v>
      </c>
      <c r="E157" s="0" t="n">
        <v>48</v>
      </c>
      <c r="F157" s="0" t="s">
        <v>153</v>
      </c>
      <c r="I157" s="0" t="n">
        <v>2474</v>
      </c>
      <c r="J157" s="0" t="n">
        <v>80308</v>
      </c>
      <c r="K157" s="0" t="n">
        <v>1250</v>
      </c>
      <c r="L157" s="0" t="s">
        <v>2552</v>
      </c>
      <c r="N157" s="0" t="n">
        <v>7</v>
      </c>
      <c r="O157" s="0" t="n">
        <v>21</v>
      </c>
      <c r="P157" s="0" t="s">
        <v>2444</v>
      </c>
    </row>
    <row r="158" customFormat="false" ht="15" hidden="false" customHeight="true" outlineLevel="0" collapsed="false">
      <c r="A158" s="0" t="n">
        <v>2</v>
      </c>
      <c r="B158" s="71" t="n">
        <v>46176</v>
      </c>
      <c r="C158" s="0" t="n">
        <v>1</v>
      </c>
      <c r="D158" s="0" t="s">
        <v>2442</v>
      </c>
      <c r="E158" s="0" t="n">
        <v>1723</v>
      </c>
      <c r="F158" s="0" t="s">
        <v>371</v>
      </c>
      <c r="I158" s="0" t="n">
        <v>170938</v>
      </c>
      <c r="J158" s="0" t="n">
        <v>29079</v>
      </c>
      <c r="K158" s="0" t="n">
        <v>55515</v>
      </c>
      <c r="L158" s="0" t="s">
        <v>2449</v>
      </c>
      <c r="N158" s="0" t="n">
        <v>71.9</v>
      </c>
      <c r="O158" s="0" t="n">
        <v>2264.85</v>
      </c>
      <c r="P158" s="0" t="s">
        <v>2444</v>
      </c>
    </row>
    <row r="159" customFormat="false" ht="15" hidden="false" customHeight="true" outlineLevel="0" collapsed="false">
      <c r="A159" s="0" t="n">
        <v>2</v>
      </c>
      <c r="B159" s="71" t="n">
        <v>46176</v>
      </c>
      <c r="C159" s="0" t="n">
        <v>1</v>
      </c>
      <c r="D159" s="0" t="s">
        <v>2442</v>
      </c>
      <c r="E159" s="0" t="n">
        <v>1635</v>
      </c>
      <c r="F159" s="0" t="s">
        <v>128</v>
      </c>
      <c r="I159" s="0" t="n">
        <v>517670</v>
      </c>
      <c r="J159" s="0" t="n">
        <v>27661</v>
      </c>
      <c r="K159" s="0" t="n">
        <v>5410376722362</v>
      </c>
      <c r="L159" s="0" t="s">
        <v>2554</v>
      </c>
      <c r="N159" s="0" t="n">
        <v>25</v>
      </c>
      <c r="O159" s="0" t="n">
        <v>155</v>
      </c>
      <c r="P159" s="0" t="s">
        <v>2444</v>
      </c>
    </row>
    <row r="160" customFormat="false" ht="15" hidden="false" customHeight="true" outlineLevel="0" collapsed="false">
      <c r="A160" s="0" t="n">
        <v>2</v>
      </c>
      <c r="B160" s="71" t="n">
        <v>46176</v>
      </c>
      <c r="C160" s="0" t="n">
        <v>1</v>
      </c>
      <c r="D160" s="0" t="s">
        <v>2442</v>
      </c>
      <c r="E160" s="0" t="n">
        <v>1635</v>
      </c>
      <c r="F160" s="0" t="s">
        <v>128</v>
      </c>
      <c r="I160" s="0" t="n">
        <v>517670</v>
      </c>
      <c r="J160" s="0" t="n">
        <v>31195</v>
      </c>
      <c r="K160" s="0" t="n">
        <v>7898955964750</v>
      </c>
      <c r="L160" s="0" t="s">
        <v>2555</v>
      </c>
      <c r="N160" s="0" t="n">
        <v>20</v>
      </c>
      <c r="O160" s="0" t="n">
        <v>148.22</v>
      </c>
      <c r="P160" s="0" t="s">
        <v>2444</v>
      </c>
    </row>
    <row r="161" customFormat="false" ht="15" hidden="false" customHeight="true" outlineLevel="0" collapsed="false">
      <c r="A161" s="0" t="n">
        <v>2</v>
      </c>
      <c r="B161" s="71" t="n">
        <v>46176</v>
      </c>
      <c r="C161" s="0" t="n">
        <v>1</v>
      </c>
      <c r="D161" s="0" t="s">
        <v>2442</v>
      </c>
      <c r="E161" s="0" t="n">
        <v>1635</v>
      </c>
      <c r="F161" s="0" t="s">
        <v>128</v>
      </c>
      <c r="I161" s="0" t="n">
        <v>517670</v>
      </c>
      <c r="J161" s="0" t="n">
        <v>63124</v>
      </c>
      <c r="K161" s="0" t="n">
        <v>7896328299010</v>
      </c>
      <c r="L161" s="0" t="s">
        <v>2556</v>
      </c>
      <c r="N161" s="0" t="n">
        <v>10</v>
      </c>
      <c r="O161" s="0" t="n">
        <v>128</v>
      </c>
      <c r="P161" s="0" t="s">
        <v>2444</v>
      </c>
    </row>
    <row r="162" customFormat="false" ht="15" hidden="false" customHeight="true" outlineLevel="0" collapsed="false">
      <c r="A162" s="0" t="n">
        <v>2</v>
      </c>
      <c r="B162" s="71" t="n">
        <v>46176</v>
      </c>
      <c r="C162" s="0" t="n">
        <v>1</v>
      </c>
      <c r="D162" s="0" t="s">
        <v>2442</v>
      </c>
      <c r="E162" s="0" t="n">
        <v>1705</v>
      </c>
      <c r="F162" s="0" t="s">
        <v>130</v>
      </c>
      <c r="I162" s="0" t="n">
        <v>1149104</v>
      </c>
      <c r="J162" s="0" t="n">
        <v>102360</v>
      </c>
      <c r="K162" s="0" t="n">
        <v>7894900593709</v>
      </c>
      <c r="L162" s="0" t="s">
        <v>2557</v>
      </c>
      <c r="N162" s="0" t="n">
        <v>60</v>
      </c>
      <c r="O162" s="0" t="n">
        <v>122.1</v>
      </c>
      <c r="P162" s="0" t="s">
        <v>2444</v>
      </c>
    </row>
    <row r="163" customFormat="false" ht="15" hidden="false" customHeight="true" outlineLevel="0" collapsed="false">
      <c r="A163" s="0" t="n">
        <v>2</v>
      </c>
      <c r="B163" s="71" t="n">
        <v>46176</v>
      </c>
      <c r="C163" s="0" t="n">
        <v>1</v>
      </c>
      <c r="D163" s="0" t="s">
        <v>2442</v>
      </c>
      <c r="E163" s="0" t="n">
        <v>1705</v>
      </c>
      <c r="F163" s="0" t="s">
        <v>130</v>
      </c>
      <c r="I163" s="0" t="n">
        <v>1149104</v>
      </c>
      <c r="J163" s="0" t="n">
        <v>102363</v>
      </c>
      <c r="K163" s="0" t="n">
        <v>7894900563702</v>
      </c>
      <c r="L163" s="0" t="s">
        <v>2558</v>
      </c>
      <c r="N163" s="0" t="n">
        <v>24</v>
      </c>
      <c r="O163" s="0" t="n">
        <v>48.84</v>
      </c>
      <c r="P163" s="0" t="s">
        <v>2444</v>
      </c>
    </row>
    <row r="164" customFormat="false" ht="15" hidden="false" customHeight="true" outlineLevel="0" collapsed="false">
      <c r="A164" s="0" t="n">
        <v>2</v>
      </c>
      <c r="B164" s="71" t="n">
        <v>46176</v>
      </c>
      <c r="C164" s="0" t="n">
        <v>1</v>
      </c>
      <c r="D164" s="0" t="s">
        <v>2442</v>
      </c>
      <c r="E164" s="0" t="n">
        <v>1705</v>
      </c>
      <c r="F164" s="0" t="s">
        <v>130</v>
      </c>
      <c r="I164" s="0" t="n">
        <v>1149104</v>
      </c>
      <c r="J164" s="0" t="n">
        <v>103158</v>
      </c>
      <c r="K164" s="0" t="n">
        <v>7894900060010</v>
      </c>
      <c r="L164" s="0" t="s">
        <v>2559</v>
      </c>
      <c r="N164" s="0" t="n">
        <v>6</v>
      </c>
      <c r="O164" s="0" t="n">
        <v>15.63</v>
      </c>
      <c r="P164" s="0" t="s">
        <v>2444</v>
      </c>
    </row>
    <row r="165" customFormat="false" ht="15" hidden="false" customHeight="true" outlineLevel="0" collapsed="false">
      <c r="A165" s="0" t="n">
        <v>2</v>
      </c>
      <c r="B165" s="71" t="n">
        <v>46176</v>
      </c>
      <c r="C165" s="0" t="n">
        <v>1</v>
      </c>
      <c r="D165" s="0" t="s">
        <v>2442</v>
      </c>
      <c r="E165" s="0" t="n">
        <v>1705</v>
      </c>
      <c r="F165" s="0" t="s">
        <v>130</v>
      </c>
      <c r="I165" s="0" t="n">
        <v>1149104</v>
      </c>
      <c r="J165" s="0" t="n">
        <v>104575</v>
      </c>
      <c r="K165" s="0" t="n">
        <v>7898341430098</v>
      </c>
      <c r="L165" s="0" t="s">
        <v>2560</v>
      </c>
      <c r="N165" s="0" t="n">
        <v>6</v>
      </c>
      <c r="O165" s="0" t="n">
        <v>47.37</v>
      </c>
      <c r="P165" s="0" t="s">
        <v>2444</v>
      </c>
    </row>
    <row r="166" customFormat="false" ht="15" hidden="false" customHeight="true" outlineLevel="0" collapsed="false">
      <c r="A166" s="0" t="n">
        <v>2</v>
      </c>
      <c r="B166" s="71" t="n">
        <v>46176</v>
      </c>
      <c r="C166" s="0" t="n">
        <v>1</v>
      </c>
      <c r="D166" s="0" t="s">
        <v>2442</v>
      </c>
      <c r="E166" s="0" t="n">
        <v>1705</v>
      </c>
      <c r="F166" s="0" t="s">
        <v>130</v>
      </c>
      <c r="I166" s="0" t="n">
        <v>1149104</v>
      </c>
      <c r="J166" s="0" t="n">
        <v>104576</v>
      </c>
      <c r="K166" s="0" t="n">
        <v>7898341430111</v>
      </c>
      <c r="L166" s="0" t="s">
        <v>2561</v>
      </c>
      <c r="N166" s="0" t="n">
        <v>6</v>
      </c>
      <c r="O166" s="0" t="n">
        <v>47.37</v>
      </c>
      <c r="P166" s="0" t="s">
        <v>2444</v>
      </c>
    </row>
    <row r="167" customFormat="false" ht="15" hidden="false" customHeight="true" outlineLevel="0" collapsed="false">
      <c r="A167" s="0" t="n">
        <v>2</v>
      </c>
      <c r="B167" s="71" t="n">
        <v>46176</v>
      </c>
      <c r="C167" s="0" t="n">
        <v>1</v>
      </c>
      <c r="D167" s="0" t="s">
        <v>2442</v>
      </c>
      <c r="E167" s="0" t="n">
        <v>1705</v>
      </c>
      <c r="F167" s="0" t="s">
        <v>130</v>
      </c>
      <c r="I167" s="0" t="n">
        <v>1149104</v>
      </c>
      <c r="J167" s="0" t="n">
        <v>25136</v>
      </c>
      <c r="K167" s="0" t="n">
        <v>70847022206</v>
      </c>
      <c r="L167" s="0" t="s">
        <v>2463</v>
      </c>
      <c r="N167" s="0" t="n">
        <v>6</v>
      </c>
      <c r="O167" s="0" t="n">
        <v>50.85</v>
      </c>
      <c r="P167" s="0" t="s">
        <v>2444</v>
      </c>
    </row>
    <row r="168" customFormat="false" ht="15" hidden="false" customHeight="true" outlineLevel="0" collapsed="false">
      <c r="A168" s="0" t="n">
        <v>2</v>
      </c>
      <c r="B168" s="71" t="n">
        <v>46176</v>
      </c>
      <c r="C168" s="0" t="n">
        <v>1</v>
      </c>
      <c r="D168" s="0" t="s">
        <v>2442</v>
      </c>
      <c r="E168" s="0" t="n">
        <v>1705</v>
      </c>
      <c r="F168" s="0" t="s">
        <v>130</v>
      </c>
      <c r="I168" s="0" t="n">
        <v>1149104</v>
      </c>
      <c r="J168" s="0" t="n">
        <v>29748</v>
      </c>
      <c r="K168" s="0" t="n">
        <v>70847033301</v>
      </c>
      <c r="L168" s="0" t="s">
        <v>2562</v>
      </c>
      <c r="N168" s="0" t="n">
        <v>6</v>
      </c>
      <c r="O168" s="0" t="n">
        <v>50.85</v>
      </c>
      <c r="P168" s="0" t="s">
        <v>2444</v>
      </c>
    </row>
    <row r="169" customFormat="false" ht="15" hidden="false" customHeight="true" outlineLevel="0" collapsed="false">
      <c r="A169" s="0" t="n">
        <v>2</v>
      </c>
      <c r="B169" s="71" t="n">
        <v>46176</v>
      </c>
      <c r="C169" s="0" t="n">
        <v>1</v>
      </c>
      <c r="D169" s="0" t="s">
        <v>2442</v>
      </c>
      <c r="E169" s="0" t="n">
        <v>1705</v>
      </c>
      <c r="F169" s="0" t="s">
        <v>130</v>
      </c>
      <c r="I169" s="0" t="n">
        <v>1149104</v>
      </c>
      <c r="J169" s="0" t="n">
        <v>29749</v>
      </c>
      <c r="K169" s="0" t="n">
        <v>70847033929</v>
      </c>
      <c r="L169" s="0" t="s">
        <v>2563</v>
      </c>
      <c r="N169" s="0" t="n">
        <v>6</v>
      </c>
      <c r="O169" s="0" t="n">
        <v>50.85</v>
      </c>
      <c r="P169" s="0" t="s">
        <v>2444</v>
      </c>
    </row>
    <row r="170" customFormat="false" ht="15" hidden="false" customHeight="true" outlineLevel="0" collapsed="false">
      <c r="A170" s="0" t="n">
        <v>2</v>
      </c>
      <c r="B170" s="71" t="n">
        <v>46176</v>
      </c>
      <c r="C170" s="0" t="n">
        <v>1</v>
      </c>
      <c r="D170" s="0" t="s">
        <v>2442</v>
      </c>
      <c r="E170" s="0" t="n">
        <v>1705</v>
      </c>
      <c r="F170" s="0" t="s">
        <v>130</v>
      </c>
      <c r="I170" s="0" t="n">
        <v>1149104</v>
      </c>
      <c r="J170" s="0" t="n">
        <v>35357</v>
      </c>
      <c r="K170" s="0" t="n">
        <v>7894900681017</v>
      </c>
      <c r="L170" s="0" t="s">
        <v>2564</v>
      </c>
      <c r="N170" s="0" t="n">
        <v>6</v>
      </c>
      <c r="O170" s="0" t="n">
        <v>16.61</v>
      </c>
      <c r="P170" s="0" t="s">
        <v>2444</v>
      </c>
    </row>
    <row r="171" customFormat="false" ht="15" hidden="false" customHeight="true" outlineLevel="0" collapsed="false">
      <c r="A171" s="0" t="n">
        <v>2</v>
      </c>
      <c r="B171" s="71" t="n">
        <v>46176</v>
      </c>
      <c r="C171" s="0" t="n">
        <v>1</v>
      </c>
      <c r="D171" s="0" t="s">
        <v>2442</v>
      </c>
      <c r="E171" s="0" t="n">
        <v>1705</v>
      </c>
      <c r="F171" s="0" t="s">
        <v>130</v>
      </c>
      <c r="I171" s="0" t="n">
        <v>1149104</v>
      </c>
      <c r="J171" s="0" t="n">
        <v>47082</v>
      </c>
      <c r="K171" s="0" t="n">
        <v>1220000250031</v>
      </c>
      <c r="L171" s="0" t="s">
        <v>2565</v>
      </c>
      <c r="N171" s="0" t="n">
        <v>6</v>
      </c>
      <c r="O171" s="0" t="n">
        <v>50.85</v>
      </c>
      <c r="P171" s="0" t="s">
        <v>2444</v>
      </c>
    </row>
    <row r="172" customFormat="false" ht="15" hidden="false" customHeight="true" outlineLevel="0" collapsed="false">
      <c r="A172" s="0" t="n">
        <v>2</v>
      </c>
      <c r="B172" s="71" t="n">
        <v>46176</v>
      </c>
      <c r="C172" s="0" t="n">
        <v>1</v>
      </c>
      <c r="D172" s="0" t="s">
        <v>2442</v>
      </c>
      <c r="E172" s="0" t="n">
        <v>1705</v>
      </c>
      <c r="F172" s="0" t="s">
        <v>130</v>
      </c>
      <c r="I172" s="0" t="n">
        <v>1149104</v>
      </c>
      <c r="J172" s="0" t="n">
        <v>62343</v>
      </c>
      <c r="K172" s="0" t="n">
        <v>7898938890045</v>
      </c>
      <c r="L172" s="0" t="s">
        <v>2566</v>
      </c>
      <c r="N172" s="0" t="n">
        <v>6</v>
      </c>
      <c r="O172" s="0" t="n">
        <v>50.85</v>
      </c>
      <c r="P172" s="0" t="s">
        <v>2444</v>
      </c>
    </row>
    <row r="173" customFormat="false" ht="15" hidden="false" customHeight="true" outlineLevel="0" collapsed="false">
      <c r="A173" s="0" t="n">
        <v>2</v>
      </c>
      <c r="B173" s="71" t="n">
        <v>46176</v>
      </c>
      <c r="C173" s="0" t="n">
        <v>1</v>
      </c>
      <c r="D173" s="0" t="s">
        <v>2442</v>
      </c>
      <c r="E173" s="0" t="n">
        <v>1705</v>
      </c>
      <c r="F173" s="0" t="s">
        <v>130</v>
      </c>
      <c r="I173" s="0" t="n">
        <v>1863917</v>
      </c>
      <c r="J173" s="0" t="n">
        <v>103146</v>
      </c>
      <c r="K173" s="0" t="n">
        <v>7894900031515</v>
      </c>
      <c r="L173" s="0" t="s">
        <v>2567</v>
      </c>
      <c r="N173" s="0" t="n">
        <v>30</v>
      </c>
      <c r="O173" s="0" t="n">
        <v>224.97</v>
      </c>
      <c r="P173" s="0" t="s">
        <v>2444</v>
      </c>
    </row>
    <row r="174" customFormat="false" ht="15" hidden="false" customHeight="true" outlineLevel="0" collapsed="false">
      <c r="A174" s="0" t="n">
        <v>2</v>
      </c>
      <c r="B174" s="71" t="n">
        <v>46176</v>
      </c>
      <c r="C174" s="0" t="n">
        <v>1</v>
      </c>
      <c r="D174" s="0" t="s">
        <v>2442</v>
      </c>
      <c r="E174" s="0" t="n">
        <v>1705</v>
      </c>
      <c r="F174" s="0" t="s">
        <v>130</v>
      </c>
      <c r="I174" s="0" t="n">
        <v>1863917</v>
      </c>
      <c r="J174" s="0" t="n">
        <v>103160</v>
      </c>
      <c r="K174" s="0" t="n">
        <v>7894900030013</v>
      </c>
      <c r="L174" s="0" t="s">
        <v>2568</v>
      </c>
      <c r="N174" s="0" t="n">
        <v>12</v>
      </c>
      <c r="O174" s="0" t="n">
        <v>33.21</v>
      </c>
      <c r="P174" s="0" t="s">
        <v>2444</v>
      </c>
    </row>
    <row r="175" customFormat="false" ht="15" hidden="false" customHeight="true" outlineLevel="0" collapsed="false">
      <c r="A175" s="0" t="n">
        <v>2</v>
      </c>
      <c r="B175" s="71" t="n">
        <v>46176</v>
      </c>
      <c r="C175" s="0" t="n">
        <v>1</v>
      </c>
      <c r="D175" s="0" t="s">
        <v>2442</v>
      </c>
      <c r="E175" s="0" t="n">
        <v>1705</v>
      </c>
      <c r="F175" s="0" t="s">
        <v>130</v>
      </c>
      <c r="I175" s="0" t="n">
        <v>1863917</v>
      </c>
      <c r="J175" s="0" t="n">
        <v>103161</v>
      </c>
      <c r="K175" s="0" t="n">
        <v>7894900010015</v>
      </c>
      <c r="L175" s="0" t="s">
        <v>2569</v>
      </c>
      <c r="N175" s="0" t="n">
        <v>24</v>
      </c>
      <c r="O175" s="0" t="n">
        <v>76.19</v>
      </c>
      <c r="P175" s="0" t="s">
        <v>2444</v>
      </c>
    </row>
    <row r="176" customFormat="false" ht="15" hidden="false" customHeight="true" outlineLevel="0" collapsed="false">
      <c r="A176" s="0" t="n">
        <v>2</v>
      </c>
      <c r="B176" s="71" t="n">
        <v>46176</v>
      </c>
      <c r="C176" s="0" t="n">
        <v>1</v>
      </c>
      <c r="D176" s="0" t="s">
        <v>2442</v>
      </c>
      <c r="E176" s="0" t="n">
        <v>1705</v>
      </c>
      <c r="F176" s="0" t="s">
        <v>130</v>
      </c>
      <c r="I176" s="0" t="n">
        <v>1863917</v>
      </c>
      <c r="J176" s="0" t="n">
        <v>105323</v>
      </c>
      <c r="K176" s="0" t="n">
        <v>7894900701753</v>
      </c>
      <c r="L176" s="0" t="s">
        <v>2570</v>
      </c>
      <c r="N176" s="0" t="n">
        <v>30</v>
      </c>
      <c r="O176" s="0" t="n">
        <v>177.35</v>
      </c>
      <c r="P176" s="0" t="s">
        <v>2444</v>
      </c>
    </row>
    <row r="177" customFormat="false" ht="15" hidden="false" customHeight="true" outlineLevel="0" collapsed="false">
      <c r="A177" s="0" t="n">
        <v>2</v>
      </c>
      <c r="B177" s="71" t="n">
        <v>46176</v>
      </c>
      <c r="C177" s="0" t="n">
        <v>1</v>
      </c>
      <c r="D177" s="0" t="s">
        <v>2442</v>
      </c>
      <c r="E177" s="0" t="n">
        <v>1705</v>
      </c>
      <c r="F177" s="0" t="s">
        <v>130</v>
      </c>
      <c r="I177" s="0" t="n">
        <v>1863917</v>
      </c>
      <c r="J177" s="0" t="n">
        <v>105631</v>
      </c>
      <c r="K177" s="0" t="n">
        <v>7894900011609</v>
      </c>
      <c r="L177" s="0" t="s">
        <v>2571</v>
      </c>
      <c r="N177" s="0" t="n">
        <v>24</v>
      </c>
      <c r="O177" s="0" t="n">
        <v>88.4</v>
      </c>
      <c r="P177" s="0" t="s">
        <v>2444</v>
      </c>
    </row>
    <row r="178" customFormat="false" ht="15" hidden="false" customHeight="true" outlineLevel="0" collapsed="false">
      <c r="A178" s="0" t="n">
        <v>2</v>
      </c>
      <c r="B178" s="71" t="n">
        <v>46176</v>
      </c>
      <c r="C178" s="0" t="n">
        <v>1</v>
      </c>
      <c r="D178" s="0" t="s">
        <v>2442</v>
      </c>
      <c r="E178" s="0" t="n">
        <v>1705</v>
      </c>
      <c r="F178" s="0" t="s">
        <v>130</v>
      </c>
      <c r="I178" s="0" t="n">
        <v>1863917</v>
      </c>
      <c r="J178" s="0" t="n">
        <v>107100</v>
      </c>
      <c r="K178" s="0" t="n">
        <v>7894900700015</v>
      </c>
      <c r="L178" s="0" t="s">
        <v>2572</v>
      </c>
      <c r="N178" s="0" t="n">
        <v>12</v>
      </c>
      <c r="O178" s="0" t="n">
        <v>37.12</v>
      </c>
      <c r="P178" s="0" t="s">
        <v>2444</v>
      </c>
    </row>
    <row r="179" customFormat="false" ht="15" hidden="false" customHeight="true" outlineLevel="0" collapsed="false">
      <c r="A179" s="0" t="n">
        <v>2</v>
      </c>
      <c r="B179" s="71" t="n">
        <v>46176</v>
      </c>
      <c r="C179" s="0" t="n">
        <v>1</v>
      </c>
      <c r="D179" s="0" t="s">
        <v>2442</v>
      </c>
      <c r="E179" s="0" t="n">
        <v>1705</v>
      </c>
      <c r="F179" s="0" t="s">
        <v>130</v>
      </c>
      <c r="I179" s="0" t="n">
        <v>1863917</v>
      </c>
      <c r="J179" s="0" t="n">
        <v>10830</v>
      </c>
      <c r="K179" s="0" t="n">
        <v>7894900701517</v>
      </c>
      <c r="L179" s="0" t="s">
        <v>2573</v>
      </c>
      <c r="N179" s="0" t="n">
        <v>6</v>
      </c>
      <c r="O179" s="0" t="n">
        <v>51.28</v>
      </c>
      <c r="P179" s="0" t="s">
        <v>2444</v>
      </c>
    </row>
    <row r="180" customFormat="false" ht="15" hidden="false" customHeight="true" outlineLevel="0" collapsed="false">
      <c r="A180" s="0" t="n">
        <v>2</v>
      </c>
      <c r="B180" s="71" t="n">
        <v>46176</v>
      </c>
      <c r="C180" s="0" t="n">
        <v>1</v>
      </c>
      <c r="D180" s="0" t="s">
        <v>2442</v>
      </c>
      <c r="E180" s="0" t="n">
        <v>1705</v>
      </c>
      <c r="F180" s="0" t="s">
        <v>130</v>
      </c>
      <c r="I180" s="0" t="n">
        <v>1863917</v>
      </c>
      <c r="J180" s="0" t="n">
        <v>21426</v>
      </c>
      <c r="K180" s="0" t="n">
        <v>7894900014211</v>
      </c>
      <c r="L180" s="0" t="s">
        <v>2470</v>
      </c>
      <c r="N180" s="0" t="n">
        <v>9</v>
      </c>
      <c r="O180" s="0" t="n">
        <v>59.89</v>
      </c>
      <c r="P180" s="0" t="s">
        <v>2444</v>
      </c>
    </row>
    <row r="181" customFormat="false" ht="15" hidden="false" customHeight="true" outlineLevel="0" collapsed="false">
      <c r="A181" s="0" t="n">
        <v>2</v>
      </c>
      <c r="B181" s="71" t="n">
        <v>46176</v>
      </c>
      <c r="C181" s="0" t="n">
        <v>1</v>
      </c>
      <c r="D181" s="0" t="s">
        <v>2442</v>
      </c>
      <c r="E181" s="0" t="n">
        <v>1705</v>
      </c>
      <c r="F181" s="0" t="s">
        <v>130</v>
      </c>
      <c r="I181" s="0" t="n">
        <v>1863917</v>
      </c>
      <c r="J181" s="0" t="n">
        <v>29826</v>
      </c>
      <c r="K181" s="0" t="n">
        <v>7894900556032</v>
      </c>
      <c r="L181" s="0" t="s">
        <v>2574</v>
      </c>
      <c r="N181" s="0" t="n">
        <v>6</v>
      </c>
      <c r="O181" s="0" t="n">
        <v>29.85</v>
      </c>
      <c r="P181" s="0" t="s">
        <v>2444</v>
      </c>
    </row>
    <row r="182" customFormat="false" ht="15" hidden="false" customHeight="true" outlineLevel="0" collapsed="false">
      <c r="A182" s="0" t="n">
        <v>2</v>
      </c>
      <c r="B182" s="71" t="n">
        <v>46176</v>
      </c>
      <c r="C182" s="0" t="n">
        <v>1</v>
      </c>
      <c r="D182" s="0" t="s">
        <v>2442</v>
      </c>
      <c r="E182" s="0" t="n">
        <v>1705</v>
      </c>
      <c r="F182" s="0" t="s">
        <v>130</v>
      </c>
      <c r="I182" s="0" t="n">
        <v>1863917</v>
      </c>
      <c r="J182" s="0" t="n">
        <v>37279</v>
      </c>
      <c r="K182" s="0" t="n">
        <v>7894900027013</v>
      </c>
      <c r="L182" s="0" t="s">
        <v>2575</v>
      </c>
      <c r="N182" s="0" t="n">
        <v>6</v>
      </c>
      <c r="O182" s="0" t="n">
        <v>52.87</v>
      </c>
      <c r="P182" s="0" t="s">
        <v>2444</v>
      </c>
    </row>
    <row r="183" customFormat="false" ht="15" hidden="false" customHeight="true" outlineLevel="0" collapsed="false">
      <c r="A183" s="0" t="n">
        <v>2</v>
      </c>
      <c r="B183" s="71" t="n">
        <v>46176</v>
      </c>
      <c r="C183" s="0" t="n">
        <v>1</v>
      </c>
      <c r="D183" s="0" t="s">
        <v>2442</v>
      </c>
      <c r="E183" s="0" t="n">
        <v>1705</v>
      </c>
      <c r="F183" s="0" t="s">
        <v>130</v>
      </c>
      <c r="I183" s="0" t="n">
        <v>1863917</v>
      </c>
      <c r="J183" s="0" t="n">
        <v>38060</v>
      </c>
      <c r="K183" s="0" t="n">
        <v>7894900701609</v>
      </c>
      <c r="L183" s="0" t="s">
        <v>2576</v>
      </c>
      <c r="N183" s="0" t="n">
        <v>24</v>
      </c>
      <c r="O183" s="0" t="n">
        <v>82.05</v>
      </c>
      <c r="P183" s="0" t="s">
        <v>2444</v>
      </c>
    </row>
    <row r="184" customFormat="false" ht="15" hidden="false" customHeight="true" outlineLevel="0" collapsed="false">
      <c r="A184" s="0" t="n">
        <v>2</v>
      </c>
      <c r="B184" s="71" t="n">
        <v>46176</v>
      </c>
      <c r="C184" s="0" t="n">
        <v>1</v>
      </c>
      <c r="D184" s="0" t="s">
        <v>2442</v>
      </c>
      <c r="E184" s="0" t="n">
        <v>1705</v>
      </c>
      <c r="F184" s="0" t="s">
        <v>130</v>
      </c>
      <c r="I184" s="0" t="n">
        <v>1863917</v>
      </c>
      <c r="J184" s="0" t="n">
        <v>47954</v>
      </c>
      <c r="K184" s="0" t="n">
        <v>7894900666519</v>
      </c>
      <c r="L184" s="0" t="s">
        <v>2577</v>
      </c>
      <c r="N184" s="0" t="n">
        <v>6</v>
      </c>
      <c r="O184" s="0" t="n">
        <v>29.85</v>
      </c>
      <c r="P184" s="0" t="s">
        <v>2444</v>
      </c>
    </row>
    <row r="185" customFormat="false" ht="15" hidden="false" customHeight="true" outlineLevel="0" collapsed="false">
      <c r="A185" s="0" t="n">
        <v>2</v>
      </c>
      <c r="B185" s="71" t="n">
        <v>46176</v>
      </c>
      <c r="C185" s="0" t="n">
        <v>1</v>
      </c>
      <c r="D185" s="0" t="s">
        <v>2442</v>
      </c>
      <c r="E185" s="0" t="n">
        <v>1705</v>
      </c>
      <c r="F185" s="0" t="s">
        <v>130</v>
      </c>
      <c r="I185" s="0" t="n">
        <v>1863917</v>
      </c>
      <c r="J185" s="0" t="n">
        <v>64292</v>
      </c>
      <c r="K185" s="0" t="n">
        <v>78938588</v>
      </c>
      <c r="L185" s="0" t="s">
        <v>2578</v>
      </c>
      <c r="N185" s="0" t="n">
        <v>6</v>
      </c>
      <c r="O185" s="0" t="n">
        <v>10.44</v>
      </c>
      <c r="P185" s="0" t="s">
        <v>2444</v>
      </c>
    </row>
    <row r="186" customFormat="false" ht="15" hidden="false" customHeight="true" outlineLevel="0" collapsed="false">
      <c r="A186" s="0" t="n">
        <v>2</v>
      </c>
      <c r="B186" s="71" t="n">
        <v>46176</v>
      </c>
      <c r="C186" s="0" t="n">
        <v>11</v>
      </c>
      <c r="D186" s="0" t="s">
        <v>2471</v>
      </c>
      <c r="E186" s="0" t="n">
        <v>581</v>
      </c>
      <c r="F186" s="0" t="s">
        <v>147</v>
      </c>
      <c r="I186" s="0" t="n">
        <v>30795</v>
      </c>
      <c r="J186" s="0" t="n">
        <v>48008</v>
      </c>
      <c r="K186" s="0" t="n">
        <v>798190027999</v>
      </c>
      <c r="L186" s="0" t="s">
        <v>2579</v>
      </c>
      <c r="N186" s="0" t="n">
        <v>20</v>
      </c>
      <c r="O186" s="0" t="n">
        <v>130</v>
      </c>
      <c r="P186" s="0" t="s">
        <v>2444</v>
      </c>
    </row>
    <row r="187" customFormat="false" ht="15" hidden="false" customHeight="true" outlineLevel="0" collapsed="false">
      <c r="A187" s="0" t="n">
        <v>2</v>
      </c>
      <c r="B187" s="71" t="n">
        <v>46176</v>
      </c>
      <c r="C187" s="0" t="n">
        <v>11</v>
      </c>
      <c r="D187" s="0" t="s">
        <v>2471</v>
      </c>
      <c r="E187" s="0" t="n">
        <v>581</v>
      </c>
      <c r="F187" s="0" t="s">
        <v>147</v>
      </c>
      <c r="I187" s="0" t="n">
        <v>30795</v>
      </c>
      <c r="J187" s="0" t="n">
        <v>48009</v>
      </c>
      <c r="K187" s="0" t="n">
        <v>798190028002</v>
      </c>
      <c r="L187" s="0" t="s">
        <v>2580</v>
      </c>
      <c r="N187" s="0" t="n">
        <v>20</v>
      </c>
      <c r="O187" s="0" t="n">
        <v>69</v>
      </c>
      <c r="P187" s="0" t="s">
        <v>2444</v>
      </c>
    </row>
    <row r="188" customFormat="false" ht="15" hidden="false" customHeight="true" outlineLevel="0" collapsed="false">
      <c r="A188" s="0" t="n">
        <v>2</v>
      </c>
      <c r="B188" s="71" t="n">
        <v>46176</v>
      </c>
      <c r="C188" s="0" t="n">
        <v>11</v>
      </c>
      <c r="D188" s="0" t="s">
        <v>2471</v>
      </c>
      <c r="E188" s="0" t="n">
        <v>1705</v>
      </c>
      <c r="F188" s="0" t="s">
        <v>130</v>
      </c>
      <c r="I188" s="0" t="n">
        <v>1862359</v>
      </c>
      <c r="J188" s="0" t="n">
        <v>103142</v>
      </c>
      <c r="K188" s="0" t="n">
        <v>7894900011753</v>
      </c>
      <c r="L188" s="0" t="s">
        <v>2581</v>
      </c>
      <c r="N188" s="0" t="n">
        <v>30</v>
      </c>
      <c r="O188" s="0" t="n">
        <v>182.54</v>
      </c>
      <c r="P188" s="0" t="s">
        <v>2444</v>
      </c>
    </row>
    <row r="189" customFormat="false" ht="15" hidden="false" customHeight="true" outlineLevel="0" collapsed="false">
      <c r="A189" s="0" t="n">
        <v>2</v>
      </c>
      <c r="B189" s="71" t="n">
        <v>46176</v>
      </c>
      <c r="C189" s="0" t="n">
        <v>22</v>
      </c>
      <c r="D189" s="0" t="s">
        <v>2479</v>
      </c>
      <c r="E189" s="0" t="n">
        <v>48</v>
      </c>
      <c r="F189" s="0" t="s">
        <v>153</v>
      </c>
      <c r="I189" s="0" t="n">
        <v>2476</v>
      </c>
      <c r="J189" s="0" t="n">
        <v>100000</v>
      </c>
      <c r="K189" s="0" t="n">
        <v>1</v>
      </c>
      <c r="L189" s="0" t="s">
        <v>2480</v>
      </c>
      <c r="N189" s="0" t="n">
        <v>3.218</v>
      </c>
      <c r="O189" s="0" t="n">
        <v>62.35</v>
      </c>
      <c r="P189" s="0" t="s">
        <v>2444</v>
      </c>
    </row>
    <row r="190" customFormat="false" ht="15" hidden="false" customHeight="true" outlineLevel="0" collapsed="false">
      <c r="A190" s="0" t="n">
        <v>2</v>
      </c>
      <c r="B190" s="71" t="n">
        <v>46176</v>
      </c>
      <c r="C190" s="0" t="n">
        <v>22</v>
      </c>
      <c r="D190" s="0" t="s">
        <v>2479</v>
      </c>
      <c r="E190" s="0" t="n">
        <v>48</v>
      </c>
      <c r="F190" s="0" t="s">
        <v>153</v>
      </c>
      <c r="I190" s="0" t="n">
        <v>2476</v>
      </c>
      <c r="J190" s="0" t="n">
        <v>100006</v>
      </c>
      <c r="K190" s="0" t="n">
        <v>7</v>
      </c>
      <c r="L190" s="0" t="s">
        <v>2485</v>
      </c>
      <c r="N190" s="0" t="n">
        <v>2.32</v>
      </c>
      <c r="O190" s="0" t="n">
        <v>63.69</v>
      </c>
      <c r="P190" s="0" t="s">
        <v>2444</v>
      </c>
    </row>
    <row r="191" customFormat="false" ht="15" hidden="false" customHeight="true" outlineLevel="0" collapsed="false">
      <c r="A191" s="0" t="n">
        <v>2</v>
      </c>
      <c r="B191" s="71" t="n">
        <v>46176</v>
      </c>
      <c r="C191" s="0" t="n">
        <v>22</v>
      </c>
      <c r="D191" s="0" t="s">
        <v>2479</v>
      </c>
      <c r="E191" s="0" t="n">
        <v>48</v>
      </c>
      <c r="F191" s="0" t="s">
        <v>153</v>
      </c>
      <c r="I191" s="0" t="n">
        <v>2476</v>
      </c>
      <c r="J191" s="0" t="n">
        <v>100007</v>
      </c>
      <c r="K191" s="0" t="n">
        <v>8</v>
      </c>
      <c r="L191" s="0" t="s">
        <v>2486</v>
      </c>
      <c r="N191" s="0" t="n">
        <v>2.324</v>
      </c>
      <c r="O191" s="0" t="n">
        <v>56.29</v>
      </c>
      <c r="P191" s="0" t="s">
        <v>2444</v>
      </c>
    </row>
    <row r="192" customFormat="false" ht="15" hidden="false" customHeight="true" outlineLevel="0" collapsed="false">
      <c r="A192" s="0" t="n">
        <v>2</v>
      </c>
      <c r="B192" s="71" t="n">
        <v>46176</v>
      </c>
      <c r="C192" s="0" t="n">
        <v>22</v>
      </c>
      <c r="D192" s="0" t="s">
        <v>2479</v>
      </c>
      <c r="E192" s="0" t="n">
        <v>48</v>
      </c>
      <c r="F192" s="0" t="s">
        <v>153</v>
      </c>
      <c r="I192" s="0" t="n">
        <v>2476</v>
      </c>
      <c r="J192" s="0" t="n">
        <v>100008</v>
      </c>
      <c r="K192" s="0" t="n">
        <v>9</v>
      </c>
      <c r="L192" s="0" t="s">
        <v>2487</v>
      </c>
      <c r="N192" s="0" t="n">
        <v>15.06</v>
      </c>
      <c r="O192" s="0" t="n">
        <v>474.25</v>
      </c>
      <c r="P192" s="0" t="s">
        <v>2444</v>
      </c>
    </row>
    <row r="193" customFormat="false" ht="15" hidden="false" customHeight="true" outlineLevel="0" collapsed="false">
      <c r="A193" s="0" t="n">
        <v>2</v>
      </c>
      <c r="B193" s="71" t="n">
        <v>46176</v>
      </c>
      <c r="C193" s="0" t="n">
        <v>22</v>
      </c>
      <c r="D193" s="0" t="s">
        <v>2479</v>
      </c>
      <c r="E193" s="0" t="n">
        <v>48</v>
      </c>
      <c r="F193" s="0" t="s">
        <v>153</v>
      </c>
      <c r="I193" s="0" t="n">
        <v>2476</v>
      </c>
      <c r="J193" s="0" t="n">
        <v>100011</v>
      </c>
      <c r="K193" s="0" t="n">
        <v>12</v>
      </c>
      <c r="L193" s="0" t="s">
        <v>2488</v>
      </c>
      <c r="N193" s="0" t="n">
        <v>9.465</v>
      </c>
      <c r="O193" s="0" t="n">
        <v>336.28</v>
      </c>
      <c r="P193" s="0" t="s">
        <v>2444</v>
      </c>
    </row>
    <row r="194" customFormat="false" ht="15" hidden="false" customHeight="true" outlineLevel="0" collapsed="false">
      <c r="A194" s="0" t="n">
        <v>2</v>
      </c>
      <c r="B194" s="71" t="n">
        <v>46176</v>
      </c>
      <c r="C194" s="0" t="n">
        <v>22</v>
      </c>
      <c r="D194" s="0" t="s">
        <v>2479</v>
      </c>
      <c r="E194" s="0" t="n">
        <v>48</v>
      </c>
      <c r="F194" s="0" t="s">
        <v>153</v>
      </c>
      <c r="I194" s="0" t="n">
        <v>2476</v>
      </c>
      <c r="J194" s="0" t="n">
        <v>100012</v>
      </c>
      <c r="K194" s="0" t="n">
        <v>13</v>
      </c>
      <c r="L194" s="0" t="s">
        <v>2489</v>
      </c>
      <c r="N194" s="0" t="n">
        <v>6.18</v>
      </c>
      <c r="O194" s="0" t="n">
        <v>249.52</v>
      </c>
      <c r="P194" s="0" t="s">
        <v>2444</v>
      </c>
    </row>
    <row r="195" customFormat="false" ht="15" hidden="false" customHeight="true" outlineLevel="0" collapsed="false">
      <c r="A195" s="0" t="n">
        <v>2</v>
      </c>
      <c r="B195" s="71" t="n">
        <v>46176</v>
      </c>
      <c r="C195" s="0" t="n">
        <v>22</v>
      </c>
      <c r="D195" s="0" t="s">
        <v>2479</v>
      </c>
      <c r="E195" s="0" t="n">
        <v>48</v>
      </c>
      <c r="F195" s="0" t="s">
        <v>153</v>
      </c>
      <c r="I195" s="0" t="n">
        <v>2476</v>
      </c>
      <c r="J195" s="0" t="n">
        <v>100013</v>
      </c>
      <c r="K195" s="0" t="n">
        <v>14</v>
      </c>
      <c r="L195" s="0" t="s">
        <v>2490</v>
      </c>
      <c r="N195" s="0" t="n">
        <v>10.955</v>
      </c>
      <c r="O195" s="0" t="n">
        <v>468.85</v>
      </c>
      <c r="P195" s="0" t="s">
        <v>2444</v>
      </c>
    </row>
    <row r="196" customFormat="false" ht="15" hidden="false" customHeight="true" outlineLevel="0" collapsed="false">
      <c r="A196" s="0" t="n">
        <v>2</v>
      </c>
      <c r="B196" s="71" t="n">
        <v>46176</v>
      </c>
      <c r="C196" s="0" t="n">
        <v>22</v>
      </c>
      <c r="D196" s="0" t="s">
        <v>2479</v>
      </c>
      <c r="E196" s="0" t="n">
        <v>48</v>
      </c>
      <c r="F196" s="0" t="s">
        <v>153</v>
      </c>
      <c r="I196" s="0" t="n">
        <v>2476</v>
      </c>
      <c r="J196" s="0" t="n">
        <v>100014</v>
      </c>
      <c r="K196" s="0" t="n">
        <v>15</v>
      </c>
      <c r="L196" s="0" t="s">
        <v>2491</v>
      </c>
      <c r="N196" s="0" t="n">
        <v>4.894</v>
      </c>
      <c r="O196" s="0" t="n">
        <v>213.41</v>
      </c>
      <c r="P196" s="0" t="s">
        <v>2444</v>
      </c>
    </row>
    <row r="197" customFormat="false" ht="15" hidden="false" customHeight="true" outlineLevel="0" collapsed="false">
      <c r="A197" s="0" t="n">
        <v>2</v>
      </c>
      <c r="B197" s="71" t="n">
        <v>46176</v>
      </c>
      <c r="C197" s="0" t="n">
        <v>22</v>
      </c>
      <c r="D197" s="0" t="s">
        <v>2479</v>
      </c>
      <c r="E197" s="0" t="n">
        <v>48</v>
      </c>
      <c r="F197" s="0" t="s">
        <v>153</v>
      </c>
      <c r="I197" s="0" t="n">
        <v>2476</v>
      </c>
      <c r="J197" s="0" t="n">
        <v>100015</v>
      </c>
      <c r="K197" s="0" t="n">
        <v>16</v>
      </c>
      <c r="L197" s="0" t="s">
        <v>2492</v>
      </c>
      <c r="N197" s="0" t="n">
        <v>1.824</v>
      </c>
      <c r="O197" s="0" t="n">
        <v>70.7</v>
      </c>
      <c r="P197" s="0" t="s">
        <v>2444</v>
      </c>
    </row>
    <row r="198" customFormat="false" ht="15" hidden="false" customHeight="true" outlineLevel="0" collapsed="false">
      <c r="A198" s="0" t="n">
        <v>2</v>
      </c>
      <c r="B198" s="71" t="n">
        <v>46176</v>
      </c>
      <c r="C198" s="0" t="n">
        <v>22</v>
      </c>
      <c r="D198" s="0" t="s">
        <v>2479</v>
      </c>
      <c r="E198" s="0" t="n">
        <v>48</v>
      </c>
      <c r="F198" s="0" t="s">
        <v>153</v>
      </c>
      <c r="I198" s="0" t="n">
        <v>2476</v>
      </c>
      <c r="J198" s="0" t="n">
        <v>100016</v>
      </c>
      <c r="K198" s="0" t="n">
        <v>17</v>
      </c>
      <c r="L198" s="0" t="s">
        <v>2493</v>
      </c>
      <c r="N198" s="0" t="n">
        <v>1.762</v>
      </c>
      <c r="O198" s="0" t="n">
        <v>85.37</v>
      </c>
      <c r="P198" s="0" t="s">
        <v>2444</v>
      </c>
    </row>
    <row r="199" customFormat="false" ht="15" hidden="false" customHeight="true" outlineLevel="0" collapsed="false">
      <c r="A199" s="0" t="n">
        <v>2</v>
      </c>
      <c r="B199" s="71" t="n">
        <v>46176</v>
      </c>
      <c r="C199" s="0" t="n">
        <v>22</v>
      </c>
      <c r="D199" s="0" t="s">
        <v>2479</v>
      </c>
      <c r="E199" s="0" t="n">
        <v>48</v>
      </c>
      <c r="F199" s="0" t="s">
        <v>153</v>
      </c>
      <c r="I199" s="0" t="n">
        <v>2476</v>
      </c>
      <c r="J199" s="0" t="n">
        <v>100017</v>
      </c>
      <c r="K199" s="0" t="n">
        <v>18</v>
      </c>
      <c r="L199" s="0" t="s">
        <v>2494</v>
      </c>
      <c r="N199" s="0" t="n">
        <v>1.722</v>
      </c>
      <c r="O199" s="0" t="n">
        <v>97.34</v>
      </c>
      <c r="P199" s="0" t="s">
        <v>2444</v>
      </c>
    </row>
    <row r="200" customFormat="false" ht="15" hidden="false" customHeight="true" outlineLevel="0" collapsed="false">
      <c r="A200" s="0" t="n">
        <v>2</v>
      </c>
      <c r="B200" s="71" t="n">
        <v>46176</v>
      </c>
      <c r="C200" s="0" t="n">
        <v>22</v>
      </c>
      <c r="D200" s="0" t="s">
        <v>2479</v>
      </c>
      <c r="E200" s="0" t="n">
        <v>48</v>
      </c>
      <c r="F200" s="0" t="s">
        <v>153</v>
      </c>
      <c r="I200" s="0" t="n">
        <v>2476</v>
      </c>
      <c r="J200" s="0" t="n">
        <v>100053</v>
      </c>
      <c r="K200" s="0" t="n">
        <v>54</v>
      </c>
      <c r="L200" s="0" t="s">
        <v>2495</v>
      </c>
      <c r="N200" s="0" t="n">
        <v>1.736</v>
      </c>
      <c r="O200" s="0" t="n">
        <v>61.68</v>
      </c>
      <c r="P200" s="0" t="s">
        <v>2444</v>
      </c>
    </row>
    <row r="201" customFormat="false" ht="15" hidden="false" customHeight="true" outlineLevel="0" collapsed="false">
      <c r="A201" s="0" t="n">
        <v>2</v>
      </c>
      <c r="B201" s="71" t="n">
        <v>46176</v>
      </c>
      <c r="C201" s="0" t="n">
        <v>22</v>
      </c>
      <c r="D201" s="0" t="s">
        <v>2479</v>
      </c>
      <c r="E201" s="0" t="n">
        <v>48</v>
      </c>
      <c r="F201" s="0" t="s">
        <v>153</v>
      </c>
      <c r="I201" s="0" t="n">
        <v>2476</v>
      </c>
      <c r="J201" s="0" t="n">
        <v>100638</v>
      </c>
      <c r="K201" s="0" t="n">
        <v>508</v>
      </c>
      <c r="L201" s="0" t="s">
        <v>2496</v>
      </c>
      <c r="N201" s="0" t="n">
        <v>0.67</v>
      </c>
      <c r="O201" s="0" t="n">
        <v>1.62</v>
      </c>
      <c r="P201" s="0" t="s">
        <v>2444</v>
      </c>
    </row>
    <row r="202" customFormat="false" ht="15" hidden="false" customHeight="true" outlineLevel="0" collapsed="false">
      <c r="A202" s="0" t="n">
        <v>2</v>
      </c>
      <c r="B202" s="71" t="n">
        <v>46176</v>
      </c>
      <c r="C202" s="0" t="n">
        <v>22</v>
      </c>
      <c r="D202" s="0" t="s">
        <v>2479</v>
      </c>
      <c r="E202" s="0" t="n">
        <v>48</v>
      </c>
      <c r="F202" s="0" t="s">
        <v>153</v>
      </c>
      <c r="I202" s="0" t="n">
        <v>2476</v>
      </c>
      <c r="J202" s="0" t="n">
        <v>100520</v>
      </c>
      <c r="K202" s="0" t="n">
        <v>507</v>
      </c>
      <c r="L202" s="0" t="s">
        <v>2497</v>
      </c>
      <c r="N202" s="0" t="n">
        <v>9.735</v>
      </c>
      <c r="O202" s="0" t="n">
        <v>23.51</v>
      </c>
      <c r="P202" s="0" t="s">
        <v>2444</v>
      </c>
    </row>
    <row r="203" customFormat="false" ht="15" hidden="false" customHeight="true" outlineLevel="0" collapsed="false">
      <c r="A203" s="0" t="n">
        <v>2</v>
      </c>
      <c r="B203" s="71" t="n">
        <v>46176</v>
      </c>
      <c r="C203" s="0" t="n">
        <v>22</v>
      </c>
      <c r="D203" s="0" t="s">
        <v>2479</v>
      </c>
      <c r="E203" s="0" t="n">
        <v>48</v>
      </c>
      <c r="F203" s="0" t="s">
        <v>153</v>
      </c>
      <c r="I203" s="0" t="n">
        <v>2476</v>
      </c>
      <c r="J203" s="0" t="n">
        <v>110455</v>
      </c>
      <c r="K203" s="0" t="n">
        <v>53212</v>
      </c>
      <c r="L203" s="0" t="s">
        <v>2498</v>
      </c>
      <c r="N203" s="0" t="n">
        <v>0.035</v>
      </c>
      <c r="O203" s="0" t="n">
        <v>0</v>
      </c>
      <c r="P203" s="0" t="s">
        <v>2444</v>
      </c>
    </row>
    <row r="204" customFormat="false" ht="15" hidden="false" customHeight="true" outlineLevel="0" collapsed="false">
      <c r="A204" s="0" t="n">
        <v>2</v>
      </c>
      <c r="B204" s="71" t="n">
        <v>46176</v>
      </c>
      <c r="C204" s="0" t="n">
        <v>100</v>
      </c>
      <c r="D204" s="0" t="s">
        <v>2499</v>
      </c>
      <c r="E204" s="0" t="n">
        <v>48</v>
      </c>
      <c r="F204" s="0" t="s">
        <v>153</v>
      </c>
      <c r="I204" s="0" t="n">
        <v>1197023</v>
      </c>
      <c r="J204" s="0" t="n">
        <v>100000</v>
      </c>
      <c r="K204" s="0" t="n">
        <v>1</v>
      </c>
      <c r="L204" s="0" t="s">
        <v>2480</v>
      </c>
      <c r="N204" s="0" t="n">
        <v>3.218</v>
      </c>
      <c r="O204" s="0" t="n">
        <v>62.35</v>
      </c>
      <c r="P204" s="0" t="s">
        <v>2444</v>
      </c>
    </row>
    <row r="205" customFormat="false" ht="15" hidden="false" customHeight="true" outlineLevel="0" collapsed="false">
      <c r="A205" s="0" t="n">
        <v>2</v>
      </c>
      <c r="B205" s="71" t="n">
        <v>46176</v>
      </c>
      <c r="C205" s="0" t="n">
        <v>100</v>
      </c>
      <c r="D205" s="0" t="s">
        <v>2499</v>
      </c>
      <c r="E205" s="0" t="n">
        <v>48</v>
      </c>
      <c r="F205" s="0" t="s">
        <v>153</v>
      </c>
      <c r="I205" s="0" t="n">
        <v>1197023</v>
      </c>
      <c r="J205" s="0" t="n">
        <v>100006</v>
      </c>
      <c r="K205" s="0" t="n">
        <v>7</v>
      </c>
      <c r="L205" s="0" t="s">
        <v>2485</v>
      </c>
      <c r="N205" s="0" t="n">
        <v>2.32</v>
      </c>
      <c r="O205" s="0" t="n">
        <v>63.69</v>
      </c>
      <c r="P205" s="0" t="s">
        <v>2444</v>
      </c>
    </row>
    <row r="206" customFormat="false" ht="15" hidden="false" customHeight="true" outlineLevel="0" collapsed="false">
      <c r="A206" s="0" t="n">
        <v>2</v>
      </c>
      <c r="B206" s="71" t="n">
        <v>46176</v>
      </c>
      <c r="C206" s="0" t="n">
        <v>100</v>
      </c>
      <c r="D206" s="0" t="s">
        <v>2499</v>
      </c>
      <c r="E206" s="0" t="n">
        <v>48</v>
      </c>
      <c r="F206" s="0" t="s">
        <v>153</v>
      </c>
      <c r="I206" s="0" t="n">
        <v>1197023</v>
      </c>
      <c r="J206" s="0" t="n">
        <v>100007</v>
      </c>
      <c r="K206" s="0" t="n">
        <v>8</v>
      </c>
      <c r="L206" s="0" t="s">
        <v>2486</v>
      </c>
      <c r="N206" s="0" t="n">
        <v>2.324</v>
      </c>
      <c r="O206" s="0" t="n">
        <v>56.29</v>
      </c>
      <c r="P206" s="0" t="s">
        <v>2444</v>
      </c>
    </row>
    <row r="207" customFormat="false" ht="15" hidden="false" customHeight="true" outlineLevel="0" collapsed="false">
      <c r="A207" s="0" t="n">
        <v>2</v>
      </c>
      <c r="B207" s="71" t="n">
        <v>46176</v>
      </c>
      <c r="C207" s="0" t="n">
        <v>100</v>
      </c>
      <c r="D207" s="0" t="s">
        <v>2499</v>
      </c>
      <c r="E207" s="0" t="n">
        <v>48</v>
      </c>
      <c r="F207" s="0" t="s">
        <v>153</v>
      </c>
      <c r="I207" s="0" t="n">
        <v>1197023</v>
      </c>
      <c r="J207" s="0" t="n">
        <v>100008</v>
      </c>
      <c r="K207" s="0" t="n">
        <v>9</v>
      </c>
      <c r="L207" s="0" t="s">
        <v>2487</v>
      </c>
      <c r="N207" s="0" t="n">
        <v>15.06</v>
      </c>
      <c r="O207" s="0" t="n">
        <v>474.25</v>
      </c>
      <c r="P207" s="0" t="s">
        <v>2444</v>
      </c>
    </row>
    <row r="208" customFormat="false" ht="15" hidden="false" customHeight="true" outlineLevel="0" collapsed="false">
      <c r="A208" s="0" t="n">
        <v>2</v>
      </c>
      <c r="B208" s="71" t="n">
        <v>46176</v>
      </c>
      <c r="C208" s="0" t="n">
        <v>100</v>
      </c>
      <c r="D208" s="0" t="s">
        <v>2499</v>
      </c>
      <c r="E208" s="0" t="n">
        <v>48</v>
      </c>
      <c r="F208" s="0" t="s">
        <v>153</v>
      </c>
      <c r="I208" s="0" t="n">
        <v>1197023</v>
      </c>
      <c r="J208" s="0" t="n">
        <v>100011</v>
      </c>
      <c r="K208" s="0" t="n">
        <v>12</v>
      </c>
      <c r="L208" s="0" t="s">
        <v>2488</v>
      </c>
      <c r="N208" s="0" t="n">
        <v>9.465</v>
      </c>
      <c r="O208" s="0" t="n">
        <v>336.28</v>
      </c>
      <c r="P208" s="0" t="s">
        <v>2444</v>
      </c>
    </row>
    <row r="209" customFormat="false" ht="15" hidden="false" customHeight="true" outlineLevel="0" collapsed="false">
      <c r="A209" s="0" t="n">
        <v>2</v>
      </c>
      <c r="B209" s="71" t="n">
        <v>46176</v>
      </c>
      <c r="C209" s="0" t="n">
        <v>100</v>
      </c>
      <c r="D209" s="0" t="s">
        <v>2499</v>
      </c>
      <c r="E209" s="0" t="n">
        <v>48</v>
      </c>
      <c r="F209" s="0" t="s">
        <v>153</v>
      </c>
      <c r="I209" s="0" t="n">
        <v>1197023</v>
      </c>
      <c r="J209" s="0" t="n">
        <v>100012</v>
      </c>
      <c r="K209" s="0" t="n">
        <v>13</v>
      </c>
      <c r="L209" s="0" t="s">
        <v>2489</v>
      </c>
      <c r="N209" s="0" t="n">
        <v>6.18</v>
      </c>
      <c r="O209" s="0" t="n">
        <v>249.52</v>
      </c>
      <c r="P209" s="0" t="s">
        <v>2444</v>
      </c>
    </row>
    <row r="210" customFormat="false" ht="15" hidden="false" customHeight="true" outlineLevel="0" collapsed="false">
      <c r="A210" s="0" t="n">
        <v>2</v>
      </c>
      <c r="B210" s="71" t="n">
        <v>46176</v>
      </c>
      <c r="C210" s="0" t="n">
        <v>100</v>
      </c>
      <c r="D210" s="0" t="s">
        <v>2499</v>
      </c>
      <c r="E210" s="0" t="n">
        <v>48</v>
      </c>
      <c r="F210" s="0" t="s">
        <v>153</v>
      </c>
      <c r="I210" s="0" t="n">
        <v>1197023</v>
      </c>
      <c r="J210" s="0" t="n">
        <v>100013</v>
      </c>
      <c r="K210" s="0" t="n">
        <v>14</v>
      </c>
      <c r="L210" s="0" t="s">
        <v>2490</v>
      </c>
      <c r="N210" s="0" t="n">
        <v>10.955</v>
      </c>
      <c r="O210" s="0" t="n">
        <v>468.85</v>
      </c>
      <c r="P210" s="0" t="s">
        <v>2444</v>
      </c>
    </row>
    <row r="211" customFormat="false" ht="15" hidden="false" customHeight="true" outlineLevel="0" collapsed="false">
      <c r="A211" s="0" t="n">
        <v>2</v>
      </c>
      <c r="B211" s="71" t="n">
        <v>46176</v>
      </c>
      <c r="C211" s="0" t="n">
        <v>100</v>
      </c>
      <c r="D211" s="0" t="s">
        <v>2499</v>
      </c>
      <c r="E211" s="0" t="n">
        <v>48</v>
      </c>
      <c r="F211" s="0" t="s">
        <v>153</v>
      </c>
      <c r="I211" s="0" t="n">
        <v>1197023</v>
      </c>
      <c r="J211" s="0" t="n">
        <v>100014</v>
      </c>
      <c r="K211" s="0" t="n">
        <v>15</v>
      </c>
      <c r="L211" s="0" t="s">
        <v>2491</v>
      </c>
      <c r="N211" s="0" t="n">
        <v>4.894</v>
      </c>
      <c r="O211" s="0" t="n">
        <v>213.41</v>
      </c>
      <c r="P211" s="0" t="s">
        <v>2444</v>
      </c>
    </row>
    <row r="212" customFormat="false" ht="15" hidden="false" customHeight="true" outlineLevel="0" collapsed="false">
      <c r="A212" s="0" t="n">
        <v>2</v>
      </c>
      <c r="B212" s="71" t="n">
        <v>46176</v>
      </c>
      <c r="C212" s="0" t="n">
        <v>100</v>
      </c>
      <c r="D212" s="0" t="s">
        <v>2499</v>
      </c>
      <c r="E212" s="0" t="n">
        <v>48</v>
      </c>
      <c r="F212" s="0" t="s">
        <v>153</v>
      </c>
      <c r="I212" s="0" t="n">
        <v>1197023</v>
      </c>
      <c r="J212" s="0" t="n">
        <v>100015</v>
      </c>
      <c r="K212" s="0" t="n">
        <v>16</v>
      </c>
      <c r="L212" s="0" t="s">
        <v>2492</v>
      </c>
      <c r="N212" s="0" t="n">
        <v>1.824</v>
      </c>
      <c r="O212" s="0" t="n">
        <v>70.7</v>
      </c>
      <c r="P212" s="0" t="s">
        <v>2444</v>
      </c>
    </row>
    <row r="213" customFormat="false" ht="15" hidden="false" customHeight="true" outlineLevel="0" collapsed="false">
      <c r="A213" s="0" t="n">
        <v>2</v>
      </c>
      <c r="B213" s="71" t="n">
        <v>46176</v>
      </c>
      <c r="C213" s="0" t="n">
        <v>100</v>
      </c>
      <c r="D213" s="0" t="s">
        <v>2499</v>
      </c>
      <c r="E213" s="0" t="n">
        <v>48</v>
      </c>
      <c r="F213" s="0" t="s">
        <v>153</v>
      </c>
      <c r="I213" s="0" t="n">
        <v>1197023</v>
      </c>
      <c r="J213" s="0" t="n">
        <v>100016</v>
      </c>
      <c r="K213" s="0" t="n">
        <v>17</v>
      </c>
      <c r="L213" s="0" t="s">
        <v>2493</v>
      </c>
      <c r="N213" s="0" t="n">
        <v>1.762</v>
      </c>
      <c r="O213" s="0" t="n">
        <v>85.37</v>
      </c>
      <c r="P213" s="0" t="s">
        <v>2444</v>
      </c>
    </row>
    <row r="214" customFormat="false" ht="15" hidden="false" customHeight="true" outlineLevel="0" collapsed="false">
      <c r="A214" s="0" t="n">
        <v>2</v>
      </c>
      <c r="B214" s="71" t="n">
        <v>46176</v>
      </c>
      <c r="C214" s="0" t="n">
        <v>100</v>
      </c>
      <c r="D214" s="0" t="s">
        <v>2499</v>
      </c>
      <c r="E214" s="0" t="n">
        <v>48</v>
      </c>
      <c r="F214" s="0" t="s">
        <v>153</v>
      </c>
      <c r="I214" s="0" t="n">
        <v>1197023</v>
      </c>
      <c r="J214" s="0" t="n">
        <v>100017</v>
      </c>
      <c r="K214" s="0" t="n">
        <v>18</v>
      </c>
      <c r="L214" s="0" t="s">
        <v>2494</v>
      </c>
      <c r="N214" s="0" t="n">
        <v>1.722</v>
      </c>
      <c r="O214" s="0" t="n">
        <v>97.34</v>
      </c>
      <c r="P214" s="0" t="s">
        <v>2444</v>
      </c>
    </row>
    <row r="215" customFormat="false" ht="15" hidden="false" customHeight="true" outlineLevel="0" collapsed="false">
      <c r="A215" s="0" t="n">
        <v>2</v>
      </c>
      <c r="B215" s="71" t="n">
        <v>46176</v>
      </c>
      <c r="C215" s="0" t="n">
        <v>100</v>
      </c>
      <c r="D215" s="0" t="s">
        <v>2499</v>
      </c>
      <c r="E215" s="0" t="n">
        <v>48</v>
      </c>
      <c r="F215" s="0" t="s">
        <v>153</v>
      </c>
      <c r="I215" s="0" t="n">
        <v>1197023</v>
      </c>
      <c r="J215" s="0" t="n">
        <v>100053</v>
      </c>
      <c r="K215" s="0" t="n">
        <v>54</v>
      </c>
      <c r="L215" s="0" t="s">
        <v>2495</v>
      </c>
      <c r="N215" s="0" t="n">
        <v>1.736</v>
      </c>
      <c r="O215" s="0" t="n">
        <v>61.68</v>
      </c>
      <c r="P215" s="0" t="s">
        <v>2444</v>
      </c>
    </row>
    <row r="216" customFormat="false" ht="15" hidden="false" customHeight="true" outlineLevel="0" collapsed="false">
      <c r="A216" s="0" t="n">
        <v>2</v>
      </c>
      <c r="B216" s="71" t="n">
        <v>46176</v>
      </c>
      <c r="C216" s="0" t="n">
        <v>100</v>
      </c>
      <c r="D216" s="0" t="s">
        <v>2499</v>
      </c>
      <c r="E216" s="0" t="n">
        <v>48</v>
      </c>
      <c r="F216" s="0" t="s">
        <v>153</v>
      </c>
      <c r="I216" s="0" t="n">
        <v>1197023</v>
      </c>
      <c r="J216" s="0" t="n">
        <v>100638</v>
      </c>
      <c r="K216" s="0" t="n">
        <v>508</v>
      </c>
      <c r="L216" s="0" t="s">
        <v>2496</v>
      </c>
      <c r="N216" s="0" t="n">
        <v>0.67</v>
      </c>
      <c r="O216" s="0" t="n">
        <v>1.62</v>
      </c>
      <c r="P216" s="0" t="s">
        <v>2444</v>
      </c>
    </row>
    <row r="217" customFormat="false" ht="15" hidden="false" customHeight="true" outlineLevel="0" collapsed="false">
      <c r="A217" s="0" t="n">
        <v>2</v>
      </c>
      <c r="B217" s="71" t="n">
        <v>46176</v>
      </c>
      <c r="C217" s="0" t="n">
        <v>100</v>
      </c>
      <c r="D217" s="0" t="s">
        <v>2499</v>
      </c>
      <c r="E217" s="0" t="n">
        <v>48</v>
      </c>
      <c r="F217" s="0" t="s">
        <v>153</v>
      </c>
      <c r="I217" s="0" t="n">
        <v>1197023</v>
      </c>
      <c r="J217" s="0" t="n">
        <v>100520</v>
      </c>
      <c r="K217" s="0" t="n">
        <v>507</v>
      </c>
      <c r="L217" s="0" t="s">
        <v>2497</v>
      </c>
      <c r="N217" s="0" t="n">
        <v>9.735</v>
      </c>
      <c r="O217" s="0" t="n">
        <v>23.51</v>
      </c>
      <c r="P217" s="0" t="s">
        <v>2444</v>
      </c>
    </row>
    <row r="218" customFormat="false" ht="15" hidden="false" customHeight="true" outlineLevel="0" collapsed="false">
      <c r="A218" s="0" t="n">
        <v>2</v>
      </c>
      <c r="B218" s="71" t="n">
        <v>46176</v>
      </c>
      <c r="C218" s="0" t="n">
        <v>100</v>
      </c>
      <c r="D218" s="0" t="s">
        <v>2499</v>
      </c>
      <c r="E218" s="0" t="n">
        <v>48</v>
      </c>
      <c r="F218" s="0" t="s">
        <v>153</v>
      </c>
      <c r="I218" s="0" t="n">
        <v>1197023</v>
      </c>
      <c r="J218" s="0" t="n">
        <v>110455</v>
      </c>
      <c r="K218" s="0" t="n">
        <v>53212</v>
      </c>
      <c r="L218" s="0" t="s">
        <v>2498</v>
      </c>
      <c r="N218" s="0" t="n">
        <v>0.035</v>
      </c>
      <c r="O218" s="0" t="n">
        <v>0</v>
      </c>
      <c r="P218" s="0" t="s">
        <v>2444</v>
      </c>
    </row>
    <row r="219" customFormat="false" ht="15" hidden="false" customHeight="true" outlineLevel="0" collapsed="false">
      <c r="A219" s="0" t="n">
        <v>2</v>
      </c>
      <c r="B219" s="71" t="n">
        <v>46177</v>
      </c>
      <c r="C219" s="0" t="n">
        <v>11</v>
      </c>
      <c r="D219" s="0" t="s">
        <v>2471</v>
      </c>
      <c r="E219" s="0" t="n">
        <v>10018</v>
      </c>
      <c r="F219" s="0" t="s">
        <v>216</v>
      </c>
      <c r="I219" s="0" t="n">
        <v>294</v>
      </c>
      <c r="J219" s="0" t="n">
        <v>100933</v>
      </c>
      <c r="K219" s="0" t="n">
        <v>7896982100059</v>
      </c>
      <c r="L219" s="0" t="s">
        <v>2500</v>
      </c>
      <c r="N219" s="0" t="n">
        <v>1800</v>
      </c>
      <c r="O219" s="0" t="n">
        <v>950</v>
      </c>
      <c r="P219" s="0" t="s">
        <v>2444</v>
      </c>
    </row>
    <row r="220" customFormat="false" ht="15" hidden="false" customHeight="true" outlineLevel="0" collapsed="false">
      <c r="A220" s="0" t="n">
        <v>2</v>
      </c>
      <c r="B220" s="71" t="n">
        <v>46177</v>
      </c>
      <c r="C220" s="0" t="n">
        <v>11</v>
      </c>
      <c r="D220" s="0" t="s">
        <v>2471</v>
      </c>
      <c r="E220" s="0" t="n">
        <v>754</v>
      </c>
      <c r="F220" s="0" t="s">
        <v>162</v>
      </c>
      <c r="I220" s="0" t="n">
        <v>30864</v>
      </c>
      <c r="J220" s="0" t="n">
        <v>29080</v>
      </c>
      <c r="K220" s="0" t="n">
        <v>55516</v>
      </c>
      <c r="L220" s="0" t="s">
        <v>2450</v>
      </c>
      <c r="N220" s="0" t="n">
        <v>69.6</v>
      </c>
      <c r="O220" s="0" t="n">
        <v>1600.8</v>
      </c>
      <c r="P220" s="0" t="s">
        <v>2444</v>
      </c>
    </row>
    <row r="221" customFormat="false" ht="15" hidden="false" customHeight="true" outlineLevel="0" collapsed="false">
      <c r="A221" s="0" t="n">
        <v>2</v>
      </c>
      <c r="B221" s="71" t="n">
        <v>46177</v>
      </c>
      <c r="C221" s="0" t="n">
        <v>22</v>
      </c>
      <c r="D221" s="0" t="s">
        <v>2479</v>
      </c>
      <c r="E221" s="0" t="n">
        <v>48</v>
      </c>
      <c r="F221" s="0" t="s">
        <v>153</v>
      </c>
      <c r="I221" s="0" t="n">
        <v>2478</v>
      </c>
      <c r="J221" s="0" t="n">
        <v>100000</v>
      </c>
      <c r="K221" s="0" t="n">
        <v>1</v>
      </c>
      <c r="L221" s="0" t="s">
        <v>2480</v>
      </c>
      <c r="N221" s="0" t="n">
        <v>2.97</v>
      </c>
      <c r="O221" s="0" t="n">
        <v>59.39</v>
      </c>
      <c r="P221" s="0" t="s">
        <v>2444</v>
      </c>
    </row>
    <row r="222" customFormat="false" ht="15" hidden="false" customHeight="true" outlineLevel="0" collapsed="false">
      <c r="A222" s="0" t="n">
        <v>2</v>
      </c>
      <c r="B222" s="71" t="n">
        <v>46177</v>
      </c>
      <c r="C222" s="0" t="n">
        <v>22</v>
      </c>
      <c r="D222" s="0" t="s">
        <v>2479</v>
      </c>
      <c r="E222" s="0" t="n">
        <v>48</v>
      </c>
      <c r="F222" s="0" t="s">
        <v>153</v>
      </c>
      <c r="I222" s="0" t="n">
        <v>2478</v>
      </c>
      <c r="J222" s="0" t="n">
        <v>100001</v>
      </c>
      <c r="K222" s="0" t="n">
        <v>2</v>
      </c>
      <c r="L222" s="0" t="s">
        <v>2481</v>
      </c>
      <c r="N222" s="0" t="n">
        <v>8.995</v>
      </c>
      <c r="O222" s="0" t="n">
        <v>194.85</v>
      </c>
      <c r="P222" s="0" t="s">
        <v>2444</v>
      </c>
    </row>
    <row r="223" customFormat="false" ht="15" hidden="false" customHeight="true" outlineLevel="0" collapsed="false">
      <c r="A223" s="0" t="n">
        <v>2</v>
      </c>
      <c r="B223" s="71" t="n">
        <v>46177</v>
      </c>
      <c r="C223" s="0" t="n">
        <v>22</v>
      </c>
      <c r="D223" s="0" t="s">
        <v>2479</v>
      </c>
      <c r="E223" s="0" t="n">
        <v>48</v>
      </c>
      <c r="F223" s="0" t="s">
        <v>153</v>
      </c>
      <c r="I223" s="0" t="n">
        <v>2478</v>
      </c>
      <c r="J223" s="0" t="n">
        <v>100002</v>
      </c>
      <c r="K223" s="0" t="n">
        <v>3</v>
      </c>
      <c r="L223" s="0" t="s">
        <v>2482</v>
      </c>
      <c r="N223" s="0" t="n">
        <v>22.17</v>
      </c>
      <c r="O223" s="0" t="n">
        <v>554.17</v>
      </c>
      <c r="P223" s="0" t="s">
        <v>2444</v>
      </c>
    </row>
    <row r="224" customFormat="false" ht="15" hidden="false" customHeight="true" outlineLevel="0" collapsed="false">
      <c r="A224" s="0" t="n">
        <v>2</v>
      </c>
      <c r="B224" s="71" t="n">
        <v>46177</v>
      </c>
      <c r="C224" s="0" t="n">
        <v>22</v>
      </c>
      <c r="D224" s="0" t="s">
        <v>2479</v>
      </c>
      <c r="E224" s="0" t="n">
        <v>48</v>
      </c>
      <c r="F224" s="0" t="s">
        <v>153</v>
      </c>
      <c r="I224" s="0" t="n">
        <v>2478</v>
      </c>
      <c r="J224" s="0" t="n">
        <v>100003</v>
      </c>
      <c r="K224" s="0" t="n">
        <v>4</v>
      </c>
      <c r="L224" s="0" t="s">
        <v>2483</v>
      </c>
      <c r="N224" s="0" t="n">
        <v>19.47</v>
      </c>
      <c r="O224" s="0" t="n">
        <v>519.13</v>
      </c>
      <c r="P224" s="0" t="s">
        <v>2444</v>
      </c>
    </row>
    <row r="225" customFormat="false" ht="15" hidden="false" customHeight="true" outlineLevel="0" collapsed="false">
      <c r="A225" s="0" t="n">
        <v>2</v>
      </c>
      <c r="B225" s="71" t="n">
        <v>46177</v>
      </c>
      <c r="C225" s="0" t="n">
        <v>22</v>
      </c>
      <c r="D225" s="0" t="s">
        <v>2479</v>
      </c>
      <c r="E225" s="0" t="n">
        <v>48</v>
      </c>
      <c r="F225" s="0" t="s">
        <v>153</v>
      </c>
      <c r="I225" s="0" t="n">
        <v>2478</v>
      </c>
      <c r="J225" s="0" t="n">
        <v>100004</v>
      </c>
      <c r="K225" s="0" t="n">
        <v>5</v>
      </c>
      <c r="L225" s="0" t="s">
        <v>2484</v>
      </c>
      <c r="N225" s="0" t="n">
        <v>1.305</v>
      </c>
      <c r="O225" s="0" t="n">
        <v>30.44</v>
      </c>
      <c r="P225" s="0" t="s">
        <v>2444</v>
      </c>
    </row>
    <row r="226" customFormat="false" ht="15" hidden="false" customHeight="true" outlineLevel="0" collapsed="false">
      <c r="A226" s="0" t="n">
        <v>2</v>
      </c>
      <c r="B226" s="71" t="n">
        <v>46177</v>
      </c>
      <c r="C226" s="0" t="n">
        <v>22</v>
      </c>
      <c r="D226" s="0" t="s">
        <v>2479</v>
      </c>
      <c r="E226" s="0" t="n">
        <v>48</v>
      </c>
      <c r="F226" s="0" t="s">
        <v>153</v>
      </c>
      <c r="I226" s="0" t="n">
        <v>2478</v>
      </c>
      <c r="J226" s="0" t="n">
        <v>100005</v>
      </c>
      <c r="K226" s="0" t="n">
        <v>6</v>
      </c>
      <c r="L226" s="0" t="s">
        <v>2582</v>
      </c>
      <c r="N226" s="0" t="n">
        <v>2.85</v>
      </c>
      <c r="O226" s="0" t="n">
        <v>71.24</v>
      </c>
      <c r="P226" s="0" t="s">
        <v>2444</v>
      </c>
    </row>
    <row r="227" customFormat="false" ht="15" hidden="false" customHeight="true" outlineLevel="0" collapsed="false">
      <c r="A227" s="0" t="n">
        <v>2</v>
      </c>
      <c r="B227" s="71" t="n">
        <v>46177</v>
      </c>
      <c r="C227" s="0" t="n">
        <v>22</v>
      </c>
      <c r="D227" s="0" t="s">
        <v>2479</v>
      </c>
      <c r="E227" s="0" t="n">
        <v>48</v>
      </c>
      <c r="F227" s="0" t="s">
        <v>153</v>
      </c>
      <c r="I227" s="0" t="n">
        <v>2478</v>
      </c>
      <c r="J227" s="0" t="n">
        <v>100007</v>
      </c>
      <c r="K227" s="0" t="n">
        <v>8</v>
      </c>
      <c r="L227" s="0" t="s">
        <v>2486</v>
      </c>
      <c r="N227" s="0" t="n">
        <v>2.248</v>
      </c>
      <c r="O227" s="0" t="n">
        <v>56.19</v>
      </c>
      <c r="P227" s="0" t="s">
        <v>2444</v>
      </c>
    </row>
    <row r="228" customFormat="false" ht="15" hidden="false" customHeight="true" outlineLevel="0" collapsed="false">
      <c r="A228" s="0" t="n">
        <v>2</v>
      </c>
      <c r="B228" s="71" t="n">
        <v>46177</v>
      </c>
      <c r="C228" s="0" t="n">
        <v>22</v>
      </c>
      <c r="D228" s="0" t="s">
        <v>2479</v>
      </c>
      <c r="E228" s="0" t="n">
        <v>48</v>
      </c>
      <c r="F228" s="0" t="s">
        <v>153</v>
      </c>
      <c r="I228" s="0" t="n">
        <v>2478</v>
      </c>
      <c r="J228" s="0" t="n">
        <v>100040</v>
      </c>
      <c r="K228" s="0" t="n">
        <v>41</v>
      </c>
      <c r="L228" s="0" t="s">
        <v>2583</v>
      </c>
      <c r="N228" s="0" t="n">
        <v>3.844</v>
      </c>
      <c r="O228" s="0" t="n">
        <v>102.49</v>
      </c>
      <c r="P228" s="0" t="s">
        <v>2444</v>
      </c>
    </row>
    <row r="229" customFormat="false" ht="15" hidden="false" customHeight="true" outlineLevel="0" collapsed="false">
      <c r="A229" s="0" t="n">
        <v>2</v>
      </c>
      <c r="B229" s="71" t="n">
        <v>46177</v>
      </c>
      <c r="C229" s="0" t="n">
        <v>22</v>
      </c>
      <c r="D229" s="0" t="s">
        <v>2479</v>
      </c>
      <c r="E229" s="0" t="n">
        <v>48</v>
      </c>
      <c r="F229" s="0" t="s">
        <v>153</v>
      </c>
      <c r="I229" s="0" t="n">
        <v>2478</v>
      </c>
      <c r="J229" s="0" t="n">
        <v>100638</v>
      </c>
      <c r="K229" s="0" t="n">
        <v>508</v>
      </c>
      <c r="L229" s="0" t="s">
        <v>2496</v>
      </c>
      <c r="N229" s="0" t="n">
        <v>2.774</v>
      </c>
      <c r="O229" s="0" t="n">
        <v>6.91</v>
      </c>
      <c r="P229" s="0" t="s">
        <v>2444</v>
      </c>
    </row>
    <row r="230" customFormat="false" ht="15" hidden="false" customHeight="true" outlineLevel="0" collapsed="false">
      <c r="A230" s="0" t="n">
        <v>2</v>
      </c>
      <c r="B230" s="71" t="n">
        <v>46177</v>
      </c>
      <c r="C230" s="0" t="n">
        <v>22</v>
      </c>
      <c r="D230" s="0" t="s">
        <v>2479</v>
      </c>
      <c r="E230" s="0" t="n">
        <v>48</v>
      </c>
      <c r="F230" s="0" t="s">
        <v>153</v>
      </c>
      <c r="I230" s="0" t="n">
        <v>2478</v>
      </c>
      <c r="J230" s="0" t="n">
        <v>100520</v>
      </c>
      <c r="K230" s="0" t="n">
        <v>507</v>
      </c>
      <c r="L230" s="0" t="s">
        <v>2497</v>
      </c>
      <c r="N230" s="0" t="n">
        <v>2.4</v>
      </c>
      <c r="O230" s="0" t="n">
        <v>5.98</v>
      </c>
      <c r="P230" s="0" t="s">
        <v>2444</v>
      </c>
    </row>
    <row r="231" customFormat="false" ht="15" hidden="false" customHeight="true" outlineLevel="0" collapsed="false">
      <c r="A231" s="0" t="n">
        <v>2</v>
      </c>
      <c r="B231" s="71" t="n">
        <v>46177</v>
      </c>
      <c r="C231" s="0" t="n">
        <v>22</v>
      </c>
      <c r="D231" s="0" t="s">
        <v>2479</v>
      </c>
      <c r="E231" s="0" t="n">
        <v>48</v>
      </c>
      <c r="F231" s="0" t="s">
        <v>153</v>
      </c>
      <c r="I231" s="0" t="n">
        <v>2478</v>
      </c>
      <c r="J231" s="0" t="n">
        <v>110455</v>
      </c>
      <c r="K231" s="0" t="n">
        <v>53212</v>
      </c>
      <c r="L231" s="0" t="s">
        <v>2498</v>
      </c>
      <c r="N231" s="0" t="n">
        <v>0.574</v>
      </c>
      <c r="O231" s="0" t="n">
        <v>0.01</v>
      </c>
      <c r="P231" s="0" t="s">
        <v>2444</v>
      </c>
    </row>
    <row r="232" customFormat="false" ht="15" hidden="false" customHeight="true" outlineLevel="0" collapsed="false">
      <c r="A232" s="0" t="n">
        <v>2</v>
      </c>
      <c r="B232" s="71" t="n">
        <v>46177</v>
      </c>
      <c r="C232" s="0" t="n">
        <v>100</v>
      </c>
      <c r="D232" s="0" t="s">
        <v>2499</v>
      </c>
      <c r="E232" s="0" t="n">
        <v>48</v>
      </c>
      <c r="F232" s="0" t="s">
        <v>153</v>
      </c>
      <c r="I232" s="0" t="n">
        <v>1201514</v>
      </c>
      <c r="J232" s="0" t="n">
        <v>100000</v>
      </c>
      <c r="K232" s="0" t="n">
        <v>1</v>
      </c>
      <c r="L232" s="0" t="s">
        <v>2480</v>
      </c>
      <c r="N232" s="0" t="n">
        <v>2.97</v>
      </c>
      <c r="O232" s="0" t="n">
        <v>59.39</v>
      </c>
      <c r="P232" s="0" t="s">
        <v>2444</v>
      </c>
    </row>
    <row r="233" customFormat="false" ht="15" hidden="false" customHeight="true" outlineLevel="0" collapsed="false">
      <c r="A233" s="0" t="n">
        <v>2</v>
      </c>
      <c r="B233" s="71" t="n">
        <v>46177</v>
      </c>
      <c r="C233" s="0" t="n">
        <v>100</v>
      </c>
      <c r="D233" s="0" t="s">
        <v>2499</v>
      </c>
      <c r="E233" s="0" t="n">
        <v>48</v>
      </c>
      <c r="F233" s="0" t="s">
        <v>153</v>
      </c>
      <c r="I233" s="0" t="n">
        <v>1201514</v>
      </c>
      <c r="J233" s="0" t="n">
        <v>100001</v>
      </c>
      <c r="K233" s="0" t="n">
        <v>2</v>
      </c>
      <c r="L233" s="0" t="s">
        <v>2481</v>
      </c>
      <c r="N233" s="0" t="n">
        <v>8.995</v>
      </c>
      <c r="O233" s="0" t="n">
        <v>194.85</v>
      </c>
      <c r="P233" s="0" t="s">
        <v>2444</v>
      </c>
    </row>
    <row r="234" customFormat="false" ht="15" hidden="false" customHeight="true" outlineLevel="0" collapsed="false">
      <c r="A234" s="0" t="n">
        <v>2</v>
      </c>
      <c r="B234" s="71" t="n">
        <v>46177</v>
      </c>
      <c r="C234" s="0" t="n">
        <v>100</v>
      </c>
      <c r="D234" s="0" t="s">
        <v>2499</v>
      </c>
      <c r="E234" s="0" t="n">
        <v>48</v>
      </c>
      <c r="F234" s="0" t="s">
        <v>153</v>
      </c>
      <c r="I234" s="0" t="n">
        <v>1201514</v>
      </c>
      <c r="J234" s="0" t="n">
        <v>100002</v>
      </c>
      <c r="K234" s="0" t="n">
        <v>3</v>
      </c>
      <c r="L234" s="0" t="s">
        <v>2482</v>
      </c>
      <c r="N234" s="0" t="n">
        <v>22.17</v>
      </c>
      <c r="O234" s="0" t="n">
        <v>554.17</v>
      </c>
      <c r="P234" s="0" t="s">
        <v>2444</v>
      </c>
    </row>
    <row r="235" customFormat="false" ht="15" hidden="false" customHeight="true" outlineLevel="0" collapsed="false">
      <c r="A235" s="0" t="n">
        <v>2</v>
      </c>
      <c r="B235" s="71" t="n">
        <v>46177</v>
      </c>
      <c r="C235" s="0" t="n">
        <v>100</v>
      </c>
      <c r="D235" s="0" t="s">
        <v>2499</v>
      </c>
      <c r="E235" s="0" t="n">
        <v>48</v>
      </c>
      <c r="F235" s="0" t="s">
        <v>153</v>
      </c>
      <c r="I235" s="0" t="n">
        <v>1201514</v>
      </c>
      <c r="J235" s="0" t="n">
        <v>100003</v>
      </c>
      <c r="K235" s="0" t="n">
        <v>4</v>
      </c>
      <c r="L235" s="0" t="s">
        <v>2483</v>
      </c>
      <c r="N235" s="0" t="n">
        <v>19.47</v>
      </c>
      <c r="O235" s="0" t="n">
        <v>519.13</v>
      </c>
      <c r="P235" s="0" t="s">
        <v>2444</v>
      </c>
    </row>
    <row r="236" customFormat="false" ht="15" hidden="false" customHeight="true" outlineLevel="0" collapsed="false">
      <c r="A236" s="0" t="n">
        <v>2</v>
      </c>
      <c r="B236" s="71" t="n">
        <v>46177</v>
      </c>
      <c r="C236" s="0" t="n">
        <v>100</v>
      </c>
      <c r="D236" s="0" t="s">
        <v>2499</v>
      </c>
      <c r="E236" s="0" t="n">
        <v>48</v>
      </c>
      <c r="F236" s="0" t="s">
        <v>153</v>
      </c>
      <c r="I236" s="0" t="n">
        <v>1201514</v>
      </c>
      <c r="J236" s="0" t="n">
        <v>100004</v>
      </c>
      <c r="K236" s="0" t="n">
        <v>5</v>
      </c>
      <c r="L236" s="0" t="s">
        <v>2484</v>
      </c>
      <c r="N236" s="0" t="n">
        <v>1.305</v>
      </c>
      <c r="O236" s="0" t="n">
        <v>30.44</v>
      </c>
      <c r="P236" s="0" t="s">
        <v>2444</v>
      </c>
    </row>
    <row r="237" customFormat="false" ht="15" hidden="false" customHeight="true" outlineLevel="0" collapsed="false">
      <c r="A237" s="0" t="n">
        <v>2</v>
      </c>
      <c r="B237" s="71" t="n">
        <v>46177</v>
      </c>
      <c r="C237" s="0" t="n">
        <v>100</v>
      </c>
      <c r="D237" s="0" t="s">
        <v>2499</v>
      </c>
      <c r="E237" s="0" t="n">
        <v>48</v>
      </c>
      <c r="F237" s="0" t="s">
        <v>153</v>
      </c>
      <c r="I237" s="0" t="n">
        <v>1201514</v>
      </c>
      <c r="J237" s="0" t="n">
        <v>100005</v>
      </c>
      <c r="K237" s="0" t="n">
        <v>6</v>
      </c>
      <c r="L237" s="0" t="s">
        <v>2582</v>
      </c>
      <c r="N237" s="0" t="n">
        <v>2.85</v>
      </c>
      <c r="O237" s="0" t="n">
        <v>71.24</v>
      </c>
      <c r="P237" s="0" t="s">
        <v>2444</v>
      </c>
    </row>
    <row r="238" customFormat="false" ht="15" hidden="false" customHeight="true" outlineLevel="0" collapsed="false">
      <c r="A238" s="0" t="n">
        <v>2</v>
      </c>
      <c r="B238" s="71" t="n">
        <v>46177</v>
      </c>
      <c r="C238" s="0" t="n">
        <v>100</v>
      </c>
      <c r="D238" s="0" t="s">
        <v>2499</v>
      </c>
      <c r="E238" s="0" t="n">
        <v>48</v>
      </c>
      <c r="F238" s="0" t="s">
        <v>153</v>
      </c>
      <c r="I238" s="0" t="n">
        <v>1201514</v>
      </c>
      <c r="J238" s="0" t="n">
        <v>100007</v>
      </c>
      <c r="K238" s="0" t="n">
        <v>8</v>
      </c>
      <c r="L238" s="0" t="s">
        <v>2486</v>
      </c>
      <c r="N238" s="0" t="n">
        <v>2.248</v>
      </c>
      <c r="O238" s="0" t="n">
        <v>56.19</v>
      </c>
      <c r="P238" s="0" t="s">
        <v>2444</v>
      </c>
    </row>
    <row r="239" customFormat="false" ht="15" hidden="false" customHeight="true" outlineLevel="0" collapsed="false">
      <c r="A239" s="0" t="n">
        <v>2</v>
      </c>
      <c r="B239" s="71" t="n">
        <v>46177</v>
      </c>
      <c r="C239" s="0" t="n">
        <v>100</v>
      </c>
      <c r="D239" s="0" t="s">
        <v>2499</v>
      </c>
      <c r="E239" s="0" t="n">
        <v>48</v>
      </c>
      <c r="F239" s="0" t="s">
        <v>153</v>
      </c>
      <c r="I239" s="0" t="n">
        <v>1201514</v>
      </c>
      <c r="J239" s="0" t="n">
        <v>100040</v>
      </c>
      <c r="K239" s="0" t="n">
        <v>41</v>
      </c>
      <c r="L239" s="0" t="s">
        <v>2583</v>
      </c>
      <c r="N239" s="0" t="n">
        <v>3.844</v>
      </c>
      <c r="O239" s="0" t="n">
        <v>102.49</v>
      </c>
      <c r="P239" s="0" t="s">
        <v>2444</v>
      </c>
    </row>
    <row r="240" customFormat="false" ht="15" hidden="false" customHeight="true" outlineLevel="0" collapsed="false">
      <c r="A240" s="0" t="n">
        <v>2</v>
      </c>
      <c r="B240" s="71" t="n">
        <v>46177</v>
      </c>
      <c r="C240" s="0" t="n">
        <v>100</v>
      </c>
      <c r="D240" s="0" t="s">
        <v>2499</v>
      </c>
      <c r="E240" s="0" t="n">
        <v>48</v>
      </c>
      <c r="F240" s="0" t="s">
        <v>153</v>
      </c>
      <c r="I240" s="0" t="n">
        <v>1201514</v>
      </c>
      <c r="J240" s="0" t="n">
        <v>100638</v>
      </c>
      <c r="K240" s="0" t="n">
        <v>508</v>
      </c>
      <c r="L240" s="0" t="s">
        <v>2496</v>
      </c>
      <c r="N240" s="0" t="n">
        <v>2.774</v>
      </c>
      <c r="O240" s="0" t="n">
        <v>6.91</v>
      </c>
      <c r="P240" s="0" t="s">
        <v>2444</v>
      </c>
    </row>
    <row r="241" customFormat="false" ht="15" hidden="false" customHeight="true" outlineLevel="0" collapsed="false">
      <c r="A241" s="0" t="n">
        <v>2</v>
      </c>
      <c r="B241" s="71" t="n">
        <v>46177</v>
      </c>
      <c r="C241" s="0" t="n">
        <v>100</v>
      </c>
      <c r="D241" s="0" t="s">
        <v>2499</v>
      </c>
      <c r="E241" s="0" t="n">
        <v>48</v>
      </c>
      <c r="F241" s="0" t="s">
        <v>153</v>
      </c>
      <c r="I241" s="0" t="n">
        <v>1201514</v>
      </c>
      <c r="J241" s="0" t="n">
        <v>100520</v>
      </c>
      <c r="K241" s="0" t="n">
        <v>507</v>
      </c>
      <c r="L241" s="0" t="s">
        <v>2497</v>
      </c>
      <c r="N241" s="0" t="n">
        <v>2.4</v>
      </c>
      <c r="O241" s="0" t="n">
        <v>5.98</v>
      </c>
      <c r="P241" s="0" t="s">
        <v>2444</v>
      </c>
    </row>
    <row r="242" customFormat="false" ht="15" hidden="false" customHeight="true" outlineLevel="0" collapsed="false">
      <c r="A242" s="0" t="n">
        <v>2</v>
      </c>
      <c r="B242" s="71" t="n">
        <v>46177</v>
      </c>
      <c r="C242" s="0" t="n">
        <v>100</v>
      </c>
      <c r="D242" s="0" t="s">
        <v>2499</v>
      </c>
      <c r="E242" s="0" t="n">
        <v>48</v>
      </c>
      <c r="F242" s="0" t="s">
        <v>153</v>
      </c>
      <c r="I242" s="0" t="n">
        <v>1201514</v>
      </c>
      <c r="J242" s="0" t="n">
        <v>110455</v>
      </c>
      <c r="K242" s="0" t="n">
        <v>53212</v>
      </c>
      <c r="L242" s="0" t="s">
        <v>2498</v>
      </c>
      <c r="N242" s="0" t="n">
        <v>0.574</v>
      </c>
      <c r="O242" s="0" t="n">
        <v>0.01</v>
      </c>
      <c r="P242" s="0" t="s">
        <v>2444</v>
      </c>
    </row>
    <row r="243" customFormat="false" ht="15" hidden="false" customHeight="true" outlineLevel="0" collapsed="false">
      <c r="A243" s="0" t="n">
        <v>2</v>
      </c>
      <c r="B243" s="71" t="n">
        <v>46178</v>
      </c>
      <c r="C243" s="0" t="n">
        <v>1</v>
      </c>
      <c r="D243" s="0" t="s">
        <v>2442</v>
      </c>
      <c r="E243" s="0" t="n">
        <v>1899</v>
      </c>
      <c r="F243" s="0" t="s">
        <v>204</v>
      </c>
      <c r="I243" s="0" t="n">
        <v>654</v>
      </c>
      <c r="J243" s="0" t="n">
        <v>44588</v>
      </c>
      <c r="K243" s="0" t="n">
        <v>7898904331091</v>
      </c>
      <c r="L243" s="0" t="s">
        <v>2443</v>
      </c>
      <c r="N243" s="0" t="n">
        <v>15</v>
      </c>
      <c r="O243" s="0" t="n">
        <v>74.85</v>
      </c>
      <c r="P243" s="0" t="s">
        <v>2444</v>
      </c>
    </row>
    <row r="244" customFormat="false" ht="15" hidden="false" customHeight="true" outlineLevel="0" collapsed="false">
      <c r="A244" s="0" t="n">
        <v>2</v>
      </c>
      <c r="B244" s="71" t="n">
        <v>46178</v>
      </c>
      <c r="C244" s="0" t="n">
        <v>1</v>
      </c>
      <c r="D244" s="0" t="s">
        <v>2442</v>
      </c>
      <c r="E244" s="0" t="n">
        <v>1899</v>
      </c>
      <c r="F244" s="0" t="s">
        <v>204</v>
      </c>
      <c r="I244" s="0" t="n">
        <v>654</v>
      </c>
      <c r="J244" s="0" t="n">
        <v>77463</v>
      </c>
      <c r="K244" s="0" t="n">
        <v>774642</v>
      </c>
      <c r="L244" s="0" t="s">
        <v>2445</v>
      </c>
      <c r="N244" s="0" t="n">
        <v>30</v>
      </c>
      <c r="O244" s="0" t="n">
        <v>135</v>
      </c>
      <c r="P244" s="0" t="s">
        <v>2444</v>
      </c>
    </row>
    <row r="245" customFormat="false" ht="15" hidden="false" customHeight="true" outlineLevel="0" collapsed="false">
      <c r="A245" s="0" t="n">
        <v>2</v>
      </c>
      <c r="B245" s="71" t="n">
        <v>46178</v>
      </c>
      <c r="C245" s="0" t="n">
        <v>1</v>
      </c>
      <c r="D245" s="0" t="s">
        <v>2442</v>
      </c>
      <c r="E245" s="0" t="n">
        <v>1899</v>
      </c>
      <c r="F245" s="0" t="s">
        <v>204</v>
      </c>
      <c r="I245" s="0" t="n">
        <v>654</v>
      </c>
      <c r="J245" s="0" t="n">
        <v>78013</v>
      </c>
      <c r="K245" s="0" t="n">
        <v>780148</v>
      </c>
      <c r="L245" s="0" t="s">
        <v>2584</v>
      </c>
      <c r="N245" s="0" t="n">
        <v>5</v>
      </c>
      <c r="O245" s="0" t="n">
        <v>22.5</v>
      </c>
      <c r="P245" s="0" t="s">
        <v>2444</v>
      </c>
    </row>
    <row r="246" customFormat="false" ht="15" hidden="false" customHeight="true" outlineLevel="0" collapsed="false">
      <c r="A246" s="0" t="n">
        <v>2</v>
      </c>
      <c r="B246" s="71" t="n">
        <v>46178</v>
      </c>
      <c r="C246" s="0" t="n">
        <v>1</v>
      </c>
      <c r="D246" s="0" t="s">
        <v>2442</v>
      </c>
      <c r="E246" s="0" t="n">
        <v>1899</v>
      </c>
      <c r="F246" s="0" t="s">
        <v>204</v>
      </c>
      <c r="I246" s="0" t="n">
        <v>654</v>
      </c>
      <c r="J246" s="0" t="n">
        <v>78015</v>
      </c>
      <c r="K246" s="0" t="n">
        <v>780162</v>
      </c>
      <c r="L246" s="0" t="s">
        <v>2447</v>
      </c>
      <c r="N246" s="0" t="n">
        <v>10</v>
      </c>
      <c r="O246" s="0" t="n">
        <v>49.9</v>
      </c>
      <c r="P246" s="0" t="s">
        <v>2444</v>
      </c>
    </row>
    <row r="247" customFormat="false" ht="15" hidden="false" customHeight="true" outlineLevel="0" collapsed="false">
      <c r="A247" s="0" t="n">
        <v>2</v>
      </c>
      <c r="B247" s="71" t="n">
        <v>46178</v>
      </c>
      <c r="C247" s="0" t="n">
        <v>1</v>
      </c>
      <c r="D247" s="0" t="s">
        <v>2442</v>
      </c>
      <c r="E247" s="0" t="n">
        <v>1363</v>
      </c>
      <c r="F247" s="0" t="s">
        <v>174</v>
      </c>
      <c r="I247" s="0" t="n">
        <v>3322</v>
      </c>
      <c r="J247" s="0" t="n">
        <v>73511</v>
      </c>
      <c r="K247" s="0" t="n">
        <v>609963171019</v>
      </c>
      <c r="L247" s="0" t="s">
        <v>2585</v>
      </c>
      <c r="N247" s="0" t="n">
        <v>3</v>
      </c>
      <c r="O247" s="0" t="n">
        <v>18</v>
      </c>
      <c r="P247" s="0" t="s">
        <v>2444</v>
      </c>
    </row>
    <row r="248" customFormat="false" ht="15" hidden="false" customHeight="true" outlineLevel="0" collapsed="false">
      <c r="A248" s="0" t="n">
        <v>2</v>
      </c>
      <c r="B248" s="71" t="n">
        <v>46178</v>
      </c>
      <c r="C248" s="0" t="n">
        <v>1</v>
      </c>
      <c r="D248" s="0" t="s">
        <v>2442</v>
      </c>
      <c r="E248" s="0" t="n">
        <v>1363</v>
      </c>
      <c r="F248" s="0" t="s">
        <v>174</v>
      </c>
      <c r="I248" s="0" t="n">
        <v>3322</v>
      </c>
      <c r="J248" s="0" t="n">
        <v>65493</v>
      </c>
      <c r="K248" s="0" t="n">
        <v>609963171002</v>
      </c>
      <c r="L248" s="0" t="s">
        <v>2586</v>
      </c>
      <c r="N248" s="0" t="n">
        <v>5</v>
      </c>
      <c r="O248" s="0" t="n">
        <v>30</v>
      </c>
      <c r="P248" s="0" t="s">
        <v>2444</v>
      </c>
    </row>
    <row r="249" customFormat="false" ht="15" hidden="false" customHeight="true" outlineLevel="0" collapsed="false">
      <c r="A249" s="0" t="n">
        <v>2</v>
      </c>
      <c r="B249" s="71" t="n">
        <v>46178</v>
      </c>
      <c r="C249" s="0" t="n">
        <v>1</v>
      </c>
      <c r="D249" s="0" t="s">
        <v>2442</v>
      </c>
      <c r="E249" s="0" t="n">
        <v>1363</v>
      </c>
      <c r="F249" s="0" t="s">
        <v>174</v>
      </c>
      <c r="I249" s="0" t="n">
        <v>3322</v>
      </c>
      <c r="J249" s="0" t="n">
        <v>65494</v>
      </c>
      <c r="K249" s="0" t="n">
        <v>618231677535</v>
      </c>
      <c r="L249" s="0" t="s">
        <v>2587</v>
      </c>
      <c r="N249" s="0" t="n">
        <v>10</v>
      </c>
      <c r="O249" s="0" t="n">
        <v>60</v>
      </c>
      <c r="P249" s="0" t="s">
        <v>2444</v>
      </c>
    </row>
    <row r="250" customFormat="false" ht="15" hidden="false" customHeight="true" outlineLevel="0" collapsed="false">
      <c r="A250" s="0" t="n">
        <v>2</v>
      </c>
      <c r="B250" s="71" t="n">
        <v>46178</v>
      </c>
      <c r="C250" s="0" t="n">
        <v>1</v>
      </c>
      <c r="D250" s="0" t="s">
        <v>2442</v>
      </c>
      <c r="E250" s="0" t="n">
        <v>1363</v>
      </c>
      <c r="F250" s="0" t="s">
        <v>174</v>
      </c>
      <c r="I250" s="0" t="n">
        <v>3322</v>
      </c>
      <c r="J250" s="0" t="n">
        <v>65496</v>
      </c>
      <c r="K250" s="0" t="n">
        <v>618231677528</v>
      </c>
      <c r="L250" s="0" t="s">
        <v>2588</v>
      </c>
      <c r="N250" s="0" t="n">
        <v>3</v>
      </c>
      <c r="O250" s="0" t="n">
        <v>18</v>
      </c>
      <c r="P250" s="0" t="s">
        <v>2444</v>
      </c>
    </row>
    <row r="251" customFormat="false" ht="15" hidden="false" customHeight="true" outlineLevel="0" collapsed="false">
      <c r="A251" s="0" t="n">
        <v>2</v>
      </c>
      <c r="B251" s="71" t="n">
        <v>46178</v>
      </c>
      <c r="C251" s="0" t="n">
        <v>1</v>
      </c>
      <c r="D251" s="0" t="s">
        <v>2442</v>
      </c>
      <c r="E251" s="0" t="n">
        <v>1363</v>
      </c>
      <c r="F251" s="0" t="s">
        <v>174</v>
      </c>
      <c r="I251" s="0" t="n">
        <v>3322</v>
      </c>
      <c r="J251" s="0" t="n">
        <v>65621</v>
      </c>
      <c r="K251" s="0" t="n">
        <v>618231677504</v>
      </c>
      <c r="L251" s="0" t="s">
        <v>2589</v>
      </c>
      <c r="N251" s="0" t="n">
        <v>5</v>
      </c>
      <c r="O251" s="0" t="n">
        <v>35</v>
      </c>
      <c r="P251" s="0" t="s">
        <v>2444</v>
      </c>
    </row>
    <row r="252" customFormat="false" ht="15" hidden="false" customHeight="true" outlineLevel="0" collapsed="false">
      <c r="A252" s="0" t="n">
        <v>2</v>
      </c>
      <c r="B252" s="71" t="n">
        <v>46178</v>
      </c>
      <c r="C252" s="0" t="n">
        <v>1</v>
      </c>
      <c r="D252" s="0" t="s">
        <v>2442</v>
      </c>
      <c r="E252" s="0" t="n">
        <v>1328</v>
      </c>
      <c r="F252" s="0" t="s">
        <v>95</v>
      </c>
      <c r="I252" s="0" t="n">
        <v>3659</v>
      </c>
      <c r="J252" s="0" t="n">
        <v>50310</v>
      </c>
      <c r="K252" s="0" t="n">
        <v>7898588380101</v>
      </c>
      <c r="L252" s="0" t="s">
        <v>2502</v>
      </c>
      <c r="N252" s="0" t="n">
        <v>2</v>
      </c>
      <c r="O252" s="0" t="n">
        <v>15.4</v>
      </c>
      <c r="P252" s="0" t="s">
        <v>2444</v>
      </c>
    </row>
    <row r="253" customFormat="false" ht="15" hidden="false" customHeight="true" outlineLevel="0" collapsed="false">
      <c r="A253" s="0" t="n">
        <v>2</v>
      </c>
      <c r="B253" s="71" t="n">
        <v>46178</v>
      </c>
      <c r="C253" s="0" t="n">
        <v>1</v>
      </c>
      <c r="D253" s="0" t="s">
        <v>2442</v>
      </c>
      <c r="E253" s="0" t="n">
        <v>1328</v>
      </c>
      <c r="F253" s="0" t="s">
        <v>95</v>
      </c>
      <c r="I253" s="0" t="n">
        <v>3659</v>
      </c>
      <c r="J253" s="0" t="n">
        <v>21060</v>
      </c>
      <c r="K253" s="0" t="n">
        <v>7898588380118</v>
      </c>
      <c r="L253" s="0" t="s">
        <v>2504</v>
      </c>
      <c r="N253" s="0" t="n">
        <v>6</v>
      </c>
      <c r="O253" s="0" t="n">
        <v>42</v>
      </c>
      <c r="P253" s="0" t="s">
        <v>2444</v>
      </c>
    </row>
    <row r="254" customFormat="false" ht="15" hidden="false" customHeight="true" outlineLevel="0" collapsed="false">
      <c r="A254" s="0" t="n">
        <v>2</v>
      </c>
      <c r="B254" s="71" t="n">
        <v>46178</v>
      </c>
      <c r="C254" s="0" t="n">
        <v>1</v>
      </c>
      <c r="D254" s="0" t="s">
        <v>2442</v>
      </c>
      <c r="E254" s="0" t="n">
        <v>1328</v>
      </c>
      <c r="F254" s="0" t="s">
        <v>95</v>
      </c>
      <c r="I254" s="0" t="n">
        <v>3659</v>
      </c>
      <c r="J254" s="0" t="n">
        <v>31789</v>
      </c>
      <c r="K254" s="0" t="n">
        <v>7898588380149</v>
      </c>
      <c r="L254" s="0" t="s">
        <v>2446</v>
      </c>
      <c r="N254" s="0" t="n">
        <v>2</v>
      </c>
      <c r="O254" s="0" t="n">
        <v>11.44</v>
      </c>
      <c r="P254" s="0" t="s">
        <v>2444</v>
      </c>
    </row>
    <row r="255" customFormat="false" ht="15" hidden="false" customHeight="true" outlineLevel="0" collapsed="false">
      <c r="A255" s="0" t="n">
        <v>2</v>
      </c>
      <c r="B255" s="71" t="n">
        <v>46178</v>
      </c>
      <c r="C255" s="0" t="n">
        <v>1</v>
      </c>
      <c r="D255" s="0" t="s">
        <v>2442</v>
      </c>
      <c r="E255" s="0" t="n">
        <v>1328</v>
      </c>
      <c r="F255" s="0" t="s">
        <v>95</v>
      </c>
      <c r="I255" s="0" t="n">
        <v>3659</v>
      </c>
      <c r="J255" s="0" t="n">
        <v>31782</v>
      </c>
      <c r="K255" s="0" t="n">
        <v>7898588380132</v>
      </c>
      <c r="L255" s="0" t="s">
        <v>2505</v>
      </c>
      <c r="N255" s="0" t="n">
        <v>3</v>
      </c>
      <c r="O255" s="0" t="n">
        <v>17.16</v>
      </c>
      <c r="P255" s="0" t="s">
        <v>2444</v>
      </c>
    </row>
    <row r="256" customFormat="false" ht="15" hidden="false" customHeight="true" outlineLevel="0" collapsed="false">
      <c r="A256" s="0" t="n">
        <v>2</v>
      </c>
      <c r="B256" s="71" t="n">
        <v>46178</v>
      </c>
      <c r="C256" s="0" t="n">
        <v>1</v>
      </c>
      <c r="D256" s="0" t="s">
        <v>2442</v>
      </c>
      <c r="E256" s="0" t="n">
        <v>1328</v>
      </c>
      <c r="F256" s="0" t="s">
        <v>95</v>
      </c>
      <c r="I256" s="0" t="n">
        <v>3659</v>
      </c>
      <c r="J256" s="0" t="n">
        <v>31784</v>
      </c>
      <c r="K256" s="0" t="n">
        <v>7898588380545</v>
      </c>
      <c r="L256" s="0" t="s">
        <v>2590</v>
      </c>
      <c r="N256" s="0" t="n">
        <v>2</v>
      </c>
      <c r="O256" s="0" t="n">
        <v>11.44</v>
      </c>
      <c r="P256" s="0" t="s">
        <v>2444</v>
      </c>
    </row>
    <row r="257" customFormat="false" ht="15" hidden="false" customHeight="true" outlineLevel="0" collapsed="false">
      <c r="A257" s="0" t="n">
        <v>2</v>
      </c>
      <c r="B257" s="71" t="n">
        <v>46178</v>
      </c>
      <c r="C257" s="0" t="n">
        <v>1</v>
      </c>
      <c r="D257" s="0" t="s">
        <v>2442</v>
      </c>
      <c r="E257" s="0" t="n">
        <v>1328</v>
      </c>
      <c r="F257" s="0" t="s">
        <v>95</v>
      </c>
      <c r="I257" s="0" t="n">
        <v>3659</v>
      </c>
      <c r="J257" s="0" t="n">
        <v>31786</v>
      </c>
      <c r="K257" s="0" t="n">
        <v>7898588380187</v>
      </c>
      <c r="L257" s="0" t="s">
        <v>2506</v>
      </c>
      <c r="N257" s="0" t="n">
        <v>2</v>
      </c>
      <c r="O257" s="0" t="n">
        <v>11.44</v>
      </c>
      <c r="P257" s="0" t="s">
        <v>2444</v>
      </c>
    </row>
    <row r="258" customFormat="false" ht="15" hidden="false" customHeight="true" outlineLevel="0" collapsed="false">
      <c r="A258" s="0" t="n">
        <v>2</v>
      </c>
      <c r="B258" s="71" t="n">
        <v>46178</v>
      </c>
      <c r="C258" s="0" t="n">
        <v>1</v>
      </c>
      <c r="D258" s="0" t="s">
        <v>2442</v>
      </c>
      <c r="E258" s="0" t="n">
        <v>1328</v>
      </c>
      <c r="F258" s="0" t="s">
        <v>95</v>
      </c>
      <c r="I258" s="0" t="n">
        <v>3659</v>
      </c>
      <c r="J258" s="0" t="n">
        <v>31790</v>
      </c>
      <c r="K258" s="0" t="n">
        <v>7898588380231</v>
      </c>
      <c r="L258" s="0" t="s">
        <v>2508</v>
      </c>
      <c r="N258" s="0" t="n">
        <v>3</v>
      </c>
      <c r="O258" s="0" t="n">
        <v>17.16</v>
      </c>
      <c r="P258" s="0" t="s">
        <v>2444</v>
      </c>
    </row>
    <row r="259" customFormat="false" ht="15" hidden="false" customHeight="true" outlineLevel="0" collapsed="false">
      <c r="A259" s="0" t="n">
        <v>2</v>
      </c>
      <c r="B259" s="71" t="n">
        <v>46178</v>
      </c>
      <c r="C259" s="0" t="n">
        <v>1</v>
      </c>
      <c r="D259" s="0" t="s">
        <v>2442</v>
      </c>
      <c r="E259" s="0" t="n">
        <v>1038</v>
      </c>
      <c r="F259" s="0" t="s">
        <v>149</v>
      </c>
      <c r="I259" s="0" t="n">
        <v>5947</v>
      </c>
      <c r="J259" s="0" t="n">
        <v>61580</v>
      </c>
      <c r="K259" s="0" t="n">
        <v>2258157</v>
      </c>
      <c r="L259" s="0" t="s">
        <v>2509</v>
      </c>
      <c r="N259" s="0" t="n">
        <v>10</v>
      </c>
      <c r="O259" s="0" t="n">
        <v>120</v>
      </c>
      <c r="P259" s="0" t="s">
        <v>2444</v>
      </c>
    </row>
    <row r="260" customFormat="false" ht="15" hidden="false" customHeight="true" outlineLevel="0" collapsed="false">
      <c r="A260" s="0" t="n">
        <v>2</v>
      </c>
      <c r="B260" s="71" t="n">
        <v>46178</v>
      </c>
      <c r="C260" s="0" t="n">
        <v>1</v>
      </c>
      <c r="D260" s="0" t="s">
        <v>2442</v>
      </c>
      <c r="E260" s="0" t="n">
        <v>1038</v>
      </c>
      <c r="F260" s="0" t="s">
        <v>149</v>
      </c>
      <c r="I260" s="0" t="n">
        <v>5947</v>
      </c>
      <c r="J260" s="0" t="n">
        <v>61597</v>
      </c>
      <c r="K260" s="0" t="n">
        <v>2258188</v>
      </c>
      <c r="L260" s="0" t="s">
        <v>2510</v>
      </c>
      <c r="N260" s="0" t="n">
        <v>5</v>
      </c>
      <c r="O260" s="0" t="n">
        <v>20</v>
      </c>
      <c r="P260" s="0" t="s">
        <v>2444</v>
      </c>
    </row>
    <row r="261" customFormat="false" ht="15" hidden="false" customHeight="true" outlineLevel="0" collapsed="false">
      <c r="A261" s="0" t="n">
        <v>2</v>
      </c>
      <c r="B261" s="71" t="n">
        <v>46178</v>
      </c>
      <c r="C261" s="0" t="n">
        <v>1</v>
      </c>
      <c r="D261" s="0" t="s">
        <v>2442</v>
      </c>
      <c r="E261" s="0" t="n">
        <v>10002</v>
      </c>
      <c r="F261" s="0" t="s">
        <v>197</v>
      </c>
      <c r="I261" s="0" t="n">
        <v>195681</v>
      </c>
      <c r="J261" s="0" t="n">
        <v>103117</v>
      </c>
      <c r="K261" s="0" t="n">
        <v>7896014400737</v>
      </c>
      <c r="L261" s="0" t="s">
        <v>2591</v>
      </c>
      <c r="N261" s="0" t="n">
        <v>48</v>
      </c>
      <c r="O261" s="0" t="n">
        <v>75.16</v>
      </c>
      <c r="P261" s="0" t="s">
        <v>2444</v>
      </c>
    </row>
    <row r="262" customFormat="false" ht="15" hidden="false" customHeight="true" outlineLevel="0" collapsed="false">
      <c r="A262" s="0" t="n">
        <v>2</v>
      </c>
      <c r="B262" s="71" t="n">
        <v>46178</v>
      </c>
      <c r="C262" s="0" t="n">
        <v>1</v>
      </c>
      <c r="D262" s="0" t="s">
        <v>2442</v>
      </c>
      <c r="E262" s="0" t="n">
        <v>10002</v>
      </c>
      <c r="F262" s="0" t="s">
        <v>197</v>
      </c>
      <c r="I262" s="0" t="n">
        <v>195681</v>
      </c>
      <c r="J262" s="0" t="n">
        <v>103118</v>
      </c>
      <c r="K262" s="0" t="n">
        <v>7896014400645</v>
      </c>
      <c r="L262" s="0" t="s">
        <v>2592</v>
      </c>
      <c r="N262" s="0" t="n">
        <v>48</v>
      </c>
      <c r="O262" s="0" t="n">
        <v>90.08</v>
      </c>
      <c r="P262" s="0" t="s">
        <v>2444</v>
      </c>
    </row>
    <row r="263" customFormat="false" ht="15" hidden="false" customHeight="true" outlineLevel="0" collapsed="false">
      <c r="A263" s="0" t="n">
        <v>2</v>
      </c>
      <c r="B263" s="71" t="n">
        <v>46178</v>
      </c>
      <c r="C263" s="0" t="n">
        <v>1</v>
      </c>
      <c r="D263" s="0" t="s">
        <v>2442</v>
      </c>
      <c r="E263" s="0" t="n">
        <v>10002</v>
      </c>
      <c r="F263" s="0" t="s">
        <v>197</v>
      </c>
      <c r="I263" s="0" t="n">
        <v>195681</v>
      </c>
      <c r="J263" s="0" t="n">
        <v>103121</v>
      </c>
      <c r="K263" s="0" t="n">
        <v>7896014400553</v>
      </c>
      <c r="L263" s="0" t="s">
        <v>2593</v>
      </c>
      <c r="N263" s="0" t="n">
        <v>24</v>
      </c>
      <c r="O263" s="0" t="n">
        <v>42.06</v>
      </c>
      <c r="P263" s="0" t="s">
        <v>2444</v>
      </c>
    </row>
    <row r="264" customFormat="false" ht="15" hidden="false" customHeight="true" outlineLevel="0" collapsed="false">
      <c r="A264" s="0" t="n">
        <v>2</v>
      </c>
      <c r="B264" s="71" t="n">
        <v>46178</v>
      </c>
      <c r="C264" s="0" t="n">
        <v>1</v>
      </c>
      <c r="D264" s="0" t="s">
        <v>2442</v>
      </c>
      <c r="E264" s="0" t="n">
        <v>10002</v>
      </c>
      <c r="F264" s="0" t="s">
        <v>197</v>
      </c>
      <c r="I264" s="0" t="n">
        <v>195681</v>
      </c>
      <c r="J264" s="0" t="n">
        <v>12081</v>
      </c>
      <c r="K264" s="0" t="n">
        <v>7896014401079</v>
      </c>
      <c r="L264" s="0" t="s">
        <v>2594</v>
      </c>
      <c r="N264" s="0" t="n">
        <v>48</v>
      </c>
      <c r="O264" s="0" t="n">
        <v>123</v>
      </c>
      <c r="P264" s="0" t="s">
        <v>2444</v>
      </c>
    </row>
    <row r="265" customFormat="false" ht="15" hidden="false" customHeight="true" outlineLevel="0" collapsed="false">
      <c r="A265" s="0" t="n">
        <v>2</v>
      </c>
      <c r="B265" s="71" t="n">
        <v>46178</v>
      </c>
      <c r="C265" s="0" t="n">
        <v>1</v>
      </c>
      <c r="D265" s="0" t="s">
        <v>2442</v>
      </c>
      <c r="E265" s="0" t="n">
        <v>10002</v>
      </c>
      <c r="F265" s="0" t="s">
        <v>197</v>
      </c>
      <c r="I265" s="0" t="n">
        <v>195681</v>
      </c>
      <c r="J265" s="0" t="n">
        <v>12082</v>
      </c>
      <c r="K265" s="0" t="n">
        <v>7896014400829</v>
      </c>
      <c r="L265" s="0" t="s">
        <v>2595</v>
      </c>
      <c r="N265" s="0" t="n">
        <v>48</v>
      </c>
      <c r="O265" s="0" t="n">
        <v>223.6</v>
      </c>
      <c r="P265" s="0" t="s">
        <v>2444</v>
      </c>
    </row>
    <row r="266" customFormat="false" ht="15" hidden="false" customHeight="true" outlineLevel="0" collapsed="false">
      <c r="A266" s="0" t="n">
        <v>2</v>
      </c>
      <c r="B266" s="71" t="n">
        <v>46178</v>
      </c>
      <c r="C266" s="0" t="n">
        <v>1</v>
      </c>
      <c r="D266" s="0" t="s">
        <v>2442</v>
      </c>
      <c r="E266" s="0" t="n">
        <v>10002</v>
      </c>
      <c r="F266" s="0" t="s">
        <v>197</v>
      </c>
      <c r="I266" s="0" t="n">
        <v>195681</v>
      </c>
      <c r="J266" s="0" t="n">
        <v>29066</v>
      </c>
      <c r="K266" s="0" t="n">
        <v>7896014499007</v>
      </c>
      <c r="L266" s="0" t="s">
        <v>2596</v>
      </c>
      <c r="N266" s="0" t="n">
        <v>24</v>
      </c>
      <c r="O266" s="0" t="n">
        <v>64.66</v>
      </c>
      <c r="P266" s="0" t="s">
        <v>2444</v>
      </c>
    </row>
    <row r="267" customFormat="false" ht="15" hidden="false" customHeight="true" outlineLevel="0" collapsed="false">
      <c r="A267" s="0" t="n">
        <v>2</v>
      </c>
      <c r="B267" s="71" t="n">
        <v>46178</v>
      </c>
      <c r="C267" s="0" t="n">
        <v>1</v>
      </c>
      <c r="D267" s="0" t="s">
        <v>2442</v>
      </c>
      <c r="E267" s="0" t="n">
        <v>1683</v>
      </c>
      <c r="F267" s="0" t="s">
        <v>406</v>
      </c>
      <c r="I267" s="0" t="n">
        <v>1626342</v>
      </c>
      <c r="J267" s="0" t="n">
        <v>109791</v>
      </c>
      <c r="K267" s="0" t="n">
        <v>9667</v>
      </c>
      <c r="L267" s="0" t="s">
        <v>2465</v>
      </c>
      <c r="N267" s="0" t="n">
        <v>15</v>
      </c>
      <c r="O267" s="0" t="n">
        <v>22.5</v>
      </c>
      <c r="P267" s="0" t="s">
        <v>2444</v>
      </c>
    </row>
    <row r="268" customFormat="false" ht="15" hidden="false" customHeight="true" outlineLevel="0" collapsed="false">
      <c r="A268" s="0" t="n">
        <v>2</v>
      </c>
      <c r="B268" s="71" t="n">
        <v>46178</v>
      </c>
      <c r="C268" s="0" t="n">
        <v>1</v>
      </c>
      <c r="D268" s="0" t="s">
        <v>2442</v>
      </c>
      <c r="E268" s="0" t="n">
        <v>1683</v>
      </c>
      <c r="F268" s="0" t="s">
        <v>406</v>
      </c>
      <c r="I268" s="0" t="n">
        <v>1626342</v>
      </c>
      <c r="J268" s="0" t="n">
        <v>37359</v>
      </c>
      <c r="K268" s="0" t="n">
        <v>55526</v>
      </c>
      <c r="L268" s="0" t="s">
        <v>2466</v>
      </c>
      <c r="N268" s="0" t="n">
        <v>6</v>
      </c>
      <c r="O268" s="0" t="n">
        <v>21</v>
      </c>
      <c r="P268" s="0" t="s">
        <v>2444</v>
      </c>
    </row>
    <row r="269" customFormat="false" ht="15" hidden="false" customHeight="true" outlineLevel="0" collapsed="false">
      <c r="A269" s="0" t="n">
        <v>2</v>
      </c>
      <c r="B269" s="71" t="n">
        <v>46178</v>
      </c>
      <c r="C269" s="0" t="n">
        <v>1</v>
      </c>
      <c r="D269" s="0" t="s">
        <v>2442</v>
      </c>
      <c r="E269" s="0" t="n">
        <v>1683</v>
      </c>
      <c r="F269" s="0" t="s">
        <v>406</v>
      </c>
      <c r="I269" s="0" t="n">
        <v>1626342</v>
      </c>
      <c r="J269" s="0" t="n">
        <v>37361</v>
      </c>
      <c r="K269" s="0" t="n">
        <v>2240817</v>
      </c>
      <c r="L269" s="0" t="s">
        <v>2467</v>
      </c>
      <c r="N269" s="0" t="n">
        <v>50</v>
      </c>
      <c r="O269" s="0" t="n">
        <v>90</v>
      </c>
      <c r="P269" s="0" t="s">
        <v>2444</v>
      </c>
    </row>
    <row r="270" customFormat="false" ht="15" hidden="false" customHeight="true" outlineLevel="0" collapsed="false">
      <c r="A270" s="0" t="n">
        <v>2</v>
      </c>
      <c r="B270" s="71" t="n">
        <v>46178</v>
      </c>
      <c r="C270" s="0" t="n">
        <v>1</v>
      </c>
      <c r="D270" s="0" t="s">
        <v>2442</v>
      </c>
      <c r="E270" s="0" t="n">
        <v>1683</v>
      </c>
      <c r="F270" s="0" t="s">
        <v>406</v>
      </c>
      <c r="I270" s="0" t="n">
        <v>1627236</v>
      </c>
      <c r="J270" s="0" t="n">
        <v>37361</v>
      </c>
      <c r="K270" s="0" t="n">
        <v>2240817</v>
      </c>
      <c r="L270" s="0" t="s">
        <v>2467</v>
      </c>
      <c r="N270" s="0" t="n">
        <v>50</v>
      </c>
      <c r="O270" s="0" t="n">
        <v>90</v>
      </c>
      <c r="P270" s="0" t="s">
        <v>2444</v>
      </c>
    </row>
    <row r="271" customFormat="false" ht="15" hidden="false" customHeight="true" outlineLevel="0" collapsed="false">
      <c r="A271" s="0" t="n">
        <v>2</v>
      </c>
      <c r="B271" s="71" t="n">
        <v>46178</v>
      </c>
      <c r="C271" s="0" t="n">
        <v>1</v>
      </c>
      <c r="D271" s="0" t="s">
        <v>2442</v>
      </c>
      <c r="E271" s="0" t="n">
        <v>1683</v>
      </c>
      <c r="F271" s="0" t="s">
        <v>406</v>
      </c>
      <c r="I271" s="0" t="n">
        <v>1627239</v>
      </c>
      <c r="J271" s="0" t="n">
        <v>109791</v>
      </c>
      <c r="K271" s="0" t="n">
        <v>9667</v>
      </c>
      <c r="L271" s="0" t="s">
        <v>2465</v>
      </c>
      <c r="N271" s="0" t="n">
        <v>5</v>
      </c>
      <c r="O271" s="0" t="n">
        <v>7.5</v>
      </c>
      <c r="P271" s="0" t="s">
        <v>2444</v>
      </c>
    </row>
    <row r="272" customFormat="false" ht="15" hidden="false" customHeight="true" outlineLevel="0" collapsed="false">
      <c r="A272" s="0" t="n">
        <v>2</v>
      </c>
      <c r="B272" s="71" t="n">
        <v>46178</v>
      </c>
      <c r="C272" s="0" t="n">
        <v>1</v>
      </c>
      <c r="D272" s="0" t="s">
        <v>2442</v>
      </c>
      <c r="E272" s="0" t="n">
        <v>1683</v>
      </c>
      <c r="F272" s="0" t="s">
        <v>406</v>
      </c>
      <c r="I272" s="0" t="n">
        <v>1627239</v>
      </c>
      <c r="J272" s="0" t="n">
        <v>37359</v>
      </c>
      <c r="K272" s="0" t="n">
        <v>55526</v>
      </c>
      <c r="L272" s="0" t="s">
        <v>2466</v>
      </c>
      <c r="N272" s="0" t="n">
        <v>5</v>
      </c>
      <c r="O272" s="0" t="n">
        <v>20</v>
      </c>
      <c r="P272" s="0" t="s">
        <v>2444</v>
      </c>
    </row>
    <row r="273" customFormat="false" ht="15" hidden="false" customHeight="true" outlineLevel="0" collapsed="false">
      <c r="A273" s="0" t="n">
        <v>2</v>
      </c>
      <c r="B273" s="71" t="n">
        <v>46178</v>
      </c>
      <c r="C273" s="0" t="n">
        <v>1</v>
      </c>
      <c r="D273" s="0" t="s">
        <v>2442</v>
      </c>
      <c r="E273" s="0" t="n">
        <v>1683</v>
      </c>
      <c r="F273" s="0" t="s">
        <v>406</v>
      </c>
      <c r="I273" s="0" t="n">
        <v>1627239</v>
      </c>
      <c r="J273" s="0" t="n">
        <v>37361</v>
      </c>
      <c r="K273" s="0" t="n">
        <v>2240817</v>
      </c>
      <c r="L273" s="0" t="s">
        <v>2467</v>
      </c>
      <c r="N273" s="0" t="n">
        <v>30</v>
      </c>
      <c r="O273" s="0" t="n">
        <v>54</v>
      </c>
      <c r="P273" s="0" t="s">
        <v>2444</v>
      </c>
    </row>
    <row r="274" customFormat="false" ht="15" hidden="false" customHeight="true" outlineLevel="0" collapsed="false">
      <c r="A274" s="0" t="n">
        <v>2</v>
      </c>
      <c r="B274" s="71" t="n">
        <v>46178</v>
      </c>
      <c r="C274" s="0" t="n">
        <v>2</v>
      </c>
      <c r="D274" s="0" t="s">
        <v>2533</v>
      </c>
      <c r="E274" s="0" t="n">
        <v>48</v>
      </c>
      <c r="F274" s="0" t="s">
        <v>153</v>
      </c>
      <c r="I274" s="0" t="n">
        <v>5626</v>
      </c>
      <c r="J274" s="0" t="n">
        <v>100105</v>
      </c>
      <c r="K274" s="0" t="n">
        <v>106</v>
      </c>
      <c r="L274" s="0" t="s">
        <v>2536</v>
      </c>
      <c r="N274" s="0" t="n">
        <v>24</v>
      </c>
      <c r="O274" s="0" t="n">
        <v>160</v>
      </c>
      <c r="P274" s="0" t="s">
        <v>2444</v>
      </c>
    </row>
    <row r="275" customFormat="false" ht="15" hidden="false" customHeight="true" outlineLevel="0" collapsed="false">
      <c r="A275" s="0" t="n">
        <v>2</v>
      </c>
      <c r="B275" s="71" t="n">
        <v>46178</v>
      </c>
      <c r="C275" s="0" t="n">
        <v>2</v>
      </c>
      <c r="D275" s="0" t="s">
        <v>2533</v>
      </c>
      <c r="E275" s="0" t="n">
        <v>48</v>
      </c>
      <c r="F275" s="0" t="s">
        <v>153</v>
      </c>
      <c r="I275" s="0" t="n">
        <v>5626</v>
      </c>
      <c r="J275" s="0" t="n">
        <v>100113</v>
      </c>
      <c r="K275" s="0" t="n">
        <v>114</v>
      </c>
      <c r="L275" s="0" t="s">
        <v>2539</v>
      </c>
      <c r="N275" s="0" t="n">
        <v>20</v>
      </c>
      <c r="O275" s="0" t="n">
        <v>40</v>
      </c>
      <c r="P275" s="0" t="s">
        <v>2444</v>
      </c>
    </row>
    <row r="276" customFormat="false" ht="15" hidden="false" customHeight="true" outlineLevel="0" collapsed="false">
      <c r="A276" s="0" t="n">
        <v>2</v>
      </c>
      <c r="B276" s="71" t="n">
        <v>46178</v>
      </c>
      <c r="C276" s="0" t="n">
        <v>2</v>
      </c>
      <c r="D276" s="0" t="s">
        <v>2533</v>
      </c>
      <c r="E276" s="0" t="n">
        <v>48</v>
      </c>
      <c r="F276" s="0" t="s">
        <v>153</v>
      </c>
      <c r="I276" s="0" t="n">
        <v>5626</v>
      </c>
      <c r="J276" s="0" t="n">
        <v>100118</v>
      </c>
      <c r="K276" s="0" t="n">
        <v>119</v>
      </c>
      <c r="L276" s="0" t="s">
        <v>2541</v>
      </c>
      <c r="N276" s="0" t="n">
        <v>6</v>
      </c>
      <c r="O276" s="0" t="n">
        <v>21</v>
      </c>
      <c r="P276" s="0" t="s">
        <v>2444</v>
      </c>
    </row>
    <row r="277" customFormat="false" ht="15" hidden="false" customHeight="true" outlineLevel="0" collapsed="false">
      <c r="A277" s="0" t="n">
        <v>2</v>
      </c>
      <c r="B277" s="71" t="n">
        <v>46178</v>
      </c>
      <c r="C277" s="0" t="n">
        <v>2</v>
      </c>
      <c r="D277" s="0" t="s">
        <v>2533</v>
      </c>
      <c r="E277" s="0" t="n">
        <v>48</v>
      </c>
      <c r="F277" s="0" t="s">
        <v>153</v>
      </c>
      <c r="I277" s="0" t="n">
        <v>5626</v>
      </c>
      <c r="J277" s="0" t="n">
        <v>100121</v>
      </c>
      <c r="K277" s="0" t="n">
        <v>122</v>
      </c>
      <c r="L277" s="0" t="s">
        <v>2542</v>
      </c>
      <c r="N277" s="0" t="n">
        <v>3</v>
      </c>
      <c r="O277" s="0" t="n">
        <v>51</v>
      </c>
      <c r="P277" s="0" t="s">
        <v>2444</v>
      </c>
    </row>
    <row r="278" customFormat="false" ht="15" hidden="false" customHeight="true" outlineLevel="0" collapsed="false">
      <c r="A278" s="0" t="n">
        <v>2</v>
      </c>
      <c r="B278" s="71" t="n">
        <v>46178</v>
      </c>
      <c r="C278" s="0" t="n">
        <v>2</v>
      </c>
      <c r="D278" s="0" t="s">
        <v>2533</v>
      </c>
      <c r="E278" s="0" t="n">
        <v>48</v>
      </c>
      <c r="F278" s="0" t="s">
        <v>153</v>
      </c>
      <c r="I278" s="0" t="n">
        <v>5626</v>
      </c>
      <c r="J278" s="0" t="n">
        <v>100122</v>
      </c>
      <c r="K278" s="0" t="n">
        <v>123</v>
      </c>
      <c r="L278" s="0" t="s">
        <v>2543</v>
      </c>
      <c r="N278" s="0" t="n">
        <v>3</v>
      </c>
      <c r="O278" s="0" t="n">
        <v>45</v>
      </c>
      <c r="P278" s="0" t="s">
        <v>2444</v>
      </c>
    </row>
    <row r="279" customFormat="false" ht="15" hidden="false" customHeight="true" outlineLevel="0" collapsed="false">
      <c r="A279" s="0" t="n">
        <v>2</v>
      </c>
      <c r="B279" s="71" t="n">
        <v>46178</v>
      </c>
      <c r="C279" s="0" t="n">
        <v>2</v>
      </c>
      <c r="D279" s="0" t="s">
        <v>2533</v>
      </c>
      <c r="E279" s="0" t="n">
        <v>48</v>
      </c>
      <c r="F279" s="0" t="s">
        <v>153</v>
      </c>
      <c r="I279" s="0" t="n">
        <v>5626</v>
      </c>
      <c r="J279" s="0" t="n">
        <v>100123</v>
      </c>
      <c r="K279" s="0" t="n">
        <v>124</v>
      </c>
      <c r="L279" s="0" t="s">
        <v>2544</v>
      </c>
      <c r="N279" s="0" t="n">
        <v>1</v>
      </c>
      <c r="O279" s="0" t="n">
        <v>10</v>
      </c>
      <c r="P279" s="0" t="s">
        <v>2444</v>
      </c>
    </row>
    <row r="280" customFormat="false" ht="15" hidden="false" customHeight="true" outlineLevel="0" collapsed="false">
      <c r="A280" s="0" t="n">
        <v>2</v>
      </c>
      <c r="B280" s="71" t="n">
        <v>46178</v>
      </c>
      <c r="C280" s="0" t="n">
        <v>2</v>
      </c>
      <c r="D280" s="0" t="s">
        <v>2533</v>
      </c>
      <c r="E280" s="0" t="n">
        <v>48</v>
      </c>
      <c r="F280" s="0" t="s">
        <v>153</v>
      </c>
      <c r="I280" s="0" t="n">
        <v>5626</v>
      </c>
      <c r="J280" s="0" t="n">
        <v>100125</v>
      </c>
      <c r="K280" s="0" t="n">
        <v>126</v>
      </c>
      <c r="L280" s="0" t="s">
        <v>2597</v>
      </c>
      <c r="N280" s="0" t="n">
        <v>40</v>
      </c>
      <c r="O280" s="0" t="n">
        <v>440</v>
      </c>
      <c r="P280" s="0" t="s">
        <v>2444</v>
      </c>
    </row>
    <row r="281" customFormat="false" ht="15" hidden="false" customHeight="true" outlineLevel="0" collapsed="false">
      <c r="A281" s="0" t="n">
        <v>2</v>
      </c>
      <c r="B281" s="71" t="n">
        <v>46178</v>
      </c>
      <c r="C281" s="0" t="n">
        <v>2</v>
      </c>
      <c r="D281" s="0" t="s">
        <v>2533</v>
      </c>
      <c r="E281" s="0" t="n">
        <v>48</v>
      </c>
      <c r="F281" s="0" t="s">
        <v>153</v>
      </c>
      <c r="I281" s="0" t="n">
        <v>5626</v>
      </c>
      <c r="J281" s="0" t="n">
        <v>100129</v>
      </c>
      <c r="K281" s="0" t="n">
        <v>130</v>
      </c>
      <c r="L281" s="0" t="s">
        <v>2598</v>
      </c>
      <c r="N281" s="0" t="n">
        <v>7</v>
      </c>
      <c r="O281" s="0" t="n">
        <v>43.05</v>
      </c>
      <c r="P281" s="0" t="s">
        <v>2444</v>
      </c>
    </row>
    <row r="282" customFormat="false" ht="15" hidden="false" customHeight="true" outlineLevel="0" collapsed="false">
      <c r="A282" s="0" t="n">
        <v>2</v>
      </c>
      <c r="B282" s="71" t="n">
        <v>46178</v>
      </c>
      <c r="C282" s="0" t="n">
        <v>2</v>
      </c>
      <c r="D282" s="0" t="s">
        <v>2533</v>
      </c>
      <c r="E282" s="0" t="n">
        <v>48</v>
      </c>
      <c r="F282" s="0" t="s">
        <v>153</v>
      </c>
      <c r="I282" s="0" t="n">
        <v>5626</v>
      </c>
      <c r="J282" s="0" t="n">
        <v>100133</v>
      </c>
      <c r="K282" s="0" t="n">
        <v>134</v>
      </c>
      <c r="L282" s="0" t="s">
        <v>2547</v>
      </c>
      <c r="N282" s="0" t="n">
        <v>15</v>
      </c>
      <c r="O282" s="0" t="n">
        <v>37.5</v>
      </c>
      <c r="P282" s="0" t="s">
        <v>2444</v>
      </c>
    </row>
    <row r="283" customFormat="false" ht="15" hidden="false" customHeight="true" outlineLevel="0" collapsed="false">
      <c r="A283" s="0" t="n">
        <v>2</v>
      </c>
      <c r="B283" s="71" t="n">
        <v>46178</v>
      </c>
      <c r="C283" s="0" t="n">
        <v>2</v>
      </c>
      <c r="D283" s="0" t="s">
        <v>2533</v>
      </c>
      <c r="E283" s="0" t="n">
        <v>48</v>
      </c>
      <c r="F283" s="0" t="s">
        <v>153</v>
      </c>
      <c r="I283" s="0" t="n">
        <v>5626</v>
      </c>
      <c r="J283" s="0" t="n">
        <v>100135</v>
      </c>
      <c r="K283" s="0" t="n">
        <v>136</v>
      </c>
      <c r="L283" s="0" t="s">
        <v>2599</v>
      </c>
      <c r="N283" s="0" t="n">
        <v>18</v>
      </c>
      <c r="O283" s="0" t="n">
        <v>150</v>
      </c>
      <c r="P283" s="0" t="s">
        <v>2444</v>
      </c>
    </row>
    <row r="284" customFormat="false" ht="15" hidden="false" customHeight="true" outlineLevel="0" collapsed="false">
      <c r="A284" s="0" t="n">
        <v>2</v>
      </c>
      <c r="B284" s="71" t="n">
        <v>46178</v>
      </c>
      <c r="C284" s="0" t="n">
        <v>2</v>
      </c>
      <c r="D284" s="0" t="s">
        <v>2533</v>
      </c>
      <c r="E284" s="0" t="n">
        <v>48</v>
      </c>
      <c r="F284" s="0" t="s">
        <v>153</v>
      </c>
      <c r="I284" s="0" t="n">
        <v>5626</v>
      </c>
      <c r="J284" s="0" t="n">
        <v>100148</v>
      </c>
      <c r="K284" s="0" t="n">
        <v>149</v>
      </c>
      <c r="L284" s="0" t="s">
        <v>2600</v>
      </c>
      <c r="N284" s="0" t="n">
        <v>5</v>
      </c>
      <c r="O284" s="0" t="n">
        <v>44.4</v>
      </c>
      <c r="P284" s="0" t="s">
        <v>2444</v>
      </c>
    </row>
    <row r="285" customFormat="false" ht="15" hidden="false" customHeight="true" outlineLevel="0" collapsed="false">
      <c r="A285" s="0" t="n">
        <v>2</v>
      </c>
      <c r="B285" s="71" t="n">
        <v>46178</v>
      </c>
      <c r="C285" s="0" t="n">
        <v>2</v>
      </c>
      <c r="D285" s="0" t="s">
        <v>2533</v>
      </c>
      <c r="E285" s="0" t="n">
        <v>48</v>
      </c>
      <c r="F285" s="0" t="s">
        <v>153</v>
      </c>
      <c r="I285" s="0" t="n">
        <v>5626</v>
      </c>
      <c r="J285" s="0" t="n">
        <v>110489</v>
      </c>
      <c r="K285" s="0" t="n">
        <v>54743</v>
      </c>
      <c r="L285" s="0" t="s">
        <v>2550</v>
      </c>
      <c r="N285" s="0" t="n">
        <v>40</v>
      </c>
      <c r="O285" s="0" t="n">
        <v>240</v>
      </c>
      <c r="P285" s="0" t="s">
        <v>2444</v>
      </c>
    </row>
    <row r="286" customFormat="false" ht="15" hidden="false" customHeight="true" outlineLevel="0" collapsed="false">
      <c r="A286" s="0" t="n">
        <v>2</v>
      </c>
      <c r="B286" s="71" t="n">
        <v>46178</v>
      </c>
      <c r="C286" s="0" t="n">
        <v>2</v>
      </c>
      <c r="D286" s="0" t="s">
        <v>2533</v>
      </c>
      <c r="E286" s="0" t="n">
        <v>48</v>
      </c>
      <c r="F286" s="0" t="s">
        <v>153</v>
      </c>
      <c r="I286" s="0" t="n">
        <v>562026</v>
      </c>
      <c r="J286" s="0" t="n">
        <v>42564</v>
      </c>
      <c r="K286" s="0" t="n">
        <v>574</v>
      </c>
      <c r="L286" s="0" t="s">
        <v>2534</v>
      </c>
      <c r="N286" s="0" t="n">
        <v>19</v>
      </c>
      <c r="O286" s="0" t="n">
        <v>247</v>
      </c>
      <c r="P286" s="0" t="s">
        <v>2444</v>
      </c>
    </row>
    <row r="287" customFormat="false" ht="15" hidden="false" customHeight="true" outlineLevel="0" collapsed="false">
      <c r="A287" s="0" t="n">
        <v>2</v>
      </c>
      <c r="B287" s="71" t="n">
        <v>46178</v>
      </c>
      <c r="C287" s="0" t="n">
        <v>6</v>
      </c>
      <c r="D287" s="0" t="s">
        <v>2553</v>
      </c>
      <c r="E287" s="0" t="n">
        <v>48</v>
      </c>
      <c r="F287" s="0" t="s">
        <v>153</v>
      </c>
      <c r="I287" s="0" t="n">
        <v>2479</v>
      </c>
      <c r="J287" s="0" t="n">
        <v>100105</v>
      </c>
      <c r="K287" s="0" t="n">
        <v>106</v>
      </c>
      <c r="L287" s="0" t="s">
        <v>2536</v>
      </c>
      <c r="N287" s="0" t="n">
        <v>24</v>
      </c>
      <c r="O287" s="0" t="n">
        <v>160</v>
      </c>
      <c r="P287" s="0" t="s">
        <v>2444</v>
      </c>
    </row>
    <row r="288" customFormat="false" ht="15" hidden="false" customHeight="true" outlineLevel="0" collapsed="false">
      <c r="A288" s="0" t="n">
        <v>2</v>
      </c>
      <c r="B288" s="71" t="n">
        <v>46178</v>
      </c>
      <c r="C288" s="0" t="n">
        <v>6</v>
      </c>
      <c r="D288" s="0" t="s">
        <v>2553</v>
      </c>
      <c r="E288" s="0" t="n">
        <v>48</v>
      </c>
      <c r="F288" s="0" t="s">
        <v>153</v>
      </c>
      <c r="I288" s="0" t="n">
        <v>2479</v>
      </c>
      <c r="J288" s="0" t="n">
        <v>100113</v>
      </c>
      <c r="K288" s="0" t="n">
        <v>114</v>
      </c>
      <c r="L288" s="0" t="s">
        <v>2539</v>
      </c>
      <c r="N288" s="0" t="n">
        <v>20</v>
      </c>
      <c r="O288" s="0" t="n">
        <v>40</v>
      </c>
      <c r="P288" s="0" t="s">
        <v>2444</v>
      </c>
    </row>
    <row r="289" customFormat="false" ht="15" hidden="false" customHeight="true" outlineLevel="0" collapsed="false">
      <c r="A289" s="0" t="n">
        <v>2</v>
      </c>
      <c r="B289" s="71" t="n">
        <v>46178</v>
      </c>
      <c r="C289" s="0" t="n">
        <v>6</v>
      </c>
      <c r="D289" s="0" t="s">
        <v>2553</v>
      </c>
      <c r="E289" s="0" t="n">
        <v>48</v>
      </c>
      <c r="F289" s="0" t="s">
        <v>153</v>
      </c>
      <c r="I289" s="0" t="n">
        <v>2479</v>
      </c>
      <c r="J289" s="0" t="n">
        <v>100118</v>
      </c>
      <c r="K289" s="0" t="n">
        <v>119</v>
      </c>
      <c r="L289" s="0" t="s">
        <v>2541</v>
      </c>
      <c r="N289" s="0" t="n">
        <v>6</v>
      </c>
      <c r="O289" s="0" t="n">
        <v>21</v>
      </c>
      <c r="P289" s="0" t="s">
        <v>2444</v>
      </c>
    </row>
    <row r="290" customFormat="false" ht="15" hidden="false" customHeight="true" outlineLevel="0" collapsed="false">
      <c r="A290" s="0" t="n">
        <v>2</v>
      </c>
      <c r="B290" s="71" t="n">
        <v>46178</v>
      </c>
      <c r="C290" s="0" t="n">
        <v>6</v>
      </c>
      <c r="D290" s="0" t="s">
        <v>2553</v>
      </c>
      <c r="E290" s="0" t="n">
        <v>48</v>
      </c>
      <c r="F290" s="0" t="s">
        <v>153</v>
      </c>
      <c r="I290" s="0" t="n">
        <v>2479</v>
      </c>
      <c r="J290" s="0" t="n">
        <v>100121</v>
      </c>
      <c r="K290" s="0" t="n">
        <v>122</v>
      </c>
      <c r="L290" s="0" t="s">
        <v>2542</v>
      </c>
      <c r="N290" s="0" t="n">
        <v>3</v>
      </c>
      <c r="O290" s="0" t="n">
        <v>51</v>
      </c>
      <c r="P290" s="0" t="s">
        <v>2444</v>
      </c>
    </row>
    <row r="291" customFormat="false" ht="15" hidden="false" customHeight="true" outlineLevel="0" collapsed="false">
      <c r="A291" s="0" t="n">
        <v>2</v>
      </c>
      <c r="B291" s="71" t="n">
        <v>46178</v>
      </c>
      <c r="C291" s="0" t="n">
        <v>6</v>
      </c>
      <c r="D291" s="0" t="s">
        <v>2553</v>
      </c>
      <c r="E291" s="0" t="n">
        <v>48</v>
      </c>
      <c r="F291" s="0" t="s">
        <v>153</v>
      </c>
      <c r="I291" s="0" t="n">
        <v>2479</v>
      </c>
      <c r="J291" s="0" t="n">
        <v>100122</v>
      </c>
      <c r="K291" s="0" t="n">
        <v>123</v>
      </c>
      <c r="L291" s="0" t="s">
        <v>2543</v>
      </c>
      <c r="N291" s="0" t="n">
        <v>3</v>
      </c>
      <c r="O291" s="0" t="n">
        <v>45</v>
      </c>
      <c r="P291" s="0" t="s">
        <v>2444</v>
      </c>
    </row>
    <row r="292" customFormat="false" ht="15" hidden="false" customHeight="true" outlineLevel="0" collapsed="false">
      <c r="A292" s="0" t="n">
        <v>2</v>
      </c>
      <c r="B292" s="71" t="n">
        <v>46178</v>
      </c>
      <c r="C292" s="0" t="n">
        <v>6</v>
      </c>
      <c r="D292" s="0" t="s">
        <v>2553</v>
      </c>
      <c r="E292" s="0" t="n">
        <v>48</v>
      </c>
      <c r="F292" s="0" t="s">
        <v>153</v>
      </c>
      <c r="I292" s="0" t="n">
        <v>2479</v>
      </c>
      <c r="J292" s="0" t="n">
        <v>100123</v>
      </c>
      <c r="K292" s="0" t="n">
        <v>124</v>
      </c>
      <c r="L292" s="0" t="s">
        <v>2544</v>
      </c>
      <c r="N292" s="0" t="n">
        <v>1</v>
      </c>
      <c r="O292" s="0" t="n">
        <v>10</v>
      </c>
      <c r="P292" s="0" t="s">
        <v>2444</v>
      </c>
    </row>
    <row r="293" customFormat="false" ht="15" hidden="false" customHeight="true" outlineLevel="0" collapsed="false">
      <c r="A293" s="0" t="n">
        <v>2</v>
      </c>
      <c r="B293" s="71" t="n">
        <v>46178</v>
      </c>
      <c r="C293" s="0" t="n">
        <v>6</v>
      </c>
      <c r="D293" s="0" t="s">
        <v>2553</v>
      </c>
      <c r="E293" s="0" t="n">
        <v>48</v>
      </c>
      <c r="F293" s="0" t="s">
        <v>153</v>
      </c>
      <c r="I293" s="0" t="n">
        <v>2479</v>
      </c>
      <c r="J293" s="0" t="n">
        <v>100125</v>
      </c>
      <c r="K293" s="0" t="n">
        <v>126</v>
      </c>
      <c r="L293" s="0" t="s">
        <v>2597</v>
      </c>
      <c r="N293" s="0" t="n">
        <v>40</v>
      </c>
      <c r="O293" s="0" t="n">
        <v>440</v>
      </c>
      <c r="P293" s="0" t="s">
        <v>2444</v>
      </c>
    </row>
    <row r="294" customFormat="false" ht="15" hidden="false" customHeight="true" outlineLevel="0" collapsed="false">
      <c r="A294" s="0" t="n">
        <v>2</v>
      </c>
      <c r="B294" s="71" t="n">
        <v>46178</v>
      </c>
      <c r="C294" s="0" t="n">
        <v>6</v>
      </c>
      <c r="D294" s="0" t="s">
        <v>2553</v>
      </c>
      <c r="E294" s="0" t="n">
        <v>48</v>
      </c>
      <c r="F294" s="0" t="s">
        <v>153</v>
      </c>
      <c r="I294" s="0" t="n">
        <v>2479</v>
      </c>
      <c r="J294" s="0" t="n">
        <v>100129</v>
      </c>
      <c r="K294" s="0" t="n">
        <v>130</v>
      </c>
      <c r="L294" s="0" t="s">
        <v>2598</v>
      </c>
      <c r="N294" s="0" t="n">
        <v>7</v>
      </c>
      <c r="O294" s="0" t="n">
        <v>43.05</v>
      </c>
      <c r="P294" s="0" t="s">
        <v>2444</v>
      </c>
    </row>
    <row r="295" customFormat="false" ht="15" hidden="false" customHeight="true" outlineLevel="0" collapsed="false">
      <c r="A295" s="0" t="n">
        <v>2</v>
      </c>
      <c r="B295" s="71" t="n">
        <v>46178</v>
      </c>
      <c r="C295" s="0" t="n">
        <v>6</v>
      </c>
      <c r="D295" s="0" t="s">
        <v>2553</v>
      </c>
      <c r="E295" s="0" t="n">
        <v>48</v>
      </c>
      <c r="F295" s="0" t="s">
        <v>153</v>
      </c>
      <c r="I295" s="0" t="n">
        <v>2479</v>
      </c>
      <c r="J295" s="0" t="n">
        <v>100133</v>
      </c>
      <c r="K295" s="0" t="n">
        <v>134</v>
      </c>
      <c r="L295" s="0" t="s">
        <v>2547</v>
      </c>
      <c r="N295" s="0" t="n">
        <v>15</v>
      </c>
      <c r="O295" s="0" t="n">
        <v>37.5</v>
      </c>
      <c r="P295" s="0" t="s">
        <v>2444</v>
      </c>
    </row>
    <row r="296" customFormat="false" ht="15" hidden="false" customHeight="true" outlineLevel="0" collapsed="false">
      <c r="A296" s="0" t="n">
        <v>2</v>
      </c>
      <c r="B296" s="71" t="n">
        <v>46178</v>
      </c>
      <c r="C296" s="0" t="n">
        <v>6</v>
      </c>
      <c r="D296" s="0" t="s">
        <v>2553</v>
      </c>
      <c r="E296" s="0" t="n">
        <v>48</v>
      </c>
      <c r="F296" s="0" t="s">
        <v>153</v>
      </c>
      <c r="I296" s="0" t="n">
        <v>2479</v>
      </c>
      <c r="J296" s="0" t="n">
        <v>100135</v>
      </c>
      <c r="K296" s="0" t="n">
        <v>136</v>
      </c>
      <c r="L296" s="0" t="s">
        <v>2599</v>
      </c>
      <c r="N296" s="0" t="n">
        <v>18</v>
      </c>
      <c r="O296" s="0" t="n">
        <v>150</v>
      </c>
      <c r="P296" s="0" t="s">
        <v>2444</v>
      </c>
    </row>
    <row r="297" customFormat="false" ht="15" hidden="false" customHeight="true" outlineLevel="0" collapsed="false">
      <c r="A297" s="0" t="n">
        <v>2</v>
      </c>
      <c r="B297" s="71" t="n">
        <v>46178</v>
      </c>
      <c r="C297" s="0" t="n">
        <v>6</v>
      </c>
      <c r="D297" s="0" t="s">
        <v>2553</v>
      </c>
      <c r="E297" s="0" t="n">
        <v>48</v>
      </c>
      <c r="F297" s="0" t="s">
        <v>153</v>
      </c>
      <c r="I297" s="0" t="n">
        <v>2479</v>
      </c>
      <c r="J297" s="0" t="n">
        <v>100148</v>
      </c>
      <c r="K297" s="0" t="n">
        <v>149</v>
      </c>
      <c r="L297" s="0" t="s">
        <v>2600</v>
      </c>
      <c r="N297" s="0" t="n">
        <v>5</v>
      </c>
      <c r="O297" s="0" t="n">
        <v>44.4</v>
      </c>
      <c r="P297" s="0" t="s">
        <v>2444</v>
      </c>
    </row>
    <row r="298" customFormat="false" ht="15" hidden="false" customHeight="true" outlineLevel="0" collapsed="false">
      <c r="A298" s="0" t="n">
        <v>2</v>
      </c>
      <c r="B298" s="71" t="n">
        <v>46178</v>
      </c>
      <c r="C298" s="0" t="n">
        <v>6</v>
      </c>
      <c r="D298" s="0" t="s">
        <v>2553</v>
      </c>
      <c r="E298" s="0" t="n">
        <v>48</v>
      </c>
      <c r="F298" s="0" t="s">
        <v>153</v>
      </c>
      <c r="I298" s="0" t="n">
        <v>2479</v>
      </c>
      <c r="J298" s="0" t="n">
        <v>110489</v>
      </c>
      <c r="K298" s="0" t="n">
        <v>54743</v>
      </c>
      <c r="L298" s="0" t="s">
        <v>2550</v>
      </c>
      <c r="N298" s="0" t="n">
        <v>40</v>
      </c>
      <c r="O298" s="0" t="n">
        <v>240</v>
      </c>
      <c r="P298" s="0" t="s">
        <v>2444</v>
      </c>
    </row>
    <row r="299" customFormat="false" ht="15" hidden="false" customHeight="true" outlineLevel="0" collapsed="false">
      <c r="A299" s="0" t="n">
        <v>2</v>
      </c>
      <c r="B299" s="71" t="n">
        <v>46178</v>
      </c>
      <c r="C299" s="0" t="n">
        <v>6</v>
      </c>
      <c r="D299" s="0" t="s">
        <v>2553</v>
      </c>
      <c r="E299" s="0" t="n">
        <v>48</v>
      </c>
      <c r="F299" s="0" t="s">
        <v>153</v>
      </c>
      <c r="I299" s="0" t="n">
        <v>2480</v>
      </c>
      <c r="J299" s="0" t="n">
        <v>42564</v>
      </c>
      <c r="K299" s="0" t="n">
        <v>574</v>
      </c>
      <c r="L299" s="0" t="s">
        <v>2534</v>
      </c>
      <c r="N299" s="0" t="n">
        <v>19</v>
      </c>
      <c r="O299" s="0" t="n">
        <v>247</v>
      </c>
      <c r="P299" s="0" t="s">
        <v>2444</v>
      </c>
    </row>
    <row r="300" customFormat="false" ht="15" hidden="false" customHeight="true" outlineLevel="0" collapsed="false">
      <c r="A300" s="0" t="n">
        <v>2</v>
      </c>
      <c r="B300" s="71" t="n">
        <v>46178</v>
      </c>
      <c r="C300" s="0" t="n">
        <v>11</v>
      </c>
      <c r="D300" s="0" t="s">
        <v>2471</v>
      </c>
      <c r="E300" s="0" t="n">
        <v>1626</v>
      </c>
      <c r="F300" s="0" t="s">
        <v>77</v>
      </c>
      <c r="I300" s="0" t="n">
        <v>308379</v>
      </c>
      <c r="J300" s="0" t="n">
        <v>16832</v>
      </c>
      <c r="K300" s="0" t="n">
        <v>7894904500116</v>
      </c>
      <c r="L300" s="0" t="s">
        <v>2601</v>
      </c>
      <c r="N300" s="0" t="n">
        <v>32</v>
      </c>
      <c r="O300" s="0" t="n">
        <v>223.66</v>
      </c>
      <c r="P300" s="0" t="s">
        <v>2444</v>
      </c>
    </row>
    <row r="301" customFormat="false" ht="15" hidden="false" customHeight="true" outlineLevel="0" collapsed="false">
      <c r="A301" s="0" t="n">
        <v>2</v>
      </c>
      <c r="B301" s="71" t="n">
        <v>46178</v>
      </c>
      <c r="C301" s="0" t="n">
        <v>11</v>
      </c>
      <c r="D301" s="0" t="s">
        <v>2471</v>
      </c>
      <c r="E301" s="0" t="n">
        <v>1626</v>
      </c>
      <c r="F301" s="0" t="s">
        <v>77</v>
      </c>
      <c r="I301" s="0" t="n">
        <v>308379</v>
      </c>
      <c r="J301" s="0" t="n">
        <v>19609</v>
      </c>
      <c r="K301" s="0" t="n">
        <v>7891143013919</v>
      </c>
      <c r="L301" s="0" t="s">
        <v>2602</v>
      </c>
      <c r="N301" s="0" t="n">
        <v>6</v>
      </c>
      <c r="O301" s="0" t="n">
        <v>46.16</v>
      </c>
      <c r="P301" s="0" t="s">
        <v>2444</v>
      </c>
    </row>
    <row r="302" customFormat="false" ht="15" hidden="false" customHeight="true" outlineLevel="0" collapsed="false">
      <c r="A302" s="0" t="n">
        <v>2</v>
      </c>
      <c r="B302" s="71" t="n">
        <v>46178</v>
      </c>
      <c r="C302" s="0" t="n">
        <v>11</v>
      </c>
      <c r="D302" s="0" t="s">
        <v>2471</v>
      </c>
      <c r="E302" s="0" t="n">
        <v>1626</v>
      </c>
      <c r="F302" s="0" t="s">
        <v>77</v>
      </c>
      <c r="I302" s="0" t="n">
        <v>308379</v>
      </c>
      <c r="J302" s="0" t="n">
        <v>21292</v>
      </c>
      <c r="K302" s="0" t="n">
        <v>7891143017887</v>
      </c>
      <c r="L302" s="0" t="s">
        <v>2603</v>
      </c>
      <c r="N302" s="0" t="n">
        <v>72</v>
      </c>
      <c r="O302" s="0" t="n">
        <v>74.2</v>
      </c>
      <c r="P302" s="0" t="s">
        <v>2444</v>
      </c>
    </row>
    <row r="303" customFormat="false" ht="15" hidden="false" customHeight="true" outlineLevel="0" collapsed="false">
      <c r="A303" s="0" t="n">
        <v>2</v>
      </c>
      <c r="B303" s="71" t="n">
        <v>46178</v>
      </c>
      <c r="C303" s="0" t="n">
        <v>11</v>
      </c>
      <c r="D303" s="0" t="s">
        <v>2471</v>
      </c>
      <c r="E303" s="0" t="n">
        <v>1626</v>
      </c>
      <c r="F303" s="0" t="s">
        <v>77</v>
      </c>
      <c r="I303" s="0" t="n">
        <v>308379</v>
      </c>
      <c r="J303" s="0" t="n">
        <v>37747</v>
      </c>
      <c r="K303" s="0" t="n">
        <v>7898968009004</v>
      </c>
      <c r="L303" s="0" t="s">
        <v>2604</v>
      </c>
      <c r="N303" s="0" t="n">
        <v>64</v>
      </c>
      <c r="O303" s="0" t="n">
        <v>505.54</v>
      </c>
      <c r="P303" s="0" t="s">
        <v>2444</v>
      </c>
    </row>
    <row r="304" customFormat="false" ht="15" hidden="false" customHeight="true" outlineLevel="0" collapsed="false">
      <c r="A304" s="0" t="n">
        <v>2</v>
      </c>
      <c r="B304" s="71" t="n">
        <v>46178</v>
      </c>
      <c r="C304" s="0" t="n">
        <v>11</v>
      </c>
      <c r="D304" s="0" t="s">
        <v>2471</v>
      </c>
      <c r="E304" s="0" t="n">
        <v>1626</v>
      </c>
      <c r="F304" s="0" t="s">
        <v>77</v>
      </c>
      <c r="I304" s="0" t="n">
        <v>308379</v>
      </c>
      <c r="J304" s="0" t="n">
        <v>80139</v>
      </c>
      <c r="K304" s="0" t="n">
        <v>7898516368850</v>
      </c>
      <c r="L304" s="0" t="s">
        <v>2605</v>
      </c>
      <c r="N304" s="0" t="n">
        <v>10</v>
      </c>
      <c r="O304" s="0" t="n">
        <v>127.57</v>
      </c>
      <c r="P304" s="0" t="s">
        <v>2444</v>
      </c>
    </row>
    <row r="305" customFormat="false" ht="15" hidden="false" customHeight="true" outlineLevel="0" collapsed="false">
      <c r="A305" s="0" t="n">
        <v>2</v>
      </c>
      <c r="B305" s="71" t="n">
        <v>46178</v>
      </c>
      <c r="C305" s="0" t="n">
        <v>11</v>
      </c>
      <c r="D305" s="0" t="s">
        <v>2471</v>
      </c>
      <c r="E305" s="0" t="n">
        <v>1626</v>
      </c>
      <c r="F305" s="0" t="s">
        <v>77</v>
      </c>
      <c r="I305" s="0" t="n">
        <v>308379</v>
      </c>
      <c r="J305" s="0" t="n">
        <v>80531</v>
      </c>
      <c r="K305" s="0" t="n">
        <v>7898516368904</v>
      </c>
      <c r="L305" s="0" t="s">
        <v>2606</v>
      </c>
      <c r="N305" s="0" t="n">
        <v>10</v>
      </c>
      <c r="O305" s="0" t="n">
        <v>192.1</v>
      </c>
      <c r="P305" s="0" t="s">
        <v>2444</v>
      </c>
    </row>
    <row r="306" customFormat="false" ht="15" hidden="false" customHeight="true" outlineLevel="0" collapsed="false">
      <c r="A306" s="0" t="n">
        <v>2</v>
      </c>
      <c r="B306" s="71" t="n">
        <v>46181</v>
      </c>
      <c r="C306" s="0" t="n">
        <v>1</v>
      </c>
      <c r="D306" s="0" t="s">
        <v>2442</v>
      </c>
      <c r="E306" s="0" t="n">
        <v>642</v>
      </c>
      <c r="F306" s="0" t="s">
        <v>123</v>
      </c>
      <c r="I306" s="0" t="n">
        <v>487</v>
      </c>
      <c r="J306" s="0" t="n">
        <v>71766</v>
      </c>
      <c r="K306" s="0" t="n">
        <v>779180</v>
      </c>
      <c r="L306" s="0" t="s">
        <v>2501</v>
      </c>
      <c r="N306" s="0" t="n">
        <v>15</v>
      </c>
      <c r="O306" s="0" t="n">
        <v>180</v>
      </c>
      <c r="P306" s="0" t="s">
        <v>2444</v>
      </c>
    </row>
    <row r="307" customFormat="false" ht="15" hidden="false" customHeight="true" outlineLevel="0" collapsed="false">
      <c r="A307" s="0" t="n">
        <v>2</v>
      </c>
      <c r="B307" s="71" t="n">
        <v>46181</v>
      </c>
      <c r="C307" s="0" t="n">
        <v>1</v>
      </c>
      <c r="D307" s="0" t="s">
        <v>2442</v>
      </c>
      <c r="E307" s="0" t="n">
        <v>1899</v>
      </c>
      <c r="F307" s="0" t="s">
        <v>204</v>
      </c>
      <c r="I307" s="0" t="n">
        <v>656</v>
      </c>
      <c r="J307" s="0" t="n">
        <v>44588</v>
      </c>
      <c r="K307" s="0" t="n">
        <v>7898904331091</v>
      </c>
      <c r="L307" s="0" t="s">
        <v>2443</v>
      </c>
      <c r="N307" s="0" t="n">
        <v>5</v>
      </c>
      <c r="O307" s="0" t="n">
        <v>24.95</v>
      </c>
      <c r="P307" s="0" t="s">
        <v>2444</v>
      </c>
    </row>
    <row r="308" customFormat="false" ht="15" hidden="false" customHeight="true" outlineLevel="0" collapsed="false">
      <c r="A308" s="0" t="n">
        <v>2</v>
      </c>
      <c r="B308" s="71" t="n">
        <v>46181</v>
      </c>
      <c r="C308" s="0" t="n">
        <v>1</v>
      </c>
      <c r="D308" s="0" t="s">
        <v>2442</v>
      </c>
      <c r="E308" s="0" t="n">
        <v>1899</v>
      </c>
      <c r="F308" s="0" t="s">
        <v>204</v>
      </c>
      <c r="I308" s="0" t="n">
        <v>656</v>
      </c>
      <c r="J308" s="0" t="n">
        <v>77463</v>
      </c>
      <c r="K308" s="0" t="n">
        <v>774642</v>
      </c>
      <c r="L308" s="0" t="s">
        <v>2445</v>
      </c>
      <c r="N308" s="0" t="n">
        <v>30</v>
      </c>
      <c r="O308" s="0" t="n">
        <v>135</v>
      </c>
      <c r="P308" s="0" t="s">
        <v>2444</v>
      </c>
    </row>
    <row r="309" customFormat="false" ht="15" hidden="false" customHeight="true" outlineLevel="0" collapsed="false">
      <c r="A309" s="0" t="n">
        <v>2</v>
      </c>
      <c r="B309" s="71" t="n">
        <v>46181</v>
      </c>
      <c r="C309" s="0" t="n">
        <v>1</v>
      </c>
      <c r="D309" s="0" t="s">
        <v>2442</v>
      </c>
      <c r="E309" s="0" t="n">
        <v>1899</v>
      </c>
      <c r="F309" s="0" t="s">
        <v>204</v>
      </c>
      <c r="I309" s="0" t="n">
        <v>656</v>
      </c>
      <c r="J309" s="0" t="n">
        <v>77465</v>
      </c>
      <c r="K309" s="0" t="n">
        <v>774666</v>
      </c>
      <c r="L309" s="0" t="s">
        <v>2446</v>
      </c>
      <c r="N309" s="0" t="n">
        <v>15</v>
      </c>
      <c r="O309" s="0" t="n">
        <v>74.85</v>
      </c>
      <c r="P309" s="0" t="s">
        <v>2444</v>
      </c>
    </row>
    <row r="310" customFormat="false" ht="15" hidden="false" customHeight="true" outlineLevel="0" collapsed="false">
      <c r="A310" s="0" t="n">
        <v>2</v>
      </c>
      <c r="B310" s="71" t="n">
        <v>46181</v>
      </c>
      <c r="C310" s="0" t="n">
        <v>1</v>
      </c>
      <c r="D310" s="0" t="s">
        <v>2442</v>
      </c>
      <c r="E310" s="0" t="n">
        <v>1899</v>
      </c>
      <c r="F310" s="0" t="s">
        <v>204</v>
      </c>
      <c r="I310" s="0" t="n">
        <v>656</v>
      </c>
      <c r="J310" s="0" t="n">
        <v>78013</v>
      </c>
      <c r="K310" s="0" t="n">
        <v>780148</v>
      </c>
      <c r="L310" s="0" t="s">
        <v>2584</v>
      </c>
      <c r="N310" s="0" t="n">
        <v>5</v>
      </c>
      <c r="O310" s="0" t="n">
        <v>22.5</v>
      </c>
      <c r="P310" s="0" t="s">
        <v>2444</v>
      </c>
    </row>
    <row r="311" customFormat="false" ht="15" hidden="false" customHeight="true" outlineLevel="0" collapsed="false">
      <c r="A311" s="0" t="n">
        <v>2</v>
      </c>
      <c r="B311" s="71" t="n">
        <v>46181</v>
      </c>
      <c r="C311" s="0" t="n">
        <v>1</v>
      </c>
      <c r="D311" s="0" t="s">
        <v>2442</v>
      </c>
      <c r="E311" s="0" t="n">
        <v>1899</v>
      </c>
      <c r="F311" s="0" t="s">
        <v>204</v>
      </c>
      <c r="I311" s="0" t="n">
        <v>656</v>
      </c>
      <c r="J311" s="0" t="n">
        <v>78015</v>
      </c>
      <c r="K311" s="0" t="n">
        <v>780162</v>
      </c>
      <c r="L311" s="0" t="s">
        <v>2447</v>
      </c>
      <c r="N311" s="0" t="n">
        <v>10</v>
      </c>
      <c r="O311" s="0" t="n">
        <v>49.9</v>
      </c>
      <c r="P311" s="0" t="s">
        <v>2444</v>
      </c>
    </row>
    <row r="312" customFormat="false" ht="15" hidden="false" customHeight="true" outlineLevel="0" collapsed="false">
      <c r="A312" s="0" t="n">
        <v>2</v>
      </c>
      <c r="B312" s="71" t="n">
        <v>46181</v>
      </c>
      <c r="C312" s="0" t="n">
        <v>1</v>
      </c>
      <c r="D312" s="0" t="s">
        <v>2442</v>
      </c>
      <c r="E312" s="0" t="n">
        <v>1292</v>
      </c>
      <c r="F312" s="0" t="s">
        <v>209</v>
      </c>
      <c r="I312" s="0" t="n">
        <v>3362</v>
      </c>
      <c r="J312" s="0" t="n">
        <v>28574</v>
      </c>
      <c r="K312" s="0" t="n">
        <v>7898028069009</v>
      </c>
      <c r="L312" s="0" t="s">
        <v>2607</v>
      </c>
      <c r="N312" s="0" t="n">
        <v>20</v>
      </c>
      <c r="O312" s="0" t="n">
        <v>112</v>
      </c>
      <c r="P312" s="0" t="s">
        <v>2444</v>
      </c>
    </row>
    <row r="313" customFormat="false" ht="15" hidden="false" customHeight="true" outlineLevel="0" collapsed="false">
      <c r="A313" s="0" t="n">
        <v>2</v>
      </c>
      <c r="B313" s="71" t="n">
        <v>46181</v>
      </c>
      <c r="C313" s="0" t="n">
        <v>1</v>
      </c>
      <c r="D313" s="0" t="s">
        <v>2442</v>
      </c>
      <c r="E313" s="0" t="n">
        <v>1292</v>
      </c>
      <c r="F313" s="0" t="s">
        <v>209</v>
      </c>
      <c r="I313" s="0" t="n">
        <v>3362</v>
      </c>
      <c r="J313" s="0" t="n">
        <v>58633</v>
      </c>
      <c r="K313" s="0" t="n">
        <v>7891164025250</v>
      </c>
      <c r="L313" s="0" t="s">
        <v>2448</v>
      </c>
      <c r="N313" s="0" t="n">
        <v>50</v>
      </c>
      <c r="O313" s="0" t="n">
        <v>449.5</v>
      </c>
      <c r="P313" s="0" t="s">
        <v>2444</v>
      </c>
    </row>
    <row r="314" customFormat="false" ht="15" hidden="false" customHeight="true" outlineLevel="0" collapsed="false">
      <c r="A314" s="0" t="n">
        <v>2</v>
      </c>
      <c r="B314" s="71" t="n">
        <v>46181</v>
      </c>
      <c r="C314" s="0" t="n">
        <v>1</v>
      </c>
      <c r="D314" s="0" t="s">
        <v>2442</v>
      </c>
      <c r="E314" s="0" t="n">
        <v>1609</v>
      </c>
      <c r="F314" s="0" t="s">
        <v>84</v>
      </c>
      <c r="I314" s="0" t="n">
        <v>5642</v>
      </c>
      <c r="J314" s="0" t="n">
        <v>13720</v>
      </c>
      <c r="K314" s="0" t="n">
        <v>7896981600307</v>
      </c>
      <c r="L314" s="0" t="s">
        <v>2608</v>
      </c>
      <c r="N314" s="0" t="n">
        <v>9</v>
      </c>
      <c r="O314" s="0" t="n">
        <v>55</v>
      </c>
      <c r="P314" s="0" t="s">
        <v>2444</v>
      </c>
    </row>
    <row r="315" customFormat="false" ht="15" hidden="false" customHeight="true" outlineLevel="0" collapsed="false">
      <c r="A315" s="0" t="n">
        <v>2</v>
      </c>
      <c r="B315" s="71" t="n">
        <v>46181</v>
      </c>
      <c r="C315" s="0" t="n">
        <v>1</v>
      </c>
      <c r="D315" s="0" t="s">
        <v>2442</v>
      </c>
      <c r="E315" s="0" t="n">
        <v>1609</v>
      </c>
      <c r="F315" s="0" t="s">
        <v>84</v>
      </c>
      <c r="I315" s="0" t="n">
        <v>5642</v>
      </c>
      <c r="J315" s="0" t="n">
        <v>17163</v>
      </c>
      <c r="K315" s="0" t="n">
        <v>7896981600567</v>
      </c>
      <c r="L315" s="0" t="s">
        <v>2609</v>
      </c>
      <c r="N315" s="0" t="n">
        <v>9</v>
      </c>
      <c r="O315" s="0" t="n">
        <v>80</v>
      </c>
      <c r="P315" s="0" t="s">
        <v>2444</v>
      </c>
    </row>
    <row r="316" customFormat="false" ht="15" hidden="false" customHeight="true" outlineLevel="0" collapsed="false">
      <c r="A316" s="0" t="n">
        <v>2</v>
      </c>
      <c r="B316" s="71" t="n">
        <v>46181</v>
      </c>
      <c r="C316" s="0" t="n">
        <v>1</v>
      </c>
      <c r="D316" s="0" t="s">
        <v>2442</v>
      </c>
      <c r="E316" s="0" t="n">
        <v>1609</v>
      </c>
      <c r="F316" s="0" t="s">
        <v>84</v>
      </c>
      <c r="I316" s="0" t="n">
        <v>5642</v>
      </c>
      <c r="J316" s="0" t="n">
        <v>18382</v>
      </c>
      <c r="K316" s="0" t="n">
        <v>7896878801190</v>
      </c>
      <c r="L316" s="0" t="s">
        <v>2610</v>
      </c>
      <c r="N316" s="0" t="n">
        <v>30</v>
      </c>
      <c r="O316" s="0" t="n">
        <v>57</v>
      </c>
      <c r="P316" s="0" t="s">
        <v>2444</v>
      </c>
    </row>
    <row r="317" customFormat="false" ht="15" hidden="false" customHeight="true" outlineLevel="0" collapsed="false">
      <c r="A317" s="0" t="n">
        <v>2</v>
      </c>
      <c r="B317" s="71" t="n">
        <v>46181</v>
      </c>
      <c r="C317" s="0" t="n">
        <v>1</v>
      </c>
      <c r="D317" s="0" t="s">
        <v>2442</v>
      </c>
      <c r="E317" s="0" t="n">
        <v>1609</v>
      </c>
      <c r="F317" s="0" t="s">
        <v>84</v>
      </c>
      <c r="I317" s="0" t="n">
        <v>5642</v>
      </c>
      <c r="J317" s="0" t="n">
        <v>18383</v>
      </c>
      <c r="K317" s="0" t="n">
        <v>7896878801138</v>
      </c>
      <c r="L317" s="0" t="s">
        <v>2611</v>
      </c>
      <c r="N317" s="0" t="n">
        <v>5</v>
      </c>
      <c r="O317" s="0" t="n">
        <v>20.25</v>
      </c>
      <c r="P317" s="0" t="s">
        <v>2444</v>
      </c>
    </row>
    <row r="318" customFormat="false" ht="15" hidden="false" customHeight="true" outlineLevel="0" collapsed="false">
      <c r="A318" s="0" t="n">
        <v>2</v>
      </c>
      <c r="B318" s="71" t="n">
        <v>46181</v>
      </c>
      <c r="C318" s="0" t="n">
        <v>1</v>
      </c>
      <c r="D318" s="0" t="s">
        <v>2442</v>
      </c>
      <c r="E318" s="0" t="n">
        <v>1609</v>
      </c>
      <c r="F318" s="0" t="s">
        <v>84</v>
      </c>
      <c r="I318" s="0" t="n">
        <v>5642</v>
      </c>
      <c r="J318" s="0" t="n">
        <v>18384</v>
      </c>
      <c r="K318" s="0" t="n">
        <v>7896878801206</v>
      </c>
      <c r="L318" s="0" t="s">
        <v>2612</v>
      </c>
      <c r="N318" s="0" t="n">
        <v>20</v>
      </c>
      <c r="O318" s="0" t="n">
        <v>61</v>
      </c>
      <c r="P318" s="0" t="s">
        <v>2444</v>
      </c>
    </row>
    <row r="319" customFormat="false" ht="15" hidden="false" customHeight="true" outlineLevel="0" collapsed="false">
      <c r="A319" s="0" t="n">
        <v>2</v>
      </c>
      <c r="B319" s="71" t="n">
        <v>46181</v>
      </c>
      <c r="C319" s="0" t="n">
        <v>1</v>
      </c>
      <c r="D319" s="0" t="s">
        <v>2442</v>
      </c>
      <c r="E319" s="0" t="n">
        <v>1609</v>
      </c>
      <c r="F319" s="0" t="s">
        <v>84</v>
      </c>
      <c r="I319" s="0" t="n">
        <v>5642</v>
      </c>
      <c r="J319" s="0" t="n">
        <v>18385</v>
      </c>
      <c r="K319" s="0" t="n">
        <v>7896878801220</v>
      </c>
      <c r="L319" s="0" t="s">
        <v>2613</v>
      </c>
      <c r="N319" s="0" t="n">
        <v>9</v>
      </c>
      <c r="O319" s="0" t="n">
        <v>70.65</v>
      </c>
      <c r="P319" s="0" t="s">
        <v>2444</v>
      </c>
    </row>
    <row r="320" customFormat="false" ht="15" hidden="false" customHeight="true" outlineLevel="0" collapsed="false">
      <c r="A320" s="0" t="n">
        <v>2</v>
      </c>
      <c r="B320" s="71" t="n">
        <v>46181</v>
      </c>
      <c r="C320" s="0" t="n">
        <v>1</v>
      </c>
      <c r="D320" s="0" t="s">
        <v>2442</v>
      </c>
      <c r="E320" s="0" t="n">
        <v>1609</v>
      </c>
      <c r="F320" s="0" t="s">
        <v>84</v>
      </c>
      <c r="I320" s="0" t="n">
        <v>5642</v>
      </c>
      <c r="J320" s="0" t="n">
        <v>18775</v>
      </c>
      <c r="K320" s="0" t="n">
        <v>7896878801237</v>
      </c>
      <c r="L320" s="0" t="s">
        <v>2614</v>
      </c>
      <c r="N320" s="0" t="n">
        <v>20</v>
      </c>
      <c r="O320" s="0" t="n">
        <v>66</v>
      </c>
      <c r="P320" s="0" t="s">
        <v>2444</v>
      </c>
    </row>
    <row r="321" customFormat="false" ht="15" hidden="false" customHeight="true" outlineLevel="0" collapsed="false">
      <c r="A321" s="0" t="n">
        <v>2</v>
      </c>
      <c r="B321" s="71" t="n">
        <v>46181</v>
      </c>
      <c r="C321" s="0" t="n">
        <v>1</v>
      </c>
      <c r="D321" s="0" t="s">
        <v>2442</v>
      </c>
      <c r="E321" s="0" t="n">
        <v>1609</v>
      </c>
      <c r="F321" s="0" t="s">
        <v>84</v>
      </c>
      <c r="I321" s="0" t="n">
        <v>5642</v>
      </c>
      <c r="J321" s="0" t="n">
        <v>18910</v>
      </c>
      <c r="K321" s="0" t="n">
        <v>7896878801176</v>
      </c>
      <c r="L321" s="0" t="s">
        <v>2615</v>
      </c>
      <c r="N321" s="0" t="n">
        <v>5</v>
      </c>
      <c r="O321" s="0" t="n">
        <v>20.25</v>
      </c>
      <c r="P321" s="0" t="s">
        <v>2444</v>
      </c>
    </row>
    <row r="322" customFormat="false" ht="15" hidden="false" customHeight="true" outlineLevel="0" collapsed="false">
      <c r="A322" s="0" t="n">
        <v>2</v>
      </c>
      <c r="B322" s="71" t="n">
        <v>46181</v>
      </c>
      <c r="C322" s="0" t="n">
        <v>1</v>
      </c>
      <c r="D322" s="0" t="s">
        <v>2442</v>
      </c>
      <c r="E322" s="0" t="n">
        <v>1609</v>
      </c>
      <c r="F322" s="0" t="s">
        <v>84</v>
      </c>
      <c r="I322" s="0" t="n">
        <v>5642</v>
      </c>
      <c r="J322" s="0" t="n">
        <v>18968</v>
      </c>
      <c r="K322" s="0" t="n">
        <v>7896878801244</v>
      </c>
      <c r="L322" s="0" t="s">
        <v>2616</v>
      </c>
      <c r="N322" s="0" t="n">
        <v>20</v>
      </c>
      <c r="O322" s="0" t="n">
        <v>66</v>
      </c>
      <c r="P322" s="0" t="s">
        <v>2444</v>
      </c>
    </row>
    <row r="323" customFormat="false" ht="15" hidden="false" customHeight="true" outlineLevel="0" collapsed="false">
      <c r="A323" s="0" t="n">
        <v>2</v>
      </c>
      <c r="B323" s="71" t="n">
        <v>46181</v>
      </c>
      <c r="C323" s="0" t="n">
        <v>1</v>
      </c>
      <c r="D323" s="0" t="s">
        <v>2442</v>
      </c>
      <c r="E323" s="0" t="n">
        <v>1609</v>
      </c>
      <c r="F323" s="0" t="s">
        <v>84</v>
      </c>
      <c r="I323" s="0" t="n">
        <v>5642</v>
      </c>
      <c r="J323" s="0" t="n">
        <v>20027</v>
      </c>
      <c r="K323" s="0" t="n">
        <v>7896878801053</v>
      </c>
      <c r="L323" s="0" t="s">
        <v>2617</v>
      </c>
      <c r="N323" s="0" t="n">
        <v>5</v>
      </c>
      <c r="O323" s="0" t="n">
        <v>20.25</v>
      </c>
      <c r="P323" s="0" t="s">
        <v>2444</v>
      </c>
    </row>
    <row r="324" customFormat="false" ht="15" hidden="false" customHeight="true" outlineLevel="0" collapsed="false">
      <c r="A324" s="0" t="n">
        <v>2</v>
      </c>
      <c r="B324" s="71" t="n">
        <v>46181</v>
      </c>
      <c r="C324" s="0" t="n">
        <v>1</v>
      </c>
      <c r="D324" s="0" t="s">
        <v>2442</v>
      </c>
      <c r="E324" s="0" t="n">
        <v>1609</v>
      </c>
      <c r="F324" s="0" t="s">
        <v>84</v>
      </c>
      <c r="I324" s="0" t="n">
        <v>5642</v>
      </c>
      <c r="J324" s="0" t="n">
        <v>24963</v>
      </c>
      <c r="K324" s="0" t="n">
        <v>7896878801060</v>
      </c>
      <c r="L324" s="0" t="s">
        <v>2618</v>
      </c>
      <c r="N324" s="0" t="n">
        <v>2</v>
      </c>
      <c r="O324" s="0" t="n">
        <v>15.7</v>
      </c>
      <c r="P324" s="0" t="s">
        <v>2444</v>
      </c>
    </row>
    <row r="325" customFormat="false" ht="15" hidden="false" customHeight="true" outlineLevel="0" collapsed="false">
      <c r="A325" s="0" t="n">
        <v>2</v>
      </c>
      <c r="B325" s="71" t="n">
        <v>46181</v>
      </c>
      <c r="C325" s="0" t="n">
        <v>1</v>
      </c>
      <c r="D325" s="0" t="s">
        <v>2442</v>
      </c>
      <c r="E325" s="0" t="n">
        <v>1609</v>
      </c>
      <c r="F325" s="0" t="s">
        <v>84</v>
      </c>
      <c r="I325" s="0" t="n">
        <v>5642</v>
      </c>
      <c r="J325" s="0" t="n">
        <v>24964</v>
      </c>
      <c r="K325" s="0" t="n">
        <v>7896878801183</v>
      </c>
      <c r="L325" s="0" t="s">
        <v>2619</v>
      </c>
      <c r="N325" s="0" t="n">
        <v>2</v>
      </c>
      <c r="O325" s="0" t="n">
        <v>15.7</v>
      </c>
      <c r="P325" s="0" t="s">
        <v>2444</v>
      </c>
    </row>
    <row r="326" customFormat="false" ht="15" hidden="false" customHeight="true" outlineLevel="0" collapsed="false">
      <c r="A326" s="0" t="n">
        <v>2</v>
      </c>
      <c r="B326" s="71" t="n">
        <v>46181</v>
      </c>
      <c r="C326" s="0" t="n">
        <v>1</v>
      </c>
      <c r="D326" s="0" t="s">
        <v>2442</v>
      </c>
      <c r="E326" s="0" t="n">
        <v>1609</v>
      </c>
      <c r="F326" s="0" t="s">
        <v>84</v>
      </c>
      <c r="I326" s="0" t="n">
        <v>5642</v>
      </c>
      <c r="J326" s="0" t="n">
        <v>24965</v>
      </c>
      <c r="K326" s="0" t="n">
        <v>7896878801107</v>
      </c>
      <c r="L326" s="0" t="s">
        <v>2620</v>
      </c>
      <c r="N326" s="0" t="n">
        <v>3</v>
      </c>
      <c r="O326" s="0" t="n">
        <v>23.55</v>
      </c>
      <c r="P326" s="0" t="s">
        <v>2444</v>
      </c>
    </row>
    <row r="327" customFormat="false" ht="15" hidden="false" customHeight="true" outlineLevel="0" collapsed="false">
      <c r="A327" s="0" t="n">
        <v>2</v>
      </c>
      <c r="B327" s="71" t="n">
        <v>46181</v>
      </c>
      <c r="C327" s="0" t="n">
        <v>1</v>
      </c>
      <c r="D327" s="0" t="s">
        <v>2442</v>
      </c>
      <c r="E327" s="0" t="n">
        <v>1609</v>
      </c>
      <c r="F327" s="0" t="s">
        <v>84</v>
      </c>
      <c r="I327" s="0" t="n">
        <v>5642</v>
      </c>
      <c r="J327" s="0" t="n">
        <v>32861</v>
      </c>
      <c r="K327" s="0" t="n">
        <v>7896878801145</v>
      </c>
      <c r="L327" s="0" t="s">
        <v>2621</v>
      </c>
      <c r="N327" s="0" t="n">
        <v>2</v>
      </c>
      <c r="O327" s="0" t="n">
        <v>15.7</v>
      </c>
      <c r="P327" s="0" t="s">
        <v>2444</v>
      </c>
    </row>
    <row r="328" customFormat="false" ht="15" hidden="false" customHeight="true" outlineLevel="0" collapsed="false">
      <c r="A328" s="0" t="n">
        <v>2</v>
      </c>
      <c r="B328" s="71" t="n">
        <v>46181</v>
      </c>
      <c r="C328" s="0" t="n">
        <v>1</v>
      </c>
      <c r="D328" s="0" t="s">
        <v>2442</v>
      </c>
      <c r="E328" s="0" t="n">
        <v>1609</v>
      </c>
      <c r="F328" s="0" t="s">
        <v>84</v>
      </c>
      <c r="I328" s="0" t="n">
        <v>5642</v>
      </c>
      <c r="J328" s="0" t="n">
        <v>41614</v>
      </c>
      <c r="K328" s="0" t="n">
        <v>7896878801213</v>
      </c>
      <c r="L328" s="0" t="s">
        <v>2622</v>
      </c>
      <c r="N328" s="0" t="n">
        <v>20</v>
      </c>
      <c r="O328" s="0" t="n">
        <v>81</v>
      </c>
      <c r="P328" s="0" t="s">
        <v>2444</v>
      </c>
    </row>
    <row r="329" customFormat="false" ht="15" hidden="false" customHeight="true" outlineLevel="0" collapsed="false">
      <c r="A329" s="0" t="n">
        <v>2</v>
      </c>
      <c r="B329" s="71" t="n">
        <v>46181</v>
      </c>
      <c r="C329" s="0" t="n">
        <v>1</v>
      </c>
      <c r="D329" s="0" t="s">
        <v>2442</v>
      </c>
      <c r="E329" s="0" t="n">
        <v>1609</v>
      </c>
      <c r="F329" s="0" t="s">
        <v>84</v>
      </c>
      <c r="I329" s="0" t="n">
        <v>5642</v>
      </c>
      <c r="J329" s="0" t="n">
        <v>80962</v>
      </c>
      <c r="K329" s="0" t="n">
        <v>7890678801091</v>
      </c>
      <c r="L329" s="0" t="s">
        <v>2623</v>
      </c>
      <c r="N329" s="0" t="n">
        <v>5</v>
      </c>
      <c r="O329" s="0" t="n">
        <v>20.25</v>
      </c>
      <c r="P329" s="0" t="s">
        <v>2444</v>
      </c>
    </row>
    <row r="330" customFormat="false" ht="15" hidden="false" customHeight="true" outlineLevel="0" collapsed="false">
      <c r="A330" s="0" t="n">
        <v>2</v>
      </c>
      <c r="B330" s="71" t="n">
        <v>46181</v>
      </c>
      <c r="C330" s="0" t="n">
        <v>1</v>
      </c>
      <c r="D330" s="0" t="s">
        <v>2442</v>
      </c>
      <c r="E330" s="0" t="n">
        <v>1038</v>
      </c>
      <c r="F330" s="0" t="s">
        <v>149</v>
      </c>
      <c r="I330" s="0" t="n">
        <v>5957</v>
      </c>
      <c r="J330" s="0" t="n">
        <v>61580</v>
      </c>
      <c r="K330" s="0" t="n">
        <v>2258157</v>
      </c>
      <c r="L330" s="0" t="s">
        <v>2509</v>
      </c>
      <c r="N330" s="0" t="n">
        <v>10</v>
      </c>
      <c r="O330" s="0" t="n">
        <v>120</v>
      </c>
      <c r="P330" s="0" t="s">
        <v>2444</v>
      </c>
    </row>
    <row r="331" customFormat="false" ht="15" hidden="false" customHeight="true" outlineLevel="0" collapsed="false">
      <c r="A331" s="0" t="n">
        <v>2</v>
      </c>
      <c r="B331" s="71" t="n">
        <v>46181</v>
      </c>
      <c r="C331" s="0" t="n">
        <v>1</v>
      </c>
      <c r="D331" s="0" t="s">
        <v>2442</v>
      </c>
      <c r="E331" s="0" t="n">
        <v>1038</v>
      </c>
      <c r="F331" s="0" t="s">
        <v>149</v>
      </c>
      <c r="I331" s="0" t="n">
        <v>5957</v>
      </c>
      <c r="J331" s="0" t="n">
        <v>61597</v>
      </c>
      <c r="K331" s="0" t="n">
        <v>2258188</v>
      </c>
      <c r="L331" s="0" t="s">
        <v>2510</v>
      </c>
      <c r="N331" s="0" t="n">
        <v>5</v>
      </c>
      <c r="O331" s="0" t="n">
        <v>20</v>
      </c>
      <c r="P331" s="0" t="s">
        <v>2444</v>
      </c>
    </row>
    <row r="332" customFormat="false" ht="15" hidden="false" customHeight="true" outlineLevel="0" collapsed="false">
      <c r="A332" s="0" t="n">
        <v>2</v>
      </c>
      <c r="B332" s="71" t="n">
        <v>46181</v>
      </c>
      <c r="C332" s="0" t="n">
        <v>1</v>
      </c>
      <c r="D332" s="0" t="s">
        <v>2442</v>
      </c>
      <c r="E332" s="0" t="n">
        <v>754</v>
      </c>
      <c r="F332" s="0" t="s">
        <v>162</v>
      </c>
      <c r="I332" s="0" t="n">
        <v>30915</v>
      </c>
      <c r="J332" s="0" t="n">
        <v>29079</v>
      </c>
      <c r="K332" s="0" t="n">
        <v>55515</v>
      </c>
      <c r="L332" s="0" t="s">
        <v>2449</v>
      </c>
      <c r="N332" s="0" t="n">
        <v>86</v>
      </c>
      <c r="O332" s="0" t="n">
        <v>2150</v>
      </c>
      <c r="P332" s="0" t="s">
        <v>2444</v>
      </c>
    </row>
    <row r="333" customFormat="false" ht="15" hidden="false" customHeight="true" outlineLevel="0" collapsed="false">
      <c r="A333" s="0" t="n">
        <v>2</v>
      </c>
      <c r="B333" s="71" t="n">
        <v>46181</v>
      </c>
      <c r="C333" s="0" t="n">
        <v>1</v>
      </c>
      <c r="D333" s="0" t="s">
        <v>2442</v>
      </c>
      <c r="E333" s="0" t="n">
        <v>754</v>
      </c>
      <c r="F333" s="0" t="s">
        <v>162</v>
      </c>
      <c r="I333" s="0" t="n">
        <v>30915</v>
      </c>
      <c r="J333" s="0" t="n">
        <v>29080</v>
      </c>
      <c r="K333" s="0" t="n">
        <v>55516</v>
      </c>
      <c r="L333" s="0" t="s">
        <v>2450</v>
      </c>
      <c r="N333" s="0" t="n">
        <v>67.6</v>
      </c>
      <c r="O333" s="0" t="n">
        <v>1690</v>
      </c>
      <c r="P333" s="0" t="s">
        <v>2444</v>
      </c>
    </row>
    <row r="334" customFormat="false" ht="15" hidden="false" customHeight="true" outlineLevel="0" collapsed="false">
      <c r="A334" s="0" t="n">
        <v>2</v>
      </c>
      <c r="B334" s="71" t="n">
        <v>46181</v>
      </c>
      <c r="C334" s="0" t="n">
        <v>1</v>
      </c>
      <c r="D334" s="0" t="s">
        <v>2442</v>
      </c>
      <c r="E334" s="0" t="n">
        <v>1723</v>
      </c>
      <c r="F334" s="0" t="s">
        <v>371</v>
      </c>
      <c r="I334" s="0" t="n">
        <v>171066</v>
      </c>
      <c r="J334" s="0" t="n">
        <v>77455</v>
      </c>
      <c r="K334" s="0" t="n">
        <v>774567</v>
      </c>
      <c r="L334" s="0" t="s">
        <v>2624</v>
      </c>
      <c r="N334" s="0" t="n">
        <v>35.6</v>
      </c>
      <c r="O334" s="0" t="n">
        <v>1068</v>
      </c>
      <c r="P334" s="0" t="s">
        <v>2444</v>
      </c>
    </row>
    <row r="335" customFormat="false" ht="15" hidden="false" customHeight="true" outlineLevel="0" collapsed="false">
      <c r="A335" s="0" t="n">
        <v>2</v>
      </c>
      <c r="B335" s="71" t="n">
        <v>46181</v>
      </c>
      <c r="C335" s="0" t="n">
        <v>1</v>
      </c>
      <c r="D335" s="0" t="s">
        <v>2442</v>
      </c>
      <c r="E335" s="0" t="n">
        <v>1699</v>
      </c>
      <c r="F335" s="0" t="s">
        <v>248</v>
      </c>
      <c r="I335" s="0" t="n">
        <v>303660</v>
      </c>
      <c r="J335" s="0" t="n">
        <v>100045</v>
      </c>
      <c r="K335" s="0" t="n">
        <v>46</v>
      </c>
      <c r="L335" s="0" t="s">
        <v>2625</v>
      </c>
      <c r="N335" s="0" t="n">
        <v>100</v>
      </c>
      <c r="O335" s="0" t="n">
        <v>1180</v>
      </c>
      <c r="P335" s="0" t="s">
        <v>2444</v>
      </c>
    </row>
    <row r="336" customFormat="false" ht="15" hidden="false" customHeight="true" outlineLevel="0" collapsed="false">
      <c r="A336" s="0" t="n">
        <v>2</v>
      </c>
      <c r="B336" s="71" t="n">
        <v>46181</v>
      </c>
      <c r="C336" s="0" t="n">
        <v>1</v>
      </c>
      <c r="D336" s="0" t="s">
        <v>2442</v>
      </c>
      <c r="E336" s="0" t="n">
        <v>1699</v>
      </c>
      <c r="F336" s="0" t="s">
        <v>248</v>
      </c>
      <c r="I336" s="0" t="n">
        <v>303660</v>
      </c>
      <c r="J336" s="0" t="n">
        <v>100073</v>
      </c>
      <c r="K336" s="0" t="n">
        <v>74</v>
      </c>
      <c r="L336" s="0" t="s">
        <v>2626</v>
      </c>
      <c r="N336" s="0" t="n">
        <v>50</v>
      </c>
      <c r="O336" s="0" t="n">
        <v>1085</v>
      </c>
      <c r="P336" s="0" t="s">
        <v>2444</v>
      </c>
    </row>
    <row r="337" customFormat="false" ht="15" hidden="false" customHeight="true" outlineLevel="0" collapsed="false">
      <c r="A337" s="0" t="n">
        <v>2</v>
      </c>
      <c r="B337" s="71" t="n">
        <v>46181</v>
      </c>
      <c r="C337" s="0" t="n">
        <v>1</v>
      </c>
      <c r="D337" s="0" t="s">
        <v>2442</v>
      </c>
      <c r="E337" s="0" t="n">
        <v>1699</v>
      </c>
      <c r="F337" s="0" t="s">
        <v>248</v>
      </c>
      <c r="I337" s="0" t="n">
        <v>303660</v>
      </c>
      <c r="J337" s="0" t="n">
        <v>101262</v>
      </c>
      <c r="K337" s="0" t="n">
        <v>7896179500013</v>
      </c>
      <c r="L337" s="0" t="s">
        <v>2627</v>
      </c>
      <c r="N337" s="0" t="n">
        <v>60</v>
      </c>
      <c r="O337" s="0" t="n">
        <v>154.5</v>
      </c>
      <c r="P337" s="0" t="s">
        <v>2444</v>
      </c>
    </row>
    <row r="338" customFormat="false" ht="15" hidden="false" customHeight="true" outlineLevel="0" collapsed="false">
      <c r="A338" s="0" t="n">
        <v>2</v>
      </c>
      <c r="B338" s="71" t="n">
        <v>46181</v>
      </c>
      <c r="C338" s="0" t="n">
        <v>1</v>
      </c>
      <c r="D338" s="0" t="s">
        <v>2442</v>
      </c>
      <c r="E338" s="0" t="n">
        <v>1699</v>
      </c>
      <c r="F338" s="0" t="s">
        <v>248</v>
      </c>
      <c r="I338" s="0" t="n">
        <v>303660</v>
      </c>
      <c r="J338" s="0" t="n">
        <v>101759</v>
      </c>
      <c r="K338" s="0" t="n">
        <v>7896179500037</v>
      </c>
      <c r="L338" s="0" t="s">
        <v>2628</v>
      </c>
      <c r="N338" s="0" t="n">
        <v>24</v>
      </c>
      <c r="O338" s="0" t="n">
        <v>75</v>
      </c>
      <c r="P338" s="0" t="s">
        <v>2444</v>
      </c>
    </row>
    <row r="339" customFormat="false" ht="15" hidden="false" customHeight="true" outlineLevel="0" collapsed="false">
      <c r="A339" s="0" t="n">
        <v>2</v>
      </c>
      <c r="B339" s="71" t="n">
        <v>46181</v>
      </c>
      <c r="C339" s="0" t="n">
        <v>1</v>
      </c>
      <c r="D339" s="0" t="s">
        <v>2442</v>
      </c>
      <c r="E339" s="0" t="n">
        <v>1699</v>
      </c>
      <c r="F339" s="0" t="s">
        <v>248</v>
      </c>
      <c r="I339" s="0" t="n">
        <v>303660</v>
      </c>
      <c r="J339" s="0" t="n">
        <v>102219</v>
      </c>
      <c r="K339" s="0" t="n">
        <v>7898617582247</v>
      </c>
      <c r="L339" s="0" t="s">
        <v>2629</v>
      </c>
      <c r="N339" s="0" t="n">
        <v>24</v>
      </c>
      <c r="O339" s="0" t="n">
        <v>88</v>
      </c>
      <c r="P339" s="0" t="s">
        <v>2444</v>
      </c>
    </row>
    <row r="340" customFormat="false" ht="15" hidden="false" customHeight="true" outlineLevel="0" collapsed="false">
      <c r="A340" s="0" t="n">
        <v>2</v>
      </c>
      <c r="B340" s="71" t="n">
        <v>46181</v>
      </c>
      <c r="C340" s="0" t="n">
        <v>1</v>
      </c>
      <c r="D340" s="0" t="s">
        <v>2442</v>
      </c>
      <c r="E340" s="0" t="n">
        <v>1699</v>
      </c>
      <c r="F340" s="0" t="s">
        <v>248</v>
      </c>
      <c r="I340" s="0" t="n">
        <v>303660</v>
      </c>
      <c r="J340" s="0" t="n">
        <v>102220</v>
      </c>
      <c r="K340" s="0" t="n">
        <v>7898286200978</v>
      </c>
      <c r="L340" s="0" t="s">
        <v>2630</v>
      </c>
      <c r="N340" s="0" t="n">
        <v>24</v>
      </c>
      <c r="O340" s="0" t="n">
        <v>156</v>
      </c>
      <c r="P340" s="0" t="s">
        <v>2444</v>
      </c>
    </row>
    <row r="341" customFormat="false" ht="15" hidden="false" customHeight="true" outlineLevel="0" collapsed="false">
      <c r="A341" s="0" t="n">
        <v>2</v>
      </c>
      <c r="B341" s="71" t="n">
        <v>46181</v>
      </c>
      <c r="C341" s="0" t="n">
        <v>1</v>
      </c>
      <c r="D341" s="0" t="s">
        <v>2442</v>
      </c>
      <c r="E341" s="0" t="n">
        <v>1699</v>
      </c>
      <c r="F341" s="0" t="s">
        <v>248</v>
      </c>
      <c r="I341" s="0" t="n">
        <v>303660</v>
      </c>
      <c r="J341" s="0" t="n">
        <v>102300</v>
      </c>
      <c r="K341" s="0" t="n">
        <v>7898062920014</v>
      </c>
      <c r="L341" s="0" t="s">
        <v>2631</v>
      </c>
      <c r="N341" s="0" t="n">
        <v>90</v>
      </c>
      <c r="O341" s="0" t="n">
        <v>398.7</v>
      </c>
      <c r="P341" s="0" t="s">
        <v>2444</v>
      </c>
    </row>
    <row r="342" customFormat="false" ht="15" hidden="false" customHeight="true" outlineLevel="0" collapsed="false">
      <c r="A342" s="0" t="n">
        <v>2</v>
      </c>
      <c r="B342" s="71" t="n">
        <v>46181</v>
      </c>
      <c r="C342" s="0" t="n">
        <v>1</v>
      </c>
      <c r="D342" s="0" t="s">
        <v>2442</v>
      </c>
      <c r="E342" s="0" t="n">
        <v>1699</v>
      </c>
      <c r="F342" s="0" t="s">
        <v>248</v>
      </c>
      <c r="I342" s="0" t="n">
        <v>303660</v>
      </c>
      <c r="J342" s="0" t="n">
        <v>102457</v>
      </c>
      <c r="K342" s="0" t="n">
        <v>7896031253347</v>
      </c>
      <c r="L342" s="0" t="s">
        <v>2632</v>
      </c>
      <c r="N342" s="0" t="n">
        <v>48</v>
      </c>
      <c r="O342" s="0" t="n">
        <v>405.8</v>
      </c>
      <c r="P342" s="0" t="s">
        <v>2444</v>
      </c>
    </row>
    <row r="343" customFormat="false" ht="15" hidden="false" customHeight="true" outlineLevel="0" collapsed="false">
      <c r="A343" s="0" t="n">
        <v>2</v>
      </c>
      <c r="B343" s="71" t="n">
        <v>46181</v>
      </c>
      <c r="C343" s="0" t="n">
        <v>1</v>
      </c>
      <c r="D343" s="0" t="s">
        <v>2442</v>
      </c>
      <c r="E343" s="0" t="n">
        <v>1699</v>
      </c>
      <c r="F343" s="0" t="s">
        <v>248</v>
      </c>
      <c r="I343" s="0" t="n">
        <v>303660</v>
      </c>
      <c r="J343" s="0" t="n">
        <v>29846</v>
      </c>
      <c r="K343" s="0" t="n">
        <v>7891097102059</v>
      </c>
      <c r="L343" s="0" t="s">
        <v>2633</v>
      </c>
      <c r="N343" s="0" t="n">
        <v>50</v>
      </c>
      <c r="O343" s="0" t="n">
        <v>559.8</v>
      </c>
      <c r="P343" s="0" t="s">
        <v>2444</v>
      </c>
    </row>
    <row r="344" customFormat="false" ht="15" hidden="false" customHeight="true" outlineLevel="0" collapsed="false">
      <c r="A344" s="0" t="n">
        <v>2</v>
      </c>
      <c r="B344" s="71" t="n">
        <v>46181</v>
      </c>
      <c r="C344" s="0" t="n">
        <v>1</v>
      </c>
      <c r="D344" s="0" t="s">
        <v>2442</v>
      </c>
      <c r="E344" s="0" t="n">
        <v>1699</v>
      </c>
      <c r="F344" s="0" t="s">
        <v>248</v>
      </c>
      <c r="I344" s="0" t="n">
        <v>303660</v>
      </c>
      <c r="J344" s="0" t="n">
        <v>30035</v>
      </c>
      <c r="K344" s="0" t="n">
        <v>7891097101489</v>
      </c>
      <c r="L344" s="0" t="s">
        <v>2634</v>
      </c>
      <c r="N344" s="0" t="n">
        <v>160</v>
      </c>
      <c r="O344" s="0" t="n">
        <v>599.8</v>
      </c>
      <c r="P344" s="0" t="s">
        <v>2444</v>
      </c>
    </row>
    <row r="345" customFormat="false" ht="15" hidden="false" customHeight="true" outlineLevel="0" collapsed="false">
      <c r="A345" s="0" t="n">
        <v>2</v>
      </c>
      <c r="B345" s="71" t="n">
        <v>46181</v>
      </c>
      <c r="C345" s="0" t="n">
        <v>1</v>
      </c>
      <c r="D345" s="0" t="s">
        <v>2442</v>
      </c>
      <c r="E345" s="0" t="n">
        <v>1699</v>
      </c>
      <c r="F345" s="0" t="s">
        <v>248</v>
      </c>
      <c r="I345" s="0" t="n">
        <v>303660</v>
      </c>
      <c r="J345" s="0" t="n">
        <v>32805</v>
      </c>
      <c r="K345" s="0" t="n">
        <v>7896433800378</v>
      </c>
      <c r="L345" s="0" t="s">
        <v>2635</v>
      </c>
      <c r="N345" s="0" t="n">
        <v>300</v>
      </c>
      <c r="O345" s="0" t="n">
        <v>870</v>
      </c>
      <c r="P345" s="0" t="s">
        <v>2444</v>
      </c>
    </row>
    <row r="346" customFormat="false" ht="15" hidden="false" customHeight="true" outlineLevel="0" collapsed="false">
      <c r="A346" s="0" t="n">
        <v>2</v>
      </c>
      <c r="B346" s="71" t="n">
        <v>46181</v>
      </c>
      <c r="C346" s="0" t="n">
        <v>1</v>
      </c>
      <c r="D346" s="0" t="s">
        <v>2442</v>
      </c>
      <c r="E346" s="0" t="n">
        <v>1699</v>
      </c>
      <c r="F346" s="0" t="s">
        <v>248</v>
      </c>
      <c r="I346" s="0" t="n">
        <v>303660</v>
      </c>
      <c r="J346" s="0" t="n">
        <v>74146</v>
      </c>
      <c r="K346" s="0" t="n">
        <v>7896031230379</v>
      </c>
      <c r="L346" s="0" t="s">
        <v>2636</v>
      </c>
      <c r="N346" s="0" t="n">
        <v>24</v>
      </c>
      <c r="O346" s="0" t="n">
        <v>155.9</v>
      </c>
      <c r="P346" s="0" t="s">
        <v>2444</v>
      </c>
    </row>
    <row r="347" customFormat="false" ht="15" hidden="false" customHeight="true" outlineLevel="0" collapsed="false">
      <c r="A347" s="0" t="n">
        <v>2</v>
      </c>
      <c r="B347" s="71" t="n">
        <v>46181</v>
      </c>
      <c r="C347" s="0" t="n">
        <v>1</v>
      </c>
      <c r="D347" s="0" t="s">
        <v>2442</v>
      </c>
      <c r="E347" s="0" t="n">
        <v>1815</v>
      </c>
      <c r="F347" s="0" t="s">
        <v>172</v>
      </c>
      <c r="I347" s="0" t="n">
        <v>385542</v>
      </c>
      <c r="J347" s="0" t="n">
        <v>110883</v>
      </c>
      <c r="K347" s="0" t="n">
        <v>45</v>
      </c>
      <c r="L347" s="0" t="s">
        <v>2637</v>
      </c>
      <c r="N347" s="0" t="n">
        <v>59.26</v>
      </c>
      <c r="O347" s="0" t="n">
        <v>769.79</v>
      </c>
      <c r="P347" s="0" t="s">
        <v>2444</v>
      </c>
    </row>
    <row r="348" customFormat="false" ht="15" hidden="false" customHeight="true" outlineLevel="0" collapsed="false">
      <c r="A348" s="0" t="n">
        <v>2</v>
      </c>
      <c r="B348" s="71" t="n">
        <v>46181</v>
      </c>
      <c r="C348" s="0" t="n">
        <v>1</v>
      </c>
      <c r="D348" s="0" t="s">
        <v>2442</v>
      </c>
      <c r="E348" s="0" t="n">
        <v>1815</v>
      </c>
      <c r="F348" s="0" t="s">
        <v>172</v>
      </c>
      <c r="I348" s="0" t="n">
        <v>385542</v>
      </c>
      <c r="J348" s="0" t="n">
        <v>110191</v>
      </c>
      <c r="K348" s="0" t="n">
        <v>37402</v>
      </c>
      <c r="L348" s="0" t="s">
        <v>2638</v>
      </c>
      <c r="N348" s="0" t="n">
        <v>40</v>
      </c>
      <c r="O348" s="0" t="n">
        <v>279.6</v>
      </c>
      <c r="P348" s="0" t="s">
        <v>2444</v>
      </c>
    </row>
    <row r="349" customFormat="false" ht="15" hidden="false" customHeight="true" outlineLevel="0" collapsed="false">
      <c r="A349" s="0" t="n">
        <v>2</v>
      </c>
      <c r="B349" s="71" t="n">
        <v>46181</v>
      </c>
      <c r="C349" s="0" t="n">
        <v>1</v>
      </c>
      <c r="D349" s="0" t="s">
        <v>2442</v>
      </c>
      <c r="E349" s="0" t="n">
        <v>1683</v>
      </c>
      <c r="F349" s="0" t="s">
        <v>406</v>
      </c>
      <c r="I349" s="0" t="n">
        <v>1628195</v>
      </c>
      <c r="J349" s="0" t="n">
        <v>109791</v>
      </c>
      <c r="K349" s="0" t="n">
        <v>9667</v>
      </c>
      <c r="L349" s="0" t="s">
        <v>2465</v>
      </c>
      <c r="N349" s="0" t="n">
        <v>20</v>
      </c>
      <c r="O349" s="0" t="n">
        <v>30</v>
      </c>
      <c r="P349" s="0" t="s">
        <v>2444</v>
      </c>
    </row>
    <row r="350" customFormat="false" ht="15" hidden="false" customHeight="true" outlineLevel="0" collapsed="false">
      <c r="A350" s="0" t="n">
        <v>2</v>
      </c>
      <c r="B350" s="71" t="n">
        <v>46181</v>
      </c>
      <c r="C350" s="0" t="n">
        <v>1</v>
      </c>
      <c r="D350" s="0" t="s">
        <v>2442</v>
      </c>
      <c r="E350" s="0" t="n">
        <v>1683</v>
      </c>
      <c r="F350" s="0" t="s">
        <v>406</v>
      </c>
      <c r="I350" s="0" t="n">
        <v>1628195</v>
      </c>
      <c r="J350" s="0" t="n">
        <v>37359</v>
      </c>
      <c r="K350" s="0" t="n">
        <v>55526</v>
      </c>
      <c r="L350" s="0" t="s">
        <v>2466</v>
      </c>
      <c r="N350" s="0" t="n">
        <v>10</v>
      </c>
      <c r="O350" s="0" t="n">
        <v>40</v>
      </c>
      <c r="P350" s="0" t="s">
        <v>2444</v>
      </c>
    </row>
    <row r="351" customFormat="false" ht="15" hidden="false" customHeight="true" outlineLevel="0" collapsed="false">
      <c r="A351" s="0" t="n">
        <v>2</v>
      </c>
      <c r="B351" s="71" t="n">
        <v>46181</v>
      </c>
      <c r="C351" s="0" t="n">
        <v>1</v>
      </c>
      <c r="D351" s="0" t="s">
        <v>2442</v>
      </c>
      <c r="E351" s="0" t="n">
        <v>1683</v>
      </c>
      <c r="F351" s="0" t="s">
        <v>406</v>
      </c>
      <c r="I351" s="0" t="n">
        <v>1628195</v>
      </c>
      <c r="J351" s="0" t="n">
        <v>37361</v>
      </c>
      <c r="K351" s="0" t="n">
        <v>2240817</v>
      </c>
      <c r="L351" s="0" t="s">
        <v>2467</v>
      </c>
      <c r="N351" s="0" t="n">
        <v>90</v>
      </c>
      <c r="O351" s="0" t="n">
        <v>162</v>
      </c>
      <c r="P351" s="0" t="s">
        <v>2444</v>
      </c>
    </row>
    <row r="352" customFormat="false" ht="15" hidden="false" customHeight="true" outlineLevel="0" collapsed="false">
      <c r="A352" s="0" t="n">
        <v>2</v>
      </c>
      <c r="B352" s="71" t="n">
        <v>46181</v>
      </c>
      <c r="C352" s="0" t="n">
        <v>1</v>
      </c>
      <c r="D352" s="0" t="s">
        <v>2442</v>
      </c>
      <c r="E352" s="0" t="n">
        <v>1683</v>
      </c>
      <c r="F352" s="0" t="s">
        <v>406</v>
      </c>
      <c r="I352" s="0" t="n">
        <v>1628316</v>
      </c>
      <c r="J352" s="0" t="n">
        <v>37361</v>
      </c>
      <c r="K352" s="0" t="n">
        <v>2240817</v>
      </c>
      <c r="L352" s="0" t="s">
        <v>2467</v>
      </c>
      <c r="N352" s="0" t="n">
        <v>40</v>
      </c>
      <c r="O352" s="0" t="n">
        <v>72</v>
      </c>
      <c r="P352" s="0" t="s">
        <v>2444</v>
      </c>
    </row>
    <row r="353" customFormat="false" ht="15" hidden="false" customHeight="true" outlineLevel="0" collapsed="false">
      <c r="A353" s="0" t="n">
        <v>2</v>
      </c>
      <c r="B353" s="71" t="n">
        <v>46181</v>
      </c>
      <c r="C353" s="0" t="n">
        <v>1</v>
      </c>
      <c r="D353" s="0" t="s">
        <v>2442</v>
      </c>
      <c r="E353" s="0" t="n">
        <v>1608</v>
      </c>
      <c r="F353" s="0" t="s">
        <v>240</v>
      </c>
      <c r="I353" s="0" t="n">
        <v>1668916</v>
      </c>
      <c r="J353" s="0" t="n">
        <v>50232</v>
      </c>
      <c r="K353" s="0" t="n">
        <v>7891025123057</v>
      </c>
      <c r="L353" s="0" t="s">
        <v>2639</v>
      </c>
      <c r="N353" s="0" t="n">
        <v>4</v>
      </c>
      <c r="O353" s="0" t="n">
        <v>10.24</v>
      </c>
      <c r="P353" s="0" t="s">
        <v>2444</v>
      </c>
    </row>
    <row r="354" customFormat="false" ht="15" hidden="false" customHeight="true" outlineLevel="0" collapsed="false">
      <c r="A354" s="0" t="n">
        <v>2</v>
      </c>
      <c r="B354" s="71" t="n">
        <v>46181</v>
      </c>
      <c r="C354" s="0" t="n">
        <v>1</v>
      </c>
      <c r="D354" s="0" t="s">
        <v>2442</v>
      </c>
      <c r="E354" s="0" t="n">
        <v>1608</v>
      </c>
      <c r="F354" s="0" t="s">
        <v>240</v>
      </c>
      <c r="I354" s="0" t="n">
        <v>1668916</v>
      </c>
      <c r="J354" s="0" t="n">
        <v>18949</v>
      </c>
      <c r="K354" s="0" t="n">
        <v>7891025699880</v>
      </c>
      <c r="L354" s="0" t="s">
        <v>2640</v>
      </c>
      <c r="N354" s="0" t="n">
        <v>3</v>
      </c>
      <c r="O354" s="0" t="n">
        <v>27.24</v>
      </c>
      <c r="P354" s="0" t="s">
        <v>2444</v>
      </c>
    </row>
    <row r="355" customFormat="false" ht="15" hidden="false" customHeight="true" outlineLevel="0" collapsed="false">
      <c r="A355" s="0" t="n">
        <v>2</v>
      </c>
      <c r="B355" s="71" t="n">
        <v>46181</v>
      </c>
      <c r="C355" s="0" t="n">
        <v>1</v>
      </c>
      <c r="D355" s="0" t="s">
        <v>2442</v>
      </c>
      <c r="E355" s="0" t="n">
        <v>1608</v>
      </c>
      <c r="F355" s="0" t="s">
        <v>240</v>
      </c>
      <c r="I355" s="0" t="n">
        <v>1668916</v>
      </c>
      <c r="J355" s="0" t="n">
        <v>20479</v>
      </c>
      <c r="K355" s="0" t="n">
        <v>7891025101161</v>
      </c>
      <c r="L355" s="0" t="s">
        <v>2641</v>
      </c>
      <c r="N355" s="0" t="n">
        <v>2</v>
      </c>
      <c r="O355" s="0" t="n">
        <v>6.42</v>
      </c>
      <c r="P355" s="0" t="s">
        <v>2444</v>
      </c>
    </row>
    <row r="356" customFormat="false" ht="15" hidden="false" customHeight="true" outlineLevel="0" collapsed="false">
      <c r="A356" s="0" t="n">
        <v>2</v>
      </c>
      <c r="B356" s="71" t="n">
        <v>46181</v>
      </c>
      <c r="C356" s="0" t="n">
        <v>1</v>
      </c>
      <c r="D356" s="0" t="s">
        <v>2442</v>
      </c>
      <c r="E356" s="0" t="n">
        <v>1608</v>
      </c>
      <c r="F356" s="0" t="s">
        <v>240</v>
      </c>
      <c r="I356" s="0" t="n">
        <v>1668916</v>
      </c>
      <c r="J356" s="0" t="n">
        <v>20522</v>
      </c>
      <c r="K356" s="0" t="n">
        <v>7891025106067</v>
      </c>
      <c r="L356" s="0" t="s">
        <v>2642</v>
      </c>
      <c r="N356" s="0" t="n">
        <v>2</v>
      </c>
      <c r="O356" s="0" t="n">
        <v>5.7</v>
      </c>
      <c r="P356" s="0" t="s">
        <v>2444</v>
      </c>
    </row>
    <row r="357" customFormat="false" ht="15" hidden="false" customHeight="true" outlineLevel="0" collapsed="false">
      <c r="A357" s="0" t="n">
        <v>2</v>
      </c>
      <c r="B357" s="71" t="n">
        <v>46181</v>
      </c>
      <c r="C357" s="0" t="n">
        <v>1</v>
      </c>
      <c r="D357" s="0" t="s">
        <v>2442</v>
      </c>
      <c r="E357" s="0" t="n">
        <v>1608</v>
      </c>
      <c r="F357" s="0" t="s">
        <v>240</v>
      </c>
      <c r="I357" s="0" t="n">
        <v>1668916</v>
      </c>
      <c r="J357" s="0" t="n">
        <v>24123</v>
      </c>
      <c r="K357" s="0" t="n">
        <v>7891025109396</v>
      </c>
      <c r="L357" s="0" t="s">
        <v>2643</v>
      </c>
      <c r="N357" s="0" t="n">
        <v>4</v>
      </c>
      <c r="O357" s="0" t="n">
        <v>13.44</v>
      </c>
      <c r="P357" s="0" t="s">
        <v>2444</v>
      </c>
    </row>
    <row r="358" customFormat="false" ht="15" hidden="false" customHeight="true" outlineLevel="0" collapsed="false">
      <c r="A358" s="0" t="n">
        <v>2</v>
      </c>
      <c r="B358" s="71" t="n">
        <v>46181</v>
      </c>
      <c r="C358" s="0" t="n">
        <v>1</v>
      </c>
      <c r="D358" s="0" t="s">
        <v>2442</v>
      </c>
      <c r="E358" s="0" t="n">
        <v>1608</v>
      </c>
      <c r="F358" s="0" t="s">
        <v>240</v>
      </c>
      <c r="I358" s="0" t="n">
        <v>1668916</v>
      </c>
      <c r="J358" s="0" t="n">
        <v>24124</v>
      </c>
      <c r="K358" s="0" t="n">
        <v>7891025109419</v>
      </c>
      <c r="L358" s="0" t="s">
        <v>2644</v>
      </c>
      <c r="N358" s="0" t="n">
        <v>4</v>
      </c>
      <c r="O358" s="0" t="n">
        <v>13.44</v>
      </c>
      <c r="P358" s="0" t="s">
        <v>2444</v>
      </c>
    </row>
    <row r="359" customFormat="false" ht="15" hidden="false" customHeight="true" outlineLevel="0" collapsed="false">
      <c r="A359" s="0" t="n">
        <v>2</v>
      </c>
      <c r="B359" s="71" t="n">
        <v>46181</v>
      </c>
      <c r="C359" s="0" t="n">
        <v>1</v>
      </c>
      <c r="D359" s="0" t="s">
        <v>2442</v>
      </c>
      <c r="E359" s="0" t="n">
        <v>1608</v>
      </c>
      <c r="F359" s="0" t="s">
        <v>240</v>
      </c>
      <c r="I359" s="0" t="n">
        <v>1668916</v>
      </c>
      <c r="J359" s="0" t="n">
        <v>24196</v>
      </c>
      <c r="K359" s="0" t="n">
        <v>7891025109884</v>
      </c>
      <c r="L359" s="0" t="s">
        <v>2645</v>
      </c>
      <c r="N359" s="0" t="n">
        <v>3</v>
      </c>
      <c r="O359" s="0" t="n">
        <v>25.38</v>
      </c>
      <c r="P359" s="0" t="s">
        <v>2444</v>
      </c>
    </row>
    <row r="360" customFormat="false" ht="15" hidden="false" customHeight="true" outlineLevel="0" collapsed="false">
      <c r="A360" s="0" t="n">
        <v>2</v>
      </c>
      <c r="B360" s="71" t="n">
        <v>46181</v>
      </c>
      <c r="C360" s="0" t="n">
        <v>1</v>
      </c>
      <c r="D360" s="0" t="s">
        <v>2442</v>
      </c>
      <c r="E360" s="0" t="n">
        <v>1608</v>
      </c>
      <c r="F360" s="0" t="s">
        <v>240</v>
      </c>
      <c r="I360" s="0" t="n">
        <v>1668916</v>
      </c>
      <c r="J360" s="0" t="n">
        <v>24832</v>
      </c>
      <c r="K360" s="0" t="n">
        <v>7891025109891</v>
      </c>
      <c r="L360" s="0" t="s">
        <v>2646</v>
      </c>
      <c r="N360" s="0" t="n">
        <v>6</v>
      </c>
      <c r="O360" s="0" t="n">
        <v>50.76</v>
      </c>
      <c r="P360" s="0" t="s">
        <v>2444</v>
      </c>
    </row>
    <row r="361" customFormat="false" ht="15" hidden="false" customHeight="true" outlineLevel="0" collapsed="false">
      <c r="A361" s="0" t="n">
        <v>2</v>
      </c>
      <c r="B361" s="71" t="n">
        <v>46181</v>
      </c>
      <c r="C361" s="0" t="n">
        <v>1</v>
      </c>
      <c r="D361" s="0" t="s">
        <v>2442</v>
      </c>
      <c r="E361" s="0" t="n">
        <v>1608</v>
      </c>
      <c r="F361" s="0" t="s">
        <v>240</v>
      </c>
      <c r="I361" s="0" t="n">
        <v>1668916</v>
      </c>
      <c r="J361" s="0" t="n">
        <v>27141</v>
      </c>
      <c r="K361" s="0" t="n">
        <v>7899916900329</v>
      </c>
      <c r="L361" s="0" t="s">
        <v>2647</v>
      </c>
      <c r="N361" s="0" t="n">
        <v>6</v>
      </c>
      <c r="O361" s="0" t="n">
        <v>35.58</v>
      </c>
      <c r="P361" s="0" t="s">
        <v>2444</v>
      </c>
    </row>
    <row r="362" customFormat="false" ht="15" hidden="false" customHeight="true" outlineLevel="0" collapsed="false">
      <c r="A362" s="0" t="n">
        <v>2</v>
      </c>
      <c r="B362" s="71" t="n">
        <v>46181</v>
      </c>
      <c r="C362" s="0" t="n">
        <v>1</v>
      </c>
      <c r="D362" s="0" t="s">
        <v>2442</v>
      </c>
      <c r="E362" s="0" t="n">
        <v>1608</v>
      </c>
      <c r="F362" s="0" t="s">
        <v>240</v>
      </c>
      <c r="I362" s="0" t="n">
        <v>1668916</v>
      </c>
      <c r="J362" s="0" t="n">
        <v>28705</v>
      </c>
      <c r="K362" s="0" t="n">
        <v>7891025121633</v>
      </c>
      <c r="L362" s="0" t="s">
        <v>2648</v>
      </c>
      <c r="N362" s="0" t="n">
        <v>2</v>
      </c>
      <c r="O362" s="0" t="n">
        <v>15.02</v>
      </c>
      <c r="P362" s="0" t="s">
        <v>2444</v>
      </c>
    </row>
    <row r="363" customFormat="false" ht="15" hidden="false" customHeight="true" outlineLevel="0" collapsed="false">
      <c r="A363" s="0" t="n">
        <v>2</v>
      </c>
      <c r="B363" s="71" t="n">
        <v>46181</v>
      </c>
      <c r="C363" s="0" t="n">
        <v>1</v>
      </c>
      <c r="D363" s="0" t="s">
        <v>2442</v>
      </c>
      <c r="E363" s="0" t="n">
        <v>1608</v>
      </c>
      <c r="F363" s="0" t="s">
        <v>240</v>
      </c>
      <c r="I363" s="0" t="n">
        <v>1668916</v>
      </c>
      <c r="J363" s="0" t="n">
        <v>31266</v>
      </c>
      <c r="K363" s="0" t="n">
        <v>7899916900343</v>
      </c>
      <c r="L363" s="0" t="s">
        <v>2649</v>
      </c>
      <c r="N363" s="0" t="n">
        <v>6</v>
      </c>
      <c r="O363" s="0" t="n">
        <v>35.58</v>
      </c>
      <c r="P363" s="0" t="s">
        <v>2444</v>
      </c>
    </row>
    <row r="364" customFormat="false" ht="15" hidden="false" customHeight="true" outlineLevel="0" collapsed="false">
      <c r="A364" s="0" t="n">
        <v>2</v>
      </c>
      <c r="B364" s="71" t="n">
        <v>46181</v>
      </c>
      <c r="C364" s="0" t="n">
        <v>1</v>
      </c>
      <c r="D364" s="0" t="s">
        <v>2442</v>
      </c>
      <c r="E364" s="0" t="n">
        <v>1608</v>
      </c>
      <c r="F364" s="0" t="s">
        <v>240</v>
      </c>
      <c r="I364" s="0" t="n">
        <v>1668916</v>
      </c>
      <c r="J364" s="0" t="n">
        <v>32614</v>
      </c>
      <c r="K364" s="0" t="n">
        <v>7891025119456</v>
      </c>
      <c r="L364" s="0" t="s">
        <v>2650</v>
      </c>
      <c r="N364" s="0" t="n">
        <v>12</v>
      </c>
      <c r="O364" s="0" t="n">
        <v>36.36</v>
      </c>
      <c r="P364" s="0" t="s">
        <v>2444</v>
      </c>
    </row>
    <row r="365" customFormat="false" ht="15" hidden="false" customHeight="true" outlineLevel="0" collapsed="false">
      <c r="A365" s="0" t="n">
        <v>2</v>
      </c>
      <c r="B365" s="71" t="n">
        <v>46181</v>
      </c>
      <c r="C365" s="0" t="n">
        <v>1</v>
      </c>
      <c r="D365" s="0" t="s">
        <v>2442</v>
      </c>
      <c r="E365" s="0" t="n">
        <v>1608</v>
      </c>
      <c r="F365" s="0" t="s">
        <v>240</v>
      </c>
      <c r="I365" s="0" t="n">
        <v>1668916</v>
      </c>
      <c r="J365" s="0" t="n">
        <v>35359</v>
      </c>
      <c r="K365" s="0" t="n">
        <v>7891025119869</v>
      </c>
      <c r="L365" s="0" t="s">
        <v>2651</v>
      </c>
      <c r="N365" s="0" t="n">
        <v>2</v>
      </c>
      <c r="O365" s="0" t="n">
        <v>24.4</v>
      </c>
      <c r="P365" s="0" t="s">
        <v>2444</v>
      </c>
    </row>
    <row r="366" customFormat="false" ht="15" hidden="false" customHeight="true" outlineLevel="0" collapsed="false">
      <c r="A366" s="0" t="n">
        <v>2</v>
      </c>
      <c r="B366" s="71" t="n">
        <v>46181</v>
      </c>
      <c r="C366" s="0" t="n">
        <v>1</v>
      </c>
      <c r="D366" s="0" t="s">
        <v>2442</v>
      </c>
      <c r="E366" s="0" t="n">
        <v>1608</v>
      </c>
      <c r="F366" s="0" t="s">
        <v>240</v>
      </c>
      <c r="I366" s="0" t="n">
        <v>1668916</v>
      </c>
      <c r="J366" s="0" t="n">
        <v>37558</v>
      </c>
      <c r="K366" s="0" t="n">
        <v>7891025101376</v>
      </c>
      <c r="L366" s="0" t="s">
        <v>2652</v>
      </c>
      <c r="N366" s="0" t="n">
        <v>6</v>
      </c>
      <c r="O366" s="0" t="n">
        <v>19.26</v>
      </c>
      <c r="P366" s="0" t="s">
        <v>2444</v>
      </c>
    </row>
    <row r="367" customFormat="false" ht="15" hidden="false" customHeight="true" outlineLevel="0" collapsed="false">
      <c r="A367" s="0" t="n">
        <v>2</v>
      </c>
      <c r="B367" s="71" t="n">
        <v>46181</v>
      </c>
      <c r="C367" s="0" t="n">
        <v>1</v>
      </c>
      <c r="D367" s="0" t="s">
        <v>2442</v>
      </c>
      <c r="E367" s="0" t="n">
        <v>1608</v>
      </c>
      <c r="F367" s="0" t="s">
        <v>240</v>
      </c>
      <c r="I367" s="0" t="n">
        <v>1668916</v>
      </c>
      <c r="J367" s="0" t="n">
        <v>61390</v>
      </c>
      <c r="K367" s="0" t="n">
        <v>7891025124436</v>
      </c>
      <c r="L367" s="0" t="s">
        <v>2653</v>
      </c>
      <c r="N367" s="0" t="n">
        <v>2</v>
      </c>
      <c r="O367" s="0" t="n">
        <v>14.72</v>
      </c>
      <c r="P367" s="0" t="s">
        <v>2444</v>
      </c>
    </row>
    <row r="368" customFormat="false" ht="15" hidden="false" customHeight="true" outlineLevel="0" collapsed="false">
      <c r="A368" s="0" t="n">
        <v>2</v>
      </c>
      <c r="B368" s="71" t="n">
        <v>46181</v>
      </c>
      <c r="C368" s="0" t="n">
        <v>1</v>
      </c>
      <c r="D368" s="0" t="s">
        <v>2442</v>
      </c>
      <c r="E368" s="0" t="n">
        <v>1705</v>
      </c>
      <c r="F368" s="0" t="s">
        <v>130</v>
      </c>
      <c r="I368" s="0" t="n">
        <v>1868653</v>
      </c>
      <c r="J368" s="0" t="n">
        <v>103139</v>
      </c>
      <c r="K368" s="0" t="n">
        <v>7894900051759</v>
      </c>
      <c r="L368" s="0" t="s">
        <v>2654</v>
      </c>
      <c r="N368" s="0" t="n">
        <v>6</v>
      </c>
      <c r="O368" s="0" t="n">
        <v>31.26</v>
      </c>
      <c r="P368" s="0" t="s">
        <v>2444</v>
      </c>
    </row>
    <row r="369" customFormat="false" ht="15" hidden="false" customHeight="true" outlineLevel="0" collapsed="false">
      <c r="A369" s="0" t="n">
        <v>2</v>
      </c>
      <c r="B369" s="71" t="n">
        <v>46181</v>
      </c>
      <c r="C369" s="0" t="n">
        <v>1</v>
      </c>
      <c r="D369" s="0" t="s">
        <v>2442</v>
      </c>
      <c r="E369" s="0" t="n">
        <v>1705</v>
      </c>
      <c r="F369" s="0" t="s">
        <v>130</v>
      </c>
      <c r="I369" s="0" t="n">
        <v>1868653</v>
      </c>
      <c r="J369" s="0" t="n">
        <v>103140</v>
      </c>
      <c r="K369" s="0" t="n">
        <v>7894900031751</v>
      </c>
      <c r="L369" s="0" t="s">
        <v>2655</v>
      </c>
      <c r="N369" s="0" t="n">
        <v>18</v>
      </c>
      <c r="O369" s="0" t="n">
        <v>93.77</v>
      </c>
      <c r="P369" s="0" t="s">
        <v>2444</v>
      </c>
    </row>
    <row r="370" customFormat="false" ht="15" hidden="false" customHeight="true" outlineLevel="0" collapsed="false">
      <c r="A370" s="0" t="n">
        <v>2</v>
      </c>
      <c r="B370" s="71" t="n">
        <v>46181</v>
      </c>
      <c r="C370" s="0" t="n">
        <v>1</v>
      </c>
      <c r="D370" s="0" t="s">
        <v>2442</v>
      </c>
      <c r="E370" s="0" t="n">
        <v>1705</v>
      </c>
      <c r="F370" s="0" t="s">
        <v>130</v>
      </c>
      <c r="I370" s="0" t="n">
        <v>1868653</v>
      </c>
      <c r="J370" s="0" t="n">
        <v>103159</v>
      </c>
      <c r="K370" s="0" t="n">
        <v>7894900050011</v>
      </c>
      <c r="L370" s="0" t="s">
        <v>2656</v>
      </c>
      <c r="N370" s="0" t="n">
        <v>12</v>
      </c>
      <c r="O370" s="0" t="n">
        <v>33.21</v>
      </c>
      <c r="P370" s="0" t="s">
        <v>2444</v>
      </c>
    </row>
    <row r="371" customFormat="false" ht="15" hidden="false" customHeight="true" outlineLevel="0" collapsed="false">
      <c r="A371" s="0" t="n">
        <v>2</v>
      </c>
      <c r="B371" s="71" t="n">
        <v>46181</v>
      </c>
      <c r="C371" s="0" t="n">
        <v>1</v>
      </c>
      <c r="D371" s="0" t="s">
        <v>2442</v>
      </c>
      <c r="E371" s="0" t="n">
        <v>1705</v>
      </c>
      <c r="F371" s="0" t="s">
        <v>130</v>
      </c>
      <c r="I371" s="0" t="n">
        <v>1868653</v>
      </c>
      <c r="J371" s="0" t="n">
        <v>103161</v>
      </c>
      <c r="K371" s="0" t="n">
        <v>7894900010015</v>
      </c>
      <c r="L371" s="0" t="s">
        <v>2569</v>
      </c>
      <c r="N371" s="0" t="n">
        <v>60</v>
      </c>
      <c r="O371" s="0" t="n">
        <v>190.48</v>
      </c>
      <c r="P371" s="0" t="s">
        <v>2444</v>
      </c>
    </row>
    <row r="372" customFormat="false" ht="15" hidden="false" customHeight="true" outlineLevel="0" collapsed="false">
      <c r="A372" s="0" t="n">
        <v>2</v>
      </c>
      <c r="B372" s="71" t="n">
        <v>46181</v>
      </c>
      <c r="C372" s="0" t="n">
        <v>1</v>
      </c>
      <c r="D372" s="0" t="s">
        <v>2442</v>
      </c>
      <c r="E372" s="0" t="n">
        <v>1705</v>
      </c>
      <c r="F372" s="0" t="s">
        <v>130</v>
      </c>
      <c r="I372" s="0" t="n">
        <v>1868653</v>
      </c>
      <c r="J372" s="0" t="n">
        <v>104472</v>
      </c>
      <c r="K372" s="0" t="n">
        <v>7897105200038</v>
      </c>
      <c r="L372" s="0" t="s">
        <v>2657</v>
      </c>
      <c r="N372" s="0" t="n">
        <v>18</v>
      </c>
      <c r="O372" s="0" t="n">
        <v>81.68</v>
      </c>
      <c r="P372" s="0" t="s">
        <v>2444</v>
      </c>
    </row>
    <row r="373" customFormat="false" ht="15" hidden="false" customHeight="true" outlineLevel="0" collapsed="false">
      <c r="A373" s="0" t="n">
        <v>2</v>
      </c>
      <c r="B373" s="71" t="n">
        <v>46181</v>
      </c>
      <c r="C373" s="0" t="n">
        <v>1</v>
      </c>
      <c r="D373" s="0" t="s">
        <v>2442</v>
      </c>
      <c r="E373" s="0" t="n">
        <v>1705</v>
      </c>
      <c r="F373" s="0" t="s">
        <v>130</v>
      </c>
      <c r="I373" s="0" t="n">
        <v>1868653</v>
      </c>
      <c r="J373" s="0" t="n">
        <v>107100</v>
      </c>
      <c r="K373" s="0" t="n">
        <v>7894900700015</v>
      </c>
      <c r="L373" s="0" t="s">
        <v>2572</v>
      </c>
      <c r="N373" s="0" t="n">
        <v>24</v>
      </c>
      <c r="O373" s="0" t="n">
        <v>74.24</v>
      </c>
      <c r="P373" s="0" t="s">
        <v>2444</v>
      </c>
    </row>
    <row r="374" customFormat="false" ht="15" hidden="false" customHeight="true" outlineLevel="0" collapsed="false">
      <c r="A374" s="0" t="n">
        <v>2</v>
      </c>
      <c r="B374" s="71" t="n">
        <v>46181</v>
      </c>
      <c r="C374" s="0" t="n">
        <v>1</v>
      </c>
      <c r="D374" s="0" t="s">
        <v>2442</v>
      </c>
      <c r="E374" s="0" t="n">
        <v>1705</v>
      </c>
      <c r="F374" s="0" t="s">
        <v>130</v>
      </c>
      <c r="I374" s="0" t="n">
        <v>1868653</v>
      </c>
      <c r="J374" s="0" t="n">
        <v>11678</v>
      </c>
      <c r="K374" s="0" t="n">
        <v>7894900701593</v>
      </c>
      <c r="L374" s="0" t="s">
        <v>2468</v>
      </c>
      <c r="N374" s="0" t="n">
        <v>18</v>
      </c>
      <c r="O374" s="0" t="n">
        <v>170.7</v>
      </c>
      <c r="P374" s="0" t="s">
        <v>2444</v>
      </c>
    </row>
    <row r="375" customFormat="false" ht="15" hidden="false" customHeight="true" outlineLevel="0" collapsed="false">
      <c r="A375" s="0" t="n">
        <v>2</v>
      </c>
      <c r="B375" s="71" t="n">
        <v>46181</v>
      </c>
      <c r="C375" s="0" t="n">
        <v>1</v>
      </c>
      <c r="D375" s="0" t="s">
        <v>2442</v>
      </c>
      <c r="E375" s="0" t="n">
        <v>1705</v>
      </c>
      <c r="F375" s="0" t="s">
        <v>130</v>
      </c>
      <c r="I375" s="0" t="n">
        <v>1868653</v>
      </c>
      <c r="J375" s="0" t="n">
        <v>28739</v>
      </c>
      <c r="K375" s="0" t="n">
        <v>7894900027044</v>
      </c>
      <c r="L375" s="0" t="s">
        <v>2658</v>
      </c>
      <c r="N375" s="0" t="n">
        <v>30</v>
      </c>
      <c r="O375" s="0" t="n">
        <v>169.72</v>
      </c>
      <c r="P375" s="0" t="s">
        <v>2444</v>
      </c>
    </row>
    <row r="376" customFormat="false" ht="15" hidden="false" customHeight="true" outlineLevel="0" collapsed="false">
      <c r="A376" s="0" t="n">
        <v>2</v>
      </c>
      <c r="B376" s="71" t="n">
        <v>46181</v>
      </c>
      <c r="C376" s="0" t="n">
        <v>1</v>
      </c>
      <c r="D376" s="0" t="s">
        <v>2442</v>
      </c>
      <c r="E376" s="0" t="n">
        <v>1705</v>
      </c>
      <c r="F376" s="0" t="s">
        <v>130</v>
      </c>
      <c r="I376" s="0" t="n">
        <v>1868653</v>
      </c>
      <c r="J376" s="0" t="n">
        <v>34629</v>
      </c>
      <c r="K376" s="0" t="n">
        <v>7894900027020</v>
      </c>
      <c r="L376" s="0" t="s">
        <v>2478</v>
      </c>
      <c r="N376" s="0" t="n">
        <v>30</v>
      </c>
      <c r="O376" s="0" t="n">
        <v>289.68</v>
      </c>
      <c r="P376" s="0" t="s">
        <v>2444</v>
      </c>
    </row>
    <row r="377" customFormat="false" ht="15" hidden="false" customHeight="true" outlineLevel="0" collapsed="false">
      <c r="A377" s="0" t="n">
        <v>2</v>
      </c>
      <c r="B377" s="71" t="n">
        <v>46181</v>
      </c>
      <c r="C377" s="0" t="n">
        <v>2</v>
      </c>
      <c r="D377" s="0" t="s">
        <v>2533</v>
      </c>
      <c r="E377" s="0" t="n">
        <v>48</v>
      </c>
      <c r="F377" s="0" t="s">
        <v>153</v>
      </c>
      <c r="I377" s="0" t="n">
        <v>8626</v>
      </c>
      <c r="J377" s="0" t="n">
        <v>110263</v>
      </c>
      <c r="K377" s="0" t="n">
        <v>41228</v>
      </c>
      <c r="L377" s="0" t="s">
        <v>2659</v>
      </c>
      <c r="N377" s="0" t="n">
        <v>10</v>
      </c>
      <c r="O377" s="0" t="n">
        <v>180</v>
      </c>
      <c r="P377" s="0" t="s">
        <v>2444</v>
      </c>
    </row>
    <row r="378" customFormat="false" ht="15" hidden="false" customHeight="true" outlineLevel="0" collapsed="false">
      <c r="A378" s="0" t="n">
        <v>2</v>
      </c>
      <c r="B378" s="71" t="n">
        <v>46181</v>
      </c>
      <c r="C378" s="0" t="n">
        <v>2</v>
      </c>
      <c r="D378" s="0" t="s">
        <v>2533</v>
      </c>
      <c r="E378" s="0" t="n">
        <v>48</v>
      </c>
      <c r="F378" s="0" t="s">
        <v>153</v>
      </c>
      <c r="I378" s="0" t="n">
        <v>862026</v>
      </c>
      <c r="J378" s="0" t="n">
        <v>42564</v>
      </c>
      <c r="K378" s="0" t="n">
        <v>574</v>
      </c>
      <c r="L378" s="0" t="s">
        <v>2534</v>
      </c>
      <c r="N378" s="0" t="n">
        <v>15</v>
      </c>
      <c r="O378" s="0" t="n">
        <v>195</v>
      </c>
      <c r="P378" s="0" t="s">
        <v>2444</v>
      </c>
    </row>
    <row r="379" customFormat="false" ht="15" hidden="false" customHeight="true" outlineLevel="0" collapsed="false">
      <c r="A379" s="0" t="n">
        <v>2</v>
      </c>
      <c r="B379" s="71" t="n">
        <v>46181</v>
      </c>
      <c r="C379" s="0" t="n">
        <v>6</v>
      </c>
      <c r="D379" s="0" t="s">
        <v>2553</v>
      </c>
      <c r="E379" s="0" t="n">
        <v>48</v>
      </c>
      <c r="F379" s="0" t="s">
        <v>153</v>
      </c>
      <c r="I379" s="0" t="n">
        <v>2485</v>
      </c>
      <c r="J379" s="0" t="n">
        <v>110263</v>
      </c>
      <c r="K379" s="0" t="n">
        <v>41228</v>
      </c>
      <c r="L379" s="0" t="s">
        <v>2659</v>
      </c>
      <c r="N379" s="0" t="n">
        <v>10</v>
      </c>
      <c r="O379" s="0" t="n">
        <v>180</v>
      </c>
      <c r="P379" s="0" t="s">
        <v>2444</v>
      </c>
    </row>
    <row r="380" customFormat="false" ht="15" hidden="false" customHeight="true" outlineLevel="0" collapsed="false">
      <c r="A380" s="0" t="n">
        <v>2</v>
      </c>
      <c r="B380" s="71" t="n">
        <v>46181</v>
      </c>
      <c r="C380" s="0" t="n">
        <v>6</v>
      </c>
      <c r="D380" s="0" t="s">
        <v>2553</v>
      </c>
      <c r="E380" s="0" t="n">
        <v>48</v>
      </c>
      <c r="F380" s="0" t="s">
        <v>153</v>
      </c>
      <c r="I380" s="0" t="n">
        <v>2486</v>
      </c>
      <c r="J380" s="0" t="n">
        <v>42564</v>
      </c>
      <c r="K380" s="0" t="n">
        <v>574</v>
      </c>
      <c r="L380" s="0" t="s">
        <v>2534</v>
      </c>
      <c r="N380" s="0" t="n">
        <v>15</v>
      </c>
      <c r="O380" s="0" t="n">
        <v>195</v>
      </c>
      <c r="P380" s="0" t="s">
        <v>2444</v>
      </c>
    </row>
    <row r="381" customFormat="false" ht="15" hidden="false" customHeight="true" outlineLevel="0" collapsed="false">
      <c r="A381" s="0" t="n">
        <v>2</v>
      </c>
      <c r="B381" s="71" t="n">
        <v>46181</v>
      </c>
      <c r="C381" s="0" t="n">
        <v>11</v>
      </c>
      <c r="D381" s="0" t="s">
        <v>2471</v>
      </c>
      <c r="E381" s="0" t="n">
        <v>1705</v>
      </c>
      <c r="F381" s="0" t="s">
        <v>130</v>
      </c>
      <c r="I381" s="0" t="n">
        <v>1867172</v>
      </c>
      <c r="J381" s="0" t="n">
        <v>21426</v>
      </c>
      <c r="K381" s="0" t="n">
        <v>7894900014211</v>
      </c>
      <c r="L381" s="0" t="s">
        <v>2470</v>
      </c>
      <c r="N381" s="0" t="n">
        <v>9</v>
      </c>
      <c r="O381" s="0" t="n">
        <v>59.89</v>
      </c>
      <c r="P381" s="0" t="s">
        <v>2444</v>
      </c>
    </row>
    <row r="382" customFormat="false" ht="15" hidden="false" customHeight="true" outlineLevel="0" collapsed="false">
      <c r="A382" s="0" t="n">
        <v>2</v>
      </c>
      <c r="B382" s="71" t="n">
        <v>46181</v>
      </c>
      <c r="C382" s="0" t="n">
        <v>11</v>
      </c>
      <c r="D382" s="0" t="s">
        <v>2471</v>
      </c>
      <c r="E382" s="0" t="n">
        <v>1705</v>
      </c>
      <c r="F382" s="0" t="s">
        <v>130</v>
      </c>
      <c r="I382" s="0" t="n">
        <v>1867172</v>
      </c>
      <c r="J382" s="0" t="n">
        <v>27673</v>
      </c>
      <c r="K382" s="0" t="n">
        <v>7894900701715</v>
      </c>
      <c r="L382" s="0" t="s">
        <v>2660</v>
      </c>
      <c r="N382" s="0" t="n">
        <v>18</v>
      </c>
      <c r="O382" s="0" t="n">
        <v>98.72</v>
      </c>
      <c r="P382" s="0" t="s">
        <v>2444</v>
      </c>
    </row>
    <row r="383" customFormat="false" ht="15" hidden="false" customHeight="true" outlineLevel="0" collapsed="false">
      <c r="A383" s="0" t="n">
        <v>2</v>
      </c>
      <c r="B383" s="71" t="n">
        <v>46181</v>
      </c>
      <c r="C383" s="0" t="n">
        <v>11</v>
      </c>
      <c r="D383" s="0" t="s">
        <v>2471</v>
      </c>
      <c r="E383" s="0" t="n">
        <v>1705</v>
      </c>
      <c r="F383" s="0" t="s">
        <v>130</v>
      </c>
      <c r="I383" s="0" t="n">
        <v>1867172</v>
      </c>
      <c r="J383" s="0" t="n">
        <v>41322</v>
      </c>
      <c r="K383" s="0" t="n">
        <v>7897105200076</v>
      </c>
      <c r="L383" s="0" t="s">
        <v>2661</v>
      </c>
      <c r="N383" s="0" t="n">
        <v>18</v>
      </c>
      <c r="O383" s="0" t="n">
        <v>61.36</v>
      </c>
      <c r="P383" s="0" t="s">
        <v>2444</v>
      </c>
    </row>
    <row r="384" customFormat="false" ht="15" hidden="false" customHeight="true" outlineLevel="0" collapsed="false">
      <c r="A384" s="0" t="n">
        <v>2</v>
      </c>
      <c r="B384" s="71" t="n">
        <v>46181</v>
      </c>
      <c r="C384" s="0" t="n">
        <v>22</v>
      </c>
      <c r="D384" s="0" t="s">
        <v>2479</v>
      </c>
      <c r="E384" s="0" t="n">
        <v>48</v>
      </c>
      <c r="F384" s="0" t="s">
        <v>153</v>
      </c>
      <c r="I384" s="0" t="n">
        <v>2482</v>
      </c>
      <c r="J384" s="0" t="n">
        <v>100008</v>
      </c>
      <c r="K384" s="0" t="n">
        <v>9</v>
      </c>
      <c r="L384" s="0" t="s">
        <v>2487</v>
      </c>
      <c r="N384" s="0" t="n">
        <v>31.13</v>
      </c>
      <c r="O384" s="0" t="n">
        <v>924.7</v>
      </c>
      <c r="P384" s="0" t="s">
        <v>2444</v>
      </c>
    </row>
    <row r="385" customFormat="false" ht="15" hidden="false" customHeight="true" outlineLevel="0" collapsed="false">
      <c r="A385" s="0" t="n">
        <v>2</v>
      </c>
      <c r="B385" s="71" t="n">
        <v>46181</v>
      </c>
      <c r="C385" s="0" t="n">
        <v>22</v>
      </c>
      <c r="D385" s="0" t="s">
        <v>2479</v>
      </c>
      <c r="E385" s="0" t="n">
        <v>48</v>
      </c>
      <c r="F385" s="0" t="s">
        <v>153</v>
      </c>
      <c r="I385" s="0" t="n">
        <v>2482</v>
      </c>
      <c r="J385" s="0" t="n">
        <v>100053</v>
      </c>
      <c r="K385" s="0" t="n">
        <v>54</v>
      </c>
      <c r="L385" s="0" t="s">
        <v>2495</v>
      </c>
      <c r="N385" s="0" t="n">
        <v>4.276</v>
      </c>
      <c r="O385" s="0" t="n">
        <v>143.3</v>
      </c>
      <c r="P385" s="0" t="s">
        <v>2444</v>
      </c>
    </row>
    <row r="386" customFormat="false" ht="15" hidden="false" customHeight="true" outlineLevel="0" collapsed="false">
      <c r="A386" s="0" t="n">
        <v>2</v>
      </c>
      <c r="B386" s="71" t="n">
        <v>46181</v>
      </c>
      <c r="C386" s="0" t="n">
        <v>22</v>
      </c>
      <c r="D386" s="0" t="s">
        <v>2479</v>
      </c>
      <c r="E386" s="0" t="n">
        <v>48</v>
      </c>
      <c r="F386" s="0" t="s">
        <v>153</v>
      </c>
      <c r="I386" s="0" t="n">
        <v>2482</v>
      </c>
      <c r="J386" s="0" t="n">
        <v>110455</v>
      </c>
      <c r="K386" s="0" t="n">
        <v>53212</v>
      </c>
      <c r="L386" s="0" t="s">
        <v>2498</v>
      </c>
      <c r="N386" s="0" t="n">
        <v>0.194</v>
      </c>
      <c r="O386" s="0" t="n">
        <v>0</v>
      </c>
      <c r="P386" s="0" t="s">
        <v>2444</v>
      </c>
    </row>
    <row r="387" customFormat="false" ht="15" hidden="false" customHeight="true" outlineLevel="0" collapsed="false">
      <c r="A387" s="0" t="n">
        <v>2</v>
      </c>
      <c r="B387" s="71" t="n">
        <v>46181</v>
      </c>
      <c r="C387" s="0" t="n">
        <v>22</v>
      </c>
      <c r="D387" s="0" t="s">
        <v>2479</v>
      </c>
      <c r="E387" s="0" t="n">
        <v>48</v>
      </c>
      <c r="F387" s="0" t="s">
        <v>153</v>
      </c>
      <c r="I387" s="0" t="n">
        <v>2484</v>
      </c>
      <c r="J387" s="0" t="n">
        <v>100000</v>
      </c>
      <c r="K387" s="0" t="n">
        <v>1</v>
      </c>
      <c r="L387" s="0" t="s">
        <v>2480</v>
      </c>
      <c r="N387" s="0" t="n">
        <v>3.102</v>
      </c>
      <c r="O387" s="0" t="n">
        <v>67.18</v>
      </c>
      <c r="P387" s="0" t="s">
        <v>2444</v>
      </c>
    </row>
    <row r="388" customFormat="false" ht="15" hidden="false" customHeight="true" outlineLevel="0" collapsed="false">
      <c r="A388" s="0" t="n">
        <v>2</v>
      </c>
      <c r="B388" s="71" t="n">
        <v>46181</v>
      </c>
      <c r="C388" s="0" t="n">
        <v>22</v>
      </c>
      <c r="D388" s="0" t="s">
        <v>2479</v>
      </c>
      <c r="E388" s="0" t="n">
        <v>48</v>
      </c>
      <c r="F388" s="0" t="s">
        <v>153</v>
      </c>
      <c r="I388" s="0" t="n">
        <v>2484</v>
      </c>
      <c r="J388" s="0" t="n">
        <v>100000</v>
      </c>
      <c r="K388" s="0" t="n">
        <v>1</v>
      </c>
      <c r="L388" s="0" t="s">
        <v>2480</v>
      </c>
      <c r="N388" s="0" t="n">
        <v>3.164</v>
      </c>
      <c r="O388" s="0" t="n">
        <v>51.49</v>
      </c>
      <c r="P388" s="0" t="s">
        <v>2444</v>
      </c>
    </row>
    <row r="389" customFormat="false" ht="15" hidden="false" customHeight="true" outlineLevel="0" collapsed="false">
      <c r="A389" s="0" t="n">
        <v>2</v>
      </c>
      <c r="B389" s="71" t="n">
        <v>46181</v>
      </c>
      <c r="C389" s="0" t="n">
        <v>22</v>
      </c>
      <c r="D389" s="0" t="s">
        <v>2479</v>
      </c>
      <c r="E389" s="0" t="n">
        <v>48</v>
      </c>
      <c r="F389" s="0" t="s">
        <v>153</v>
      </c>
      <c r="I389" s="0" t="n">
        <v>2484</v>
      </c>
      <c r="J389" s="0" t="n">
        <v>100001</v>
      </c>
      <c r="K389" s="0" t="n">
        <v>2</v>
      </c>
      <c r="L389" s="0" t="s">
        <v>2481</v>
      </c>
      <c r="N389" s="0" t="n">
        <v>9.825</v>
      </c>
      <c r="O389" s="0" t="n">
        <v>230.51</v>
      </c>
      <c r="P389" s="0" t="s">
        <v>2444</v>
      </c>
    </row>
    <row r="390" customFormat="false" ht="15" hidden="false" customHeight="true" outlineLevel="0" collapsed="false">
      <c r="A390" s="0" t="n">
        <v>2</v>
      </c>
      <c r="B390" s="71" t="n">
        <v>46181</v>
      </c>
      <c r="C390" s="0" t="n">
        <v>22</v>
      </c>
      <c r="D390" s="0" t="s">
        <v>2479</v>
      </c>
      <c r="E390" s="0" t="n">
        <v>48</v>
      </c>
      <c r="F390" s="0" t="s">
        <v>153</v>
      </c>
      <c r="I390" s="0" t="n">
        <v>2484</v>
      </c>
      <c r="J390" s="0" t="n">
        <v>100002</v>
      </c>
      <c r="K390" s="0" t="n">
        <v>3</v>
      </c>
      <c r="L390" s="0" t="s">
        <v>2482</v>
      </c>
      <c r="N390" s="0" t="n">
        <v>22.72</v>
      </c>
      <c r="O390" s="0" t="n">
        <v>615.08</v>
      </c>
      <c r="P390" s="0" t="s">
        <v>2444</v>
      </c>
    </row>
    <row r="391" customFormat="false" ht="15" hidden="false" customHeight="true" outlineLevel="0" collapsed="false">
      <c r="A391" s="0" t="n">
        <v>2</v>
      </c>
      <c r="B391" s="71" t="n">
        <v>46181</v>
      </c>
      <c r="C391" s="0" t="n">
        <v>22</v>
      </c>
      <c r="D391" s="0" t="s">
        <v>2479</v>
      </c>
      <c r="E391" s="0" t="n">
        <v>48</v>
      </c>
      <c r="F391" s="0" t="s">
        <v>153</v>
      </c>
      <c r="I391" s="0" t="n">
        <v>2484</v>
      </c>
      <c r="J391" s="0" t="n">
        <v>100003</v>
      </c>
      <c r="K391" s="0" t="n">
        <v>4</v>
      </c>
      <c r="L391" s="0" t="s">
        <v>2483</v>
      </c>
      <c r="N391" s="0" t="n">
        <v>18.27</v>
      </c>
      <c r="O391" s="0" t="n">
        <v>527.59</v>
      </c>
      <c r="P391" s="0" t="s">
        <v>2444</v>
      </c>
    </row>
    <row r="392" customFormat="false" ht="15" hidden="false" customHeight="true" outlineLevel="0" collapsed="false">
      <c r="A392" s="0" t="n">
        <v>2</v>
      </c>
      <c r="B392" s="71" t="n">
        <v>46181</v>
      </c>
      <c r="C392" s="0" t="n">
        <v>22</v>
      </c>
      <c r="D392" s="0" t="s">
        <v>2479</v>
      </c>
      <c r="E392" s="0" t="n">
        <v>48</v>
      </c>
      <c r="F392" s="0" t="s">
        <v>153</v>
      </c>
      <c r="I392" s="0" t="n">
        <v>2484</v>
      </c>
      <c r="J392" s="0" t="n">
        <v>100004</v>
      </c>
      <c r="K392" s="0" t="n">
        <v>5</v>
      </c>
      <c r="L392" s="0" t="s">
        <v>2484</v>
      </c>
      <c r="N392" s="0" t="n">
        <v>10.35</v>
      </c>
      <c r="O392" s="0" t="n">
        <v>196.5</v>
      </c>
      <c r="P392" s="0" t="s">
        <v>2444</v>
      </c>
    </row>
    <row r="393" customFormat="false" ht="15" hidden="false" customHeight="true" outlineLevel="0" collapsed="false">
      <c r="A393" s="0" t="n">
        <v>2</v>
      </c>
      <c r="B393" s="71" t="n">
        <v>46181</v>
      </c>
      <c r="C393" s="0" t="n">
        <v>22</v>
      </c>
      <c r="D393" s="0" t="s">
        <v>2479</v>
      </c>
      <c r="E393" s="0" t="n">
        <v>48</v>
      </c>
      <c r="F393" s="0" t="s">
        <v>153</v>
      </c>
      <c r="I393" s="0" t="n">
        <v>2484</v>
      </c>
      <c r="J393" s="0" t="n">
        <v>100004</v>
      </c>
      <c r="K393" s="0" t="n">
        <v>5</v>
      </c>
      <c r="L393" s="0" t="s">
        <v>2484</v>
      </c>
      <c r="N393" s="0" t="n">
        <v>1.43</v>
      </c>
      <c r="O393" s="0" t="n">
        <v>36.13</v>
      </c>
      <c r="P393" s="0" t="s">
        <v>2444</v>
      </c>
    </row>
    <row r="394" customFormat="false" ht="15" hidden="false" customHeight="true" outlineLevel="0" collapsed="false">
      <c r="A394" s="0" t="n">
        <v>2</v>
      </c>
      <c r="B394" s="71" t="n">
        <v>46181</v>
      </c>
      <c r="C394" s="0" t="n">
        <v>22</v>
      </c>
      <c r="D394" s="0" t="s">
        <v>2479</v>
      </c>
      <c r="E394" s="0" t="n">
        <v>48</v>
      </c>
      <c r="F394" s="0" t="s">
        <v>153</v>
      </c>
      <c r="I394" s="0" t="n">
        <v>2484</v>
      </c>
      <c r="J394" s="0" t="n">
        <v>100005</v>
      </c>
      <c r="K394" s="0" t="n">
        <v>6</v>
      </c>
      <c r="L394" s="0" t="s">
        <v>2582</v>
      </c>
      <c r="N394" s="0" t="n">
        <v>2.354</v>
      </c>
      <c r="O394" s="0" t="n">
        <v>63.73</v>
      </c>
      <c r="P394" s="0" t="s">
        <v>2444</v>
      </c>
    </row>
    <row r="395" customFormat="false" ht="15" hidden="false" customHeight="true" outlineLevel="0" collapsed="false">
      <c r="A395" s="0" t="n">
        <v>2</v>
      </c>
      <c r="B395" s="71" t="n">
        <v>46181</v>
      </c>
      <c r="C395" s="0" t="n">
        <v>22</v>
      </c>
      <c r="D395" s="0" t="s">
        <v>2479</v>
      </c>
      <c r="E395" s="0" t="n">
        <v>48</v>
      </c>
      <c r="F395" s="0" t="s">
        <v>153</v>
      </c>
      <c r="I395" s="0" t="n">
        <v>2484</v>
      </c>
      <c r="J395" s="0" t="n">
        <v>100006</v>
      </c>
      <c r="K395" s="0" t="n">
        <v>7</v>
      </c>
      <c r="L395" s="0" t="s">
        <v>2485</v>
      </c>
      <c r="N395" s="0" t="n">
        <v>2.562</v>
      </c>
      <c r="O395" s="0" t="n">
        <v>59.07</v>
      </c>
      <c r="P395" s="0" t="s">
        <v>2444</v>
      </c>
    </row>
    <row r="396" customFormat="false" ht="15" hidden="false" customHeight="true" outlineLevel="0" collapsed="false">
      <c r="A396" s="0" t="n">
        <v>2</v>
      </c>
      <c r="B396" s="71" t="n">
        <v>46181</v>
      </c>
      <c r="C396" s="0" t="n">
        <v>22</v>
      </c>
      <c r="D396" s="0" t="s">
        <v>2479</v>
      </c>
      <c r="E396" s="0" t="n">
        <v>48</v>
      </c>
      <c r="F396" s="0" t="s">
        <v>153</v>
      </c>
      <c r="I396" s="0" t="n">
        <v>2484</v>
      </c>
      <c r="J396" s="0" t="n">
        <v>100007</v>
      </c>
      <c r="K396" s="0" t="n">
        <v>8</v>
      </c>
      <c r="L396" s="0" t="s">
        <v>2486</v>
      </c>
      <c r="N396" s="0" t="n">
        <v>1.992</v>
      </c>
      <c r="O396" s="0" t="n">
        <v>53.93</v>
      </c>
      <c r="P396" s="0" t="s">
        <v>2444</v>
      </c>
    </row>
    <row r="397" customFormat="false" ht="15" hidden="false" customHeight="true" outlineLevel="0" collapsed="false">
      <c r="A397" s="0" t="n">
        <v>2</v>
      </c>
      <c r="B397" s="71" t="n">
        <v>46181</v>
      </c>
      <c r="C397" s="0" t="n">
        <v>22</v>
      </c>
      <c r="D397" s="0" t="s">
        <v>2479</v>
      </c>
      <c r="E397" s="0" t="n">
        <v>48</v>
      </c>
      <c r="F397" s="0" t="s">
        <v>153</v>
      </c>
      <c r="I397" s="0" t="n">
        <v>2484</v>
      </c>
      <c r="J397" s="0" t="n">
        <v>100007</v>
      </c>
      <c r="K397" s="0" t="n">
        <v>8</v>
      </c>
      <c r="L397" s="0" t="s">
        <v>2486</v>
      </c>
      <c r="N397" s="0" t="n">
        <v>2.228</v>
      </c>
      <c r="O397" s="0" t="n">
        <v>45.32</v>
      </c>
      <c r="P397" s="0" t="s">
        <v>2444</v>
      </c>
    </row>
    <row r="398" customFormat="false" ht="15" hidden="false" customHeight="true" outlineLevel="0" collapsed="false">
      <c r="A398" s="0" t="n">
        <v>2</v>
      </c>
      <c r="B398" s="71" t="n">
        <v>46181</v>
      </c>
      <c r="C398" s="0" t="n">
        <v>22</v>
      </c>
      <c r="D398" s="0" t="s">
        <v>2479</v>
      </c>
      <c r="E398" s="0" t="n">
        <v>48</v>
      </c>
      <c r="F398" s="0" t="s">
        <v>153</v>
      </c>
      <c r="I398" s="0" t="n">
        <v>2484</v>
      </c>
      <c r="J398" s="0" t="n">
        <v>100008</v>
      </c>
      <c r="K398" s="0" t="n">
        <v>9</v>
      </c>
      <c r="L398" s="0" t="s">
        <v>2487</v>
      </c>
      <c r="N398" s="0" t="n">
        <v>14.395</v>
      </c>
      <c r="O398" s="0" t="n">
        <v>380.7</v>
      </c>
      <c r="P398" s="0" t="s">
        <v>2444</v>
      </c>
    </row>
    <row r="399" customFormat="false" ht="15" hidden="false" customHeight="true" outlineLevel="0" collapsed="false">
      <c r="A399" s="0" t="n">
        <v>2</v>
      </c>
      <c r="B399" s="71" t="n">
        <v>46181</v>
      </c>
      <c r="C399" s="0" t="n">
        <v>22</v>
      </c>
      <c r="D399" s="0" t="s">
        <v>2479</v>
      </c>
      <c r="E399" s="0" t="n">
        <v>48</v>
      </c>
      <c r="F399" s="0" t="s">
        <v>153</v>
      </c>
      <c r="I399" s="0" t="n">
        <v>2484</v>
      </c>
      <c r="J399" s="0" t="n">
        <v>100011</v>
      </c>
      <c r="K399" s="0" t="n">
        <v>12</v>
      </c>
      <c r="L399" s="0" t="s">
        <v>2488</v>
      </c>
      <c r="N399" s="0" t="n">
        <v>9.375</v>
      </c>
      <c r="O399" s="0" t="n">
        <v>279.73</v>
      </c>
      <c r="P399" s="0" t="s">
        <v>2444</v>
      </c>
    </row>
    <row r="400" customFormat="false" ht="15" hidden="false" customHeight="true" outlineLevel="0" collapsed="false">
      <c r="A400" s="0" t="n">
        <v>2</v>
      </c>
      <c r="B400" s="71" t="n">
        <v>46181</v>
      </c>
      <c r="C400" s="0" t="n">
        <v>22</v>
      </c>
      <c r="D400" s="0" t="s">
        <v>2479</v>
      </c>
      <c r="E400" s="0" t="n">
        <v>48</v>
      </c>
      <c r="F400" s="0" t="s">
        <v>153</v>
      </c>
      <c r="I400" s="0" t="n">
        <v>2484</v>
      </c>
      <c r="J400" s="0" t="n">
        <v>100012</v>
      </c>
      <c r="K400" s="0" t="n">
        <v>13</v>
      </c>
      <c r="L400" s="0" t="s">
        <v>2489</v>
      </c>
      <c r="N400" s="0" t="n">
        <v>6.17</v>
      </c>
      <c r="O400" s="0" t="n">
        <v>209.21</v>
      </c>
      <c r="P400" s="0" t="s">
        <v>2444</v>
      </c>
    </row>
    <row r="401" customFormat="false" ht="15" hidden="false" customHeight="true" outlineLevel="0" collapsed="false">
      <c r="A401" s="0" t="n">
        <v>2</v>
      </c>
      <c r="B401" s="71" t="n">
        <v>46181</v>
      </c>
      <c r="C401" s="0" t="n">
        <v>22</v>
      </c>
      <c r="D401" s="0" t="s">
        <v>2479</v>
      </c>
      <c r="E401" s="0" t="n">
        <v>48</v>
      </c>
      <c r="F401" s="0" t="s">
        <v>153</v>
      </c>
      <c r="I401" s="0" t="n">
        <v>2484</v>
      </c>
      <c r="J401" s="0" t="n">
        <v>100013</v>
      </c>
      <c r="K401" s="0" t="n">
        <v>14</v>
      </c>
      <c r="L401" s="0" t="s">
        <v>2490</v>
      </c>
      <c r="N401" s="0" t="n">
        <v>10.38</v>
      </c>
      <c r="O401" s="0" t="n">
        <v>373.09</v>
      </c>
      <c r="P401" s="0" t="s">
        <v>2444</v>
      </c>
    </row>
    <row r="402" customFormat="false" ht="15" hidden="false" customHeight="true" outlineLevel="0" collapsed="false">
      <c r="A402" s="0" t="n">
        <v>2</v>
      </c>
      <c r="B402" s="71" t="n">
        <v>46181</v>
      </c>
      <c r="C402" s="0" t="n">
        <v>22</v>
      </c>
      <c r="D402" s="0" t="s">
        <v>2479</v>
      </c>
      <c r="E402" s="0" t="n">
        <v>48</v>
      </c>
      <c r="F402" s="0" t="s">
        <v>153</v>
      </c>
      <c r="I402" s="0" t="n">
        <v>2484</v>
      </c>
      <c r="J402" s="0" t="n">
        <v>100014</v>
      </c>
      <c r="K402" s="0" t="n">
        <v>15</v>
      </c>
      <c r="L402" s="0" t="s">
        <v>2491</v>
      </c>
      <c r="N402" s="0" t="n">
        <v>3.98</v>
      </c>
      <c r="O402" s="0" t="n">
        <v>145.75</v>
      </c>
      <c r="P402" s="0" t="s">
        <v>2444</v>
      </c>
    </row>
    <row r="403" customFormat="false" ht="15" hidden="false" customHeight="true" outlineLevel="0" collapsed="false">
      <c r="A403" s="0" t="n">
        <v>2</v>
      </c>
      <c r="B403" s="71" t="n">
        <v>46181</v>
      </c>
      <c r="C403" s="0" t="n">
        <v>22</v>
      </c>
      <c r="D403" s="0" t="s">
        <v>2479</v>
      </c>
      <c r="E403" s="0" t="n">
        <v>48</v>
      </c>
      <c r="F403" s="0" t="s">
        <v>153</v>
      </c>
      <c r="I403" s="0" t="n">
        <v>2484</v>
      </c>
      <c r="J403" s="0" t="n">
        <v>100015</v>
      </c>
      <c r="K403" s="0" t="n">
        <v>16</v>
      </c>
      <c r="L403" s="0" t="s">
        <v>2492</v>
      </c>
      <c r="N403" s="0" t="n">
        <v>1.82</v>
      </c>
      <c r="O403" s="0" t="n">
        <v>59.24</v>
      </c>
      <c r="P403" s="0" t="s">
        <v>2444</v>
      </c>
    </row>
    <row r="404" customFormat="false" ht="15" hidden="false" customHeight="true" outlineLevel="0" collapsed="false">
      <c r="A404" s="0" t="n">
        <v>2</v>
      </c>
      <c r="B404" s="71" t="n">
        <v>46181</v>
      </c>
      <c r="C404" s="0" t="n">
        <v>22</v>
      </c>
      <c r="D404" s="0" t="s">
        <v>2479</v>
      </c>
      <c r="E404" s="0" t="n">
        <v>48</v>
      </c>
      <c r="F404" s="0" t="s">
        <v>153</v>
      </c>
      <c r="I404" s="0" t="n">
        <v>2484</v>
      </c>
      <c r="J404" s="0" t="n">
        <v>100016</v>
      </c>
      <c r="K404" s="0" t="n">
        <v>17</v>
      </c>
      <c r="L404" s="0" t="s">
        <v>2493</v>
      </c>
      <c r="N404" s="0" t="n">
        <v>2.51</v>
      </c>
      <c r="O404" s="0" t="n">
        <v>102.13</v>
      </c>
      <c r="P404" s="0" t="s">
        <v>2444</v>
      </c>
    </row>
    <row r="405" customFormat="false" ht="15" hidden="false" customHeight="true" outlineLevel="0" collapsed="false">
      <c r="A405" s="0" t="n">
        <v>2</v>
      </c>
      <c r="B405" s="71" t="n">
        <v>46181</v>
      </c>
      <c r="C405" s="0" t="n">
        <v>22</v>
      </c>
      <c r="D405" s="0" t="s">
        <v>2479</v>
      </c>
      <c r="E405" s="0" t="n">
        <v>48</v>
      </c>
      <c r="F405" s="0" t="s">
        <v>153</v>
      </c>
      <c r="I405" s="0" t="n">
        <v>2484</v>
      </c>
      <c r="J405" s="0" t="n">
        <v>100017</v>
      </c>
      <c r="K405" s="0" t="n">
        <v>18</v>
      </c>
      <c r="L405" s="0" t="s">
        <v>2494</v>
      </c>
      <c r="N405" s="0" t="n">
        <v>1.57</v>
      </c>
      <c r="O405" s="0" t="n">
        <v>74.53</v>
      </c>
      <c r="P405" s="0" t="s">
        <v>2444</v>
      </c>
    </row>
    <row r="406" customFormat="false" ht="15" hidden="false" customHeight="true" outlineLevel="0" collapsed="false">
      <c r="A406" s="0" t="n">
        <v>2</v>
      </c>
      <c r="B406" s="71" t="n">
        <v>46181</v>
      </c>
      <c r="C406" s="0" t="n">
        <v>22</v>
      </c>
      <c r="D406" s="0" t="s">
        <v>2479</v>
      </c>
      <c r="E406" s="0" t="n">
        <v>48</v>
      </c>
      <c r="F406" s="0" t="s">
        <v>153</v>
      </c>
      <c r="I406" s="0" t="n">
        <v>2484</v>
      </c>
      <c r="J406" s="0" t="n">
        <v>100021</v>
      </c>
      <c r="K406" s="0" t="n">
        <v>22</v>
      </c>
      <c r="L406" s="0" t="s">
        <v>2662</v>
      </c>
      <c r="N406" s="0" t="n">
        <v>1.882</v>
      </c>
      <c r="O406" s="0" t="n">
        <v>38.28</v>
      </c>
      <c r="P406" s="0" t="s">
        <v>2444</v>
      </c>
    </row>
    <row r="407" customFormat="false" ht="15" hidden="false" customHeight="true" outlineLevel="0" collapsed="false">
      <c r="A407" s="0" t="n">
        <v>2</v>
      </c>
      <c r="B407" s="71" t="n">
        <v>46181</v>
      </c>
      <c r="C407" s="0" t="n">
        <v>22</v>
      </c>
      <c r="D407" s="0" t="s">
        <v>2479</v>
      </c>
      <c r="E407" s="0" t="n">
        <v>48</v>
      </c>
      <c r="F407" s="0" t="s">
        <v>153</v>
      </c>
      <c r="I407" s="0" t="n">
        <v>2484</v>
      </c>
      <c r="J407" s="0" t="n">
        <v>100040</v>
      </c>
      <c r="K407" s="0" t="n">
        <v>41</v>
      </c>
      <c r="L407" s="0" t="s">
        <v>2583</v>
      </c>
      <c r="N407" s="0" t="n">
        <v>2.91</v>
      </c>
      <c r="O407" s="0" t="n">
        <v>84.03</v>
      </c>
      <c r="P407" s="0" t="s">
        <v>2444</v>
      </c>
    </row>
    <row r="408" customFormat="false" ht="15" hidden="false" customHeight="true" outlineLevel="0" collapsed="false">
      <c r="A408" s="0" t="n">
        <v>2</v>
      </c>
      <c r="B408" s="71" t="n">
        <v>46181</v>
      </c>
      <c r="C408" s="0" t="n">
        <v>22</v>
      </c>
      <c r="D408" s="0" t="s">
        <v>2479</v>
      </c>
      <c r="E408" s="0" t="n">
        <v>48</v>
      </c>
      <c r="F408" s="0" t="s">
        <v>153</v>
      </c>
      <c r="I408" s="0" t="n">
        <v>2484</v>
      </c>
      <c r="J408" s="0" t="n">
        <v>100053</v>
      </c>
      <c r="K408" s="0" t="n">
        <v>54</v>
      </c>
      <c r="L408" s="0" t="s">
        <v>2495</v>
      </c>
      <c r="N408" s="0" t="n">
        <v>1.096</v>
      </c>
      <c r="O408" s="0" t="n">
        <v>32.7</v>
      </c>
      <c r="P408" s="0" t="s">
        <v>2444</v>
      </c>
    </row>
    <row r="409" customFormat="false" ht="15" hidden="false" customHeight="true" outlineLevel="0" collapsed="false">
      <c r="A409" s="0" t="n">
        <v>2</v>
      </c>
      <c r="B409" s="71" t="n">
        <v>46181</v>
      </c>
      <c r="C409" s="0" t="n">
        <v>22</v>
      </c>
      <c r="D409" s="0" t="s">
        <v>2479</v>
      </c>
      <c r="E409" s="0" t="n">
        <v>48</v>
      </c>
      <c r="F409" s="0" t="s">
        <v>153</v>
      </c>
      <c r="I409" s="0" t="n">
        <v>2484</v>
      </c>
      <c r="J409" s="0" t="n">
        <v>100638</v>
      </c>
      <c r="K409" s="0" t="n">
        <v>508</v>
      </c>
      <c r="L409" s="0" t="s">
        <v>2496</v>
      </c>
      <c r="N409" s="0" t="n">
        <v>1.59</v>
      </c>
      <c r="O409" s="0" t="n">
        <v>3.22</v>
      </c>
      <c r="P409" s="0" t="s">
        <v>2444</v>
      </c>
    </row>
    <row r="410" customFormat="false" ht="15" hidden="false" customHeight="true" outlineLevel="0" collapsed="false">
      <c r="A410" s="0" t="n">
        <v>2</v>
      </c>
      <c r="B410" s="71" t="n">
        <v>46181</v>
      </c>
      <c r="C410" s="0" t="n">
        <v>22</v>
      </c>
      <c r="D410" s="0" t="s">
        <v>2479</v>
      </c>
      <c r="E410" s="0" t="n">
        <v>48</v>
      </c>
      <c r="F410" s="0" t="s">
        <v>153</v>
      </c>
      <c r="I410" s="0" t="n">
        <v>2484</v>
      </c>
      <c r="J410" s="0" t="n">
        <v>100638</v>
      </c>
      <c r="K410" s="0" t="n">
        <v>508</v>
      </c>
      <c r="L410" s="0" t="s">
        <v>2496</v>
      </c>
      <c r="N410" s="0" t="n">
        <v>2.626</v>
      </c>
      <c r="O410" s="0" t="n">
        <v>7.09</v>
      </c>
      <c r="P410" s="0" t="s">
        <v>2444</v>
      </c>
    </row>
    <row r="411" customFormat="false" ht="15" hidden="false" customHeight="true" outlineLevel="0" collapsed="false">
      <c r="A411" s="0" t="n">
        <v>2</v>
      </c>
      <c r="B411" s="71" t="n">
        <v>46181</v>
      </c>
      <c r="C411" s="0" t="n">
        <v>22</v>
      </c>
      <c r="D411" s="0" t="s">
        <v>2479</v>
      </c>
      <c r="E411" s="0" t="n">
        <v>48</v>
      </c>
      <c r="F411" s="0" t="s">
        <v>153</v>
      </c>
      <c r="I411" s="0" t="n">
        <v>2484</v>
      </c>
      <c r="J411" s="0" t="n">
        <v>100520</v>
      </c>
      <c r="K411" s="0" t="n">
        <v>507</v>
      </c>
      <c r="L411" s="0" t="s">
        <v>2497</v>
      </c>
      <c r="N411" s="0" t="n">
        <v>9.75</v>
      </c>
      <c r="O411" s="0" t="n">
        <v>19.77</v>
      </c>
      <c r="P411" s="0" t="s">
        <v>2444</v>
      </c>
    </row>
    <row r="412" customFormat="false" ht="15" hidden="false" customHeight="true" outlineLevel="0" collapsed="false">
      <c r="A412" s="0" t="n">
        <v>2</v>
      </c>
      <c r="B412" s="71" t="n">
        <v>46181</v>
      </c>
      <c r="C412" s="0" t="n">
        <v>22</v>
      </c>
      <c r="D412" s="0" t="s">
        <v>2479</v>
      </c>
      <c r="E412" s="0" t="n">
        <v>48</v>
      </c>
      <c r="F412" s="0" t="s">
        <v>153</v>
      </c>
      <c r="I412" s="0" t="n">
        <v>2484</v>
      </c>
      <c r="J412" s="0" t="n">
        <v>100520</v>
      </c>
      <c r="K412" s="0" t="n">
        <v>507</v>
      </c>
      <c r="L412" s="0" t="s">
        <v>2497</v>
      </c>
      <c r="N412" s="0" t="n">
        <v>1.756</v>
      </c>
      <c r="O412" s="0" t="n">
        <v>4.74</v>
      </c>
      <c r="P412" s="0" t="s">
        <v>2444</v>
      </c>
    </row>
    <row r="413" customFormat="false" ht="15" hidden="false" customHeight="true" outlineLevel="0" collapsed="false">
      <c r="A413" s="0" t="n">
        <v>2</v>
      </c>
      <c r="B413" s="71" t="n">
        <v>46181</v>
      </c>
      <c r="C413" s="0" t="n">
        <v>22</v>
      </c>
      <c r="D413" s="0" t="s">
        <v>2479</v>
      </c>
      <c r="E413" s="0" t="n">
        <v>48</v>
      </c>
      <c r="F413" s="0" t="s">
        <v>153</v>
      </c>
      <c r="I413" s="0" t="n">
        <v>2484</v>
      </c>
      <c r="J413" s="0" t="n">
        <v>110455</v>
      </c>
      <c r="K413" s="0" t="n">
        <v>53212</v>
      </c>
      <c r="L413" s="0" t="s">
        <v>2498</v>
      </c>
      <c r="N413" s="0" t="n">
        <v>0.615</v>
      </c>
      <c r="O413" s="0" t="n">
        <v>0</v>
      </c>
      <c r="P413" s="0" t="s">
        <v>2444</v>
      </c>
    </row>
    <row r="414" customFormat="false" ht="15" hidden="false" customHeight="true" outlineLevel="0" collapsed="false">
      <c r="A414" s="0" t="n">
        <v>2</v>
      </c>
      <c r="B414" s="71" t="n">
        <v>46181</v>
      </c>
      <c r="C414" s="0" t="n">
        <v>22</v>
      </c>
      <c r="D414" s="0" t="s">
        <v>2479</v>
      </c>
      <c r="E414" s="0" t="n">
        <v>48</v>
      </c>
      <c r="F414" s="0" t="s">
        <v>153</v>
      </c>
      <c r="I414" s="0" t="n">
        <v>2484</v>
      </c>
      <c r="J414" s="0" t="n">
        <v>110455</v>
      </c>
      <c r="K414" s="0" t="n">
        <v>53212</v>
      </c>
      <c r="L414" s="0" t="s">
        <v>2498</v>
      </c>
      <c r="N414" s="0" t="n">
        <v>0.182</v>
      </c>
      <c r="O414" s="0" t="n">
        <v>0.04</v>
      </c>
      <c r="P414" s="0" t="s">
        <v>2444</v>
      </c>
    </row>
    <row r="415" customFormat="false" ht="15" hidden="false" customHeight="true" outlineLevel="0" collapsed="false">
      <c r="A415" s="0" t="n">
        <v>2</v>
      </c>
      <c r="B415" s="71" t="n">
        <v>46181</v>
      </c>
      <c r="C415" s="0" t="n">
        <v>22</v>
      </c>
      <c r="D415" s="0" t="s">
        <v>2479</v>
      </c>
      <c r="E415" s="0" t="n">
        <v>48</v>
      </c>
      <c r="F415" s="0" t="s">
        <v>153</v>
      </c>
      <c r="I415" s="0" t="n">
        <v>2484</v>
      </c>
      <c r="J415" s="0" t="n">
        <v>110487</v>
      </c>
      <c r="K415" s="0" t="n">
        <v>54688</v>
      </c>
      <c r="L415" s="0" t="s">
        <v>2663</v>
      </c>
      <c r="N415" s="0" t="n">
        <v>2.996</v>
      </c>
      <c r="O415" s="0" t="n">
        <v>79.23</v>
      </c>
      <c r="P415" s="0" t="s">
        <v>2444</v>
      </c>
    </row>
    <row r="416" customFormat="false" ht="15" hidden="false" customHeight="true" outlineLevel="0" collapsed="false">
      <c r="A416" s="0" t="n">
        <v>2</v>
      </c>
      <c r="B416" s="71" t="n">
        <v>46181</v>
      </c>
      <c r="C416" s="0" t="n">
        <v>100</v>
      </c>
      <c r="D416" s="0" t="s">
        <v>2499</v>
      </c>
      <c r="E416" s="0" t="n">
        <v>48</v>
      </c>
      <c r="F416" s="0" t="s">
        <v>153</v>
      </c>
      <c r="I416" s="0" t="n">
        <v>1221697</v>
      </c>
      <c r="J416" s="0" t="n">
        <v>100008</v>
      </c>
      <c r="K416" s="0" t="n">
        <v>9</v>
      </c>
      <c r="L416" s="0" t="s">
        <v>2487</v>
      </c>
      <c r="N416" s="0" t="n">
        <v>31.13</v>
      </c>
      <c r="O416" s="0" t="n">
        <v>924.7</v>
      </c>
      <c r="P416" s="0" t="s">
        <v>2444</v>
      </c>
    </row>
    <row r="417" customFormat="false" ht="15" hidden="false" customHeight="true" outlineLevel="0" collapsed="false">
      <c r="A417" s="0" t="n">
        <v>2</v>
      </c>
      <c r="B417" s="71" t="n">
        <v>46181</v>
      </c>
      <c r="C417" s="0" t="n">
        <v>100</v>
      </c>
      <c r="D417" s="0" t="s">
        <v>2499</v>
      </c>
      <c r="E417" s="0" t="n">
        <v>48</v>
      </c>
      <c r="F417" s="0" t="s">
        <v>153</v>
      </c>
      <c r="I417" s="0" t="n">
        <v>1221697</v>
      </c>
      <c r="J417" s="0" t="n">
        <v>100053</v>
      </c>
      <c r="K417" s="0" t="n">
        <v>54</v>
      </c>
      <c r="L417" s="0" t="s">
        <v>2495</v>
      </c>
      <c r="N417" s="0" t="n">
        <v>4.276</v>
      </c>
      <c r="O417" s="0" t="n">
        <v>143.3</v>
      </c>
      <c r="P417" s="0" t="s">
        <v>2444</v>
      </c>
    </row>
    <row r="418" customFormat="false" ht="15" hidden="false" customHeight="true" outlineLevel="0" collapsed="false">
      <c r="A418" s="0" t="n">
        <v>2</v>
      </c>
      <c r="B418" s="71" t="n">
        <v>46181</v>
      </c>
      <c r="C418" s="0" t="n">
        <v>100</v>
      </c>
      <c r="D418" s="0" t="s">
        <v>2499</v>
      </c>
      <c r="E418" s="0" t="n">
        <v>48</v>
      </c>
      <c r="F418" s="0" t="s">
        <v>153</v>
      </c>
      <c r="I418" s="0" t="n">
        <v>1221697</v>
      </c>
      <c r="J418" s="0" t="n">
        <v>110455</v>
      </c>
      <c r="K418" s="0" t="n">
        <v>53212</v>
      </c>
      <c r="L418" s="0" t="s">
        <v>2498</v>
      </c>
      <c r="N418" s="0" t="n">
        <v>0.194</v>
      </c>
      <c r="O418" s="0" t="n">
        <v>0</v>
      </c>
      <c r="P418" s="0" t="s">
        <v>2444</v>
      </c>
    </row>
    <row r="419" customFormat="false" ht="15" hidden="false" customHeight="true" outlineLevel="0" collapsed="false">
      <c r="A419" s="0" t="n">
        <v>2</v>
      </c>
      <c r="B419" s="71" t="n">
        <v>46181</v>
      </c>
      <c r="C419" s="0" t="n">
        <v>100</v>
      </c>
      <c r="D419" s="0" t="s">
        <v>2499</v>
      </c>
      <c r="E419" s="0" t="n">
        <v>48</v>
      </c>
      <c r="F419" s="0" t="s">
        <v>153</v>
      </c>
      <c r="I419" s="0" t="n">
        <v>1221754</v>
      </c>
      <c r="J419" s="0" t="n">
        <v>100000</v>
      </c>
      <c r="K419" s="0" t="n">
        <v>1</v>
      </c>
      <c r="L419" s="0" t="s">
        <v>2480</v>
      </c>
      <c r="N419" s="0" t="n">
        <v>3.102</v>
      </c>
      <c r="O419" s="0" t="n">
        <v>67.18</v>
      </c>
      <c r="P419" s="0" t="s">
        <v>2444</v>
      </c>
    </row>
    <row r="420" customFormat="false" ht="15" hidden="false" customHeight="true" outlineLevel="0" collapsed="false">
      <c r="A420" s="0" t="n">
        <v>2</v>
      </c>
      <c r="B420" s="71" t="n">
        <v>46181</v>
      </c>
      <c r="C420" s="0" t="n">
        <v>100</v>
      </c>
      <c r="D420" s="0" t="s">
        <v>2499</v>
      </c>
      <c r="E420" s="0" t="n">
        <v>48</v>
      </c>
      <c r="F420" s="0" t="s">
        <v>153</v>
      </c>
      <c r="I420" s="0" t="n">
        <v>1221754</v>
      </c>
      <c r="J420" s="0" t="n">
        <v>100001</v>
      </c>
      <c r="K420" s="0" t="n">
        <v>2</v>
      </c>
      <c r="L420" s="0" t="s">
        <v>2481</v>
      </c>
      <c r="N420" s="0" t="n">
        <v>9.825</v>
      </c>
      <c r="O420" s="0" t="n">
        <v>230.51</v>
      </c>
      <c r="P420" s="0" t="s">
        <v>2444</v>
      </c>
    </row>
    <row r="421" customFormat="false" ht="15" hidden="false" customHeight="true" outlineLevel="0" collapsed="false">
      <c r="A421" s="0" t="n">
        <v>2</v>
      </c>
      <c r="B421" s="71" t="n">
        <v>46181</v>
      </c>
      <c r="C421" s="0" t="n">
        <v>100</v>
      </c>
      <c r="D421" s="0" t="s">
        <v>2499</v>
      </c>
      <c r="E421" s="0" t="n">
        <v>48</v>
      </c>
      <c r="F421" s="0" t="s">
        <v>153</v>
      </c>
      <c r="I421" s="0" t="n">
        <v>1221754</v>
      </c>
      <c r="J421" s="0" t="n">
        <v>100002</v>
      </c>
      <c r="K421" s="0" t="n">
        <v>3</v>
      </c>
      <c r="L421" s="0" t="s">
        <v>2482</v>
      </c>
      <c r="N421" s="0" t="n">
        <v>22.72</v>
      </c>
      <c r="O421" s="0" t="n">
        <v>615.08</v>
      </c>
      <c r="P421" s="0" t="s">
        <v>2444</v>
      </c>
    </row>
    <row r="422" customFormat="false" ht="15" hidden="false" customHeight="true" outlineLevel="0" collapsed="false">
      <c r="A422" s="0" t="n">
        <v>2</v>
      </c>
      <c r="B422" s="71" t="n">
        <v>46181</v>
      </c>
      <c r="C422" s="0" t="n">
        <v>100</v>
      </c>
      <c r="D422" s="0" t="s">
        <v>2499</v>
      </c>
      <c r="E422" s="0" t="n">
        <v>48</v>
      </c>
      <c r="F422" s="0" t="s">
        <v>153</v>
      </c>
      <c r="I422" s="0" t="n">
        <v>1221754</v>
      </c>
      <c r="J422" s="0" t="n">
        <v>100003</v>
      </c>
      <c r="K422" s="0" t="n">
        <v>4</v>
      </c>
      <c r="L422" s="0" t="s">
        <v>2483</v>
      </c>
      <c r="N422" s="0" t="n">
        <v>18.27</v>
      </c>
      <c r="O422" s="0" t="n">
        <v>527.59</v>
      </c>
      <c r="P422" s="0" t="s">
        <v>2444</v>
      </c>
    </row>
    <row r="423" customFormat="false" ht="15" hidden="false" customHeight="true" outlineLevel="0" collapsed="false">
      <c r="A423" s="0" t="n">
        <v>2</v>
      </c>
      <c r="B423" s="71" t="n">
        <v>46181</v>
      </c>
      <c r="C423" s="0" t="n">
        <v>100</v>
      </c>
      <c r="D423" s="0" t="s">
        <v>2499</v>
      </c>
      <c r="E423" s="0" t="n">
        <v>48</v>
      </c>
      <c r="F423" s="0" t="s">
        <v>153</v>
      </c>
      <c r="I423" s="0" t="n">
        <v>1221754</v>
      </c>
      <c r="J423" s="0" t="n">
        <v>100004</v>
      </c>
      <c r="K423" s="0" t="n">
        <v>5</v>
      </c>
      <c r="L423" s="0" t="s">
        <v>2484</v>
      </c>
      <c r="N423" s="0" t="n">
        <v>1.43</v>
      </c>
      <c r="O423" s="0" t="n">
        <v>36.13</v>
      </c>
      <c r="P423" s="0" t="s">
        <v>2444</v>
      </c>
    </row>
    <row r="424" customFormat="false" ht="15" hidden="false" customHeight="true" outlineLevel="0" collapsed="false">
      <c r="A424" s="0" t="n">
        <v>2</v>
      </c>
      <c r="B424" s="71" t="n">
        <v>46181</v>
      </c>
      <c r="C424" s="0" t="n">
        <v>100</v>
      </c>
      <c r="D424" s="0" t="s">
        <v>2499</v>
      </c>
      <c r="E424" s="0" t="n">
        <v>48</v>
      </c>
      <c r="F424" s="0" t="s">
        <v>153</v>
      </c>
      <c r="I424" s="0" t="n">
        <v>1221754</v>
      </c>
      <c r="J424" s="0" t="n">
        <v>100005</v>
      </c>
      <c r="K424" s="0" t="n">
        <v>6</v>
      </c>
      <c r="L424" s="0" t="s">
        <v>2582</v>
      </c>
      <c r="N424" s="0" t="n">
        <v>2.354</v>
      </c>
      <c r="O424" s="0" t="n">
        <v>63.73</v>
      </c>
      <c r="P424" s="0" t="s">
        <v>2444</v>
      </c>
    </row>
    <row r="425" customFormat="false" ht="15" hidden="false" customHeight="true" outlineLevel="0" collapsed="false">
      <c r="A425" s="0" t="n">
        <v>2</v>
      </c>
      <c r="B425" s="71" t="n">
        <v>46181</v>
      </c>
      <c r="C425" s="0" t="n">
        <v>100</v>
      </c>
      <c r="D425" s="0" t="s">
        <v>2499</v>
      </c>
      <c r="E425" s="0" t="n">
        <v>48</v>
      </c>
      <c r="F425" s="0" t="s">
        <v>153</v>
      </c>
      <c r="I425" s="0" t="n">
        <v>1221754</v>
      </c>
      <c r="J425" s="0" t="n">
        <v>100007</v>
      </c>
      <c r="K425" s="0" t="n">
        <v>8</v>
      </c>
      <c r="L425" s="0" t="s">
        <v>2486</v>
      </c>
      <c r="N425" s="0" t="n">
        <v>1.992</v>
      </c>
      <c r="O425" s="0" t="n">
        <v>53.93</v>
      </c>
      <c r="P425" s="0" t="s">
        <v>2444</v>
      </c>
    </row>
    <row r="426" customFormat="false" ht="15" hidden="false" customHeight="true" outlineLevel="0" collapsed="false">
      <c r="A426" s="0" t="n">
        <v>2</v>
      </c>
      <c r="B426" s="71" t="n">
        <v>46181</v>
      </c>
      <c r="C426" s="0" t="n">
        <v>100</v>
      </c>
      <c r="D426" s="0" t="s">
        <v>2499</v>
      </c>
      <c r="E426" s="0" t="n">
        <v>48</v>
      </c>
      <c r="F426" s="0" t="s">
        <v>153</v>
      </c>
      <c r="I426" s="0" t="n">
        <v>1221754</v>
      </c>
      <c r="J426" s="0" t="n">
        <v>100040</v>
      </c>
      <c r="K426" s="0" t="n">
        <v>41</v>
      </c>
      <c r="L426" s="0" t="s">
        <v>2583</v>
      </c>
      <c r="N426" s="0" t="n">
        <v>2.91</v>
      </c>
      <c r="O426" s="0" t="n">
        <v>84.03</v>
      </c>
      <c r="P426" s="0" t="s">
        <v>2444</v>
      </c>
    </row>
    <row r="427" customFormat="false" ht="15" hidden="false" customHeight="true" outlineLevel="0" collapsed="false">
      <c r="A427" s="0" t="n">
        <v>2</v>
      </c>
      <c r="B427" s="71" t="n">
        <v>46181</v>
      </c>
      <c r="C427" s="0" t="n">
        <v>100</v>
      </c>
      <c r="D427" s="0" t="s">
        <v>2499</v>
      </c>
      <c r="E427" s="0" t="n">
        <v>48</v>
      </c>
      <c r="F427" s="0" t="s">
        <v>153</v>
      </c>
      <c r="I427" s="0" t="n">
        <v>1221754</v>
      </c>
      <c r="J427" s="0" t="n">
        <v>100638</v>
      </c>
      <c r="K427" s="0" t="n">
        <v>508</v>
      </c>
      <c r="L427" s="0" t="s">
        <v>2496</v>
      </c>
      <c r="N427" s="0" t="n">
        <v>2.626</v>
      </c>
      <c r="O427" s="0" t="n">
        <v>7.09</v>
      </c>
      <c r="P427" s="0" t="s">
        <v>2444</v>
      </c>
    </row>
    <row r="428" customFormat="false" ht="15" hidden="false" customHeight="true" outlineLevel="0" collapsed="false">
      <c r="A428" s="0" t="n">
        <v>2</v>
      </c>
      <c r="B428" s="71" t="n">
        <v>46181</v>
      </c>
      <c r="C428" s="0" t="n">
        <v>100</v>
      </c>
      <c r="D428" s="0" t="s">
        <v>2499</v>
      </c>
      <c r="E428" s="0" t="n">
        <v>48</v>
      </c>
      <c r="F428" s="0" t="s">
        <v>153</v>
      </c>
      <c r="I428" s="0" t="n">
        <v>1221754</v>
      </c>
      <c r="J428" s="0" t="n">
        <v>100520</v>
      </c>
      <c r="K428" s="0" t="n">
        <v>507</v>
      </c>
      <c r="L428" s="0" t="s">
        <v>2497</v>
      </c>
      <c r="N428" s="0" t="n">
        <v>1.756</v>
      </c>
      <c r="O428" s="0" t="n">
        <v>4.74</v>
      </c>
      <c r="P428" s="0" t="s">
        <v>2444</v>
      </c>
    </row>
    <row r="429" customFormat="false" ht="15" hidden="false" customHeight="true" outlineLevel="0" collapsed="false">
      <c r="A429" s="0" t="n">
        <v>2</v>
      </c>
      <c r="B429" s="71" t="n">
        <v>46181</v>
      </c>
      <c r="C429" s="0" t="n">
        <v>100</v>
      </c>
      <c r="D429" s="0" t="s">
        <v>2499</v>
      </c>
      <c r="E429" s="0" t="n">
        <v>48</v>
      </c>
      <c r="F429" s="0" t="s">
        <v>153</v>
      </c>
      <c r="I429" s="0" t="n">
        <v>1221754</v>
      </c>
      <c r="J429" s="0" t="n">
        <v>110455</v>
      </c>
      <c r="K429" s="0" t="n">
        <v>53212</v>
      </c>
      <c r="L429" s="0" t="s">
        <v>2498</v>
      </c>
      <c r="N429" s="0" t="n">
        <v>0.615</v>
      </c>
      <c r="O429" s="0" t="n">
        <v>0</v>
      </c>
      <c r="P429" s="0" t="s">
        <v>2444</v>
      </c>
    </row>
    <row r="430" customFormat="false" ht="15" hidden="false" customHeight="true" outlineLevel="0" collapsed="false">
      <c r="A430" s="0" t="n">
        <v>2</v>
      </c>
      <c r="B430" s="71" t="n">
        <v>46181</v>
      </c>
      <c r="C430" s="0" t="n">
        <v>100</v>
      </c>
      <c r="D430" s="0" t="s">
        <v>2499</v>
      </c>
      <c r="E430" s="0" t="n">
        <v>48</v>
      </c>
      <c r="F430" s="0" t="s">
        <v>153</v>
      </c>
      <c r="I430" s="0" t="n">
        <v>1221760</v>
      </c>
      <c r="J430" s="0" t="n">
        <v>100000</v>
      </c>
      <c r="K430" s="0" t="n">
        <v>1</v>
      </c>
      <c r="L430" s="0" t="s">
        <v>2480</v>
      </c>
      <c r="N430" s="0" t="n">
        <v>3.164</v>
      </c>
      <c r="O430" s="0" t="n">
        <v>51.49</v>
      </c>
      <c r="P430" s="0" t="s">
        <v>2444</v>
      </c>
    </row>
    <row r="431" customFormat="false" ht="15" hidden="false" customHeight="true" outlineLevel="0" collapsed="false">
      <c r="A431" s="0" t="n">
        <v>2</v>
      </c>
      <c r="B431" s="71" t="n">
        <v>46181</v>
      </c>
      <c r="C431" s="0" t="n">
        <v>100</v>
      </c>
      <c r="D431" s="0" t="s">
        <v>2499</v>
      </c>
      <c r="E431" s="0" t="n">
        <v>48</v>
      </c>
      <c r="F431" s="0" t="s">
        <v>153</v>
      </c>
      <c r="I431" s="0" t="n">
        <v>1221760</v>
      </c>
      <c r="J431" s="0" t="n">
        <v>100004</v>
      </c>
      <c r="K431" s="0" t="n">
        <v>5</v>
      </c>
      <c r="L431" s="0" t="s">
        <v>2484</v>
      </c>
      <c r="N431" s="0" t="n">
        <v>10.35</v>
      </c>
      <c r="O431" s="0" t="n">
        <v>196.5</v>
      </c>
      <c r="P431" s="0" t="s">
        <v>2444</v>
      </c>
    </row>
    <row r="432" customFormat="false" ht="15" hidden="false" customHeight="true" outlineLevel="0" collapsed="false">
      <c r="A432" s="0" t="n">
        <v>2</v>
      </c>
      <c r="B432" s="71" t="n">
        <v>46181</v>
      </c>
      <c r="C432" s="0" t="n">
        <v>100</v>
      </c>
      <c r="D432" s="0" t="s">
        <v>2499</v>
      </c>
      <c r="E432" s="0" t="n">
        <v>48</v>
      </c>
      <c r="F432" s="0" t="s">
        <v>153</v>
      </c>
      <c r="I432" s="0" t="n">
        <v>1221760</v>
      </c>
      <c r="J432" s="0" t="n">
        <v>100006</v>
      </c>
      <c r="K432" s="0" t="n">
        <v>7</v>
      </c>
      <c r="L432" s="0" t="s">
        <v>2485</v>
      </c>
      <c r="N432" s="0" t="n">
        <v>2.562</v>
      </c>
      <c r="O432" s="0" t="n">
        <v>59.07</v>
      </c>
      <c r="P432" s="0" t="s">
        <v>2444</v>
      </c>
    </row>
    <row r="433" customFormat="false" ht="15" hidden="false" customHeight="true" outlineLevel="0" collapsed="false">
      <c r="A433" s="0" t="n">
        <v>2</v>
      </c>
      <c r="B433" s="71" t="n">
        <v>46181</v>
      </c>
      <c r="C433" s="0" t="n">
        <v>100</v>
      </c>
      <c r="D433" s="0" t="s">
        <v>2499</v>
      </c>
      <c r="E433" s="0" t="n">
        <v>48</v>
      </c>
      <c r="F433" s="0" t="s">
        <v>153</v>
      </c>
      <c r="I433" s="0" t="n">
        <v>1221760</v>
      </c>
      <c r="J433" s="0" t="n">
        <v>100007</v>
      </c>
      <c r="K433" s="0" t="n">
        <v>8</v>
      </c>
      <c r="L433" s="0" t="s">
        <v>2486</v>
      </c>
      <c r="N433" s="0" t="n">
        <v>2.228</v>
      </c>
      <c r="O433" s="0" t="n">
        <v>45.32</v>
      </c>
      <c r="P433" s="0" t="s">
        <v>2444</v>
      </c>
    </row>
    <row r="434" customFormat="false" ht="15" hidden="false" customHeight="true" outlineLevel="0" collapsed="false">
      <c r="A434" s="0" t="n">
        <v>2</v>
      </c>
      <c r="B434" s="71" t="n">
        <v>46181</v>
      </c>
      <c r="C434" s="0" t="n">
        <v>100</v>
      </c>
      <c r="D434" s="0" t="s">
        <v>2499</v>
      </c>
      <c r="E434" s="0" t="n">
        <v>48</v>
      </c>
      <c r="F434" s="0" t="s">
        <v>153</v>
      </c>
      <c r="I434" s="0" t="n">
        <v>1221760</v>
      </c>
      <c r="J434" s="0" t="n">
        <v>100008</v>
      </c>
      <c r="K434" s="0" t="n">
        <v>9</v>
      </c>
      <c r="L434" s="0" t="s">
        <v>2487</v>
      </c>
      <c r="N434" s="0" t="n">
        <v>14.395</v>
      </c>
      <c r="O434" s="0" t="n">
        <v>380.7</v>
      </c>
      <c r="P434" s="0" t="s">
        <v>2444</v>
      </c>
    </row>
    <row r="435" customFormat="false" ht="15" hidden="false" customHeight="true" outlineLevel="0" collapsed="false">
      <c r="A435" s="0" t="n">
        <v>2</v>
      </c>
      <c r="B435" s="71" t="n">
        <v>46181</v>
      </c>
      <c r="C435" s="0" t="n">
        <v>100</v>
      </c>
      <c r="D435" s="0" t="s">
        <v>2499</v>
      </c>
      <c r="E435" s="0" t="n">
        <v>48</v>
      </c>
      <c r="F435" s="0" t="s">
        <v>153</v>
      </c>
      <c r="I435" s="0" t="n">
        <v>1221760</v>
      </c>
      <c r="J435" s="0" t="n">
        <v>100011</v>
      </c>
      <c r="K435" s="0" t="n">
        <v>12</v>
      </c>
      <c r="L435" s="0" t="s">
        <v>2488</v>
      </c>
      <c r="N435" s="0" t="n">
        <v>9.375</v>
      </c>
      <c r="O435" s="0" t="n">
        <v>279.73</v>
      </c>
      <c r="P435" s="0" t="s">
        <v>2444</v>
      </c>
    </row>
    <row r="436" customFormat="false" ht="15" hidden="false" customHeight="true" outlineLevel="0" collapsed="false">
      <c r="A436" s="0" t="n">
        <v>2</v>
      </c>
      <c r="B436" s="71" t="n">
        <v>46181</v>
      </c>
      <c r="C436" s="0" t="n">
        <v>100</v>
      </c>
      <c r="D436" s="0" t="s">
        <v>2499</v>
      </c>
      <c r="E436" s="0" t="n">
        <v>48</v>
      </c>
      <c r="F436" s="0" t="s">
        <v>153</v>
      </c>
      <c r="I436" s="0" t="n">
        <v>1221760</v>
      </c>
      <c r="J436" s="0" t="n">
        <v>100012</v>
      </c>
      <c r="K436" s="0" t="n">
        <v>13</v>
      </c>
      <c r="L436" s="0" t="s">
        <v>2489</v>
      </c>
      <c r="N436" s="0" t="n">
        <v>6.17</v>
      </c>
      <c r="O436" s="0" t="n">
        <v>209.21</v>
      </c>
      <c r="P436" s="0" t="s">
        <v>2444</v>
      </c>
    </row>
    <row r="437" customFormat="false" ht="15" hidden="false" customHeight="true" outlineLevel="0" collapsed="false">
      <c r="A437" s="0" t="n">
        <v>2</v>
      </c>
      <c r="B437" s="71" t="n">
        <v>46181</v>
      </c>
      <c r="C437" s="0" t="n">
        <v>100</v>
      </c>
      <c r="D437" s="0" t="s">
        <v>2499</v>
      </c>
      <c r="E437" s="0" t="n">
        <v>48</v>
      </c>
      <c r="F437" s="0" t="s">
        <v>153</v>
      </c>
      <c r="I437" s="0" t="n">
        <v>1221760</v>
      </c>
      <c r="J437" s="0" t="n">
        <v>100013</v>
      </c>
      <c r="K437" s="0" t="n">
        <v>14</v>
      </c>
      <c r="L437" s="0" t="s">
        <v>2490</v>
      </c>
      <c r="N437" s="0" t="n">
        <v>10.38</v>
      </c>
      <c r="O437" s="0" t="n">
        <v>373.09</v>
      </c>
      <c r="P437" s="0" t="s">
        <v>2444</v>
      </c>
    </row>
    <row r="438" customFormat="false" ht="15" hidden="false" customHeight="true" outlineLevel="0" collapsed="false">
      <c r="A438" s="0" t="n">
        <v>2</v>
      </c>
      <c r="B438" s="71" t="n">
        <v>46181</v>
      </c>
      <c r="C438" s="0" t="n">
        <v>100</v>
      </c>
      <c r="D438" s="0" t="s">
        <v>2499</v>
      </c>
      <c r="E438" s="0" t="n">
        <v>48</v>
      </c>
      <c r="F438" s="0" t="s">
        <v>153</v>
      </c>
      <c r="I438" s="0" t="n">
        <v>1221760</v>
      </c>
      <c r="J438" s="0" t="n">
        <v>100014</v>
      </c>
      <c r="K438" s="0" t="n">
        <v>15</v>
      </c>
      <c r="L438" s="0" t="s">
        <v>2491</v>
      </c>
      <c r="N438" s="0" t="n">
        <v>3.98</v>
      </c>
      <c r="O438" s="0" t="n">
        <v>145.75</v>
      </c>
      <c r="P438" s="0" t="s">
        <v>2444</v>
      </c>
    </row>
    <row r="439" customFormat="false" ht="15" hidden="false" customHeight="true" outlineLevel="0" collapsed="false">
      <c r="A439" s="0" t="n">
        <v>2</v>
      </c>
      <c r="B439" s="71" t="n">
        <v>46181</v>
      </c>
      <c r="C439" s="0" t="n">
        <v>100</v>
      </c>
      <c r="D439" s="0" t="s">
        <v>2499</v>
      </c>
      <c r="E439" s="0" t="n">
        <v>48</v>
      </c>
      <c r="F439" s="0" t="s">
        <v>153</v>
      </c>
      <c r="I439" s="0" t="n">
        <v>1221760</v>
      </c>
      <c r="J439" s="0" t="n">
        <v>100015</v>
      </c>
      <c r="K439" s="0" t="n">
        <v>16</v>
      </c>
      <c r="L439" s="0" t="s">
        <v>2492</v>
      </c>
      <c r="N439" s="0" t="n">
        <v>1.82</v>
      </c>
      <c r="O439" s="0" t="n">
        <v>59.24</v>
      </c>
      <c r="P439" s="0" t="s">
        <v>2444</v>
      </c>
    </row>
    <row r="440" customFormat="false" ht="15" hidden="false" customHeight="true" outlineLevel="0" collapsed="false">
      <c r="A440" s="0" t="n">
        <v>2</v>
      </c>
      <c r="B440" s="71" t="n">
        <v>46181</v>
      </c>
      <c r="C440" s="0" t="n">
        <v>100</v>
      </c>
      <c r="D440" s="0" t="s">
        <v>2499</v>
      </c>
      <c r="E440" s="0" t="n">
        <v>48</v>
      </c>
      <c r="F440" s="0" t="s">
        <v>153</v>
      </c>
      <c r="I440" s="0" t="n">
        <v>1221760</v>
      </c>
      <c r="J440" s="0" t="n">
        <v>100016</v>
      </c>
      <c r="K440" s="0" t="n">
        <v>17</v>
      </c>
      <c r="L440" s="0" t="s">
        <v>2493</v>
      </c>
      <c r="N440" s="0" t="n">
        <v>2.51</v>
      </c>
      <c r="O440" s="0" t="n">
        <v>102.13</v>
      </c>
      <c r="P440" s="0" t="s">
        <v>2444</v>
      </c>
    </row>
    <row r="441" customFormat="false" ht="15" hidden="false" customHeight="true" outlineLevel="0" collapsed="false">
      <c r="A441" s="0" t="n">
        <v>2</v>
      </c>
      <c r="B441" s="71" t="n">
        <v>46181</v>
      </c>
      <c r="C441" s="0" t="n">
        <v>100</v>
      </c>
      <c r="D441" s="0" t="s">
        <v>2499</v>
      </c>
      <c r="E441" s="0" t="n">
        <v>48</v>
      </c>
      <c r="F441" s="0" t="s">
        <v>153</v>
      </c>
      <c r="I441" s="0" t="n">
        <v>1221760</v>
      </c>
      <c r="J441" s="0" t="n">
        <v>100017</v>
      </c>
      <c r="K441" s="0" t="n">
        <v>18</v>
      </c>
      <c r="L441" s="0" t="s">
        <v>2494</v>
      </c>
      <c r="N441" s="0" t="n">
        <v>1.57</v>
      </c>
      <c r="O441" s="0" t="n">
        <v>74.53</v>
      </c>
      <c r="P441" s="0" t="s">
        <v>2444</v>
      </c>
    </row>
    <row r="442" customFormat="false" ht="15" hidden="false" customHeight="true" outlineLevel="0" collapsed="false">
      <c r="A442" s="0" t="n">
        <v>2</v>
      </c>
      <c r="B442" s="71" t="n">
        <v>46181</v>
      </c>
      <c r="C442" s="0" t="n">
        <v>100</v>
      </c>
      <c r="D442" s="0" t="s">
        <v>2499</v>
      </c>
      <c r="E442" s="0" t="n">
        <v>48</v>
      </c>
      <c r="F442" s="0" t="s">
        <v>153</v>
      </c>
      <c r="I442" s="0" t="n">
        <v>1221760</v>
      </c>
      <c r="J442" s="0" t="n">
        <v>100021</v>
      </c>
      <c r="K442" s="0" t="n">
        <v>22</v>
      </c>
      <c r="L442" s="0" t="s">
        <v>2662</v>
      </c>
      <c r="N442" s="0" t="n">
        <v>1.882</v>
      </c>
      <c r="O442" s="0" t="n">
        <v>38.28</v>
      </c>
      <c r="P442" s="0" t="s">
        <v>2444</v>
      </c>
    </row>
    <row r="443" customFormat="false" ht="15" hidden="false" customHeight="true" outlineLevel="0" collapsed="false">
      <c r="A443" s="0" t="n">
        <v>2</v>
      </c>
      <c r="B443" s="71" t="n">
        <v>46181</v>
      </c>
      <c r="C443" s="0" t="n">
        <v>100</v>
      </c>
      <c r="D443" s="0" t="s">
        <v>2499</v>
      </c>
      <c r="E443" s="0" t="n">
        <v>48</v>
      </c>
      <c r="F443" s="0" t="s">
        <v>153</v>
      </c>
      <c r="I443" s="0" t="n">
        <v>1221760</v>
      </c>
      <c r="J443" s="0" t="n">
        <v>100053</v>
      </c>
      <c r="K443" s="0" t="n">
        <v>54</v>
      </c>
      <c r="L443" s="0" t="s">
        <v>2495</v>
      </c>
      <c r="N443" s="0" t="n">
        <v>1.096</v>
      </c>
      <c r="O443" s="0" t="n">
        <v>32.7</v>
      </c>
      <c r="P443" s="0" t="s">
        <v>2444</v>
      </c>
    </row>
    <row r="444" customFormat="false" ht="15" hidden="false" customHeight="true" outlineLevel="0" collapsed="false">
      <c r="A444" s="0" t="n">
        <v>2</v>
      </c>
      <c r="B444" s="71" t="n">
        <v>46181</v>
      </c>
      <c r="C444" s="0" t="n">
        <v>100</v>
      </c>
      <c r="D444" s="0" t="s">
        <v>2499</v>
      </c>
      <c r="E444" s="0" t="n">
        <v>48</v>
      </c>
      <c r="F444" s="0" t="s">
        <v>153</v>
      </c>
      <c r="I444" s="0" t="n">
        <v>1221760</v>
      </c>
      <c r="J444" s="0" t="n">
        <v>100638</v>
      </c>
      <c r="K444" s="0" t="n">
        <v>508</v>
      </c>
      <c r="L444" s="0" t="s">
        <v>2496</v>
      </c>
      <c r="N444" s="0" t="n">
        <v>1.59</v>
      </c>
      <c r="O444" s="0" t="n">
        <v>3.22</v>
      </c>
      <c r="P444" s="0" t="s">
        <v>2444</v>
      </c>
    </row>
    <row r="445" customFormat="false" ht="15" hidden="false" customHeight="true" outlineLevel="0" collapsed="false">
      <c r="A445" s="0" t="n">
        <v>2</v>
      </c>
      <c r="B445" s="71" t="n">
        <v>46181</v>
      </c>
      <c r="C445" s="0" t="n">
        <v>100</v>
      </c>
      <c r="D445" s="0" t="s">
        <v>2499</v>
      </c>
      <c r="E445" s="0" t="n">
        <v>48</v>
      </c>
      <c r="F445" s="0" t="s">
        <v>153</v>
      </c>
      <c r="I445" s="0" t="n">
        <v>1221760</v>
      </c>
      <c r="J445" s="0" t="n">
        <v>100520</v>
      </c>
      <c r="K445" s="0" t="n">
        <v>507</v>
      </c>
      <c r="L445" s="0" t="s">
        <v>2497</v>
      </c>
      <c r="N445" s="0" t="n">
        <v>9.75</v>
      </c>
      <c r="O445" s="0" t="n">
        <v>19.77</v>
      </c>
      <c r="P445" s="0" t="s">
        <v>2444</v>
      </c>
    </row>
    <row r="446" customFormat="false" ht="15" hidden="false" customHeight="true" outlineLevel="0" collapsed="false">
      <c r="A446" s="0" t="n">
        <v>2</v>
      </c>
      <c r="B446" s="71" t="n">
        <v>46181</v>
      </c>
      <c r="C446" s="0" t="n">
        <v>100</v>
      </c>
      <c r="D446" s="0" t="s">
        <v>2499</v>
      </c>
      <c r="E446" s="0" t="n">
        <v>48</v>
      </c>
      <c r="F446" s="0" t="s">
        <v>153</v>
      </c>
      <c r="I446" s="0" t="n">
        <v>1221760</v>
      </c>
      <c r="J446" s="0" t="n">
        <v>110455</v>
      </c>
      <c r="K446" s="0" t="n">
        <v>53212</v>
      </c>
      <c r="L446" s="0" t="s">
        <v>2498</v>
      </c>
      <c r="N446" s="0" t="n">
        <v>0.182</v>
      </c>
      <c r="O446" s="0" t="n">
        <v>0.04</v>
      </c>
      <c r="P446" s="0" t="s">
        <v>2444</v>
      </c>
    </row>
    <row r="447" customFormat="false" ht="15" hidden="false" customHeight="true" outlineLevel="0" collapsed="false">
      <c r="A447" s="0" t="n">
        <v>2</v>
      </c>
      <c r="B447" s="71" t="n">
        <v>46181</v>
      </c>
      <c r="C447" s="0" t="n">
        <v>100</v>
      </c>
      <c r="D447" s="0" t="s">
        <v>2499</v>
      </c>
      <c r="E447" s="0" t="n">
        <v>48</v>
      </c>
      <c r="F447" s="0" t="s">
        <v>153</v>
      </c>
      <c r="I447" s="0" t="n">
        <v>1221760</v>
      </c>
      <c r="J447" s="0" t="n">
        <v>110487</v>
      </c>
      <c r="K447" s="0" t="n">
        <v>54688</v>
      </c>
      <c r="L447" s="0" t="s">
        <v>2663</v>
      </c>
      <c r="N447" s="0" t="n">
        <v>2.996</v>
      </c>
      <c r="O447" s="0" t="n">
        <v>79.23</v>
      </c>
      <c r="P447" s="0" t="s">
        <v>2444</v>
      </c>
    </row>
    <row r="448" customFormat="false" ht="15" hidden="false" customHeight="true" outlineLevel="0" collapsed="false">
      <c r="A448" s="0" t="n">
        <v>2</v>
      </c>
      <c r="B448" s="71" t="n">
        <v>46182</v>
      </c>
      <c r="C448" s="0" t="n">
        <v>1</v>
      </c>
      <c r="D448" s="0" t="s">
        <v>2442</v>
      </c>
      <c r="E448" s="0" t="n">
        <v>642</v>
      </c>
      <c r="F448" s="0" t="s">
        <v>123</v>
      </c>
      <c r="I448" s="0" t="n">
        <v>493</v>
      </c>
      <c r="J448" s="0" t="n">
        <v>71766</v>
      </c>
      <c r="K448" s="0" t="n">
        <v>779180</v>
      </c>
      <c r="L448" s="0" t="s">
        <v>2501</v>
      </c>
      <c r="N448" s="0" t="n">
        <v>15</v>
      </c>
      <c r="O448" s="0" t="n">
        <v>180</v>
      </c>
      <c r="P448" s="0" t="s">
        <v>2444</v>
      </c>
    </row>
    <row r="449" customFormat="false" ht="15" hidden="false" customHeight="true" outlineLevel="0" collapsed="false">
      <c r="A449" s="0" t="n">
        <v>2</v>
      </c>
      <c r="B449" s="71" t="n">
        <v>46182</v>
      </c>
      <c r="C449" s="0" t="n">
        <v>1</v>
      </c>
      <c r="D449" s="0" t="s">
        <v>2442</v>
      </c>
      <c r="E449" s="0" t="n">
        <v>1328</v>
      </c>
      <c r="F449" s="0" t="s">
        <v>95</v>
      </c>
      <c r="I449" s="0" t="n">
        <v>3699</v>
      </c>
      <c r="J449" s="0" t="n">
        <v>50310</v>
      </c>
      <c r="K449" s="0" t="n">
        <v>7898588380101</v>
      </c>
      <c r="L449" s="0" t="s">
        <v>2502</v>
      </c>
      <c r="N449" s="0" t="n">
        <v>3</v>
      </c>
      <c r="O449" s="0" t="n">
        <v>23.1</v>
      </c>
      <c r="P449" s="0" t="s">
        <v>2444</v>
      </c>
    </row>
    <row r="450" customFormat="false" ht="15" hidden="false" customHeight="true" outlineLevel="0" collapsed="false">
      <c r="A450" s="0" t="n">
        <v>2</v>
      </c>
      <c r="B450" s="71" t="n">
        <v>46182</v>
      </c>
      <c r="C450" s="0" t="n">
        <v>1</v>
      </c>
      <c r="D450" s="0" t="s">
        <v>2442</v>
      </c>
      <c r="E450" s="0" t="n">
        <v>1328</v>
      </c>
      <c r="F450" s="0" t="s">
        <v>95</v>
      </c>
      <c r="I450" s="0" t="n">
        <v>3699</v>
      </c>
      <c r="J450" s="0" t="n">
        <v>21045</v>
      </c>
      <c r="K450" s="0" t="n">
        <v>7898588380255</v>
      </c>
      <c r="L450" s="0" t="s">
        <v>2503</v>
      </c>
      <c r="N450" s="0" t="n">
        <v>2</v>
      </c>
      <c r="O450" s="0" t="n">
        <v>11.44</v>
      </c>
      <c r="P450" s="0" t="s">
        <v>2444</v>
      </c>
    </row>
    <row r="451" customFormat="false" ht="15" hidden="false" customHeight="true" outlineLevel="0" collapsed="false">
      <c r="A451" s="0" t="n">
        <v>2</v>
      </c>
      <c r="B451" s="71" t="n">
        <v>46182</v>
      </c>
      <c r="C451" s="0" t="n">
        <v>1</v>
      </c>
      <c r="D451" s="0" t="s">
        <v>2442</v>
      </c>
      <c r="E451" s="0" t="n">
        <v>1328</v>
      </c>
      <c r="F451" s="0" t="s">
        <v>95</v>
      </c>
      <c r="I451" s="0" t="n">
        <v>3699</v>
      </c>
      <c r="J451" s="0" t="n">
        <v>21060</v>
      </c>
      <c r="K451" s="0" t="n">
        <v>7898588380118</v>
      </c>
      <c r="L451" s="0" t="s">
        <v>2504</v>
      </c>
      <c r="N451" s="0" t="n">
        <v>10</v>
      </c>
      <c r="O451" s="0" t="n">
        <v>70</v>
      </c>
      <c r="P451" s="0" t="s">
        <v>2444</v>
      </c>
    </row>
    <row r="452" customFormat="false" ht="15" hidden="false" customHeight="true" outlineLevel="0" collapsed="false">
      <c r="A452" s="0" t="n">
        <v>2</v>
      </c>
      <c r="B452" s="71" t="n">
        <v>46182</v>
      </c>
      <c r="C452" s="0" t="n">
        <v>1</v>
      </c>
      <c r="D452" s="0" t="s">
        <v>2442</v>
      </c>
      <c r="E452" s="0" t="n">
        <v>1328</v>
      </c>
      <c r="F452" s="0" t="s">
        <v>95</v>
      </c>
      <c r="I452" s="0" t="n">
        <v>3699</v>
      </c>
      <c r="J452" s="0" t="n">
        <v>31789</v>
      </c>
      <c r="K452" s="0" t="n">
        <v>7898588380149</v>
      </c>
      <c r="L452" s="0" t="s">
        <v>2446</v>
      </c>
      <c r="N452" s="0" t="n">
        <v>2</v>
      </c>
      <c r="O452" s="0" t="n">
        <v>11.44</v>
      </c>
      <c r="P452" s="0" t="s">
        <v>2444</v>
      </c>
    </row>
    <row r="453" customFormat="false" ht="15" hidden="false" customHeight="true" outlineLevel="0" collapsed="false">
      <c r="A453" s="0" t="n">
        <v>2</v>
      </c>
      <c r="B453" s="71" t="n">
        <v>46182</v>
      </c>
      <c r="C453" s="0" t="n">
        <v>1</v>
      </c>
      <c r="D453" s="0" t="s">
        <v>2442</v>
      </c>
      <c r="E453" s="0" t="n">
        <v>1328</v>
      </c>
      <c r="F453" s="0" t="s">
        <v>95</v>
      </c>
      <c r="I453" s="0" t="n">
        <v>3699</v>
      </c>
      <c r="J453" s="0" t="n">
        <v>31782</v>
      </c>
      <c r="K453" s="0" t="n">
        <v>7898588380132</v>
      </c>
      <c r="L453" s="0" t="s">
        <v>2505</v>
      </c>
      <c r="N453" s="0" t="n">
        <v>3</v>
      </c>
      <c r="O453" s="0" t="n">
        <v>17.16</v>
      </c>
      <c r="P453" s="0" t="s">
        <v>2444</v>
      </c>
    </row>
    <row r="454" customFormat="false" ht="15" hidden="false" customHeight="true" outlineLevel="0" collapsed="false">
      <c r="A454" s="0" t="n">
        <v>2</v>
      </c>
      <c r="B454" s="71" t="n">
        <v>46182</v>
      </c>
      <c r="C454" s="0" t="n">
        <v>1</v>
      </c>
      <c r="D454" s="0" t="s">
        <v>2442</v>
      </c>
      <c r="E454" s="0" t="n">
        <v>1328</v>
      </c>
      <c r="F454" s="0" t="s">
        <v>95</v>
      </c>
      <c r="I454" s="0" t="n">
        <v>3699</v>
      </c>
      <c r="J454" s="0" t="n">
        <v>31784</v>
      </c>
      <c r="K454" s="0" t="n">
        <v>7898588380545</v>
      </c>
      <c r="L454" s="0" t="s">
        <v>2590</v>
      </c>
      <c r="N454" s="0" t="n">
        <v>3</v>
      </c>
      <c r="O454" s="0" t="n">
        <v>17.16</v>
      </c>
      <c r="P454" s="0" t="s">
        <v>2444</v>
      </c>
    </row>
    <row r="455" customFormat="false" ht="15" hidden="false" customHeight="true" outlineLevel="0" collapsed="false">
      <c r="A455" s="0" t="n">
        <v>2</v>
      </c>
      <c r="B455" s="71" t="n">
        <v>46182</v>
      </c>
      <c r="C455" s="0" t="n">
        <v>1</v>
      </c>
      <c r="D455" s="0" t="s">
        <v>2442</v>
      </c>
      <c r="E455" s="0" t="n">
        <v>1328</v>
      </c>
      <c r="F455" s="0" t="s">
        <v>95</v>
      </c>
      <c r="I455" s="0" t="n">
        <v>3699</v>
      </c>
      <c r="J455" s="0" t="n">
        <v>31786</v>
      </c>
      <c r="K455" s="0" t="n">
        <v>7898588380187</v>
      </c>
      <c r="L455" s="0" t="s">
        <v>2506</v>
      </c>
      <c r="N455" s="0" t="n">
        <v>2</v>
      </c>
      <c r="O455" s="0" t="n">
        <v>11.44</v>
      </c>
      <c r="P455" s="0" t="s">
        <v>2444</v>
      </c>
    </row>
    <row r="456" customFormat="false" ht="15" hidden="false" customHeight="true" outlineLevel="0" collapsed="false">
      <c r="A456" s="0" t="n">
        <v>2</v>
      </c>
      <c r="B456" s="71" t="n">
        <v>46182</v>
      </c>
      <c r="C456" s="0" t="n">
        <v>1</v>
      </c>
      <c r="D456" s="0" t="s">
        <v>2442</v>
      </c>
      <c r="E456" s="0" t="n">
        <v>1328</v>
      </c>
      <c r="F456" s="0" t="s">
        <v>95</v>
      </c>
      <c r="I456" s="0" t="n">
        <v>3699</v>
      </c>
      <c r="J456" s="0" t="n">
        <v>31787</v>
      </c>
      <c r="K456" s="0" t="n">
        <v>7898588380125</v>
      </c>
      <c r="L456" s="0" t="s">
        <v>2507</v>
      </c>
      <c r="N456" s="0" t="n">
        <v>3</v>
      </c>
      <c r="O456" s="0" t="n">
        <v>25.2</v>
      </c>
      <c r="P456" s="0" t="s">
        <v>2444</v>
      </c>
    </row>
    <row r="457" customFormat="false" ht="15" hidden="false" customHeight="true" outlineLevel="0" collapsed="false">
      <c r="A457" s="0" t="n">
        <v>2</v>
      </c>
      <c r="B457" s="71" t="n">
        <v>46182</v>
      </c>
      <c r="C457" s="0" t="n">
        <v>1</v>
      </c>
      <c r="D457" s="0" t="s">
        <v>2442</v>
      </c>
      <c r="E457" s="0" t="n">
        <v>1921</v>
      </c>
      <c r="F457" s="0" t="s">
        <v>167</v>
      </c>
      <c r="I457" s="0" t="n">
        <v>20868</v>
      </c>
      <c r="J457" s="0" t="n">
        <v>45435</v>
      </c>
      <c r="K457" s="0" t="n">
        <v>7908031500694</v>
      </c>
      <c r="L457" s="0" t="s">
        <v>2664</v>
      </c>
      <c r="N457" s="0" t="n">
        <v>15</v>
      </c>
      <c r="O457" s="0" t="n">
        <v>70.23</v>
      </c>
      <c r="P457" s="0" t="s">
        <v>2444</v>
      </c>
    </row>
    <row r="458" customFormat="false" ht="15" hidden="false" customHeight="true" outlineLevel="0" collapsed="false">
      <c r="A458" s="0" t="n">
        <v>2</v>
      </c>
      <c r="B458" s="71" t="n">
        <v>46182</v>
      </c>
      <c r="C458" s="0" t="n">
        <v>1</v>
      </c>
      <c r="D458" s="0" t="s">
        <v>2442</v>
      </c>
      <c r="E458" s="0" t="n">
        <v>1921</v>
      </c>
      <c r="F458" s="0" t="s">
        <v>167</v>
      </c>
      <c r="I458" s="0" t="n">
        <v>20868</v>
      </c>
      <c r="J458" s="0" t="n">
        <v>45512</v>
      </c>
      <c r="K458" s="0" t="n">
        <v>7899085120023</v>
      </c>
      <c r="L458" s="0" t="s">
        <v>2665</v>
      </c>
      <c r="N458" s="0" t="n">
        <v>40</v>
      </c>
      <c r="O458" s="0" t="n">
        <v>51.43</v>
      </c>
      <c r="P458" s="0" t="s">
        <v>2444</v>
      </c>
    </row>
    <row r="459" customFormat="false" ht="15" hidden="false" customHeight="true" outlineLevel="0" collapsed="false">
      <c r="A459" s="0" t="n">
        <v>2</v>
      </c>
      <c r="B459" s="71" t="n">
        <v>46182</v>
      </c>
      <c r="C459" s="0" t="n">
        <v>1</v>
      </c>
      <c r="D459" s="0" t="s">
        <v>2442</v>
      </c>
      <c r="E459" s="0" t="n">
        <v>1921</v>
      </c>
      <c r="F459" s="0" t="s">
        <v>167</v>
      </c>
      <c r="I459" s="0" t="n">
        <v>20868</v>
      </c>
      <c r="J459" s="0" t="n">
        <v>46077</v>
      </c>
      <c r="K459" s="0" t="n">
        <v>7899085120221</v>
      </c>
      <c r="L459" s="0" t="s">
        <v>2666</v>
      </c>
      <c r="N459" s="0" t="n">
        <v>20</v>
      </c>
      <c r="O459" s="0" t="n">
        <v>40.15</v>
      </c>
      <c r="P459" s="0" t="s">
        <v>2444</v>
      </c>
    </row>
    <row r="460" customFormat="false" ht="15" hidden="false" customHeight="true" outlineLevel="0" collapsed="false">
      <c r="A460" s="0" t="n">
        <v>2</v>
      </c>
      <c r="B460" s="71" t="n">
        <v>46182</v>
      </c>
      <c r="C460" s="0" t="n">
        <v>1</v>
      </c>
      <c r="D460" s="0" t="s">
        <v>2442</v>
      </c>
      <c r="E460" s="0" t="n">
        <v>1921</v>
      </c>
      <c r="F460" s="0" t="s">
        <v>167</v>
      </c>
      <c r="I460" s="0" t="n">
        <v>20868</v>
      </c>
      <c r="J460" s="0" t="n">
        <v>46078</v>
      </c>
      <c r="K460" s="0" t="n">
        <v>7899085120016</v>
      </c>
      <c r="L460" s="0" t="s">
        <v>2667</v>
      </c>
      <c r="N460" s="0" t="n">
        <v>20</v>
      </c>
      <c r="O460" s="0" t="n">
        <v>48.75</v>
      </c>
      <c r="P460" s="0" t="s">
        <v>2444</v>
      </c>
    </row>
    <row r="461" customFormat="false" ht="15" hidden="false" customHeight="true" outlineLevel="0" collapsed="false">
      <c r="A461" s="0" t="n">
        <v>2</v>
      </c>
      <c r="B461" s="71" t="n">
        <v>46182</v>
      </c>
      <c r="C461" s="0" t="n">
        <v>1</v>
      </c>
      <c r="D461" s="0" t="s">
        <v>2442</v>
      </c>
      <c r="E461" s="0" t="n">
        <v>1921</v>
      </c>
      <c r="F461" s="0" t="s">
        <v>167</v>
      </c>
      <c r="I461" s="0" t="n">
        <v>20868</v>
      </c>
      <c r="J461" s="0" t="n">
        <v>46080</v>
      </c>
      <c r="K461" s="0" t="n">
        <v>7899085120603</v>
      </c>
      <c r="L461" s="0" t="s">
        <v>2668</v>
      </c>
      <c r="N461" s="0" t="n">
        <v>20</v>
      </c>
      <c r="O461" s="0" t="n">
        <v>40.15</v>
      </c>
      <c r="P461" s="0" t="s">
        <v>2444</v>
      </c>
    </row>
    <row r="462" customFormat="false" ht="15" hidden="false" customHeight="true" outlineLevel="0" collapsed="false">
      <c r="A462" s="0" t="n">
        <v>2</v>
      </c>
      <c r="B462" s="71" t="n">
        <v>46182</v>
      </c>
      <c r="C462" s="0" t="n">
        <v>1</v>
      </c>
      <c r="D462" s="0" t="s">
        <v>2442</v>
      </c>
      <c r="E462" s="0" t="n">
        <v>1921</v>
      </c>
      <c r="F462" s="0" t="s">
        <v>167</v>
      </c>
      <c r="I462" s="0" t="n">
        <v>20868</v>
      </c>
      <c r="J462" s="0" t="n">
        <v>46087</v>
      </c>
      <c r="K462" s="0" t="n">
        <v>7899085120559</v>
      </c>
      <c r="L462" s="0" t="s">
        <v>2669</v>
      </c>
      <c r="N462" s="0" t="n">
        <v>20</v>
      </c>
      <c r="O462" s="0" t="n">
        <v>42.52</v>
      </c>
      <c r="P462" s="0" t="s">
        <v>2444</v>
      </c>
    </row>
    <row r="463" customFormat="false" ht="15" hidden="false" customHeight="true" outlineLevel="0" collapsed="false">
      <c r="A463" s="0" t="n">
        <v>2</v>
      </c>
      <c r="B463" s="71" t="n">
        <v>46182</v>
      </c>
      <c r="C463" s="0" t="n">
        <v>1</v>
      </c>
      <c r="D463" s="0" t="s">
        <v>2442</v>
      </c>
      <c r="E463" s="0" t="n">
        <v>1921</v>
      </c>
      <c r="F463" s="0" t="s">
        <v>167</v>
      </c>
      <c r="I463" s="0" t="n">
        <v>20868</v>
      </c>
      <c r="J463" s="0" t="n">
        <v>46088</v>
      </c>
      <c r="K463" s="0" t="n">
        <v>7899085120269</v>
      </c>
      <c r="L463" s="0" t="s">
        <v>2670</v>
      </c>
      <c r="N463" s="0" t="n">
        <v>10</v>
      </c>
      <c r="O463" s="0" t="n">
        <v>41.42</v>
      </c>
      <c r="P463" s="0" t="s">
        <v>2444</v>
      </c>
    </row>
    <row r="464" customFormat="false" ht="15" hidden="false" customHeight="true" outlineLevel="0" collapsed="false">
      <c r="A464" s="0" t="n">
        <v>2</v>
      </c>
      <c r="B464" s="71" t="n">
        <v>46182</v>
      </c>
      <c r="C464" s="0" t="n">
        <v>1</v>
      </c>
      <c r="D464" s="0" t="s">
        <v>2442</v>
      </c>
      <c r="E464" s="0" t="n">
        <v>1921</v>
      </c>
      <c r="F464" s="0" t="s">
        <v>167</v>
      </c>
      <c r="I464" s="0" t="n">
        <v>20868</v>
      </c>
      <c r="J464" s="0" t="n">
        <v>46089</v>
      </c>
      <c r="K464" s="0" t="n">
        <v>7899085120542</v>
      </c>
      <c r="L464" s="0" t="s">
        <v>2671</v>
      </c>
      <c r="N464" s="0" t="n">
        <v>20</v>
      </c>
      <c r="O464" s="0" t="n">
        <v>42.52</v>
      </c>
      <c r="P464" s="0" t="s">
        <v>2444</v>
      </c>
    </row>
    <row r="465" customFormat="false" ht="15" hidden="false" customHeight="true" outlineLevel="0" collapsed="false">
      <c r="A465" s="0" t="n">
        <v>2</v>
      </c>
      <c r="B465" s="71" t="n">
        <v>46182</v>
      </c>
      <c r="C465" s="0" t="n">
        <v>1</v>
      </c>
      <c r="D465" s="0" t="s">
        <v>2442</v>
      </c>
      <c r="E465" s="0" t="n">
        <v>1921</v>
      </c>
      <c r="F465" s="0" t="s">
        <v>167</v>
      </c>
      <c r="I465" s="0" t="n">
        <v>20868</v>
      </c>
      <c r="J465" s="0" t="n">
        <v>46091</v>
      </c>
      <c r="K465" s="0" t="n">
        <v>7899085120191</v>
      </c>
      <c r="L465" s="0" t="s">
        <v>2672</v>
      </c>
      <c r="N465" s="0" t="n">
        <v>20</v>
      </c>
      <c r="O465" s="0" t="n">
        <v>46.59</v>
      </c>
      <c r="P465" s="0" t="s">
        <v>2444</v>
      </c>
    </row>
    <row r="466" customFormat="false" ht="15" hidden="false" customHeight="true" outlineLevel="0" collapsed="false">
      <c r="A466" s="0" t="n">
        <v>2</v>
      </c>
      <c r="B466" s="71" t="n">
        <v>46182</v>
      </c>
      <c r="C466" s="0" t="n">
        <v>1</v>
      </c>
      <c r="D466" s="0" t="s">
        <v>2442</v>
      </c>
      <c r="E466" s="0" t="n">
        <v>1921</v>
      </c>
      <c r="F466" s="0" t="s">
        <v>167</v>
      </c>
      <c r="I466" s="0" t="n">
        <v>20868</v>
      </c>
      <c r="J466" s="0" t="n">
        <v>46093</v>
      </c>
      <c r="K466" s="0" t="n">
        <v>7899085120597</v>
      </c>
      <c r="L466" s="0" t="s">
        <v>2673</v>
      </c>
      <c r="N466" s="0" t="n">
        <v>20</v>
      </c>
      <c r="O466" s="0" t="n">
        <v>43.26</v>
      </c>
      <c r="P466" s="0" t="s">
        <v>2444</v>
      </c>
    </row>
    <row r="467" customFormat="false" ht="15" hidden="false" customHeight="true" outlineLevel="0" collapsed="false">
      <c r="A467" s="0" t="n">
        <v>2</v>
      </c>
      <c r="B467" s="71" t="n">
        <v>46182</v>
      </c>
      <c r="C467" s="0" t="n">
        <v>1</v>
      </c>
      <c r="D467" s="0" t="s">
        <v>2442</v>
      </c>
      <c r="E467" s="0" t="n">
        <v>1921</v>
      </c>
      <c r="F467" s="0" t="s">
        <v>167</v>
      </c>
      <c r="I467" s="0" t="n">
        <v>20868</v>
      </c>
      <c r="J467" s="0" t="n">
        <v>46094</v>
      </c>
      <c r="K467" s="0" t="n">
        <v>7899085120580</v>
      </c>
      <c r="L467" s="0" t="s">
        <v>2674</v>
      </c>
      <c r="N467" s="0" t="n">
        <v>20</v>
      </c>
      <c r="O467" s="0" t="n">
        <v>43.26</v>
      </c>
      <c r="P467" s="0" t="s">
        <v>2444</v>
      </c>
    </row>
    <row r="468" customFormat="false" ht="15" hidden="false" customHeight="true" outlineLevel="0" collapsed="false">
      <c r="A468" s="0" t="n">
        <v>2</v>
      </c>
      <c r="B468" s="71" t="n">
        <v>46182</v>
      </c>
      <c r="C468" s="0" t="n">
        <v>1</v>
      </c>
      <c r="D468" s="0" t="s">
        <v>2442</v>
      </c>
      <c r="E468" s="0" t="n">
        <v>1921</v>
      </c>
      <c r="F468" s="0" t="s">
        <v>167</v>
      </c>
      <c r="I468" s="0" t="n">
        <v>20868</v>
      </c>
      <c r="J468" s="0" t="n">
        <v>47025</v>
      </c>
      <c r="K468" s="0" t="n">
        <v>7899085120160</v>
      </c>
      <c r="L468" s="0" t="s">
        <v>2675</v>
      </c>
      <c r="N468" s="0" t="n">
        <v>20</v>
      </c>
      <c r="O468" s="0" t="n">
        <v>49</v>
      </c>
      <c r="P468" s="0" t="s">
        <v>2444</v>
      </c>
    </row>
    <row r="469" customFormat="false" ht="15" hidden="false" customHeight="true" outlineLevel="0" collapsed="false">
      <c r="A469" s="0" t="n">
        <v>2</v>
      </c>
      <c r="B469" s="71" t="n">
        <v>46182</v>
      </c>
      <c r="C469" s="0" t="n">
        <v>1</v>
      </c>
      <c r="D469" s="0" t="s">
        <v>2442</v>
      </c>
      <c r="E469" s="0" t="n">
        <v>1921</v>
      </c>
      <c r="F469" s="0" t="s">
        <v>167</v>
      </c>
      <c r="I469" s="0" t="n">
        <v>20868</v>
      </c>
      <c r="J469" s="0" t="n">
        <v>47043</v>
      </c>
      <c r="K469" s="0" t="n">
        <v>7899085120276</v>
      </c>
      <c r="L469" s="0" t="s">
        <v>2676</v>
      </c>
      <c r="N469" s="0" t="n">
        <v>20</v>
      </c>
      <c r="O469" s="0" t="n">
        <v>46.69</v>
      </c>
      <c r="P469" s="0" t="s">
        <v>2444</v>
      </c>
    </row>
    <row r="470" customFormat="false" ht="15" hidden="false" customHeight="true" outlineLevel="0" collapsed="false">
      <c r="A470" s="0" t="n">
        <v>2</v>
      </c>
      <c r="B470" s="71" t="n">
        <v>46182</v>
      </c>
      <c r="C470" s="0" t="n">
        <v>1</v>
      </c>
      <c r="D470" s="0" t="s">
        <v>2442</v>
      </c>
      <c r="E470" s="0" t="n">
        <v>1921</v>
      </c>
      <c r="F470" s="0" t="s">
        <v>167</v>
      </c>
      <c r="I470" s="0" t="n">
        <v>20868</v>
      </c>
      <c r="J470" s="0" t="n">
        <v>47045</v>
      </c>
      <c r="K470" s="0" t="n">
        <v>7899085120351</v>
      </c>
      <c r="L470" s="0" t="s">
        <v>2677</v>
      </c>
      <c r="N470" s="0" t="n">
        <v>20</v>
      </c>
      <c r="O470" s="0" t="n">
        <v>44.44</v>
      </c>
      <c r="P470" s="0" t="s">
        <v>2444</v>
      </c>
    </row>
    <row r="471" customFormat="false" ht="15" hidden="false" customHeight="true" outlineLevel="0" collapsed="false">
      <c r="A471" s="0" t="n">
        <v>2</v>
      </c>
      <c r="B471" s="71" t="n">
        <v>46182</v>
      </c>
      <c r="C471" s="0" t="n">
        <v>1</v>
      </c>
      <c r="D471" s="0" t="s">
        <v>2442</v>
      </c>
      <c r="E471" s="0" t="n">
        <v>1921</v>
      </c>
      <c r="F471" s="0" t="s">
        <v>167</v>
      </c>
      <c r="I471" s="0" t="n">
        <v>20868</v>
      </c>
      <c r="J471" s="0" t="n">
        <v>47046</v>
      </c>
      <c r="K471" s="0" t="n">
        <v>7899085120436</v>
      </c>
      <c r="L471" s="0" t="s">
        <v>2678</v>
      </c>
      <c r="N471" s="0" t="n">
        <v>30</v>
      </c>
      <c r="O471" s="0" t="n">
        <v>41.22</v>
      </c>
      <c r="P471" s="0" t="s">
        <v>2444</v>
      </c>
    </row>
    <row r="472" customFormat="false" ht="15" hidden="false" customHeight="true" outlineLevel="0" collapsed="false">
      <c r="A472" s="0" t="n">
        <v>2</v>
      </c>
      <c r="B472" s="71" t="n">
        <v>46182</v>
      </c>
      <c r="C472" s="0" t="n">
        <v>1</v>
      </c>
      <c r="D472" s="0" t="s">
        <v>2442</v>
      </c>
      <c r="E472" s="0" t="n">
        <v>1921</v>
      </c>
      <c r="F472" s="0" t="s">
        <v>167</v>
      </c>
      <c r="I472" s="0" t="n">
        <v>20868</v>
      </c>
      <c r="J472" s="0" t="n">
        <v>47049</v>
      </c>
      <c r="K472" s="0" t="n">
        <v>7899085120474</v>
      </c>
      <c r="L472" s="0" t="s">
        <v>2679</v>
      </c>
      <c r="N472" s="0" t="n">
        <v>20</v>
      </c>
      <c r="O472" s="0" t="n">
        <v>45.52</v>
      </c>
      <c r="P472" s="0" t="s">
        <v>2444</v>
      </c>
    </row>
    <row r="473" customFormat="false" ht="15" hidden="false" customHeight="true" outlineLevel="0" collapsed="false">
      <c r="A473" s="0" t="n">
        <v>2</v>
      </c>
      <c r="B473" s="71" t="n">
        <v>46182</v>
      </c>
      <c r="C473" s="0" t="n">
        <v>1</v>
      </c>
      <c r="D473" s="0" t="s">
        <v>2442</v>
      </c>
      <c r="E473" s="0" t="n">
        <v>1921</v>
      </c>
      <c r="F473" s="0" t="s">
        <v>167</v>
      </c>
      <c r="I473" s="0" t="n">
        <v>20868</v>
      </c>
      <c r="J473" s="0" t="n">
        <v>47050</v>
      </c>
      <c r="K473" s="0" t="n">
        <v>7899085120146</v>
      </c>
      <c r="L473" s="0" t="s">
        <v>2680</v>
      </c>
      <c r="N473" s="0" t="n">
        <v>20</v>
      </c>
      <c r="O473" s="0" t="n">
        <v>38</v>
      </c>
      <c r="P473" s="0" t="s">
        <v>2444</v>
      </c>
    </row>
    <row r="474" customFormat="false" ht="15" hidden="false" customHeight="true" outlineLevel="0" collapsed="false">
      <c r="A474" s="0" t="n">
        <v>2</v>
      </c>
      <c r="B474" s="71" t="n">
        <v>46182</v>
      </c>
      <c r="C474" s="0" t="n">
        <v>1</v>
      </c>
      <c r="D474" s="0" t="s">
        <v>2442</v>
      </c>
      <c r="E474" s="0" t="n">
        <v>1921</v>
      </c>
      <c r="F474" s="0" t="s">
        <v>167</v>
      </c>
      <c r="I474" s="0" t="n">
        <v>20868</v>
      </c>
      <c r="J474" s="0" t="n">
        <v>47064</v>
      </c>
      <c r="K474" s="0" t="n">
        <v>7899085120122</v>
      </c>
      <c r="L474" s="0" t="s">
        <v>2681</v>
      </c>
      <c r="N474" s="0" t="n">
        <v>20</v>
      </c>
      <c r="O474" s="0" t="n">
        <v>54.12</v>
      </c>
      <c r="P474" s="0" t="s">
        <v>2444</v>
      </c>
    </row>
    <row r="475" customFormat="false" ht="15" hidden="false" customHeight="true" outlineLevel="0" collapsed="false">
      <c r="A475" s="0" t="n">
        <v>2</v>
      </c>
      <c r="B475" s="71" t="n">
        <v>46182</v>
      </c>
      <c r="C475" s="0" t="n">
        <v>1</v>
      </c>
      <c r="D475" s="0" t="s">
        <v>2442</v>
      </c>
      <c r="E475" s="0" t="n">
        <v>1921</v>
      </c>
      <c r="F475" s="0" t="s">
        <v>167</v>
      </c>
      <c r="I475" s="0" t="n">
        <v>20868</v>
      </c>
      <c r="J475" s="0" t="n">
        <v>49144</v>
      </c>
      <c r="K475" s="0" t="n">
        <v>7899085120177</v>
      </c>
      <c r="L475" s="0" t="s">
        <v>2682</v>
      </c>
      <c r="N475" s="0" t="n">
        <v>20</v>
      </c>
      <c r="O475" s="0" t="n">
        <v>40.15</v>
      </c>
      <c r="P475" s="0" t="s">
        <v>2444</v>
      </c>
    </row>
    <row r="476" customFormat="false" ht="15" hidden="false" customHeight="true" outlineLevel="0" collapsed="false">
      <c r="A476" s="0" t="n">
        <v>2</v>
      </c>
      <c r="B476" s="71" t="n">
        <v>46182</v>
      </c>
      <c r="C476" s="0" t="n">
        <v>1</v>
      </c>
      <c r="D476" s="0" t="s">
        <v>2442</v>
      </c>
      <c r="E476" s="0" t="n">
        <v>1921</v>
      </c>
      <c r="F476" s="0" t="s">
        <v>167</v>
      </c>
      <c r="I476" s="0" t="n">
        <v>20868</v>
      </c>
      <c r="J476" s="0" t="n">
        <v>52997</v>
      </c>
      <c r="K476" s="0" t="n">
        <v>7899085120184</v>
      </c>
      <c r="L476" s="0" t="s">
        <v>2683</v>
      </c>
      <c r="N476" s="0" t="n">
        <v>20</v>
      </c>
      <c r="O476" s="0" t="n">
        <v>40.15</v>
      </c>
      <c r="P476" s="0" t="s">
        <v>2444</v>
      </c>
    </row>
    <row r="477" customFormat="false" ht="15" hidden="false" customHeight="true" outlineLevel="0" collapsed="false">
      <c r="A477" s="0" t="n">
        <v>2</v>
      </c>
      <c r="B477" s="71" t="n">
        <v>46182</v>
      </c>
      <c r="C477" s="0" t="n">
        <v>1</v>
      </c>
      <c r="D477" s="0" t="s">
        <v>2442</v>
      </c>
      <c r="E477" s="0" t="n">
        <v>1123</v>
      </c>
      <c r="F477" s="0" t="s">
        <v>443</v>
      </c>
      <c r="I477" s="0" t="n">
        <v>40955</v>
      </c>
      <c r="J477" s="0" t="n">
        <v>72629</v>
      </c>
      <c r="K477" s="0" t="n">
        <v>7898055455356</v>
      </c>
      <c r="L477" s="0" t="s">
        <v>2684</v>
      </c>
      <c r="N477" s="0" t="n">
        <v>64</v>
      </c>
      <c r="O477" s="0" t="n">
        <v>460</v>
      </c>
      <c r="P477" s="0" t="s">
        <v>2444</v>
      </c>
    </row>
    <row r="478" customFormat="false" ht="15" hidden="false" customHeight="true" outlineLevel="0" collapsed="false">
      <c r="A478" s="0" t="n">
        <v>2</v>
      </c>
      <c r="B478" s="71" t="n">
        <v>46182</v>
      </c>
      <c r="C478" s="0" t="n">
        <v>1</v>
      </c>
      <c r="D478" s="0" t="s">
        <v>2442</v>
      </c>
      <c r="E478" s="0" t="n">
        <v>1650</v>
      </c>
      <c r="F478" s="0" t="s">
        <v>438</v>
      </c>
      <c r="I478" s="0" t="n">
        <v>223109</v>
      </c>
      <c r="J478" s="0" t="n">
        <v>16172</v>
      </c>
      <c r="K478" s="0" t="n">
        <v>7898055452188</v>
      </c>
      <c r="L478" s="0" t="s">
        <v>2685</v>
      </c>
      <c r="N478" s="0" t="n">
        <v>35</v>
      </c>
      <c r="O478" s="0" t="n">
        <v>110.49</v>
      </c>
      <c r="P478" s="0" t="s">
        <v>2444</v>
      </c>
    </row>
    <row r="479" customFormat="false" ht="15" hidden="false" customHeight="true" outlineLevel="0" collapsed="false">
      <c r="A479" s="0" t="n">
        <v>2</v>
      </c>
      <c r="B479" s="71" t="n">
        <v>46182</v>
      </c>
      <c r="C479" s="0" t="n">
        <v>1</v>
      </c>
      <c r="D479" s="0" t="s">
        <v>2442</v>
      </c>
      <c r="E479" s="0" t="n">
        <v>1650</v>
      </c>
      <c r="F479" s="0" t="s">
        <v>438</v>
      </c>
      <c r="I479" s="0" t="n">
        <v>223109</v>
      </c>
      <c r="J479" s="0" t="n">
        <v>16173</v>
      </c>
      <c r="K479" s="0" t="n">
        <v>7898055452201</v>
      </c>
      <c r="L479" s="0" t="s">
        <v>2686</v>
      </c>
      <c r="N479" s="0" t="n">
        <v>12</v>
      </c>
      <c r="O479" s="0" t="n">
        <v>46.57</v>
      </c>
      <c r="P479" s="0" t="s">
        <v>2444</v>
      </c>
    </row>
    <row r="480" customFormat="false" ht="15" hidden="false" customHeight="true" outlineLevel="0" collapsed="false">
      <c r="A480" s="0" t="n">
        <v>2</v>
      </c>
      <c r="B480" s="71" t="n">
        <v>46182</v>
      </c>
      <c r="C480" s="0" t="n">
        <v>1</v>
      </c>
      <c r="D480" s="0" t="s">
        <v>2442</v>
      </c>
      <c r="E480" s="0" t="n">
        <v>1650</v>
      </c>
      <c r="F480" s="0" t="s">
        <v>438</v>
      </c>
      <c r="I480" s="0" t="n">
        <v>223109</v>
      </c>
      <c r="J480" s="0" t="n">
        <v>16174</v>
      </c>
      <c r="K480" s="0" t="n">
        <v>7898055452195</v>
      </c>
      <c r="L480" s="0" t="s">
        <v>2687</v>
      </c>
      <c r="N480" s="0" t="n">
        <v>12</v>
      </c>
      <c r="O480" s="0" t="n">
        <v>43.47</v>
      </c>
      <c r="P480" s="0" t="s">
        <v>2444</v>
      </c>
    </row>
    <row r="481" customFormat="false" ht="15" hidden="false" customHeight="true" outlineLevel="0" collapsed="false">
      <c r="A481" s="0" t="n">
        <v>2</v>
      </c>
      <c r="B481" s="71" t="n">
        <v>46182</v>
      </c>
      <c r="C481" s="0" t="n">
        <v>1</v>
      </c>
      <c r="D481" s="0" t="s">
        <v>2442</v>
      </c>
      <c r="E481" s="0" t="n">
        <v>1650</v>
      </c>
      <c r="F481" s="0" t="s">
        <v>438</v>
      </c>
      <c r="I481" s="0" t="n">
        <v>223109</v>
      </c>
      <c r="J481" s="0" t="n">
        <v>16604</v>
      </c>
      <c r="K481" s="0" t="n">
        <v>7898055453246</v>
      </c>
      <c r="L481" s="0" t="s">
        <v>2688</v>
      </c>
      <c r="N481" s="0" t="n">
        <v>12</v>
      </c>
      <c r="O481" s="0" t="n">
        <v>22.36</v>
      </c>
      <c r="P481" s="0" t="s">
        <v>2444</v>
      </c>
    </row>
    <row r="482" customFormat="false" ht="15" hidden="false" customHeight="true" outlineLevel="0" collapsed="false">
      <c r="A482" s="0" t="n">
        <v>2</v>
      </c>
      <c r="B482" s="71" t="n">
        <v>46182</v>
      </c>
      <c r="C482" s="0" t="n">
        <v>1</v>
      </c>
      <c r="D482" s="0" t="s">
        <v>2442</v>
      </c>
      <c r="E482" s="0" t="n">
        <v>1650</v>
      </c>
      <c r="F482" s="0" t="s">
        <v>438</v>
      </c>
      <c r="I482" s="0" t="n">
        <v>223109</v>
      </c>
      <c r="J482" s="0" t="n">
        <v>17454</v>
      </c>
      <c r="K482" s="0" t="n">
        <v>7898055453222</v>
      </c>
      <c r="L482" s="0" t="s">
        <v>2689</v>
      </c>
      <c r="N482" s="0" t="n">
        <v>24</v>
      </c>
      <c r="O482" s="0" t="n">
        <v>205.32</v>
      </c>
      <c r="P482" s="0" t="s">
        <v>2444</v>
      </c>
    </row>
    <row r="483" customFormat="false" ht="15" hidden="false" customHeight="true" outlineLevel="0" collapsed="false">
      <c r="A483" s="0" t="n">
        <v>2</v>
      </c>
      <c r="B483" s="71" t="n">
        <v>46182</v>
      </c>
      <c r="C483" s="0" t="n">
        <v>1</v>
      </c>
      <c r="D483" s="0" t="s">
        <v>2442</v>
      </c>
      <c r="E483" s="0" t="n">
        <v>1650</v>
      </c>
      <c r="F483" s="0" t="s">
        <v>438</v>
      </c>
      <c r="I483" s="0" t="n">
        <v>223109</v>
      </c>
      <c r="J483" s="0" t="n">
        <v>20636</v>
      </c>
      <c r="K483" s="0" t="n">
        <v>7898055450702</v>
      </c>
      <c r="L483" s="0" t="s">
        <v>2690</v>
      </c>
      <c r="N483" s="0" t="n">
        <v>24</v>
      </c>
      <c r="O483" s="0" t="n">
        <v>50.48</v>
      </c>
      <c r="P483" s="0" t="s">
        <v>2444</v>
      </c>
    </row>
    <row r="484" customFormat="false" ht="15" hidden="false" customHeight="true" outlineLevel="0" collapsed="false">
      <c r="A484" s="0" t="n">
        <v>2</v>
      </c>
      <c r="B484" s="71" t="n">
        <v>46182</v>
      </c>
      <c r="C484" s="0" t="n">
        <v>1</v>
      </c>
      <c r="D484" s="0" t="s">
        <v>2442</v>
      </c>
      <c r="E484" s="0" t="n">
        <v>1650</v>
      </c>
      <c r="F484" s="0" t="s">
        <v>438</v>
      </c>
      <c r="I484" s="0" t="n">
        <v>223109</v>
      </c>
      <c r="J484" s="0" t="n">
        <v>21048</v>
      </c>
      <c r="K484" s="0" t="n">
        <v>7898055451532</v>
      </c>
      <c r="L484" s="0" t="s">
        <v>2691</v>
      </c>
      <c r="N484" s="0" t="n">
        <v>12</v>
      </c>
      <c r="O484" s="0" t="n">
        <v>81.35</v>
      </c>
      <c r="P484" s="0" t="s">
        <v>2444</v>
      </c>
    </row>
    <row r="485" customFormat="false" ht="15" hidden="false" customHeight="true" outlineLevel="0" collapsed="false">
      <c r="A485" s="0" t="n">
        <v>2</v>
      </c>
      <c r="B485" s="71" t="n">
        <v>46182</v>
      </c>
      <c r="C485" s="0" t="n">
        <v>1</v>
      </c>
      <c r="D485" s="0" t="s">
        <v>2442</v>
      </c>
      <c r="E485" s="0" t="n">
        <v>1650</v>
      </c>
      <c r="F485" s="0" t="s">
        <v>438</v>
      </c>
      <c r="I485" s="0" t="n">
        <v>223109</v>
      </c>
      <c r="J485" s="0" t="n">
        <v>25277</v>
      </c>
      <c r="K485" s="0" t="n">
        <v>7898055453239</v>
      </c>
      <c r="L485" s="0" t="s">
        <v>2692</v>
      </c>
      <c r="N485" s="0" t="n">
        <v>12</v>
      </c>
      <c r="O485" s="0" t="n">
        <v>236.12</v>
      </c>
      <c r="P485" s="0" t="s">
        <v>2444</v>
      </c>
    </row>
    <row r="486" customFormat="false" ht="15" hidden="false" customHeight="true" outlineLevel="0" collapsed="false">
      <c r="A486" s="0" t="n">
        <v>2</v>
      </c>
      <c r="B486" s="71" t="n">
        <v>46182</v>
      </c>
      <c r="C486" s="0" t="n">
        <v>2</v>
      </c>
      <c r="D486" s="0" t="s">
        <v>2533</v>
      </c>
      <c r="E486" s="0" t="n">
        <v>48</v>
      </c>
      <c r="F486" s="0" t="s">
        <v>153</v>
      </c>
      <c r="I486" s="0" t="n">
        <v>9626</v>
      </c>
      <c r="J486" s="0" t="n">
        <v>100062</v>
      </c>
      <c r="K486" s="0" t="n">
        <v>63</v>
      </c>
      <c r="L486" s="0" t="s">
        <v>2535</v>
      </c>
      <c r="N486" s="0" t="n">
        <v>13</v>
      </c>
      <c r="O486" s="0" t="n">
        <v>93.86</v>
      </c>
      <c r="P486" s="0" t="s">
        <v>2444</v>
      </c>
    </row>
    <row r="487" customFormat="false" ht="15" hidden="false" customHeight="true" outlineLevel="0" collapsed="false">
      <c r="A487" s="0" t="n">
        <v>2</v>
      </c>
      <c r="B487" s="71" t="n">
        <v>46182</v>
      </c>
      <c r="C487" s="0" t="n">
        <v>2</v>
      </c>
      <c r="D487" s="0" t="s">
        <v>2533</v>
      </c>
      <c r="E487" s="0" t="n">
        <v>48</v>
      </c>
      <c r="F487" s="0" t="s">
        <v>153</v>
      </c>
      <c r="I487" s="0" t="n">
        <v>9626</v>
      </c>
      <c r="J487" s="0" t="n">
        <v>100100</v>
      </c>
      <c r="K487" s="0" t="n">
        <v>101</v>
      </c>
      <c r="L487" s="0" t="s">
        <v>2693</v>
      </c>
      <c r="N487" s="0" t="n">
        <v>5</v>
      </c>
      <c r="O487" s="0" t="n">
        <v>30</v>
      </c>
      <c r="P487" s="0" t="s">
        <v>2444</v>
      </c>
    </row>
    <row r="488" customFormat="false" ht="15" hidden="false" customHeight="true" outlineLevel="0" collapsed="false">
      <c r="A488" s="0" t="n">
        <v>2</v>
      </c>
      <c r="B488" s="71" t="n">
        <v>46182</v>
      </c>
      <c r="C488" s="0" t="n">
        <v>2</v>
      </c>
      <c r="D488" s="0" t="s">
        <v>2533</v>
      </c>
      <c r="E488" s="0" t="n">
        <v>48</v>
      </c>
      <c r="F488" s="0" t="s">
        <v>153</v>
      </c>
      <c r="I488" s="0" t="n">
        <v>9626</v>
      </c>
      <c r="J488" s="0" t="n">
        <v>100105</v>
      </c>
      <c r="K488" s="0" t="n">
        <v>106</v>
      </c>
      <c r="L488" s="0" t="s">
        <v>2536</v>
      </c>
      <c r="N488" s="0" t="n">
        <v>48</v>
      </c>
      <c r="O488" s="0" t="n">
        <v>340</v>
      </c>
      <c r="P488" s="0" t="s">
        <v>2444</v>
      </c>
    </row>
    <row r="489" customFormat="false" ht="15" hidden="false" customHeight="true" outlineLevel="0" collapsed="false">
      <c r="A489" s="0" t="n">
        <v>2</v>
      </c>
      <c r="B489" s="71" t="n">
        <v>46182</v>
      </c>
      <c r="C489" s="0" t="n">
        <v>2</v>
      </c>
      <c r="D489" s="0" t="s">
        <v>2533</v>
      </c>
      <c r="E489" s="0" t="n">
        <v>48</v>
      </c>
      <c r="F489" s="0" t="s">
        <v>153</v>
      </c>
      <c r="I489" s="0" t="n">
        <v>9626</v>
      </c>
      <c r="J489" s="0" t="n">
        <v>100109</v>
      </c>
      <c r="K489" s="0" t="n">
        <v>110</v>
      </c>
      <c r="L489" s="0" t="s">
        <v>2537</v>
      </c>
      <c r="N489" s="0" t="n">
        <v>40</v>
      </c>
      <c r="O489" s="0" t="n">
        <v>180</v>
      </c>
      <c r="P489" s="0" t="s">
        <v>2444</v>
      </c>
    </row>
    <row r="490" customFormat="false" ht="15" hidden="false" customHeight="true" outlineLevel="0" collapsed="false">
      <c r="A490" s="0" t="n">
        <v>2</v>
      </c>
      <c r="B490" s="71" t="n">
        <v>46182</v>
      </c>
      <c r="C490" s="0" t="n">
        <v>2</v>
      </c>
      <c r="D490" s="0" t="s">
        <v>2533</v>
      </c>
      <c r="E490" s="0" t="n">
        <v>48</v>
      </c>
      <c r="F490" s="0" t="s">
        <v>153</v>
      </c>
      <c r="I490" s="0" t="n">
        <v>9626</v>
      </c>
      <c r="J490" s="0" t="n">
        <v>100113</v>
      </c>
      <c r="K490" s="0" t="n">
        <v>114</v>
      </c>
      <c r="L490" s="0" t="s">
        <v>2539</v>
      </c>
      <c r="N490" s="0" t="n">
        <v>20</v>
      </c>
      <c r="O490" s="0" t="n">
        <v>40</v>
      </c>
      <c r="P490" s="0" t="s">
        <v>2444</v>
      </c>
    </row>
    <row r="491" customFormat="false" ht="15" hidden="false" customHeight="true" outlineLevel="0" collapsed="false">
      <c r="A491" s="0" t="n">
        <v>2</v>
      </c>
      <c r="B491" s="71" t="n">
        <v>46182</v>
      </c>
      <c r="C491" s="0" t="n">
        <v>2</v>
      </c>
      <c r="D491" s="0" t="s">
        <v>2533</v>
      </c>
      <c r="E491" s="0" t="n">
        <v>48</v>
      </c>
      <c r="F491" s="0" t="s">
        <v>153</v>
      </c>
      <c r="I491" s="0" t="n">
        <v>9626</v>
      </c>
      <c r="J491" s="0" t="n">
        <v>100115</v>
      </c>
      <c r="K491" s="0" t="n">
        <v>116</v>
      </c>
      <c r="L491" s="0" t="s">
        <v>2694</v>
      </c>
      <c r="N491" s="0" t="n">
        <v>10</v>
      </c>
      <c r="O491" s="0" t="n">
        <v>66.6</v>
      </c>
      <c r="P491" s="0" t="s">
        <v>2444</v>
      </c>
    </row>
    <row r="492" customFormat="false" ht="15" hidden="false" customHeight="true" outlineLevel="0" collapsed="false">
      <c r="A492" s="0" t="n">
        <v>2</v>
      </c>
      <c r="B492" s="71" t="n">
        <v>46182</v>
      </c>
      <c r="C492" s="0" t="n">
        <v>2</v>
      </c>
      <c r="D492" s="0" t="s">
        <v>2533</v>
      </c>
      <c r="E492" s="0" t="n">
        <v>48</v>
      </c>
      <c r="F492" s="0" t="s">
        <v>153</v>
      </c>
      <c r="I492" s="0" t="n">
        <v>9626</v>
      </c>
      <c r="J492" s="0" t="n">
        <v>100121</v>
      </c>
      <c r="K492" s="0" t="n">
        <v>122</v>
      </c>
      <c r="L492" s="0" t="s">
        <v>2542</v>
      </c>
      <c r="N492" s="0" t="n">
        <v>3</v>
      </c>
      <c r="O492" s="0" t="n">
        <v>54</v>
      </c>
      <c r="P492" s="0" t="s">
        <v>2444</v>
      </c>
    </row>
    <row r="493" customFormat="false" ht="15" hidden="false" customHeight="true" outlineLevel="0" collapsed="false">
      <c r="A493" s="0" t="n">
        <v>2</v>
      </c>
      <c r="B493" s="71" t="n">
        <v>46182</v>
      </c>
      <c r="C493" s="0" t="n">
        <v>2</v>
      </c>
      <c r="D493" s="0" t="s">
        <v>2533</v>
      </c>
      <c r="E493" s="0" t="n">
        <v>48</v>
      </c>
      <c r="F493" s="0" t="s">
        <v>153</v>
      </c>
      <c r="I493" s="0" t="n">
        <v>9626</v>
      </c>
      <c r="J493" s="0" t="n">
        <v>100122</v>
      </c>
      <c r="K493" s="0" t="n">
        <v>123</v>
      </c>
      <c r="L493" s="0" t="s">
        <v>2543</v>
      </c>
      <c r="N493" s="0" t="n">
        <v>3</v>
      </c>
      <c r="O493" s="0" t="n">
        <v>54</v>
      </c>
      <c r="P493" s="0" t="s">
        <v>2444</v>
      </c>
    </row>
    <row r="494" customFormat="false" ht="15" hidden="false" customHeight="true" outlineLevel="0" collapsed="false">
      <c r="A494" s="0" t="n">
        <v>2</v>
      </c>
      <c r="B494" s="71" t="n">
        <v>46182</v>
      </c>
      <c r="C494" s="0" t="n">
        <v>2</v>
      </c>
      <c r="D494" s="0" t="s">
        <v>2533</v>
      </c>
      <c r="E494" s="0" t="n">
        <v>48</v>
      </c>
      <c r="F494" s="0" t="s">
        <v>153</v>
      </c>
      <c r="I494" s="0" t="n">
        <v>9626</v>
      </c>
      <c r="J494" s="0" t="n">
        <v>100124</v>
      </c>
      <c r="K494" s="0" t="n">
        <v>125</v>
      </c>
      <c r="L494" s="0" t="s">
        <v>2695</v>
      </c>
      <c r="N494" s="0" t="n">
        <v>5</v>
      </c>
      <c r="O494" s="0" t="n">
        <v>55</v>
      </c>
      <c r="P494" s="0" t="s">
        <v>2444</v>
      </c>
    </row>
    <row r="495" customFormat="false" ht="15" hidden="false" customHeight="true" outlineLevel="0" collapsed="false">
      <c r="A495" s="0" t="n">
        <v>2</v>
      </c>
      <c r="B495" s="71" t="n">
        <v>46182</v>
      </c>
      <c r="C495" s="0" t="n">
        <v>2</v>
      </c>
      <c r="D495" s="0" t="s">
        <v>2533</v>
      </c>
      <c r="E495" s="0" t="n">
        <v>48</v>
      </c>
      <c r="F495" s="0" t="s">
        <v>153</v>
      </c>
      <c r="I495" s="0" t="n">
        <v>9626</v>
      </c>
      <c r="J495" s="0" t="n">
        <v>100129</v>
      </c>
      <c r="K495" s="0" t="n">
        <v>130</v>
      </c>
      <c r="L495" s="0" t="s">
        <v>2598</v>
      </c>
      <c r="N495" s="0" t="n">
        <v>13</v>
      </c>
      <c r="O495" s="0" t="n">
        <v>80</v>
      </c>
      <c r="P495" s="0" t="s">
        <v>2444</v>
      </c>
    </row>
    <row r="496" customFormat="false" ht="15" hidden="false" customHeight="true" outlineLevel="0" collapsed="false">
      <c r="A496" s="0" t="n">
        <v>2</v>
      </c>
      <c r="B496" s="71" t="n">
        <v>46182</v>
      </c>
      <c r="C496" s="0" t="n">
        <v>2</v>
      </c>
      <c r="D496" s="0" t="s">
        <v>2533</v>
      </c>
      <c r="E496" s="0" t="n">
        <v>48</v>
      </c>
      <c r="F496" s="0" t="s">
        <v>153</v>
      </c>
      <c r="I496" s="0" t="n">
        <v>9626</v>
      </c>
      <c r="J496" s="0" t="n">
        <v>100132</v>
      </c>
      <c r="K496" s="0" t="n">
        <v>133</v>
      </c>
      <c r="L496" s="0" t="s">
        <v>2546</v>
      </c>
      <c r="N496" s="0" t="n">
        <v>56</v>
      </c>
      <c r="O496" s="0" t="n">
        <v>150</v>
      </c>
      <c r="P496" s="0" t="s">
        <v>2444</v>
      </c>
    </row>
    <row r="497" customFormat="false" ht="15" hidden="false" customHeight="true" outlineLevel="0" collapsed="false">
      <c r="A497" s="0" t="n">
        <v>2</v>
      </c>
      <c r="B497" s="71" t="n">
        <v>46182</v>
      </c>
      <c r="C497" s="0" t="n">
        <v>2</v>
      </c>
      <c r="D497" s="0" t="s">
        <v>2533</v>
      </c>
      <c r="E497" s="0" t="n">
        <v>48</v>
      </c>
      <c r="F497" s="0" t="s">
        <v>153</v>
      </c>
      <c r="I497" s="0" t="n">
        <v>9626</v>
      </c>
      <c r="J497" s="0" t="n">
        <v>100133</v>
      </c>
      <c r="K497" s="0" t="n">
        <v>134</v>
      </c>
      <c r="L497" s="0" t="s">
        <v>2547</v>
      </c>
      <c r="N497" s="0" t="n">
        <v>15</v>
      </c>
      <c r="O497" s="0" t="n">
        <v>37.5</v>
      </c>
      <c r="P497" s="0" t="s">
        <v>2444</v>
      </c>
    </row>
    <row r="498" customFormat="false" ht="15" hidden="false" customHeight="true" outlineLevel="0" collapsed="false">
      <c r="A498" s="0" t="n">
        <v>2</v>
      </c>
      <c r="B498" s="71" t="n">
        <v>46182</v>
      </c>
      <c r="C498" s="0" t="n">
        <v>2</v>
      </c>
      <c r="D498" s="0" t="s">
        <v>2533</v>
      </c>
      <c r="E498" s="0" t="n">
        <v>48</v>
      </c>
      <c r="F498" s="0" t="s">
        <v>153</v>
      </c>
      <c r="I498" s="0" t="n">
        <v>9626</v>
      </c>
      <c r="J498" s="0" t="n">
        <v>100148</v>
      </c>
      <c r="K498" s="0" t="n">
        <v>149</v>
      </c>
      <c r="L498" s="0" t="s">
        <v>2600</v>
      </c>
      <c r="N498" s="0" t="n">
        <v>13</v>
      </c>
      <c r="O498" s="0" t="n">
        <v>122.72</v>
      </c>
      <c r="P498" s="0" t="s">
        <v>2444</v>
      </c>
    </row>
    <row r="499" customFormat="false" ht="15" hidden="false" customHeight="true" outlineLevel="0" collapsed="false">
      <c r="A499" s="0" t="n">
        <v>2</v>
      </c>
      <c r="B499" s="71" t="n">
        <v>46182</v>
      </c>
      <c r="C499" s="0" t="n">
        <v>2</v>
      </c>
      <c r="D499" s="0" t="s">
        <v>2533</v>
      </c>
      <c r="E499" s="0" t="n">
        <v>48</v>
      </c>
      <c r="F499" s="0" t="s">
        <v>153</v>
      </c>
      <c r="I499" s="0" t="n">
        <v>9626</v>
      </c>
      <c r="J499" s="0" t="n">
        <v>100227</v>
      </c>
      <c r="K499" s="0" t="n">
        <v>40538</v>
      </c>
      <c r="L499" s="0" t="s">
        <v>2548</v>
      </c>
      <c r="N499" s="0" t="n">
        <v>15</v>
      </c>
      <c r="O499" s="0" t="n">
        <v>67.5</v>
      </c>
      <c r="P499" s="0" t="s">
        <v>2444</v>
      </c>
    </row>
    <row r="500" customFormat="false" ht="15" hidden="false" customHeight="true" outlineLevel="0" collapsed="false">
      <c r="A500" s="0" t="n">
        <v>2</v>
      </c>
      <c r="B500" s="71" t="n">
        <v>46182</v>
      </c>
      <c r="C500" s="0" t="n">
        <v>2</v>
      </c>
      <c r="D500" s="0" t="s">
        <v>2533</v>
      </c>
      <c r="E500" s="0" t="n">
        <v>48</v>
      </c>
      <c r="F500" s="0" t="s">
        <v>153</v>
      </c>
      <c r="I500" s="0" t="n">
        <v>9626</v>
      </c>
      <c r="J500" s="0" t="n">
        <v>110142</v>
      </c>
      <c r="K500" s="0" t="n">
        <v>16699</v>
      </c>
      <c r="L500" s="0" t="s">
        <v>2549</v>
      </c>
      <c r="N500" s="0" t="n">
        <v>40</v>
      </c>
      <c r="O500" s="0" t="n">
        <v>250</v>
      </c>
      <c r="P500" s="0" t="s">
        <v>2444</v>
      </c>
    </row>
    <row r="501" customFormat="false" ht="15" hidden="false" customHeight="true" outlineLevel="0" collapsed="false">
      <c r="A501" s="0" t="n">
        <v>2</v>
      </c>
      <c r="B501" s="71" t="n">
        <v>46182</v>
      </c>
      <c r="C501" s="0" t="n">
        <v>2</v>
      </c>
      <c r="D501" s="0" t="s">
        <v>2533</v>
      </c>
      <c r="E501" s="0" t="n">
        <v>48</v>
      </c>
      <c r="F501" s="0" t="s">
        <v>153</v>
      </c>
      <c r="I501" s="0" t="n">
        <v>9626</v>
      </c>
      <c r="J501" s="0" t="n">
        <v>110374</v>
      </c>
      <c r="K501" s="0" t="n">
        <v>48077</v>
      </c>
      <c r="L501" s="0" t="s">
        <v>2696</v>
      </c>
      <c r="N501" s="0" t="n">
        <v>5</v>
      </c>
      <c r="O501" s="0" t="n">
        <v>35</v>
      </c>
      <c r="P501" s="0" t="s">
        <v>2444</v>
      </c>
    </row>
    <row r="502" customFormat="false" ht="15" hidden="false" customHeight="true" outlineLevel="0" collapsed="false">
      <c r="A502" s="0" t="n">
        <v>2</v>
      </c>
      <c r="B502" s="71" t="n">
        <v>46182</v>
      </c>
      <c r="C502" s="0" t="n">
        <v>2</v>
      </c>
      <c r="D502" s="0" t="s">
        <v>2533</v>
      </c>
      <c r="E502" s="0" t="n">
        <v>48</v>
      </c>
      <c r="F502" s="0" t="s">
        <v>153</v>
      </c>
      <c r="I502" s="0" t="n">
        <v>9626</v>
      </c>
      <c r="J502" s="0" t="n">
        <v>110489</v>
      </c>
      <c r="K502" s="0" t="n">
        <v>54743</v>
      </c>
      <c r="L502" s="0" t="s">
        <v>2550</v>
      </c>
      <c r="N502" s="0" t="n">
        <v>40</v>
      </c>
      <c r="O502" s="0" t="n">
        <v>240</v>
      </c>
      <c r="P502" s="0" t="s">
        <v>2444</v>
      </c>
    </row>
    <row r="503" customFormat="false" ht="15" hidden="false" customHeight="true" outlineLevel="0" collapsed="false">
      <c r="A503" s="0" t="n">
        <v>2</v>
      </c>
      <c r="B503" s="71" t="n">
        <v>46182</v>
      </c>
      <c r="C503" s="0" t="n">
        <v>2</v>
      </c>
      <c r="D503" s="0" t="s">
        <v>2533</v>
      </c>
      <c r="E503" s="0" t="n">
        <v>48</v>
      </c>
      <c r="F503" s="0" t="s">
        <v>153</v>
      </c>
      <c r="I503" s="0" t="n">
        <v>9626</v>
      </c>
      <c r="J503" s="0" t="n">
        <v>80078</v>
      </c>
      <c r="K503" s="0" t="n">
        <v>710</v>
      </c>
      <c r="L503" s="0" t="s">
        <v>2551</v>
      </c>
      <c r="N503" s="0" t="n">
        <v>10</v>
      </c>
      <c r="O503" s="0" t="n">
        <v>30</v>
      </c>
      <c r="P503" s="0" t="s">
        <v>2444</v>
      </c>
    </row>
    <row r="504" customFormat="false" ht="15" hidden="false" customHeight="true" outlineLevel="0" collapsed="false">
      <c r="A504" s="0" t="n">
        <v>2</v>
      </c>
      <c r="B504" s="71" t="n">
        <v>46182</v>
      </c>
      <c r="C504" s="0" t="n">
        <v>6</v>
      </c>
      <c r="D504" s="0" t="s">
        <v>2553</v>
      </c>
      <c r="E504" s="0" t="n">
        <v>48</v>
      </c>
      <c r="F504" s="0" t="s">
        <v>153</v>
      </c>
      <c r="I504" s="0" t="n">
        <v>2487</v>
      </c>
      <c r="J504" s="0" t="n">
        <v>100062</v>
      </c>
      <c r="K504" s="0" t="n">
        <v>63</v>
      </c>
      <c r="L504" s="0" t="s">
        <v>2535</v>
      </c>
      <c r="N504" s="0" t="n">
        <v>13</v>
      </c>
      <c r="O504" s="0" t="n">
        <v>93.86</v>
      </c>
      <c r="P504" s="0" t="s">
        <v>2444</v>
      </c>
    </row>
    <row r="505" customFormat="false" ht="15" hidden="false" customHeight="true" outlineLevel="0" collapsed="false">
      <c r="A505" s="0" t="n">
        <v>2</v>
      </c>
      <c r="B505" s="71" t="n">
        <v>46182</v>
      </c>
      <c r="C505" s="0" t="n">
        <v>6</v>
      </c>
      <c r="D505" s="0" t="s">
        <v>2553</v>
      </c>
      <c r="E505" s="0" t="n">
        <v>48</v>
      </c>
      <c r="F505" s="0" t="s">
        <v>153</v>
      </c>
      <c r="I505" s="0" t="n">
        <v>2487</v>
      </c>
      <c r="J505" s="0" t="n">
        <v>100100</v>
      </c>
      <c r="K505" s="0" t="n">
        <v>101</v>
      </c>
      <c r="L505" s="0" t="s">
        <v>2693</v>
      </c>
      <c r="N505" s="0" t="n">
        <v>5</v>
      </c>
      <c r="O505" s="0" t="n">
        <v>30</v>
      </c>
      <c r="P505" s="0" t="s">
        <v>2444</v>
      </c>
    </row>
    <row r="506" customFormat="false" ht="15" hidden="false" customHeight="true" outlineLevel="0" collapsed="false">
      <c r="A506" s="0" t="n">
        <v>2</v>
      </c>
      <c r="B506" s="71" t="n">
        <v>46182</v>
      </c>
      <c r="C506" s="0" t="n">
        <v>6</v>
      </c>
      <c r="D506" s="0" t="s">
        <v>2553</v>
      </c>
      <c r="E506" s="0" t="n">
        <v>48</v>
      </c>
      <c r="F506" s="0" t="s">
        <v>153</v>
      </c>
      <c r="I506" s="0" t="n">
        <v>2487</v>
      </c>
      <c r="J506" s="0" t="n">
        <v>100105</v>
      </c>
      <c r="K506" s="0" t="n">
        <v>106</v>
      </c>
      <c r="L506" s="0" t="s">
        <v>2536</v>
      </c>
      <c r="N506" s="0" t="n">
        <v>48</v>
      </c>
      <c r="O506" s="0" t="n">
        <v>340</v>
      </c>
      <c r="P506" s="0" t="s">
        <v>2444</v>
      </c>
    </row>
    <row r="507" customFormat="false" ht="15" hidden="false" customHeight="true" outlineLevel="0" collapsed="false">
      <c r="A507" s="0" t="n">
        <v>2</v>
      </c>
      <c r="B507" s="71" t="n">
        <v>46182</v>
      </c>
      <c r="C507" s="0" t="n">
        <v>6</v>
      </c>
      <c r="D507" s="0" t="s">
        <v>2553</v>
      </c>
      <c r="E507" s="0" t="n">
        <v>48</v>
      </c>
      <c r="F507" s="0" t="s">
        <v>153</v>
      </c>
      <c r="I507" s="0" t="n">
        <v>2487</v>
      </c>
      <c r="J507" s="0" t="n">
        <v>100109</v>
      </c>
      <c r="K507" s="0" t="n">
        <v>110</v>
      </c>
      <c r="L507" s="0" t="s">
        <v>2537</v>
      </c>
      <c r="N507" s="0" t="n">
        <v>40</v>
      </c>
      <c r="O507" s="0" t="n">
        <v>180</v>
      </c>
      <c r="P507" s="0" t="s">
        <v>2444</v>
      </c>
    </row>
    <row r="508" customFormat="false" ht="15" hidden="false" customHeight="true" outlineLevel="0" collapsed="false">
      <c r="A508" s="0" t="n">
        <v>2</v>
      </c>
      <c r="B508" s="71" t="n">
        <v>46182</v>
      </c>
      <c r="C508" s="0" t="n">
        <v>6</v>
      </c>
      <c r="D508" s="0" t="s">
        <v>2553</v>
      </c>
      <c r="E508" s="0" t="n">
        <v>48</v>
      </c>
      <c r="F508" s="0" t="s">
        <v>153</v>
      </c>
      <c r="I508" s="0" t="n">
        <v>2487</v>
      </c>
      <c r="J508" s="0" t="n">
        <v>100113</v>
      </c>
      <c r="K508" s="0" t="n">
        <v>114</v>
      </c>
      <c r="L508" s="0" t="s">
        <v>2539</v>
      </c>
      <c r="N508" s="0" t="n">
        <v>20</v>
      </c>
      <c r="O508" s="0" t="n">
        <v>40</v>
      </c>
      <c r="P508" s="0" t="s">
        <v>2444</v>
      </c>
    </row>
    <row r="509" customFormat="false" ht="15" hidden="false" customHeight="true" outlineLevel="0" collapsed="false">
      <c r="A509" s="0" t="n">
        <v>2</v>
      </c>
      <c r="B509" s="71" t="n">
        <v>46182</v>
      </c>
      <c r="C509" s="0" t="n">
        <v>6</v>
      </c>
      <c r="D509" s="0" t="s">
        <v>2553</v>
      </c>
      <c r="E509" s="0" t="n">
        <v>48</v>
      </c>
      <c r="F509" s="0" t="s">
        <v>153</v>
      </c>
      <c r="I509" s="0" t="n">
        <v>2487</v>
      </c>
      <c r="J509" s="0" t="n">
        <v>100115</v>
      </c>
      <c r="K509" s="0" t="n">
        <v>116</v>
      </c>
      <c r="L509" s="0" t="s">
        <v>2694</v>
      </c>
      <c r="N509" s="0" t="n">
        <v>10</v>
      </c>
      <c r="O509" s="0" t="n">
        <v>66.6</v>
      </c>
      <c r="P509" s="0" t="s">
        <v>2444</v>
      </c>
    </row>
    <row r="510" customFormat="false" ht="15" hidden="false" customHeight="true" outlineLevel="0" collapsed="false">
      <c r="A510" s="0" t="n">
        <v>2</v>
      </c>
      <c r="B510" s="71" t="n">
        <v>46182</v>
      </c>
      <c r="C510" s="0" t="n">
        <v>6</v>
      </c>
      <c r="D510" s="0" t="s">
        <v>2553</v>
      </c>
      <c r="E510" s="0" t="n">
        <v>48</v>
      </c>
      <c r="F510" s="0" t="s">
        <v>153</v>
      </c>
      <c r="I510" s="0" t="n">
        <v>2487</v>
      </c>
      <c r="J510" s="0" t="n">
        <v>100121</v>
      </c>
      <c r="K510" s="0" t="n">
        <v>122</v>
      </c>
      <c r="L510" s="0" t="s">
        <v>2542</v>
      </c>
      <c r="N510" s="0" t="n">
        <v>3</v>
      </c>
      <c r="O510" s="0" t="n">
        <v>54</v>
      </c>
      <c r="P510" s="0" t="s">
        <v>2444</v>
      </c>
    </row>
    <row r="511" customFormat="false" ht="15" hidden="false" customHeight="true" outlineLevel="0" collapsed="false">
      <c r="A511" s="0" t="n">
        <v>2</v>
      </c>
      <c r="B511" s="71" t="n">
        <v>46182</v>
      </c>
      <c r="C511" s="0" t="n">
        <v>6</v>
      </c>
      <c r="D511" s="0" t="s">
        <v>2553</v>
      </c>
      <c r="E511" s="0" t="n">
        <v>48</v>
      </c>
      <c r="F511" s="0" t="s">
        <v>153</v>
      </c>
      <c r="I511" s="0" t="n">
        <v>2487</v>
      </c>
      <c r="J511" s="0" t="n">
        <v>100122</v>
      </c>
      <c r="K511" s="0" t="n">
        <v>123</v>
      </c>
      <c r="L511" s="0" t="s">
        <v>2543</v>
      </c>
      <c r="N511" s="0" t="n">
        <v>3</v>
      </c>
      <c r="O511" s="0" t="n">
        <v>54</v>
      </c>
      <c r="P511" s="0" t="s">
        <v>2444</v>
      </c>
    </row>
    <row r="512" customFormat="false" ht="15" hidden="false" customHeight="true" outlineLevel="0" collapsed="false">
      <c r="A512" s="0" t="n">
        <v>2</v>
      </c>
      <c r="B512" s="71" t="n">
        <v>46182</v>
      </c>
      <c r="C512" s="0" t="n">
        <v>6</v>
      </c>
      <c r="D512" s="0" t="s">
        <v>2553</v>
      </c>
      <c r="E512" s="0" t="n">
        <v>48</v>
      </c>
      <c r="F512" s="0" t="s">
        <v>153</v>
      </c>
      <c r="I512" s="0" t="n">
        <v>2487</v>
      </c>
      <c r="J512" s="0" t="n">
        <v>100124</v>
      </c>
      <c r="K512" s="0" t="n">
        <v>125</v>
      </c>
      <c r="L512" s="0" t="s">
        <v>2695</v>
      </c>
      <c r="N512" s="0" t="n">
        <v>5</v>
      </c>
      <c r="O512" s="0" t="n">
        <v>55</v>
      </c>
      <c r="P512" s="0" t="s">
        <v>2444</v>
      </c>
    </row>
    <row r="513" customFormat="false" ht="15" hidden="false" customHeight="true" outlineLevel="0" collapsed="false">
      <c r="A513" s="0" t="n">
        <v>2</v>
      </c>
      <c r="B513" s="71" t="n">
        <v>46182</v>
      </c>
      <c r="C513" s="0" t="n">
        <v>6</v>
      </c>
      <c r="D513" s="0" t="s">
        <v>2553</v>
      </c>
      <c r="E513" s="0" t="n">
        <v>48</v>
      </c>
      <c r="F513" s="0" t="s">
        <v>153</v>
      </c>
      <c r="I513" s="0" t="n">
        <v>2487</v>
      </c>
      <c r="J513" s="0" t="n">
        <v>100129</v>
      </c>
      <c r="K513" s="0" t="n">
        <v>130</v>
      </c>
      <c r="L513" s="0" t="s">
        <v>2598</v>
      </c>
      <c r="N513" s="0" t="n">
        <v>13</v>
      </c>
      <c r="O513" s="0" t="n">
        <v>80</v>
      </c>
      <c r="P513" s="0" t="s">
        <v>2444</v>
      </c>
    </row>
    <row r="514" customFormat="false" ht="15" hidden="false" customHeight="true" outlineLevel="0" collapsed="false">
      <c r="A514" s="0" t="n">
        <v>2</v>
      </c>
      <c r="B514" s="71" t="n">
        <v>46182</v>
      </c>
      <c r="C514" s="0" t="n">
        <v>6</v>
      </c>
      <c r="D514" s="0" t="s">
        <v>2553</v>
      </c>
      <c r="E514" s="0" t="n">
        <v>48</v>
      </c>
      <c r="F514" s="0" t="s">
        <v>153</v>
      </c>
      <c r="I514" s="0" t="n">
        <v>2487</v>
      </c>
      <c r="J514" s="0" t="n">
        <v>100132</v>
      </c>
      <c r="K514" s="0" t="n">
        <v>133</v>
      </c>
      <c r="L514" s="0" t="s">
        <v>2546</v>
      </c>
      <c r="N514" s="0" t="n">
        <v>56</v>
      </c>
      <c r="O514" s="0" t="n">
        <v>150</v>
      </c>
      <c r="P514" s="0" t="s">
        <v>2444</v>
      </c>
    </row>
    <row r="515" customFormat="false" ht="15" hidden="false" customHeight="true" outlineLevel="0" collapsed="false">
      <c r="A515" s="0" t="n">
        <v>2</v>
      </c>
      <c r="B515" s="71" t="n">
        <v>46182</v>
      </c>
      <c r="C515" s="0" t="n">
        <v>6</v>
      </c>
      <c r="D515" s="0" t="s">
        <v>2553</v>
      </c>
      <c r="E515" s="0" t="n">
        <v>48</v>
      </c>
      <c r="F515" s="0" t="s">
        <v>153</v>
      </c>
      <c r="I515" s="0" t="n">
        <v>2487</v>
      </c>
      <c r="J515" s="0" t="n">
        <v>100133</v>
      </c>
      <c r="K515" s="0" t="n">
        <v>134</v>
      </c>
      <c r="L515" s="0" t="s">
        <v>2547</v>
      </c>
      <c r="N515" s="0" t="n">
        <v>15</v>
      </c>
      <c r="O515" s="0" t="n">
        <v>37.5</v>
      </c>
      <c r="P515" s="0" t="s">
        <v>2444</v>
      </c>
    </row>
    <row r="516" customFormat="false" ht="15" hidden="false" customHeight="true" outlineLevel="0" collapsed="false">
      <c r="A516" s="0" t="n">
        <v>2</v>
      </c>
      <c r="B516" s="71" t="n">
        <v>46182</v>
      </c>
      <c r="C516" s="0" t="n">
        <v>6</v>
      </c>
      <c r="D516" s="0" t="s">
        <v>2553</v>
      </c>
      <c r="E516" s="0" t="n">
        <v>48</v>
      </c>
      <c r="F516" s="0" t="s">
        <v>153</v>
      </c>
      <c r="I516" s="0" t="n">
        <v>2487</v>
      </c>
      <c r="J516" s="0" t="n">
        <v>100148</v>
      </c>
      <c r="K516" s="0" t="n">
        <v>149</v>
      </c>
      <c r="L516" s="0" t="s">
        <v>2600</v>
      </c>
      <c r="N516" s="0" t="n">
        <v>13</v>
      </c>
      <c r="O516" s="0" t="n">
        <v>122.72</v>
      </c>
      <c r="P516" s="0" t="s">
        <v>2444</v>
      </c>
    </row>
    <row r="517" customFormat="false" ht="15" hidden="false" customHeight="true" outlineLevel="0" collapsed="false">
      <c r="A517" s="0" t="n">
        <v>2</v>
      </c>
      <c r="B517" s="71" t="n">
        <v>46182</v>
      </c>
      <c r="C517" s="0" t="n">
        <v>6</v>
      </c>
      <c r="D517" s="0" t="s">
        <v>2553</v>
      </c>
      <c r="E517" s="0" t="n">
        <v>48</v>
      </c>
      <c r="F517" s="0" t="s">
        <v>153</v>
      </c>
      <c r="I517" s="0" t="n">
        <v>2487</v>
      </c>
      <c r="J517" s="0" t="n">
        <v>100227</v>
      </c>
      <c r="K517" s="0" t="n">
        <v>40538</v>
      </c>
      <c r="L517" s="0" t="s">
        <v>2548</v>
      </c>
      <c r="N517" s="0" t="n">
        <v>15</v>
      </c>
      <c r="O517" s="0" t="n">
        <v>67.5</v>
      </c>
      <c r="P517" s="0" t="s">
        <v>2444</v>
      </c>
    </row>
    <row r="518" customFormat="false" ht="15" hidden="false" customHeight="true" outlineLevel="0" collapsed="false">
      <c r="A518" s="0" t="n">
        <v>2</v>
      </c>
      <c r="B518" s="71" t="n">
        <v>46182</v>
      </c>
      <c r="C518" s="0" t="n">
        <v>6</v>
      </c>
      <c r="D518" s="0" t="s">
        <v>2553</v>
      </c>
      <c r="E518" s="0" t="n">
        <v>48</v>
      </c>
      <c r="F518" s="0" t="s">
        <v>153</v>
      </c>
      <c r="I518" s="0" t="n">
        <v>2487</v>
      </c>
      <c r="J518" s="0" t="n">
        <v>110142</v>
      </c>
      <c r="K518" s="0" t="n">
        <v>16699</v>
      </c>
      <c r="L518" s="0" t="s">
        <v>2549</v>
      </c>
      <c r="N518" s="0" t="n">
        <v>40</v>
      </c>
      <c r="O518" s="0" t="n">
        <v>250</v>
      </c>
      <c r="P518" s="0" t="s">
        <v>2444</v>
      </c>
    </row>
    <row r="519" customFormat="false" ht="15" hidden="false" customHeight="true" outlineLevel="0" collapsed="false">
      <c r="A519" s="0" t="n">
        <v>2</v>
      </c>
      <c r="B519" s="71" t="n">
        <v>46182</v>
      </c>
      <c r="C519" s="0" t="n">
        <v>6</v>
      </c>
      <c r="D519" s="0" t="s">
        <v>2553</v>
      </c>
      <c r="E519" s="0" t="n">
        <v>48</v>
      </c>
      <c r="F519" s="0" t="s">
        <v>153</v>
      </c>
      <c r="I519" s="0" t="n">
        <v>2487</v>
      </c>
      <c r="J519" s="0" t="n">
        <v>110374</v>
      </c>
      <c r="K519" s="0" t="n">
        <v>48077</v>
      </c>
      <c r="L519" s="0" t="s">
        <v>2696</v>
      </c>
      <c r="N519" s="0" t="n">
        <v>5</v>
      </c>
      <c r="O519" s="0" t="n">
        <v>35</v>
      </c>
      <c r="P519" s="0" t="s">
        <v>2444</v>
      </c>
    </row>
    <row r="520" customFormat="false" ht="15" hidden="false" customHeight="true" outlineLevel="0" collapsed="false">
      <c r="A520" s="0" t="n">
        <v>2</v>
      </c>
      <c r="B520" s="71" t="n">
        <v>46182</v>
      </c>
      <c r="C520" s="0" t="n">
        <v>6</v>
      </c>
      <c r="D520" s="0" t="s">
        <v>2553</v>
      </c>
      <c r="E520" s="0" t="n">
        <v>48</v>
      </c>
      <c r="F520" s="0" t="s">
        <v>153</v>
      </c>
      <c r="I520" s="0" t="n">
        <v>2487</v>
      </c>
      <c r="J520" s="0" t="n">
        <v>110489</v>
      </c>
      <c r="K520" s="0" t="n">
        <v>54743</v>
      </c>
      <c r="L520" s="0" t="s">
        <v>2550</v>
      </c>
      <c r="N520" s="0" t="n">
        <v>40</v>
      </c>
      <c r="O520" s="0" t="n">
        <v>240</v>
      </c>
      <c r="P520" s="0" t="s">
        <v>2444</v>
      </c>
    </row>
    <row r="521" customFormat="false" ht="15" hidden="false" customHeight="true" outlineLevel="0" collapsed="false">
      <c r="A521" s="0" t="n">
        <v>2</v>
      </c>
      <c r="B521" s="71" t="n">
        <v>46182</v>
      </c>
      <c r="C521" s="0" t="n">
        <v>6</v>
      </c>
      <c r="D521" s="0" t="s">
        <v>2553</v>
      </c>
      <c r="E521" s="0" t="n">
        <v>48</v>
      </c>
      <c r="F521" s="0" t="s">
        <v>153</v>
      </c>
      <c r="I521" s="0" t="n">
        <v>2487</v>
      </c>
      <c r="J521" s="0" t="n">
        <v>80078</v>
      </c>
      <c r="K521" s="0" t="n">
        <v>710</v>
      </c>
      <c r="L521" s="0" t="s">
        <v>2551</v>
      </c>
      <c r="N521" s="0" t="n">
        <v>10</v>
      </c>
      <c r="O521" s="0" t="n">
        <v>30</v>
      </c>
      <c r="P521" s="0" t="s">
        <v>2444</v>
      </c>
    </row>
    <row r="522" customFormat="false" ht="15" hidden="false" customHeight="true" outlineLevel="0" collapsed="false">
      <c r="A522" s="0" t="n">
        <v>2</v>
      </c>
      <c r="B522" s="71" t="n">
        <v>46182</v>
      </c>
      <c r="C522" s="0" t="n">
        <v>11</v>
      </c>
      <c r="D522" s="0" t="s">
        <v>2471</v>
      </c>
      <c r="E522" s="0" t="n">
        <v>974</v>
      </c>
      <c r="F522" s="0" t="s">
        <v>709</v>
      </c>
      <c r="I522" s="0" t="n">
        <v>420</v>
      </c>
      <c r="J522" s="0" t="n">
        <v>62990</v>
      </c>
      <c r="K522" s="0" t="n">
        <v>2259185</v>
      </c>
      <c r="L522" s="0" t="s">
        <v>2697</v>
      </c>
      <c r="N522" s="0" t="n">
        <v>19</v>
      </c>
      <c r="O522" s="0" t="n">
        <v>95</v>
      </c>
      <c r="P522" s="0" t="s">
        <v>2444</v>
      </c>
    </row>
    <row r="523" customFormat="false" ht="15" hidden="false" customHeight="true" outlineLevel="0" collapsed="false">
      <c r="A523" s="0" t="n">
        <v>2</v>
      </c>
      <c r="B523" s="71" t="n">
        <v>46182</v>
      </c>
      <c r="C523" s="0" t="n">
        <v>11</v>
      </c>
      <c r="D523" s="0" t="s">
        <v>2471</v>
      </c>
      <c r="E523" s="0" t="n">
        <v>974</v>
      </c>
      <c r="F523" s="0" t="s">
        <v>709</v>
      </c>
      <c r="I523" s="0" t="n">
        <v>420</v>
      </c>
      <c r="J523" s="0" t="n">
        <v>72533</v>
      </c>
      <c r="K523" s="0" t="n">
        <v>6947802332196</v>
      </c>
      <c r="L523" s="0" t="s">
        <v>2698</v>
      </c>
      <c r="N523" s="0" t="n">
        <v>2</v>
      </c>
      <c r="O523" s="0" t="n">
        <v>40</v>
      </c>
      <c r="P523" s="0" t="s">
        <v>2444</v>
      </c>
    </row>
    <row r="524" customFormat="false" ht="15" hidden="false" customHeight="true" outlineLevel="0" collapsed="false">
      <c r="A524" s="0" t="n">
        <v>2</v>
      </c>
      <c r="B524" s="71" t="n">
        <v>46182</v>
      </c>
      <c r="C524" s="0" t="n">
        <v>11</v>
      </c>
      <c r="D524" s="0" t="s">
        <v>2471</v>
      </c>
      <c r="E524" s="0" t="n">
        <v>974</v>
      </c>
      <c r="F524" s="0" t="s">
        <v>709</v>
      </c>
      <c r="I524" s="0" t="n">
        <v>420</v>
      </c>
      <c r="J524" s="0" t="n">
        <v>72886</v>
      </c>
      <c r="K524" s="0" t="n">
        <v>7801489506648</v>
      </c>
      <c r="L524" s="0" t="s">
        <v>2699</v>
      </c>
      <c r="N524" s="0" t="n">
        <v>4</v>
      </c>
      <c r="O524" s="0" t="n">
        <v>16</v>
      </c>
      <c r="P524" s="0" t="s">
        <v>2444</v>
      </c>
    </row>
    <row r="525" customFormat="false" ht="15" hidden="false" customHeight="true" outlineLevel="0" collapsed="false">
      <c r="A525" s="0" t="n">
        <v>2</v>
      </c>
      <c r="B525" s="71" t="n">
        <v>46182</v>
      </c>
      <c r="C525" s="0" t="n">
        <v>11</v>
      </c>
      <c r="D525" s="0" t="s">
        <v>2471</v>
      </c>
      <c r="E525" s="0" t="n">
        <v>974</v>
      </c>
      <c r="F525" s="0" t="s">
        <v>709</v>
      </c>
      <c r="I525" s="0" t="n">
        <v>420</v>
      </c>
      <c r="J525" s="0" t="n">
        <v>72891</v>
      </c>
      <c r="K525" s="0" t="n">
        <v>811316</v>
      </c>
      <c r="L525" s="0" t="s">
        <v>2700</v>
      </c>
      <c r="N525" s="0" t="n">
        <v>40</v>
      </c>
      <c r="O525" s="0" t="n">
        <v>280</v>
      </c>
      <c r="P525" s="0" t="s">
        <v>2444</v>
      </c>
    </row>
    <row r="526" customFormat="false" ht="15" hidden="false" customHeight="true" outlineLevel="0" collapsed="false">
      <c r="A526" s="0" t="n">
        <v>2</v>
      </c>
      <c r="B526" s="71" t="n">
        <v>46182</v>
      </c>
      <c r="C526" s="0" t="n">
        <v>11</v>
      </c>
      <c r="D526" s="0" t="s">
        <v>2471</v>
      </c>
      <c r="E526" s="0" t="n">
        <v>974</v>
      </c>
      <c r="F526" s="0" t="s">
        <v>709</v>
      </c>
      <c r="I526" s="0" t="n">
        <v>420</v>
      </c>
      <c r="J526" s="0" t="n">
        <v>75369</v>
      </c>
      <c r="K526" s="0" t="n">
        <v>2268750</v>
      </c>
      <c r="L526" s="0" t="s">
        <v>2701</v>
      </c>
      <c r="N526" s="0" t="n">
        <v>18</v>
      </c>
      <c r="O526" s="0" t="n">
        <v>90</v>
      </c>
      <c r="P526" s="0" t="s">
        <v>2444</v>
      </c>
    </row>
    <row r="527" customFormat="false" ht="15" hidden="false" customHeight="true" outlineLevel="0" collapsed="false">
      <c r="A527" s="0" t="n">
        <v>2</v>
      </c>
      <c r="B527" s="71" t="n">
        <v>46182</v>
      </c>
      <c r="C527" s="0" t="n">
        <v>11</v>
      </c>
      <c r="D527" s="0" t="s">
        <v>2471</v>
      </c>
      <c r="E527" s="0" t="n">
        <v>974</v>
      </c>
      <c r="F527" s="0" t="s">
        <v>709</v>
      </c>
      <c r="I527" s="0" t="n">
        <v>420</v>
      </c>
      <c r="J527" s="0" t="n">
        <v>77148</v>
      </c>
      <c r="K527" s="0" t="n">
        <v>2270302</v>
      </c>
      <c r="L527" s="0" t="s">
        <v>2702</v>
      </c>
      <c r="N527" s="0" t="n">
        <v>39</v>
      </c>
      <c r="O527" s="0" t="n">
        <v>312</v>
      </c>
      <c r="P527" s="0" t="s">
        <v>2444</v>
      </c>
    </row>
    <row r="528" customFormat="false" ht="15" hidden="false" customHeight="true" outlineLevel="0" collapsed="false">
      <c r="A528" s="0" t="n">
        <v>2</v>
      </c>
      <c r="B528" s="71" t="n">
        <v>46182</v>
      </c>
      <c r="C528" s="0" t="n">
        <v>11</v>
      </c>
      <c r="D528" s="0" t="s">
        <v>2471</v>
      </c>
      <c r="E528" s="0" t="n">
        <v>974</v>
      </c>
      <c r="F528" s="0" t="s">
        <v>709</v>
      </c>
      <c r="I528" s="0" t="n">
        <v>420</v>
      </c>
      <c r="J528" s="0" t="n">
        <v>78525</v>
      </c>
      <c r="K528" s="0" t="n">
        <v>6941797509564</v>
      </c>
      <c r="L528" s="0" t="s">
        <v>2703</v>
      </c>
      <c r="N528" s="0" t="n">
        <v>24</v>
      </c>
      <c r="O528" s="0" t="n">
        <v>100</v>
      </c>
      <c r="P528" s="0" t="s">
        <v>2444</v>
      </c>
    </row>
    <row r="529" customFormat="false" ht="15" hidden="false" customHeight="true" outlineLevel="0" collapsed="false">
      <c r="A529" s="0" t="n">
        <v>2</v>
      </c>
      <c r="B529" s="71" t="n">
        <v>46182</v>
      </c>
      <c r="C529" s="0" t="n">
        <v>11</v>
      </c>
      <c r="D529" s="0" t="s">
        <v>2471</v>
      </c>
      <c r="E529" s="0" t="n">
        <v>974</v>
      </c>
      <c r="F529" s="0" t="s">
        <v>709</v>
      </c>
      <c r="I529" s="0" t="n">
        <v>420</v>
      </c>
      <c r="J529" s="0" t="n">
        <v>79509</v>
      </c>
      <c r="K529" s="0" t="n">
        <v>6901489560778</v>
      </c>
      <c r="L529" s="0" t="s">
        <v>2704</v>
      </c>
      <c r="N529" s="0" t="n">
        <v>24</v>
      </c>
      <c r="O529" s="0" t="n">
        <v>56</v>
      </c>
      <c r="P529" s="0" t="s">
        <v>2444</v>
      </c>
    </row>
    <row r="530" customFormat="false" ht="15" hidden="false" customHeight="true" outlineLevel="0" collapsed="false">
      <c r="A530" s="0" t="n">
        <v>2</v>
      </c>
      <c r="B530" s="71" t="n">
        <v>46182</v>
      </c>
      <c r="C530" s="0" t="n">
        <v>11</v>
      </c>
      <c r="D530" s="0" t="s">
        <v>2471</v>
      </c>
      <c r="E530" s="0" t="n">
        <v>974</v>
      </c>
      <c r="F530" s="0" t="s">
        <v>709</v>
      </c>
      <c r="I530" s="0" t="n">
        <v>420</v>
      </c>
      <c r="J530" s="0" t="n">
        <v>80971</v>
      </c>
      <c r="K530" s="0" t="n">
        <v>7845675251356</v>
      </c>
      <c r="L530" s="0" t="s">
        <v>2705</v>
      </c>
      <c r="N530" s="0" t="n">
        <v>7</v>
      </c>
      <c r="O530" s="0" t="n">
        <v>91</v>
      </c>
      <c r="P530" s="0" t="s">
        <v>2444</v>
      </c>
    </row>
    <row r="531" customFormat="false" ht="15" hidden="false" customHeight="true" outlineLevel="0" collapsed="false">
      <c r="A531" s="0" t="n">
        <v>2</v>
      </c>
      <c r="B531" s="71" t="n">
        <v>46182</v>
      </c>
      <c r="C531" s="0" t="n">
        <v>11</v>
      </c>
      <c r="D531" s="0" t="s">
        <v>2471</v>
      </c>
      <c r="E531" s="0" t="n">
        <v>974</v>
      </c>
      <c r="F531" s="0" t="s">
        <v>709</v>
      </c>
      <c r="I531" s="0" t="n">
        <v>420</v>
      </c>
      <c r="J531" s="0" t="n">
        <v>81132</v>
      </c>
      <c r="K531" s="0" t="n">
        <v>811330</v>
      </c>
      <c r="L531" s="0" t="s">
        <v>2706</v>
      </c>
      <c r="N531" s="0" t="n">
        <v>12</v>
      </c>
      <c r="O531" s="0" t="n">
        <v>35</v>
      </c>
      <c r="P531" s="0" t="s">
        <v>2444</v>
      </c>
    </row>
    <row r="532" customFormat="false" ht="15" hidden="false" customHeight="true" outlineLevel="0" collapsed="false">
      <c r="A532" s="0" t="n">
        <v>2</v>
      </c>
      <c r="B532" s="71" t="n">
        <v>46182</v>
      </c>
      <c r="C532" s="0" t="n">
        <v>11</v>
      </c>
      <c r="D532" s="0" t="s">
        <v>2471</v>
      </c>
      <c r="E532" s="0" t="n">
        <v>974</v>
      </c>
      <c r="F532" s="0" t="s">
        <v>709</v>
      </c>
      <c r="I532" s="0" t="n">
        <v>420</v>
      </c>
      <c r="J532" s="0" t="n">
        <v>81136</v>
      </c>
      <c r="K532" s="0" t="n">
        <v>6976119400601</v>
      </c>
      <c r="L532" s="0" t="s">
        <v>2707</v>
      </c>
      <c r="N532" s="0" t="n">
        <v>10</v>
      </c>
      <c r="O532" s="0" t="n">
        <v>130</v>
      </c>
      <c r="P532" s="0" t="s">
        <v>2444</v>
      </c>
    </row>
    <row r="533" customFormat="false" ht="15" hidden="false" customHeight="true" outlineLevel="0" collapsed="false">
      <c r="A533" s="0" t="n">
        <v>2</v>
      </c>
      <c r="B533" s="71" t="n">
        <v>46182</v>
      </c>
      <c r="C533" s="0" t="n">
        <v>11</v>
      </c>
      <c r="D533" s="0" t="s">
        <v>2471</v>
      </c>
      <c r="E533" s="0" t="n">
        <v>974</v>
      </c>
      <c r="F533" s="0" t="s">
        <v>709</v>
      </c>
      <c r="I533" s="0" t="n">
        <v>420</v>
      </c>
      <c r="J533" s="0" t="n">
        <v>81151</v>
      </c>
      <c r="K533" s="0" t="n">
        <v>7907531560009</v>
      </c>
      <c r="L533" s="0" t="s">
        <v>2708</v>
      </c>
      <c r="N533" s="0" t="n">
        <v>12</v>
      </c>
      <c r="O533" s="0" t="n">
        <v>60</v>
      </c>
      <c r="P533" s="0" t="s">
        <v>2444</v>
      </c>
    </row>
    <row r="534" customFormat="false" ht="15" hidden="false" customHeight="true" outlineLevel="0" collapsed="false">
      <c r="A534" s="0" t="n">
        <v>2</v>
      </c>
      <c r="B534" s="71" t="n">
        <v>46182</v>
      </c>
      <c r="C534" s="0" t="n">
        <v>11</v>
      </c>
      <c r="D534" s="0" t="s">
        <v>2471</v>
      </c>
      <c r="E534" s="0" t="n">
        <v>974</v>
      </c>
      <c r="F534" s="0" t="s">
        <v>709</v>
      </c>
      <c r="I534" s="0" t="n">
        <v>420</v>
      </c>
      <c r="J534" s="0" t="n">
        <v>81152</v>
      </c>
      <c r="K534" s="0" t="n">
        <v>7845675251301</v>
      </c>
      <c r="L534" s="0" t="s">
        <v>2709</v>
      </c>
      <c r="N534" s="0" t="n">
        <v>3</v>
      </c>
      <c r="O534" s="0" t="n">
        <v>60</v>
      </c>
      <c r="P534" s="0" t="s">
        <v>2444</v>
      </c>
    </row>
    <row r="535" customFormat="false" ht="15" hidden="false" customHeight="true" outlineLevel="0" collapsed="false">
      <c r="A535" s="0" t="n">
        <v>2</v>
      </c>
      <c r="B535" s="71" t="n">
        <v>46182</v>
      </c>
      <c r="C535" s="0" t="n">
        <v>11</v>
      </c>
      <c r="D535" s="0" t="s">
        <v>2471</v>
      </c>
      <c r="E535" s="0" t="n">
        <v>974</v>
      </c>
      <c r="F535" s="0" t="s">
        <v>709</v>
      </c>
      <c r="I535" s="0" t="n">
        <v>420</v>
      </c>
      <c r="J535" s="0" t="n">
        <v>81153</v>
      </c>
      <c r="K535" s="0" t="n">
        <v>811545</v>
      </c>
      <c r="L535" s="0" t="s">
        <v>2710</v>
      </c>
      <c r="N535" s="0" t="n">
        <v>2</v>
      </c>
      <c r="O535" s="0" t="n">
        <v>12</v>
      </c>
      <c r="P535" s="0" t="s">
        <v>2444</v>
      </c>
    </row>
    <row r="536" customFormat="false" ht="15" hidden="false" customHeight="true" outlineLevel="0" collapsed="false">
      <c r="A536" s="0" t="n">
        <v>2</v>
      </c>
      <c r="B536" s="71" t="n">
        <v>46183</v>
      </c>
      <c r="C536" s="0" t="n">
        <v>1</v>
      </c>
      <c r="D536" s="0" t="s">
        <v>2442</v>
      </c>
      <c r="E536" s="0" t="n">
        <v>10035</v>
      </c>
      <c r="F536" s="0" t="s">
        <v>86</v>
      </c>
      <c r="I536" s="0" t="n">
        <v>297</v>
      </c>
      <c r="J536" s="0" t="n">
        <v>38652</v>
      </c>
      <c r="K536" s="0" t="n">
        <v>7898994684220</v>
      </c>
      <c r="L536" s="0" t="s">
        <v>2711</v>
      </c>
      <c r="N536" s="0" t="n">
        <v>15</v>
      </c>
      <c r="O536" s="0" t="n">
        <v>127.5</v>
      </c>
      <c r="P536" s="0" t="s">
        <v>2444</v>
      </c>
    </row>
    <row r="537" customFormat="false" ht="15" hidden="false" customHeight="true" outlineLevel="0" collapsed="false">
      <c r="A537" s="0" t="n">
        <v>2</v>
      </c>
      <c r="B537" s="71" t="n">
        <v>46183</v>
      </c>
      <c r="C537" s="0" t="n">
        <v>1</v>
      </c>
      <c r="D537" s="0" t="s">
        <v>2442</v>
      </c>
      <c r="E537" s="0" t="n">
        <v>10035</v>
      </c>
      <c r="F537" s="0" t="s">
        <v>86</v>
      </c>
      <c r="I537" s="0" t="n">
        <v>297</v>
      </c>
      <c r="J537" s="0" t="n">
        <v>38653</v>
      </c>
      <c r="K537" s="0" t="n">
        <v>7898994684275</v>
      </c>
      <c r="L537" s="0" t="s">
        <v>2712</v>
      </c>
      <c r="N537" s="0" t="n">
        <v>15</v>
      </c>
      <c r="O537" s="0" t="n">
        <v>63</v>
      </c>
      <c r="P537" s="0" t="s">
        <v>2444</v>
      </c>
    </row>
    <row r="538" customFormat="false" ht="15" hidden="false" customHeight="true" outlineLevel="0" collapsed="false">
      <c r="A538" s="0" t="n">
        <v>2</v>
      </c>
      <c r="B538" s="71" t="n">
        <v>46183</v>
      </c>
      <c r="C538" s="0" t="n">
        <v>1</v>
      </c>
      <c r="D538" s="0" t="s">
        <v>2442</v>
      </c>
      <c r="E538" s="0" t="n">
        <v>1783</v>
      </c>
      <c r="F538" s="0" t="s">
        <v>340</v>
      </c>
      <c r="I538" s="0" t="n">
        <v>502</v>
      </c>
      <c r="J538" s="0" t="n">
        <v>39453</v>
      </c>
      <c r="K538" s="0" t="n">
        <v>4901088061111</v>
      </c>
      <c r="L538" s="0" t="s">
        <v>2713</v>
      </c>
      <c r="N538" s="0" t="n">
        <v>96</v>
      </c>
      <c r="O538" s="0" t="n">
        <v>160.32</v>
      </c>
      <c r="P538" s="0" t="s">
        <v>2444</v>
      </c>
    </row>
    <row r="539" customFormat="false" ht="15" hidden="false" customHeight="true" outlineLevel="0" collapsed="false">
      <c r="A539" s="0" t="n">
        <v>2</v>
      </c>
      <c r="B539" s="71" t="n">
        <v>46183</v>
      </c>
      <c r="C539" s="0" t="n">
        <v>1</v>
      </c>
      <c r="D539" s="0" t="s">
        <v>2442</v>
      </c>
      <c r="E539" s="0" t="n">
        <v>560</v>
      </c>
      <c r="F539" s="0" t="s">
        <v>453</v>
      </c>
      <c r="I539" s="0" t="n">
        <v>1616</v>
      </c>
      <c r="J539" s="0" t="n">
        <v>72591</v>
      </c>
      <c r="K539" s="0" t="n">
        <v>7891985925401</v>
      </c>
      <c r="L539" s="0" t="s">
        <v>2714</v>
      </c>
      <c r="N539" s="0" t="n">
        <v>50</v>
      </c>
      <c r="O539" s="0" t="n">
        <v>250</v>
      </c>
      <c r="P539" s="0" t="s">
        <v>2444</v>
      </c>
    </row>
    <row r="540" customFormat="false" ht="15" hidden="false" customHeight="true" outlineLevel="0" collapsed="false">
      <c r="A540" s="0" t="n">
        <v>2</v>
      </c>
      <c r="B540" s="71" t="n">
        <v>46183</v>
      </c>
      <c r="C540" s="0" t="n">
        <v>1</v>
      </c>
      <c r="D540" s="0" t="s">
        <v>2442</v>
      </c>
      <c r="E540" s="0" t="n">
        <v>1038</v>
      </c>
      <c r="F540" s="0" t="s">
        <v>149</v>
      </c>
      <c r="I540" s="0" t="n">
        <v>5967</v>
      </c>
      <c r="J540" s="0" t="n">
        <v>61580</v>
      </c>
      <c r="K540" s="0" t="n">
        <v>2258157</v>
      </c>
      <c r="L540" s="0" t="s">
        <v>2509</v>
      </c>
      <c r="N540" s="0" t="n">
        <v>15</v>
      </c>
      <c r="O540" s="0" t="n">
        <v>180</v>
      </c>
      <c r="P540" s="0" t="s">
        <v>2444</v>
      </c>
    </row>
    <row r="541" customFormat="false" ht="15" hidden="false" customHeight="true" outlineLevel="0" collapsed="false">
      <c r="A541" s="0" t="n">
        <v>2</v>
      </c>
      <c r="B541" s="71" t="n">
        <v>46183</v>
      </c>
      <c r="C541" s="0" t="n">
        <v>1</v>
      </c>
      <c r="D541" s="0" t="s">
        <v>2442</v>
      </c>
      <c r="E541" s="0" t="n">
        <v>1038</v>
      </c>
      <c r="F541" s="0" t="s">
        <v>149</v>
      </c>
      <c r="I541" s="0" t="n">
        <v>5967</v>
      </c>
      <c r="J541" s="0" t="n">
        <v>61597</v>
      </c>
      <c r="K541" s="0" t="n">
        <v>2258188</v>
      </c>
      <c r="L541" s="0" t="s">
        <v>2510</v>
      </c>
      <c r="N541" s="0" t="n">
        <v>5</v>
      </c>
      <c r="O541" s="0" t="n">
        <v>20</v>
      </c>
      <c r="P541" s="0" t="s">
        <v>2444</v>
      </c>
    </row>
    <row r="542" customFormat="false" ht="15" hidden="false" customHeight="true" outlineLevel="0" collapsed="false">
      <c r="A542" s="0" t="n">
        <v>2</v>
      </c>
      <c r="B542" s="71" t="n">
        <v>46183</v>
      </c>
      <c r="C542" s="0" t="n">
        <v>1</v>
      </c>
      <c r="D542" s="0" t="s">
        <v>2442</v>
      </c>
      <c r="E542" s="0" t="n">
        <v>1625</v>
      </c>
      <c r="F542" s="0" t="s">
        <v>270</v>
      </c>
      <c r="I542" s="0" t="n">
        <v>14437</v>
      </c>
      <c r="J542" s="0" t="n">
        <v>29079</v>
      </c>
      <c r="K542" s="0" t="n">
        <v>55515</v>
      </c>
      <c r="L542" s="0" t="s">
        <v>2449</v>
      </c>
      <c r="N542" s="0" t="n">
        <v>76.3</v>
      </c>
      <c r="O542" s="0" t="n">
        <v>2441.6</v>
      </c>
      <c r="P542" s="0" t="s">
        <v>2444</v>
      </c>
    </row>
    <row r="543" customFormat="false" ht="15" hidden="false" customHeight="true" outlineLevel="0" collapsed="false">
      <c r="A543" s="0" t="n">
        <v>2</v>
      </c>
      <c r="B543" s="71" t="n">
        <v>46183</v>
      </c>
      <c r="C543" s="0" t="n">
        <v>1</v>
      </c>
      <c r="D543" s="0" t="s">
        <v>2442</v>
      </c>
      <c r="E543" s="0" t="n">
        <v>1625</v>
      </c>
      <c r="F543" s="0" t="s">
        <v>270</v>
      </c>
      <c r="I543" s="0" t="n">
        <v>14437</v>
      </c>
      <c r="J543" s="0" t="n">
        <v>29080</v>
      </c>
      <c r="K543" s="0" t="n">
        <v>55516</v>
      </c>
      <c r="L543" s="0" t="s">
        <v>2450</v>
      </c>
      <c r="N543" s="0" t="n">
        <v>60.7</v>
      </c>
      <c r="O543" s="0" t="n">
        <v>1335.4</v>
      </c>
      <c r="P543" s="0" t="s">
        <v>2444</v>
      </c>
    </row>
    <row r="544" customFormat="false" ht="15" hidden="false" customHeight="true" outlineLevel="0" collapsed="false">
      <c r="A544" s="0" t="n">
        <v>2</v>
      </c>
      <c r="B544" s="71" t="n">
        <v>46183</v>
      </c>
      <c r="C544" s="0" t="n">
        <v>1</v>
      </c>
      <c r="D544" s="0" t="s">
        <v>2442</v>
      </c>
      <c r="E544" s="0" t="n">
        <v>1625</v>
      </c>
      <c r="F544" s="0" t="s">
        <v>270</v>
      </c>
      <c r="I544" s="0" t="n">
        <v>14437</v>
      </c>
      <c r="J544" s="0" t="n">
        <v>77455</v>
      </c>
      <c r="K544" s="0" t="n">
        <v>774567</v>
      </c>
      <c r="L544" s="0" t="s">
        <v>2624</v>
      </c>
      <c r="N544" s="0" t="n">
        <v>20.5</v>
      </c>
      <c r="O544" s="0" t="n">
        <v>656</v>
      </c>
      <c r="P544" s="0" t="s">
        <v>2444</v>
      </c>
    </row>
    <row r="545" customFormat="false" ht="15" hidden="false" customHeight="true" outlineLevel="0" collapsed="false">
      <c r="A545" s="0" t="n">
        <v>2</v>
      </c>
      <c r="B545" s="71" t="n">
        <v>46183</v>
      </c>
      <c r="C545" s="0" t="n">
        <v>1</v>
      </c>
      <c r="D545" s="0" t="s">
        <v>2442</v>
      </c>
      <c r="E545" s="0" t="n">
        <v>10019</v>
      </c>
      <c r="F545" s="0" t="s">
        <v>268</v>
      </c>
      <c r="I545" s="0" t="n">
        <v>30199</v>
      </c>
      <c r="J545" s="0" t="n">
        <v>79365</v>
      </c>
      <c r="K545" s="0" t="n">
        <v>499</v>
      </c>
      <c r="L545" s="0" t="s">
        <v>2715</v>
      </c>
      <c r="N545" s="0" t="n">
        <v>25.045</v>
      </c>
      <c r="O545" s="0" t="n">
        <v>1101.98</v>
      </c>
      <c r="P545" s="0" t="s">
        <v>2444</v>
      </c>
    </row>
    <row r="546" customFormat="false" ht="15" hidden="false" customHeight="true" outlineLevel="0" collapsed="false">
      <c r="A546" s="0" t="n">
        <v>2</v>
      </c>
      <c r="B546" s="71" t="n">
        <v>46183</v>
      </c>
      <c r="C546" s="0" t="n">
        <v>1</v>
      </c>
      <c r="D546" s="0" t="s">
        <v>2442</v>
      </c>
      <c r="E546" s="0" t="n">
        <v>10019</v>
      </c>
      <c r="F546" s="0" t="s">
        <v>268</v>
      </c>
      <c r="I546" s="0" t="n">
        <v>34450</v>
      </c>
      <c r="J546" s="0" t="n">
        <v>100012</v>
      </c>
      <c r="K546" s="0" t="n">
        <v>13</v>
      </c>
      <c r="L546" s="0" t="s">
        <v>2489</v>
      </c>
      <c r="N546" s="0" t="n">
        <v>47.9</v>
      </c>
      <c r="O546" s="0" t="n">
        <v>1844.15</v>
      </c>
      <c r="P546" s="0" t="s">
        <v>2444</v>
      </c>
    </row>
    <row r="547" customFormat="false" ht="15" hidden="false" customHeight="true" outlineLevel="0" collapsed="false">
      <c r="A547" s="0" t="n">
        <v>2</v>
      </c>
      <c r="B547" s="71" t="n">
        <v>46183</v>
      </c>
      <c r="C547" s="0" t="n">
        <v>1</v>
      </c>
      <c r="D547" s="0" t="s">
        <v>2442</v>
      </c>
      <c r="E547" s="0" t="n">
        <v>1815</v>
      </c>
      <c r="F547" s="0" t="s">
        <v>172</v>
      </c>
      <c r="I547" s="0" t="n">
        <v>386175</v>
      </c>
      <c r="J547" s="0" t="n">
        <v>100013</v>
      </c>
      <c r="K547" s="0" t="n">
        <v>14</v>
      </c>
      <c r="L547" s="0" t="s">
        <v>2490</v>
      </c>
      <c r="N547" s="0" t="n">
        <v>39.31</v>
      </c>
      <c r="O547" s="0" t="n">
        <v>1474.13</v>
      </c>
      <c r="P547" s="0" t="s">
        <v>2444</v>
      </c>
    </row>
    <row r="548" customFormat="false" ht="15" hidden="false" customHeight="true" outlineLevel="0" collapsed="false">
      <c r="A548" s="0" t="n">
        <v>2</v>
      </c>
      <c r="B548" s="71" t="n">
        <v>46183</v>
      </c>
      <c r="C548" s="0" t="n">
        <v>1</v>
      </c>
      <c r="D548" s="0" t="s">
        <v>2442</v>
      </c>
      <c r="E548" s="0" t="n">
        <v>1635</v>
      </c>
      <c r="F548" s="0" t="s">
        <v>128</v>
      </c>
      <c r="I548" s="0" t="n">
        <v>518105</v>
      </c>
      <c r="J548" s="0" t="n">
        <v>100034</v>
      </c>
      <c r="K548" s="0" t="n">
        <v>35</v>
      </c>
      <c r="L548" s="0" t="s">
        <v>2716</v>
      </c>
      <c r="N548" s="0" t="n">
        <v>36</v>
      </c>
      <c r="O548" s="0" t="n">
        <v>529.2</v>
      </c>
      <c r="P548" s="0" t="s">
        <v>2444</v>
      </c>
    </row>
    <row r="549" customFormat="false" ht="15" hidden="false" customHeight="true" outlineLevel="0" collapsed="false">
      <c r="A549" s="0" t="n">
        <v>2</v>
      </c>
      <c r="B549" s="71" t="n">
        <v>46183</v>
      </c>
      <c r="C549" s="0" t="n">
        <v>1</v>
      </c>
      <c r="D549" s="0" t="s">
        <v>2442</v>
      </c>
      <c r="E549" s="0" t="n">
        <v>1635</v>
      </c>
      <c r="F549" s="0" t="s">
        <v>128</v>
      </c>
      <c r="I549" s="0" t="n">
        <v>518105</v>
      </c>
      <c r="J549" s="0" t="n">
        <v>100035</v>
      </c>
      <c r="K549" s="0" t="n">
        <v>36</v>
      </c>
      <c r="L549" s="0" t="s">
        <v>2717</v>
      </c>
      <c r="N549" s="0" t="n">
        <v>200</v>
      </c>
      <c r="O549" s="0" t="n">
        <v>1398</v>
      </c>
      <c r="P549" s="0" t="s">
        <v>2444</v>
      </c>
    </row>
    <row r="550" customFormat="false" ht="15" hidden="false" customHeight="true" outlineLevel="0" collapsed="false">
      <c r="A550" s="0" t="n">
        <v>2</v>
      </c>
      <c r="B550" s="71" t="n">
        <v>46183</v>
      </c>
      <c r="C550" s="0" t="n">
        <v>1</v>
      </c>
      <c r="D550" s="0" t="s">
        <v>2442</v>
      </c>
      <c r="E550" s="0" t="n">
        <v>1718</v>
      </c>
      <c r="F550" s="0" t="s">
        <v>236</v>
      </c>
      <c r="I550" s="0" t="n">
        <v>670477</v>
      </c>
      <c r="J550" s="0" t="n">
        <v>72983</v>
      </c>
      <c r="K550" s="0" t="n">
        <v>7622202280689</v>
      </c>
      <c r="L550" s="0" t="s">
        <v>2718</v>
      </c>
      <c r="N550" s="0" t="n">
        <v>480</v>
      </c>
      <c r="O550" s="0" t="n">
        <v>715.2</v>
      </c>
      <c r="P550" s="0" t="s">
        <v>2444</v>
      </c>
    </row>
    <row r="551" customFormat="false" ht="15" hidden="false" customHeight="true" outlineLevel="0" collapsed="false">
      <c r="A551" s="0" t="n">
        <v>2</v>
      </c>
      <c r="B551" s="71" t="n">
        <v>46183</v>
      </c>
      <c r="C551" s="0" t="n">
        <v>1</v>
      </c>
      <c r="D551" s="0" t="s">
        <v>2442</v>
      </c>
      <c r="E551" s="0" t="n">
        <v>1672</v>
      </c>
      <c r="F551" s="0" t="s">
        <v>343</v>
      </c>
      <c r="I551" s="0" t="n">
        <v>1366479</v>
      </c>
      <c r="J551" s="0" t="n">
        <v>103940</v>
      </c>
      <c r="K551" s="0" t="n">
        <v>7896579330081</v>
      </c>
      <c r="L551" s="0" t="s">
        <v>2719</v>
      </c>
      <c r="N551" s="0" t="n">
        <v>84</v>
      </c>
      <c r="O551" s="0" t="n">
        <v>75.6</v>
      </c>
      <c r="P551" s="0" t="s">
        <v>2444</v>
      </c>
    </row>
    <row r="552" customFormat="false" ht="15" hidden="false" customHeight="true" outlineLevel="0" collapsed="false">
      <c r="A552" s="0" t="n">
        <v>2</v>
      </c>
      <c r="B552" s="71" t="n">
        <v>46183</v>
      </c>
      <c r="C552" s="0" t="n">
        <v>1</v>
      </c>
      <c r="D552" s="0" t="s">
        <v>2442</v>
      </c>
      <c r="E552" s="0" t="n">
        <v>1672</v>
      </c>
      <c r="F552" s="0" t="s">
        <v>343</v>
      </c>
      <c r="I552" s="0" t="n">
        <v>1366479</v>
      </c>
      <c r="J552" s="0" t="n">
        <v>104360</v>
      </c>
      <c r="K552" s="0" t="n">
        <v>7896579330074</v>
      </c>
      <c r="L552" s="0" t="s">
        <v>2720</v>
      </c>
      <c r="N552" s="0" t="n">
        <v>36</v>
      </c>
      <c r="O552" s="0" t="n">
        <v>46.8</v>
      </c>
      <c r="P552" s="0" t="s">
        <v>2444</v>
      </c>
    </row>
    <row r="553" customFormat="false" ht="15" hidden="false" customHeight="true" outlineLevel="0" collapsed="false">
      <c r="A553" s="0" t="n">
        <v>2</v>
      </c>
      <c r="B553" s="71" t="n">
        <v>46183</v>
      </c>
      <c r="C553" s="0" t="n">
        <v>1</v>
      </c>
      <c r="D553" s="0" t="s">
        <v>2442</v>
      </c>
      <c r="E553" s="0" t="n">
        <v>1672</v>
      </c>
      <c r="F553" s="0" t="s">
        <v>343</v>
      </c>
      <c r="I553" s="0" t="n">
        <v>1366479</v>
      </c>
      <c r="J553" s="0" t="n">
        <v>106239</v>
      </c>
      <c r="K553" s="0" t="n">
        <v>7896579390016</v>
      </c>
      <c r="L553" s="0" t="s">
        <v>2721</v>
      </c>
      <c r="N553" s="0" t="n">
        <v>60</v>
      </c>
      <c r="O553" s="0" t="n">
        <v>120</v>
      </c>
      <c r="P553" s="0" t="s">
        <v>2444</v>
      </c>
    </row>
    <row r="554" customFormat="false" ht="15" hidden="false" customHeight="true" outlineLevel="0" collapsed="false">
      <c r="A554" s="0" t="n">
        <v>2</v>
      </c>
      <c r="B554" s="71" t="n">
        <v>46183</v>
      </c>
      <c r="C554" s="0" t="n">
        <v>1</v>
      </c>
      <c r="D554" s="0" t="s">
        <v>2442</v>
      </c>
      <c r="E554" s="0" t="n">
        <v>1672</v>
      </c>
      <c r="F554" s="0" t="s">
        <v>343</v>
      </c>
      <c r="I554" s="0" t="n">
        <v>1366479</v>
      </c>
      <c r="J554" s="0" t="n">
        <v>13184</v>
      </c>
      <c r="K554" s="0" t="n">
        <v>7896579310113</v>
      </c>
      <c r="L554" s="0" t="s">
        <v>2722</v>
      </c>
      <c r="N554" s="0" t="n">
        <v>27</v>
      </c>
      <c r="O554" s="0" t="n">
        <v>81</v>
      </c>
      <c r="P554" s="0" t="s">
        <v>2444</v>
      </c>
    </row>
    <row r="555" customFormat="false" ht="15" hidden="false" customHeight="true" outlineLevel="0" collapsed="false">
      <c r="A555" s="0" t="n">
        <v>2</v>
      </c>
      <c r="B555" s="71" t="n">
        <v>46183</v>
      </c>
      <c r="C555" s="0" t="n">
        <v>1</v>
      </c>
      <c r="D555" s="0" t="s">
        <v>2442</v>
      </c>
      <c r="E555" s="0" t="n">
        <v>1672</v>
      </c>
      <c r="F555" s="0" t="s">
        <v>343</v>
      </c>
      <c r="I555" s="0" t="n">
        <v>1366479</v>
      </c>
      <c r="J555" s="0" t="n">
        <v>14974</v>
      </c>
      <c r="K555" s="0" t="n">
        <v>7896579380123</v>
      </c>
      <c r="L555" s="0" t="s">
        <v>2723</v>
      </c>
      <c r="N555" s="0" t="n">
        <v>27</v>
      </c>
      <c r="O555" s="0" t="n">
        <v>81</v>
      </c>
      <c r="P555" s="0" t="s">
        <v>2444</v>
      </c>
    </row>
    <row r="556" customFormat="false" ht="15" hidden="false" customHeight="true" outlineLevel="0" collapsed="false">
      <c r="A556" s="0" t="n">
        <v>2</v>
      </c>
      <c r="B556" s="71" t="n">
        <v>46183</v>
      </c>
      <c r="C556" s="0" t="n">
        <v>1</v>
      </c>
      <c r="D556" s="0" t="s">
        <v>2442</v>
      </c>
      <c r="E556" s="0" t="n">
        <v>1672</v>
      </c>
      <c r="F556" s="0" t="s">
        <v>343</v>
      </c>
      <c r="I556" s="0" t="n">
        <v>1366479</v>
      </c>
      <c r="J556" s="0" t="n">
        <v>18293</v>
      </c>
      <c r="K556" s="0" t="n">
        <v>7896520027206</v>
      </c>
      <c r="L556" s="0" t="s">
        <v>2724</v>
      </c>
      <c r="N556" s="0" t="n">
        <v>12</v>
      </c>
      <c r="O556" s="0" t="n">
        <v>81.6</v>
      </c>
      <c r="P556" s="0" t="s">
        <v>2444</v>
      </c>
    </row>
    <row r="557" customFormat="false" ht="15" hidden="false" customHeight="true" outlineLevel="0" collapsed="false">
      <c r="A557" s="0" t="n">
        <v>2</v>
      </c>
      <c r="B557" s="71" t="n">
        <v>46183</v>
      </c>
      <c r="C557" s="0" t="n">
        <v>1</v>
      </c>
      <c r="D557" s="0" t="s">
        <v>2442</v>
      </c>
      <c r="E557" s="0" t="n">
        <v>1672</v>
      </c>
      <c r="F557" s="0" t="s">
        <v>343</v>
      </c>
      <c r="I557" s="0" t="n">
        <v>1366479</v>
      </c>
      <c r="J557" s="0" t="n">
        <v>31920</v>
      </c>
      <c r="K557" s="0" t="n">
        <v>7896579330012</v>
      </c>
      <c r="L557" s="0" t="s">
        <v>2725</v>
      </c>
      <c r="N557" s="0" t="n">
        <v>24</v>
      </c>
      <c r="O557" s="0" t="n">
        <v>36</v>
      </c>
      <c r="P557" s="0" t="s">
        <v>2444</v>
      </c>
    </row>
    <row r="558" customFormat="false" ht="15" hidden="false" customHeight="true" outlineLevel="0" collapsed="false">
      <c r="A558" s="0" t="n">
        <v>2</v>
      </c>
      <c r="B558" s="71" t="n">
        <v>46183</v>
      </c>
      <c r="C558" s="0" t="n">
        <v>1</v>
      </c>
      <c r="D558" s="0" t="s">
        <v>2442</v>
      </c>
      <c r="E558" s="0" t="n">
        <v>1672</v>
      </c>
      <c r="F558" s="0" t="s">
        <v>343</v>
      </c>
      <c r="I558" s="0" t="n">
        <v>1366479</v>
      </c>
      <c r="J558" s="0" t="n">
        <v>37507</v>
      </c>
      <c r="K558" s="0" t="n">
        <v>7896579310854</v>
      </c>
      <c r="L558" s="0" t="s">
        <v>2726</v>
      </c>
      <c r="N558" s="0" t="n">
        <v>70</v>
      </c>
      <c r="O558" s="0" t="n">
        <v>574</v>
      </c>
      <c r="P558" s="0" t="s">
        <v>2444</v>
      </c>
    </row>
    <row r="559" customFormat="false" ht="15" hidden="false" customHeight="true" outlineLevel="0" collapsed="false">
      <c r="A559" s="0" t="n">
        <v>2</v>
      </c>
      <c r="B559" s="71" t="n">
        <v>46183</v>
      </c>
      <c r="C559" s="0" t="n">
        <v>1</v>
      </c>
      <c r="D559" s="0" t="s">
        <v>2442</v>
      </c>
      <c r="E559" s="0" t="n">
        <v>1672</v>
      </c>
      <c r="F559" s="0" t="s">
        <v>343</v>
      </c>
      <c r="I559" s="0" t="n">
        <v>1366479</v>
      </c>
      <c r="J559" s="0" t="n">
        <v>38315</v>
      </c>
      <c r="K559" s="0" t="n">
        <v>7896579320242</v>
      </c>
      <c r="L559" s="0" t="s">
        <v>2727</v>
      </c>
      <c r="N559" s="0" t="n">
        <v>45</v>
      </c>
      <c r="O559" s="0" t="n">
        <v>135</v>
      </c>
      <c r="P559" s="0" t="s">
        <v>2444</v>
      </c>
    </row>
    <row r="560" customFormat="false" ht="15" hidden="false" customHeight="true" outlineLevel="0" collapsed="false">
      <c r="A560" s="0" t="n">
        <v>2</v>
      </c>
      <c r="B560" s="71" t="n">
        <v>46183</v>
      </c>
      <c r="C560" s="0" t="n">
        <v>1</v>
      </c>
      <c r="D560" s="0" t="s">
        <v>2442</v>
      </c>
      <c r="E560" s="0" t="n">
        <v>1672</v>
      </c>
      <c r="F560" s="0" t="s">
        <v>343</v>
      </c>
      <c r="I560" s="0" t="n">
        <v>1366479</v>
      </c>
      <c r="J560" s="0" t="n">
        <v>38539</v>
      </c>
      <c r="K560" s="0" t="n">
        <v>7896579320235</v>
      </c>
      <c r="L560" s="0" t="s">
        <v>2728</v>
      </c>
      <c r="N560" s="0" t="n">
        <v>45</v>
      </c>
      <c r="O560" s="0" t="n">
        <v>184.5</v>
      </c>
      <c r="P560" s="0" t="s">
        <v>2444</v>
      </c>
    </row>
    <row r="561" customFormat="false" ht="15" hidden="false" customHeight="true" outlineLevel="0" collapsed="false">
      <c r="A561" s="0" t="n">
        <v>2</v>
      </c>
      <c r="B561" s="71" t="n">
        <v>46183</v>
      </c>
      <c r="C561" s="0" t="n">
        <v>1</v>
      </c>
      <c r="D561" s="0" t="s">
        <v>2442</v>
      </c>
      <c r="E561" s="0" t="n">
        <v>1672</v>
      </c>
      <c r="F561" s="0" t="s">
        <v>343</v>
      </c>
      <c r="I561" s="0" t="n">
        <v>1366479</v>
      </c>
      <c r="J561" s="0" t="n">
        <v>43140</v>
      </c>
      <c r="K561" s="0" t="n">
        <v>7896579310847</v>
      </c>
      <c r="L561" s="0" t="s">
        <v>2729</v>
      </c>
      <c r="N561" s="0" t="n">
        <v>45</v>
      </c>
      <c r="O561" s="0" t="n">
        <v>108</v>
      </c>
      <c r="P561" s="0" t="s">
        <v>2444</v>
      </c>
    </row>
    <row r="562" customFormat="false" ht="15" hidden="false" customHeight="true" outlineLevel="0" collapsed="false">
      <c r="A562" s="0" t="n">
        <v>2</v>
      </c>
      <c r="B562" s="71" t="n">
        <v>46183</v>
      </c>
      <c r="C562" s="0" t="n">
        <v>1</v>
      </c>
      <c r="D562" s="0" t="s">
        <v>2442</v>
      </c>
      <c r="E562" s="0" t="n">
        <v>1672</v>
      </c>
      <c r="F562" s="0" t="s">
        <v>343</v>
      </c>
      <c r="I562" s="0" t="n">
        <v>1366479</v>
      </c>
      <c r="J562" s="0" t="n">
        <v>51477</v>
      </c>
      <c r="K562" s="0" t="n">
        <v>7896579310809</v>
      </c>
      <c r="L562" s="0" t="s">
        <v>2730</v>
      </c>
      <c r="N562" s="0" t="n">
        <v>84</v>
      </c>
      <c r="O562" s="0" t="n">
        <v>67.2</v>
      </c>
      <c r="P562" s="0" t="s">
        <v>2444</v>
      </c>
    </row>
    <row r="563" customFormat="false" ht="15" hidden="false" customHeight="true" outlineLevel="0" collapsed="false">
      <c r="A563" s="0" t="n">
        <v>2</v>
      </c>
      <c r="B563" s="71" t="n">
        <v>46183</v>
      </c>
      <c r="C563" s="0" t="n">
        <v>1</v>
      </c>
      <c r="D563" s="0" t="s">
        <v>2442</v>
      </c>
      <c r="E563" s="0" t="n">
        <v>1672</v>
      </c>
      <c r="F563" s="0" t="s">
        <v>343</v>
      </c>
      <c r="I563" s="0" t="n">
        <v>1366479</v>
      </c>
      <c r="J563" s="0" t="n">
        <v>61503</v>
      </c>
      <c r="K563" s="0" t="n">
        <v>7896579310915</v>
      </c>
      <c r="L563" s="0" t="s">
        <v>2731</v>
      </c>
      <c r="N563" s="0" t="n">
        <v>5</v>
      </c>
      <c r="O563" s="0" t="n">
        <v>40</v>
      </c>
      <c r="P563" s="0" t="s">
        <v>2444</v>
      </c>
    </row>
    <row r="564" customFormat="false" ht="15" hidden="false" customHeight="true" outlineLevel="0" collapsed="false">
      <c r="A564" s="0" t="n">
        <v>2</v>
      </c>
      <c r="B564" s="71" t="n">
        <v>46183</v>
      </c>
      <c r="C564" s="0" t="n">
        <v>1</v>
      </c>
      <c r="D564" s="0" t="s">
        <v>2442</v>
      </c>
      <c r="E564" s="0" t="n">
        <v>1672</v>
      </c>
      <c r="F564" s="0" t="s">
        <v>343</v>
      </c>
      <c r="I564" s="0" t="n">
        <v>1366479</v>
      </c>
      <c r="J564" s="0" t="n">
        <v>78779</v>
      </c>
      <c r="K564" s="0" t="n">
        <v>7899465202042</v>
      </c>
      <c r="L564" s="0" t="s">
        <v>2732</v>
      </c>
      <c r="N564" s="0" t="n">
        <v>12</v>
      </c>
      <c r="O564" s="0" t="n">
        <v>81.6</v>
      </c>
      <c r="P564" s="0" t="s">
        <v>2444</v>
      </c>
    </row>
    <row r="565" customFormat="false" ht="15" hidden="false" customHeight="true" outlineLevel="0" collapsed="false">
      <c r="A565" s="0" t="n">
        <v>2</v>
      </c>
      <c r="B565" s="71" t="n">
        <v>46183</v>
      </c>
      <c r="C565" s="0" t="n">
        <v>1</v>
      </c>
      <c r="D565" s="0" t="s">
        <v>2442</v>
      </c>
      <c r="E565" s="0" t="n">
        <v>1672</v>
      </c>
      <c r="F565" s="0" t="s">
        <v>343</v>
      </c>
      <c r="I565" s="0" t="n">
        <v>1366479</v>
      </c>
      <c r="J565" s="0" t="n">
        <v>79952</v>
      </c>
      <c r="K565" s="0" t="n">
        <v>7896579390085</v>
      </c>
      <c r="L565" s="0" t="s">
        <v>2733</v>
      </c>
      <c r="N565" s="0" t="n">
        <v>24</v>
      </c>
      <c r="O565" s="0" t="n">
        <v>62.4</v>
      </c>
      <c r="P565" s="0" t="s">
        <v>2444</v>
      </c>
    </row>
    <row r="566" customFormat="false" ht="15" hidden="false" customHeight="true" outlineLevel="0" collapsed="false">
      <c r="A566" s="0" t="n">
        <v>2</v>
      </c>
      <c r="B566" s="71" t="n">
        <v>46183</v>
      </c>
      <c r="C566" s="0" t="n">
        <v>1</v>
      </c>
      <c r="D566" s="0" t="s">
        <v>2442</v>
      </c>
      <c r="E566" s="0" t="n">
        <v>1672</v>
      </c>
      <c r="F566" s="0" t="s">
        <v>343</v>
      </c>
      <c r="I566" s="0" t="n">
        <v>1366479</v>
      </c>
      <c r="J566" s="0" t="n">
        <v>80062</v>
      </c>
      <c r="K566" s="0" t="n">
        <v>7896579390092</v>
      </c>
      <c r="L566" s="0" t="s">
        <v>2734</v>
      </c>
      <c r="N566" s="0" t="n">
        <v>24</v>
      </c>
      <c r="O566" s="0" t="n">
        <v>62.4</v>
      </c>
      <c r="P566" s="0" t="s">
        <v>2444</v>
      </c>
    </row>
    <row r="567" customFormat="false" ht="15" hidden="false" customHeight="true" outlineLevel="0" collapsed="false">
      <c r="A567" s="0" t="n">
        <v>2</v>
      </c>
      <c r="B567" s="71" t="n">
        <v>46183</v>
      </c>
      <c r="C567" s="0" t="n">
        <v>1</v>
      </c>
      <c r="D567" s="0" t="s">
        <v>2442</v>
      </c>
      <c r="E567" s="0" t="n">
        <v>1683</v>
      </c>
      <c r="F567" s="0" t="s">
        <v>406</v>
      </c>
      <c r="I567" s="0" t="n">
        <v>1629655</v>
      </c>
      <c r="J567" s="0" t="n">
        <v>109791</v>
      </c>
      <c r="K567" s="0" t="n">
        <v>9667</v>
      </c>
      <c r="L567" s="0" t="s">
        <v>2465</v>
      </c>
      <c r="N567" s="0" t="n">
        <v>17</v>
      </c>
      <c r="O567" s="0" t="n">
        <v>25.5</v>
      </c>
      <c r="P567" s="0" t="s">
        <v>2444</v>
      </c>
    </row>
    <row r="568" customFormat="false" ht="15" hidden="false" customHeight="true" outlineLevel="0" collapsed="false">
      <c r="A568" s="0" t="n">
        <v>2</v>
      </c>
      <c r="B568" s="71" t="n">
        <v>46183</v>
      </c>
      <c r="C568" s="0" t="n">
        <v>1</v>
      </c>
      <c r="D568" s="0" t="s">
        <v>2442</v>
      </c>
      <c r="E568" s="0" t="n">
        <v>1683</v>
      </c>
      <c r="F568" s="0" t="s">
        <v>406</v>
      </c>
      <c r="I568" s="0" t="n">
        <v>1629655</v>
      </c>
      <c r="J568" s="0" t="n">
        <v>37359</v>
      </c>
      <c r="K568" s="0" t="n">
        <v>55526</v>
      </c>
      <c r="L568" s="0" t="s">
        <v>2466</v>
      </c>
      <c r="N568" s="0" t="n">
        <v>5</v>
      </c>
      <c r="O568" s="0" t="n">
        <v>20</v>
      </c>
      <c r="P568" s="0" t="s">
        <v>2444</v>
      </c>
    </row>
    <row r="569" customFormat="false" ht="15" hidden="false" customHeight="true" outlineLevel="0" collapsed="false">
      <c r="A569" s="0" t="n">
        <v>2</v>
      </c>
      <c r="B569" s="71" t="n">
        <v>46183</v>
      </c>
      <c r="C569" s="0" t="n">
        <v>1</v>
      </c>
      <c r="D569" s="0" t="s">
        <v>2442</v>
      </c>
      <c r="E569" s="0" t="n">
        <v>1683</v>
      </c>
      <c r="F569" s="0" t="s">
        <v>406</v>
      </c>
      <c r="I569" s="0" t="n">
        <v>1629655</v>
      </c>
      <c r="J569" s="0" t="n">
        <v>37361</v>
      </c>
      <c r="K569" s="0" t="n">
        <v>2240817</v>
      </c>
      <c r="L569" s="0" t="s">
        <v>2467</v>
      </c>
      <c r="N569" s="0" t="n">
        <v>70</v>
      </c>
      <c r="O569" s="0" t="n">
        <v>126</v>
      </c>
      <c r="P569" s="0" t="s">
        <v>2444</v>
      </c>
    </row>
    <row r="570" customFormat="false" ht="15" hidden="false" customHeight="true" outlineLevel="0" collapsed="false">
      <c r="A570" s="0" t="n">
        <v>2</v>
      </c>
      <c r="B570" s="71" t="n">
        <v>46183</v>
      </c>
      <c r="C570" s="0" t="n">
        <v>2</v>
      </c>
      <c r="D570" s="0" t="s">
        <v>2533</v>
      </c>
      <c r="E570" s="0" t="n">
        <v>48</v>
      </c>
      <c r="F570" s="0" t="s">
        <v>153</v>
      </c>
      <c r="I570" s="0" t="n">
        <v>10626</v>
      </c>
      <c r="J570" s="0" t="n">
        <v>11683</v>
      </c>
      <c r="K570" s="0" t="n">
        <v>7898934529048</v>
      </c>
      <c r="L570" s="0" t="s">
        <v>2735</v>
      </c>
      <c r="N570" s="0" t="n">
        <v>25</v>
      </c>
      <c r="O570" s="0" t="n">
        <v>110</v>
      </c>
      <c r="P570" s="0" t="s">
        <v>2444</v>
      </c>
    </row>
    <row r="571" customFormat="false" ht="15" hidden="false" customHeight="true" outlineLevel="0" collapsed="false">
      <c r="A571" s="0" t="n">
        <v>2</v>
      </c>
      <c r="B571" s="71" t="n">
        <v>46183</v>
      </c>
      <c r="C571" s="0" t="n">
        <v>2</v>
      </c>
      <c r="D571" s="0" t="s">
        <v>2533</v>
      </c>
      <c r="E571" s="0" t="n">
        <v>48</v>
      </c>
      <c r="F571" s="0" t="s">
        <v>153</v>
      </c>
      <c r="I571" s="0" t="n">
        <v>10626</v>
      </c>
      <c r="J571" s="0" t="n">
        <v>20452</v>
      </c>
      <c r="K571" s="0" t="n">
        <v>7898934529086</v>
      </c>
      <c r="L571" s="0" t="s">
        <v>2736</v>
      </c>
      <c r="N571" s="0" t="n">
        <v>75</v>
      </c>
      <c r="O571" s="0" t="n">
        <v>660</v>
      </c>
      <c r="P571" s="0" t="s">
        <v>2444</v>
      </c>
    </row>
    <row r="572" customFormat="false" ht="15" hidden="false" customHeight="true" outlineLevel="0" collapsed="false">
      <c r="A572" s="0" t="n">
        <v>2</v>
      </c>
      <c r="B572" s="71" t="n">
        <v>46183</v>
      </c>
      <c r="C572" s="0" t="n">
        <v>2</v>
      </c>
      <c r="D572" s="0" t="s">
        <v>2533</v>
      </c>
      <c r="E572" s="0" t="n">
        <v>48</v>
      </c>
      <c r="F572" s="0" t="s">
        <v>153</v>
      </c>
      <c r="I572" s="0" t="n">
        <v>10626</v>
      </c>
      <c r="J572" s="0" t="n">
        <v>26175</v>
      </c>
      <c r="K572" s="0" t="n">
        <v>7898934529024</v>
      </c>
      <c r="L572" s="0" t="s">
        <v>2737</v>
      </c>
      <c r="N572" s="0" t="n">
        <v>75</v>
      </c>
      <c r="O572" s="0" t="n">
        <v>324</v>
      </c>
      <c r="P572" s="0" t="s">
        <v>2444</v>
      </c>
    </row>
    <row r="573" customFormat="false" ht="15" hidden="false" customHeight="true" outlineLevel="0" collapsed="false">
      <c r="A573" s="0" t="n">
        <v>2</v>
      </c>
      <c r="B573" s="71" t="n">
        <v>46183</v>
      </c>
      <c r="C573" s="0" t="n">
        <v>2</v>
      </c>
      <c r="D573" s="0" t="s">
        <v>2533</v>
      </c>
      <c r="E573" s="0" t="n">
        <v>48</v>
      </c>
      <c r="F573" s="0" t="s">
        <v>153</v>
      </c>
      <c r="I573" s="0" t="n">
        <v>106262</v>
      </c>
      <c r="J573" s="0" t="n">
        <v>42564</v>
      </c>
      <c r="K573" s="0" t="n">
        <v>574</v>
      </c>
      <c r="L573" s="0" t="s">
        <v>2534</v>
      </c>
      <c r="N573" s="0" t="n">
        <v>15</v>
      </c>
      <c r="O573" s="0" t="n">
        <v>195</v>
      </c>
      <c r="P573" s="0" t="s">
        <v>2444</v>
      </c>
    </row>
    <row r="574" customFormat="false" ht="15" hidden="false" customHeight="true" outlineLevel="0" collapsed="false">
      <c r="A574" s="0" t="n">
        <v>2</v>
      </c>
      <c r="B574" s="71" t="n">
        <v>46183</v>
      </c>
      <c r="C574" s="0" t="n">
        <v>2</v>
      </c>
      <c r="D574" s="0" t="s">
        <v>2533</v>
      </c>
      <c r="E574" s="0" t="n">
        <v>48</v>
      </c>
      <c r="F574" s="0" t="s">
        <v>153</v>
      </c>
      <c r="I574" s="0" t="n">
        <v>1062026</v>
      </c>
      <c r="J574" s="0" t="n">
        <v>74674</v>
      </c>
      <c r="K574" s="0" t="n">
        <v>741</v>
      </c>
      <c r="L574" s="0" t="s">
        <v>2738</v>
      </c>
      <c r="N574" s="0" t="n">
        <v>50</v>
      </c>
      <c r="O574" s="0" t="n">
        <v>600</v>
      </c>
      <c r="P574" s="0" t="s">
        <v>2444</v>
      </c>
    </row>
    <row r="575" customFormat="false" ht="15" hidden="false" customHeight="true" outlineLevel="0" collapsed="false">
      <c r="A575" s="0" t="n">
        <v>2</v>
      </c>
      <c r="B575" s="71" t="n">
        <v>46183</v>
      </c>
      <c r="C575" s="0" t="n">
        <v>2</v>
      </c>
      <c r="D575" s="0" t="s">
        <v>2533</v>
      </c>
      <c r="E575" s="0" t="n">
        <v>48</v>
      </c>
      <c r="F575" s="0" t="s">
        <v>153</v>
      </c>
      <c r="I575" s="0" t="n">
        <v>10620261</v>
      </c>
      <c r="J575" s="0" t="n">
        <v>27510</v>
      </c>
      <c r="K575" s="0" t="n">
        <v>7898306020241</v>
      </c>
      <c r="L575" s="0" t="s">
        <v>2739</v>
      </c>
      <c r="N575" s="0" t="n">
        <v>125</v>
      </c>
      <c r="O575" s="0" t="n">
        <v>1250</v>
      </c>
      <c r="P575" s="0" t="s">
        <v>2444</v>
      </c>
    </row>
    <row r="576" customFormat="false" ht="15" hidden="false" customHeight="true" outlineLevel="0" collapsed="false">
      <c r="A576" s="0" t="n">
        <v>2</v>
      </c>
      <c r="B576" s="71" t="n">
        <v>46183</v>
      </c>
      <c r="C576" s="0" t="n">
        <v>2</v>
      </c>
      <c r="D576" s="0" t="s">
        <v>2533</v>
      </c>
      <c r="E576" s="0" t="n">
        <v>48</v>
      </c>
      <c r="F576" s="0" t="s">
        <v>153</v>
      </c>
      <c r="I576" s="0" t="n">
        <v>10620261</v>
      </c>
      <c r="J576" s="0" t="n">
        <v>52668</v>
      </c>
      <c r="K576" s="0" t="n">
        <v>7898306020036</v>
      </c>
      <c r="L576" s="0" t="s">
        <v>2740</v>
      </c>
      <c r="N576" s="0" t="n">
        <v>125</v>
      </c>
      <c r="O576" s="0" t="n">
        <v>550</v>
      </c>
      <c r="P576" s="0" t="s">
        <v>2444</v>
      </c>
    </row>
    <row r="577" customFormat="false" ht="15" hidden="false" customHeight="true" outlineLevel="0" collapsed="false">
      <c r="A577" s="0" t="n">
        <v>2</v>
      </c>
      <c r="B577" s="71" t="n">
        <v>46183</v>
      </c>
      <c r="C577" s="0" t="n">
        <v>6</v>
      </c>
      <c r="D577" s="0" t="s">
        <v>2553</v>
      </c>
      <c r="E577" s="0" t="n">
        <v>48</v>
      </c>
      <c r="F577" s="0" t="s">
        <v>153</v>
      </c>
      <c r="I577" s="0" t="n">
        <v>2488</v>
      </c>
      <c r="J577" s="0" t="n">
        <v>11683</v>
      </c>
      <c r="K577" s="0" t="n">
        <v>7898934529048</v>
      </c>
      <c r="L577" s="0" t="s">
        <v>2735</v>
      </c>
      <c r="N577" s="0" t="n">
        <v>25</v>
      </c>
      <c r="O577" s="0" t="n">
        <v>110</v>
      </c>
      <c r="P577" s="0" t="s">
        <v>2444</v>
      </c>
    </row>
    <row r="578" customFormat="false" ht="15" hidden="false" customHeight="true" outlineLevel="0" collapsed="false">
      <c r="A578" s="0" t="n">
        <v>2</v>
      </c>
      <c r="B578" s="71" t="n">
        <v>46183</v>
      </c>
      <c r="C578" s="0" t="n">
        <v>6</v>
      </c>
      <c r="D578" s="0" t="s">
        <v>2553</v>
      </c>
      <c r="E578" s="0" t="n">
        <v>48</v>
      </c>
      <c r="F578" s="0" t="s">
        <v>153</v>
      </c>
      <c r="I578" s="0" t="n">
        <v>2488</v>
      </c>
      <c r="J578" s="0" t="n">
        <v>20452</v>
      </c>
      <c r="K578" s="0" t="n">
        <v>7898934529086</v>
      </c>
      <c r="L578" s="0" t="s">
        <v>2736</v>
      </c>
      <c r="N578" s="0" t="n">
        <v>75</v>
      </c>
      <c r="O578" s="0" t="n">
        <v>660</v>
      </c>
      <c r="P578" s="0" t="s">
        <v>2444</v>
      </c>
    </row>
    <row r="579" customFormat="false" ht="15" hidden="false" customHeight="true" outlineLevel="0" collapsed="false">
      <c r="A579" s="0" t="n">
        <v>2</v>
      </c>
      <c r="B579" s="71" t="n">
        <v>46183</v>
      </c>
      <c r="C579" s="0" t="n">
        <v>6</v>
      </c>
      <c r="D579" s="0" t="s">
        <v>2553</v>
      </c>
      <c r="E579" s="0" t="n">
        <v>48</v>
      </c>
      <c r="F579" s="0" t="s">
        <v>153</v>
      </c>
      <c r="I579" s="0" t="n">
        <v>2488</v>
      </c>
      <c r="J579" s="0" t="n">
        <v>26175</v>
      </c>
      <c r="K579" s="0" t="n">
        <v>7898934529024</v>
      </c>
      <c r="L579" s="0" t="s">
        <v>2737</v>
      </c>
      <c r="N579" s="0" t="n">
        <v>75</v>
      </c>
      <c r="O579" s="0" t="n">
        <v>324</v>
      </c>
      <c r="P579" s="0" t="s">
        <v>2444</v>
      </c>
    </row>
    <row r="580" customFormat="false" ht="15" hidden="false" customHeight="true" outlineLevel="0" collapsed="false">
      <c r="A580" s="0" t="n">
        <v>2</v>
      </c>
      <c r="B580" s="71" t="n">
        <v>46183</v>
      </c>
      <c r="C580" s="0" t="n">
        <v>6</v>
      </c>
      <c r="D580" s="0" t="s">
        <v>2553</v>
      </c>
      <c r="E580" s="0" t="n">
        <v>48</v>
      </c>
      <c r="F580" s="0" t="s">
        <v>153</v>
      </c>
      <c r="I580" s="0" t="n">
        <v>2489</v>
      </c>
      <c r="J580" s="0" t="n">
        <v>74674</v>
      </c>
      <c r="K580" s="0" t="n">
        <v>741</v>
      </c>
      <c r="L580" s="0" t="s">
        <v>2738</v>
      </c>
      <c r="N580" s="0" t="n">
        <v>50</v>
      </c>
      <c r="O580" s="0" t="n">
        <v>600</v>
      </c>
      <c r="P580" s="0" t="s">
        <v>2444</v>
      </c>
    </row>
    <row r="581" customFormat="false" ht="15" hidden="false" customHeight="true" outlineLevel="0" collapsed="false">
      <c r="A581" s="0" t="n">
        <v>2</v>
      </c>
      <c r="B581" s="71" t="n">
        <v>46183</v>
      </c>
      <c r="C581" s="0" t="n">
        <v>6</v>
      </c>
      <c r="D581" s="0" t="s">
        <v>2553</v>
      </c>
      <c r="E581" s="0" t="n">
        <v>48</v>
      </c>
      <c r="F581" s="0" t="s">
        <v>153</v>
      </c>
      <c r="I581" s="0" t="n">
        <v>2490</v>
      </c>
      <c r="J581" s="0" t="n">
        <v>27510</v>
      </c>
      <c r="K581" s="0" t="n">
        <v>7898306020241</v>
      </c>
      <c r="L581" s="0" t="s">
        <v>2739</v>
      </c>
      <c r="N581" s="0" t="n">
        <v>125</v>
      </c>
      <c r="O581" s="0" t="n">
        <v>1250</v>
      </c>
      <c r="P581" s="0" t="s">
        <v>2444</v>
      </c>
    </row>
    <row r="582" customFormat="false" ht="15" hidden="false" customHeight="true" outlineLevel="0" collapsed="false">
      <c r="A582" s="0" t="n">
        <v>2</v>
      </c>
      <c r="B582" s="71" t="n">
        <v>46183</v>
      </c>
      <c r="C582" s="0" t="n">
        <v>6</v>
      </c>
      <c r="D582" s="0" t="s">
        <v>2553</v>
      </c>
      <c r="E582" s="0" t="n">
        <v>48</v>
      </c>
      <c r="F582" s="0" t="s">
        <v>153</v>
      </c>
      <c r="I582" s="0" t="n">
        <v>2490</v>
      </c>
      <c r="J582" s="0" t="n">
        <v>52668</v>
      </c>
      <c r="K582" s="0" t="n">
        <v>7898306020036</v>
      </c>
      <c r="L582" s="0" t="s">
        <v>2740</v>
      </c>
      <c r="N582" s="0" t="n">
        <v>125</v>
      </c>
      <c r="O582" s="0" t="n">
        <v>550</v>
      </c>
      <c r="P582" s="0" t="s">
        <v>2444</v>
      </c>
    </row>
    <row r="583" customFormat="false" ht="15" hidden="false" customHeight="true" outlineLevel="0" collapsed="false">
      <c r="A583" s="0" t="n">
        <v>2</v>
      </c>
      <c r="B583" s="71" t="n">
        <v>46183</v>
      </c>
      <c r="C583" s="0" t="n">
        <v>6</v>
      </c>
      <c r="D583" s="0" t="s">
        <v>2553</v>
      </c>
      <c r="E583" s="0" t="n">
        <v>48</v>
      </c>
      <c r="F583" s="0" t="s">
        <v>153</v>
      </c>
      <c r="I583" s="0" t="n">
        <v>2493</v>
      </c>
      <c r="J583" s="0" t="n">
        <v>42564</v>
      </c>
      <c r="K583" s="0" t="n">
        <v>574</v>
      </c>
      <c r="L583" s="0" t="s">
        <v>2534</v>
      </c>
      <c r="N583" s="0" t="n">
        <v>15</v>
      </c>
      <c r="O583" s="0" t="n">
        <v>195</v>
      </c>
      <c r="P583" s="0" t="s">
        <v>2444</v>
      </c>
    </row>
    <row r="584" customFormat="false" ht="15" hidden="false" customHeight="true" outlineLevel="0" collapsed="false">
      <c r="A584" s="0" t="n">
        <v>2</v>
      </c>
      <c r="B584" s="71" t="n">
        <v>46183</v>
      </c>
      <c r="C584" s="0" t="n">
        <v>11</v>
      </c>
      <c r="D584" s="0" t="s">
        <v>2471</v>
      </c>
      <c r="E584" s="0" t="n">
        <v>821</v>
      </c>
      <c r="F584" s="0" t="s">
        <v>394</v>
      </c>
      <c r="I584" s="0" t="n">
        <v>459236</v>
      </c>
      <c r="J584" s="0" t="n">
        <v>43511</v>
      </c>
      <c r="K584" s="0" t="n">
        <v>7897395000479</v>
      </c>
      <c r="L584" s="0" t="s">
        <v>2741</v>
      </c>
      <c r="N584" s="0" t="n">
        <v>48</v>
      </c>
      <c r="O584" s="0" t="n">
        <v>288</v>
      </c>
      <c r="P584" s="0" t="s">
        <v>2444</v>
      </c>
    </row>
    <row r="585" customFormat="false" ht="15" hidden="false" customHeight="true" outlineLevel="0" collapsed="false">
      <c r="A585" s="0" t="n">
        <v>2</v>
      </c>
      <c r="B585" s="71" t="n">
        <v>46183</v>
      </c>
      <c r="C585" s="0" t="n">
        <v>11</v>
      </c>
      <c r="D585" s="0" t="s">
        <v>2471</v>
      </c>
      <c r="E585" s="0" t="n">
        <v>821</v>
      </c>
      <c r="F585" s="0" t="s">
        <v>394</v>
      </c>
      <c r="I585" s="0" t="n">
        <v>459236</v>
      </c>
      <c r="J585" s="0" t="n">
        <v>43512</v>
      </c>
      <c r="K585" s="0" t="n">
        <v>7897395000509</v>
      </c>
      <c r="L585" s="0" t="s">
        <v>2742</v>
      </c>
      <c r="N585" s="0" t="n">
        <v>12</v>
      </c>
      <c r="O585" s="0" t="n">
        <v>50</v>
      </c>
      <c r="P585" s="0" t="s">
        <v>2444</v>
      </c>
    </row>
    <row r="586" customFormat="false" ht="15" hidden="false" customHeight="true" outlineLevel="0" collapsed="false">
      <c r="A586" s="0" t="n">
        <v>2</v>
      </c>
      <c r="B586" s="71" t="n">
        <v>46183</v>
      </c>
      <c r="C586" s="0" t="n">
        <v>11</v>
      </c>
      <c r="D586" s="0" t="s">
        <v>2471</v>
      </c>
      <c r="E586" s="0" t="n">
        <v>1666</v>
      </c>
      <c r="F586" s="0" t="s">
        <v>266</v>
      </c>
      <c r="I586" s="0" t="n">
        <v>562635</v>
      </c>
      <c r="J586" s="0" t="n">
        <v>102652</v>
      </c>
      <c r="K586" s="0" t="n">
        <v>70330709485</v>
      </c>
      <c r="L586" s="0" t="s">
        <v>2743</v>
      </c>
      <c r="N586" s="0" t="n">
        <v>12</v>
      </c>
      <c r="O586" s="0" t="n">
        <v>27.12</v>
      </c>
      <c r="P586" s="0" t="s">
        <v>2444</v>
      </c>
    </row>
    <row r="587" customFormat="false" ht="15" hidden="false" customHeight="true" outlineLevel="0" collapsed="false">
      <c r="A587" s="0" t="n">
        <v>2</v>
      </c>
      <c r="B587" s="71" t="n">
        <v>46183</v>
      </c>
      <c r="C587" s="0" t="n">
        <v>11</v>
      </c>
      <c r="D587" s="0" t="s">
        <v>2471</v>
      </c>
      <c r="E587" s="0" t="n">
        <v>1666</v>
      </c>
      <c r="F587" s="0" t="s">
        <v>266</v>
      </c>
      <c r="I587" s="0" t="n">
        <v>562635</v>
      </c>
      <c r="J587" s="0" t="n">
        <v>107538</v>
      </c>
      <c r="K587" s="0" t="n">
        <v>70330913431</v>
      </c>
      <c r="L587" s="0" t="s">
        <v>2744</v>
      </c>
      <c r="N587" s="0" t="n">
        <v>24</v>
      </c>
      <c r="O587" s="0" t="n">
        <v>91.2</v>
      </c>
      <c r="P587" s="0" t="s">
        <v>2444</v>
      </c>
    </row>
    <row r="588" customFormat="false" ht="15" hidden="false" customHeight="true" outlineLevel="0" collapsed="false">
      <c r="A588" s="0" t="n">
        <v>2</v>
      </c>
      <c r="B588" s="71" t="n">
        <v>46183</v>
      </c>
      <c r="C588" s="0" t="n">
        <v>11</v>
      </c>
      <c r="D588" s="0" t="s">
        <v>2471</v>
      </c>
      <c r="E588" s="0" t="n">
        <v>1666</v>
      </c>
      <c r="F588" s="0" t="s">
        <v>266</v>
      </c>
      <c r="I588" s="0" t="n">
        <v>562635</v>
      </c>
      <c r="J588" s="0" t="n">
        <v>15284</v>
      </c>
      <c r="K588" s="0" t="n">
        <v>70330717565</v>
      </c>
      <c r="L588" s="0" t="s">
        <v>2745</v>
      </c>
      <c r="N588" s="0" t="n">
        <v>12</v>
      </c>
      <c r="O588" s="0" t="n">
        <v>53.98</v>
      </c>
      <c r="P588" s="0" t="s">
        <v>2444</v>
      </c>
    </row>
    <row r="589" customFormat="false" ht="15" hidden="false" customHeight="true" outlineLevel="0" collapsed="false">
      <c r="A589" s="0" t="n">
        <v>2</v>
      </c>
      <c r="B589" s="71" t="n">
        <v>46183</v>
      </c>
      <c r="C589" s="0" t="n">
        <v>11</v>
      </c>
      <c r="D589" s="0" t="s">
        <v>2471</v>
      </c>
      <c r="E589" s="0" t="n">
        <v>1666</v>
      </c>
      <c r="F589" s="0" t="s">
        <v>266</v>
      </c>
      <c r="I589" s="0" t="n">
        <v>562635</v>
      </c>
      <c r="J589" s="0" t="n">
        <v>24990</v>
      </c>
      <c r="K589" s="0" t="n">
        <v>78935761</v>
      </c>
      <c r="L589" s="0" t="s">
        <v>2746</v>
      </c>
      <c r="N589" s="0" t="n">
        <v>270</v>
      </c>
      <c r="O589" s="0" t="n">
        <v>4002.15</v>
      </c>
      <c r="P589" s="0" t="s">
        <v>2444</v>
      </c>
    </row>
    <row r="590" customFormat="false" ht="15" hidden="false" customHeight="true" outlineLevel="0" collapsed="false">
      <c r="A590" s="0" t="n">
        <v>2</v>
      </c>
      <c r="B590" s="71" t="n">
        <v>46183</v>
      </c>
      <c r="C590" s="0" t="n">
        <v>11</v>
      </c>
      <c r="D590" s="0" t="s">
        <v>2471</v>
      </c>
      <c r="E590" s="0" t="n">
        <v>1666</v>
      </c>
      <c r="F590" s="0" t="s">
        <v>266</v>
      </c>
      <c r="I590" s="0" t="n">
        <v>562635</v>
      </c>
      <c r="J590" s="0" t="n">
        <v>34052</v>
      </c>
      <c r="K590" s="0" t="n">
        <v>7500435154437</v>
      </c>
      <c r="L590" s="0" t="s">
        <v>2747</v>
      </c>
      <c r="N590" s="0" t="n">
        <v>24</v>
      </c>
      <c r="O590" s="0" t="n">
        <v>65.95</v>
      </c>
      <c r="P590" s="0" t="s">
        <v>2444</v>
      </c>
    </row>
    <row r="591" customFormat="false" ht="15" hidden="false" customHeight="true" outlineLevel="0" collapsed="false">
      <c r="A591" s="0" t="n">
        <v>2</v>
      </c>
      <c r="B591" s="71" t="n">
        <v>46183</v>
      </c>
      <c r="C591" s="0" t="n">
        <v>11</v>
      </c>
      <c r="D591" s="0" t="s">
        <v>2471</v>
      </c>
      <c r="E591" s="0" t="n">
        <v>1666</v>
      </c>
      <c r="F591" s="0" t="s">
        <v>266</v>
      </c>
      <c r="I591" s="0" t="n">
        <v>562635</v>
      </c>
      <c r="J591" s="0" t="n">
        <v>35556</v>
      </c>
      <c r="K591" s="0" t="n">
        <v>7500435154420</v>
      </c>
      <c r="L591" s="0" t="s">
        <v>2748</v>
      </c>
      <c r="N591" s="0" t="n">
        <v>24</v>
      </c>
      <c r="O591" s="0" t="n">
        <v>65.95</v>
      </c>
      <c r="P591" s="0" t="s">
        <v>2444</v>
      </c>
    </row>
    <row r="592" customFormat="false" ht="15" hidden="false" customHeight="true" outlineLevel="0" collapsed="false">
      <c r="A592" s="0" t="n">
        <v>2</v>
      </c>
      <c r="B592" s="71" t="n">
        <v>46183</v>
      </c>
      <c r="C592" s="0" t="n">
        <v>11</v>
      </c>
      <c r="D592" s="0" t="s">
        <v>2471</v>
      </c>
      <c r="E592" s="0" t="n">
        <v>1666</v>
      </c>
      <c r="F592" s="0" t="s">
        <v>266</v>
      </c>
      <c r="I592" s="0" t="n">
        <v>562635</v>
      </c>
      <c r="J592" s="0" t="n">
        <v>37535</v>
      </c>
      <c r="K592" s="0" t="n">
        <v>78942073</v>
      </c>
      <c r="L592" s="0" t="s">
        <v>2749</v>
      </c>
      <c r="N592" s="0" t="n">
        <v>20</v>
      </c>
      <c r="O592" s="0" t="n">
        <v>258.81</v>
      </c>
      <c r="P592" s="0" t="s">
        <v>2444</v>
      </c>
    </row>
    <row r="593" customFormat="false" ht="15" hidden="false" customHeight="true" outlineLevel="0" collapsed="false">
      <c r="A593" s="0" t="n">
        <v>2</v>
      </c>
      <c r="B593" s="71" t="n">
        <v>46183</v>
      </c>
      <c r="C593" s="0" t="n">
        <v>11</v>
      </c>
      <c r="D593" s="0" t="s">
        <v>2471</v>
      </c>
      <c r="E593" s="0" t="n">
        <v>1666</v>
      </c>
      <c r="F593" s="0" t="s">
        <v>266</v>
      </c>
      <c r="I593" s="0" t="n">
        <v>562635</v>
      </c>
      <c r="J593" s="0" t="n">
        <v>37536</v>
      </c>
      <c r="K593" s="0" t="n">
        <v>78942066</v>
      </c>
      <c r="L593" s="0" t="s">
        <v>2750</v>
      </c>
      <c r="N593" s="0" t="n">
        <v>100</v>
      </c>
      <c r="O593" s="0" t="n">
        <v>1341.09</v>
      </c>
      <c r="P593" s="0" t="s">
        <v>2444</v>
      </c>
    </row>
    <row r="594" customFormat="false" ht="15" hidden="false" customHeight="true" outlineLevel="0" collapsed="false">
      <c r="A594" s="0" t="n">
        <v>2</v>
      </c>
      <c r="B594" s="71" t="n">
        <v>46183</v>
      </c>
      <c r="C594" s="0" t="n">
        <v>11</v>
      </c>
      <c r="D594" s="0" t="s">
        <v>2471</v>
      </c>
      <c r="E594" s="0" t="n">
        <v>1666</v>
      </c>
      <c r="F594" s="0" t="s">
        <v>266</v>
      </c>
      <c r="I594" s="0" t="n">
        <v>562635</v>
      </c>
      <c r="J594" s="0" t="n">
        <v>40750</v>
      </c>
      <c r="K594" s="0" t="n">
        <v>78943032</v>
      </c>
      <c r="L594" s="0" t="s">
        <v>2751</v>
      </c>
      <c r="N594" s="0" t="n">
        <v>50</v>
      </c>
      <c r="O594" s="0" t="n">
        <v>635.26</v>
      </c>
      <c r="P594" s="0" t="s">
        <v>2444</v>
      </c>
    </row>
    <row r="595" customFormat="false" ht="15" hidden="false" customHeight="true" outlineLevel="0" collapsed="false">
      <c r="A595" s="0" t="n">
        <v>2</v>
      </c>
      <c r="B595" s="71" t="n">
        <v>46183</v>
      </c>
      <c r="C595" s="0" t="n">
        <v>11</v>
      </c>
      <c r="D595" s="0" t="s">
        <v>2471</v>
      </c>
      <c r="E595" s="0" t="n">
        <v>1666</v>
      </c>
      <c r="F595" s="0" t="s">
        <v>266</v>
      </c>
      <c r="I595" s="0" t="n">
        <v>562635</v>
      </c>
      <c r="J595" s="0" t="n">
        <v>49090</v>
      </c>
      <c r="K595" s="0" t="n">
        <v>78942813</v>
      </c>
      <c r="L595" s="0" t="s">
        <v>2752</v>
      </c>
      <c r="N595" s="0" t="n">
        <v>40</v>
      </c>
      <c r="O595" s="0" t="n">
        <v>451.74</v>
      </c>
      <c r="P595" s="0" t="s">
        <v>2444</v>
      </c>
    </row>
    <row r="596" customFormat="false" ht="15" hidden="false" customHeight="true" outlineLevel="0" collapsed="false">
      <c r="A596" s="0" t="n">
        <v>2</v>
      </c>
      <c r="B596" s="71" t="n">
        <v>46183</v>
      </c>
      <c r="C596" s="0" t="n">
        <v>11</v>
      </c>
      <c r="D596" s="0" t="s">
        <v>2471</v>
      </c>
      <c r="E596" s="0" t="n">
        <v>1666</v>
      </c>
      <c r="F596" s="0" t="s">
        <v>266</v>
      </c>
      <c r="I596" s="0" t="n">
        <v>562635</v>
      </c>
      <c r="J596" s="0" t="n">
        <v>50760</v>
      </c>
      <c r="K596" s="0" t="n">
        <v>78943087</v>
      </c>
      <c r="L596" s="0" t="s">
        <v>2753</v>
      </c>
      <c r="N596" s="0" t="n">
        <v>60</v>
      </c>
      <c r="O596" s="0" t="n">
        <v>705.84</v>
      </c>
      <c r="P596" s="0" t="s">
        <v>2444</v>
      </c>
    </row>
    <row r="597" customFormat="false" ht="15" hidden="false" customHeight="true" outlineLevel="0" collapsed="false">
      <c r="A597" s="0" t="n">
        <v>2</v>
      </c>
      <c r="B597" s="71" t="n">
        <v>46183</v>
      </c>
      <c r="C597" s="0" t="n">
        <v>11</v>
      </c>
      <c r="D597" s="0" t="s">
        <v>2471</v>
      </c>
      <c r="E597" s="0" t="n">
        <v>1666</v>
      </c>
      <c r="F597" s="0" t="s">
        <v>266</v>
      </c>
      <c r="I597" s="0" t="n">
        <v>562635</v>
      </c>
      <c r="J597" s="0" t="n">
        <v>53207</v>
      </c>
      <c r="K597" s="0" t="n">
        <v>78944480</v>
      </c>
      <c r="L597" s="0" t="s">
        <v>2754</v>
      </c>
      <c r="N597" s="0" t="n">
        <v>100</v>
      </c>
      <c r="O597" s="0" t="n">
        <v>941.12</v>
      </c>
      <c r="P597" s="0" t="s">
        <v>2444</v>
      </c>
    </row>
    <row r="598" customFormat="false" ht="15" hidden="false" customHeight="true" outlineLevel="0" collapsed="false">
      <c r="A598" s="0" t="n">
        <v>2</v>
      </c>
      <c r="B598" s="71" t="n">
        <v>46183</v>
      </c>
      <c r="C598" s="0" t="n">
        <v>11</v>
      </c>
      <c r="D598" s="0" t="s">
        <v>2471</v>
      </c>
      <c r="E598" s="0" t="n">
        <v>1666</v>
      </c>
      <c r="F598" s="0" t="s">
        <v>266</v>
      </c>
      <c r="I598" s="0" t="n">
        <v>562635</v>
      </c>
      <c r="J598" s="0" t="n">
        <v>57287</v>
      </c>
      <c r="K598" s="0" t="n">
        <v>78944251</v>
      </c>
      <c r="L598" s="0" t="s">
        <v>2755</v>
      </c>
      <c r="N598" s="0" t="n">
        <v>20</v>
      </c>
      <c r="O598" s="0" t="n">
        <v>258.81</v>
      </c>
      <c r="P598" s="0" t="s">
        <v>2444</v>
      </c>
    </row>
    <row r="599" customFormat="false" ht="15" hidden="false" customHeight="true" outlineLevel="0" collapsed="false">
      <c r="A599" s="0" t="n">
        <v>2</v>
      </c>
      <c r="B599" s="71" t="n">
        <v>46183</v>
      </c>
      <c r="C599" s="0" t="n">
        <v>11</v>
      </c>
      <c r="D599" s="0" t="s">
        <v>2471</v>
      </c>
      <c r="E599" s="0" t="n">
        <v>1666</v>
      </c>
      <c r="F599" s="0" t="s">
        <v>266</v>
      </c>
      <c r="I599" s="0" t="n">
        <v>562635</v>
      </c>
      <c r="J599" s="0" t="n">
        <v>67009</v>
      </c>
      <c r="K599" s="0" t="n">
        <v>78944237</v>
      </c>
      <c r="L599" s="0" t="s">
        <v>2756</v>
      </c>
      <c r="N599" s="0" t="n">
        <v>200</v>
      </c>
      <c r="O599" s="0" t="n">
        <v>1458.75</v>
      </c>
      <c r="P599" s="0" t="s">
        <v>2444</v>
      </c>
    </row>
    <row r="600" customFormat="false" ht="15" hidden="false" customHeight="true" outlineLevel="0" collapsed="false">
      <c r="A600" s="0" t="n">
        <v>2</v>
      </c>
      <c r="B600" s="71" t="n">
        <v>46183</v>
      </c>
      <c r="C600" s="0" t="n">
        <v>11</v>
      </c>
      <c r="D600" s="0" t="s">
        <v>2471</v>
      </c>
      <c r="E600" s="0" t="n">
        <v>1666</v>
      </c>
      <c r="F600" s="0" t="s">
        <v>266</v>
      </c>
      <c r="I600" s="0" t="n">
        <v>562635</v>
      </c>
      <c r="J600" s="0" t="n">
        <v>67177</v>
      </c>
      <c r="K600" s="0" t="n">
        <v>78944466</v>
      </c>
      <c r="L600" s="0" t="s">
        <v>2757</v>
      </c>
      <c r="N600" s="0" t="n">
        <v>300</v>
      </c>
      <c r="O600" s="0" t="n">
        <v>3035.15</v>
      </c>
      <c r="P600" s="0" t="s">
        <v>2444</v>
      </c>
    </row>
    <row r="601" customFormat="false" ht="15" hidden="false" customHeight="true" outlineLevel="0" collapsed="false">
      <c r="A601" s="0" t="n">
        <v>2</v>
      </c>
      <c r="B601" s="71" t="n">
        <v>46183</v>
      </c>
      <c r="C601" s="0" t="n">
        <v>11</v>
      </c>
      <c r="D601" s="0" t="s">
        <v>2471</v>
      </c>
      <c r="E601" s="0" t="n">
        <v>1666</v>
      </c>
      <c r="F601" s="0" t="s">
        <v>266</v>
      </c>
      <c r="I601" s="0" t="n">
        <v>562635</v>
      </c>
      <c r="J601" s="0" t="n">
        <v>67622</v>
      </c>
      <c r="K601" s="0" t="n">
        <v>78944503</v>
      </c>
      <c r="L601" s="0" t="s">
        <v>2758</v>
      </c>
      <c r="N601" s="0" t="n">
        <v>20</v>
      </c>
      <c r="O601" s="0" t="n">
        <v>188.22</v>
      </c>
      <c r="P601" s="0" t="s">
        <v>2444</v>
      </c>
    </row>
    <row r="602" customFormat="false" ht="15" hidden="false" customHeight="true" outlineLevel="0" collapsed="false">
      <c r="A602" s="0" t="n">
        <v>2</v>
      </c>
      <c r="B602" s="71" t="n">
        <v>46183</v>
      </c>
      <c r="C602" s="0" t="n">
        <v>11</v>
      </c>
      <c r="D602" s="0" t="s">
        <v>2471</v>
      </c>
      <c r="E602" s="0" t="n">
        <v>1666</v>
      </c>
      <c r="F602" s="0" t="s">
        <v>266</v>
      </c>
      <c r="I602" s="0" t="n">
        <v>562635</v>
      </c>
      <c r="J602" s="0" t="n">
        <v>71518</v>
      </c>
      <c r="K602" s="0" t="n">
        <v>78946200</v>
      </c>
      <c r="L602" s="0" t="s">
        <v>2759</v>
      </c>
      <c r="N602" s="0" t="n">
        <v>20</v>
      </c>
      <c r="O602" s="0" t="n">
        <v>145.88</v>
      </c>
      <c r="P602" s="0" t="s">
        <v>2444</v>
      </c>
    </row>
    <row r="603" customFormat="false" ht="15" hidden="false" customHeight="true" outlineLevel="0" collapsed="false">
      <c r="A603" s="0" t="n">
        <v>2</v>
      </c>
      <c r="B603" s="71" t="n">
        <v>46183</v>
      </c>
      <c r="C603" s="0" t="n">
        <v>11</v>
      </c>
      <c r="D603" s="0" t="s">
        <v>2471</v>
      </c>
      <c r="E603" s="0" t="n">
        <v>1666</v>
      </c>
      <c r="F603" s="0" t="s">
        <v>266</v>
      </c>
      <c r="I603" s="0" t="n">
        <v>562635</v>
      </c>
      <c r="J603" s="0" t="n">
        <v>77084</v>
      </c>
      <c r="K603" s="0" t="n">
        <v>78947535</v>
      </c>
      <c r="L603" s="0" t="s">
        <v>2760</v>
      </c>
      <c r="N603" s="0" t="n">
        <v>60</v>
      </c>
      <c r="O603" s="0" t="n">
        <v>917.61</v>
      </c>
      <c r="P603" s="0" t="s">
        <v>2444</v>
      </c>
    </row>
    <row r="604" customFormat="false" ht="15" hidden="false" customHeight="true" outlineLevel="0" collapsed="false">
      <c r="A604" s="0" t="n">
        <v>2</v>
      </c>
      <c r="B604" s="71" t="n">
        <v>46183</v>
      </c>
      <c r="C604" s="0" t="n">
        <v>11</v>
      </c>
      <c r="D604" s="0" t="s">
        <v>2471</v>
      </c>
      <c r="E604" s="0" t="n">
        <v>1666</v>
      </c>
      <c r="F604" s="0" t="s">
        <v>266</v>
      </c>
      <c r="I604" s="0" t="n">
        <v>562635</v>
      </c>
      <c r="J604" s="0" t="n">
        <v>78026</v>
      </c>
      <c r="K604" s="0" t="n">
        <v>78947504</v>
      </c>
      <c r="L604" s="0" t="s">
        <v>2761</v>
      </c>
      <c r="N604" s="0" t="n">
        <v>100</v>
      </c>
      <c r="O604" s="0" t="n">
        <v>1247</v>
      </c>
      <c r="P604" s="0" t="s">
        <v>2444</v>
      </c>
    </row>
    <row r="605" customFormat="false" ht="15" hidden="false" customHeight="true" outlineLevel="0" collapsed="false">
      <c r="A605" s="0" t="n">
        <v>2</v>
      </c>
      <c r="B605" s="71" t="n">
        <v>46183</v>
      </c>
      <c r="C605" s="0" t="n">
        <v>11</v>
      </c>
      <c r="D605" s="0" t="s">
        <v>2471</v>
      </c>
      <c r="E605" s="0" t="n">
        <v>1666</v>
      </c>
      <c r="F605" s="0" t="s">
        <v>266</v>
      </c>
      <c r="I605" s="0" t="n">
        <v>562635</v>
      </c>
      <c r="J605" s="0" t="n">
        <v>78170</v>
      </c>
      <c r="K605" s="0" t="n">
        <v>781718</v>
      </c>
      <c r="L605" s="0" t="s">
        <v>2762</v>
      </c>
      <c r="N605" s="0" t="n">
        <v>230</v>
      </c>
      <c r="O605" s="0" t="n">
        <v>1677.56</v>
      </c>
      <c r="P605" s="0" t="s">
        <v>2444</v>
      </c>
    </row>
    <row r="606" customFormat="false" ht="15" hidden="false" customHeight="true" outlineLevel="0" collapsed="false">
      <c r="A606" s="0" t="n">
        <v>2</v>
      </c>
      <c r="B606" s="71" t="n">
        <v>46183</v>
      </c>
      <c r="C606" s="0" t="n">
        <v>11</v>
      </c>
      <c r="D606" s="0" t="s">
        <v>2471</v>
      </c>
      <c r="E606" s="0" t="n">
        <v>1666</v>
      </c>
      <c r="F606" s="0" t="s">
        <v>266</v>
      </c>
      <c r="I606" s="0" t="n">
        <v>562635</v>
      </c>
      <c r="J606" s="0" t="n">
        <v>78629</v>
      </c>
      <c r="K606" s="0" t="n">
        <v>786300</v>
      </c>
      <c r="L606" s="0" t="s">
        <v>2763</v>
      </c>
      <c r="N606" s="0" t="n">
        <v>80</v>
      </c>
      <c r="O606" s="0" t="n">
        <v>752.9</v>
      </c>
      <c r="P606" s="0" t="s">
        <v>2444</v>
      </c>
    </row>
    <row r="607" customFormat="false" ht="15" hidden="false" customHeight="true" outlineLevel="0" collapsed="false">
      <c r="A607" s="0" t="n">
        <v>2</v>
      </c>
      <c r="B607" s="71" t="n">
        <v>46183</v>
      </c>
      <c r="C607" s="0" t="n">
        <v>22</v>
      </c>
      <c r="D607" s="0" t="s">
        <v>2479</v>
      </c>
      <c r="E607" s="0" t="n">
        <v>48</v>
      </c>
      <c r="F607" s="0" t="s">
        <v>153</v>
      </c>
      <c r="I607" s="0" t="n">
        <v>2492</v>
      </c>
      <c r="J607" s="0" t="n">
        <v>100000</v>
      </c>
      <c r="K607" s="0" t="n">
        <v>1</v>
      </c>
      <c r="L607" s="0" t="s">
        <v>2480</v>
      </c>
      <c r="N607" s="0" t="n">
        <v>2.758</v>
      </c>
      <c r="O607" s="0" t="n">
        <v>52.55</v>
      </c>
      <c r="P607" s="0" t="s">
        <v>2444</v>
      </c>
    </row>
    <row r="608" customFormat="false" ht="15" hidden="false" customHeight="true" outlineLevel="0" collapsed="false">
      <c r="A608" s="0" t="n">
        <v>2</v>
      </c>
      <c r="B608" s="71" t="n">
        <v>46183</v>
      </c>
      <c r="C608" s="0" t="n">
        <v>22</v>
      </c>
      <c r="D608" s="0" t="s">
        <v>2479</v>
      </c>
      <c r="E608" s="0" t="n">
        <v>48</v>
      </c>
      <c r="F608" s="0" t="s">
        <v>153</v>
      </c>
      <c r="I608" s="0" t="n">
        <v>2492</v>
      </c>
      <c r="J608" s="0" t="n">
        <v>100000</v>
      </c>
      <c r="K608" s="0" t="n">
        <v>1</v>
      </c>
      <c r="L608" s="0" t="s">
        <v>2480</v>
      </c>
      <c r="N608" s="0" t="n">
        <v>3.162</v>
      </c>
      <c r="O608" s="0" t="n">
        <v>63.97</v>
      </c>
      <c r="P608" s="0" t="s">
        <v>2444</v>
      </c>
    </row>
    <row r="609" customFormat="false" ht="15" hidden="false" customHeight="true" outlineLevel="0" collapsed="false">
      <c r="A609" s="0" t="n">
        <v>2</v>
      </c>
      <c r="B609" s="71" t="n">
        <v>46183</v>
      </c>
      <c r="C609" s="0" t="n">
        <v>22</v>
      </c>
      <c r="D609" s="0" t="s">
        <v>2479</v>
      </c>
      <c r="E609" s="0" t="n">
        <v>48</v>
      </c>
      <c r="F609" s="0" t="s">
        <v>153</v>
      </c>
      <c r="I609" s="0" t="n">
        <v>2492</v>
      </c>
      <c r="J609" s="0" t="n">
        <v>100001</v>
      </c>
      <c r="K609" s="0" t="n">
        <v>2</v>
      </c>
      <c r="L609" s="0" t="s">
        <v>2481</v>
      </c>
      <c r="N609" s="0" t="n">
        <v>9.52</v>
      </c>
      <c r="O609" s="0" t="n">
        <v>196.5</v>
      </c>
      <c r="P609" s="0" t="s">
        <v>2444</v>
      </c>
    </row>
    <row r="610" customFormat="false" ht="15" hidden="false" customHeight="true" outlineLevel="0" collapsed="false">
      <c r="A610" s="0" t="n">
        <v>2</v>
      </c>
      <c r="B610" s="71" t="n">
        <v>46183</v>
      </c>
      <c r="C610" s="0" t="n">
        <v>22</v>
      </c>
      <c r="D610" s="0" t="s">
        <v>2479</v>
      </c>
      <c r="E610" s="0" t="n">
        <v>48</v>
      </c>
      <c r="F610" s="0" t="s">
        <v>153</v>
      </c>
      <c r="I610" s="0" t="n">
        <v>2492</v>
      </c>
      <c r="J610" s="0" t="n">
        <v>100002</v>
      </c>
      <c r="K610" s="0" t="n">
        <v>3</v>
      </c>
      <c r="L610" s="0" t="s">
        <v>2482</v>
      </c>
      <c r="N610" s="0" t="n">
        <v>19.66</v>
      </c>
      <c r="O610" s="0" t="n">
        <v>468.24</v>
      </c>
      <c r="P610" s="0" t="s">
        <v>2444</v>
      </c>
    </row>
    <row r="611" customFormat="false" ht="15" hidden="false" customHeight="true" outlineLevel="0" collapsed="false">
      <c r="A611" s="0" t="n">
        <v>2</v>
      </c>
      <c r="B611" s="71" t="n">
        <v>46183</v>
      </c>
      <c r="C611" s="0" t="n">
        <v>22</v>
      </c>
      <c r="D611" s="0" t="s">
        <v>2479</v>
      </c>
      <c r="E611" s="0" t="n">
        <v>48</v>
      </c>
      <c r="F611" s="0" t="s">
        <v>153</v>
      </c>
      <c r="I611" s="0" t="n">
        <v>2492</v>
      </c>
      <c r="J611" s="0" t="n">
        <v>100003</v>
      </c>
      <c r="K611" s="0" t="n">
        <v>4</v>
      </c>
      <c r="L611" s="0" t="s">
        <v>2483</v>
      </c>
      <c r="N611" s="0" t="n">
        <v>18.91</v>
      </c>
      <c r="O611" s="0" t="n">
        <v>480.42</v>
      </c>
      <c r="P611" s="0" t="s">
        <v>2444</v>
      </c>
    </row>
    <row r="612" customFormat="false" ht="15" hidden="false" customHeight="true" outlineLevel="0" collapsed="false">
      <c r="A612" s="0" t="n">
        <v>2</v>
      </c>
      <c r="B612" s="71" t="n">
        <v>46183</v>
      </c>
      <c r="C612" s="0" t="n">
        <v>22</v>
      </c>
      <c r="D612" s="0" t="s">
        <v>2479</v>
      </c>
      <c r="E612" s="0" t="n">
        <v>48</v>
      </c>
      <c r="F612" s="0" t="s">
        <v>153</v>
      </c>
      <c r="I612" s="0" t="n">
        <v>2492</v>
      </c>
      <c r="J612" s="0" t="n">
        <v>100004</v>
      </c>
      <c r="K612" s="0" t="n">
        <v>5</v>
      </c>
      <c r="L612" s="0" t="s">
        <v>2484</v>
      </c>
      <c r="N612" s="0" t="n">
        <v>1.188</v>
      </c>
      <c r="O612" s="0" t="n">
        <v>26.41</v>
      </c>
      <c r="P612" s="0" t="s">
        <v>2444</v>
      </c>
    </row>
    <row r="613" customFormat="false" ht="15" hidden="false" customHeight="true" outlineLevel="0" collapsed="false">
      <c r="A613" s="0" t="n">
        <v>2</v>
      </c>
      <c r="B613" s="71" t="n">
        <v>46183</v>
      </c>
      <c r="C613" s="0" t="n">
        <v>22</v>
      </c>
      <c r="D613" s="0" t="s">
        <v>2479</v>
      </c>
      <c r="E613" s="0" t="n">
        <v>48</v>
      </c>
      <c r="F613" s="0" t="s">
        <v>153</v>
      </c>
      <c r="I613" s="0" t="n">
        <v>2492</v>
      </c>
      <c r="J613" s="0" t="n">
        <v>100005</v>
      </c>
      <c r="K613" s="0" t="n">
        <v>6</v>
      </c>
      <c r="L613" s="0" t="s">
        <v>2582</v>
      </c>
      <c r="N613" s="0" t="n">
        <v>2.556</v>
      </c>
      <c r="O613" s="0" t="n">
        <v>60.88</v>
      </c>
      <c r="P613" s="0" t="s">
        <v>2444</v>
      </c>
    </row>
    <row r="614" customFormat="false" ht="15" hidden="false" customHeight="true" outlineLevel="0" collapsed="false">
      <c r="A614" s="0" t="n">
        <v>2</v>
      </c>
      <c r="B614" s="71" t="n">
        <v>46183</v>
      </c>
      <c r="C614" s="0" t="n">
        <v>22</v>
      </c>
      <c r="D614" s="0" t="s">
        <v>2479</v>
      </c>
      <c r="E614" s="0" t="n">
        <v>48</v>
      </c>
      <c r="F614" s="0" t="s">
        <v>153</v>
      </c>
      <c r="I614" s="0" t="n">
        <v>2492</v>
      </c>
      <c r="J614" s="0" t="n">
        <v>100006</v>
      </c>
      <c r="K614" s="0" t="n">
        <v>7</v>
      </c>
      <c r="L614" s="0" t="s">
        <v>2485</v>
      </c>
      <c r="N614" s="0" t="n">
        <v>2.694</v>
      </c>
      <c r="O614" s="0" t="n">
        <v>77.22</v>
      </c>
      <c r="P614" s="0" t="s">
        <v>2444</v>
      </c>
    </row>
    <row r="615" customFormat="false" ht="15" hidden="false" customHeight="true" outlineLevel="0" collapsed="false">
      <c r="A615" s="0" t="n">
        <v>2</v>
      </c>
      <c r="B615" s="71" t="n">
        <v>46183</v>
      </c>
      <c r="C615" s="0" t="n">
        <v>22</v>
      </c>
      <c r="D615" s="0" t="s">
        <v>2479</v>
      </c>
      <c r="E615" s="0" t="n">
        <v>48</v>
      </c>
      <c r="F615" s="0" t="s">
        <v>153</v>
      </c>
      <c r="I615" s="0" t="n">
        <v>2492</v>
      </c>
      <c r="J615" s="0" t="n">
        <v>100007</v>
      </c>
      <c r="K615" s="0" t="n">
        <v>8</v>
      </c>
      <c r="L615" s="0" t="s">
        <v>2486</v>
      </c>
      <c r="N615" s="0" t="n">
        <v>1.716</v>
      </c>
      <c r="O615" s="0" t="n">
        <v>40.87</v>
      </c>
      <c r="P615" s="0" t="s">
        <v>2444</v>
      </c>
    </row>
    <row r="616" customFormat="false" ht="15" hidden="false" customHeight="true" outlineLevel="0" collapsed="false">
      <c r="A616" s="0" t="n">
        <v>2</v>
      </c>
      <c r="B616" s="71" t="n">
        <v>46183</v>
      </c>
      <c r="C616" s="0" t="n">
        <v>22</v>
      </c>
      <c r="D616" s="0" t="s">
        <v>2479</v>
      </c>
      <c r="E616" s="0" t="n">
        <v>48</v>
      </c>
      <c r="F616" s="0" t="s">
        <v>153</v>
      </c>
      <c r="I616" s="0" t="n">
        <v>2492</v>
      </c>
      <c r="J616" s="0" t="n">
        <v>100007</v>
      </c>
      <c r="K616" s="0" t="n">
        <v>8</v>
      </c>
      <c r="L616" s="0" t="s">
        <v>2486</v>
      </c>
      <c r="N616" s="0" t="n">
        <v>1.984</v>
      </c>
      <c r="O616" s="0" t="n">
        <v>50.17</v>
      </c>
      <c r="P616" s="0" t="s">
        <v>2444</v>
      </c>
    </row>
    <row r="617" customFormat="false" ht="15" hidden="false" customHeight="true" outlineLevel="0" collapsed="false">
      <c r="A617" s="0" t="n">
        <v>2</v>
      </c>
      <c r="B617" s="71" t="n">
        <v>46183</v>
      </c>
      <c r="C617" s="0" t="n">
        <v>22</v>
      </c>
      <c r="D617" s="0" t="s">
        <v>2479</v>
      </c>
      <c r="E617" s="0" t="n">
        <v>48</v>
      </c>
      <c r="F617" s="0" t="s">
        <v>153</v>
      </c>
      <c r="I617" s="0" t="n">
        <v>2492</v>
      </c>
      <c r="J617" s="0" t="n">
        <v>100008</v>
      </c>
      <c r="K617" s="0" t="n">
        <v>9</v>
      </c>
      <c r="L617" s="0" t="s">
        <v>2487</v>
      </c>
      <c r="N617" s="0" t="n">
        <v>14.725</v>
      </c>
      <c r="O617" s="0" t="n">
        <v>433.47</v>
      </c>
      <c r="P617" s="0" t="s">
        <v>2444</v>
      </c>
    </row>
    <row r="618" customFormat="false" ht="15" hidden="false" customHeight="true" outlineLevel="0" collapsed="false">
      <c r="A618" s="0" t="n">
        <v>2</v>
      </c>
      <c r="B618" s="71" t="n">
        <v>46183</v>
      </c>
      <c r="C618" s="0" t="n">
        <v>22</v>
      </c>
      <c r="D618" s="0" t="s">
        <v>2479</v>
      </c>
      <c r="E618" s="0" t="n">
        <v>48</v>
      </c>
      <c r="F618" s="0" t="s">
        <v>153</v>
      </c>
      <c r="I618" s="0" t="n">
        <v>2492</v>
      </c>
      <c r="J618" s="0" t="n">
        <v>100008</v>
      </c>
      <c r="K618" s="0" t="n">
        <v>9</v>
      </c>
      <c r="L618" s="0" t="s">
        <v>2487</v>
      </c>
      <c r="N618" s="0" t="n">
        <v>14.56</v>
      </c>
      <c r="O618" s="0" t="n">
        <v>478.72</v>
      </c>
      <c r="P618" s="0" t="s">
        <v>2444</v>
      </c>
    </row>
    <row r="619" customFormat="false" ht="15" hidden="false" customHeight="true" outlineLevel="0" collapsed="false">
      <c r="A619" s="0" t="n">
        <v>2</v>
      </c>
      <c r="B619" s="71" t="n">
        <v>46183</v>
      </c>
      <c r="C619" s="0" t="n">
        <v>22</v>
      </c>
      <c r="D619" s="0" t="s">
        <v>2479</v>
      </c>
      <c r="E619" s="0" t="n">
        <v>48</v>
      </c>
      <c r="F619" s="0" t="s">
        <v>153</v>
      </c>
      <c r="I619" s="0" t="n">
        <v>2492</v>
      </c>
      <c r="J619" s="0" t="n">
        <v>100011</v>
      </c>
      <c r="K619" s="0" t="n">
        <v>12</v>
      </c>
      <c r="L619" s="0" t="s">
        <v>2488</v>
      </c>
      <c r="N619" s="0" t="n">
        <v>10.77</v>
      </c>
      <c r="O619" s="0" t="n">
        <v>399.52</v>
      </c>
      <c r="P619" s="0" t="s">
        <v>2444</v>
      </c>
    </row>
    <row r="620" customFormat="false" ht="15" hidden="false" customHeight="true" outlineLevel="0" collapsed="false">
      <c r="A620" s="0" t="n">
        <v>2</v>
      </c>
      <c r="B620" s="71" t="n">
        <v>46183</v>
      </c>
      <c r="C620" s="0" t="n">
        <v>22</v>
      </c>
      <c r="D620" s="0" t="s">
        <v>2479</v>
      </c>
      <c r="E620" s="0" t="n">
        <v>48</v>
      </c>
      <c r="F620" s="0" t="s">
        <v>153</v>
      </c>
      <c r="I620" s="0" t="n">
        <v>2492</v>
      </c>
      <c r="J620" s="0" t="n">
        <v>100012</v>
      </c>
      <c r="K620" s="0" t="n">
        <v>13</v>
      </c>
      <c r="L620" s="0" t="s">
        <v>2489</v>
      </c>
      <c r="N620" s="0" t="n">
        <v>5.548</v>
      </c>
      <c r="O620" s="0" t="n">
        <v>233.88</v>
      </c>
      <c r="P620" s="0" t="s">
        <v>2444</v>
      </c>
    </row>
    <row r="621" customFormat="false" ht="15" hidden="false" customHeight="true" outlineLevel="0" collapsed="false">
      <c r="A621" s="0" t="n">
        <v>2</v>
      </c>
      <c r="B621" s="71" t="n">
        <v>46183</v>
      </c>
      <c r="C621" s="0" t="n">
        <v>22</v>
      </c>
      <c r="D621" s="0" t="s">
        <v>2479</v>
      </c>
      <c r="E621" s="0" t="n">
        <v>48</v>
      </c>
      <c r="F621" s="0" t="s">
        <v>153</v>
      </c>
      <c r="I621" s="0" t="n">
        <v>2492</v>
      </c>
      <c r="J621" s="0" t="n">
        <v>100013</v>
      </c>
      <c r="K621" s="0" t="n">
        <v>14</v>
      </c>
      <c r="L621" s="0" t="s">
        <v>2490</v>
      </c>
      <c r="N621" s="0" t="n">
        <v>11.46</v>
      </c>
      <c r="O621" s="0" t="n">
        <v>512.09</v>
      </c>
      <c r="P621" s="0" t="s">
        <v>2444</v>
      </c>
    </row>
    <row r="622" customFormat="false" ht="15" hidden="false" customHeight="true" outlineLevel="0" collapsed="false">
      <c r="A622" s="0" t="n">
        <v>2</v>
      </c>
      <c r="B622" s="71" t="n">
        <v>46183</v>
      </c>
      <c r="C622" s="0" t="n">
        <v>22</v>
      </c>
      <c r="D622" s="0" t="s">
        <v>2479</v>
      </c>
      <c r="E622" s="0" t="n">
        <v>48</v>
      </c>
      <c r="F622" s="0" t="s">
        <v>153</v>
      </c>
      <c r="I622" s="0" t="n">
        <v>2492</v>
      </c>
      <c r="J622" s="0" t="n">
        <v>100014</v>
      </c>
      <c r="K622" s="0" t="n">
        <v>15</v>
      </c>
      <c r="L622" s="0" t="s">
        <v>2491</v>
      </c>
      <c r="N622" s="0" t="n">
        <v>4.59</v>
      </c>
      <c r="O622" s="0" t="n">
        <v>208.97</v>
      </c>
      <c r="P622" s="0" t="s">
        <v>2444</v>
      </c>
    </row>
    <row r="623" customFormat="false" ht="15" hidden="false" customHeight="true" outlineLevel="0" collapsed="false">
      <c r="A623" s="0" t="n">
        <v>2</v>
      </c>
      <c r="B623" s="71" t="n">
        <v>46183</v>
      </c>
      <c r="C623" s="0" t="n">
        <v>22</v>
      </c>
      <c r="D623" s="0" t="s">
        <v>2479</v>
      </c>
      <c r="E623" s="0" t="n">
        <v>48</v>
      </c>
      <c r="F623" s="0" t="s">
        <v>153</v>
      </c>
      <c r="I623" s="0" t="n">
        <v>2492</v>
      </c>
      <c r="J623" s="0" t="n">
        <v>100015</v>
      </c>
      <c r="K623" s="0" t="n">
        <v>16</v>
      </c>
      <c r="L623" s="0" t="s">
        <v>2492</v>
      </c>
      <c r="N623" s="0" t="n">
        <v>2.338</v>
      </c>
      <c r="O623" s="0" t="n">
        <v>94.62</v>
      </c>
      <c r="P623" s="0" t="s">
        <v>2444</v>
      </c>
    </row>
    <row r="624" customFormat="false" ht="15" hidden="false" customHeight="true" outlineLevel="0" collapsed="false">
      <c r="A624" s="0" t="n">
        <v>2</v>
      </c>
      <c r="B624" s="71" t="n">
        <v>46183</v>
      </c>
      <c r="C624" s="0" t="n">
        <v>22</v>
      </c>
      <c r="D624" s="0" t="s">
        <v>2479</v>
      </c>
      <c r="E624" s="0" t="n">
        <v>48</v>
      </c>
      <c r="F624" s="0" t="s">
        <v>153</v>
      </c>
      <c r="I624" s="0" t="n">
        <v>2492</v>
      </c>
      <c r="J624" s="0" t="n">
        <v>100016</v>
      </c>
      <c r="K624" s="0" t="n">
        <v>17</v>
      </c>
      <c r="L624" s="0" t="s">
        <v>2493</v>
      </c>
      <c r="N624" s="0" t="n">
        <v>2.728</v>
      </c>
      <c r="O624" s="0" t="n">
        <v>123.56</v>
      </c>
      <c r="P624" s="0" t="s">
        <v>2444</v>
      </c>
    </row>
    <row r="625" customFormat="false" ht="15" hidden="false" customHeight="true" outlineLevel="0" collapsed="false">
      <c r="A625" s="0" t="n">
        <v>2</v>
      </c>
      <c r="B625" s="71" t="n">
        <v>46183</v>
      </c>
      <c r="C625" s="0" t="n">
        <v>22</v>
      </c>
      <c r="D625" s="0" t="s">
        <v>2479</v>
      </c>
      <c r="E625" s="0" t="n">
        <v>48</v>
      </c>
      <c r="F625" s="0" t="s">
        <v>153</v>
      </c>
      <c r="I625" s="0" t="n">
        <v>2492</v>
      </c>
      <c r="J625" s="0" t="n">
        <v>100016</v>
      </c>
      <c r="K625" s="0" t="n">
        <v>17</v>
      </c>
      <c r="L625" s="0" t="s">
        <v>2493</v>
      </c>
      <c r="N625" s="0" t="n">
        <v>2.328</v>
      </c>
      <c r="O625" s="0" t="n">
        <v>117.77</v>
      </c>
      <c r="P625" s="0" t="s">
        <v>2444</v>
      </c>
    </row>
    <row r="626" customFormat="false" ht="15" hidden="false" customHeight="true" outlineLevel="0" collapsed="false">
      <c r="A626" s="0" t="n">
        <v>2</v>
      </c>
      <c r="B626" s="71" t="n">
        <v>46183</v>
      </c>
      <c r="C626" s="0" t="n">
        <v>22</v>
      </c>
      <c r="D626" s="0" t="s">
        <v>2479</v>
      </c>
      <c r="E626" s="0" t="n">
        <v>48</v>
      </c>
      <c r="F626" s="0" t="s">
        <v>153</v>
      </c>
      <c r="I626" s="0" t="n">
        <v>2492</v>
      </c>
      <c r="J626" s="0" t="n">
        <v>100017</v>
      </c>
      <c r="K626" s="0" t="n">
        <v>18</v>
      </c>
      <c r="L626" s="0" t="s">
        <v>2494</v>
      </c>
      <c r="N626" s="0" t="n">
        <v>1.43</v>
      </c>
      <c r="O626" s="0" t="n">
        <v>84.4</v>
      </c>
      <c r="P626" s="0" t="s">
        <v>2444</v>
      </c>
    </row>
    <row r="627" customFormat="false" ht="15" hidden="false" customHeight="true" outlineLevel="0" collapsed="false">
      <c r="A627" s="0" t="n">
        <v>2</v>
      </c>
      <c r="B627" s="71" t="n">
        <v>46183</v>
      </c>
      <c r="C627" s="0" t="n">
        <v>22</v>
      </c>
      <c r="D627" s="0" t="s">
        <v>2479</v>
      </c>
      <c r="E627" s="0" t="n">
        <v>48</v>
      </c>
      <c r="F627" s="0" t="s">
        <v>153</v>
      </c>
      <c r="I627" s="0" t="n">
        <v>2492</v>
      </c>
      <c r="J627" s="0" t="n">
        <v>100053</v>
      </c>
      <c r="K627" s="0" t="n">
        <v>54</v>
      </c>
      <c r="L627" s="0" t="s">
        <v>2495</v>
      </c>
      <c r="N627" s="0" t="n">
        <v>2.98</v>
      </c>
      <c r="O627" s="0" t="n">
        <v>98.97</v>
      </c>
      <c r="P627" s="0" t="s">
        <v>2444</v>
      </c>
    </row>
    <row r="628" customFormat="false" ht="15" hidden="false" customHeight="true" outlineLevel="0" collapsed="false">
      <c r="A628" s="0" t="n">
        <v>2</v>
      </c>
      <c r="B628" s="71" t="n">
        <v>46183</v>
      </c>
      <c r="C628" s="0" t="n">
        <v>22</v>
      </c>
      <c r="D628" s="0" t="s">
        <v>2479</v>
      </c>
      <c r="E628" s="0" t="n">
        <v>48</v>
      </c>
      <c r="F628" s="0" t="s">
        <v>153</v>
      </c>
      <c r="I628" s="0" t="n">
        <v>2492</v>
      </c>
      <c r="J628" s="0" t="n">
        <v>100053</v>
      </c>
      <c r="K628" s="0" t="n">
        <v>54</v>
      </c>
      <c r="L628" s="0" t="s">
        <v>2495</v>
      </c>
      <c r="N628" s="0" t="n">
        <v>2.414</v>
      </c>
      <c r="O628" s="0" t="n">
        <v>89.55</v>
      </c>
      <c r="P628" s="0" t="s">
        <v>2444</v>
      </c>
    </row>
    <row r="629" customFormat="false" ht="15" hidden="false" customHeight="true" outlineLevel="0" collapsed="false">
      <c r="A629" s="0" t="n">
        <v>2</v>
      </c>
      <c r="B629" s="71" t="n">
        <v>46183</v>
      </c>
      <c r="C629" s="0" t="n">
        <v>22</v>
      </c>
      <c r="D629" s="0" t="s">
        <v>2479</v>
      </c>
      <c r="E629" s="0" t="n">
        <v>48</v>
      </c>
      <c r="F629" s="0" t="s">
        <v>153</v>
      </c>
      <c r="I629" s="0" t="n">
        <v>2492</v>
      </c>
      <c r="J629" s="0" t="n">
        <v>100638</v>
      </c>
      <c r="K629" s="0" t="n">
        <v>508</v>
      </c>
      <c r="L629" s="0" t="s">
        <v>2496</v>
      </c>
      <c r="N629" s="0" t="n">
        <v>1.53</v>
      </c>
      <c r="O629" s="0" t="n">
        <v>3.86</v>
      </c>
      <c r="P629" s="0" t="s">
        <v>2444</v>
      </c>
    </row>
    <row r="630" customFormat="false" ht="15" hidden="false" customHeight="true" outlineLevel="0" collapsed="false">
      <c r="A630" s="0" t="n">
        <v>2</v>
      </c>
      <c r="B630" s="71" t="n">
        <v>46183</v>
      </c>
      <c r="C630" s="0" t="n">
        <v>22</v>
      </c>
      <c r="D630" s="0" t="s">
        <v>2479</v>
      </c>
      <c r="E630" s="0" t="n">
        <v>48</v>
      </c>
      <c r="F630" s="0" t="s">
        <v>153</v>
      </c>
      <c r="I630" s="0" t="n">
        <v>2492</v>
      </c>
      <c r="J630" s="0" t="n">
        <v>100638</v>
      </c>
      <c r="K630" s="0" t="n">
        <v>508</v>
      </c>
      <c r="L630" s="0" t="s">
        <v>2496</v>
      </c>
      <c r="N630" s="0" t="n">
        <v>2.064</v>
      </c>
      <c r="O630" s="0" t="n">
        <v>4.9</v>
      </c>
      <c r="P630" s="0" t="s">
        <v>2444</v>
      </c>
    </row>
    <row r="631" customFormat="false" ht="15" hidden="false" customHeight="true" outlineLevel="0" collapsed="false">
      <c r="A631" s="0" t="n">
        <v>2</v>
      </c>
      <c r="B631" s="71" t="n">
        <v>46183</v>
      </c>
      <c r="C631" s="0" t="n">
        <v>22</v>
      </c>
      <c r="D631" s="0" t="s">
        <v>2479</v>
      </c>
      <c r="E631" s="0" t="n">
        <v>48</v>
      </c>
      <c r="F631" s="0" t="s">
        <v>153</v>
      </c>
      <c r="I631" s="0" t="n">
        <v>2492</v>
      </c>
      <c r="J631" s="0" t="n">
        <v>100520</v>
      </c>
      <c r="K631" s="0" t="n">
        <v>507</v>
      </c>
      <c r="L631" s="0" t="s">
        <v>2497</v>
      </c>
      <c r="N631" s="0" t="n">
        <v>10.656</v>
      </c>
      <c r="O631" s="0" t="n">
        <v>26.87</v>
      </c>
      <c r="P631" s="0" t="s">
        <v>2444</v>
      </c>
    </row>
    <row r="632" customFormat="false" ht="15" hidden="false" customHeight="true" outlineLevel="0" collapsed="false">
      <c r="A632" s="0" t="n">
        <v>2</v>
      </c>
      <c r="B632" s="71" t="n">
        <v>46183</v>
      </c>
      <c r="C632" s="0" t="n">
        <v>22</v>
      </c>
      <c r="D632" s="0" t="s">
        <v>2479</v>
      </c>
      <c r="E632" s="0" t="n">
        <v>48</v>
      </c>
      <c r="F632" s="0" t="s">
        <v>153</v>
      </c>
      <c r="I632" s="0" t="n">
        <v>2492</v>
      </c>
      <c r="J632" s="0" t="n">
        <v>100520</v>
      </c>
      <c r="K632" s="0" t="n">
        <v>507</v>
      </c>
      <c r="L632" s="0" t="s">
        <v>2497</v>
      </c>
      <c r="N632" s="0" t="n">
        <v>1.956</v>
      </c>
      <c r="O632" s="0" t="n">
        <v>4.64</v>
      </c>
      <c r="P632" s="0" t="s">
        <v>2444</v>
      </c>
    </row>
    <row r="633" customFormat="false" ht="15" hidden="false" customHeight="true" outlineLevel="0" collapsed="false">
      <c r="A633" s="0" t="n">
        <v>2</v>
      </c>
      <c r="B633" s="71" t="n">
        <v>46183</v>
      </c>
      <c r="C633" s="0" t="n">
        <v>22</v>
      </c>
      <c r="D633" s="0" t="s">
        <v>2479</v>
      </c>
      <c r="E633" s="0" t="n">
        <v>48</v>
      </c>
      <c r="F633" s="0" t="s">
        <v>153</v>
      </c>
      <c r="I633" s="0" t="n">
        <v>2492</v>
      </c>
      <c r="J633" s="0" t="n">
        <v>110455</v>
      </c>
      <c r="K633" s="0" t="n">
        <v>53212</v>
      </c>
      <c r="L633" s="0" t="s">
        <v>2498</v>
      </c>
      <c r="N633" s="0" t="n">
        <v>0.067</v>
      </c>
      <c r="O633" s="0" t="n">
        <v>0</v>
      </c>
      <c r="P633" s="0" t="s">
        <v>2444</v>
      </c>
    </row>
    <row r="634" customFormat="false" ht="15" hidden="false" customHeight="true" outlineLevel="0" collapsed="false">
      <c r="A634" s="0" t="n">
        <v>2</v>
      </c>
      <c r="B634" s="71" t="n">
        <v>46183</v>
      </c>
      <c r="C634" s="0" t="n">
        <v>22</v>
      </c>
      <c r="D634" s="0" t="s">
        <v>2479</v>
      </c>
      <c r="E634" s="0" t="n">
        <v>48</v>
      </c>
      <c r="F634" s="0" t="s">
        <v>153</v>
      </c>
      <c r="I634" s="0" t="n">
        <v>2492</v>
      </c>
      <c r="J634" s="0" t="n">
        <v>110455</v>
      </c>
      <c r="K634" s="0" t="n">
        <v>53212</v>
      </c>
      <c r="L634" s="0" t="s">
        <v>2498</v>
      </c>
      <c r="N634" s="0" t="n">
        <v>0.836</v>
      </c>
      <c r="O634" s="0" t="n">
        <v>0</v>
      </c>
      <c r="P634" s="0" t="s">
        <v>2444</v>
      </c>
    </row>
    <row r="635" customFormat="false" ht="15" hidden="false" customHeight="true" outlineLevel="0" collapsed="false">
      <c r="A635" s="0" t="n">
        <v>2</v>
      </c>
      <c r="B635" s="71" t="n">
        <v>46183</v>
      </c>
      <c r="C635" s="0" t="n">
        <v>22</v>
      </c>
      <c r="D635" s="0" t="s">
        <v>2479</v>
      </c>
      <c r="E635" s="0" t="n">
        <v>48</v>
      </c>
      <c r="F635" s="0" t="s">
        <v>153</v>
      </c>
      <c r="I635" s="0" t="n">
        <v>2492</v>
      </c>
      <c r="J635" s="0" t="n">
        <v>110455</v>
      </c>
      <c r="K635" s="0" t="n">
        <v>53212</v>
      </c>
      <c r="L635" s="0" t="s">
        <v>2498</v>
      </c>
      <c r="N635" s="0" t="n">
        <v>0.372</v>
      </c>
      <c r="O635" s="0" t="n">
        <v>0</v>
      </c>
      <c r="P635" s="0" t="s">
        <v>2444</v>
      </c>
    </row>
    <row r="636" customFormat="false" ht="15" hidden="false" customHeight="true" outlineLevel="0" collapsed="false">
      <c r="A636" s="0" t="n">
        <v>2</v>
      </c>
      <c r="B636" s="71" t="n">
        <v>46183</v>
      </c>
      <c r="C636" s="0" t="n">
        <v>100</v>
      </c>
      <c r="D636" s="0" t="s">
        <v>2499</v>
      </c>
      <c r="E636" s="0" t="n">
        <v>48</v>
      </c>
      <c r="F636" s="0" t="s">
        <v>153</v>
      </c>
      <c r="I636" s="0" t="n">
        <v>1231588</v>
      </c>
      <c r="J636" s="0" t="n">
        <v>100000</v>
      </c>
      <c r="K636" s="0" t="n">
        <v>1</v>
      </c>
      <c r="L636" s="0" t="s">
        <v>2480</v>
      </c>
      <c r="N636" s="0" t="n">
        <v>3.162</v>
      </c>
      <c r="O636" s="0" t="n">
        <v>63.97</v>
      </c>
      <c r="P636" s="0" t="s">
        <v>2444</v>
      </c>
    </row>
    <row r="637" customFormat="false" ht="15" hidden="false" customHeight="true" outlineLevel="0" collapsed="false">
      <c r="A637" s="0" t="n">
        <v>2</v>
      </c>
      <c r="B637" s="71" t="n">
        <v>46183</v>
      </c>
      <c r="C637" s="0" t="n">
        <v>100</v>
      </c>
      <c r="D637" s="0" t="s">
        <v>2499</v>
      </c>
      <c r="E637" s="0" t="n">
        <v>48</v>
      </c>
      <c r="F637" s="0" t="s">
        <v>153</v>
      </c>
      <c r="I637" s="0" t="n">
        <v>1231588</v>
      </c>
      <c r="J637" s="0" t="n">
        <v>100006</v>
      </c>
      <c r="K637" s="0" t="n">
        <v>7</v>
      </c>
      <c r="L637" s="0" t="s">
        <v>2485</v>
      </c>
      <c r="N637" s="0" t="n">
        <v>2.694</v>
      </c>
      <c r="O637" s="0" t="n">
        <v>77.22</v>
      </c>
      <c r="P637" s="0" t="s">
        <v>2444</v>
      </c>
    </row>
    <row r="638" customFormat="false" ht="15" hidden="false" customHeight="true" outlineLevel="0" collapsed="false">
      <c r="A638" s="0" t="n">
        <v>2</v>
      </c>
      <c r="B638" s="71" t="n">
        <v>46183</v>
      </c>
      <c r="C638" s="0" t="n">
        <v>100</v>
      </c>
      <c r="D638" s="0" t="s">
        <v>2499</v>
      </c>
      <c r="E638" s="0" t="n">
        <v>48</v>
      </c>
      <c r="F638" s="0" t="s">
        <v>153</v>
      </c>
      <c r="I638" s="0" t="n">
        <v>1231588</v>
      </c>
      <c r="J638" s="0" t="n">
        <v>100007</v>
      </c>
      <c r="K638" s="0" t="n">
        <v>8</v>
      </c>
      <c r="L638" s="0" t="s">
        <v>2486</v>
      </c>
      <c r="N638" s="0" t="n">
        <v>1.984</v>
      </c>
      <c r="O638" s="0" t="n">
        <v>50.17</v>
      </c>
      <c r="P638" s="0" t="s">
        <v>2444</v>
      </c>
    </row>
    <row r="639" customFormat="false" ht="15" hidden="false" customHeight="true" outlineLevel="0" collapsed="false">
      <c r="A639" s="0" t="n">
        <v>2</v>
      </c>
      <c r="B639" s="71" t="n">
        <v>46183</v>
      </c>
      <c r="C639" s="0" t="n">
        <v>100</v>
      </c>
      <c r="D639" s="0" t="s">
        <v>2499</v>
      </c>
      <c r="E639" s="0" t="n">
        <v>48</v>
      </c>
      <c r="F639" s="0" t="s">
        <v>153</v>
      </c>
      <c r="I639" s="0" t="n">
        <v>1231588</v>
      </c>
      <c r="J639" s="0" t="n">
        <v>100008</v>
      </c>
      <c r="K639" s="0" t="n">
        <v>9</v>
      </c>
      <c r="L639" s="0" t="s">
        <v>2487</v>
      </c>
      <c r="N639" s="0" t="n">
        <v>14.56</v>
      </c>
      <c r="O639" s="0" t="n">
        <v>478.72</v>
      </c>
      <c r="P639" s="0" t="s">
        <v>2444</v>
      </c>
    </row>
    <row r="640" customFormat="false" ht="15" hidden="false" customHeight="true" outlineLevel="0" collapsed="false">
      <c r="A640" s="0" t="n">
        <v>2</v>
      </c>
      <c r="B640" s="71" t="n">
        <v>46183</v>
      </c>
      <c r="C640" s="0" t="n">
        <v>100</v>
      </c>
      <c r="D640" s="0" t="s">
        <v>2499</v>
      </c>
      <c r="E640" s="0" t="n">
        <v>48</v>
      </c>
      <c r="F640" s="0" t="s">
        <v>153</v>
      </c>
      <c r="I640" s="0" t="n">
        <v>1231588</v>
      </c>
      <c r="J640" s="0" t="n">
        <v>100011</v>
      </c>
      <c r="K640" s="0" t="n">
        <v>12</v>
      </c>
      <c r="L640" s="0" t="s">
        <v>2488</v>
      </c>
      <c r="N640" s="0" t="n">
        <v>10.77</v>
      </c>
      <c r="O640" s="0" t="n">
        <v>399.52</v>
      </c>
      <c r="P640" s="0" t="s">
        <v>2444</v>
      </c>
    </row>
    <row r="641" customFormat="false" ht="15" hidden="false" customHeight="true" outlineLevel="0" collapsed="false">
      <c r="A641" s="0" t="n">
        <v>2</v>
      </c>
      <c r="B641" s="71" t="n">
        <v>46183</v>
      </c>
      <c r="C641" s="0" t="n">
        <v>100</v>
      </c>
      <c r="D641" s="0" t="s">
        <v>2499</v>
      </c>
      <c r="E641" s="0" t="n">
        <v>48</v>
      </c>
      <c r="F641" s="0" t="s">
        <v>153</v>
      </c>
      <c r="I641" s="0" t="n">
        <v>1231588</v>
      </c>
      <c r="J641" s="0" t="n">
        <v>100012</v>
      </c>
      <c r="K641" s="0" t="n">
        <v>13</v>
      </c>
      <c r="L641" s="0" t="s">
        <v>2489</v>
      </c>
      <c r="N641" s="0" t="n">
        <v>5.548</v>
      </c>
      <c r="O641" s="0" t="n">
        <v>233.88</v>
      </c>
      <c r="P641" s="0" t="s">
        <v>2444</v>
      </c>
    </row>
    <row r="642" customFormat="false" ht="15" hidden="false" customHeight="true" outlineLevel="0" collapsed="false">
      <c r="A642" s="0" t="n">
        <v>2</v>
      </c>
      <c r="B642" s="71" t="n">
        <v>46183</v>
      </c>
      <c r="C642" s="0" t="n">
        <v>100</v>
      </c>
      <c r="D642" s="0" t="s">
        <v>2499</v>
      </c>
      <c r="E642" s="0" t="n">
        <v>48</v>
      </c>
      <c r="F642" s="0" t="s">
        <v>153</v>
      </c>
      <c r="I642" s="0" t="n">
        <v>1231588</v>
      </c>
      <c r="J642" s="0" t="n">
        <v>100013</v>
      </c>
      <c r="K642" s="0" t="n">
        <v>14</v>
      </c>
      <c r="L642" s="0" t="s">
        <v>2490</v>
      </c>
      <c r="N642" s="0" t="n">
        <v>11.46</v>
      </c>
      <c r="O642" s="0" t="n">
        <v>512.09</v>
      </c>
      <c r="P642" s="0" t="s">
        <v>2444</v>
      </c>
    </row>
    <row r="643" customFormat="false" ht="15" hidden="false" customHeight="true" outlineLevel="0" collapsed="false">
      <c r="A643" s="0" t="n">
        <v>2</v>
      </c>
      <c r="B643" s="71" t="n">
        <v>46183</v>
      </c>
      <c r="C643" s="0" t="n">
        <v>100</v>
      </c>
      <c r="D643" s="0" t="s">
        <v>2499</v>
      </c>
      <c r="E643" s="0" t="n">
        <v>48</v>
      </c>
      <c r="F643" s="0" t="s">
        <v>153</v>
      </c>
      <c r="I643" s="0" t="n">
        <v>1231588</v>
      </c>
      <c r="J643" s="0" t="n">
        <v>100014</v>
      </c>
      <c r="K643" s="0" t="n">
        <v>15</v>
      </c>
      <c r="L643" s="0" t="s">
        <v>2491</v>
      </c>
      <c r="N643" s="0" t="n">
        <v>4.59</v>
      </c>
      <c r="O643" s="0" t="n">
        <v>208.97</v>
      </c>
      <c r="P643" s="0" t="s">
        <v>2444</v>
      </c>
    </row>
    <row r="644" customFormat="false" ht="15" hidden="false" customHeight="true" outlineLevel="0" collapsed="false">
      <c r="A644" s="0" t="n">
        <v>2</v>
      </c>
      <c r="B644" s="71" t="n">
        <v>46183</v>
      </c>
      <c r="C644" s="0" t="n">
        <v>100</v>
      </c>
      <c r="D644" s="0" t="s">
        <v>2499</v>
      </c>
      <c r="E644" s="0" t="n">
        <v>48</v>
      </c>
      <c r="F644" s="0" t="s">
        <v>153</v>
      </c>
      <c r="I644" s="0" t="n">
        <v>1231588</v>
      </c>
      <c r="J644" s="0" t="n">
        <v>100015</v>
      </c>
      <c r="K644" s="0" t="n">
        <v>16</v>
      </c>
      <c r="L644" s="0" t="s">
        <v>2492</v>
      </c>
      <c r="N644" s="0" t="n">
        <v>2.338</v>
      </c>
      <c r="O644" s="0" t="n">
        <v>94.62</v>
      </c>
      <c r="P644" s="0" t="s">
        <v>2444</v>
      </c>
    </row>
    <row r="645" customFormat="false" ht="15" hidden="false" customHeight="true" outlineLevel="0" collapsed="false">
      <c r="A645" s="0" t="n">
        <v>2</v>
      </c>
      <c r="B645" s="71" t="n">
        <v>46183</v>
      </c>
      <c r="C645" s="0" t="n">
        <v>100</v>
      </c>
      <c r="D645" s="0" t="s">
        <v>2499</v>
      </c>
      <c r="E645" s="0" t="n">
        <v>48</v>
      </c>
      <c r="F645" s="0" t="s">
        <v>153</v>
      </c>
      <c r="I645" s="0" t="n">
        <v>1231588</v>
      </c>
      <c r="J645" s="0" t="n">
        <v>100016</v>
      </c>
      <c r="K645" s="0" t="n">
        <v>17</v>
      </c>
      <c r="L645" s="0" t="s">
        <v>2493</v>
      </c>
      <c r="N645" s="0" t="n">
        <v>2.328</v>
      </c>
      <c r="O645" s="0" t="n">
        <v>117.77</v>
      </c>
      <c r="P645" s="0" t="s">
        <v>2444</v>
      </c>
    </row>
    <row r="646" customFormat="false" ht="15" hidden="false" customHeight="true" outlineLevel="0" collapsed="false">
      <c r="A646" s="0" t="n">
        <v>2</v>
      </c>
      <c r="B646" s="71" t="n">
        <v>46183</v>
      </c>
      <c r="C646" s="0" t="n">
        <v>100</v>
      </c>
      <c r="D646" s="0" t="s">
        <v>2499</v>
      </c>
      <c r="E646" s="0" t="n">
        <v>48</v>
      </c>
      <c r="F646" s="0" t="s">
        <v>153</v>
      </c>
      <c r="I646" s="0" t="n">
        <v>1231588</v>
      </c>
      <c r="J646" s="0" t="n">
        <v>100017</v>
      </c>
      <c r="K646" s="0" t="n">
        <v>18</v>
      </c>
      <c r="L646" s="0" t="s">
        <v>2494</v>
      </c>
      <c r="N646" s="0" t="n">
        <v>1.43</v>
      </c>
      <c r="O646" s="0" t="n">
        <v>84.4</v>
      </c>
      <c r="P646" s="0" t="s">
        <v>2444</v>
      </c>
    </row>
    <row r="647" customFormat="false" ht="15" hidden="false" customHeight="true" outlineLevel="0" collapsed="false">
      <c r="A647" s="0" t="n">
        <v>2</v>
      </c>
      <c r="B647" s="71" t="n">
        <v>46183</v>
      </c>
      <c r="C647" s="0" t="n">
        <v>100</v>
      </c>
      <c r="D647" s="0" t="s">
        <v>2499</v>
      </c>
      <c r="E647" s="0" t="n">
        <v>48</v>
      </c>
      <c r="F647" s="0" t="s">
        <v>153</v>
      </c>
      <c r="I647" s="0" t="n">
        <v>1231588</v>
      </c>
      <c r="J647" s="0" t="n">
        <v>100053</v>
      </c>
      <c r="K647" s="0" t="n">
        <v>54</v>
      </c>
      <c r="L647" s="0" t="s">
        <v>2495</v>
      </c>
      <c r="N647" s="0" t="n">
        <v>2.414</v>
      </c>
      <c r="O647" s="0" t="n">
        <v>89.55</v>
      </c>
      <c r="P647" s="0" t="s">
        <v>2444</v>
      </c>
    </row>
    <row r="648" customFormat="false" ht="15" hidden="false" customHeight="true" outlineLevel="0" collapsed="false">
      <c r="A648" s="0" t="n">
        <v>2</v>
      </c>
      <c r="B648" s="71" t="n">
        <v>46183</v>
      </c>
      <c r="C648" s="0" t="n">
        <v>100</v>
      </c>
      <c r="D648" s="0" t="s">
        <v>2499</v>
      </c>
      <c r="E648" s="0" t="n">
        <v>48</v>
      </c>
      <c r="F648" s="0" t="s">
        <v>153</v>
      </c>
      <c r="I648" s="0" t="n">
        <v>1231588</v>
      </c>
      <c r="J648" s="0" t="n">
        <v>100638</v>
      </c>
      <c r="K648" s="0" t="n">
        <v>508</v>
      </c>
      <c r="L648" s="0" t="s">
        <v>2496</v>
      </c>
      <c r="N648" s="0" t="n">
        <v>1.53</v>
      </c>
      <c r="O648" s="0" t="n">
        <v>3.86</v>
      </c>
      <c r="P648" s="0" t="s">
        <v>2444</v>
      </c>
    </row>
    <row r="649" customFormat="false" ht="15" hidden="false" customHeight="true" outlineLevel="0" collapsed="false">
      <c r="A649" s="0" t="n">
        <v>2</v>
      </c>
      <c r="B649" s="71" t="n">
        <v>46183</v>
      </c>
      <c r="C649" s="0" t="n">
        <v>100</v>
      </c>
      <c r="D649" s="0" t="s">
        <v>2499</v>
      </c>
      <c r="E649" s="0" t="n">
        <v>48</v>
      </c>
      <c r="F649" s="0" t="s">
        <v>153</v>
      </c>
      <c r="I649" s="0" t="n">
        <v>1231588</v>
      </c>
      <c r="J649" s="0" t="n">
        <v>100520</v>
      </c>
      <c r="K649" s="0" t="n">
        <v>507</v>
      </c>
      <c r="L649" s="0" t="s">
        <v>2497</v>
      </c>
      <c r="N649" s="0" t="n">
        <v>10.656</v>
      </c>
      <c r="O649" s="0" t="n">
        <v>26.87</v>
      </c>
      <c r="P649" s="0" t="s">
        <v>2444</v>
      </c>
    </row>
    <row r="650" customFormat="false" ht="15" hidden="false" customHeight="true" outlineLevel="0" collapsed="false">
      <c r="A650" s="0" t="n">
        <v>2</v>
      </c>
      <c r="B650" s="71" t="n">
        <v>46183</v>
      </c>
      <c r="C650" s="0" t="n">
        <v>100</v>
      </c>
      <c r="D650" s="0" t="s">
        <v>2499</v>
      </c>
      <c r="E650" s="0" t="n">
        <v>48</v>
      </c>
      <c r="F650" s="0" t="s">
        <v>153</v>
      </c>
      <c r="I650" s="0" t="n">
        <v>1231588</v>
      </c>
      <c r="J650" s="0" t="n">
        <v>110455</v>
      </c>
      <c r="K650" s="0" t="n">
        <v>53212</v>
      </c>
      <c r="L650" s="0" t="s">
        <v>2498</v>
      </c>
      <c r="N650" s="0" t="n">
        <v>0.836</v>
      </c>
      <c r="O650" s="0" t="n">
        <v>0</v>
      </c>
      <c r="P650" s="0" t="s">
        <v>2444</v>
      </c>
    </row>
    <row r="651" customFormat="false" ht="15" hidden="false" customHeight="true" outlineLevel="0" collapsed="false">
      <c r="A651" s="0" t="n">
        <v>2</v>
      </c>
      <c r="B651" s="71" t="n">
        <v>46183</v>
      </c>
      <c r="C651" s="0" t="n">
        <v>100</v>
      </c>
      <c r="D651" s="0" t="s">
        <v>2499</v>
      </c>
      <c r="E651" s="0" t="n">
        <v>48</v>
      </c>
      <c r="F651" s="0" t="s">
        <v>153</v>
      </c>
      <c r="I651" s="0" t="n">
        <v>1231592</v>
      </c>
      <c r="J651" s="0" t="n">
        <v>100008</v>
      </c>
      <c r="K651" s="0" t="n">
        <v>9</v>
      </c>
      <c r="L651" s="0" t="s">
        <v>2487</v>
      </c>
      <c r="N651" s="0" t="n">
        <v>14.725</v>
      </c>
      <c r="O651" s="0" t="n">
        <v>433.47</v>
      </c>
      <c r="P651" s="0" t="s">
        <v>2444</v>
      </c>
    </row>
    <row r="652" customFormat="false" ht="15" hidden="false" customHeight="true" outlineLevel="0" collapsed="false">
      <c r="A652" s="0" t="n">
        <v>2</v>
      </c>
      <c r="B652" s="71" t="n">
        <v>46183</v>
      </c>
      <c r="C652" s="0" t="n">
        <v>100</v>
      </c>
      <c r="D652" s="0" t="s">
        <v>2499</v>
      </c>
      <c r="E652" s="0" t="n">
        <v>48</v>
      </c>
      <c r="F652" s="0" t="s">
        <v>153</v>
      </c>
      <c r="I652" s="0" t="n">
        <v>1231592</v>
      </c>
      <c r="J652" s="0" t="n">
        <v>100016</v>
      </c>
      <c r="K652" s="0" t="n">
        <v>17</v>
      </c>
      <c r="L652" s="0" t="s">
        <v>2493</v>
      </c>
      <c r="N652" s="0" t="n">
        <v>2.728</v>
      </c>
      <c r="O652" s="0" t="n">
        <v>123.56</v>
      </c>
      <c r="P652" s="0" t="s">
        <v>2444</v>
      </c>
    </row>
    <row r="653" customFormat="false" ht="15" hidden="false" customHeight="true" outlineLevel="0" collapsed="false">
      <c r="A653" s="0" t="n">
        <v>2</v>
      </c>
      <c r="B653" s="71" t="n">
        <v>46183</v>
      </c>
      <c r="C653" s="0" t="n">
        <v>100</v>
      </c>
      <c r="D653" s="0" t="s">
        <v>2499</v>
      </c>
      <c r="E653" s="0" t="n">
        <v>48</v>
      </c>
      <c r="F653" s="0" t="s">
        <v>153</v>
      </c>
      <c r="I653" s="0" t="n">
        <v>1231592</v>
      </c>
      <c r="J653" s="0" t="n">
        <v>100053</v>
      </c>
      <c r="K653" s="0" t="n">
        <v>54</v>
      </c>
      <c r="L653" s="0" t="s">
        <v>2495</v>
      </c>
      <c r="N653" s="0" t="n">
        <v>2.98</v>
      </c>
      <c r="O653" s="0" t="n">
        <v>98.97</v>
      </c>
      <c r="P653" s="0" t="s">
        <v>2444</v>
      </c>
    </row>
    <row r="654" customFormat="false" ht="15" hidden="false" customHeight="true" outlineLevel="0" collapsed="false">
      <c r="A654" s="0" t="n">
        <v>2</v>
      </c>
      <c r="B654" s="71" t="n">
        <v>46183</v>
      </c>
      <c r="C654" s="0" t="n">
        <v>100</v>
      </c>
      <c r="D654" s="0" t="s">
        <v>2499</v>
      </c>
      <c r="E654" s="0" t="n">
        <v>48</v>
      </c>
      <c r="F654" s="0" t="s">
        <v>153</v>
      </c>
      <c r="I654" s="0" t="n">
        <v>1231592</v>
      </c>
      <c r="J654" s="0" t="n">
        <v>110455</v>
      </c>
      <c r="K654" s="0" t="n">
        <v>53212</v>
      </c>
      <c r="L654" s="0" t="s">
        <v>2498</v>
      </c>
      <c r="N654" s="0" t="n">
        <v>0.067</v>
      </c>
      <c r="O654" s="0" t="n">
        <v>0</v>
      </c>
      <c r="P654" s="0" t="s">
        <v>2444</v>
      </c>
    </row>
    <row r="655" customFormat="false" ht="15" hidden="false" customHeight="true" outlineLevel="0" collapsed="false">
      <c r="A655" s="0" t="n">
        <v>2</v>
      </c>
      <c r="B655" s="71" t="n">
        <v>46183</v>
      </c>
      <c r="C655" s="0" t="n">
        <v>100</v>
      </c>
      <c r="D655" s="0" t="s">
        <v>2499</v>
      </c>
      <c r="E655" s="0" t="n">
        <v>48</v>
      </c>
      <c r="F655" s="0" t="s">
        <v>153</v>
      </c>
      <c r="I655" s="0" t="n">
        <v>1231598</v>
      </c>
      <c r="J655" s="0" t="n">
        <v>100000</v>
      </c>
      <c r="K655" s="0" t="n">
        <v>1</v>
      </c>
      <c r="L655" s="0" t="s">
        <v>2480</v>
      </c>
      <c r="N655" s="0" t="n">
        <v>2.758</v>
      </c>
      <c r="O655" s="0" t="n">
        <v>52.55</v>
      </c>
      <c r="P655" s="0" t="s">
        <v>2444</v>
      </c>
    </row>
    <row r="656" customFormat="false" ht="15" hidden="false" customHeight="true" outlineLevel="0" collapsed="false">
      <c r="A656" s="0" t="n">
        <v>2</v>
      </c>
      <c r="B656" s="71" t="n">
        <v>46183</v>
      </c>
      <c r="C656" s="0" t="n">
        <v>100</v>
      </c>
      <c r="D656" s="0" t="s">
        <v>2499</v>
      </c>
      <c r="E656" s="0" t="n">
        <v>48</v>
      </c>
      <c r="F656" s="0" t="s">
        <v>153</v>
      </c>
      <c r="I656" s="0" t="n">
        <v>1231598</v>
      </c>
      <c r="J656" s="0" t="n">
        <v>100001</v>
      </c>
      <c r="K656" s="0" t="n">
        <v>2</v>
      </c>
      <c r="L656" s="0" t="s">
        <v>2481</v>
      </c>
      <c r="N656" s="0" t="n">
        <v>9.52</v>
      </c>
      <c r="O656" s="0" t="n">
        <v>196.5</v>
      </c>
      <c r="P656" s="0" t="s">
        <v>2444</v>
      </c>
    </row>
    <row r="657" customFormat="false" ht="15" hidden="false" customHeight="true" outlineLevel="0" collapsed="false">
      <c r="A657" s="0" t="n">
        <v>2</v>
      </c>
      <c r="B657" s="71" t="n">
        <v>46183</v>
      </c>
      <c r="C657" s="0" t="n">
        <v>100</v>
      </c>
      <c r="D657" s="0" t="s">
        <v>2499</v>
      </c>
      <c r="E657" s="0" t="n">
        <v>48</v>
      </c>
      <c r="F657" s="0" t="s">
        <v>153</v>
      </c>
      <c r="I657" s="0" t="n">
        <v>1231598</v>
      </c>
      <c r="J657" s="0" t="n">
        <v>100002</v>
      </c>
      <c r="K657" s="0" t="n">
        <v>3</v>
      </c>
      <c r="L657" s="0" t="s">
        <v>2482</v>
      </c>
      <c r="N657" s="0" t="n">
        <v>19.66</v>
      </c>
      <c r="O657" s="0" t="n">
        <v>468.24</v>
      </c>
      <c r="P657" s="0" t="s">
        <v>2444</v>
      </c>
    </row>
    <row r="658" customFormat="false" ht="15" hidden="false" customHeight="true" outlineLevel="0" collapsed="false">
      <c r="A658" s="0" t="n">
        <v>2</v>
      </c>
      <c r="B658" s="71" t="n">
        <v>46183</v>
      </c>
      <c r="C658" s="0" t="n">
        <v>100</v>
      </c>
      <c r="D658" s="0" t="s">
        <v>2499</v>
      </c>
      <c r="E658" s="0" t="n">
        <v>48</v>
      </c>
      <c r="F658" s="0" t="s">
        <v>153</v>
      </c>
      <c r="I658" s="0" t="n">
        <v>1231598</v>
      </c>
      <c r="J658" s="0" t="n">
        <v>100003</v>
      </c>
      <c r="K658" s="0" t="n">
        <v>4</v>
      </c>
      <c r="L658" s="0" t="s">
        <v>2483</v>
      </c>
      <c r="N658" s="0" t="n">
        <v>18.91</v>
      </c>
      <c r="O658" s="0" t="n">
        <v>480.42</v>
      </c>
      <c r="P658" s="0" t="s">
        <v>2444</v>
      </c>
    </row>
    <row r="659" customFormat="false" ht="15" hidden="false" customHeight="true" outlineLevel="0" collapsed="false">
      <c r="A659" s="0" t="n">
        <v>2</v>
      </c>
      <c r="B659" s="71" t="n">
        <v>46183</v>
      </c>
      <c r="C659" s="0" t="n">
        <v>100</v>
      </c>
      <c r="D659" s="0" t="s">
        <v>2499</v>
      </c>
      <c r="E659" s="0" t="n">
        <v>48</v>
      </c>
      <c r="F659" s="0" t="s">
        <v>153</v>
      </c>
      <c r="I659" s="0" t="n">
        <v>1231598</v>
      </c>
      <c r="J659" s="0" t="n">
        <v>100004</v>
      </c>
      <c r="K659" s="0" t="n">
        <v>5</v>
      </c>
      <c r="L659" s="0" t="s">
        <v>2484</v>
      </c>
      <c r="N659" s="0" t="n">
        <v>1.188</v>
      </c>
      <c r="O659" s="0" t="n">
        <v>26.41</v>
      </c>
      <c r="P659" s="0" t="s">
        <v>2444</v>
      </c>
    </row>
    <row r="660" customFormat="false" ht="15" hidden="false" customHeight="true" outlineLevel="0" collapsed="false">
      <c r="A660" s="0" t="n">
        <v>2</v>
      </c>
      <c r="B660" s="71" t="n">
        <v>46183</v>
      </c>
      <c r="C660" s="0" t="n">
        <v>100</v>
      </c>
      <c r="D660" s="0" t="s">
        <v>2499</v>
      </c>
      <c r="E660" s="0" t="n">
        <v>48</v>
      </c>
      <c r="F660" s="0" t="s">
        <v>153</v>
      </c>
      <c r="I660" s="0" t="n">
        <v>1231598</v>
      </c>
      <c r="J660" s="0" t="n">
        <v>100005</v>
      </c>
      <c r="K660" s="0" t="n">
        <v>6</v>
      </c>
      <c r="L660" s="0" t="s">
        <v>2582</v>
      </c>
      <c r="N660" s="0" t="n">
        <v>2.556</v>
      </c>
      <c r="O660" s="0" t="n">
        <v>60.88</v>
      </c>
      <c r="P660" s="0" t="s">
        <v>2444</v>
      </c>
    </row>
    <row r="661" customFormat="false" ht="15" hidden="false" customHeight="true" outlineLevel="0" collapsed="false">
      <c r="A661" s="0" t="n">
        <v>2</v>
      </c>
      <c r="B661" s="71" t="n">
        <v>46183</v>
      </c>
      <c r="C661" s="0" t="n">
        <v>100</v>
      </c>
      <c r="D661" s="0" t="s">
        <v>2499</v>
      </c>
      <c r="E661" s="0" t="n">
        <v>48</v>
      </c>
      <c r="F661" s="0" t="s">
        <v>153</v>
      </c>
      <c r="I661" s="0" t="n">
        <v>1231598</v>
      </c>
      <c r="J661" s="0" t="n">
        <v>100007</v>
      </c>
      <c r="K661" s="0" t="n">
        <v>8</v>
      </c>
      <c r="L661" s="0" t="s">
        <v>2486</v>
      </c>
      <c r="N661" s="0" t="n">
        <v>1.716</v>
      </c>
      <c r="O661" s="0" t="n">
        <v>40.87</v>
      </c>
      <c r="P661" s="0" t="s">
        <v>2444</v>
      </c>
    </row>
    <row r="662" customFormat="false" ht="15" hidden="false" customHeight="true" outlineLevel="0" collapsed="false">
      <c r="A662" s="0" t="n">
        <v>2</v>
      </c>
      <c r="B662" s="71" t="n">
        <v>46183</v>
      </c>
      <c r="C662" s="0" t="n">
        <v>100</v>
      </c>
      <c r="D662" s="0" t="s">
        <v>2499</v>
      </c>
      <c r="E662" s="0" t="n">
        <v>48</v>
      </c>
      <c r="F662" s="0" t="s">
        <v>153</v>
      </c>
      <c r="I662" s="0" t="n">
        <v>1231598</v>
      </c>
      <c r="J662" s="0" t="n">
        <v>100638</v>
      </c>
      <c r="K662" s="0" t="n">
        <v>508</v>
      </c>
      <c r="L662" s="0" t="s">
        <v>2496</v>
      </c>
      <c r="N662" s="0" t="n">
        <v>2.064</v>
      </c>
      <c r="O662" s="0" t="n">
        <v>4.9</v>
      </c>
      <c r="P662" s="0" t="s">
        <v>2444</v>
      </c>
    </row>
    <row r="663" customFormat="false" ht="15" hidden="false" customHeight="true" outlineLevel="0" collapsed="false">
      <c r="A663" s="0" t="n">
        <v>2</v>
      </c>
      <c r="B663" s="71" t="n">
        <v>46183</v>
      </c>
      <c r="C663" s="0" t="n">
        <v>100</v>
      </c>
      <c r="D663" s="0" t="s">
        <v>2499</v>
      </c>
      <c r="E663" s="0" t="n">
        <v>48</v>
      </c>
      <c r="F663" s="0" t="s">
        <v>153</v>
      </c>
      <c r="I663" s="0" t="n">
        <v>1231598</v>
      </c>
      <c r="J663" s="0" t="n">
        <v>100520</v>
      </c>
      <c r="K663" s="0" t="n">
        <v>507</v>
      </c>
      <c r="L663" s="0" t="s">
        <v>2497</v>
      </c>
      <c r="N663" s="0" t="n">
        <v>1.956</v>
      </c>
      <c r="O663" s="0" t="n">
        <v>4.64</v>
      </c>
      <c r="P663" s="0" t="s">
        <v>2444</v>
      </c>
    </row>
    <row r="664" customFormat="false" ht="15" hidden="false" customHeight="true" outlineLevel="0" collapsed="false">
      <c r="A664" s="0" t="n">
        <v>2</v>
      </c>
      <c r="B664" s="71" t="n">
        <v>46183</v>
      </c>
      <c r="C664" s="0" t="n">
        <v>100</v>
      </c>
      <c r="D664" s="0" t="s">
        <v>2499</v>
      </c>
      <c r="E664" s="0" t="n">
        <v>48</v>
      </c>
      <c r="F664" s="0" t="s">
        <v>153</v>
      </c>
      <c r="I664" s="0" t="n">
        <v>1231598</v>
      </c>
      <c r="J664" s="0" t="n">
        <v>110455</v>
      </c>
      <c r="K664" s="0" t="n">
        <v>53212</v>
      </c>
      <c r="L664" s="0" t="s">
        <v>2498</v>
      </c>
      <c r="N664" s="0" t="n">
        <v>0.372</v>
      </c>
      <c r="O664" s="0" t="n">
        <v>0</v>
      </c>
      <c r="P664" s="0" t="s">
        <v>2444</v>
      </c>
    </row>
    <row r="665" customFormat="false" ht="15" hidden="false" customHeight="true" outlineLevel="0" collapsed="false">
      <c r="A665" s="0" t="n">
        <v>2</v>
      </c>
      <c r="B665" s="71" t="n">
        <v>46184</v>
      </c>
      <c r="C665" s="0" t="n">
        <v>1</v>
      </c>
      <c r="D665" s="0" t="s">
        <v>2442</v>
      </c>
      <c r="E665" s="0" t="n">
        <v>1695</v>
      </c>
      <c r="F665" s="0" t="s">
        <v>390</v>
      </c>
      <c r="I665" s="0" t="n">
        <v>18534</v>
      </c>
      <c r="J665" s="0" t="n">
        <v>100842</v>
      </c>
      <c r="K665" s="0" t="n">
        <v>7891022639001</v>
      </c>
      <c r="L665" s="0" t="s">
        <v>2764</v>
      </c>
      <c r="N665" s="0" t="n">
        <v>48</v>
      </c>
      <c r="O665" s="0" t="n">
        <v>116.16</v>
      </c>
      <c r="P665" s="0" t="s">
        <v>2444</v>
      </c>
    </row>
    <row r="666" customFormat="false" ht="15" hidden="false" customHeight="true" outlineLevel="0" collapsed="false">
      <c r="A666" s="0" t="n">
        <v>2</v>
      </c>
      <c r="B666" s="71" t="n">
        <v>46184</v>
      </c>
      <c r="C666" s="0" t="n">
        <v>1</v>
      </c>
      <c r="D666" s="0" t="s">
        <v>2442</v>
      </c>
      <c r="E666" s="0" t="n">
        <v>1695</v>
      </c>
      <c r="F666" s="0" t="s">
        <v>390</v>
      </c>
      <c r="I666" s="0" t="n">
        <v>18534</v>
      </c>
      <c r="J666" s="0" t="n">
        <v>100843</v>
      </c>
      <c r="K666" s="0" t="n">
        <v>7891022637007</v>
      </c>
      <c r="L666" s="0" t="s">
        <v>2765</v>
      </c>
      <c r="N666" s="0" t="n">
        <v>48</v>
      </c>
      <c r="O666" s="0" t="n">
        <v>116.16</v>
      </c>
      <c r="P666" s="0" t="s">
        <v>2444</v>
      </c>
    </row>
    <row r="667" customFormat="false" ht="15" hidden="false" customHeight="true" outlineLevel="0" collapsed="false">
      <c r="A667" s="0" t="n">
        <v>2</v>
      </c>
      <c r="B667" s="71" t="n">
        <v>46184</v>
      </c>
      <c r="C667" s="0" t="n">
        <v>1</v>
      </c>
      <c r="D667" s="0" t="s">
        <v>2442</v>
      </c>
      <c r="E667" s="0" t="n">
        <v>1695</v>
      </c>
      <c r="F667" s="0" t="s">
        <v>390</v>
      </c>
      <c r="I667" s="0" t="n">
        <v>18534</v>
      </c>
      <c r="J667" s="0" t="n">
        <v>100844</v>
      </c>
      <c r="K667" s="0" t="n">
        <v>7891022638004</v>
      </c>
      <c r="L667" s="0" t="s">
        <v>2766</v>
      </c>
      <c r="N667" s="0" t="n">
        <v>48</v>
      </c>
      <c r="O667" s="0" t="n">
        <v>116.16</v>
      </c>
      <c r="P667" s="0" t="s">
        <v>2444</v>
      </c>
    </row>
    <row r="668" customFormat="false" ht="15" hidden="false" customHeight="true" outlineLevel="0" collapsed="false">
      <c r="A668" s="0" t="n">
        <v>2</v>
      </c>
      <c r="B668" s="71" t="n">
        <v>46184</v>
      </c>
      <c r="C668" s="0" t="n">
        <v>1</v>
      </c>
      <c r="D668" s="0" t="s">
        <v>2442</v>
      </c>
      <c r="E668" s="0" t="n">
        <v>1695</v>
      </c>
      <c r="F668" s="0" t="s">
        <v>390</v>
      </c>
      <c r="I668" s="0" t="n">
        <v>18534</v>
      </c>
      <c r="J668" s="0" t="n">
        <v>100846</v>
      </c>
      <c r="K668" s="0" t="n">
        <v>7891022640007</v>
      </c>
      <c r="L668" s="0" t="s">
        <v>2767</v>
      </c>
      <c r="N668" s="0" t="n">
        <v>48</v>
      </c>
      <c r="O668" s="0" t="n">
        <v>116.16</v>
      </c>
      <c r="P668" s="0" t="s">
        <v>2444</v>
      </c>
    </row>
    <row r="669" customFormat="false" ht="15" hidden="false" customHeight="true" outlineLevel="0" collapsed="false">
      <c r="A669" s="0" t="n">
        <v>2</v>
      </c>
      <c r="B669" s="71" t="n">
        <v>46184</v>
      </c>
      <c r="C669" s="0" t="n">
        <v>1</v>
      </c>
      <c r="D669" s="0" t="s">
        <v>2442</v>
      </c>
      <c r="E669" s="0" t="n">
        <v>1695</v>
      </c>
      <c r="F669" s="0" t="s">
        <v>390</v>
      </c>
      <c r="I669" s="0" t="n">
        <v>18534</v>
      </c>
      <c r="J669" s="0" t="n">
        <v>101877</v>
      </c>
      <c r="K669" s="0" t="n">
        <v>7896224813082</v>
      </c>
      <c r="L669" s="0" t="s">
        <v>2768</v>
      </c>
      <c r="N669" s="0" t="n">
        <v>40</v>
      </c>
      <c r="O669" s="0" t="n">
        <v>574.4</v>
      </c>
      <c r="P669" s="0" t="s">
        <v>2444</v>
      </c>
    </row>
    <row r="670" customFormat="false" ht="15" hidden="false" customHeight="true" outlineLevel="0" collapsed="false">
      <c r="A670" s="0" t="n">
        <v>2</v>
      </c>
      <c r="B670" s="71" t="n">
        <v>46184</v>
      </c>
      <c r="C670" s="0" t="n">
        <v>1</v>
      </c>
      <c r="D670" s="0" t="s">
        <v>2442</v>
      </c>
      <c r="E670" s="0" t="n">
        <v>1695</v>
      </c>
      <c r="F670" s="0" t="s">
        <v>390</v>
      </c>
      <c r="I670" s="0" t="n">
        <v>18534</v>
      </c>
      <c r="J670" s="0" t="n">
        <v>102290</v>
      </c>
      <c r="K670" s="0" t="n">
        <v>7896593500019</v>
      </c>
      <c r="L670" s="0" t="s">
        <v>2769</v>
      </c>
      <c r="N670" s="0" t="n">
        <v>20</v>
      </c>
      <c r="O670" s="0" t="n">
        <v>86.6</v>
      </c>
      <c r="P670" s="0" t="s">
        <v>2444</v>
      </c>
    </row>
    <row r="671" customFormat="false" ht="15" hidden="false" customHeight="true" outlineLevel="0" collapsed="false">
      <c r="A671" s="0" t="n">
        <v>2</v>
      </c>
      <c r="B671" s="71" t="n">
        <v>46184</v>
      </c>
      <c r="C671" s="0" t="n">
        <v>1</v>
      </c>
      <c r="D671" s="0" t="s">
        <v>2442</v>
      </c>
      <c r="E671" s="0" t="n">
        <v>1695</v>
      </c>
      <c r="F671" s="0" t="s">
        <v>390</v>
      </c>
      <c r="I671" s="0" t="n">
        <v>18534</v>
      </c>
      <c r="J671" s="0" t="n">
        <v>102592</v>
      </c>
      <c r="K671" s="0" t="n">
        <v>7891030003467</v>
      </c>
      <c r="L671" s="0" t="s">
        <v>2770</v>
      </c>
      <c r="N671" s="0" t="n">
        <v>135</v>
      </c>
      <c r="O671" s="0" t="n">
        <v>360.45</v>
      </c>
      <c r="P671" s="0" t="s">
        <v>2444</v>
      </c>
    </row>
    <row r="672" customFormat="false" ht="15" hidden="false" customHeight="true" outlineLevel="0" collapsed="false">
      <c r="A672" s="0" t="n">
        <v>2</v>
      </c>
      <c r="B672" s="71" t="n">
        <v>46184</v>
      </c>
      <c r="C672" s="0" t="n">
        <v>1</v>
      </c>
      <c r="D672" s="0" t="s">
        <v>2442</v>
      </c>
      <c r="E672" s="0" t="n">
        <v>1695</v>
      </c>
      <c r="F672" s="0" t="s">
        <v>390</v>
      </c>
      <c r="I672" s="0" t="n">
        <v>18534</v>
      </c>
      <c r="J672" s="0" t="n">
        <v>103344</v>
      </c>
      <c r="K672" s="0" t="n">
        <v>7896490288775</v>
      </c>
      <c r="L672" s="0" t="s">
        <v>2771</v>
      </c>
      <c r="N672" s="0" t="n">
        <v>60</v>
      </c>
      <c r="O672" s="0" t="n">
        <v>100.2</v>
      </c>
      <c r="P672" s="0" t="s">
        <v>2444</v>
      </c>
    </row>
    <row r="673" customFormat="false" ht="15" hidden="false" customHeight="true" outlineLevel="0" collapsed="false">
      <c r="A673" s="0" t="n">
        <v>2</v>
      </c>
      <c r="B673" s="71" t="n">
        <v>46184</v>
      </c>
      <c r="C673" s="0" t="n">
        <v>1</v>
      </c>
      <c r="D673" s="0" t="s">
        <v>2442</v>
      </c>
      <c r="E673" s="0" t="n">
        <v>1695</v>
      </c>
      <c r="F673" s="0" t="s">
        <v>390</v>
      </c>
      <c r="I673" s="0" t="n">
        <v>18534</v>
      </c>
      <c r="J673" s="0" t="n">
        <v>15013</v>
      </c>
      <c r="K673" s="0" t="n">
        <v>7897395040307</v>
      </c>
      <c r="L673" s="0" t="s">
        <v>2772</v>
      </c>
      <c r="N673" s="0" t="n">
        <v>300</v>
      </c>
      <c r="O673" s="0" t="n">
        <v>726</v>
      </c>
      <c r="P673" s="0" t="s">
        <v>2444</v>
      </c>
    </row>
    <row r="674" customFormat="false" ht="15" hidden="false" customHeight="true" outlineLevel="0" collapsed="false">
      <c r="A674" s="0" t="n">
        <v>2</v>
      </c>
      <c r="B674" s="71" t="n">
        <v>46184</v>
      </c>
      <c r="C674" s="0" t="n">
        <v>1</v>
      </c>
      <c r="D674" s="0" t="s">
        <v>2442</v>
      </c>
      <c r="E674" s="0" t="n">
        <v>1695</v>
      </c>
      <c r="F674" s="0" t="s">
        <v>390</v>
      </c>
      <c r="I674" s="0" t="n">
        <v>18534</v>
      </c>
      <c r="J674" s="0" t="n">
        <v>50021</v>
      </c>
      <c r="K674" s="0" t="n">
        <v>7898690980008</v>
      </c>
      <c r="L674" s="0" t="s">
        <v>2773</v>
      </c>
      <c r="N674" s="0" t="n">
        <v>90</v>
      </c>
      <c r="O674" s="0" t="n">
        <v>75.6</v>
      </c>
      <c r="P674" s="0" t="s">
        <v>2444</v>
      </c>
    </row>
    <row r="675" customFormat="false" ht="15" hidden="false" customHeight="true" outlineLevel="0" collapsed="false">
      <c r="A675" s="0" t="n">
        <v>2</v>
      </c>
      <c r="B675" s="71" t="n">
        <v>46184</v>
      </c>
      <c r="C675" s="0" t="n">
        <v>1</v>
      </c>
      <c r="D675" s="0" t="s">
        <v>2442</v>
      </c>
      <c r="E675" s="0" t="n">
        <v>1695</v>
      </c>
      <c r="F675" s="0" t="s">
        <v>390</v>
      </c>
      <c r="I675" s="0" t="n">
        <v>18534</v>
      </c>
      <c r="J675" s="0" t="n">
        <v>50552</v>
      </c>
      <c r="K675" s="0" t="n">
        <v>7891000369340</v>
      </c>
      <c r="L675" s="0" t="s">
        <v>2774</v>
      </c>
      <c r="N675" s="0" t="n">
        <v>24</v>
      </c>
      <c r="O675" s="0" t="n">
        <v>124.56</v>
      </c>
      <c r="P675" s="0" t="s">
        <v>2444</v>
      </c>
    </row>
    <row r="676" customFormat="false" ht="15" hidden="false" customHeight="true" outlineLevel="0" collapsed="false">
      <c r="A676" s="0" t="n">
        <v>2</v>
      </c>
      <c r="B676" s="71" t="n">
        <v>46184</v>
      </c>
      <c r="C676" s="0" t="n">
        <v>1</v>
      </c>
      <c r="D676" s="0" t="s">
        <v>2442</v>
      </c>
      <c r="E676" s="0" t="n">
        <v>1734</v>
      </c>
      <c r="F676" s="0" t="s">
        <v>566</v>
      </c>
      <c r="I676" s="0" t="n">
        <v>253249</v>
      </c>
      <c r="J676" s="0" t="n">
        <v>38201</v>
      </c>
      <c r="K676" s="0" t="n">
        <v>7898055451587</v>
      </c>
      <c r="L676" s="0" t="s">
        <v>2775</v>
      </c>
      <c r="N676" s="0" t="n">
        <v>2</v>
      </c>
      <c r="O676" s="0" t="n">
        <v>46.16</v>
      </c>
      <c r="P676" s="0" t="s">
        <v>2444</v>
      </c>
    </row>
    <row r="677" customFormat="false" ht="15" hidden="false" customHeight="true" outlineLevel="0" collapsed="false">
      <c r="A677" s="0" t="n">
        <v>2</v>
      </c>
      <c r="B677" s="71" t="n">
        <v>46184</v>
      </c>
      <c r="C677" s="0" t="n">
        <v>1</v>
      </c>
      <c r="D677" s="0" t="s">
        <v>2442</v>
      </c>
      <c r="E677" s="0" t="n">
        <v>1734</v>
      </c>
      <c r="F677" s="0" t="s">
        <v>566</v>
      </c>
      <c r="I677" s="0" t="n">
        <v>253249</v>
      </c>
      <c r="J677" s="0" t="n">
        <v>38213</v>
      </c>
      <c r="K677" s="0" t="n">
        <v>7898055450023</v>
      </c>
      <c r="L677" s="0" t="s">
        <v>2775</v>
      </c>
      <c r="N677" s="0" t="n">
        <v>2</v>
      </c>
      <c r="O677" s="0" t="n">
        <v>46.16</v>
      </c>
      <c r="P677" s="0" t="s">
        <v>2444</v>
      </c>
    </row>
    <row r="678" customFormat="false" ht="15" hidden="false" customHeight="true" outlineLevel="0" collapsed="false">
      <c r="A678" s="0" t="n">
        <v>2</v>
      </c>
      <c r="B678" s="71" t="n">
        <v>46184</v>
      </c>
      <c r="C678" s="0" t="n">
        <v>1</v>
      </c>
      <c r="D678" s="0" t="s">
        <v>2442</v>
      </c>
      <c r="E678" s="0" t="n">
        <v>1734</v>
      </c>
      <c r="F678" s="0" t="s">
        <v>566</v>
      </c>
      <c r="I678" s="0" t="n">
        <v>253249</v>
      </c>
      <c r="J678" s="0" t="n">
        <v>38214</v>
      </c>
      <c r="K678" s="0" t="n">
        <v>7898055452249</v>
      </c>
      <c r="L678" s="0" t="s">
        <v>2776</v>
      </c>
      <c r="N678" s="0" t="n">
        <v>2</v>
      </c>
      <c r="O678" s="0" t="n">
        <v>46.16</v>
      </c>
      <c r="P678" s="0" t="s">
        <v>2444</v>
      </c>
    </row>
    <row r="679" customFormat="false" ht="15" hidden="false" customHeight="true" outlineLevel="0" collapsed="false">
      <c r="A679" s="0" t="n">
        <v>2</v>
      </c>
      <c r="B679" s="71" t="n">
        <v>46184</v>
      </c>
      <c r="C679" s="0" t="n">
        <v>1</v>
      </c>
      <c r="D679" s="0" t="s">
        <v>2442</v>
      </c>
      <c r="E679" s="0" t="n">
        <v>1734</v>
      </c>
      <c r="F679" s="0" t="s">
        <v>566</v>
      </c>
      <c r="I679" s="0" t="n">
        <v>253249</v>
      </c>
      <c r="J679" s="0" t="n">
        <v>38219</v>
      </c>
      <c r="K679" s="0" t="n">
        <v>7898055452348</v>
      </c>
      <c r="L679" s="0" t="s">
        <v>2777</v>
      </c>
      <c r="N679" s="0" t="n">
        <v>2</v>
      </c>
      <c r="O679" s="0" t="n">
        <v>46.16</v>
      </c>
      <c r="P679" s="0" t="s">
        <v>2444</v>
      </c>
    </row>
    <row r="680" customFormat="false" ht="15" hidden="false" customHeight="true" outlineLevel="0" collapsed="false">
      <c r="A680" s="0" t="n">
        <v>2</v>
      </c>
      <c r="B680" s="71" t="n">
        <v>46184</v>
      </c>
      <c r="C680" s="0" t="n">
        <v>1</v>
      </c>
      <c r="D680" s="0" t="s">
        <v>2442</v>
      </c>
      <c r="E680" s="0" t="n">
        <v>1734</v>
      </c>
      <c r="F680" s="0" t="s">
        <v>566</v>
      </c>
      <c r="I680" s="0" t="n">
        <v>253249</v>
      </c>
      <c r="J680" s="0" t="n">
        <v>38782</v>
      </c>
      <c r="K680" s="0" t="n">
        <v>7898055450306</v>
      </c>
      <c r="L680" s="0" t="s">
        <v>2778</v>
      </c>
      <c r="N680" s="0" t="n">
        <v>20</v>
      </c>
      <c r="O680" s="0" t="n">
        <v>52.45</v>
      </c>
      <c r="P680" s="0" t="s">
        <v>2444</v>
      </c>
    </row>
    <row r="681" customFormat="false" ht="15" hidden="false" customHeight="true" outlineLevel="0" collapsed="false">
      <c r="A681" s="0" t="n">
        <v>2</v>
      </c>
      <c r="B681" s="71" t="n">
        <v>46184</v>
      </c>
      <c r="C681" s="0" t="n">
        <v>1</v>
      </c>
      <c r="D681" s="0" t="s">
        <v>2442</v>
      </c>
      <c r="E681" s="0" t="n">
        <v>1734</v>
      </c>
      <c r="F681" s="0" t="s">
        <v>566</v>
      </c>
      <c r="I681" s="0" t="n">
        <v>253249</v>
      </c>
      <c r="J681" s="0" t="n">
        <v>38783</v>
      </c>
      <c r="K681" s="0" t="n">
        <v>7898055450481</v>
      </c>
      <c r="L681" s="0" t="s">
        <v>2779</v>
      </c>
      <c r="N681" s="0" t="n">
        <v>20</v>
      </c>
      <c r="O681" s="0" t="n">
        <v>52.45</v>
      </c>
      <c r="P681" s="0" t="s">
        <v>2444</v>
      </c>
    </row>
    <row r="682" customFormat="false" ht="15" hidden="false" customHeight="true" outlineLevel="0" collapsed="false">
      <c r="A682" s="0" t="n">
        <v>2</v>
      </c>
      <c r="B682" s="71" t="n">
        <v>46184</v>
      </c>
      <c r="C682" s="0" t="n">
        <v>1</v>
      </c>
      <c r="D682" s="0" t="s">
        <v>2442</v>
      </c>
      <c r="E682" s="0" t="n">
        <v>1734</v>
      </c>
      <c r="F682" s="0" t="s">
        <v>566</v>
      </c>
      <c r="I682" s="0" t="n">
        <v>253249</v>
      </c>
      <c r="J682" s="0" t="n">
        <v>39028</v>
      </c>
      <c r="K682" s="0" t="n">
        <v>7898055450368</v>
      </c>
      <c r="L682" s="0" t="s">
        <v>2780</v>
      </c>
      <c r="N682" s="0" t="n">
        <v>20</v>
      </c>
      <c r="O682" s="0" t="n">
        <v>102.8</v>
      </c>
      <c r="P682" s="0" t="s">
        <v>2444</v>
      </c>
    </row>
    <row r="683" customFormat="false" ht="15" hidden="false" customHeight="true" outlineLevel="0" collapsed="false">
      <c r="A683" s="0" t="n">
        <v>2</v>
      </c>
      <c r="B683" s="71" t="n">
        <v>46184</v>
      </c>
      <c r="C683" s="0" t="n">
        <v>1</v>
      </c>
      <c r="D683" s="0" t="s">
        <v>2442</v>
      </c>
      <c r="E683" s="0" t="n">
        <v>1734</v>
      </c>
      <c r="F683" s="0" t="s">
        <v>566</v>
      </c>
      <c r="I683" s="0" t="n">
        <v>253249</v>
      </c>
      <c r="J683" s="0" t="n">
        <v>39447</v>
      </c>
      <c r="K683" s="0" t="n">
        <v>7898055450139</v>
      </c>
      <c r="L683" s="0" t="s">
        <v>2781</v>
      </c>
      <c r="N683" s="0" t="n">
        <v>2</v>
      </c>
      <c r="O683" s="0" t="n">
        <v>46.16</v>
      </c>
      <c r="P683" s="0" t="s">
        <v>2444</v>
      </c>
    </row>
    <row r="684" customFormat="false" ht="15" hidden="false" customHeight="true" outlineLevel="0" collapsed="false">
      <c r="A684" s="0" t="n">
        <v>2</v>
      </c>
      <c r="B684" s="71" t="n">
        <v>46184</v>
      </c>
      <c r="C684" s="0" t="n">
        <v>1</v>
      </c>
      <c r="D684" s="0" t="s">
        <v>2442</v>
      </c>
      <c r="E684" s="0" t="n">
        <v>1734</v>
      </c>
      <c r="F684" s="0" t="s">
        <v>566</v>
      </c>
      <c r="I684" s="0" t="n">
        <v>253249</v>
      </c>
      <c r="J684" s="0" t="n">
        <v>39450</v>
      </c>
      <c r="K684" s="0" t="n">
        <v>7898055450030</v>
      </c>
      <c r="L684" s="0" t="s">
        <v>2782</v>
      </c>
      <c r="N684" s="0" t="n">
        <v>2</v>
      </c>
      <c r="O684" s="0" t="n">
        <v>46.16</v>
      </c>
      <c r="P684" s="0" t="s">
        <v>2444</v>
      </c>
    </row>
    <row r="685" customFormat="false" ht="15" hidden="false" customHeight="true" outlineLevel="0" collapsed="false">
      <c r="A685" s="0" t="n">
        <v>2</v>
      </c>
      <c r="B685" s="71" t="n">
        <v>46184</v>
      </c>
      <c r="C685" s="0" t="n">
        <v>1</v>
      </c>
      <c r="D685" s="0" t="s">
        <v>2442</v>
      </c>
      <c r="E685" s="0" t="n">
        <v>1734</v>
      </c>
      <c r="F685" s="0" t="s">
        <v>566</v>
      </c>
      <c r="I685" s="0" t="n">
        <v>253249</v>
      </c>
      <c r="J685" s="0" t="n">
        <v>44940</v>
      </c>
      <c r="K685" s="0" t="n">
        <v>7898055450382</v>
      </c>
      <c r="L685" s="0" t="s">
        <v>2783</v>
      </c>
      <c r="N685" s="0" t="n">
        <v>20</v>
      </c>
      <c r="O685" s="0" t="n">
        <v>52.45</v>
      </c>
      <c r="P685" s="0" t="s">
        <v>2444</v>
      </c>
    </row>
    <row r="686" customFormat="false" ht="15" hidden="false" customHeight="true" outlineLevel="0" collapsed="false">
      <c r="A686" s="0" t="n">
        <v>2</v>
      </c>
      <c r="B686" s="71" t="n">
        <v>46184</v>
      </c>
      <c r="C686" s="0" t="n">
        <v>1</v>
      </c>
      <c r="D686" s="0" t="s">
        <v>2442</v>
      </c>
      <c r="E686" s="0" t="n">
        <v>1734</v>
      </c>
      <c r="F686" s="0" t="s">
        <v>566</v>
      </c>
      <c r="I686" s="0" t="n">
        <v>253249</v>
      </c>
      <c r="J686" s="0" t="n">
        <v>45875</v>
      </c>
      <c r="K686" s="0" t="n">
        <v>7898055450214</v>
      </c>
      <c r="L686" s="0" t="s">
        <v>2784</v>
      </c>
      <c r="N686" s="0" t="n">
        <v>20</v>
      </c>
      <c r="O686" s="0" t="n">
        <v>52.45</v>
      </c>
      <c r="P686" s="0" t="s">
        <v>2444</v>
      </c>
    </row>
    <row r="687" customFormat="false" ht="15" hidden="false" customHeight="true" outlineLevel="0" collapsed="false">
      <c r="A687" s="0" t="n">
        <v>2</v>
      </c>
      <c r="B687" s="71" t="n">
        <v>46184</v>
      </c>
      <c r="C687" s="0" t="n">
        <v>1</v>
      </c>
      <c r="D687" s="0" t="s">
        <v>2442</v>
      </c>
      <c r="E687" s="0" t="n">
        <v>1734</v>
      </c>
      <c r="F687" s="0" t="s">
        <v>566</v>
      </c>
      <c r="I687" s="0" t="n">
        <v>253249</v>
      </c>
      <c r="J687" s="0" t="n">
        <v>49849</v>
      </c>
      <c r="K687" s="0" t="n">
        <v>7898055450429</v>
      </c>
      <c r="L687" s="0" t="s">
        <v>2785</v>
      </c>
      <c r="N687" s="0" t="n">
        <v>20</v>
      </c>
      <c r="O687" s="0" t="n">
        <v>52.45</v>
      </c>
      <c r="P687" s="0" t="s">
        <v>2444</v>
      </c>
    </row>
    <row r="688" customFormat="false" ht="15" hidden="false" customHeight="true" outlineLevel="0" collapsed="false">
      <c r="A688" s="0" t="n">
        <v>2</v>
      </c>
      <c r="B688" s="71" t="n">
        <v>46184</v>
      </c>
      <c r="C688" s="0" t="n">
        <v>1</v>
      </c>
      <c r="D688" s="0" t="s">
        <v>2442</v>
      </c>
      <c r="E688" s="0" t="n">
        <v>1734</v>
      </c>
      <c r="F688" s="0" t="s">
        <v>566</v>
      </c>
      <c r="I688" s="0" t="n">
        <v>253249</v>
      </c>
      <c r="J688" s="0" t="n">
        <v>56815</v>
      </c>
      <c r="K688" s="0" t="n">
        <v>7898055455165</v>
      </c>
      <c r="L688" s="0" t="s">
        <v>2786</v>
      </c>
      <c r="N688" s="0" t="n">
        <v>2</v>
      </c>
      <c r="O688" s="0" t="n">
        <v>46.16</v>
      </c>
      <c r="P688" s="0" t="s">
        <v>2444</v>
      </c>
    </row>
    <row r="689" customFormat="false" ht="15" hidden="false" customHeight="true" outlineLevel="0" collapsed="false">
      <c r="A689" s="0" t="n">
        <v>2</v>
      </c>
      <c r="B689" s="71" t="n">
        <v>46184</v>
      </c>
      <c r="C689" s="0" t="n">
        <v>1</v>
      </c>
      <c r="D689" s="0" t="s">
        <v>2442</v>
      </c>
      <c r="E689" s="0" t="n">
        <v>1734</v>
      </c>
      <c r="F689" s="0" t="s">
        <v>566</v>
      </c>
      <c r="I689" s="0" t="n">
        <v>253249</v>
      </c>
      <c r="J689" s="0" t="n">
        <v>57021</v>
      </c>
      <c r="K689" s="0" t="n">
        <v>7898055455189</v>
      </c>
      <c r="L689" s="0" t="s">
        <v>2787</v>
      </c>
      <c r="N689" s="0" t="n">
        <v>2</v>
      </c>
      <c r="O689" s="0" t="n">
        <v>46.16</v>
      </c>
      <c r="P689" s="0" t="s">
        <v>2444</v>
      </c>
    </row>
    <row r="690" customFormat="false" ht="15" hidden="false" customHeight="true" outlineLevel="0" collapsed="false">
      <c r="A690" s="0" t="n">
        <v>2</v>
      </c>
      <c r="B690" s="71" t="n">
        <v>46184</v>
      </c>
      <c r="C690" s="0" t="n">
        <v>1</v>
      </c>
      <c r="D690" s="0" t="s">
        <v>2442</v>
      </c>
      <c r="E690" s="0" t="n">
        <v>1024</v>
      </c>
      <c r="F690" s="0" t="s">
        <v>471</v>
      </c>
      <c r="I690" s="0" t="n">
        <v>581432</v>
      </c>
      <c r="J690" s="0" t="n">
        <v>104429</v>
      </c>
      <c r="K690" s="0" t="n">
        <v>7896792350064</v>
      </c>
      <c r="L690" s="0" t="s">
        <v>2788</v>
      </c>
      <c r="N690" s="0" t="n">
        <v>60</v>
      </c>
      <c r="O690" s="0" t="n">
        <v>60</v>
      </c>
      <c r="P690" s="0" t="s">
        <v>2444</v>
      </c>
    </row>
    <row r="691" customFormat="false" ht="15" hidden="false" customHeight="true" outlineLevel="0" collapsed="false">
      <c r="A691" s="0" t="n">
        <v>2</v>
      </c>
      <c r="B691" s="71" t="n">
        <v>46184</v>
      </c>
      <c r="C691" s="0" t="n">
        <v>1</v>
      </c>
      <c r="D691" s="0" t="s">
        <v>2442</v>
      </c>
      <c r="E691" s="0" t="n">
        <v>1024</v>
      </c>
      <c r="F691" s="0" t="s">
        <v>471</v>
      </c>
      <c r="I691" s="0" t="n">
        <v>581432</v>
      </c>
      <c r="J691" s="0" t="n">
        <v>23449</v>
      </c>
      <c r="K691" s="0" t="n">
        <v>7896792510000</v>
      </c>
      <c r="L691" s="0" t="s">
        <v>2789</v>
      </c>
      <c r="N691" s="0" t="n">
        <v>48</v>
      </c>
      <c r="O691" s="0" t="n">
        <v>56</v>
      </c>
      <c r="P691" s="0" t="s">
        <v>2444</v>
      </c>
    </row>
    <row r="692" customFormat="false" ht="15" hidden="false" customHeight="true" outlineLevel="0" collapsed="false">
      <c r="A692" s="0" t="n">
        <v>2</v>
      </c>
      <c r="B692" s="71" t="n">
        <v>46184</v>
      </c>
      <c r="C692" s="0" t="n">
        <v>1</v>
      </c>
      <c r="D692" s="0" t="s">
        <v>2442</v>
      </c>
      <c r="E692" s="0" t="n">
        <v>1024</v>
      </c>
      <c r="F692" s="0" t="s">
        <v>471</v>
      </c>
      <c r="I692" s="0" t="n">
        <v>581432</v>
      </c>
      <c r="J692" s="0" t="n">
        <v>25749</v>
      </c>
      <c r="K692" s="0" t="n">
        <v>7898919635955</v>
      </c>
      <c r="L692" s="0" t="s">
        <v>2790</v>
      </c>
      <c r="N692" s="0" t="n">
        <v>24</v>
      </c>
      <c r="O692" s="0" t="n">
        <v>52</v>
      </c>
      <c r="P692" s="0" t="s">
        <v>2444</v>
      </c>
    </row>
    <row r="693" customFormat="false" ht="15" hidden="false" customHeight="true" outlineLevel="0" collapsed="false">
      <c r="A693" s="0" t="n">
        <v>2</v>
      </c>
      <c r="B693" s="71" t="n">
        <v>46184</v>
      </c>
      <c r="C693" s="0" t="n">
        <v>1</v>
      </c>
      <c r="D693" s="0" t="s">
        <v>2442</v>
      </c>
      <c r="E693" s="0" t="n">
        <v>1024</v>
      </c>
      <c r="F693" s="0" t="s">
        <v>471</v>
      </c>
      <c r="I693" s="0" t="n">
        <v>581432</v>
      </c>
      <c r="J693" s="0" t="n">
        <v>28733</v>
      </c>
      <c r="K693" s="0" t="n">
        <v>7898654710108</v>
      </c>
      <c r="L693" s="0" t="s">
        <v>2791</v>
      </c>
      <c r="N693" s="0" t="n">
        <v>12</v>
      </c>
      <c r="O693" s="0" t="n">
        <v>13</v>
      </c>
      <c r="P693" s="0" t="s">
        <v>2444</v>
      </c>
    </row>
    <row r="694" customFormat="false" ht="15" hidden="false" customHeight="true" outlineLevel="0" collapsed="false">
      <c r="A694" s="0" t="n">
        <v>2</v>
      </c>
      <c r="B694" s="71" t="n">
        <v>46184</v>
      </c>
      <c r="C694" s="0" t="n">
        <v>1</v>
      </c>
      <c r="D694" s="0" t="s">
        <v>2442</v>
      </c>
      <c r="E694" s="0" t="n">
        <v>1024</v>
      </c>
      <c r="F694" s="0" t="s">
        <v>471</v>
      </c>
      <c r="I694" s="0" t="n">
        <v>581432</v>
      </c>
      <c r="J694" s="0" t="n">
        <v>46561</v>
      </c>
      <c r="K694" s="0" t="n">
        <v>7898654710320</v>
      </c>
      <c r="L694" s="0" t="s">
        <v>2792</v>
      </c>
      <c r="N694" s="0" t="n">
        <v>12</v>
      </c>
      <c r="O694" s="0" t="n">
        <v>13</v>
      </c>
      <c r="P694" s="0" t="s">
        <v>2444</v>
      </c>
    </row>
    <row r="695" customFormat="false" ht="15" hidden="false" customHeight="true" outlineLevel="0" collapsed="false">
      <c r="A695" s="0" t="n">
        <v>2</v>
      </c>
      <c r="B695" s="71" t="n">
        <v>46184</v>
      </c>
      <c r="C695" s="0" t="n">
        <v>1</v>
      </c>
      <c r="D695" s="0" t="s">
        <v>2442</v>
      </c>
      <c r="E695" s="0" t="n">
        <v>1024</v>
      </c>
      <c r="F695" s="0" t="s">
        <v>471</v>
      </c>
      <c r="I695" s="0" t="n">
        <v>581432</v>
      </c>
      <c r="J695" s="0" t="n">
        <v>60866</v>
      </c>
      <c r="K695" s="0" t="n">
        <v>7898654710474</v>
      </c>
      <c r="L695" s="0" t="s">
        <v>2793</v>
      </c>
      <c r="N695" s="0" t="n">
        <v>36</v>
      </c>
      <c r="O695" s="0" t="n">
        <v>84</v>
      </c>
      <c r="P695" s="0" t="s">
        <v>2444</v>
      </c>
    </row>
    <row r="696" customFormat="false" ht="15" hidden="false" customHeight="true" outlineLevel="0" collapsed="false">
      <c r="A696" s="0" t="n">
        <v>2</v>
      </c>
      <c r="B696" s="71" t="n">
        <v>46184</v>
      </c>
      <c r="C696" s="0" t="n">
        <v>1</v>
      </c>
      <c r="D696" s="0" t="s">
        <v>2442</v>
      </c>
      <c r="E696" s="0" t="n">
        <v>1601</v>
      </c>
      <c r="F696" s="0" t="s">
        <v>193</v>
      </c>
      <c r="I696" s="0" t="n">
        <v>843146</v>
      </c>
      <c r="J696" s="0" t="n">
        <v>41168</v>
      </c>
      <c r="K696" s="0" t="n">
        <v>7896369614223</v>
      </c>
      <c r="L696" s="0" t="s">
        <v>2794</v>
      </c>
      <c r="N696" s="0" t="n">
        <v>24</v>
      </c>
      <c r="O696" s="0" t="n">
        <v>156.05</v>
      </c>
      <c r="P696" s="0" t="s">
        <v>2444</v>
      </c>
    </row>
    <row r="697" customFormat="false" ht="15" hidden="false" customHeight="true" outlineLevel="0" collapsed="false">
      <c r="A697" s="0" t="n">
        <v>2</v>
      </c>
      <c r="B697" s="71" t="n">
        <v>46184</v>
      </c>
      <c r="C697" s="0" t="n">
        <v>1</v>
      </c>
      <c r="D697" s="0" t="s">
        <v>2442</v>
      </c>
      <c r="E697" s="0" t="n">
        <v>1601</v>
      </c>
      <c r="F697" s="0" t="s">
        <v>193</v>
      </c>
      <c r="I697" s="0" t="n">
        <v>843146</v>
      </c>
      <c r="J697" s="0" t="n">
        <v>50758</v>
      </c>
      <c r="K697" s="0" t="n">
        <v>7896593401279</v>
      </c>
      <c r="L697" s="0" t="s">
        <v>2795</v>
      </c>
      <c r="N697" s="0" t="n">
        <v>20</v>
      </c>
      <c r="O697" s="0" t="n">
        <v>42.26</v>
      </c>
      <c r="P697" s="0" t="s">
        <v>2444</v>
      </c>
    </row>
    <row r="698" customFormat="false" ht="15" hidden="false" customHeight="true" outlineLevel="0" collapsed="false">
      <c r="A698" s="0" t="n">
        <v>2</v>
      </c>
      <c r="B698" s="71" t="n">
        <v>46184</v>
      </c>
      <c r="C698" s="0" t="n">
        <v>1</v>
      </c>
      <c r="D698" s="0" t="s">
        <v>2442</v>
      </c>
      <c r="E698" s="0" t="n">
        <v>1601</v>
      </c>
      <c r="F698" s="0" t="s">
        <v>193</v>
      </c>
      <c r="I698" s="0" t="n">
        <v>843146</v>
      </c>
      <c r="J698" s="0" t="n">
        <v>81300</v>
      </c>
      <c r="K698" s="0" t="n">
        <v>7896593404256</v>
      </c>
      <c r="L698" s="0" t="s">
        <v>2796</v>
      </c>
      <c r="N698" s="0" t="n">
        <v>25</v>
      </c>
      <c r="O698" s="0" t="n">
        <v>116.64</v>
      </c>
      <c r="P698" s="0" t="s">
        <v>2444</v>
      </c>
    </row>
    <row r="699" customFormat="false" ht="15" hidden="false" customHeight="true" outlineLevel="0" collapsed="false">
      <c r="A699" s="0" t="n">
        <v>2</v>
      </c>
      <c r="B699" s="71" t="n">
        <v>46184</v>
      </c>
      <c r="C699" s="0" t="n">
        <v>1</v>
      </c>
      <c r="D699" s="0" t="s">
        <v>2442</v>
      </c>
      <c r="E699" s="0" t="n">
        <v>1601</v>
      </c>
      <c r="F699" s="0" t="s">
        <v>193</v>
      </c>
      <c r="I699" s="0" t="n">
        <v>843146</v>
      </c>
      <c r="J699" s="0" t="n">
        <v>81301</v>
      </c>
      <c r="K699" s="0" t="n">
        <v>7896593404249</v>
      </c>
      <c r="L699" s="0" t="s">
        <v>2797</v>
      </c>
      <c r="N699" s="0" t="n">
        <v>25</v>
      </c>
      <c r="O699" s="0" t="n">
        <v>118.4</v>
      </c>
      <c r="P699" s="0" t="s">
        <v>2444</v>
      </c>
    </row>
    <row r="700" customFormat="false" ht="15" hidden="false" customHeight="true" outlineLevel="0" collapsed="false">
      <c r="A700" s="0" t="n">
        <v>2</v>
      </c>
      <c r="B700" s="71" t="n">
        <v>46184</v>
      </c>
      <c r="C700" s="0" t="n">
        <v>1</v>
      </c>
      <c r="D700" s="0" t="s">
        <v>2442</v>
      </c>
      <c r="E700" s="0" t="n">
        <v>1601</v>
      </c>
      <c r="F700" s="0" t="s">
        <v>193</v>
      </c>
      <c r="I700" s="0" t="n">
        <v>843147</v>
      </c>
      <c r="J700" s="0" t="n">
        <v>20223</v>
      </c>
      <c r="K700" s="0" t="n">
        <v>7896102503715</v>
      </c>
      <c r="L700" s="0" t="s">
        <v>2798</v>
      </c>
      <c r="N700" s="0" t="n">
        <v>3</v>
      </c>
      <c r="O700" s="0" t="n">
        <v>46.94</v>
      </c>
      <c r="P700" s="0" t="s">
        <v>2444</v>
      </c>
    </row>
    <row r="701" customFormat="false" ht="15" hidden="false" customHeight="true" outlineLevel="0" collapsed="false">
      <c r="A701" s="0" t="n">
        <v>2</v>
      </c>
      <c r="B701" s="71" t="n">
        <v>46184</v>
      </c>
      <c r="C701" s="0" t="n">
        <v>1</v>
      </c>
      <c r="D701" s="0" t="s">
        <v>2442</v>
      </c>
      <c r="E701" s="0" t="n">
        <v>1601</v>
      </c>
      <c r="F701" s="0" t="s">
        <v>193</v>
      </c>
      <c r="I701" s="0" t="n">
        <v>843147</v>
      </c>
      <c r="J701" s="0" t="n">
        <v>20224</v>
      </c>
      <c r="K701" s="0" t="n">
        <v>7896102503708</v>
      </c>
      <c r="L701" s="0" t="s">
        <v>2799</v>
      </c>
      <c r="N701" s="0" t="n">
        <v>4</v>
      </c>
      <c r="O701" s="0" t="n">
        <v>51.42</v>
      </c>
      <c r="P701" s="0" t="s">
        <v>2444</v>
      </c>
    </row>
    <row r="702" customFormat="false" ht="15" hidden="false" customHeight="true" outlineLevel="0" collapsed="false">
      <c r="A702" s="0" t="n">
        <v>2</v>
      </c>
      <c r="B702" s="71" t="n">
        <v>46184</v>
      </c>
      <c r="C702" s="0" t="n">
        <v>1</v>
      </c>
      <c r="D702" s="0" t="s">
        <v>2442</v>
      </c>
      <c r="E702" s="0" t="n">
        <v>1601</v>
      </c>
      <c r="F702" s="0" t="s">
        <v>193</v>
      </c>
      <c r="I702" s="0" t="n">
        <v>843147</v>
      </c>
      <c r="J702" s="0" t="n">
        <v>15891</v>
      </c>
      <c r="K702" s="0" t="n">
        <v>7896102502909</v>
      </c>
      <c r="L702" s="0" t="s">
        <v>2800</v>
      </c>
      <c r="N702" s="0" t="n">
        <v>24</v>
      </c>
      <c r="O702" s="0" t="n">
        <v>85.88</v>
      </c>
      <c r="P702" s="0" t="s">
        <v>2444</v>
      </c>
    </row>
    <row r="703" customFormat="false" ht="15" hidden="false" customHeight="true" outlineLevel="0" collapsed="false">
      <c r="A703" s="0" t="n">
        <v>2</v>
      </c>
      <c r="B703" s="71" t="n">
        <v>46184</v>
      </c>
      <c r="C703" s="0" t="n">
        <v>1</v>
      </c>
      <c r="D703" s="0" t="s">
        <v>2442</v>
      </c>
      <c r="E703" s="0" t="n">
        <v>1601</v>
      </c>
      <c r="F703" s="0" t="s">
        <v>193</v>
      </c>
      <c r="I703" s="0" t="n">
        <v>843147</v>
      </c>
      <c r="J703" s="0" t="n">
        <v>21482</v>
      </c>
      <c r="K703" s="0" t="n">
        <v>7896102509144</v>
      </c>
      <c r="L703" s="0" t="s">
        <v>2801</v>
      </c>
      <c r="N703" s="0" t="n">
        <v>12</v>
      </c>
      <c r="O703" s="0" t="n">
        <v>63.04</v>
      </c>
      <c r="P703" s="0" t="s">
        <v>2444</v>
      </c>
    </row>
    <row r="704" customFormat="false" ht="15" hidden="false" customHeight="true" outlineLevel="0" collapsed="false">
      <c r="A704" s="0" t="n">
        <v>2</v>
      </c>
      <c r="B704" s="71" t="n">
        <v>46184</v>
      </c>
      <c r="C704" s="0" t="n">
        <v>1</v>
      </c>
      <c r="D704" s="0" t="s">
        <v>2442</v>
      </c>
      <c r="E704" s="0" t="n">
        <v>1601</v>
      </c>
      <c r="F704" s="0" t="s">
        <v>193</v>
      </c>
      <c r="I704" s="0" t="n">
        <v>843147</v>
      </c>
      <c r="J704" s="0" t="n">
        <v>21654</v>
      </c>
      <c r="K704" s="0" t="n">
        <v>7896102502183</v>
      </c>
      <c r="L704" s="0" t="s">
        <v>2802</v>
      </c>
      <c r="N704" s="0" t="n">
        <v>48</v>
      </c>
      <c r="O704" s="0" t="n">
        <v>99.5</v>
      </c>
      <c r="P704" s="0" t="s">
        <v>2444</v>
      </c>
    </row>
    <row r="705" customFormat="false" ht="15" hidden="false" customHeight="true" outlineLevel="0" collapsed="false">
      <c r="A705" s="0" t="n">
        <v>2</v>
      </c>
      <c r="B705" s="71" t="n">
        <v>46184</v>
      </c>
      <c r="C705" s="0" t="n">
        <v>1</v>
      </c>
      <c r="D705" s="0" t="s">
        <v>2442</v>
      </c>
      <c r="E705" s="0" t="n">
        <v>1601</v>
      </c>
      <c r="F705" s="0" t="s">
        <v>193</v>
      </c>
      <c r="I705" s="0" t="n">
        <v>843147</v>
      </c>
      <c r="J705" s="0" t="n">
        <v>21655</v>
      </c>
      <c r="K705" s="0" t="n">
        <v>7896102502763</v>
      </c>
      <c r="L705" s="0" t="s">
        <v>2803</v>
      </c>
      <c r="N705" s="0" t="n">
        <v>12</v>
      </c>
      <c r="O705" s="0" t="n">
        <v>47.79</v>
      </c>
      <c r="P705" s="0" t="s">
        <v>2444</v>
      </c>
    </row>
    <row r="706" customFormat="false" ht="15" hidden="false" customHeight="true" outlineLevel="0" collapsed="false">
      <c r="A706" s="0" t="n">
        <v>2</v>
      </c>
      <c r="B706" s="71" t="n">
        <v>46184</v>
      </c>
      <c r="C706" s="0" t="n">
        <v>1</v>
      </c>
      <c r="D706" s="0" t="s">
        <v>2442</v>
      </c>
      <c r="E706" s="0" t="n">
        <v>1601</v>
      </c>
      <c r="F706" s="0" t="s">
        <v>193</v>
      </c>
      <c r="I706" s="0" t="n">
        <v>843147</v>
      </c>
      <c r="J706" s="0" t="n">
        <v>22074</v>
      </c>
      <c r="K706" s="0" t="n">
        <v>7896102502787</v>
      </c>
      <c r="L706" s="0" t="s">
        <v>2804</v>
      </c>
      <c r="N706" s="0" t="n">
        <v>12</v>
      </c>
      <c r="O706" s="0" t="n">
        <v>45.86</v>
      </c>
      <c r="P706" s="0" t="s">
        <v>2444</v>
      </c>
    </row>
    <row r="707" customFormat="false" ht="15" hidden="false" customHeight="true" outlineLevel="0" collapsed="false">
      <c r="A707" s="0" t="n">
        <v>2</v>
      </c>
      <c r="B707" s="71" t="n">
        <v>46184</v>
      </c>
      <c r="C707" s="0" t="n">
        <v>1</v>
      </c>
      <c r="D707" s="0" t="s">
        <v>2442</v>
      </c>
      <c r="E707" s="0" t="n">
        <v>1601</v>
      </c>
      <c r="F707" s="0" t="s">
        <v>193</v>
      </c>
      <c r="I707" s="0" t="n">
        <v>843147</v>
      </c>
      <c r="J707" s="0" t="n">
        <v>22079</v>
      </c>
      <c r="K707" s="0" t="n">
        <v>7896102502756</v>
      </c>
      <c r="L707" s="0" t="s">
        <v>2805</v>
      </c>
      <c r="N707" s="0" t="n">
        <v>12</v>
      </c>
      <c r="O707" s="0" t="n">
        <v>73.13</v>
      </c>
      <c r="P707" s="0" t="s">
        <v>2444</v>
      </c>
    </row>
    <row r="708" customFormat="false" ht="15" hidden="false" customHeight="true" outlineLevel="0" collapsed="false">
      <c r="A708" s="0" t="n">
        <v>2</v>
      </c>
      <c r="B708" s="71" t="n">
        <v>46184</v>
      </c>
      <c r="C708" s="0" t="n">
        <v>1</v>
      </c>
      <c r="D708" s="0" t="s">
        <v>2442</v>
      </c>
      <c r="E708" s="0" t="n">
        <v>1601</v>
      </c>
      <c r="F708" s="0" t="s">
        <v>193</v>
      </c>
      <c r="I708" s="0" t="n">
        <v>843147</v>
      </c>
      <c r="J708" s="0" t="n">
        <v>24152</v>
      </c>
      <c r="K708" s="0" t="n">
        <v>7896102584189</v>
      </c>
      <c r="L708" s="0" t="s">
        <v>2806</v>
      </c>
      <c r="N708" s="0" t="n">
        <v>16</v>
      </c>
      <c r="O708" s="0" t="n">
        <v>140.35</v>
      </c>
      <c r="P708" s="0" t="s">
        <v>2444</v>
      </c>
    </row>
    <row r="709" customFormat="false" ht="15" hidden="false" customHeight="true" outlineLevel="0" collapsed="false">
      <c r="A709" s="0" t="n">
        <v>2</v>
      </c>
      <c r="B709" s="71" t="n">
        <v>46184</v>
      </c>
      <c r="C709" s="0" t="n">
        <v>1</v>
      </c>
      <c r="D709" s="0" t="s">
        <v>2442</v>
      </c>
      <c r="E709" s="0" t="n">
        <v>1601</v>
      </c>
      <c r="F709" s="0" t="s">
        <v>193</v>
      </c>
      <c r="I709" s="0" t="n">
        <v>843147</v>
      </c>
      <c r="J709" s="0" t="n">
        <v>29515</v>
      </c>
      <c r="K709" s="0" t="n">
        <v>7896102000382</v>
      </c>
      <c r="L709" s="0" t="s">
        <v>2807</v>
      </c>
      <c r="N709" s="0" t="n">
        <v>3</v>
      </c>
      <c r="O709" s="0" t="n">
        <v>26.19</v>
      </c>
      <c r="P709" s="0" t="s">
        <v>2444</v>
      </c>
    </row>
    <row r="710" customFormat="false" ht="15" hidden="false" customHeight="true" outlineLevel="0" collapsed="false">
      <c r="A710" s="0" t="n">
        <v>2</v>
      </c>
      <c r="B710" s="71" t="n">
        <v>46184</v>
      </c>
      <c r="C710" s="0" t="n">
        <v>1</v>
      </c>
      <c r="D710" s="0" t="s">
        <v>2442</v>
      </c>
      <c r="E710" s="0" t="n">
        <v>1601</v>
      </c>
      <c r="F710" s="0" t="s">
        <v>193</v>
      </c>
      <c r="I710" s="0" t="n">
        <v>843147</v>
      </c>
      <c r="J710" s="0" t="n">
        <v>41901</v>
      </c>
      <c r="K710" s="0" t="n">
        <v>7899567248566</v>
      </c>
      <c r="L710" s="0" t="s">
        <v>2808</v>
      </c>
      <c r="N710" s="0" t="n">
        <v>24</v>
      </c>
      <c r="O710" s="0" t="n">
        <v>200.53</v>
      </c>
      <c r="P710" s="0" t="s">
        <v>2444</v>
      </c>
    </row>
    <row r="711" customFormat="false" ht="15" hidden="false" customHeight="true" outlineLevel="0" collapsed="false">
      <c r="A711" s="0" t="n">
        <v>2</v>
      </c>
      <c r="B711" s="71" t="n">
        <v>46184</v>
      </c>
      <c r="C711" s="0" t="n">
        <v>1</v>
      </c>
      <c r="D711" s="0" t="s">
        <v>2442</v>
      </c>
      <c r="E711" s="0" t="n">
        <v>1601</v>
      </c>
      <c r="F711" s="0" t="s">
        <v>193</v>
      </c>
      <c r="I711" s="0" t="n">
        <v>843147</v>
      </c>
      <c r="J711" s="0" t="n">
        <v>58210</v>
      </c>
      <c r="K711" s="0" t="n">
        <v>7896382505591</v>
      </c>
      <c r="L711" s="0" t="s">
        <v>2809</v>
      </c>
      <c r="N711" s="0" t="n">
        <v>20</v>
      </c>
      <c r="O711" s="0" t="n">
        <v>100.81</v>
      </c>
      <c r="P711" s="0" t="s">
        <v>2444</v>
      </c>
    </row>
    <row r="712" customFormat="false" ht="15" hidden="false" customHeight="true" outlineLevel="0" collapsed="false">
      <c r="A712" s="0" t="n">
        <v>2</v>
      </c>
      <c r="B712" s="71" t="n">
        <v>46184</v>
      </c>
      <c r="C712" s="0" t="n">
        <v>1</v>
      </c>
      <c r="D712" s="0" t="s">
        <v>2442</v>
      </c>
      <c r="E712" s="0" t="n">
        <v>1601</v>
      </c>
      <c r="F712" s="0" t="s">
        <v>193</v>
      </c>
      <c r="I712" s="0" t="n">
        <v>843147</v>
      </c>
      <c r="J712" s="0" t="n">
        <v>63176</v>
      </c>
      <c r="K712" s="0" t="n">
        <v>7896031203359</v>
      </c>
      <c r="L712" s="0" t="s">
        <v>2810</v>
      </c>
      <c r="N712" s="0" t="n">
        <v>24</v>
      </c>
      <c r="O712" s="0" t="n">
        <v>173.25</v>
      </c>
      <c r="P712" s="0" t="s">
        <v>2444</v>
      </c>
    </row>
    <row r="713" customFormat="false" ht="15" hidden="false" customHeight="true" outlineLevel="0" collapsed="false">
      <c r="A713" s="0" t="n">
        <v>2</v>
      </c>
      <c r="B713" s="71" t="n">
        <v>46184</v>
      </c>
      <c r="C713" s="0" t="n">
        <v>1</v>
      </c>
      <c r="D713" s="0" t="s">
        <v>2442</v>
      </c>
      <c r="E713" s="0" t="n">
        <v>1601</v>
      </c>
      <c r="F713" s="0" t="s">
        <v>193</v>
      </c>
      <c r="I713" s="0" t="n">
        <v>843147</v>
      </c>
      <c r="J713" s="0" t="n">
        <v>64831</v>
      </c>
      <c r="K713" s="0" t="n">
        <v>7896382505690</v>
      </c>
      <c r="L713" s="0" t="s">
        <v>2811</v>
      </c>
      <c r="N713" s="0" t="n">
        <v>10</v>
      </c>
      <c r="O713" s="0" t="n">
        <v>40.07</v>
      </c>
      <c r="P713" s="0" t="s">
        <v>2444</v>
      </c>
    </row>
    <row r="714" customFormat="false" ht="15" hidden="false" customHeight="true" outlineLevel="0" collapsed="false">
      <c r="A714" s="0" t="n">
        <v>2</v>
      </c>
      <c r="B714" s="71" t="n">
        <v>46184</v>
      </c>
      <c r="C714" s="0" t="n">
        <v>1</v>
      </c>
      <c r="D714" s="0" t="s">
        <v>2442</v>
      </c>
      <c r="E714" s="0" t="n">
        <v>1601</v>
      </c>
      <c r="F714" s="0" t="s">
        <v>193</v>
      </c>
      <c r="I714" s="0" t="n">
        <v>843147</v>
      </c>
      <c r="J714" s="0" t="n">
        <v>67213</v>
      </c>
      <c r="K714" s="0" t="n">
        <v>7896382505812</v>
      </c>
      <c r="L714" s="0" t="s">
        <v>2812</v>
      </c>
      <c r="N714" s="0" t="n">
        <v>72</v>
      </c>
      <c r="O714" s="0" t="n">
        <v>78.78</v>
      </c>
      <c r="P714" s="0" t="s">
        <v>2444</v>
      </c>
    </row>
    <row r="715" customFormat="false" ht="15" hidden="false" customHeight="true" outlineLevel="0" collapsed="false">
      <c r="A715" s="0" t="n">
        <v>2</v>
      </c>
      <c r="B715" s="71" t="n">
        <v>46184</v>
      </c>
      <c r="C715" s="0" t="n">
        <v>1</v>
      </c>
      <c r="D715" s="0" t="s">
        <v>2442</v>
      </c>
      <c r="E715" s="0" t="n">
        <v>1601</v>
      </c>
      <c r="F715" s="0" t="s">
        <v>193</v>
      </c>
      <c r="I715" s="0" t="n">
        <v>843147</v>
      </c>
      <c r="J715" s="0" t="n">
        <v>67215</v>
      </c>
      <c r="K715" s="0" t="n">
        <v>7896382505867</v>
      </c>
      <c r="L715" s="0" t="s">
        <v>2813</v>
      </c>
      <c r="N715" s="0" t="n">
        <v>72</v>
      </c>
      <c r="O715" s="0" t="n">
        <v>78.78</v>
      </c>
      <c r="P715" s="0" t="s">
        <v>2444</v>
      </c>
    </row>
    <row r="716" customFormat="false" ht="15" hidden="false" customHeight="true" outlineLevel="0" collapsed="false">
      <c r="A716" s="0" t="n">
        <v>2</v>
      </c>
      <c r="B716" s="71" t="n">
        <v>46184</v>
      </c>
      <c r="C716" s="0" t="n">
        <v>1</v>
      </c>
      <c r="D716" s="0" t="s">
        <v>2442</v>
      </c>
      <c r="E716" s="0" t="n">
        <v>1601</v>
      </c>
      <c r="F716" s="0" t="s">
        <v>193</v>
      </c>
      <c r="I716" s="0" t="n">
        <v>843147</v>
      </c>
      <c r="J716" s="0" t="n">
        <v>68268</v>
      </c>
      <c r="K716" s="0" t="n">
        <v>7896382505829</v>
      </c>
      <c r="L716" s="0" t="s">
        <v>2814</v>
      </c>
      <c r="N716" s="0" t="n">
        <v>72</v>
      </c>
      <c r="O716" s="0" t="n">
        <v>78.78</v>
      </c>
      <c r="P716" s="0" t="s">
        <v>2444</v>
      </c>
    </row>
    <row r="717" customFormat="false" ht="15" hidden="false" customHeight="true" outlineLevel="0" collapsed="false">
      <c r="A717" s="0" t="n">
        <v>2</v>
      </c>
      <c r="B717" s="71" t="n">
        <v>46184</v>
      </c>
      <c r="C717" s="0" t="n">
        <v>1</v>
      </c>
      <c r="D717" s="0" t="s">
        <v>2442</v>
      </c>
      <c r="E717" s="0" t="n">
        <v>1601</v>
      </c>
      <c r="F717" s="0" t="s">
        <v>193</v>
      </c>
      <c r="I717" s="0" t="n">
        <v>843147</v>
      </c>
      <c r="J717" s="0" t="n">
        <v>71484</v>
      </c>
      <c r="K717" s="0" t="n">
        <v>7896102503685</v>
      </c>
      <c r="L717" s="0" t="s">
        <v>2815</v>
      </c>
      <c r="N717" s="0" t="n">
        <v>32</v>
      </c>
      <c r="O717" s="0" t="n">
        <v>62.84</v>
      </c>
      <c r="P717" s="0" t="s">
        <v>2444</v>
      </c>
    </row>
    <row r="718" customFormat="false" ht="15" hidden="false" customHeight="true" outlineLevel="0" collapsed="false">
      <c r="A718" s="0" t="n">
        <v>2</v>
      </c>
      <c r="B718" s="71" t="n">
        <v>46184</v>
      </c>
      <c r="C718" s="0" t="n">
        <v>1</v>
      </c>
      <c r="D718" s="0" t="s">
        <v>2442</v>
      </c>
      <c r="E718" s="0" t="n">
        <v>1601</v>
      </c>
      <c r="F718" s="0" t="s">
        <v>193</v>
      </c>
      <c r="I718" s="0" t="n">
        <v>843147</v>
      </c>
      <c r="J718" s="0" t="n">
        <v>71485</v>
      </c>
      <c r="K718" s="0" t="n">
        <v>7896102503661</v>
      </c>
      <c r="L718" s="0" t="s">
        <v>2816</v>
      </c>
      <c r="N718" s="0" t="n">
        <v>32</v>
      </c>
      <c r="O718" s="0" t="n">
        <v>53.93</v>
      </c>
      <c r="P718" s="0" t="s">
        <v>2444</v>
      </c>
    </row>
    <row r="719" customFormat="false" ht="15" hidden="false" customHeight="true" outlineLevel="0" collapsed="false">
      <c r="A719" s="0" t="n">
        <v>2</v>
      </c>
      <c r="B719" s="71" t="n">
        <v>46184</v>
      </c>
      <c r="C719" s="0" t="n">
        <v>1</v>
      </c>
      <c r="D719" s="0" t="s">
        <v>2442</v>
      </c>
      <c r="E719" s="0" t="n">
        <v>1601</v>
      </c>
      <c r="F719" s="0" t="s">
        <v>193</v>
      </c>
      <c r="I719" s="0" t="n">
        <v>843147</v>
      </c>
      <c r="J719" s="0" t="n">
        <v>72249</v>
      </c>
      <c r="K719" s="0" t="n">
        <v>7896102503739</v>
      </c>
      <c r="L719" s="0" t="s">
        <v>2817</v>
      </c>
      <c r="N719" s="0" t="n">
        <v>32</v>
      </c>
      <c r="O719" s="0" t="n">
        <v>62.84</v>
      </c>
      <c r="P719" s="0" t="s">
        <v>2444</v>
      </c>
    </row>
    <row r="720" customFormat="false" ht="15" hidden="false" customHeight="true" outlineLevel="0" collapsed="false">
      <c r="A720" s="0" t="n">
        <v>2</v>
      </c>
      <c r="B720" s="71" t="n">
        <v>46184</v>
      </c>
      <c r="C720" s="0" t="n">
        <v>1</v>
      </c>
      <c r="D720" s="0" t="s">
        <v>2442</v>
      </c>
      <c r="E720" s="0" t="n">
        <v>1601</v>
      </c>
      <c r="F720" s="0" t="s">
        <v>193</v>
      </c>
      <c r="I720" s="0" t="n">
        <v>843147</v>
      </c>
      <c r="J720" s="0" t="n">
        <v>81302</v>
      </c>
      <c r="K720" s="0" t="n">
        <v>7896382506239</v>
      </c>
      <c r="L720" s="0" t="s">
        <v>2818</v>
      </c>
      <c r="N720" s="0" t="n">
        <v>72</v>
      </c>
      <c r="O720" s="0" t="n">
        <v>78.78</v>
      </c>
      <c r="P720" s="0" t="s">
        <v>2444</v>
      </c>
    </row>
    <row r="721" customFormat="false" ht="15" hidden="false" customHeight="true" outlineLevel="0" collapsed="false">
      <c r="A721" s="0" t="n">
        <v>2</v>
      </c>
      <c r="B721" s="71" t="n">
        <v>46184</v>
      </c>
      <c r="C721" s="0" t="n">
        <v>1</v>
      </c>
      <c r="D721" s="0" t="s">
        <v>2442</v>
      </c>
      <c r="E721" s="0" t="n">
        <v>1740</v>
      </c>
      <c r="F721" s="0" t="s">
        <v>468</v>
      </c>
      <c r="I721" s="0" t="n">
        <v>1235911</v>
      </c>
      <c r="J721" s="0" t="n">
        <v>106130</v>
      </c>
      <c r="K721" s="0" t="n">
        <v>7891000340004</v>
      </c>
      <c r="L721" s="0" t="s">
        <v>2819</v>
      </c>
      <c r="N721" s="0" t="n">
        <v>5</v>
      </c>
      <c r="O721" s="0" t="n">
        <v>18.9</v>
      </c>
      <c r="P721" s="0" t="s">
        <v>2444</v>
      </c>
    </row>
    <row r="722" customFormat="false" ht="15" hidden="false" customHeight="true" outlineLevel="0" collapsed="false">
      <c r="A722" s="0" t="n">
        <v>2</v>
      </c>
      <c r="B722" s="71" t="n">
        <v>46184</v>
      </c>
      <c r="C722" s="0" t="n">
        <v>1</v>
      </c>
      <c r="D722" s="0" t="s">
        <v>2442</v>
      </c>
      <c r="E722" s="0" t="n">
        <v>1740</v>
      </c>
      <c r="F722" s="0" t="s">
        <v>468</v>
      </c>
      <c r="I722" s="0" t="n">
        <v>1235911</v>
      </c>
      <c r="J722" s="0" t="n">
        <v>14219</v>
      </c>
      <c r="K722" s="0" t="n">
        <v>7891000072950</v>
      </c>
      <c r="L722" s="0" t="s">
        <v>2820</v>
      </c>
      <c r="N722" s="0" t="n">
        <v>3</v>
      </c>
      <c r="O722" s="0" t="n">
        <v>13.62</v>
      </c>
      <c r="P722" s="0" t="s">
        <v>2444</v>
      </c>
    </row>
    <row r="723" customFormat="false" ht="15" hidden="false" customHeight="true" outlineLevel="0" collapsed="false">
      <c r="A723" s="0" t="n">
        <v>2</v>
      </c>
      <c r="B723" s="71" t="n">
        <v>46184</v>
      </c>
      <c r="C723" s="0" t="n">
        <v>1</v>
      </c>
      <c r="D723" s="0" t="s">
        <v>2442</v>
      </c>
      <c r="E723" s="0" t="n">
        <v>1740</v>
      </c>
      <c r="F723" s="0" t="s">
        <v>468</v>
      </c>
      <c r="I723" s="0" t="n">
        <v>1235911</v>
      </c>
      <c r="J723" s="0" t="n">
        <v>16602</v>
      </c>
      <c r="K723" s="0" t="n">
        <v>7891000084649</v>
      </c>
      <c r="L723" s="0" t="s">
        <v>2821</v>
      </c>
      <c r="N723" s="0" t="n">
        <v>3</v>
      </c>
      <c r="O723" s="0" t="n">
        <v>32.97</v>
      </c>
      <c r="P723" s="0" t="s">
        <v>2444</v>
      </c>
    </row>
    <row r="724" customFormat="false" ht="15" hidden="false" customHeight="true" outlineLevel="0" collapsed="false">
      <c r="A724" s="0" t="n">
        <v>2</v>
      </c>
      <c r="B724" s="71" t="n">
        <v>46184</v>
      </c>
      <c r="C724" s="0" t="n">
        <v>1</v>
      </c>
      <c r="D724" s="0" t="s">
        <v>2442</v>
      </c>
      <c r="E724" s="0" t="n">
        <v>1740</v>
      </c>
      <c r="F724" s="0" t="s">
        <v>468</v>
      </c>
      <c r="I724" s="0" t="n">
        <v>1235911</v>
      </c>
      <c r="J724" s="0" t="n">
        <v>20021</v>
      </c>
      <c r="K724" s="0" t="n">
        <v>7891000103937</v>
      </c>
      <c r="L724" s="0" t="s">
        <v>2822</v>
      </c>
      <c r="N724" s="0" t="n">
        <v>3</v>
      </c>
      <c r="O724" s="0" t="n">
        <v>27.75</v>
      </c>
      <c r="P724" s="0" t="s">
        <v>2444</v>
      </c>
    </row>
    <row r="725" customFormat="false" ht="15" hidden="false" customHeight="true" outlineLevel="0" collapsed="false">
      <c r="A725" s="0" t="n">
        <v>2</v>
      </c>
      <c r="B725" s="71" t="n">
        <v>46184</v>
      </c>
      <c r="C725" s="0" t="n">
        <v>1</v>
      </c>
      <c r="D725" s="0" t="s">
        <v>2442</v>
      </c>
      <c r="E725" s="0" t="n">
        <v>1740</v>
      </c>
      <c r="F725" s="0" t="s">
        <v>468</v>
      </c>
      <c r="I725" s="0" t="n">
        <v>1235911</v>
      </c>
      <c r="J725" s="0" t="n">
        <v>23285</v>
      </c>
      <c r="K725" s="0" t="n">
        <v>78936171</v>
      </c>
      <c r="L725" s="0" t="s">
        <v>2823</v>
      </c>
      <c r="N725" s="0" t="n">
        <v>3</v>
      </c>
      <c r="O725" s="0" t="n">
        <v>10.47</v>
      </c>
      <c r="P725" s="0" t="s">
        <v>2444</v>
      </c>
    </row>
    <row r="726" customFormat="false" ht="15" hidden="false" customHeight="true" outlineLevel="0" collapsed="false">
      <c r="A726" s="0" t="n">
        <v>2</v>
      </c>
      <c r="B726" s="71" t="n">
        <v>46184</v>
      </c>
      <c r="C726" s="0" t="n">
        <v>1</v>
      </c>
      <c r="D726" s="0" t="s">
        <v>2442</v>
      </c>
      <c r="E726" s="0" t="n">
        <v>1740</v>
      </c>
      <c r="F726" s="0" t="s">
        <v>468</v>
      </c>
      <c r="I726" s="0" t="n">
        <v>1235911</v>
      </c>
      <c r="J726" s="0" t="n">
        <v>25112</v>
      </c>
      <c r="K726" s="0" t="n">
        <v>7891000244425</v>
      </c>
      <c r="L726" s="0" t="s">
        <v>2824</v>
      </c>
      <c r="N726" s="0" t="n">
        <v>3</v>
      </c>
      <c r="O726" s="0" t="n">
        <v>36.87</v>
      </c>
      <c r="P726" s="0" t="s">
        <v>2444</v>
      </c>
    </row>
    <row r="727" customFormat="false" ht="15" hidden="false" customHeight="true" outlineLevel="0" collapsed="false">
      <c r="A727" s="0" t="n">
        <v>2</v>
      </c>
      <c r="B727" s="71" t="n">
        <v>46184</v>
      </c>
      <c r="C727" s="0" t="n">
        <v>1</v>
      </c>
      <c r="D727" s="0" t="s">
        <v>2442</v>
      </c>
      <c r="E727" s="0" t="n">
        <v>1740</v>
      </c>
      <c r="F727" s="0" t="s">
        <v>468</v>
      </c>
      <c r="I727" s="0" t="n">
        <v>1235911</v>
      </c>
      <c r="J727" s="0" t="n">
        <v>25413</v>
      </c>
      <c r="K727" s="0" t="n">
        <v>7891000241417</v>
      </c>
      <c r="L727" s="0" t="s">
        <v>2825</v>
      </c>
      <c r="N727" s="0" t="n">
        <v>2</v>
      </c>
      <c r="O727" s="0" t="n">
        <v>24.58</v>
      </c>
      <c r="P727" s="0" t="s">
        <v>2444</v>
      </c>
    </row>
    <row r="728" customFormat="false" ht="15" hidden="false" customHeight="true" outlineLevel="0" collapsed="false">
      <c r="A728" s="0" t="n">
        <v>2</v>
      </c>
      <c r="B728" s="71" t="n">
        <v>46184</v>
      </c>
      <c r="C728" s="0" t="n">
        <v>1</v>
      </c>
      <c r="D728" s="0" t="s">
        <v>2442</v>
      </c>
      <c r="E728" s="0" t="n">
        <v>1740</v>
      </c>
      <c r="F728" s="0" t="s">
        <v>468</v>
      </c>
      <c r="I728" s="0" t="n">
        <v>1235911</v>
      </c>
      <c r="J728" s="0" t="n">
        <v>26554</v>
      </c>
      <c r="K728" s="0" t="n">
        <v>7891000252819</v>
      </c>
      <c r="L728" s="0" t="s">
        <v>2826</v>
      </c>
      <c r="N728" s="0" t="n">
        <v>6</v>
      </c>
      <c r="O728" s="0" t="n">
        <v>21.3</v>
      </c>
      <c r="P728" s="0" t="s">
        <v>2444</v>
      </c>
    </row>
    <row r="729" customFormat="false" ht="15" hidden="false" customHeight="true" outlineLevel="0" collapsed="false">
      <c r="A729" s="0" t="n">
        <v>2</v>
      </c>
      <c r="B729" s="71" t="n">
        <v>46184</v>
      </c>
      <c r="C729" s="0" t="n">
        <v>1</v>
      </c>
      <c r="D729" s="0" t="s">
        <v>2442</v>
      </c>
      <c r="E729" s="0" t="n">
        <v>1740</v>
      </c>
      <c r="F729" s="0" t="s">
        <v>468</v>
      </c>
      <c r="I729" s="0" t="n">
        <v>1235911</v>
      </c>
      <c r="J729" s="0" t="n">
        <v>27874</v>
      </c>
      <c r="K729" s="0" t="n">
        <v>7891000260609</v>
      </c>
      <c r="L729" s="0" t="s">
        <v>2827</v>
      </c>
      <c r="N729" s="0" t="n">
        <v>5</v>
      </c>
      <c r="O729" s="0" t="n">
        <v>17.75</v>
      </c>
      <c r="P729" s="0" t="s">
        <v>2444</v>
      </c>
    </row>
    <row r="730" customFormat="false" ht="15" hidden="false" customHeight="true" outlineLevel="0" collapsed="false">
      <c r="A730" s="0" t="n">
        <v>2</v>
      </c>
      <c r="B730" s="71" t="n">
        <v>46184</v>
      </c>
      <c r="C730" s="0" t="n">
        <v>1</v>
      </c>
      <c r="D730" s="0" t="s">
        <v>2442</v>
      </c>
      <c r="E730" s="0" t="n">
        <v>1740</v>
      </c>
      <c r="F730" s="0" t="s">
        <v>468</v>
      </c>
      <c r="I730" s="0" t="n">
        <v>1235911</v>
      </c>
      <c r="J730" s="0" t="n">
        <v>27878</v>
      </c>
      <c r="K730" s="0" t="n">
        <v>7891000261026</v>
      </c>
      <c r="L730" s="0" t="s">
        <v>2828</v>
      </c>
      <c r="N730" s="0" t="n">
        <v>6</v>
      </c>
      <c r="O730" s="0" t="n">
        <v>53.1</v>
      </c>
      <c r="P730" s="0" t="s">
        <v>2444</v>
      </c>
    </row>
    <row r="731" customFormat="false" ht="15" hidden="false" customHeight="true" outlineLevel="0" collapsed="false">
      <c r="A731" s="0" t="n">
        <v>2</v>
      </c>
      <c r="B731" s="71" t="n">
        <v>46184</v>
      </c>
      <c r="C731" s="0" t="n">
        <v>1</v>
      </c>
      <c r="D731" s="0" t="s">
        <v>2442</v>
      </c>
      <c r="E731" s="0" t="n">
        <v>1740</v>
      </c>
      <c r="F731" s="0" t="s">
        <v>468</v>
      </c>
      <c r="I731" s="0" t="n">
        <v>1235911</v>
      </c>
      <c r="J731" s="0" t="n">
        <v>28388</v>
      </c>
      <c r="K731" s="0" t="n">
        <v>7891000260166</v>
      </c>
      <c r="L731" s="0" t="s">
        <v>2829</v>
      </c>
      <c r="N731" s="0" t="n">
        <v>3</v>
      </c>
      <c r="O731" s="0" t="n">
        <v>14.19</v>
      </c>
      <c r="P731" s="0" t="s">
        <v>2444</v>
      </c>
    </row>
    <row r="732" customFormat="false" ht="15" hidden="false" customHeight="true" outlineLevel="0" collapsed="false">
      <c r="A732" s="0" t="n">
        <v>2</v>
      </c>
      <c r="B732" s="71" t="n">
        <v>46184</v>
      </c>
      <c r="C732" s="0" t="n">
        <v>1</v>
      </c>
      <c r="D732" s="0" t="s">
        <v>2442</v>
      </c>
      <c r="E732" s="0" t="n">
        <v>1740</v>
      </c>
      <c r="F732" s="0" t="s">
        <v>468</v>
      </c>
      <c r="I732" s="0" t="n">
        <v>1235911</v>
      </c>
      <c r="J732" s="0" t="n">
        <v>28389</v>
      </c>
      <c r="K732" s="0" t="n">
        <v>7891000261460</v>
      </c>
      <c r="L732" s="0" t="s">
        <v>2830</v>
      </c>
      <c r="N732" s="0" t="n">
        <v>3</v>
      </c>
      <c r="O732" s="0" t="n">
        <v>14.19</v>
      </c>
      <c r="P732" s="0" t="s">
        <v>2444</v>
      </c>
    </row>
    <row r="733" customFormat="false" ht="15" hidden="false" customHeight="true" outlineLevel="0" collapsed="false">
      <c r="A733" s="0" t="n">
        <v>2</v>
      </c>
      <c r="B733" s="71" t="n">
        <v>46184</v>
      </c>
      <c r="C733" s="0" t="n">
        <v>1</v>
      </c>
      <c r="D733" s="0" t="s">
        <v>2442</v>
      </c>
      <c r="E733" s="0" t="n">
        <v>1740</v>
      </c>
      <c r="F733" s="0" t="s">
        <v>468</v>
      </c>
      <c r="I733" s="0" t="n">
        <v>1235911</v>
      </c>
      <c r="J733" s="0" t="n">
        <v>47789</v>
      </c>
      <c r="K733" s="0" t="n">
        <v>7891000362037</v>
      </c>
      <c r="L733" s="0" t="s">
        <v>2831</v>
      </c>
      <c r="N733" s="0" t="n">
        <v>2</v>
      </c>
      <c r="O733" s="0" t="n">
        <v>16.38</v>
      </c>
      <c r="P733" s="0" t="s">
        <v>2444</v>
      </c>
    </row>
    <row r="734" customFormat="false" ht="15" hidden="false" customHeight="true" outlineLevel="0" collapsed="false">
      <c r="A734" s="0" t="n">
        <v>2</v>
      </c>
      <c r="B734" s="71" t="n">
        <v>46184</v>
      </c>
      <c r="C734" s="0" t="n">
        <v>1</v>
      </c>
      <c r="D734" s="0" t="s">
        <v>2442</v>
      </c>
      <c r="E734" s="0" t="n">
        <v>1740</v>
      </c>
      <c r="F734" s="0" t="s">
        <v>468</v>
      </c>
      <c r="I734" s="0" t="n">
        <v>1235911</v>
      </c>
      <c r="J734" s="0" t="n">
        <v>47983</v>
      </c>
      <c r="K734" s="0" t="n">
        <v>7891000360323</v>
      </c>
      <c r="L734" s="0" t="s">
        <v>2832</v>
      </c>
      <c r="N734" s="0" t="n">
        <v>2</v>
      </c>
      <c r="O734" s="0" t="n">
        <v>16.58</v>
      </c>
      <c r="P734" s="0" t="s">
        <v>2444</v>
      </c>
    </row>
    <row r="735" customFormat="false" ht="15" hidden="false" customHeight="true" outlineLevel="0" collapsed="false">
      <c r="A735" s="0" t="n">
        <v>2</v>
      </c>
      <c r="B735" s="71" t="n">
        <v>46184</v>
      </c>
      <c r="C735" s="0" t="n">
        <v>1</v>
      </c>
      <c r="D735" s="0" t="s">
        <v>2442</v>
      </c>
      <c r="E735" s="0" t="n">
        <v>1740</v>
      </c>
      <c r="F735" s="0" t="s">
        <v>468</v>
      </c>
      <c r="I735" s="0" t="n">
        <v>1235911</v>
      </c>
      <c r="J735" s="0" t="n">
        <v>56982</v>
      </c>
      <c r="K735" s="0" t="n">
        <v>7891000382349</v>
      </c>
      <c r="L735" s="0" t="s">
        <v>2833</v>
      </c>
      <c r="N735" s="0" t="n">
        <v>3</v>
      </c>
      <c r="O735" s="0" t="n">
        <v>10.47</v>
      </c>
      <c r="P735" s="0" t="s">
        <v>2444</v>
      </c>
    </row>
    <row r="736" customFormat="false" ht="15" hidden="false" customHeight="true" outlineLevel="0" collapsed="false">
      <c r="A736" s="0" t="n">
        <v>2</v>
      </c>
      <c r="B736" s="71" t="n">
        <v>46184</v>
      </c>
      <c r="C736" s="0" t="n">
        <v>1</v>
      </c>
      <c r="D736" s="0" t="s">
        <v>2442</v>
      </c>
      <c r="E736" s="0" t="n">
        <v>1740</v>
      </c>
      <c r="F736" s="0" t="s">
        <v>468</v>
      </c>
      <c r="I736" s="0" t="n">
        <v>1235911</v>
      </c>
      <c r="J736" s="0" t="n">
        <v>61680</v>
      </c>
      <c r="K736" s="0" t="n">
        <v>7891000394632</v>
      </c>
      <c r="L736" s="0" t="s">
        <v>2834</v>
      </c>
      <c r="N736" s="0" t="n">
        <v>2</v>
      </c>
      <c r="O736" s="0" t="n">
        <v>16.58</v>
      </c>
      <c r="P736" s="0" t="s">
        <v>2444</v>
      </c>
    </row>
    <row r="737" customFormat="false" ht="15" hidden="false" customHeight="true" outlineLevel="0" collapsed="false">
      <c r="A737" s="0" t="n">
        <v>2</v>
      </c>
      <c r="B737" s="71" t="n">
        <v>46184</v>
      </c>
      <c r="C737" s="0" t="n">
        <v>1</v>
      </c>
      <c r="D737" s="0" t="s">
        <v>2442</v>
      </c>
      <c r="E737" s="0" t="n">
        <v>1608</v>
      </c>
      <c r="F737" s="0" t="s">
        <v>240</v>
      </c>
      <c r="I737" s="0" t="n">
        <v>1671078</v>
      </c>
      <c r="J737" s="0" t="n">
        <v>67604</v>
      </c>
      <c r="K737" s="0" t="n">
        <v>7892840823467</v>
      </c>
      <c r="L737" s="0" t="s">
        <v>2835</v>
      </c>
      <c r="N737" s="0" t="n">
        <v>280</v>
      </c>
      <c r="O737" s="0" t="n">
        <v>478.8</v>
      </c>
      <c r="P737" s="0" t="s">
        <v>2444</v>
      </c>
    </row>
    <row r="738" customFormat="false" ht="15" hidden="false" customHeight="true" outlineLevel="0" collapsed="false">
      <c r="A738" s="0" t="n">
        <v>2</v>
      </c>
      <c r="B738" s="71" t="n">
        <v>46184</v>
      </c>
      <c r="C738" s="0" t="n">
        <v>11</v>
      </c>
      <c r="D738" s="0" t="s">
        <v>2471</v>
      </c>
      <c r="E738" s="0" t="n">
        <v>796</v>
      </c>
      <c r="F738" s="0" t="s">
        <v>711</v>
      </c>
      <c r="I738" s="0" t="n">
        <v>1006</v>
      </c>
      <c r="J738" s="0" t="n">
        <v>56591</v>
      </c>
      <c r="K738" s="0" t="n">
        <v>8615351511017</v>
      </c>
      <c r="L738" s="0" t="s">
        <v>2836</v>
      </c>
      <c r="N738" s="0" t="n">
        <v>300</v>
      </c>
      <c r="O738" s="0" t="n">
        <v>8.7</v>
      </c>
      <c r="P738" s="0" t="s">
        <v>2444</v>
      </c>
    </row>
    <row r="739" customFormat="false" ht="15" hidden="false" customHeight="true" outlineLevel="0" collapsed="false">
      <c r="A739" s="0" t="n">
        <v>2</v>
      </c>
      <c r="B739" s="71" t="n">
        <v>46184</v>
      </c>
      <c r="C739" s="0" t="n">
        <v>11</v>
      </c>
      <c r="D739" s="0" t="s">
        <v>2471</v>
      </c>
      <c r="E739" s="0" t="n">
        <v>796</v>
      </c>
      <c r="F739" s="0" t="s">
        <v>711</v>
      </c>
      <c r="I739" s="0" t="n">
        <v>1006</v>
      </c>
      <c r="J739" s="0" t="n">
        <v>56592</v>
      </c>
      <c r="K739" s="0" t="n">
        <v>8615351511024</v>
      </c>
      <c r="L739" s="0" t="s">
        <v>2837</v>
      </c>
      <c r="N739" s="0" t="n">
        <v>300</v>
      </c>
      <c r="O739" s="0" t="n">
        <v>9.9</v>
      </c>
      <c r="P739" s="0" t="s">
        <v>2444</v>
      </c>
    </row>
    <row r="740" customFormat="false" ht="15" hidden="false" customHeight="true" outlineLevel="0" collapsed="false">
      <c r="A740" s="0" t="n">
        <v>2</v>
      </c>
      <c r="B740" s="71" t="n">
        <v>46184</v>
      </c>
      <c r="C740" s="0" t="n">
        <v>11</v>
      </c>
      <c r="D740" s="0" t="s">
        <v>2471</v>
      </c>
      <c r="E740" s="0" t="n">
        <v>796</v>
      </c>
      <c r="F740" s="0" t="s">
        <v>711</v>
      </c>
      <c r="I740" s="0" t="n">
        <v>1006</v>
      </c>
      <c r="J740" s="0" t="n">
        <v>56606</v>
      </c>
      <c r="K740" s="0" t="n">
        <v>7898624480741</v>
      </c>
      <c r="L740" s="0" t="s">
        <v>2838</v>
      </c>
      <c r="N740" s="0" t="n">
        <v>6</v>
      </c>
      <c r="O740" s="0" t="n">
        <v>51</v>
      </c>
      <c r="P740" s="0" t="s">
        <v>2444</v>
      </c>
    </row>
    <row r="741" customFormat="false" ht="15" hidden="false" customHeight="true" outlineLevel="0" collapsed="false">
      <c r="A741" s="0" t="n">
        <v>2</v>
      </c>
      <c r="B741" s="71" t="n">
        <v>46184</v>
      </c>
      <c r="C741" s="0" t="n">
        <v>11</v>
      </c>
      <c r="D741" s="0" t="s">
        <v>2471</v>
      </c>
      <c r="E741" s="0" t="n">
        <v>796</v>
      </c>
      <c r="F741" s="0" t="s">
        <v>711</v>
      </c>
      <c r="I741" s="0" t="n">
        <v>1006</v>
      </c>
      <c r="J741" s="0" t="n">
        <v>64572</v>
      </c>
      <c r="K741" s="0" t="n">
        <v>7890000019699</v>
      </c>
      <c r="L741" s="0" t="s">
        <v>2839</v>
      </c>
      <c r="N741" s="0" t="n">
        <v>6</v>
      </c>
      <c r="O741" s="0" t="n">
        <v>45</v>
      </c>
      <c r="P741" s="0" t="s">
        <v>2444</v>
      </c>
    </row>
    <row r="742" customFormat="false" ht="15" hidden="false" customHeight="true" outlineLevel="0" collapsed="false">
      <c r="A742" s="0" t="n">
        <v>2</v>
      </c>
      <c r="B742" s="71" t="n">
        <v>46184</v>
      </c>
      <c r="C742" s="0" t="n">
        <v>11</v>
      </c>
      <c r="D742" s="0" t="s">
        <v>2471</v>
      </c>
      <c r="E742" s="0" t="n">
        <v>796</v>
      </c>
      <c r="F742" s="0" t="s">
        <v>711</v>
      </c>
      <c r="I742" s="0" t="n">
        <v>1006</v>
      </c>
      <c r="J742" s="0" t="n">
        <v>67372</v>
      </c>
      <c r="K742" s="0" t="n">
        <v>7908348200263</v>
      </c>
      <c r="L742" s="0" t="s">
        <v>2840</v>
      </c>
      <c r="N742" s="0" t="n">
        <v>3</v>
      </c>
      <c r="O742" s="0" t="n">
        <v>22.35</v>
      </c>
      <c r="P742" s="0" t="s">
        <v>2444</v>
      </c>
    </row>
    <row r="743" customFormat="false" ht="15" hidden="false" customHeight="true" outlineLevel="0" collapsed="false">
      <c r="A743" s="0" t="n">
        <v>2</v>
      </c>
      <c r="B743" s="71" t="n">
        <v>46184</v>
      </c>
      <c r="C743" s="0" t="n">
        <v>11</v>
      </c>
      <c r="D743" s="0" t="s">
        <v>2471</v>
      </c>
      <c r="E743" s="0" t="n">
        <v>796</v>
      </c>
      <c r="F743" s="0" t="s">
        <v>711</v>
      </c>
      <c r="I743" s="0" t="n">
        <v>1006</v>
      </c>
      <c r="J743" s="0" t="n">
        <v>71178</v>
      </c>
      <c r="K743" s="0" t="n">
        <v>7908348209419</v>
      </c>
      <c r="L743" s="0" t="s">
        <v>2841</v>
      </c>
      <c r="N743" s="0" t="n">
        <v>150</v>
      </c>
      <c r="O743" s="0" t="n">
        <v>24.3</v>
      </c>
      <c r="P743" s="0" t="s">
        <v>2444</v>
      </c>
    </row>
    <row r="744" customFormat="false" ht="15" hidden="false" customHeight="true" outlineLevel="0" collapsed="false">
      <c r="A744" s="0" t="n">
        <v>2</v>
      </c>
      <c r="B744" s="71" t="n">
        <v>46184</v>
      </c>
      <c r="C744" s="0" t="n">
        <v>11</v>
      </c>
      <c r="D744" s="0" t="s">
        <v>2471</v>
      </c>
      <c r="E744" s="0" t="n">
        <v>796</v>
      </c>
      <c r="F744" s="0" t="s">
        <v>711</v>
      </c>
      <c r="I744" s="0" t="n">
        <v>1006</v>
      </c>
      <c r="J744" s="0" t="n">
        <v>76386</v>
      </c>
      <c r="K744" s="0" t="n">
        <v>7908864500762</v>
      </c>
      <c r="L744" s="0" t="s">
        <v>2842</v>
      </c>
      <c r="N744" s="0" t="n">
        <v>2</v>
      </c>
      <c r="O744" s="0" t="n">
        <v>20.1</v>
      </c>
      <c r="P744" s="0" t="s">
        <v>2444</v>
      </c>
    </row>
    <row r="745" customFormat="false" ht="15" hidden="false" customHeight="true" outlineLevel="0" collapsed="false">
      <c r="A745" s="0" t="n">
        <v>2</v>
      </c>
      <c r="B745" s="71" t="n">
        <v>46184</v>
      </c>
      <c r="C745" s="0" t="n">
        <v>11</v>
      </c>
      <c r="D745" s="0" t="s">
        <v>2471</v>
      </c>
      <c r="E745" s="0" t="n">
        <v>796</v>
      </c>
      <c r="F745" s="0" t="s">
        <v>711</v>
      </c>
      <c r="I745" s="0" t="n">
        <v>1006</v>
      </c>
      <c r="J745" s="0" t="n">
        <v>81155</v>
      </c>
      <c r="K745" s="0" t="n">
        <v>7899751102223</v>
      </c>
      <c r="L745" s="0" t="s">
        <v>2843</v>
      </c>
      <c r="N745" s="0" t="n">
        <v>2</v>
      </c>
      <c r="O745" s="0" t="n">
        <v>21.4</v>
      </c>
      <c r="P745" s="0" t="s">
        <v>2444</v>
      </c>
    </row>
    <row r="746" customFormat="false" ht="15" hidden="false" customHeight="true" outlineLevel="0" collapsed="false">
      <c r="A746" s="0" t="n">
        <v>2</v>
      </c>
      <c r="B746" s="71" t="n">
        <v>46184</v>
      </c>
      <c r="C746" s="0" t="n">
        <v>11</v>
      </c>
      <c r="D746" s="0" t="s">
        <v>2471</v>
      </c>
      <c r="E746" s="0" t="n">
        <v>796</v>
      </c>
      <c r="F746" s="0" t="s">
        <v>711</v>
      </c>
      <c r="I746" s="0" t="n">
        <v>1006</v>
      </c>
      <c r="J746" s="0" t="n">
        <v>81156</v>
      </c>
      <c r="K746" s="0" t="n">
        <v>7899653780703</v>
      </c>
      <c r="L746" s="0" t="s">
        <v>2844</v>
      </c>
      <c r="N746" s="0" t="n">
        <v>2</v>
      </c>
      <c r="O746" s="0" t="n">
        <v>30</v>
      </c>
      <c r="P746" s="0" t="s">
        <v>2444</v>
      </c>
    </row>
    <row r="747" customFormat="false" ht="15" hidden="false" customHeight="true" outlineLevel="0" collapsed="false">
      <c r="A747" s="0" t="n">
        <v>2</v>
      </c>
      <c r="B747" s="71" t="n">
        <v>46184</v>
      </c>
      <c r="C747" s="0" t="n">
        <v>11</v>
      </c>
      <c r="D747" s="0" t="s">
        <v>2471</v>
      </c>
      <c r="E747" s="0" t="n">
        <v>796</v>
      </c>
      <c r="F747" s="0" t="s">
        <v>711</v>
      </c>
      <c r="I747" s="0" t="n">
        <v>1006</v>
      </c>
      <c r="J747" s="0" t="n">
        <v>81157</v>
      </c>
      <c r="K747" s="0" t="n">
        <v>7898549378437</v>
      </c>
      <c r="L747" s="0" t="s">
        <v>2845</v>
      </c>
      <c r="N747" s="0" t="n">
        <v>12</v>
      </c>
      <c r="O747" s="0" t="n">
        <v>24</v>
      </c>
      <c r="P747" s="0" t="s">
        <v>2444</v>
      </c>
    </row>
    <row r="748" customFormat="false" ht="15" hidden="false" customHeight="true" outlineLevel="0" collapsed="false">
      <c r="A748" s="0" t="n">
        <v>2</v>
      </c>
      <c r="B748" s="71" t="n">
        <v>46184</v>
      </c>
      <c r="C748" s="0" t="n">
        <v>11</v>
      </c>
      <c r="D748" s="0" t="s">
        <v>2471</v>
      </c>
      <c r="E748" s="0" t="n">
        <v>796</v>
      </c>
      <c r="F748" s="0" t="s">
        <v>711</v>
      </c>
      <c r="I748" s="0" t="n">
        <v>1006</v>
      </c>
      <c r="J748" s="0" t="n">
        <v>81166</v>
      </c>
      <c r="K748" s="0" t="n">
        <v>811675</v>
      </c>
      <c r="L748" s="0" t="s">
        <v>2846</v>
      </c>
      <c r="N748" s="0" t="n">
        <v>9</v>
      </c>
      <c r="O748" s="0" t="n">
        <v>270</v>
      </c>
      <c r="P748" s="0" t="s">
        <v>2444</v>
      </c>
    </row>
    <row r="749" customFormat="false" ht="15" hidden="false" customHeight="true" outlineLevel="0" collapsed="false">
      <c r="A749" s="0" t="n">
        <v>2</v>
      </c>
      <c r="B749" s="71" t="n">
        <v>46184</v>
      </c>
      <c r="C749" s="0" t="n">
        <v>11</v>
      </c>
      <c r="D749" s="0" t="s">
        <v>2471</v>
      </c>
      <c r="E749" s="0" t="n">
        <v>796</v>
      </c>
      <c r="F749" s="0" t="s">
        <v>711</v>
      </c>
      <c r="I749" s="0" t="n">
        <v>1006</v>
      </c>
      <c r="J749" s="0" t="n">
        <v>81168</v>
      </c>
      <c r="K749" s="0" t="n">
        <v>811699</v>
      </c>
      <c r="L749" s="0" t="s">
        <v>2847</v>
      </c>
      <c r="N749" s="0" t="n">
        <v>12</v>
      </c>
      <c r="O749" s="0" t="n">
        <v>408</v>
      </c>
      <c r="P749" s="0" t="s">
        <v>2444</v>
      </c>
    </row>
    <row r="750" customFormat="false" ht="15" hidden="false" customHeight="true" outlineLevel="0" collapsed="false">
      <c r="A750" s="0" t="n">
        <v>2</v>
      </c>
      <c r="B750" s="71" t="n">
        <v>46184</v>
      </c>
      <c r="C750" s="0" t="n">
        <v>11</v>
      </c>
      <c r="D750" s="0" t="s">
        <v>2471</v>
      </c>
      <c r="E750" s="0" t="n">
        <v>796</v>
      </c>
      <c r="F750" s="0" t="s">
        <v>711</v>
      </c>
      <c r="I750" s="0" t="n">
        <v>1006</v>
      </c>
      <c r="J750" s="0" t="n">
        <v>81209</v>
      </c>
      <c r="K750" s="0" t="n">
        <v>7898906181168</v>
      </c>
      <c r="L750" s="0" t="s">
        <v>2848</v>
      </c>
      <c r="N750" s="0" t="n">
        <v>1</v>
      </c>
      <c r="O750" s="0" t="n">
        <v>38.34</v>
      </c>
      <c r="P750" s="0" t="s">
        <v>2444</v>
      </c>
    </row>
    <row r="751" customFormat="false" ht="15" hidden="false" customHeight="true" outlineLevel="0" collapsed="false">
      <c r="A751" s="0" t="n">
        <v>2</v>
      </c>
      <c r="B751" s="71" t="n">
        <v>46184</v>
      </c>
      <c r="C751" s="0" t="n">
        <v>11</v>
      </c>
      <c r="D751" s="0" t="s">
        <v>2471</v>
      </c>
      <c r="E751" s="0" t="n">
        <v>796</v>
      </c>
      <c r="F751" s="0" t="s">
        <v>711</v>
      </c>
      <c r="I751" s="0" t="n">
        <v>1006</v>
      </c>
      <c r="J751" s="0" t="n">
        <v>81210</v>
      </c>
      <c r="K751" s="0" t="n">
        <v>7908076211647</v>
      </c>
      <c r="L751" s="0" t="s">
        <v>2849</v>
      </c>
      <c r="N751" s="0" t="n">
        <v>40</v>
      </c>
      <c r="O751" s="0" t="n">
        <v>10</v>
      </c>
      <c r="P751" s="0" t="s">
        <v>2444</v>
      </c>
    </row>
    <row r="752" customFormat="false" ht="15" hidden="false" customHeight="true" outlineLevel="0" collapsed="false">
      <c r="A752" s="0" t="n">
        <v>2</v>
      </c>
      <c r="B752" s="71" t="n">
        <v>46184</v>
      </c>
      <c r="C752" s="0" t="n">
        <v>11</v>
      </c>
      <c r="D752" s="0" t="s">
        <v>2471</v>
      </c>
      <c r="E752" s="0" t="n">
        <v>796</v>
      </c>
      <c r="F752" s="0" t="s">
        <v>711</v>
      </c>
      <c r="I752" s="0" t="n">
        <v>1006</v>
      </c>
      <c r="J752" s="0" t="n">
        <v>81211</v>
      </c>
      <c r="K752" s="0" t="n">
        <v>7908076247011</v>
      </c>
      <c r="L752" s="0" t="s">
        <v>2850</v>
      </c>
      <c r="N752" s="0" t="n">
        <v>10</v>
      </c>
      <c r="O752" s="0" t="n">
        <v>7.65</v>
      </c>
      <c r="P752" s="0" t="s">
        <v>2444</v>
      </c>
    </row>
    <row r="753" customFormat="false" ht="15" hidden="false" customHeight="true" outlineLevel="0" collapsed="false">
      <c r="A753" s="0" t="n">
        <v>2</v>
      </c>
      <c r="B753" s="71" t="n">
        <v>46184</v>
      </c>
      <c r="C753" s="0" t="n">
        <v>11</v>
      </c>
      <c r="D753" s="0" t="s">
        <v>2471</v>
      </c>
      <c r="E753" s="0" t="n">
        <v>796</v>
      </c>
      <c r="F753" s="0" t="s">
        <v>711</v>
      </c>
      <c r="I753" s="0" t="n">
        <v>1006</v>
      </c>
      <c r="J753" s="0" t="n">
        <v>81212</v>
      </c>
      <c r="K753" s="0" t="n">
        <v>7908076246977</v>
      </c>
      <c r="L753" s="0" t="s">
        <v>2851</v>
      </c>
      <c r="N753" s="0" t="n">
        <v>20</v>
      </c>
      <c r="O753" s="0" t="n">
        <v>14.2</v>
      </c>
      <c r="P753" s="0" t="s">
        <v>2444</v>
      </c>
    </row>
    <row r="754" customFormat="false" ht="15" hidden="false" customHeight="true" outlineLevel="0" collapsed="false">
      <c r="A754" s="0" t="n">
        <v>2</v>
      </c>
      <c r="B754" s="71" t="n">
        <v>46184</v>
      </c>
      <c r="C754" s="0" t="n">
        <v>11</v>
      </c>
      <c r="D754" s="0" t="s">
        <v>2471</v>
      </c>
      <c r="E754" s="0" t="n">
        <v>796</v>
      </c>
      <c r="F754" s="0" t="s">
        <v>711</v>
      </c>
      <c r="I754" s="0" t="n">
        <v>1006</v>
      </c>
      <c r="J754" s="0" t="n">
        <v>81214</v>
      </c>
      <c r="K754" s="0" t="n">
        <v>7908348207378</v>
      </c>
      <c r="L754" s="0" t="s">
        <v>2852</v>
      </c>
      <c r="N754" s="0" t="n">
        <v>3</v>
      </c>
      <c r="O754" s="0" t="n">
        <v>15.9</v>
      </c>
      <c r="P754" s="0" t="s">
        <v>2444</v>
      </c>
    </row>
    <row r="755" customFormat="false" ht="15" hidden="false" customHeight="true" outlineLevel="0" collapsed="false">
      <c r="A755" s="0" t="n">
        <v>2</v>
      </c>
      <c r="B755" s="71" t="n">
        <v>46184</v>
      </c>
      <c r="C755" s="0" t="n">
        <v>11</v>
      </c>
      <c r="D755" s="0" t="s">
        <v>2471</v>
      </c>
      <c r="E755" s="0" t="n">
        <v>796</v>
      </c>
      <c r="F755" s="0" t="s">
        <v>711</v>
      </c>
      <c r="I755" s="0" t="n">
        <v>1006</v>
      </c>
      <c r="J755" s="0" t="n">
        <v>81215</v>
      </c>
      <c r="K755" s="0" t="n">
        <v>7899739210704</v>
      </c>
      <c r="L755" s="0" t="s">
        <v>2853</v>
      </c>
      <c r="N755" s="0" t="n">
        <v>3</v>
      </c>
      <c r="O755" s="0" t="n">
        <v>14.55</v>
      </c>
      <c r="P755" s="0" t="s">
        <v>2444</v>
      </c>
    </row>
    <row r="756" customFormat="false" ht="15" hidden="false" customHeight="true" outlineLevel="0" collapsed="false">
      <c r="A756" s="0" t="n">
        <v>2</v>
      </c>
      <c r="B756" s="71" t="n">
        <v>46184</v>
      </c>
      <c r="C756" s="0" t="n">
        <v>11</v>
      </c>
      <c r="D756" s="0" t="s">
        <v>2471</v>
      </c>
      <c r="E756" s="0" t="n">
        <v>796</v>
      </c>
      <c r="F756" s="0" t="s">
        <v>711</v>
      </c>
      <c r="I756" s="0" t="n">
        <v>1006</v>
      </c>
      <c r="J756" s="0" t="n">
        <v>81216</v>
      </c>
      <c r="K756" s="0" t="n">
        <v>8615351511055</v>
      </c>
      <c r="L756" s="0" t="s">
        <v>2854</v>
      </c>
      <c r="N756" s="0" t="n">
        <v>200</v>
      </c>
      <c r="O756" s="0" t="n">
        <v>10.6</v>
      </c>
      <c r="P756" s="0" t="s">
        <v>2444</v>
      </c>
    </row>
    <row r="757" customFormat="false" ht="15" hidden="false" customHeight="true" outlineLevel="0" collapsed="false">
      <c r="A757" s="0" t="n">
        <v>2</v>
      </c>
      <c r="B757" s="71" t="n">
        <v>46184</v>
      </c>
      <c r="C757" s="0" t="n">
        <v>11</v>
      </c>
      <c r="D757" s="0" t="s">
        <v>2471</v>
      </c>
      <c r="E757" s="0" t="n">
        <v>796</v>
      </c>
      <c r="F757" s="0" t="s">
        <v>711</v>
      </c>
      <c r="I757" s="0" t="n">
        <v>1006</v>
      </c>
      <c r="J757" s="0" t="n">
        <v>81217</v>
      </c>
      <c r="K757" s="0" t="n">
        <v>812184</v>
      </c>
      <c r="L757" s="0" t="s">
        <v>2855</v>
      </c>
      <c r="N757" s="0" t="n">
        <v>12</v>
      </c>
      <c r="O757" s="0" t="n">
        <v>30</v>
      </c>
      <c r="P757" s="0" t="s">
        <v>2444</v>
      </c>
    </row>
    <row r="758" customFormat="false" ht="15" hidden="false" customHeight="true" outlineLevel="0" collapsed="false">
      <c r="A758" s="0" t="n">
        <v>2</v>
      </c>
      <c r="B758" s="71" t="n">
        <v>46184</v>
      </c>
      <c r="C758" s="0" t="n">
        <v>11</v>
      </c>
      <c r="D758" s="0" t="s">
        <v>2471</v>
      </c>
      <c r="E758" s="0" t="n">
        <v>796</v>
      </c>
      <c r="F758" s="0" t="s">
        <v>711</v>
      </c>
      <c r="I758" s="0" t="n">
        <v>1006</v>
      </c>
      <c r="J758" s="0" t="n">
        <v>81219</v>
      </c>
      <c r="K758" s="0" t="n">
        <v>812207</v>
      </c>
      <c r="L758" s="0" t="s">
        <v>2856</v>
      </c>
      <c r="N758" s="0" t="n">
        <v>6</v>
      </c>
      <c r="O758" s="0" t="n">
        <v>18</v>
      </c>
      <c r="P758" s="0" t="s">
        <v>2444</v>
      </c>
    </row>
    <row r="759" customFormat="false" ht="15" hidden="false" customHeight="true" outlineLevel="0" collapsed="false">
      <c r="A759" s="0" t="n">
        <v>2</v>
      </c>
      <c r="B759" s="71" t="n">
        <v>46184</v>
      </c>
      <c r="C759" s="0" t="n">
        <v>11</v>
      </c>
      <c r="D759" s="0" t="s">
        <v>2471</v>
      </c>
      <c r="E759" s="0" t="n">
        <v>796</v>
      </c>
      <c r="F759" s="0" t="s">
        <v>711</v>
      </c>
      <c r="I759" s="0" t="n">
        <v>1006</v>
      </c>
      <c r="J759" s="0" t="n">
        <v>81221</v>
      </c>
      <c r="K759" s="0" t="n">
        <v>7897281200488</v>
      </c>
      <c r="L759" s="0" t="s">
        <v>2857</v>
      </c>
      <c r="N759" s="0" t="n">
        <v>7</v>
      </c>
      <c r="O759" s="0" t="n">
        <v>15.4</v>
      </c>
      <c r="P759" s="0" t="s">
        <v>2444</v>
      </c>
    </row>
    <row r="760" customFormat="false" ht="15" hidden="false" customHeight="true" outlineLevel="0" collapsed="false">
      <c r="A760" s="0" t="n">
        <v>2</v>
      </c>
      <c r="B760" s="71" t="n">
        <v>46184</v>
      </c>
      <c r="C760" s="0" t="n">
        <v>11</v>
      </c>
      <c r="D760" s="0" t="s">
        <v>2471</v>
      </c>
      <c r="E760" s="0" t="n">
        <v>796</v>
      </c>
      <c r="F760" s="0" t="s">
        <v>711</v>
      </c>
      <c r="I760" s="0" t="n">
        <v>1006</v>
      </c>
      <c r="J760" s="0" t="n">
        <v>81222</v>
      </c>
      <c r="K760" s="0" t="n">
        <v>7897281200433</v>
      </c>
      <c r="L760" s="0" t="s">
        <v>2858</v>
      </c>
      <c r="N760" s="0" t="n">
        <v>4</v>
      </c>
      <c r="O760" s="0" t="n">
        <v>10</v>
      </c>
      <c r="P760" s="0" t="s">
        <v>2444</v>
      </c>
    </row>
    <row r="761" customFormat="false" ht="15" hidden="false" customHeight="true" outlineLevel="0" collapsed="false">
      <c r="A761" s="0" t="n">
        <v>2</v>
      </c>
      <c r="B761" s="71" t="n">
        <v>46184</v>
      </c>
      <c r="C761" s="0" t="n">
        <v>11</v>
      </c>
      <c r="D761" s="0" t="s">
        <v>2471</v>
      </c>
      <c r="E761" s="0" t="n">
        <v>796</v>
      </c>
      <c r="F761" s="0" t="s">
        <v>711</v>
      </c>
      <c r="I761" s="0" t="n">
        <v>1006</v>
      </c>
      <c r="J761" s="0" t="n">
        <v>81224</v>
      </c>
      <c r="K761" s="0" t="n">
        <v>7890785875503</v>
      </c>
      <c r="L761" s="0" t="s">
        <v>2859</v>
      </c>
      <c r="N761" s="0" t="n">
        <v>6</v>
      </c>
      <c r="O761" s="0" t="n">
        <v>90</v>
      </c>
      <c r="P761" s="0" t="s">
        <v>2444</v>
      </c>
    </row>
    <row r="762" customFormat="false" ht="15" hidden="false" customHeight="true" outlineLevel="0" collapsed="false">
      <c r="A762" s="0" t="n">
        <v>2</v>
      </c>
      <c r="B762" s="71" t="n">
        <v>46184</v>
      </c>
      <c r="C762" s="0" t="n">
        <v>11</v>
      </c>
      <c r="D762" s="0" t="s">
        <v>2471</v>
      </c>
      <c r="E762" s="0" t="n">
        <v>796</v>
      </c>
      <c r="F762" s="0" t="s">
        <v>711</v>
      </c>
      <c r="I762" s="0" t="n">
        <v>1006</v>
      </c>
      <c r="J762" s="0" t="n">
        <v>81229</v>
      </c>
      <c r="K762" s="0" t="n">
        <v>7898906181519</v>
      </c>
      <c r="L762" s="0" t="s">
        <v>2860</v>
      </c>
      <c r="N762" s="0" t="n">
        <v>1</v>
      </c>
      <c r="O762" s="0" t="n">
        <v>35.26</v>
      </c>
      <c r="P762" s="0" t="s">
        <v>2444</v>
      </c>
    </row>
    <row r="763" customFormat="false" ht="15" hidden="false" customHeight="true" outlineLevel="0" collapsed="false">
      <c r="A763" s="0" t="n">
        <v>2</v>
      </c>
      <c r="B763" s="71" t="n">
        <v>46184</v>
      </c>
      <c r="C763" s="0" t="n">
        <v>11</v>
      </c>
      <c r="D763" s="0" t="s">
        <v>2471</v>
      </c>
      <c r="E763" s="0" t="n">
        <v>796</v>
      </c>
      <c r="F763" s="0" t="s">
        <v>711</v>
      </c>
      <c r="I763" s="0" t="n">
        <v>1006</v>
      </c>
      <c r="J763" s="0" t="n">
        <v>81230</v>
      </c>
      <c r="K763" s="0" t="n">
        <v>7898906181113</v>
      </c>
      <c r="L763" s="0" t="s">
        <v>2861</v>
      </c>
      <c r="N763" s="0" t="n">
        <v>3</v>
      </c>
      <c r="O763" s="0" t="n">
        <v>53.37</v>
      </c>
      <c r="P763" s="0" t="s">
        <v>2444</v>
      </c>
    </row>
    <row r="764" customFormat="false" ht="15" hidden="false" customHeight="true" outlineLevel="0" collapsed="false">
      <c r="A764" s="0" t="n">
        <v>2</v>
      </c>
      <c r="B764" s="71" t="n">
        <v>46184</v>
      </c>
      <c r="C764" s="0" t="n">
        <v>11</v>
      </c>
      <c r="D764" s="0" t="s">
        <v>2471</v>
      </c>
      <c r="E764" s="0" t="n">
        <v>796</v>
      </c>
      <c r="F764" s="0" t="s">
        <v>711</v>
      </c>
      <c r="I764" s="0" t="n">
        <v>1006</v>
      </c>
      <c r="J764" s="0" t="n">
        <v>81231</v>
      </c>
      <c r="K764" s="0" t="n">
        <v>7898906181137</v>
      </c>
      <c r="L764" s="0" t="s">
        <v>2862</v>
      </c>
      <c r="N764" s="0" t="n">
        <v>2</v>
      </c>
      <c r="O764" s="0" t="n">
        <v>47.06</v>
      </c>
      <c r="P764" s="0" t="s">
        <v>2444</v>
      </c>
    </row>
    <row r="765" customFormat="false" ht="15" hidden="false" customHeight="true" outlineLevel="0" collapsed="false">
      <c r="A765" s="0" t="n">
        <v>2</v>
      </c>
      <c r="B765" s="71" t="n">
        <v>46184</v>
      </c>
      <c r="C765" s="0" t="n">
        <v>11</v>
      </c>
      <c r="D765" s="0" t="s">
        <v>2471</v>
      </c>
      <c r="E765" s="0" t="n">
        <v>796</v>
      </c>
      <c r="F765" s="0" t="s">
        <v>711</v>
      </c>
      <c r="I765" s="0" t="n">
        <v>1006</v>
      </c>
      <c r="J765" s="0" t="n">
        <v>81232</v>
      </c>
      <c r="K765" s="0" t="n">
        <v>7898906181502</v>
      </c>
      <c r="L765" s="0" t="s">
        <v>2863</v>
      </c>
      <c r="N765" s="0" t="n">
        <v>1</v>
      </c>
      <c r="O765" s="0" t="n">
        <v>21.04</v>
      </c>
      <c r="P765" s="0" t="s">
        <v>2444</v>
      </c>
    </row>
    <row r="766" customFormat="false" ht="15" hidden="false" customHeight="true" outlineLevel="0" collapsed="false">
      <c r="A766" s="0" t="n">
        <v>2</v>
      </c>
      <c r="B766" s="71" t="n">
        <v>46184</v>
      </c>
      <c r="C766" s="0" t="n">
        <v>11</v>
      </c>
      <c r="D766" s="0" t="s">
        <v>2471</v>
      </c>
      <c r="E766" s="0" t="n">
        <v>875</v>
      </c>
      <c r="F766" s="0" t="s">
        <v>42</v>
      </c>
      <c r="I766" s="0" t="n">
        <v>1829</v>
      </c>
      <c r="J766" s="0" t="n">
        <v>59625</v>
      </c>
      <c r="K766" s="0" t="n">
        <v>7899612200334</v>
      </c>
      <c r="L766" s="0" t="s">
        <v>2864</v>
      </c>
      <c r="N766" s="0" t="n">
        <v>5</v>
      </c>
      <c r="O766" s="0" t="n">
        <v>62.5</v>
      </c>
      <c r="P766" s="0" t="s">
        <v>2444</v>
      </c>
    </row>
    <row r="767" customFormat="false" ht="15" hidden="false" customHeight="true" outlineLevel="0" collapsed="false">
      <c r="A767" s="0" t="n">
        <v>2</v>
      </c>
      <c r="B767" s="71" t="n">
        <v>46184</v>
      </c>
      <c r="C767" s="0" t="n">
        <v>11</v>
      </c>
      <c r="D767" s="0" t="s">
        <v>2471</v>
      </c>
      <c r="E767" s="0" t="n">
        <v>875</v>
      </c>
      <c r="F767" s="0" t="s">
        <v>42</v>
      </c>
      <c r="I767" s="0" t="n">
        <v>1829</v>
      </c>
      <c r="J767" s="0" t="n">
        <v>60427</v>
      </c>
      <c r="K767" s="0" t="n">
        <v>7899085126087</v>
      </c>
      <c r="L767" s="0" t="s">
        <v>2865</v>
      </c>
      <c r="N767" s="0" t="n">
        <v>2</v>
      </c>
      <c r="O767" s="0" t="n">
        <v>90</v>
      </c>
      <c r="P767" s="0" t="s">
        <v>2444</v>
      </c>
    </row>
    <row r="768" customFormat="false" ht="15" hidden="false" customHeight="true" outlineLevel="0" collapsed="false">
      <c r="A768" s="0" t="n">
        <v>2</v>
      </c>
      <c r="B768" s="71" t="n">
        <v>46184</v>
      </c>
      <c r="C768" s="0" t="n">
        <v>11</v>
      </c>
      <c r="D768" s="0" t="s">
        <v>2471</v>
      </c>
      <c r="E768" s="0" t="n">
        <v>875</v>
      </c>
      <c r="F768" s="0" t="s">
        <v>42</v>
      </c>
      <c r="I768" s="0" t="n">
        <v>1829</v>
      </c>
      <c r="J768" s="0" t="n">
        <v>63003</v>
      </c>
      <c r="K768" s="0" t="n">
        <v>7899454402521</v>
      </c>
      <c r="L768" s="0" t="s">
        <v>2866</v>
      </c>
      <c r="N768" s="0" t="n">
        <v>4</v>
      </c>
      <c r="O768" s="0" t="n">
        <v>64</v>
      </c>
      <c r="P768" s="0" t="s">
        <v>2444</v>
      </c>
    </row>
    <row r="769" customFormat="false" ht="15" hidden="false" customHeight="true" outlineLevel="0" collapsed="false">
      <c r="A769" s="0" t="n">
        <v>2</v>
      </c>
      <c r="B769" s="71" t="n">
        <v>46184</v>
      </c>
      <c r="C769" s="0" t="n">
        <v>11</v>
      </c>
      <c r="D769" s="0" t="s">
        <v>2471</v>
      </c>
      <c r="E769" s="0" t="n">
        <v>875</v>
      </c>
      <c r="F769" s="0" t="s">
        <v>42</v>
      </c>
      <c r="I769" s="0" t="n">
        <v>1829</v>
      </c>
      <c r="J769" s="0" t="n">
        <v>64604</v>
      </c>
      <c r="K769" s="0" t="n">
        <v>7893095421729</v>
      </c>
      <c r="L769" s="0" t="s">
        <v>2867</v>
      </c>
      <c r="N769" s="0" t="n">
        <v>3</v>
      </c>
      <c r="O769" s="0" t="n">
        <v>52.5</v>
      </c>
      <c r="P769" s="0" t="s">
        <v>2444</v>
      </c>
    </row>
    <row r="770" customFormat="false" ht="15" hidden="false" customHeight="true" outlineLevel="0" collapsed="false">
      <c r="A770" s="0" t="n">
        <v>2</v>
      </c>
      <c r="B770" s="71" t="n">
        <v>46184</v>
      </c>
      <c r="C770" s="0" t="n">
        <v>11</v>
      </c>
      <c r="D770" s="0" t="s">
        <v>2471</v>
      </c>
      <c r="E770" s="0" t="n">
        <v>875</v>
      </c>
      <c r="F770" s="0" t="s">
        <v>42</v>
      </c>
      <c r="I770" s="0" t="n">
        <v>1829</v>
      </c>
      <c r="J770" s="0" t="n">
        <v>65472</v>
      </c>
      <c r="K770" s="0" t="n">
        <v>7899085585969</v>
      </c>
      <c r="L770" s="0" t="s">
        <v>2868</v>
      </c>
      <c r="N770" s="0" t="n">
        <v>2</v>
      </c>
      <c r="O770" s="0" t="n">
        <v>58</v>
      </c>
      <c r="P770" s="0" t="s">
        <v>2444</v>
      </c>
    </row>
    <row r="771" customFormat="false" ht="15" hidden="false" customHeight="true" outlineLevel="0" collapsed="false">
      <c r="A771" s="0" t="n">
        <v>2</v>
      </c>
      <c r="B771" s="71" t="n">
        <v>46184</v>
      </c>
      <c r="C771" s="0" t="n">
        <v>11</v>
      </c>
      <c r="D771" s="0" t="s">
        <v>2471</v>
      </c>
      <c r="E771" s="0" t="n">
        <v>875</v>
      </c>
      <c r="F771" s="0" t="s">
        <v>42</v>
      </c>
      <c r="I771" s="0" t="n">
        <v>1829</v>
      </c>
      <c r="J771" s="0" t="n">
        <v>67053</v>
      </c>
      <c r="K771" s="0" t="n">
        <v>7898729411602</v>
      </c>
      <c r="L771" s="0" t="s">
        <v>2869</v>
      </c>
      <c r="N771" s="0" t="n">
        <v>3</v>
      </c>
      <c r="O771" s="0" t="n">
        <v>105</v>
      </c>
      <c r="P771" s="0" t="s">
        <v>2444</v>
      </c>
    </row>
    <row r="772" customFormat="false" ht="15" hidden="false" customHeight="true" outlineLevel="0" collapsed="false">
      <c r="A772" s="0" t="n">
        <v>2</v>
      </c>
      <c r="B772" s="71" t="n">
        <v>46184</v>
      </c>
      <c r="C772" s="0" t="n">
        <v>11</v>
      </c>
      <c r="D772" s="0" t="s">
        <v>2471</v>
      </c>
      <c r="E772" s="0" t="n">
        <v>875</v>
      </c>
      <c r="F772" s="0" t="s">
        <v>42</v>
      </c>
      <c r="I772" s="0" t="n">
        <v>1829</v>
      </c>
      <c r="J772" s="0" t="n">
        <v>68285</v>
      </c>
      <c r="K772" s="0" t="n">
        <v>7899085714130</v>
      </c>
      <c r="L772" s="0" t="s">
        <v>2870</v>
      </c>
      <c r="N772" s="0" t="n">
        <v>6</v>
      </c>
      <c r="O772" s="0" t="n">
        <v>69</v>
      </c>
      <c r="P772" s="0" t="s">
        <v>2444</v>
      </c>
    </row>
    <row r="773" customFormat="false" ht="15" hidden="false" customHeight="true" outlineLevel="0" collapsed="false">
      <c r="A773" s="0" t="n">
        <v>2</v>
      </c>
      <c r="B773" s="71" t="n">
        <v>46184</v>
      </c>
      <c r="C773" s="0" t="n">
        <v>11</v>
      </c>
      <c r="D773" s="0" t="s">
        <v>2471</v>
      </c>
      <c r="E773" s="0" t="n">
        <v>875</v>
      </c>
      <c r="F773" s="0" t="s">
        <v>42</v>
      </c>
      <c r="I773" s="0" t="n">
        <v>1829</v>
      </c>
      <c r="J773" s="0" t="n">
        <v>69757</v>
      </c>
      <c r="K773" s="0" t="n">
        <v>7893095511321</v>
      </c>
      <c r="L773" s="0" t="s">
        <v>2871</v>
      </c>
      <c r="N773" s="0" t="n">
        <v>12</v>
      </c>
      <c r="O773" s="0" t="n">
        <v>102</v>
      </c>
      <c r="P773" s="0" t="s">
        <v>2444</v>
      </c>
    </row>
    <row r="774" customFormat="false" ht="15" hidden="false" customHeight="true" outlineLevel="0" collapsed="false">
      <c r="A774" s="0" t="n">
        <v>2</v>
      </c>
      <c r="B774" s="71" t="n">
        <v>46184</v>
      </c>
      <c r="C774" s="0" t="n">
        <v>11</v>
      </c>
      <c r="D774" s="0" t="s">
        <v>2471</v>
      </c>
      <c r="E774" s="0" t="n">
        <v>875</v>
      </c>
      <c r="F774" s="0" t="s">
        <v>42</v>
      </c>
      <c r="I774" s="0" t="n">
        <v>1829</v>
      </c>
      <c r="J774" s="0" t="n">
        <v>69766</v>
      </c>
      <c r="K774" s="0" t="n">
        <v>7899085714123</v>
      </c>
      <c r="L774" s="0" t="s">
        <v>2872</v>
      </c>
      <c r="N774" s="0" t="n">
        <v>12</v>
      </c>
      <c r="O774" s="0" t="n">
        <v>144</v>
      </c>
      <c r="P774" s="0" t="s">
        <v>2444</v>
      </c>
    </row>
    <row r="775" customFormat="false" ht="15" hidden="false" customHeight="true" outlineLevel="0" collapsed="false">
      <c r="A775" s="0" t="n">
        <v>2</v>
      </c>
      <c r="B775" s="71" t="n">
        <v>46184</v>
      </c>
      <c r="C775" s="0" t="n">
        <v>11</v>
      </c>
      <c r="D775" s="0" t="s">
        <v>2471</v>
      </c>
      <c r="E775" s="0" t="n">
        <v>875</v>
      </c>
      <c r="F775" s="0" t="s">
        <v>42</v>
      </c>
      <c r="I775" s="0" t="n">
        <v>1829</v>
      </c>
      <c r="J775" s="0" t="n">
        <v>70846</v>
      </c>
      <c r="K775" s="0" t="n">
        <v>6956198940250</v>
      </c>
      <c r="L775" s="0" t="s">
        <v>2873</v>
      </c>
      <c r="N775" s="0" t="n">
        <v>6</v>
      </c>
      <c r="O775" s="0" t="n">
        <v>60</v>
      </c>
      <c r="P775" s="0" t="s">
        <v>2444</v>
      </c>
    </row>
    <row r="776" customFormat="false" ht="15" hidden="false" customHeight="true" outlineLevel="0" collapsed="false">
      <c r="A776" s="0" t="n">
        <v>2</v>
      </c>
      <c r="B776" s="71" t="n">
        <v>46184</v>
      </c>
      <c r="C776" s="0" t="n">
        <v>11</v>
      </c>
      <c r="D776" s="0" t="s">
        <v>2471</v>
      </c>
      <c r="E776" s="0" t="n">
        <v>875</v>
      </c>
      <c r="F776" s="0" t="s">
        <v>42</v>
      </c>
      <c r="I776" s="0" t="n">
        <v>1829</v>
      </c>
      <c r="J776" s="0" t="n">
        <v>72713</v>
      </c>
      <c r="K776" s="0" t="n">
        <v>7908044605171</v>
      </c>
      <c r="L776" s="0" t="s">
        <v>2874</v>
      </c>
      <c r="N776" s="0" t="n">
        <v>6</v>
      </c>
      <c r="O776" s="0" t="n">
        <v>66</v>
      </c>
      <c r="P776" s="0" t="s">
        <v>2444</v>
      </c>
    </row>
    <row r="777" customFormat="false" ht="15" hidden="false" customHeight="true" outlineLevel="0" collapsed="false">
      <c r="A777" s="0" t="n">
        <v>2</v>
      </c>
      <c r="B777" s="71" t="n">
        <v>46184</v>
      </c>
      <c r="C777" s="0" t="n">
        <v>11</v>
      </c>
      <c r="D777" s="0" t="s">
        <v>2471</v>
      </c>
      <c r="E777" s="0" t="n">
        <v>875</v>
      </c>
      <c r="F777" s="0" t="s">
        <v>42</v>
      </c>
      <c r="I777" s="0" t="n">
        <v>1829</v>
      </c>
      <c r="J777" s="0" t="n">
        <v>72718</v>
      </c>
      <c r="K777" s="0" t="n">
        <v>7893095591422</v>
      </c>
      <c r="L777" s="0" t="s">
        <v>2875</v>
      </c>
      <c r="N777" s="0" t="n">
        <v>2</v>
      </c>
      <c r="O777" s="0" t="n">
        <v>112</v>
      </c>
      <c r="P777" s="0" t="s">
        <v>2444</v>
      </c>
    </row>
    <row r="778" customFormat="false" ht="15" hidden="false" customHeight="true" outlineLevel="0" collapsed="false">
      <c r="A778" s="0" t="n">
        <v>2</v>
      </c>
      <c r="B778" s="71" t="n">
        <v>46184</v>
      </c>
      <c r="C778" s="0" t="n">
        <v>11</v>
      </c>
      <c r="D778" s="0" t="s">
        <v>2471</v>
      </c>
      <c r="E778" s="0" t="n">
        <v>875</v>
      </c>
      <c r="F778" s="0" t="s">
        <v>42</v>
      </c>
      <c r="I778" s="0" t="n">
        <v>1829</v>
      </c>
      <c r="J778" s="0" t="n">
        <v>72767</v>
      </c>
      <c r="K778" s="0" t="n">
        <v>7899085714079</v>
      </c>
      <c r="L778" s="0" t="s">
        <v>2876</v>
      </c>
      <c r="N778" s="0" t="n">
        <v>12</v>
      </c>
      <c r="O778" s="0" t="n">
        <v>144</v>
      </c>
      <c r="P778" s="0" t="s">
        <v>2444</v>
      </c>
    </row>
    <row r="779" customFormat="false" ht="15" hidden="false" customHeight="true" outlineLevel="0" collapsed="false">
      <c r="A779" s="0" t="n">
        <v>2</v>
      </c>
      <c r="B779" s="71" t="n">
        <v>46184</v>
      </c>
      <c r="C779" s="0" t="n">
        <v>11</v>
      </c>
      <c r="D779" s="0" t="s">
        <v>2471</v>
      </c>
      <c r="E779" s="0" t="n">
        <v>875</v>
      </c>
      <c r="F779" s="0" t="s">
        <v>42</v>
      </c>
      <c r="I779" s="0" t="n">
        <v>1829</v>
      </c>
      <c r="J779" s="0" t="n">
        <v>74012</v>
      </c>
      <c r="K779" s="0" t="n">
        <v>7908782200836</v>
      </c>
      <c r="L779" s="0" t="s">
        <v>2877</v>
      </c>
      <c r="N779" s="0" t="n">
        <v>6</v>
      </c>
      <c r="O779" s="0" t="n">
        <v>72</v>
      </c>
      <c r="P779" s="0" t="s">
        <v>2444</v>
      </c>
    </row>
    <row r="780" customFormat="false" ht="15" hidden="false" customHeight="true" outlineLevel="0" collapsed="false">
      <c r="A780" s="0" t="n">
        <v>2</v>
      </c>
      <c r="B780" s="71" t="n">
        <v>46184</v>
      </c>
      <c r="C780" s="0" t="n">
        <v>11</v>
      </c>
      <c r="D780" s="0" t="s">
        <v>2471</v>
      </c>
      <c r="E780" s="0" t="n">
        <v>875</v>
      </c>
      <c r="F780" s="0" t="s">
        <v>42</v>
      </c>
      <c r="I780" s="0" t="n">
        <v>1829</v>
      </c>
      <c r="J780" s="0" t="n">
        <v>77011</v>
      </c>
      <c r="K780" s="0" t="n">
        <v>7898657061542</v>
      </c>
      <c r="L780" s="0" t="s">
        <v>2878</v>
      </c>
      <c r="N780" s="0" t="n">
        <v>6</v>
      </c>
      <c r="O780" s="0" t="n">
        <v>72</v>
      </c>
      <c r="P780" s="0" t="s">
        <v>2444</v>
      </c>
    </row>
    <row r="781" customFormat="false" ht="15" hidden="false" customHeight="true" outlineLevel="0" collapsed="false">
      <c r="A781" s="0" t="n">
        <v>2</v>
      </c>
      <c r="B781" s="71" t="n">
        <v>46184</v>
      </c>
      <c r="C781" s="0" t="n">
        <v>11</v>
      </c>
      <c r="D781" s="0" t="s">
        <v>2471</v>
      </c>
      <c r="E781" s="0" t="n">
        <v>875</v>
      </c>
      <c r="F781" s="0" t="s">
        <v>42</v>
      </c>
      <c r="I781" s="0" t="n">
        <v>1829</v>
      </c>
      <c r="J781" s="0" t="n">
        <v>77191</v>
      </c>
      <c r="K781" s="0" t="n">
        <v>7893095794526</v>
      </c>
      <c r="L781" s="0" t="s">
        <v>2879</v>
      </c>
      <c r="N781" s="0" t="n">
        <v>20</v>
      </c>
      <c r="O781" s="0" t="n">
        <v>136</v>
      </c>
      <c r="P781" s="0" t="s">
        <v>2444</v>
      </c>
    </row>
    <row r="782" customFormat="false" ht="15" hidden="false" customHeight="true" outlineLevel="0" collapsed="false">
      <c r="A782" s="0" t="n">
        <v>2</v>
      </c>
      <c r="B782" s="71" t="n">
        <v>46184</v>
      </c>
      <c r="C782" s="0" t="n">
        <v>11</v>
      </c>
      <c r="D782" s="0" t="s">
        <v>2471</v>
      </c>
      <c r="E782" s="0" t="n">
        <v>875</v>
      </c>
      <c r="F782" s="0" t="s">
        <v>42</v>
      </c>
      <c r="I782" s="0" t="n">
        <v>1829</v>
      </c>
      <c r="J782" s="0" t="n">
        <v>78662</v>
      </c>
      <c r="K782" s="0" t="n">
        <v>7893095593372</v>
      </c>
      <c r="L782" s="0" t="s">
        <v>2880</v>
      </c>
      <c r="N782" s="0" t="n">
        <v>1</v>
      </c>
      <c r="O782" s="0" t="n">
        <v>86</v>
      </c>
      <c r="P782" s="0" t="s">
        <v>2444</v>
      </c>
    </row>
    <row r="783" customFormat="false" ht="15" hidden="false" customHeight="true" outlineLevel="0" collapsed="false">
      <c r="A783" s="0" t="n">
        <v>2</v>
      </c>
      <c r="B783" s="71" t="n">
        <v>46184</v>
      </c>
      <c r="C783" s="0" t="n">
        <v>11</v>
      </c>
      <c r="D783" s="0" t="s">
        <v>2471</v>
      </c>
      <c r="E783" s="0" t="n">
        <v>875</v>
      </c>
      <c r="F783" s="0" t="s">
        <v>42</v>
      </c>
      <c r="I783" s="0" t="n">
        <v>1829</v>
      </c>
      <c r="J783" s="0" t="n">
        <v>78667</v>
      </c>
      <c r="K783" s="0" t="n">
        <v>7908552003933</v>
      </c>
      <c r="L783" s="0" t="s">
        <v>2881</v>
      </c>
      <c r="N783" s="0" t="n">
        <v>2</v>
      </c>
      <c r="O783" s="0" t="n">
        <v>16</v>
      </c>
      <c r="P783" s="0" t="s">
        <v>2444</v>
      </c>
    </row>
    <row r="784" customFormat="false" ht="15" hidden="false" customHeight="true" outlineLevel="0" collapsed="false">
      <c r="A784" s="0" t="n">
        <v>2</v>
      </c>
      <c r="B784" s="71" t="n">
        <v>46184</v>
      </c>
      <c r="C784" s="0" t="n">
        <v>11</v>
      </c>
      <c r="D784" s="0" t="s">
        <v>2471</v>
      </c>
      <c r="E784" s="0" t="n">
        <v>875</v>
      </c>
      <c r="F784" s="0" t="s">
        <v>42</v>
      </c>
      <c r="I784" s="0" t="n">
        <v>1829</v>
      </c>
      <c r="J784" s="0" t="n">
        <v>78677</v>
      </c>
      <c r="K784" s="0" t="n">
        <v>7893095425949</v>
      </c>
      <c r="L784" s="0" t="s">
        <v>2882</v>
      </c>
      <c r="N784" s="0" t="n">
        <v>3</v>
      </c>
      <c r="O784" s="0" t="n">
        <v>30</v>
      </c>
      <c r="P784" s="0" t="s">
        <v>2444</v>
      </c>
    </row>
    <row r="785" customFormat="false" ht="15" hidden="false" customHeight="true" outlineLevel="0" collapsed="false">
      <c r="A785" s="0" t="n">
        <v>2</v>
      </c>
      <c r="B785" s="71" t="n">
        <v>46184</v>
      </c>
      <c r="C785" s="0" t="n">
        <v>11</v>
      </c>
      <c r="D785" s="0" t="s">
        <v>2471</v>
      </c>
      <c r="E785" s="0" t="n">
        <v>875</v>
      </c>
      <c r="F785" s="0" t="s">
        <v>42</v>
      </c>
      <c r="I785" s="0" t="n">
        <v>1829</v>
      </c>
      <c r="J785" s="0" t="n">
        <v>79762</v>
      </c>
      <c r="K785" s="0" t="n">
        <v>7448070326751</v>
      </c>
      <c r="L785" s="0" t="s">
        <v>2883</v>
      </c>
      <c r="N785" s="0" t="n">
        <v>2</v>
      </c>
      <c r="O785" s="0" t="n">
        <v>88</v>
      </c>
      <c r="P785" s="0" t="s">
        <v>2444</v>
      </c>
    </row>
    <row r="786" customFormat="false" ht="15" hidden="false" customHeight="true" outlineLevel="0" collapsed="false">
      <c r="A786" s="0" t="n">
        <v>2</v>
      </c>
      <c r="B786" s="71" t="n">
        <v>46184</v>
      </c>
      <c r="C786" s="0" t="n">
        <v>11</v>
      </c>
      <c r="D786" s="0" t="s">
        <v>2471</v>
      </c>
      <c r="E786" s="0" t="n">
        <v>875</v>
      </c>
      <c r="F786" s="0" t="s">
        <v>42</v>
      </c>
      <c r="I786" s="0" t="n">
        <v>1829</v>
      </c>
      <c r="J786" s="0" t="n">
        <v>79866</v>
      </c>
      <c r="K786" s="0" t="n">
        <v>7892025980923</v>
      </c>
      <c r="L786" s="0" t="s">
        <v>2884</v>
      </c>
      <c r="N786" s="0" t="n">
        <v>3</v>
      </c>
      <c r="O786" s="0" t="n">
        <v>54</v>
      </c>
      <c r="P786" s="0" t="s">
        <v>2444</v>
      </c>
    </row>
    <row r="787" customFormat="false" ht="15" hidden="false" customHeight="true" outlineLevel="0" collapsed="false">
      <c r="A787" s="0" t="n">
        <v>2</v>
      </c>
      <c r="B787" s="71" t="n">
        <v>46184</v>
      </c>
      <c r="C787" s="0" t="n">
        <v>11</v>
      </c>
      <c r="D787" s="0" t="s">
        <v>2471</v>
      </c>
      <c r="E787" s="0" t="n">
        <v>875</v>
      </c>
      <c r="F787" s="0" t="s">
        <v>42</v>
      </c>
      <c r="I787" s="0" t="n">
        <v>1829</v>
      </c>
      <c r="J787" s="0" t="n">
        <v>81031</v>
      </c>
      <c r="K787" s="0" t="n">
        <v>810326</v>
      </c>
      <c r="L787" s="0" t="s">
        <v>2885</v>
      </c>
      <c r="N787" s="0" t="n">
        <v>3</v>
      </c>
      <c r="O787" s="0" t="n">
        <v>36</v>
      </c>
      <c r="P787" s="0" t="s">
        <v>2444</v>
      </c>
    </row>
    <row r="788" customFormat="false" ht="15" hidden="false" customHeight="true" outlineLevel="0" collapsed="false">
      <c r="A788" s="0" t="n">
        <v>2</v>
      </c>
      <c r="B788" s="71" t="n">
        <v>46184</v>
      </c>
      <c r="C788" s="0" t="n">
        <v>11</v>
      </c>
      <c r="D788" s="0" t="s">
        <v>2471</v>
      </c>
      <c r="E788" s="0" t="n">
        <v>875</v>
      </c>
      <c r="F788" s="0" t="s">
        <v>42</v>
      </c>
      <c r="I788" s="0" t="n">
        <v>1829</v>
      </c>
      <c r="J788" s="0" t="n">
        <v>81046</v>
      </c>
      <c r="K788" s="0" t="n">
        <v>7893095593457</v>
      </c>
      <c r="L788" s="0" t="s">
        <v>2886</v>
      </c>
      <c r="N788" s="0" t="n">
        <v>6</v>
      </c>
      <c r="O788" s="0" t="n">
        <v>102</v>
      </c>
      <c r="P788" s="0" t="s">
        <v>2444</v>
      </c>
    </row>
    <row r="789" customFormat="false" ht="15" hidden="false" customHeight="true" outlineLevel="0" collapsed="false">
      <c r="A789" s="0" t="n">
        <v>2</v>
      </c>
      <c r="B789" s="71" t="n">
        <v>46184</v>
      </c>
      <c r="C789" s="0" t="n">
        <v>11</v>
      </c>
      <c r="D789" s="0" t="s">
        <v>2471</v>
      </c>
      <c r="E789" s="0" t="n">
        <v>875</v>
      </c>
      <c r="F789" s="0" t="s">
        <v>42</v>
      </c>
      <c r="I789" s="0" t="n">
        <v>1829</v>
      </c>
      <c r="J789" s="0" t="n">
        <v>81248</v>
      </c>
      <c r="K789" s="0" t="n">
        <v>7908338410603</v>
      </c>
      <c r="L789" s="0" t="s">
        <v>2887</v>
      </c>
      <c r="N789" s="0" t="n">
        <v>2</v>
      </c>
      <c r="O789" s="0" t="n">
        <v>34</v>
      </c>
      <c r="P789" s="0" t="s">
        <v>2444</v>
      </c>
    </row>
    <row r="790" customFormat="false" ht="15" hidden="false" customHeight="true" outlineLevel="0" collapsed="false">
      <c r="A790" s="0" t="n">
        <v>2</v>
      </c>
      <c r="B790" s="71" t="n">
        <v>46184</v>
      </c>
      <c r="C790" s="0" t="n">
        <v>11</v>
      </c>
      <c r="D790" s="0" t="s">
        <v>2471</v>
      </c>
      <c r="E790" s="0" t="n">
        <v>875</v>
      </c>
      <c r="F790" s="0" t="s">
        <v>42</v>
      </c>
      <c r="I790" s="0" t="n">
        <v>1829</v>
      </c>
      <c r="J790" s="0" t="n">
        <v>81249</v>
      </c>
      <c r="K790" s="0" t="n">
        <v>7908338403193</v>
      </c>
      <c r="L790" s="0" t="s">
        <v>2888</v>
      </c>
      <c r="N790" s="0" t="n">
        <v>2</v>
      </c>
      <c r="O790" s="0" t="n">
        <v>40</v>
      </c>
      <c r="P790" s="0" t="s">
        <v>2444</v>
      </c>
    </row>
    <row r="791" customFormat="false" ht="15" hidden="false" customHeight="true" outlineLevel="0" collapsed="false">
      <c r="A791" s="0" t="n">
        <v>2</v>
      </c>
      <c r="B791" s="71" t="n">
        <v>46184</v>
      </c>
      <c r="C791" s="0" t="n">
        <v>11</v>
      </c>
      <c r="D791" s="0" t="s">
        <v>2471</v>
      </c>
      <c r="E791" s="0" t="n">
        <v>875</v>
      </c>
      <c r="F791" s="0" t="s">
        <v>42</v>
      </c>
      <c r="I791" s="0" t="n">
        <v>1829</v>
      </c>
      <c r="J791" s="0" t="n">
        <v>81250</v>
      </c>
      <c r="K791" s="0" t="n">
        <v>7908338406163</v>
      </c>
      <c r="L791" s="0" t="s">
        <v>2889</v>
      </c>
      <c r="N791" s="0" t="n">
        <v>2</v>
      </c>
      <c r="O791" s="0" t="n">
        <v>38</v>
      </c>
      <c r="P791" s="0" t="s">
        <v>2444</v>
      </c>
    </row>
    <row r="792" customFormat="false" ht="15" hidden="false" customHeight="true" outlineLevel="0" collapsed="false">
      <c r="A792" s="0" t="n">
        <v>2</v>
      </c>
      <c r="B792" s="71" t="n">
        <v>46184</v>
      </c>
      <c r="C792" s="0" t="n">
        <v>11</v>
      </c>
      <c r="D792" s="0" t="s">
        <v>2471</v>
      </c>
      <c r="E792" s="0" t="n">
        <v>875</v>
      </c>
      <c r="F792" s="0" t="s">
        <v>42</v>
      </c>
      <c r="I792" s="0" t="n">
        <v>1829</v>
      </c>
      <c r="J792" s="0" t="n">
        <v>81251</v>
      </c>
      <c r="K792" s="0" t="n">
        <v>7898729417321</v>
      </c>
      <c r="L792" s="0" t="s">
        <v>2890</v>
      </c>
      <c r="N792" s="0" t="n">
        <v>2</v>
      </c>
      <c r="O792" s="0" t="n">
        <v>122</v>
      </c>
      <c r="P792" s="0" t="s">
        <v>2444</v>
      </c>
    </row>
    <row r="793" customFormat="false" ht="15" hidden="false" customHeight="true" outlineLevel="0" collapsed="false">
      <c r="A793" s="0" t="n">
        <v>2</v>
      </c>
      <c r="B793" s="71" t="n">
        <v>46184</v>
      </c>
      <c r="C793" s="0" t="n">
        <v>11</v>
      </c>
      <c r="D793" s="0" t="s">
        <v>2471</v>
      </c>
      <c r="E793" s="0" t="n">
        <v>875</v>
      </c>
      <c r="F793" s="0" t="s">
        <v>42</v>
      </c>
      <c r="I793" s="0" t="n">
        <v>1829</v>
      </c>
      <c r="J793" s="0" t="n">
        <v>81252</v>
      </c>
      <c r="K793" s="0" t="n">
        <v>7893095589139</v>
      </c>
      <c r="L793" s="0" t="s">
        <v>2891</v>
      </c>
      <c r="N793" s="0" t="n">
        <v>3</v>
      </c>
      <c r="O793" s="0" t="n">
        <v>54</v>
      </c>
      <c r="P793" s="0" t="s">
        <v>2444</v>
      </c>
    </row>
    <row r="794" customFormat="false" ht="15" hidden="false" customHeight="true" outlineLevel="0" collapsed="false">
      <c r="A794" s="0" t="n">
        <v>2</v>
      </c>
      <c r="B794" s="71" t="n">
        <v>46184</v>
      </c>
      <c r="C794" s="0" t="n">
        <v>11</v>
      </c>
      <c r="D794" s="0" t="s">
        <v>2471</v>
      </c>
      <c r="E794" s="0" t="n">
        <v>875</v>
      </c>
      <c r="F794" s="0" t="s">
        <v>42</v>
      </c>
      <c r="I794" s="0" t="n">
        <v>1829</v>
      </c>
      <c r="J794" s="0" t="n">
        <v>81253</v>
      </c>
      <c r="K794" s="0" t="n">
        <v>7908552001472</v>
      </c>
      <c r="L794" s="0" t="s">
        <v>2892</v>
      </c>
      <c r="N794" s="0" t="n">
        <v>2</v>
      </c>
      <c r="O794" s="0" t="n">
        <v>20</v>
      </c>
      <c r="P794" s="0" t="s">
        <v>2444</v>
      </c>
    </row>
    <row r="795" customFormat="false" ht="15" hidden="false" customHeight="true" outlineLevel="0" collapsed="false">
      <c r="A795" s="0" t="n">
        <v>2</v>
      </c>
      <c r="B795" s="71" t="n">
        <v>46184</v>
      </c>
      <c r="C795" s="0" t="n">
        <v>11</v>
      </c>
      <c r="D795" s="0" t="s">
        <v>2471</v>
      </c>
      <c r="E795" s="0" t="n">
        <v>875</v>
      </c>
      <c r="F795" s="0" t="s">
        <v>42</v>
      </c>
      <c r="I795" s="0" t="n">
        <v>1829</v>
      </c>
      <c r="J795" s="0" t="n">
        <v>81255</v>
      </c>
      <c r="K795" s="0" t="n">
        <v>7448070332967</v>
      </c>
      <c r="L795" s="0" t="s">
        <v>2893</v>
      </c>
      <c r="N795" s="0" t="n">
        <v>3</v>
      </c>
      <c r="O795" s="0" t="n">
        <v>126</v>
      </c>
      <c r="P795" s="0" t="s">
        <v>2444</v>
      </c>
    </row>
    <row r="796" customFormat="false" ht="15" hidden="false" customHeight="true" outlineLevel="0" collapsed="false">
      <c r="A796" s="0" t="n">
        <v>2</v>
      </c>
      <c r="B796" s="71" t="n">
        <v>46184</v>
      </c>
      <c r="C796" s="0" t="n">
        <v>11</v>
      </c>
      <c r="D796" s="0" t="s">
        <v>2471</v>
      </c>
      <c r="E796" s="0" t="n">
        <v>875</v>
      </c>
      <c r="F796" s="0" t="s">
        <v>42</v>
      </c>
      <c r="I796" s="0" t="n">
        <v>1829</v>
      </c>
      <c r="J796" s="0" t="n">
        <v>81256</v>
      </c>
      <c r="K796" s="0" t="n">
        <v>7448070332554</v>
      </c>
      <c r="L796" s="0" t="s">
        <v>2894</v>
      </c>
      <c r="N796" s="0" t="n">
        <v>3</v>
      </c>
      <c r="O796" s="0" t="n">
        <v>111</v>
      </c>
      <c r="P796" s="0" t="s">
        <v>2444</v>
      </c>
    </row>
    <row r="797" customFormat="false" ht="15" hidden="false" customHeight="true" outlineLevel="0" collapsed="false">
      <c r="A797" s="0" t="n">
        <v>2</v>
      </c>
      <c r="B797" s="71" t="n">
        <v>46184</v>
      </c>
      <c r="C797" s="0" t="n">
        <v>11</v>
      </c>
      <c r="D797" s="0" t="s">
        <v>2471</v>
      </c>
      <c r="E797" s="0" t="n">
        <v>875</v>
      </c>
      <c r="F797" s="0" t="s">
        <v>42</v>
      </c>
      <c r="I797" s="0" t="n">
        <v>1829</v>
      </c>
      <c r="J797" s="0" t="n">
        <v>81257</v>
      </c>
      <c r="K797" s="0" t="n">
        <v>7448070332820</v>
      </c>
      <c r="L797" s="0" t="s">
        <v>2895</v>
      </c>
      <c r="N797" s="0" t="n">
        <v>2</v>
      </c>
      <c r="O797" s="0" t="n">
        <v>74</v>
      </c>
      <c r="P797" s="0" t="s">
        <v>2444</v>
      </c>
    </row>
    <row r="798" customFormat="false" ht="15" hidden="false" customHeight="true" outlineLevel="0" collapsed="false">
      <c r="A798" s="0" t="n">
        <v>2</v>
      </c>
      <c r="B798" s="71" t="n">
        <v>46184</v>
      </c>
      <c r="C798" s="0" t="n">
        <v>11</v>
      </c>
      <c r="D798" s="0" t="s">
        <v>2471</v>
      </c>
      <c r="E798" s="0" t="n">
        <v>875</v>
      </c>
      <c r="F798" s="0" t="s">
        <v>42</v>
      </c>
      <c r="I798" s="0" t="n">
        <v>1829</v>
      </c>
      <c r="J798" s="0" t="n">
        <v>81258</v>
      </c>
      <c r="K798" s="0" t="n">
        <v>812597</v>
      </c>
      <c r="L798" s="0" t="s">
        <v>2896</v>
      </c>
      <c r="N798" s="0" t="n">
        <v>6</v>
      </c>
      <c r="O798" s="0" t="n">
        <v>126</v>
      </c>
      <c r="P798" s="0" t="s">
        <v>2444</v>
      </c>
    </row>
    <row r="799" customFormat="false" ht="15" hidden="false" customHeight="true" outlineLevel="0" collapsed="false">
      <c r="A799" s="0" t="n">
        <v>2</v>
      </c>
      <c r="B799" s="71" t="n">
        <v>46184</v>
      </c>
      <c r="C799" s="0" t="n">
        <v>11</v>
      </c>
      <c r="D799" s="0" t="s">
        <v>2471</v>
      </c>
      <c r="E799" s="0" t="n">
        <v>875</v>
      </c>
      <c r="F799" s="0" t="s">
        <v>42</v>
      </c>
      <c r="I799" s="0" t="n">
        <v>1829</v>
      </c>
      <c r="J799" s="0" t="n">
        <v>81260</v>
      </c>
      <c r="K799" s="0" t="n">
        <v>7448070327543</v>
      </c>
      <c r="L799" s="0" t="s">
        <v>2897</v>
      </c>
      <c r="N799" s="0" t="n">
        <v>3</v>
      </c>
      <c r="O799" s="0" t="n">
        <v>87</v>
      </c>
      <c r="P799" s="0" t="s">
        <v>2444</v>
      </c>
    </row>
    <row r="800" customFormat="false" ht="15" hidden="false" customHeight="true" outlineLevel="0" collapsed="false">
      <c r="A800" s="0" t="n">
        <v>2</v>
      </c>
      <c r="B800" s="71" t="n">
        <v>46184</v>
      </c>
      <c r="C800" s="0" t="n">
        <v>11</v>
      </c>
      <c r="D800" s="0" t="s">
        <v>2471</v>
      </c>
      <c r="E800" s="0" t="n">
        <v>875</v>
      </c>
      <c r="F800" s="0" t="s">
        <v>42</v>
      </c>
      <c r="I800" s="0" t="n">
        <v>1829</v>
      </c>
      <c r="J800" s="0" t="n">
        <v>81263</v>
      </c>
      <c r="K800" s="0" t="n">
        <v>7908657603076</v>
      </c>
      <c r="L800" s="0" t="s">
        <v>2898</v>
      </c>
      <c r="N800" s="0" t="n">
        <v>12</v>
      </c>
      <c r="O800" s="0" t="n">
        <v>240</v>
      </c>
      <c r="P800" s="0" t="s">
        <v>2444</v>
      </c>
    </row>
    <row r="801" customFormat="false" ht="15" hidden="false" customHeight="true" outlineLevel="0" collapsed="false">
      <c r="A801" s="0" t="n">
        <v>2</v>
      </c>
      <c r="B801" s="71" t="n">
        <v>46184</v>
      </c>
      <c r="C801" s="0" t="n">
        <v>11</v>
      </c>
      <c r="D801" s="0" t="s">
        <v>2471</v>
      </c>
      <c r="E801" s="0" t="n">
        <v>875</v>
      </c>
      <c r="F801" s="0" t="s">
        <v>42</v>
      </c>
      <c r="I801" s="0" t="n">
        <v>1829</v>
      </c>
      <c r="J801" s="0" t="n">
        <v>81264</v>
      </c>
      <c r="K801" s="0" t="n">
        <v>7893095424096</v>
      </c>
      <c r="L801" s="0" t="s">
        <v>2899</v>
      </c>
      <c r="N801" s="0" t="n">
        <v>2</v>
      </c>
      <c r="O801" s="0" t="n">
        <v>90</v>
      </c>
      <c r="P801" s="0" t="s">
        <v>2444</v>
      </c>
    </row>
    <row r="802" customFormat="false" ht="15" hidden="false" customHeight="true" outlineLevel="0" collapsed="false">
      <c r="A802" s="0" t="n">
        <v>2</v>
      </c>
      <c r="B802" s="71" t="n">
        <v>46184</v>
      </c>
      <c r="C802" s="0" t="n">
        <v>11</v>
      </c>
      <c r="D802" s="0" t="s">
        <v>2471</v>
      </c>
      <c r="E802" s="0" t="n">
        <v>875</v>
      </c>
      <c r="F802" s="0" t="s">
        <v>42</v>
      </c>
      <c r="I802" s="0" t="n">
        <v>1829</v>
      </c>
      <c r="J802" s="0" t="n">
        <v>81265</v>
      </c>
      <c r="K802" s="0" t="n">
        <v>812665</v>
      </c>
      <c r="L802" s="0" t="s">
        <v>2900</v>
      </c>
      <c r="N802" s="0" t="n">
        <v>6</v>
      </c>
      <c r="O802" s="0" t="n">
        <v>30</v>
      </c>
      <c r="P802" s="0" t="s">
        <v>2444</v>
      </c>
    </row>
    <row r="803" customFormat="false" ht="15" hidden="false" customHeight="true" outlineLevel="0" collapsed="false">
      <c r="A803" s="0" t="n">
        <v>2</v>
      </c>
      <c r="B803" s="71" t="n">
        <v>46184</v>
      </c>
      <c r="C803" s="0" t="n">
        <v>11</v>
      </c>
      <c r="D803" s="0" t="s">
        <v>2471</v>
      </c>
      <c r="E803" s="0" t="n">
        <v>875</v>
      </c>
      <c r="F803" s="0" t="s">
        <v>42</v>
      </c>
      <c r="I803" s="0" t="n">
        <v>1829</v>
      </c>
      <c r="J803" s="0" t="n">
        <v>81267</v>
      </c>
      <c r="K803" s="0" t="n">
        <v>7893095806328</v>
      </c>
      <c r="L803" s="0" t="s">
        <v>2901</v>
      </c>
      <c r="N803" s="0" t="n">
        <v>2</v>
      </c>
      <c r="O803" s="0" t="n">
        <v>174</v>
      </c>
      <c r="P803" s="0" t="s">
        <v>2444</v>
      </c>
    </row>
    <row r="804" customFormat="false" ht="15" hidden="false" customHeight="true" outlineLevel="0" collapsed="false">
      <c r="A804" s="0" t="n">
        <v>2</v>
      </c>
      <c r="B804" s="71" t="n">
        <v>46184</v>
      </c>
      <c r="C804" s="0" t="n">
        <v>11</v>
      </c>
      <c r="D804" s="0" t="s">
        <v>2471</v>
      </c>
      <c r="E804" s="0" t="n">
        <v>875</v>
      </c>
      <c r="F804" s="0" t="s">
        <v>42</v>
      </c>
      <c r="I804" s="0" t="n">
        <v>1829</v>
      </c>
      <c r="J804" s="0" t="n">
        <v>81268</v>
      </c>
      <c r="K804" s="0" t="n">
        <v>7898766444304</v>
      </c>
      <c r="L804" s="0" t="s">
        <v>2902</v>
      </c>
      <c r="N804" s="0" t="n">
        <v>3</v>
      </c>
      <c r="O804" s="0" t="n">
        <v>49.5</v>
      </c>
      <c r="P804" s="0" t="s">
        <v>2444</v>
      </c>
    </row>
    <row r="805" customFormat="false" ht="15" hidden="false" customHeight="true" outlineLevel="0" collapsed="false">
      <c r="A805" s="0" t="n">
        <v>2</v>
      </c>
      <c r="B805" s="71" t="n">
        <v>46184</v>
      </c>
      <c r="C805" s="0" t="n">
        <v>11</v>
      </c>
      <c r="D805" s="0" t="s">
        <v>2471</v>
      </c>
      <c r="E805" s="0" t="n">
        <v>875</v>
      </c>
      <c r="F805" s="0" t="s">
        <v>42</v>
      </c>
      <c r="I805" s="0" t="n">
        <v>1829</v>
      </c>
      <c r="J805" s="0" t="n">
        <v>81269</v>
      </c>
      <c r="K805" s="0" t="n">
        <v>745760071005</v>
      </c>
      <c r="L805" s="0" t="s">
        <v>2903</v>
      </c>
      <c r="N805" s="0" t="n">
        <v>3</v>
      </c>
      <c r="O805" s="0" t="n">
        <v>45</v>
      </c>
      <c r="P805" s="0" t="s">
        <v>2444</v>
      </c>
    </row>
    <row r="806" customFormat="false" ht="15" hidden="false" customHeight="true" outlineLevel="0" collapsed="false">
      <c r="A806" s="0" t="n">
        <v>2</v>
      </c>
      <c r="B806" s="71" t="n">
        <v>46184</v>
      </c>
      <c r="C806" s="0" t="n">
        <v>11</v>
      </c>
      <c r="D806" s="0" t="s">
        <v>2471</v>
      </c>
      <c r="E806" s="0" t="n">
        <v>875</v>
      </c>
      <c r="F806" s="0" t="s">
        <v>42</v>
      </c>
      <c r="I806" s="0" t="n">
        <v>1829</v>
      </c>
      <c r="J806" s="0" t="n">
        <v>81270</v>
      </c>
      <c r="K806" s="0" t="n">
        <v>7908338407467</v>
      </c>
      <c r="L806" s="0" t="s">
        <v>2904</v>
      </c>
      <c r="N806" s="0" t="n">
        <v>2</v>
      </c>
      <c r="O806" s="0" t="n">
        <v>22</v>
      </c>
      <c r="P806" s="0" t="s">
        <v>2444</v>
      </c>
    </row>
    <row r="807" customFormat="false" ht="15" hidden="false" customHeight="true" outlineLevel="0" collapsed="false">
      <c r="A807" s="0" t="n">
        <v>2</v>
      </c>
      <c r="B807" s="71" t="n">
        <v>46184</v>
      </c>
      <c r="C807" s="0" t="n">
        <v>11</v>
      </c>
      <c r="D807" s="0" t="s">
        <v>2471</v>
      </c>
      <c r="E807" s="0" t="n">
        <v>875</v>
      </c>
      <c r="F807" s="0" t="s">
        <v>42</v>
      </c>
      <c r="I807" s="0" t="n">
        <v>1829</v>
      </c>
      <c r="J807" s="0" t="n">
        <v>81271</v>
      </c>
      <c r="K807" s="0" t="n">
        <v>7908782219630</v>
      </c>
      <c r="L807" s="0" t="s">
        <v>2905</v>
      </c>
      <c r="N807" s="0" t="n">
        <v>2</v>
      </c>
      <c r="O807" s="0" t="n">
        <v>44</v>
      </c>
      <c r="P807" s="0" t="s">
        <v>2444</v>
      </c>
    </row>
    <row r="808" customFormat="false" ht="15" hidden="false" customHeight="true" outlineLevel="0" collapsed="false">
      <c r="A808" s="0" t="n">
        <v>2</v>
      </c>
      <c r="B808" s="71" t="n">
        <v>46184</v>
      </c>
      <c r="C808" s="0" t="n">
        <v>11</v>
      </c>
      <c r="D808" s="0" t="s">
        <v>2471</v>
      </c>
      <c r="E808" s="0" t="n">
        <v>875</v>
      </c>
      <c r="F808" s="0" t="s">
        <v>42</v>
      </c>
      <c r="I808" s="0" t="n">
        <v>1829</v>
      </c>
      <c r="J808" s="0" t="n">
        <v>81272</v>
      </c>
      <c r="K808" s="0" t="n">
        <v>7908782219647</v>
      </c>
      <c r="L808" s="0" t="s">
        <v>2906</v>
      </c>
      <c r="N808" s="0" t="n">
        <v>2</v>
      </c>
      <c r="O808" s="0" t="n">
        <v>18</v>
      </c>
      <c r="P808" s="0" t="s">
        <v>2444</v>
      </c>
    </row>
    <row r="809" customFormat="false" ht="15" hidden="false" customHeight="true" outlineLevel="0" collapsed="false">
      <c r="A809" s="0" t="n">
        <v>2</v>
      </c>
      <c r="B809" s="71" t="n">
        <v>46184</v>
      </c>
      <c r="C809" s="0" t="n">
        <v>11</v>
      </c>
      <c r="D809" s="0" t="s">
        <v>2471</v>
      </c>
      <c r="E809" s="0" t="n">
        <v>875</v>
      </c>
      <c r="F809" s="0" t="s">
        <v>42</v>
      </c>
      <c r="I809" s="0" t="n">
        <v>1829</v>
      </c>
      <c r="J809" s="0" t="n">
        <v>81273</v>
      </c>
      <c r="K809" s="0" t="n">
        <v>7898729413194</v>
      </c>
      <c r="L809" s="0" t="s">
        <v>2907</v>
      </c>
      <c r="N809" s="0" t="n">
        <v>2</v>
      </c>
      <c r="O809" s="0" t="n">
        <v>200</v>
      </c>
      <c r="P809" s="0" t="s">
        <v>2444</v>
      </c>
    </row>
    <row r="810" customFormat="false" ht="15" hidden="false" customHeight="true" outlineLevel="0" collapsed="false">
      <c r="A810" s="0" t="n">
        <v>2</v>
      </c>
      <c r="B810" s="71" t="n">
        <v>46184</v>
      </c>
      <c r="C810" s="0" t="n">
        <v>11</v>
      </c>
      <c r="D810" s="0" t="s">
        <v>2471</v>
      </c>
      <c r="E810" s="0" t="n">
        <v>875</v>
      </c>
      <c r="F810" s="0" t="s">
        <v>42</v>
      </c>
      <c r="I810" s="0" t="n">
        <v>1829</v>
      </c>
      <c r="J810" s="0" t="n">
        <v>81274</v>
      </c>
      <c r="K810" s="0" t="n">
        <v>7448070327154</v>
      </c>
      <c r="L810" s="0" t="s">
        <v>2908</v>
      </c>
      <c r="N810" s="0" t="n">
        <v>2</v>
      </c>
      <c r="O810" s="0" t="n">
        <v>40</v>
      </c>
      <c r="P810" s="0" t="s">
        <v>2444</v>
      </c>
    </row>
    <row r="811" customFormat="false" ht="15" hidden="false" customHeight="true" outlineLevel="0" collapsed="false">
      <c r="A811" s="0" t="n">
        <v>2</v>
      </c>
      <c r="B811" s="71" t="n">
        <v>46184</v>
      </c>
      <c r="C811" s="0" t="n">
        <v>11</v>
      </c>
      <c r="D811" s="0" t="s">
        <v>2471</v>
      </c>
      <c r="E811" s="0" t="n">
        <v>875</v>
      </c>
      <c r="F811" s="0" t="s">
        <v>42</v>
      </c>
      <c r="I811" s="0" t="n">
        <v>1829</v>
      </c>
      <c r="J811" s="0" t="n">
        <v>81275</v>
      </c>
      <c r="K811" s="0" t="n">
        <v>7898970743934</v>
      </c>
      <c r="L811" s="0" t="s">
        <v>2909</v>
      </c>
      <c r="N811" s="0" t="n">
        <v>5</v>
      </c>
      <c r="O811" s="0" t="n">
        <v>70</v>
      </c>
      <c r="P811" s="0" t="s">
        <v>2444</v>
      </c>
    </row>
    <row r="812" customFormat="false" ht="15" hidden="false" customHeight="true" outlineLevel="0" collapsed="false">
      <c r="A812" s="0" t="n">
        <v>2</v>
      </c>
      <c r="B812" s="71" t="n">
        <v>46184</v>
      </c>
      <c r="C812" s="0" t="n">
        <v>11</v>
      </c>
      <c r="D812" s="0" t="s">
        <v>2471</v>
      </c>
      <c r="E812" s="0" t="n">
        <v>875</v>
      </c>
      <c r="F812" s="0" t="s">
        <v>42</v>
      </c>
      <c r="I812" s="0" t="n">
        <v>1829</v>
      </c>
      <c r="J812" s="0" t="n">
        <v>81279</v>
      </c>
      <c r="K812" s="0" t="n">
        <v>7899085589912</v>
      </c>
      <c r="L812" s="0" t="s">
        <v>2910</v>
      </c>
      <c r="N812" s="0" t="n">
        <v>12</v>
      </c>
      <c r="O812" s="0" t="n">
        <v>66</v>
      </c>
      <c r="P812" s="0" t="s">
        <v>2444</v>
      </c>
    </row>
    <row r="813" customFormat="false" ht="15" hidden="false" customHeight="true" outlineLevel="0" collapsed="false">
      <c r="A813" s="0" t="n">
        <v>2</v>
      </c>
      <c r="B813" s="71" t="n">
        <v>46184</v>
      </c>
      <c r="C813" s="0" t="n">
        <v>11</v>
      </c>
      <c r="D813" s="0" t="s">
        <v>2471</v>
      </c>
      <c r="E813" s="0" t="n">
        <v>875</v>
      </c>
      <c r="F813" s="0" t="s">
        <v>42</v>
      </c>
      <c r="I813" s="0" t="n">
        <v>1829</v>
      </c>
      <c r="J813" s="0" t="n">
        <v>81280</v>
      </c>
      <c r="K813" s="0" t="n">
        <v>7448070326614</v>
      </c>
      <c r="L813" s="0" t="s">
        <v>2911</v>
      </c>
      <c r="N813" s="0" t="n">
        <v>3</v>
      </c>
      <c r="O813" s="0" t="n">
        <v>99</v>
      </c>
      <c r="P813" s="0" t="s">
        <v>2444</v>
      </c>
    </row>
    <row r="814" customFormat="false" ht="15" hidden="false" customHeight="true" outlineLevel="0" collapsed="false">
      <c r="A814" s="0" t="n">
        <v>2</v>
      </c>
      <c r="B814" s="71" t="n">
        <v>46184</v>
      </c>
      <c r="C814" s="0" t="n">
        <v>11</v>
      </c>
      <c r="D814" s="0" t="s">
        <v>2471</v>
      </c>
      <c r="E814" s="0" t="n">
        <v>875</v>
      </c>
      <c r="F814" s="0" t="s">
        <v>42</v>
      </c>
      <c r="I814" s="0" t="n">
        <v>1829</v>
      </c>
      <c r="J814" s="0" t="n">
        <v>81281</v>
      </c>
      <c r="K814" s="0" t="n">
        <v>812825</v>
      </c>
      <c r="L814" s="0" t="s">
        <v>2912</v>
      </c>
      <c r="N814" s="0" t="n">
        <v>12</v>
      </c>
      <c r="O814" s="0" t="n">
        <v>30</v>
      </c>
      <c r="P814" s="0" t="s">
        <v>2444</v>
      </c>
    </row>
    <row r="815" customFormat="false" ht="15" hidden="false" customHeight="true" outlineLevel="0" collapsed="false">
      <c r="A815" s="0" t="n">
        <v>2</v>
      </c>
      <c r="B815" s="71" t="n">
        <v>46184</v>
      </c>
      <c r="C815" s="0" t="n">
        <v>11</v>
      </c>
      <c r="D815" s="0" t="s">
        <v>2471</v>
      </c>
      <c r="E815" s="0" t="n">
        <v>1636</v>
      </c>
      <c r="F815" s="0" t="s">
        <v>61</v>
      </c>
      <c r="I815" s="0" t="n">
        <v>3201284</v>
      </c>
      <c r="J815" s="0" t="n">
        <v>104602</v>
      </c>
      <c r="K815" s="0" t="n">
        <v>7891104393104</v>
      </c>
      <c r="L815" s="0" t="s">
        <v>2913</v>
      </c>
      <c r="N815" s="0" t="n">
        <v>12</v>
      </c>
      <c r="O815" s="0" t="n">
        <v>39.13</v>
      </c>
      <c r="P815" s="0" t="s">
        <v>2444</v>
      </c>
    </row>
    <row r="816" customFormat="false" ht="15" hidden="false" customHeight="true" outlineLevel="0" collapsed="false">
      <c r="A816" s="0" t="n">
        <v>2</v>
      </c>
      <c r="B816" s="71" t="n">
        <v>46184</v>
      </c>
      <c r="C816" s="0" t="n">
        <v>11</v>
      </c>
      <c r="D816" s="0" t="s">
        <v>2471</v>
      </c>
      <c r="E816" s="0" t="n">
        <v>1636</v>
      </c>
      <c r="F816" s="0" t="s">
        <v>61</v>
      </c>
      <c r="I816" s="0" t="n">
        <v>3201284</v>
      </c>
      <c r="J816" s="0" t="n">
        <v>24762</v>
      </c>
      <c r="K816" s="0" t="n">
        <v>7891152340433</v>
      </c>
      <c r="L816" s="0" t="s">
        <v>2914</v>
      </c>
      <c r="N816" s="0" t="n">
        <v>30</v>
      </c>
      <c r="O816" s="0" t="n">
        <v>74.39</v>
      </c>
      <c r="P816" s="0" t="s">
        <v>2444</v>
      </c>
    </row>
    <row r="817" customFormat="false" ht="15" hidden="false" customHeight="true" outlineLevel="0" collapsed="false">
      <c r="A817" s="0" t="n">
        <v>2</v>
      </c>
      <c r="B817" s="71" t="n">
        <v>46184</v>
      </c>
      <c r="C817" s="0" t="n">
        <v>11</v>
      </c>
      <c r="D817" s="0" t="s">
        <v>2471</v>
      </c>
      <c r="E817" s="0" t="n">
        <v>1636</v>
      </c>
      <c r="F817" s="0" t="s">
        <v>61</v>
      </c>
      <c r="I817" s="0" t="n">
        <v>3201284</v>
      </c>
      <c r="J817" s="0" t="n">
        <v>29112</v>
      </c>
      <c r="K817" s="0" t="n">
        <v>7891152800517</v>
      </c>
      <c r="L817" s="0" t="s">
        <v>2915</v>
      </c>
      <c r="N817" s="0" t="n">
        <v>30</v>
      </c>
      <c r="O817" s="0" t="n">
        <v>83.36</v>
      </c>
      <c r="P817" s="0" t="s">
        <v>2444</v>
      </c>
    </row>
    <row r="818" customFormat="false" ht="15" hidden="false" customHeight="true" outlineLevel="0" collapsed="false">
      <c r="A818" s="0" t="n">
        <v>2</v>
      </c>
      <c r="B818" s="71" t="n">
        <v>46184</v>
      </c>
      <c r="C818" s="0" t="n">
        <v>11</v>
      </c>
      <c r="D818" s="0" t="s">
        <v>2471</v>
      </c>
      <c r="E818" s="0" t="n">
        <v>1636</v>
      </c>
      <c r="F818" s="0" t="s">
        <v>61</v>
      </c>
      <c r="I818" s="0" t="n">
        <v>3201284</v>
      </c>
      <c r="J818" s="0" t="n">
        <v>31679</v>
      </c>
      <c r="K818" s="0" t="n">
        <v>7896094906020</v>
      </c>
      <c r="L818" s="0" t="s">
        <v>2916</v>
      </c>
      <c r="N818" s="0" t="n">
        <v>6</v>
      </c>
      <c r="O818" s="0" t="n">
        <v>37.64</v>
      </c>
      <c r="P818" s="0" t="s">
        <v>2444</v>
      </c>
    </row>
    <row r="819" customFormat="false" ht="15" hidden="false" customHeight="true" outlineLevel="0" collapsed="false">
      <c r="A819" s="0" t="n">
        <v>2</v>
      </c>
      <c r="B819" s="71" t="n">
        <v>46184</v>
      </c>
      <c r="C819" s="0" t="n">
        <v>11</v>
      </c>
      <c r="D819" s="0" t="s">
        <v>2471</v>
      </c>
      <c r="E819" s="0" t="n">
        <v>1636</v>
      </c>
      <c r="F819" s="0" t="s">
        <v>61</v>
      </c>
      <c r="I819" s="0" t="n">
        <v>3201284</v>
      </c>
      <c r="J819" s="0" t="n">
        <v>36033</v>
      </c>
      <c r="K819" s="0" t="n">
        <v>7891152800951</v>
      </c>
      <c r="L819" s="0" t="s">
        <v>2917</v>
      </c>
      <c r="N819" s="0" t="n">
        <v>30</v>
      </c>
      <c r="O819" s="0" t="n">
        <v>83.2</v>
      </c>
      <c r="P819" s="0" t="s">
        <v>2444</v>
      </c>
    </row>
    <row r="820" customFormat="false" ht="15" hidden="false" customHeight="true" outlineLevel="0" collapsed="false">
      <c r="A820" s="0" t="n">
        <v>2</v>
      </c>
      <c r="B820" s="71" t="n">
        <v>46184</v>
      </c>
      <c r="C820" s="0" t="n">
        <v>11</v>
      </c>
      <c r="D820" s="0" t="s">
        <v>2471</v>
      </c>
      <c r="E820" s="0" t="n">
        <v>1636</v>
      </c>
      <c r="F820" s="0" t="s">
        <v>61</v>
      </c>
      <c r="I820" s="0" t="n">
        <v>3201284</v>
      </c>
      <c r="J820" s="0" t="n">
        <v>36034</v>
      </c>
      <c r="K820" s="0" t="n">
        <v>7891152800937</v>
      </c>
      <c r="L820" s="0" t="s">
        <v>2918</v>
      </c>
      <c r="N820" s="0" t="n">
        <v>30</v>
      </c>
      <c r="O820" s="0" t="n">
        <v>83.2</v>
      </c>
      <c r="P820" s="0" t="s">
        <v>2444</v>
      </c>
    </row>
    <row r="821" customFormat="false" ht="15" hidden="false" customHeight="true" outlineLevel="0" collapsed="false">
      <c r="A821" s="0" t="n">
        <v>2</v>
      </c>
      <c r="B821" s="71" t="n">
        <v>46184</v>
      </c>
      <c r="C821" s="0" t="n">
        <v>11</v>
      </c>
      <c r="D821" s="0" t="s">
        <v>2471</v>
      </c>
      <c r="E821" s="0" t="n">
        <v>1636</v>
      </c>
      <c r="F821" s="0" t="s">
        <v>61</v>
      </c>
      <c r="I821" s="0" t="n">
        <v>3201284</v>
      </c>
      <c r="J821" s="0" t="n">
        <v>36225</v>
      </c>
      <c r="K821" s="0" t="n">
        <v>7891152800968</v>
      </c>
      <c r="L821" s="0" t="s">
        <v>2919</v>
      </c>
      <c r="N821" s="0" t="n">
        <v>30</v>
      </c>
      <c r="O821" s="0" t="n">
        <v>83.2</v>
      </c>
      <c r="P821" s="0" t="s">
        <v>2444</v>
      </c>
    </row>
    <row r="822" customFormat="false" ht="15" hidden="false" customHeight="true" outlineLevel="0" collapsed="false">
      <c r="A822" s="0" t="n">
        <v>2</v>
      </c>
      <c r="B822" s="71" t="n">
        <v>46184</v>
      </c>
      <c r="C822" s="0" t="n">
        <v>11</v>
      </c>
      <c r="D822" s="0" t="s">
        <v>2471</v>
      </c>
      <c r="E822" s="0" t="n">
        <v>1636</v>
      </c>
      <c r="F822" s="0" t="s">
        <v>61</v>
      </c>
      <c r="I822" s="0" t="n">
        <v>3201284</v>
      </c>
      <c r="J822" s="0" t="n">
        <v>39867</v>
      </c>
      <c r="K822" s="0" t="n">
        <v>7891152800746</v>
      </c>
      <c r="L822" s="0" t="s">
        <v>2920</v>
      </c>
      <c r="N822" s="0" t="n">
        <v>30</v>
      </c>
      <c r="O822" s="0" t="n">
        <v>61.12</v>
      </c>
      <c r="P822" s="0" t="s">
        <v>2444</v>
      </c>
    </row>
    <row r="823" customFormat="false" ht="15" hidden="false" customHeight="true" outlineLevel="0" collapsed="false">
      <c r="A823" s="0" t="n">
        <v>2</v>
      </c>
      <c r="B823" s="71" t="n">
        <v>46184</v>
      </c>
      <c r="C823" s="0" t="n">
        <v>11</v>
      </c>
      <c r="D823" s="0" t="s">
        <v>2471</v>
      </c>
      <c r="E823" s="0" t="n">
        <v>1636</v>
      </c>
      <c r="F823" s="0" t="s">
        <v>61</v>
      </c>
      <c r="I823" s="0" t="n">
        <v>3201284</v>
      </c>
      <c r="J823" s="0" t="n">
        <v>41566</v>
      </c>
      <c r="K823" s="0" t="n">
        <v>7891152800753</v>
      </c>
      <c r="L823" s="0" t="s">
        <v>2921</v>
      </c>
      <c r="N823" s="0" t="n">
        <v>30</v>
      </c>
      <c r="O823" s="0" t="n">
        <v>61.12</v>
      </c>
      <c r="P823" s="0" t="s">
        <v>2444</v>
      </c>
    </row>
    <row r="824" customFormat="false" ht="15" hidden="false" customHeight="true" outlineLevel="0" collapsed="false">
      <c r="A824" s="0" t="n">
        <v>2</v>
      </c>
      <c r="B824" s="71" t="n">
        <v>46184</v>
      </c>
      <c r="C824" s="0" t="n">
        <v>11</v>
      </c>
      <c r="D824" s="0" t="s">
        <v>2471</v>
      </c>
      <c r="E824" s="0" t="n">
        <v>1636</v>
      </c>
      <c r="F824" s="0" t="s">
        <v>61</v>
      </c>
      <c r="I824" s="0" t="n">
        <v>3201284</v>
      </c>
      <c r="J824" s="0" t="n">
        <v>41919</v>
      </c>
      <c r="K824" s="0" t="n">
        <v>7891152801354</v>
      </c>
      <c r="L824" s="0" t="s">
        <v>2922</v>
      </c>
      <c r="N824" s="0" t="n">
        <v>30</v>
      </c>
      <c r="O824" s="0" t="n">
        <v>57.43</v>
      </c>
      <c r="P824" s="0" t="s">
        <v>2444</v>
      </c>
    </row>
    <row r="825" customFormat="false" ht="15" hidden="false" customHeight="true" outlineLevel="0" collapsed="false">
      <c r="A825" s="0" t="n">
        <v>2</v>
      </c>
      <c r="B825" s="71" t="n">
        <v>46184</v>
      </c>
      <c r="C825" s="0" t="n">
        <v>11</v>
      </c>
      <c r="D825" s="0" t="s">
        <v>2471</v>
      </c>
      <c r="E825" s="0" t="n">
        <v>1636</v>
      </c>
      <c r="F825" s="0" t="s">
        <v>61</v>
      </c>
      <c r="I825" s="0" t="n">
        <v>3201284</v>
      </c>
      <c r="J825" s="0" t="n">
        <v>41944</v>
      </c>
      <c r="K825" s="0" t="n">
        <v>7891152801286</v>
      </c>
      <c r="L825" s="0" t="s">
        <v>2923</v>
      </c>
      <c r="N825" s="0" t="n">
        <v>30</v>
      </c>
      <c r="O825" s="0" t="n">
        <v>61.12</v>
      </c>
      <c r="P825" s="0" t="s">
        <v>2444</v>
      </c>
    </row>
    <row r="826" customFormat="false" ht="15" hidden="false" customHeight="true" outlineLevel="0" collapsed="false">
      <c r="A826" s="0" t="n">
        <v>2</v>
      </c>
      <c r="B826" s="71" t="n">
        <v>46184</v>
      </c>
      <c r="C826" s="0" t="n">
        <v>11</v>
      </c>
      <c r="D826" s="0" t="s">
        <v>2471</v>
      </c>
      <c r="E826" s="0" t="n">
        <v>1636</v>
      </c>
      <c r="F826" s="0" t="s">
        <v>61</v>
      </c>
      <c r="I826" s="0" t="n">
        <v>3201284</v>
      </c>
      <c r="J826" s="0" t="n">
        <v>41945</v>
      </c>
      <c r="K826" s="0" t="n">
        <v>7891152801323</v>
      </c>
      <c r="L826" s="0" t="s">
        <v>2924</v>
      </c>
      <c r="N826" s="0" t="n">
        <v>60</v>
      </c>
      <c r="O826" s="0" t="n">
        <v>114.85</v>
      </c>
      <c r="P826" s="0" t="s">
        <v>2444</v>
      </c>
    </row>
    <row r="827" customFormat="false" ht="15" hidden="false" customHeight="true" outlineLevel="0" collapsed="false">
      <c r="A827" s="0" t="n">
        <v>2</v>
      </c>
      <c r="B827" s="71" t="n">
        <v>46184</v>
      </c>
      <c r="C827" s="0" t="n">
        <v>11</v>
      </c>
      <c r="D827" s="0" t="s">
        <v>2471</v>
      </c>
      <c r="E827" s="0" t="n">
        <v>1636</v>
      </c>
      <c r="F827" s="0" t="s">
        <v>61</v>
      </c>
      <c r="I827" s="0" t="n">
        <v>3201284</v>
      </c>
      <c r="J827" s="0" t="n">
        <v>41947</v>
      </c>
      <c r="K827" s="0" t="n">
        <v>7891152801330</v>
      </c>
      <c r="L827" s="0" t="s">
        <v>2925</v>
      </c>
      <c r="N827" s="0" t="n">
        <v>60</v>
      </c>
      <c r="O827" s="0" t="n">
        <v>114.85</v>
      </c>
      <c r="P827" s="0" t="s">
        <v>2444</v>
      </c>
    </row>
    <row r="828" customFormat="false" ht="15" hidden="false" customHeight="true" outlineLevel="0" collapsed="false">
      <c r="A828" s="0" t="n">
        <v>2</v>
      </c>
      <c r="B828" s="71" t="n">
        <v>46184</v>
      </c>
      <c r="C828" s="0" t="n">
        <v>11</v>
      </c>
      <c r="D828" s="0" t="s">
        <v>2471</v>
      </c>
      <c r="E828" s="0" t="n">
        <v>1636</v>
      </c>
      <c r="F828" s="0" t="s">
        <v>61</v>
      </c>
      <c r="I828" s="0" t="n">
        <v>3201284</v>
      </c>
      <c r="J828" s="0" t="n">
        <v>44049</v>
      </c>
      <c r="K828" s="0" t="n">
        <v>7891152801378</v>
      </c>
      <c r="L828" s="0" t="s">
        <v>2926</v>
      </c>
      <c r="N828" s="0" t="n">
        <v>60</v>
      </c>
      <c r="O828" s="0" t="n">
        <v>114.85</v>
      </c>
      <c r="P828" s="0" t="s">
        <v>2444</v>
      </c>
    </row>
    <row r="829" customFormat="false" ht="15" hidden="false" customHeight="true" outlineLevel="0" collapsed="false">
      <c r="A829" s="0" t="n">
        <v>2</v>
      </c>
      <c r="B829" s="71" t="n">
        <v>46184</v>
      </c>
      <c r="C829" s="0" t="n">
        <v>11</v>
      </c>
      <c r="D829" s="0" t="s">
        <v>2471</v>
      </c>
      <c r="E829" s="0" t="n">
        <v>1636</v>
      </c>
      <c r="F829" s="0" t="s">
        <v>61</v>
      </c>
      <c r="I829" s="0" t="n">
        <v>3201284</v>
      </c>
      <c r="J829" s="0" t="n">
        <v>47894</v>
      </c>
      <c r="K829" s="0" t="n">
        <v>7891152801866</v>
      </c>
      <c r="L829" s="0" t="s">
        <v>2927</v>
      </c>
      <c r="N829" s="0" t="n">
        <v>120</v>
      </c>
      <c r="O829" s="0" t="n">
        <v>178.64</v>
      </c>
      <c r="P829" s="0" t="s">
        <v>2444</v>
      </c>
    </row>
    <row r="830" customFormat="false" ht="15" hidden="false" customHeight="true" outlineLevel="0" collapsed="false">
      <c r="A830" s="0" t="n">
        <v>2</v>
      </c>
      <c r="B830" s="71" t="n">
        <v>46184</v>
      </c>
      <c r="C830" s="0" t="n">
        <v>11</v>
      </c>
      <c r="D830" s="0" t="s">
        <v>2471</v>
      </c>
      <c r="E830" s="0" t="n">
        <v>1636</v>
      </c>
      <c r="F830" s="0" t="s">
        <v>61</v>
      </c>
      <c r="I830" s="0" t="n">
        <v>3201284</v>
      </c>
      <c r="J830" s="0" t="n">
        <v>48476</v>
      </c>
      <c r="K830" s="0" t="n">
        <v>7891152801880</v>
      </c>
      <c r="L830" s="0" t="s">
        <v>2928</v>
      </c>
      <c r="N830" s="0" t="n">
        <v>120</v>
      </c>
      <c r="O830" s="0" t="n">
        <v>178.64</v>
      </c>
      <c r="P830" s="0" t="s">
        <v>2444</v>
      </c>
    </row>
    <row r="831" customFormat="false" ht="15" hidden="false" customHeight="true" outlineLevel="0" collapsed="false">
      <c r="A831" s="0" t="n">
        <v>2</v>
      </c>
      <c r="B831" s="71" t="n">
        <v>46184</v>
      </c>
      <c r="C831" s="0" t="n">
        <v>11</v>
      </c>
      <c r="D831" s="0" t="s">
        <v>2471</v>
      </c>
      <c r="E831" s="0" t="n">
        <v>1636</v>
      </c>
      <c r="F831" s="0" t="s">
        <v>61</v>
      </c>
      <c r="I831" s="0" t="n">
        <v>3201284</v>
      </c>
      <c r="J831" s="0" t="n">
        <v>48477</v>
      </c>
      <c r="K831" s="0" t="n">
        <v>7891152801828</v>
      </c>
      <c r="L831" s="0" t="s">
        <v>2929</v>
      </c>
      <c r="N831" s="0" t="n">
        <v>36</v>
      </c>
      <c r="O831" s="0" t="n">
        <v>77.4</v>
      </c>
      <c r="P831" s="0" t="s">
        <v>2444</v>
      </c>
    </row>
    <row r="832" customFormat="false" ht="15" hidden="false" customHeight="true" outlineLevel="0" collapsed="false">
      <c r="A832" s="0" t="n">
        <v>2</v>
      </c>
      <c r="B832" s="71" t="n">
        <v>46184</v>
      </c>
      <c r="C832" s="0" t="n">
        <v>11</v>
      </c>
      <c r="D832" s="0" t="s">
        <v>2471</v>
      </c>
      <c r="E832" s="0" t="n">
        <v>1636</v>
      </c>
      <c r="F832" s="0" t="s">
        <v>61</v>
      </c>
      <c r="I832" s="0" t="n">
        <v>3201284</v>
      </c>
      <c r="J832" s="0" t="n">
        <v>48478</v>
      </c>
      <c r="K832" s="0" t="n">
        <v>7891152801811</v>
      </c>
      <c r="L832" s="0" t="s">
        <v>2930</v>
      </c>
      <c r="N832" s="0" t="n">
        <v>36</v>
      </c>
      <c r="O832" s="0" t="n">
        <v>77.4</v>
      </c>
      <c r="P832" s="0" t="s">
        <v>2444</v>
      </c>
    </row>
    <row r="833" customFormat="false" ht="15" hidden="false" customHeight="true" outlineLevel="0" collapsed="false">
      <c r="A833" s="0" t="n">
        <v>2</v>
      </c>
      <c r="B833" s="71" t="n">
        <v>46184</v>
      </c>
      <c r="C833" s="0" t="n">
        <v>11</v>
      </c>
      <c r="D833" s="0" t="s">
        <v>2471</v>
      </c>
      <c r="E833" s="0" t="n">
        <v>1636</v>
      </c>
      <c r="F833" s="0" t="s">
        <v>61</v>
      </c>
      <c r="I833" s="0" t="n">
        <v>3201284</v>
      </c>
      <c r="J833" s="0" t="n">
        <v>48697</v>
      </c>
      <c r="K833" s="0" t="n">
        <v>7891152801804</v>
      </c>
      <c r="L833" s="0" t="s">
        <v>2931</v>
      </c>
      <c r="N833" s="0" t="n">
        <v>36</v>
      </c>
      <c r="O833" s="0" t="n">
        <v>77.4</v>
      </c>
      <c r="P833" s="0" t="s">
        <v>2444</v>
      </c>
    </row>
    <row r="834" customFormat="false" ht="15" hidden="false" customHeight="true" outlineLevel="0" collapsed="false">
      <c r="A834" s="0" t="n">
        <v>2</v>
      </c>
      <c r="B834" s="71" t="n">
        <v>46184</v>
      </c>
      <c r="C834" s="0" t="n">
        <v>11</v>
      </c>
      <c r="D834" s="0" t="s">
        <v>2471</v>
      </c>
      <c r="E834" s="0" t="n">
        <v>1636</v>
      </c>
      <c r="F834" s="0" t="s">
        <v>61</v>
      </c>
      <c r="I834" s="0" t="n">
        <v>3201284</v>
      </c>
      <c r="J834" s="0" t="n">
        <v>48698</v>
      </c>
      <c r="K834" s="0" t="n">
        <v>7891152801781</v>
      </c>
      <c r="L834" s="0" t="s">
        <v>2932</v>
      </c>
      <c r="N834" s="0" t="n">
        <v>180</v>
      </c>
      <c r="O834" s="0" t="n">
        <v>387</v>
      </c>
      <c r="P834" s="0" t="s">
        <v>2444</v>
      </c>
    </row>
    <row r="835" customFormat="false" ht="15" hidden="false" customHeight="true" outlineLevel="0" collapsed="false">
      <c r="A835" s="0" t="n">
        <v>2</v>
      </c>
      <c r="B835" s="71" t="n">
        <v>46184</v>
      </c>
      <c r="C835" s="0" t="n">
        <v>11</v>
      </c>
      <c r="D835" s="0" t="s">
        <v>2471</v>
      </c>
      <c r="E835" s="0" t="n">
        <v>1636</v>
      </c>
      <c r="F835" s="0" t="s">
        <v>61</v>
      </c>
      <c r="I835" s="0" t="n">
        <v>3201284</v>
      </c>
      <c r="J835" s="0" t="n">
        <v>48699</v>
      </c>
      <c r="K835" s="0" t="n">
        <v>7891152801842</v>
      </c>
      <c r="L835" s="0" t="s">
        <v>2933</v>
      </c>
      <c r="N835" s="0" t="n">
        <v>180</v>
      </c>
      <c r="O835" s="0" t="n">
        <v>387</v>
      </c>
      <c r="P835" s="0" t="s">
        <v>2444</v>
      </c>
    </row>
    <row r="836" customFormat="false" ht="15" hidden="false" customHeight="true" outlineLevel="0" collapsed="false">
      <c r="A836" s="0" t="n">
        <v>2</v>
      </c>
      <c r="B836" s="71" t="n">
        <v>46184</v>
      </c>
      <c r="C836" s="0" t="n">
        <v>11</v>
      </c>
      <c r="D836" s="0" t="s">
        <v>2471</v>
      </c>
      <c r="E836" s="0" t="n">
        <v>1636</v>
      </c>
      <c r="F836" s="0" t="s">
        <v>61</v>
      </c>
      <c r="I836" s="0" t="n">
        <v>3201284</v>
      </c>
      <c r="J836" s="0" t="n">
        <v>48867</v>
      </c>
      <c r="K836" s="0" t="n">
        <v>7891152801798</v>
      </c>
      <c r="L836" s="0" t="s">
        <v>2934</v>
      </c>
      <c r="N836" s="0" t="n">
        <v>72</v>
      </c>
      <c r="O836" s="0" t="n">
        <v>154.8</v>
      </c>
      <c r="P836" s="0" t="s">
        <v>2444</v>
      </c>
    </row>
    <row r="837" customFormat="false" ht="15" hidden="false" customHeight="true" outlineLevel="0" collapsed="false">
      <c r="A837" s="0" t="n">
        <v>2</v>
      </c>
      <c r="B837" s="71" t="n">
        <v>46184</v>
      </c>
      <c r="C837" s="0" t="n">
        <v>11</v>
      </c>
      <c r="D837" s="0" t="s">
        <v>2471</v>
      </c>
      <c r="E837" s="0" t="n">
        <v>1636</v>
      </c>
      <c r="F837" s="0" t="s">
        <v>61</v>
      </c>
      <c r="I837" s="0" t="n">
        <v>3201284</v>
      </c>
      <c r="J837" s="0" t="n">
        <v>48919</v>
      </c>
      <c r="K837" s="0" t="n">
        <v>7891152801873</v>
      </c>
      <c r="L837" s="0" t="s">
        <v>2935</v>
      </c>
      <c r="N837" s="0" t="n">
        <v>80</v>
      </c>
      <c r="O837" s="0" t="n">
        <v>119.1</v>
      </c>
      <c r="P837" s="0" t="s">
        <v>2444</v>
      </c>
    </row>
    <row r="838" customFormat="false" ht="15" hidden="false" customHeight="true" outlineLevel="0" collapsed="false">
      <c r="A838" s="0" t="n">
        <v>2</v>
      </c>
      <c r="B838" s="71" t="n">
        <v>46184</v>
      </c>
      <c r="C838" s="0" t="n">
        <v>11</v>
      </c>
      <c r="D838" s="0" t="s">
        <v>2471</v>
      </c>
      <c r="E838" s="0" t="n">
        <v>1636</v>
      </c>
      <c r="F838" s="0" t="s">
        <v>61</v>
      </c>
      <c r="I838" s="0" t="n">
        <v>3201284</v>
      </c>
      <c r="J838" s="0" t="n">
        <v>49326</v>
      </c>
      <c r="K838" s="0" t="n">
        <v>7891152801835</v>
      </c>
      <c r="L838" s="0" t="s">
        <v>2936</v>
      </c>
      <c r="N838" s="0" t="n">
        <v>36</v>
      </c>
      <c r="O838" s="0" t="n">
        <v>77.4</v>
      </c>
      <c r="P838" s="0" t="s">
        <v>2444</v>
      </c>
    </row>
    <row r="839" customFormat="false" ht="15" hidden="false" customHeight="true" outlineLevel="0" collapsed="false">
      <c r="A839" s="0" t="n">
        <v>2</v>
      </c>
      <c r="B839" s="71" t="n">
        <v>46184</v>
      </c>
      <c r="C839" s="0" t="n">
        <v>11</v>
      </c>
      <c r="D839" s="0" t="s">
        <v>2471</v>
      </c>
      <c r="E839" s="0" t="n">
        <v>1636</v>
      </c>
      <c r="F839" s="0" t="s">
        <v>61</v>
      </c>
      <c r="I839" s="0" t="n">
        <v>3201284</v>
      </c>
      <c r="J839" s="0" t="n">
        <v>52434</v>
      </c>
      <c r="K839" s="0" t="n">
        <v>7891152801965</v>
      </c>
      <c r="L839" s="0" t="s">
        <v>2937</v>
      </c>
      <c r="N839" s="0" t="n">
        <v>36</v>
      </c>
      <c r="O839" s="0" t="n">
        <v>77.4</v>
      </c>
      <c r="P839" s="0" t="s">
        <v>2444</v>
      </c>
    </row>
    <row r="840" customFormat="false" ht="15" hidden="false" customHeight="true" outlineLevel="0" collapsed="false">
      <c r="A840" s="0" t="n">
        <v>2</v>
      </c>
      <c r="B840" s="71" t="n">
        <v>46184</v>
      </c>
      <c r="C840" s="0" t="n">
        <v>11</v>
      </c>
      <c r="D840" s="0" t="s">
        <v>2471</v>
      </c>
      <c r="E840" s="0" t="n">
        <v>1636</v>
      </c>
      <c r="F840" s="0" t="s">
        <v>61</v>
      </c>
      <c r="I840" s="0" t="n">
        <v>3201284</v>
      </c>
      <c r="J840" s="0" t="n">
        <v>53055</v>
      </c>
      <c r="K840" s="0" t="n">
        <v>7891152801972</v>
      </c>
      <c r="L840" s="0" t="s">
        <v>2938</v>
      </c>
      <c r="N840" s="0" t="n">
        <v>36</v>
      </c>
      <c r="O840" s="0" t="n">
        <v>77.4</v>
      </c>
      <c r="P840" s="0" t="s">
        <v>2444</v>
      </c>
    </row>
    <row r="841" customFormat="false" ht="15" hidden="false" customHeight="true" outlineLevel="0" collapsed="false">
      <c r="A841" s="0" t="n">
        <v>2</v>
      </c>
      <c r="B841" s="71" t="n">
        <v>46184</v>
      </c>
      <c r="C841" s="0" t="n">
        <v>11</v>
      </c>
      <c r="D841" s="0" t="s">
        <v>2471</v>
      </c>
      <c r="E841" s="0" t="n">
        <v>1636</v>
      </c>
      <c r="F841" s="0" t="s">
        <v>61</v>
      </c>
      <c r="I841" s="0" t="n">
        <v>3201284</v>
      </c>
      <c r="J841" s="0" t="n">
        <v>54605</v>
      </c>
      <c r="K841" s="0" t="n">
        <v>7891331018191</v>
      </c>
      <c r="L841" s="0" t="s">
        <v>2939</v>
      </c>
      <c r="N841" s="0" t="n">
        <v>12</v>
      </c>
      <c r="O841" s="0" t="n">
        <v>54.58</v>
      </c>
      <c r="P841" s="0" t="s">
        <v>2444</v>
      </c>
    </row>
    <row r="842" customFormat="false" ht="15" hidden="false" customHeight="true" outlineLevel="0" collapsed="false">
      <c r="A842" s="0" t="n">
        <v>2</v>
      </c>
      <c r="B842" s="71" t="n">
        <v>46184</v>
      </c>
      <c r="C842" s="0" t="n">
        <v>11</v>
      </c>
      <c r="D842" s="0" t="s">
        <v>2471</v>
      </c>
      <c r="E842" s="0" t="n">
        <v>1636</v>
      </c>
      <c r="F842" s="0" t="s">
        <v>61</v>
      </c>
      <c r="I842" s="0" t="n">
        <v>3201284</v>
      </c>
      <c r="J842" s="0" t="n">
        <v>55061</v>
      </c>
      <c r="K842" s="0" t="n">
        <v>7891331018207</v>
      </c>
      <c r="L842" s="0" t="s">
        <v>2940</v>
      </c>
      <c r="N842" s="0" t="n">
        <v>12</v>
      </c>
      <c r="O842" s="0" t="n">
        <v>54.58</v>
      </c>
      <c r="P842" s="0" t="s">
        <v>2444</v>
      </c>
    </row>
    <row r="843" customFormat="false" ht="15" hidden="false" customHeight="true" outlineLevel="0" collapsed="false">
      <c r="A843" s="0" t="n">
        <v>2</v>
      </c>
      <c r="B843" s="71" t="n">
        <v>46184</v>
      </c>
      <c r="C843" s="0" t="n">
        <v>11</v>
      </c>
      <c r="D843" s="0" t="s">
        <v>2471</v>
      </c>
      <c r="E843" s="0" t="n">
        <v>1636</v>
      </c>
      <c r="F843" s="0" t="s">
        <v>61</v>
      </c>
      <c r="I843" s="0" t="n">
        <v>3201284</v>
      </c>
      <c r="J843" s="0" t="n">
        <v>55062</v>
      </c>
      <c r="K843" s="0" t="n">
        <v>7891331018184</v>
      </c>
      <c r="L843" s="0" t="s">
        <v>2941</v>
      </c>
      <c r="N843" s="0" t="n">
        <v>12</v>
      </c>
      <c r="O843" s="0" t="n">
        <v>54.58</v>
      </c>
      <c r="P843" s="0" t="s">
        <v>2444</v>
      </c>
    </row>
    <row r="844" customFormat="false" ht="15" hidden="false" customHeight="true" outlineLevel="0" collapsed="false">
      <c r="A844" s="0" t="n">
        <v>2</v>
      </c>
      <c r="B844" s="71" t="n">
        <v>46184</v>
      </c>
      <c r="C844" s="0" t="n">
        <v>11</v>
      </c>
      <c r="D844" s="0" t="s">
        <v>2471</v>
      </c>
      <c r="E844" s="0" t="n">
        <v>1636</v>
      </c>
      <c r="F844" s="0" t="s">
        <v>61</v>
      </c>
      <c r="I844" s="0" t="n">
        <v>3201284</v>
      </c>
      <c r="J844" s="0" t="n">
        <v>55701</v>
      </c>
      <c r="K844" s="0" t="n">
        <v>7891331018153</v>
      </c>
      <c r="L844" s="0" t="s">
        <v>2942</v>
      </c>
      <c r="N844" s="0" t="n">
        <v>12</v>
      </c>
      <c r="O844" s="0" t="n">
        <v>54.58</v>
      </c>
      <c r="P844" s="0" t="s">
        <v>2444</v>
      </c>
    </row>
    <row r="845" customFormat="false" ht="15" hidden="false" customHeight="true" outlineLevel="0" collapsed="false">
      <c r="A845" s="0" t="n">
        <v>2</v>
      </c>
      <c r="B845" s="71" t="n">
        <v>46184</v>
      </c>
      <c r="C845" s="0" t="n">
        <v>11</v>
      </c>
      <c r="D845" s="0" t="s">
        <v>2471</v>
      </c>
      <c r="E845" s="0" t="n">
        <v>1636</v>
      </c>
      <c r="F845" s="0" t="s">
        <v>61</v>
      </c>
      <c r="I845" s="0" t="n">
        <v>3201284</v>
      </c>
      <c r="J845" s="0" t="n">
        <v>78370</v>
      </c>
      <c r="K845" s="0" t="n">
        <v>7891152802597</v>
      </c>
      <c r="L845" s="0" t="s">
        <v>2943</v>
      </c>
      <c r="N845" s="0" t="n">
        <v>36</v>
      </c>
      <c r="O845" s="0" t="n">
        <v>77.4</v>
      </c>
      <c r="P845" s="0" t="s">
        <v>2444</v>
      </c>
    </row>
    <row r="846" customFormat="false" ht="15" hidden="false" customHeight="true" outlineLevel="0" collapsed="false">
      <c r="A846" s="0" t="n">
        <v>2</v>
      </c>
      <c r="B846" s="71" t="n">
        <v>46184</v>
      </c>
      <c r="C846" s="0" t="n">
        <v>11</v>
      </c>
      <c r="D846" s="0" t="s">
        <v>2471</v>
      </c>
      <c r="E846" s="0" t="n">
        <v>1636</v>
      </c>
      <c r="F846" s="0" t="s">
        <v>61</v>
      </c>
      <c r="I846" s="0" t="n">
        <v>3201284</v>
      </c>
      <c r="J846" s="0" t="n">
        <v>78371</v>
      </c>
      <c r="K846" s="0" t="n">
        <v>7891152802641</v>
      </c>
      <c r="L846" s="0" t="s">
        <v>2944</v>
      </c>
      <c r="N846" s="0" t="n">
        <v>36</v>
      </c>
      <c r="O846" s="0" t="n">
        <v>77.4</v>
      </c>
      <c r="P846" s="0" t="s">
        <v>2444</v>
      </c>
    </row>
    <row r="847" customFormat="false" ht="15" hidden="false" customHeight="true" outlineLevel="0" collapsed="false">
      <c r="A847" s="0" t="n">
        <v>2</v>
      </c>
      <c r="B847" s="71" t="n">
        <v>46185</v>
      </c>
      <c r="C847" s="0" t="n">
        <v>1</v>
      </c>
      <c r="D847" s="0" t="s">
        <v>2442</v>
      </c>
      <c r="E847" s="0" t="n">
        <v>1899</v>
      </c>
      <c r="F847" s="0" t="s">
        <v>204</v>
      </c>
      <c r="I847" s="0" t="n">
        <v>664</v>
      </c>
      <c r="J847" s="0" t="n">
        <v>44588</v>
      </c>
      <c r="K847" s="0" t="n">
        <v>7898904331091</v>
      </c>
      <c r="L847" s="0" t="s">
        <v>2443</v>
      </c>
      <c r="N847" s="0" t="n">
        <v>10</v>
      </c>
      <c r="O847" s="0" t="n">
        <v>49.9</v>
      </c>
      <c r="P847" s="0" t="s">
        <v>2444</v>
      </c>
    </row>
    <row r="848" customFormat="false" ht="15" hidden="false" customHeight="true" outlineLevel="0" collapsed="false">
      <c r="A848" s="0" t="n">
        <v>2</v>
      </c>
      <c r="B848" s="71" t="n">
        <v>46185</v>
      </c>
      <c r="C848" s="0" t="n">
        <v>1</v>
      </c>
      <c r="D848" s="0" t="s">
        <v>2442</v>
      </c>
      <c r="E848" s="0" t="n">
        <v>1899</v>
      </c>
      <c r="F848" s="0" t="s">
        <v>204</v>
      </c>
      <c r="I848" s="0" t="n">
        <v>664</v>
      </c>
      <c r="J848" s="0" t="n">
        <v>77463</v>
      </c>
      <c r="K848" s="0" t="n">
        <v>774642</v>
      </c>
      <c r="L848" s="0" t="s">
        <v>2445</v>
      </c>
      <c r="N848" s="0" t="n">
        <v>30</v>
      </c>
      <c r="O848" s="0" t="n">
        <v>135</v>
      </c>
      <c r="P848" s="0" t="s">
        <v>2444</v>
      </c>
    </row>
    <row r="849" customFormat="false" ht="15" hidden="false" customHeight="true" outlineLevel="0" collapsed="false">
      <c r="A849" s="0" t="n">
        <v>2</v>
      </c>
      <c r="B849" s="71" t="n">
        <v>46185</v>
      </c>
      <c r="C849" s="0" t="n">
        <v>1</v>
      </c>
      <c r="D849" s="0" t="s">
        <v>2442</v>
      </c>
      <c r="E849" s="0" t="n">
        <v>1899</v>
      </c>
      <c r="F849" s="0" t="s">
        <v>204</v>
      </c>
      <c r="I849" s="0" t="n">
        <v>664</v>
      </c>
      <c r="J849" s="0" t="n">
        <v>77465</v>
      </c>
      <c r="K849" s="0" t="n">
        <v>774666</v>
      </c>
      <c r="L849" s="0" t="s">
        <v>2446</v>
      </c>
      <c r="N849" s="0" t="n">
        <v>20</v>
      </c>
      <c r="O849" s="0" t="n">
        <v>99.8</v>
      </c>
      <c r="P849" s="0" t="s">
        <v>2444</v>
      </c>
    </row>
    <row r="850" customFormat="false" ht="15" hidden="false" customHeight="true" outlineLevel="0" collapsed="false">
      <c r="A850" s="0" t="n">
        <v>2</v>
      </c>
      <c r="B850" s="71" t="n">
        <v>46185</v>
      </c>
      <c r="C850" s="0" t="n">
        <v>1</v>
      </c>
      <c r="D850" s="0" t="s">
        <v>2442</v>
      </c>
      <c r="E850" s="0" t="n">
        <v>1899</v>
      </c>
      <c r="F850" s="0" t="s">
        <v>204</v>
      </c>
      <c r="I850" s="0" t="n">
        <v>664</v>
      </c>
      <c r="J850" s="0" t="n">
        <v>77903</v>
      </c>
      <c r="K850" s="0" t="n">
        <v>779043</v>
      </c>
      <c r="L850" s="0" t="s">
        <v>2945</v>
      </c>
      <c r="N850" s="0" t="n">
        <v>5</v>
      </c>
      <c r="O850" s="0" t="n">
        <v>22.5</v>
      </c>
      <c r="P850" s="0" t="s">
        <v>2444</v>
      </c>
    </row>
    <row r="851" customFormat="false" ht="15" hidden="false" customHeight="true" outlineLevel="0" collapsed="false">
      <c r="A851" s="0" t="n">
        <v>2</v>
      </c>
      <c r="B851" s="71" t="n">
        <v>46185</v>
      </c>
      <c r="C851" s="0" t="n">
        <v>1</v>
      </c>
      <c r="D851" s="0" t="s">
        <v>2442</v>
      </c>
      <c r="E851" s="0" t="n">
        <v>1899</v>
      </c>
      <c r="F851" s="0" t="s">
        <v>204</v>
      </c>
      <c r="I851" s="0" t="n">
        <v>664</v>
      </c>
      <c r="J851" s="0" t="n">
        <v>78013</v>
      </c>
      <c r="K851" s="0" t="n">
        <v>780148</v>
      </c>
      <c r="L851" s="0" t="s">
        <v>2584</v>
      </c>
      <c r="N851" s="0" t="n">
        <v>5</v>
      </c>
      <c r="O851" s="0" t="n">
        <v>22.5</v>
      </c>
      <c r="P851" s="0" t="s">
        <v>2444</v>
      </c>
    </row>
    <row r="852" customFormat="false" ht="15" hidden="false" customHeight="true" outlineLevel="0" collapsed="false">
      <c r="A852" s="0" t="n">
        <v>2</v>
      </c>
      <c r="B852" s="71" t="n">
        <v>46185</v>
      </c>
      <c r="C852" s="0" t="n">
        <v>1</v>
      </c>
      <c r="D852" s="0" t="s">
        <v>2442</v>
      </c>
      <c r="E852" s="0" t="n">
        <v>1899</v>
      </c>
      <c r="F852" s="0" t="s">
        <v>204</v>
      </c>
      <c r="I852" s="0" t="n">
        <v>664</v>
      </c>
      <c r="J852" s="0" t="n">
        <v>78015</v>
      </c>
      <c r="K852" s="0" t="n">
        <v>780162</v>
      </c>
      <c r="L852" s="0" t="s">
        <v>2447</v>
      </c>
      <c r="N852" s="0" t="n">
        <v>10</v>
      </c>
      <c r="O852" s="0" t="n">
        <v>49.9</v>
      </c>
      <c r="P852" s="0" t="s">
        <v>2444</v>
      </c>
    </row>
    <row r="853" customFormat="false" ht="15" hidden="false" customHeight="true" outlineLevel="0" collapsed="false">
      <c r="A853" s="0" t="n">
        <v>2</v>
      </c>
      <c r="B853" s="71" t="n">
        <v>46185</v>
      </c>
      <c r="C853" s="0" t="n">
        <v>1</v>
      </c>
      <c r="D853" s="0" t="s">
        <v>2442</v>
      </c>
      <c r="E853" s="0" t="n">
        <v>1328</v>
      </c>
      <c r="F853" s="0" t="s">
        <v>95</v>
      </c>
      <c r="I853" s="0" t="n">
        <v>3741</v>
      </c>
      <c r="J853" s="0" t="n">
        <v>50310</v>
      </c>
      <c r="K853" s="0" t="n">
        <v>7898588380101</v>
      </c>
      <c r="L853" s="0" t="s">
        <v>2502</v>
      </c>
      <c r="N853" s="0" t="n">
        <v>2</v>
      </c>
      <c r="O853" s="0" t="n">
        <v>15.4</v>
      </c>
      <c r="P853" s="0" t="s">
        <v>2444</v>
      </c>
    </row>
    <row r="854" customFormat="false" ht="15" hidden="false" customHeight="true" outlineLevel="0" collapsed="false">
      <c r="A854" s="0" t="n">
        <v>2</v>
      </c>
      <c r="B854" s="71" t="n">
        <v>46185</v>
      </c>
      <c r="C854" s="0" t="n">
        <v>1</v>
      </c>
      <c r="D854" s="0" t="s">
        <v>2442</v>
      </c>
      <c r="E854" s="0" t="n">
        <v>1328</v>
      </c>
      <c r="F854" s="0" t="s">
        <v>95</v>
      </c>
      <c r="I854" s="0" t="n">
        <v>3741</v>
      </c>
      <c r="J854" s="0" t="n">
        <v>21045</v>
      </c>
      <c r="K854" s="0" t="n">
        <v>7898588380255</v>
      </c>
      <c r="L854" s="0" t="s">
        <v>2503</v>
      </c>
      <c r="N854" s="0" t="n">
        <v>2</v>
      </c>
      <c r="O854" s="0" t="n">
        <v>11.44</v>
      </c>
      <c r="P854" s="0" t="s">
        <v>2444</v>
      </c>
    </row>
    <row r="855" customFormat="false" ht="15" hidden="false" customHeight="true" outlineLevel="0" collapsed="false">
      <c r="A855" s="0" t="n">
        <v>2</v>
      </c>
      <c r="B855" s="71" t="n">
        <v>46185</v>
      </c>
      <c r="C855" s="0" t="n">
        <v>1</v>
      </c>
      <c r="D855" s="0" t="s">
        <v>2442</v>
      </c>
      <c r="E855" s="0" t="n">
        <v>1328</v>
      </c>
      <c r="F855" s="0" t="s">
        <v>95</v>
      </c>
      <c r="I855" s="0" t="n">
        <v>3741</v>
      </c>
      <c r="J855" s="0" t="n">
        <v>21060</v>
      </c>
      <c r="K855" s="0" t="n">
        <v>7898588380118</v>
      </c>
      <c r="L855" s="0" t="s">
        <v>2504</v>
      </c>
      <c r="N855" s="0" t="n">
        <v>10</v>
      </c>
      <c r="O855" s="0" t="n">
        <v>70</v>
      </c>
      <c r="P855" s="0" t="s">
        <v>2444</v>
      </c>
    </row>
    <row r="856" customFormat="false" ht="15" hidden="false" customHeight="true" outlineLevel="0" collapsed="false">
      <c r="A856" s="0" t="n">
        <v>2</v>
      </c>
      <c r="B856" s="71" t="n">
        <v>46185</v>
      </c>
      <c r="C856" s="0" t="n">
        <v>1</v>
      </c>
      <c r="D856" s="0" t="s">
        <v>2442</v>
      </c>
      <c r="E856" s="0" t="n">
        <v>1328</v>
      </c>
      <c r="F856" s="0" t="s">
        <v>95</v>
      </c>
      <c r="I856" s="0" t="n">
        <v>3741</v>
      </c>
      <c r="J856" s="0" t="n">
        <v>31789</v>
      </c>
      <c r="K856" s="0" t="n">
        <v>7898588380149</v>
      </c>
      <c r="L856" s="0" t="s">
        <v>2446</v>
      </c>
      <c r="N856" s="0" t="n">
        <v>2</v>
      </c>
      <c r="O856" s="0" t="n">
        <v>11.44</v>
      </c>
      <c r="P856" s="0" t="s">
        <v>2444</v>
      </c>
    </row>
    <row r="857" customFormat="false" ht="15" hidden="false" customHeight="true" outlineLevel="0" collapsed="false">
      <c r="A857" s="0" t="n">
        <v>2</v>
      </c>
      <c r="B857" s="71" t="n">
        <v>46185</v>
      </c>
      <c r="C857" s="0" t="n">
        <v>1</v>
      </c>
      <c r="D857" s="0" t="s">
        <v>2442</v>
      </c>
      <c r="E857" s="0" t="n">
        <v>1328</v>
      </c>
      <c r="F857" s="0" t="s">
        <v>95</v>
      </c>
      <c r="I857" s="0" t="n">
        <v>3741</v>
      </c>
      <c r="J857" s="0" t="n">
        <v>31782</v>
      </c>
      <c r="K857" s="0" t="n">
        <v>7898588380132</v>
      </c>
      <c r="L857" s="0" t="s">
        <v>2505</v>
      </c>
      <c r="N857" s="0" t="n">
        <v>2</v>
      </c>
      <c r="O857" s="0" t="n">
        <v>11.44</v>
      </c>
      <c r="P857" s="0" t="s">
        <v>2444</v>
      </c>
    </row>
    <row r="858" customFormat="false" ht="15" hidden="false" customHeight="true" outlineLevel="0" collapsed="false">
      <c r="A858" s="0" t="n">
        <v>2</v>
      </c>
      <c r="B858" s="71" t="n">
        <v>46185</v>
      </c>
      <c r="C858" s="0" t="n">
        <v>1</v>
      </c>
      <c r="D858" s="0" t="s">
        <v>2442</v>
      </c>
      <c r="E858" s="0" t="n">
        <v>1328</v>
      </c>
      <c r="F858" s="0" t="s">
        <v>95</v>
      </c>
      <c r="I858" s="0" t="n">
        <v>3741</v>
      </c>
      <c r="J858" s="0" t="n">
        <v>31784</v>
      </c>
      <c r="K858" s="0" t="n">
        <v>7898588380545</v>
      </c>
      <c r="L858" s="0" t="s">
        <v>2590</v>
      </c>
      <c r="N858" s="0" t="n">
        <v>2</v>
      </c>
      <c r="O858" s="0" t="n">
        <v>11.44</v>
      </c>
      <c r="P858" s="0" t="s">
        <v>2444</v>
      </c>
    </row>
    <row r="859" customFormat="false" ht="15" hidden="false" customHeight="true" outlineLevel="0" collapsed="false">
      <c r="A859" s="0" t="n">
        <v>2</v>
      </c>
      <c r="B859" s="71" t="n">
        <v>46185</v>
      </c>
      <c r="C859" s="0" t="n">
        <v>1</v>
      </c>
      <c r="D859" s="0" t="s">
        <v>2442</v>
      </c>
      <c r="E859" s="0" t="n">
        <v>1328</v>
      </c>
      <c r="F859" s="0" t="s">
        <v>95</v>
      </c>
      <c r="I859" s="0" t="n">
        <v>3741</v>
      </c>
      <c r="J859" s="0" t="n">
        <v>31786</v>
      </c>
      <c r="K859" s="0" t="n">
        <v>7898588380187</v>
      </c>
      <c r="L859" s="0" t="s">
        <v>2506</v>
      </c>
      <c r="N859" s="0" t="n">
        <v>3</v>
      </c>
      <c r="O859" s="0" t="n">
        <v>17.16</v>
      </c>
      <c r="P859" s="0" t="s">
        <v>2444</v>
      </c>
    </row>
    <row r="860" customFormat="false" ht="15" hidden="false" customHeight="true" outlineLevel="0" collapsed="false">
      <c r="A860" s="0" t="n">
        <v>2</v>
      </c>
      <c r="B860" s="71" t="n">
        <v>46185</v>
      </c>
      <c r="C860" s="0" t="n">
        <v>1</v>
      </c>
      <c r="D860" s="0" t="s">
        <v>2442</v>
      </c>
      <c r="E860" s="0" t="n">
        <v>1328</v>
      </c>
      <c r="F860" s="0" t="s">
        <v>95</v>
      </c>
      <c r="I860" s="0" t="n">
        <v>3741</v>
      </c>
      <c r="J860" s="0" t="n">
        <v>31787</v>
      </c>
      <c r="K860" s="0" t="n">
        <v>7898588380125</v>
      </c>
      <c r="L860" s="0" t="s">
        <v>2507</v>
      </c>
      <c r="N860" s="0" t="n">
        <v>3</v>
      </c>
      <c r="O860" s="0" t="n">
        <v>25.2</v>
      </c>
      <c r="P860" s="0" t="s">
        <v>2444</v>
      </c>
    </row>
    <row r="861" customFormat="false" ht="15" hidden="false" customHeight="true" outlineLevel="0" collapsed="false">
      <c r="A861" s="0" t="n">
        <v>2</v>
      </c>
      <c r="B861" s="71" t="n">
        <v>46185</v>
      </c>
      <c r="C861" s="0" t="n">
        <v>1</v>
      </c>
      <c r="D861" s="0" t="s">
        <v>2442</v>
      </c>
      <c r="E861" s="0" t="n">
        <v>1328</v>
      </c>
      <c r="F861" s="0" t="s">
        <v>95</v>
      </c>
      <c r="I861" s="0" t="n">
        <v>3741</v>
      </c>
      <c r="J861" s="0" t="n">
        <v>31790</v>
      </c>
      <c r="K861" s="0" t="n">
        <v>7898588380231</v>
      </c>
      <c r="L861" s="0" t="s">
        <v>2508</v>
      </c>
      <c r="N861" s="0" t="n">
        <v>2</v>
      </c>
      <c r="O861" s="0" t="n">
        <v>11.44</v>
      </c>
      <c r="P861" s="0" t="s">
        <v>2444</v>
      </c>
    </row>
    <row r="862" customFormat="false" ht="15" hidden="false" customHeight="true" outlineLevel="0" collapsed="false">
      <c r="A862" s="0" t="n">
        <v>2</v>
      </c>
      <c r="B862" s="71" t="n">
        <v>46185</v>
      </c>
      <c r="C862" s="0" t="n">
        <v>1</v>
      </c>
      <c r="D862" s="0" t="s">
        <v>2442</v>
      </c>
      <c r="E862" s="0" t="n">
        <v>581</v>
      </c>
      <c r="F862" s="0" t="s">
        <v>147</v>
      </c>
      <c r="I862" s="0" t="n">
        <v>30896</v>
      </c>
      <c r="J862" s="0" t="n">
        <v>48008</v>
      </c>
      <c r="K862" s="0" t="n">
        <v>798190027999</v>
      </c>
      <c r="L862" s="0" t="s">
        <v>2579</v>
      </c>
      <c r="N862" s="0" t="n">
        <v>15</v>
      </c>
      <c r="O862" s="0" t="n">
        <v>97.5</v>
      </c>
      <c r="P862" s="0" t="s">
        <v>2444</v>
      </c>
    </row>
    <row r="863" customFormat="false" ht="15" hidden="false" customHeight="true" outlineLevel="0" collapsed="false">
      <c r="A863" s="0" t="n">
        <v>2</v>
      </c>
      <c r="B863" s="71" t="n">
        <v>46185</v>
      </c>
      <c r="C863" s="0" t="n">
        <v>1</v>
      </c>
      <c r="D863" s="0" t="s">
        <v>2442</v>
      </c>
      <c r="E863" s="0" t="n">
        <v>581</v>
      </c>
      <c r="F863" s="0" t="s">
        <v>147</v>
      </c>
      <c r="I863" s="0" t="n">
        <v>30896</v>
      </c>
      <c r="J863" s="0" t="n">
        <v>48009</v>
      </c>
      <c r="K863" s="0" t="n">
        <v>798190028002</v>
      </c>
      <c r="L863" s="0" t="s">
        <v>2580</v>
      </c>
      <c r="N863" s="0" t="n">
        <v>20</v>
      </c>
      <c r="O863" s="0" t="n">
        <v>69</v>
      </c>
      <c r="P863" s="0" t="s">
        <v>2444</v>
      </c>
    </row>
    <row r="864" customFormat="false" ht="15" hidden="false" customHeight="true" outlineLevel="0" collapsed="false">
      <c r="A864" s="0" t="n">
        <v>2</v>
      </c>
      <c r="B864" s="71" t="n">
        <v>46185</v>
      </c>
      <c r="C864" s="0" t="n">
        <v>1</v>
      </c>
      <c r="D864" s="0" t="s">
        <v>2442</v>
      </c>
      <c r="E864" s="0" t="n">
        <v>581</v>
      </c>
      <c r="F864" s="0" t="s">
        <v>147</v>
      </c>
      <c r="I864" s="0" t="n">
        <v>30896</v>
      </c>
      <c r="J864" s="0" t="n">
        <v>48380</v>
      </c>
      <c r="K864" s="0" t="n">
        <v>798190189116</v>
      </c>
      <c r="L864" s="0" t="s">
        <v>2946</v>
      </c>
      <c r="N864" s="0" t="n">
        <v>10</v>
      </c>
      <c r="O864" s="0" t="n">
        <v>65</v>
      </c>
      <c r="P864" s="0" t="s">
        <v>2444</v>
      </c>
    </row>
    <row r="865" customFormat="false" ht="15" hidden="false" customHeight="true" outlineLevel="0" collapsed="false">
      <c r="A865" s="0" t="n">
        <v>2</v>
      </c>
      <c r="B865" s="71" t="n">
        <v>46185</v>
      </c>
      <c r="C865" s="0" t="n">
        <v>1</v>
      </c>
      <c r="D865" s="0" t="s">
        <v>2442</v>
      </c>
      <c r="E865" s="0" t="n">
        <v>1616</v>
      </c>
      <c r="F865" s="0" t="s">
        <v>64</v>
      </c>
      <c r="I865" s="0" t="n">
        <v>645628</v>
      </c>
      <c r="J865" s="0" t="n">
        <v>103751</v>
      </c>
      <c r="K865" s="0" t="n">
        <v>7896001004511</v>
      </c>
      <c r="L865" s="0" t="s">
        <v>2947</v>
      </c>
      <c r="N865" s="0" t="n">
        <v>120</v>
      </c>
      <c r="O865" s="0" t="n">
        <v>77.5</v>
      </c>
      <c r="P865" s="0" t="s">
        <v>2444</v>
      </c>
    </row>
    <row r="866" customFormat="false" ht="15" hidden="false" customHeight="true" outlineLevel="0" collapsed="false">
      <c r="A866" s="0" t="n">
        <v>2</v>
      </c>
      <c r="B866" s="71" t="n">
        <v>46185</v>
      </c>
      <c r="C866" s="0" t="n">
        <v>1</v>
      </c>
      <c r="D866" s="0" t="s">
        <v>2442</v>
      </c>
      <c r="E866" s="0" t="n">
        <v>1616</v>
      </c>
      <c r="F866" s="0" t="s">
        <v>64</v>
      </c>
      <c r="I866" s="0" t="n">
        <v>645628</v>
      </c>
      <c r="J866" s="0" t="n">
        <v>13604</v>
      </c>
      <c r="K866" s="0" t="n">
        <v>7896001016712</v>
      </c>
      <c r="L866" s="0" t="s">
        <v>2948</v>
      </c>
      <c r="N866" s="0" t="n">
        <v>15</v>
      </c>
      <c r="O866" s="0" t="n">
        <v>171</v>
      </c>
      <c r="P866" s="0" t="s">
        <v>2444</v>
      </c>
    </row>
    <row r="867" customFormat="false" ht="15" hidden="false" customHeight="true" outlineLevel="0" collapsed="false">
      <c r="A867" s="0" t="n">
        <v>2</v>
      </c>
      <c r="B867" s="71" t="n">
        <v>46185</v>
      </c>
      <c r="C867" s="0" t="n">
        <v>1</v>
      </c>
      <c r="D867" s="0" t="s">
        <v>2442</v>
      </c>
      <c r="E867" s="0" t="n">
        <v>1616</v>
      </c>
      <c r="F867" s="0" t="s">
        <v>64</v>
      </c>
      <c r="I867" s="0" t="n">
        <v>645628</v>
      </c>
      <c r="J867" s="0" t="n">
        <v>16423</v>
      </c>
      <c r="K867" s="0" t="n">
        <v>7891331010508</v>
      </c>
      <c r="L867" s="0" t="s">
        <v>2949</v>
      </c>
      <c r="N867" s="0" t="n">
        <v>24</v>
      </c>
      <c r="O867" s="0" t="n">
        <v>39</v>
      </c>
      <c r="P867" s="0" t="s">
        <v>2444</v>
      </c>
    </row>
    <row r="868" customFormat="false" ht="15" hidden="false" customHeight="true" outlineLevel="0" collapsed="false">
      <c r="A868" s="0" t="n">
        <v>2</v>
      </c>
      <c r="B868" s="71" t="n">
        <v>46185</v>
      </c>
      <c r="C868" s="0" t="n">
        <v>1</v>
      </c>
      <c r="D868" s="0" t="s">
        <v>2442</v>
      </c>
      <c r="E868" s="0" t="n">
        <v>1616</v>
      </c>
      <c r="F868" s="0" t="s">
        <v>64</v>
      </c>
      <c r="I868" s="0" t="n">
        <v>645628</v>
      </c>
      <c r="J868" s="0" t="n">
        <v>21798</v>
      </c>
      <c r="K868" s="0" t="n">
        <v>7891331014537</v>
      </c>
      <c r="L868" s="0" t="s">
        <v>2950</v>
      </c>
      <c r="N868" s="0" t="n">
        <v>24</v>
      </c>
      <c r="O868" s="0" t="n">
        <v>39</v>
      </c>
      <c r="P868" s="0" t="s">
        <v>2444</v>
      </c>
    </row>
    <row r="869" customFormat="false" ht="15" hidden="false" customHeight="true" outlineLevel="0" collapsed="false">
      <c r="A869" s="0" t="n">
        <v>2</v>
      </c>
      <c r="B869" s="71" t="n">
        <v>46185</v>
      </c>
      <c r="C869" s="0" t="n">
        <v>1</v>
      </c>
      <c r="D869" s="0" t="s">
        <v>2442</v>
      </c>
      <c r="E869" s="0" t="n">
        <v>1616</v>
      </c>
      <c r="F869" s="0" t="s">
        <v>64</v>
      </c>
      <c r="I869" s="0" t="n">
        <v>645628</v>
      </c>
      <c r="J869" s="0" t="n">
        <v>26650</v>
      </c>
      <c r="K869" s="0" t="n">
        <v>7896022204648</v>
      </c>
      <c r="L869" s="0" t="s">
        <v>2951</v>
      </c>
      <c r="N869" s="0" t="n">
        <v>12</v>
      </c>
      <c r="O869" s="0" t="n">
        <v>55</v>
      </c>
      <c r="P869" s="0" t="s">
        <v>2444</v>
      </c>
    </row>
    <row r="870" customFormat="false" ht="15" hidden="false" customHeight="true" outlineLevel="0" collapsed="false">
      <c r="A870" s="0" t="n">
        <v>2</v>
      </c>
      <c r="B870" s="71" t="n">
        <v>46185</v>
      </c>
      <c r="C870" s="0" t="n">
        <v>1</v>
      </c>
      <c r="D870" s="0" t="s">
        <v>2442</v>
      </c>
      <c r="E870" s="0" t="n">
        <v>1616</v>
      </c>
      <c r="F870" s="0" t="s">
        <v>64</v>
      </c>
      <c r="I870" s="0" t="n">
        <v>645628</v>
      </c>
      <c r="J870" s="0" t="n">
        <v>26651</v>
      </c>
      <c r="K870" s="0" t="n">
        <v>7896022207014</v>
      </c>
      <c r="L870" s="0" t="s">
        <v>2952</v>
      </c>
      <c r="N870" s="0" t="n">
        <v>20</v>
      </c>
      <c r="O870" s="0" t="n">
        <v>83.9</v>
      </c>
      <c r="P870" s="0" t="s">
        <v>2444</v>
      </c>
    </row>
    <row r="871" customFormat="false" ht="15" hidden="false" customHeight="true" outlineLevel="0" collapsed="false">
      <c r="A871" s="0" t="n">
        <v>2</v>
      </c>
      <c r="B871" s="71" t="n">
        <v>46185</v>
      </c>
      <c r="C871" s="0" t="n">
        <v>1</v>
      </c>
      <c r="D871" s="0" t="s">
        <v>2442</v>
      </c>
      <c r="E871" s="0" t="n">
        <v>1616</v>
      </c>
      <c r="F871" s="0" t="s">
        <v>64</v>
      </c>
      <c r="I871" s="0" t="n">
        <v>645628</v>
      </c>
      <c r="J871" s="0" t="n">
        <v>29603</v>
      </c>
      <c r="K871" s="0" t="n">
        <v>7896022204624</v>
      </c>
      <c r="L871" s="0" t="s">
        <v>2953</v>
      </c>
      <c r="N871" s="0" t="n">
        <v>12</v>
      </c>
      <c r="O871" s="0" t="n">
        <v>55</v>
      </c>
      <c r="P871" s="0" t="s">
        <v>2444</v>
      </c>
    </row>
    <row r="872" customFormat="false" ht="15" hidden="false" customHeight="true" outlineLevel="0" collapsed="false">
      <c r="A872" s="0" t="n">
        <v>2</v>
      </c>
      <c r="B872" s="71" t="n">
        <v>46185</v>
      </c>
      <c r="C872" s="0" t="n">
        <v>1</v>
      </c>
      <c r="D872" s="0" t="s">
        <v>2442</v>
      </c>
      <c r="E872" s="0" t="n">
        <v>1616</v>
      </c>
      <c r="F872" s="0" t="s">
        <v>64</v>
      </c>
      <c r="I872" s="0" t="n">
        <v>645628</v>
      </c>
      <c r="J872" s="0" t="n">
        <v>29841</v>
      </c>
      <c r="K872" s="0" t="n">
        <v>7896022204631</v>
      </c>
      <c r="L872" s="0" t="s">
        <v>2954</v>
      </c>
      <c r="N872" s="0" t="n">
        <v>12</v>
      </c>
      <c r="O872" s="0" t="n">
        <v>55</v>
      </c>
      <c r="P872" s="0" t="s">
        <v>2444</v>
      </c>
    </row>
    <row r="873" customFormat="false" ht="15" hidden="false" customHeight="true" outlineLevel="0" collapsed="false">
      <c r="A873" s="0" t="n">
        <v>2</v>
      </c>
      <c r="B873" s="71" t="n">
        <v>46185</v>
      </c>
      <c r="C873" s="0" t="n">
        <v>1</v>
      </c>
      <c r="D873" s="0" t="s">
        <v>2442</v>
      </c>
      <c r="E873" s="0" t="n">
        <v>1616</v>
      </c>
      <c r="F873" s="0" t="s">
        <v>64</v>
      </c>
      <c r="I873" s="0" t="n">
        <v>645628</v>
      </c>
      <c r="J873" s="0" t="n">
        <v>31093</v>
      </c>
      <c r="K873" s="0" t="n">
        <v>7896001004870</v>
      </c>
      <c r="L873" s="0" t="s">
        <v>2955</v>
      </c>
      <c r="N873" s="0" t="n">
        <v>60</v>
      </c>
      <c r="O873" s="0" t="n">
        <v>122</v>
      </c>
      <c r="P873" s="0" t="s">
        <v>2444</v>
      </c>
    </row>
    <row r="874" customFormat="false" ht="15" hidden="false" customHeight="true" outlineLevel="0" collapsed="false">
      <c r="A874" s="0" t="n">
        <v>2</v>
      </c>
      <c r="B874" s="71" t="n">
        <v>46185</v>
      </c>
      <c r="C874" s="0" t="n">
        <v>1</v>
      </c>
      <c r="D874" s="0" t="s">
        <v>2442</v>
      </c>
      <c r="E874" s="0" t="n">
        <v>1616</v>
      </c>
      <c r="F874" s="0" t="s">
        <v>64</v>
      </c>
      <c r="I874" s="0" t="n">
        <v>645628</v>
      </c>
      <c r="J874" s="0" t="n">
        <v>47934</v>
      </c>
      <c r="K874" s="0" t="n">
        <v>7896022207632</v>
      </c>
      <c r="L874" s="0" t="s">
        <v>2956</v>
      </c>
      <c r="N874" s="0" t="n">
        <v>36</v>
      </c>
      <c r="O874" s="0" t="n">
        <v>86</v>
      </c>
      <c r="P874" s="0" t="s">
        <v>2444</v>
      </c>
    </row>
    <row r="875" customFormat="false" ht="15" hidden="false" customHeight="true" outlineLevel="0" collapsed="false">
      <c r="A875" s="0" t="n">
        <v>2</v>
      </c>
      <c r="B875" s="71" t="n">
        <v>46185</v>
      </c>
      <c r="C875" s="0" t="n">
        <v>1</v>
      </c>
      <c r="D875" s="0" t="s">
        <v>2442</v>
      </c>
      <c r="E875" s="0" t="n">
        <v>1616</v>
      </c>
      <c r="F875" s="0" t="s">
        <v>64</v>
      </c>
      <c r="I875" s="0" t="n">
        <v>645628</v>
      </c>
      <c r="J875" s="0" t="n">
        <v>51384</v>
      </c>
      <c r="K875" s="0" t="n">
        <v>7896022207311</v>
      </c>
      <c r="L875" s="0" t="s">
        <v>2957</v>
      </c>
      <c r="N875" s="0" t="n">
        <v>24</v>
      </c>
      <c r="O875" s="0" t="n">
        <v>79</v>
      </c>
      <c r="P875" s="0" t="s">
        <v>2444</v>
      </c>
    </row>
    <row r="876" customFormat="false" ht="15" hidden="false" customHeight="true" outlineLevel="0" collapsed="false">
      <c r="A876" s="0" t="n">
        <v>2</v>
      </c>
      <c r="B876" s="71" t="n">
        <v>46185</v>
      </c>
      <c r="C876" s="0" t="n">
        <v>1</v>
      </c>
      <c r="D876" s="0" t="s">
        <v>2442</v>
      </c>
      <c r="E876" s="0" t="n">
        <v>1616</v>
      </c>
      <c r="F876" s="0" t="s">
        <v>64</v>
      </c>
      <c r="I876" s="0" t="n">
        <v>645628</v>
      </c>
      <c r="J876" s="0" t="n">
        <v>60627</v>
      </c>
      <c r="K876" s="0" t="n">
        <v>7896022207847</v>
      </c>
      <c r="L876" s="0" t="s">
        <v>2958</v>
      </c>
      <c r="N876" s="0" t="n">
        <v>20</v>
      </c>
      <c r="O876" s="0" t="n">
        <v>83</v>
      </c>
      <c r="P876" s="0" t="s">
        <v>2444</v>
      </c>
    </row>
    <row r="877" customFormat="false" ht="15" hidden="false" customHeight="true" outlineLevel="0" collapsed="false">
      <c r="A877" s="0" t="n">
        <v>2</v>
      </c>
      <c r="B877" s="71" t="n">
        <v>46185</v>
      </c>
      <c r="C877" s="0" t="n">
        <v>1</v>
      </c>
      <c r="D877" s="0" t="s">
        <v>2442</v>
      </c>
      <c r="E877" s="0" t="n">
        <v>1616</v>
      </c>
      <c r="F877" s="0" t="s">
        <v>64</v>
      </c>
      <c r="I877" s="0" t="n">
        <v>645628</v>
      </c>
      <c r="J877" s="0" t="n">
        <v>60628</v>
      </c>
      <c r="K877" s="0" t="n">
        <v>7896022207854</v>
      </c>
      <c r="L877" s="0" t="s">
        <v>2959</v>
      </c>
      <c r="N877" s="0" t="n">
        <v>20</v>
      </c>
      <c r="O877" s="0" t="n">
        <v>83</v>
      </c>
      <c r="P877" s="0" t="s">
        <v>2444</v>
      </c>
    </row>
    <row r="878" customFormat="false" ht="15" hidden="false" customHeight="true" outlineLevel="0" collapsed="false">
      <c r="A878" s="0" t="n">
        <v>2</v>
      </c>
      <c r="B878" s="71" t="n">
        <v>46185</v>
      </c>
      <c r="C878" s="0" t="n">
        <v>1</v>
      </c>
      <c r="D878" s="0" t="s">
        <v>2442</v>
      </c>
      <c r="E878" s="0" t="n">
        <v>1616</v>
      </c>
      <c r="F878" s="0" t="s">
        <v>64</v>
      </c>
      <c r="I878" s="0" t="n">
        <v>645628</v>
      </c>
      <c r="J878" s="0" t="n">
        <v>60629</v>
      </c>
      <c r="K878" s="0" t="n">
        <v>7896022207830</v>
      </c>
      <c r="L878" s="0" t="s">
        <v>2960</v>
      </c>
      <c r="N878" s="0" t="n">
        <v>20</v>
      </c>
      <c r="O878" s="0" t="n">
        <v>83</v>
      </c>
      <c r="P878" s="0" t="s">
        <v>2444</v>
      </c>
    </row>
    <row r="879" customFormat="false" ht="15" hidden="false" customHeight="true" outlineLevel="0" collapsed="false">
      <c r="A879" s="0" t="n">
        <v>2</v>
      </c>
      <c r="B879" s="71" t="n">
        <v>46185</v>
      </c>
      <c r="C879" s="0" t="n">
        <v>1</v>
      </c>
      <c r="D879" s="0" t="s">
        <v>2442</v>
      </c>
      <c r="E879" s="0" t="n">
        <v>1616</v>
      </c>
      <c r="F879" s="0" t="s">
        <v>64</v>
      </c>
      <c r="I879" s="0" t="n">
        <v>645628</v>
      </c>
      <c r="J879" s="0" t="n">
        <v>62028</v>
      </c>
      <c r="K879" s="0" t="n">
        <v>7891331014513</v>
      </c>
      <c r="L879" s="0" t="s">
        <v>2961</v>
      </c>
      <c r="N879" s="0" t="n">
        <v>24</v>
      </c>
      <c r="O879" s="0" t="n">
        <v>39</v>
      </c>
      <c r="P879" s="0" t="s">
        <v>2444</v>
      </c>
    </row>
    <row r="880" customFormat="false" ht="15" hidden="false" customHeight="true" outlineLevel="0" collapsed="false">
      <c r="A880" s="0" t="n">
        <v>2</v>
      </c>
      <c r="B880" s="71" t="n">
        <v>46185</v>
      </c>
      <c r="C880" s="0" t="n">
        <v>1</v>
      </c>
      <c r="D880" s="0" t="s">
        <v>2442</v>
      </c>
      <c r="E880" s="0" t="n">
        <v>1642</v>
      </c>
      <c r="F880" s="0" t="s">
        <v>228</v>
      </c>
      <c r="I880" s="0" t="n">
        <v>1026809</v>
      </c>
      <c r="J880" s="0" t="n">
        <v>102033</v>
      </c>
      <c r="K880" s="0" t="n">
        <v>7896289210192</v>
      </c>
      <c r="L880" s="0" t="s">
        <v>2962</v>
      </c>
      <c r="N880" s="0" t="n">
        <v>5</v>
      </c>
      <c r="O880" s="0" t="n">
        <v>34.87</v>
      </c>
      <c r="P880" s="0" t="s">
        <v>2444</v>
      </c>
    </row>
    <row r="881" customFormat="false" ht="15" hidden="false" customHeight="true" outlineLevel="0" collapsed="false">
      <c r="A881" s="0" t="n">
        <v>2</v>
      </c>
      <c r="B881" s="71" t="n">
        <v>46185</v>
      </c>
      <c r="C881" s="0" t="n">
        <v>1</v>
      </c>
      <c r="D881" s="0" t="s">
        <v>2442</v>
      </c>
      <c r="E881" s="0" t="n">
        <v>1642</v>
      </c>
      <c r="F881" s="0" t="s">
        <v>228</v>
      </c>
      <c r="I881" s="0" t="n">
        <v>1026809</v>
      </c>
      <c r="J881" s="0" t="n">
        <v>105780</v>
      </c>
      <c r="K881" s="0" t="n">
        <v>7896289210017</v>
      </c>
      <c r="L881" s="0" t="s">
        <v>2511</v>
      </c>
      <c r="N881" s="0" t="n">
        <v>6</v>
      </c>
      <c r="O881" s="0" t="n">
        <v>64.02</v>
      </c>
      <c r="P881" s="0" t="s">
        <v>2444</v>
      </c>
    </row>
    <row r="882" customFormat="false" ht="15" hidden="false" customHeight="true" outlineLevel="0" collapsed="false">
      <c r="A882" s="0" t="n">
        <v>2</v>
      </c>
      <c r="B882" s="71" t="n">
        <v>46185</v>
      </c>
      <c r="C882" s="0" t="n">
        <v>1</v>
      </c>
      <c r="D882" s="0" t="s">
        <v>2442</v>
      </c>
      <c r="E882" s="0" t="n">
        <v>1642</v>
      </c>
      <c r="F882" s="0" t="s">
        <v>228</v>
      </c>
      <c r="I882" s="0" t="n">
        <v>1026809</v>
      </c>
      <c r="J882" s="0" t="n">
        <v>105782</v>
      </c>
      <c r="K882" s="0" t="n">
        <v>7896289210352</v>
      </c>
      <c r="L882" s="0" t="s">
        <v>2512</v>
      </c>
      <c r="N882" s="0" t="n">
        <v>6</v>
      </c>
      <c r="O882" s="0" t="n">
        <v>41.16</v>
      </c>
      <c r="P882" s="0" t="s">
        <v>2444</v>
      </c>
    </row>
    <row r="883" customFormat="false" ht="15" hidden="false" customHeight="true" outlineLevel="0" collapsed="false">
      <c r="A883" s="0" t="n">
        <v>2</v>
      </c>
      <c r="B883" s="71" t="n">
        <v>46185</v>
      </c>
      <c r="C883" s="0" t="n">
        <v>1</v>
      </c>
      <c r="D883" s="0" t="s">
        <v>2442</v>
      </c>
      <c r="E883" s="0" t="n">
        <v>1642</v>
      </c>
      <c r="F883" s="0" t="s">
        <v>228</v>
      </c>
      <c r="I883" s="0" t="n">
        <v>1026809</v>
      </c>
      <c r="J883" s="0" t="n">
        <v>106079</v>
      </c>
      <c r="K883" s="0" t="n">
        <v>7896289210130</v>
      </c>
      <c r="L883" s="0" t="s">
        <v>2513</v>
      </c>
      <c r="N883" s="0" t="n">
        <v>4</v>
      </c>
      <c r="O883" s="0" t="n">
        <v>54.8</v>
      </c>
      <c r="P883" s="0" t="s">
        <v>2444</v>
      </c>
    </row>
    <row r="884" customFormat="false" ht="15" hidden="false" customHeight="true" outlineLevel="0" collapsed="false">
      <c r="A884" s="0" t="n">
        <v>2</v>
      </c>
      <c r="B884" s="71" t="n">
        <v>46185</v>
      </c>
      <c r="C884" s="0" t="n">
        <v>1</v>
      </c>
      <c r="D884" s="0" t="s">
        <v>2442</v>
      </c>
      <c r="E884" s="0" t="n">
        <v>1642</v>
      </c>
      <c r="F884" s="0" t="s">
        <v>228</v>
      </c>
      <c r="I884" s="0" t="n">
        <v>1026809</v>
      </c>
      <c r="J884" s="0" t="n">
        <v>106274</v>
      </c>
      <c r="K884" s="0" t="n">
        <v>7896289210086</v>
      </c>
      <c r="L884" s="0" t="s">
        <v>2514</v>
      </c>
      <c r="N884" s="0" t="n">
        <v>5</v>
      </c>
      <c r="O884" s="0" t="n">
        <v>62.8</v>
      </c>
      <c r="P884" s="0" t="s">
        <v>2444</v>
      </c>
    </row>
    <row r="885" customFormat="false" ht="15" hidden="false" customHeight="true" outlineLevel="0" collapsed="false">
      <c r="A885" s="0" t="n">
        <v>2</v>
      </c>
      <c r="B885" s="71" t="n">
        <v>46185</v>
      </c>
      <c r="C885" s="0" t="n">
        <v>1</v>
      </c>
      <c r="D885" s="0" t="s">
        <v>2442</v>
      </c>
      <c r="E885" s="0" t="n">
        <v>1642</v>
      </c>
      <c r="F885" s="0" t="s">
        <v>228</v>
      </c>
      <c r="I885" s="0" t="n">
        <v>1026809</v>
      </c>
      <c r="J885" s="0" t="n">
        <v>106280</v>
      </c>
      <c r="K885" s="0" t="n">
        <v>7896289210062</v>
      </c>
      <c r="L885" s="0" t="s">
        <v>2515</v>
      </c>
      <c r="N885" s="0" t="n">
        <v>4</v>
      </c>
      <c r="O885" s="0" t="n">
        <v>50.24</v>
      </c>
      <c r="P885" s="0" t="s">
        <v>2444</v>
      </c>
    </row>
    <row r="886" customFormat="false" ht="15" hidden="false" customHeight="true" outlineLevel="0" collapsed="false">
      <c r="A886" s="0" t="n">
        <v>2</v>
      </c>
      <c r="B886" s="71" t="n">
        <v>46185</v>
      </c>
      <c r="C886" s="0" t="n">
        <v>1</v>
      </c>
      <c r="D886" s="0" t="s">
        <v>2442</v>
      </c>
      <c r="E886" s="0" t="n">
        <v>1642</v>
      </c>
      <c r="F886" s="0" t="s">
        <v>228</v>
      </c>
      <c r="I886" s="0" t="n">
        <v>1026809</v>
      </c>
      <c r="J886" s="0" t="n">
        <v>106407</v>
      </c>
      <c r="K886" s="0" t="n">
        <v>7896289210031</v>
      </c>
      <c r="L886" s="0" t="s">
        <v>2516</v>
      </c>
      <c r="N886" s="0" t="n">
        <v>4</v>
      </c>
      <c r="O886" s="0" t="n">
        <v>46.56</v>
      </c>
      <c r="P886" s="0" t="s">
        <v>2444</v>
      </c>
    </row>
    <row r="887" customFormat="false" ht="15" hidden="false" customHeight="true" outlineLevel="0" collapsed="false">
      <c r="A887" s="0" t="n">
        <v>2</v>
      </c>
      <c r="B887" s="71" t="n">
        <v>46185</v>
      </c>
      <c r="C887" s="0" t="n">
        <v>1</v>
      </c>
      <c r="D887" s="0" t="s">
        <v>2442</v>
      </c>
      <c r="E887" s="0" t="n">
        <v>1642</v>
      </c>
      <c r="F887" s="0" t="s">
        <v>228</v>
      </c>
      <c r="I887" s="0" t="n">
        <v>1026809</v>
      </c>
      <c r="J887" s="0" t="n">
        <v>29706</v>
      </c>
      <c r="K887" s="0" t="n">
        <v>7896289240205</v>
      </c>
      <c r="L887" s="0" t="s">
        <v>2963</v>
      </c>
      <c r="N887" s="0" t="n">
        <v>10</v>
      </c>
      <c r="O887" s="0" t="n">
        <v>86</v>
      </c>
      <c r="P887" s="0" t="s">
        <v>2444</v>
      </c>
    </row>
    <row r="888" customFormat="false" ht="15" hidden="false" customHeight="true" outlineLevel="0" collapsed="false">
      <c r="A888" s="0" t="n">
        <v>2</v>
      </c>
      <c r="B888" s="71" t="n">
        <v>46185</v>
      </c>
      <c r="C888" s="0" t="n">
        <v>1</v>
      </c>
      <c r="D888" s="0" t="s">
        <v>2442</v>
      </c>
      <c r="E888" s="0" t="n">
        <v>1705</v>
      </c>
      <c r="F888" s="0" t="s">
        <v>130</v>
      </c>
      <c r="I888" s="0" t="n">
        <v>1159468</v>
      </c>
      <c r="J888" s="0" t="n">
        <v>102360</v>
      </c>
      <c r="K888" s="0" t="n">
        <v>7894900593709</v>
      </c>
      <c r="L888" s="0" t="s">
        <v>2557</v>
      </c>
      <c r="N888" s="0" t="n">
        <v>96</v>
      </c>
      <c r="O888" s="0" t="n">
        <v>192.43</v>
      </c>
      <c r="P888" s="0" t="s">
        <v>2444</v>
      </c>
    </row>
    <row r="889" customFormat="false" ht="15" hidden="false" customHeight="true" outlineLevel="0" collapsed="false">
      <c r="A889" s="0" t="n">
        <v>2</v>
      </c>
      <c r="B889" s="71" t="n">
        <v>46185</v>
      </c>
      <c r="C889" s="0" t="n">
        <v>1</v>
      </c>
      <c r="D889" s="0" t="s">
        <v>2442</v>
      </c>
      <c r="E889" s="0" t="n">
        <v>1705</v>
      </c>
      <c r="F889" s="0" t="s">
        <v>130</v>
      </c>
      <c r="I889" s="0" t="n">
        <v>1159469</v>
      </c>
      <c r="J889" s="0" t="n">
        <v>62378</v>
      </c>
      <c r="K889" s="0" t="n">
        <v>7896045506934</v>
      </c>
      <c r="L889" s="0" t="s">
        <v>2964</v>
      </c>
      <c r="N889" s="0" t="n">
        <v>120</v>
      </c>
      <c r="O889" s="0" t="n">
        <v>417.58</v>
      </c>
      <c r="P889" s="0" t="s">
        <v>2444</v>
      </c>
    </row>
    <row r="890" customFormat="false" ht="15" hidden="false" customHeight="true" outlineLevel="0" collapsed="false">
      <c r="A890" s="0" t="n">
        <v>2</v>
      </c>
      <c r="B890" s="71" t="n">
        <v>46185</v>
      </c>
      <c r="C890" s="0" t="n">
        <v>1</v>
      </c>
      <c r="D890" s="0" t="s">
        <v>2442</v>
      </c>
      <c r="E890" s="0" t="n">
        <v>1705</v>
      </c>
      <c r="F890" s="0" t="s">
        <v>130</v>
      </c>
      <c r="I890" s="0" t="n">
        <v>1159469</v>
      </c>
      <c r="J890" s="0" t="n">
        <v>62624</v>
      </c>
      <c r="K890" s="0" t="n">
        <v>7896045506873</v>
      </c>
      <c r="L890" s="0" t="s">
        <v>2965</v>
      </c>
      <c r="N890" s="0" t="n">
        <v>12</v>
      </c>
      <c r="O890" s="0" t="n">
        <v>63.37</v>
      </c>
      <c r="P890" s="0" t="s">
        <v>2444</v>
      </c>
    </row>
    <row r="891" customFormat="false" ht="15" hidden="false" customHeight="true" outlineLevel="0" collapsed="false">
      <c r="A891" s="0" t="n">
        <v>2</v>
      </c>
      <c r="B891" s="71" t="n">
        <v>46185</v>
      </c>
      <c r="C891" s="0" t="n">
        <v>1</v>
      </c>
      <c r="D891" s="0" t="s">
        <v>2442</v>
      </c>
      <c r="E891" s="0" t="n">
        <v>1705</v>
      </c>
      <c r="F891" s="0" t="s">
        <v>130</v>
      </c>
      <c r="I891" s="0" t="n">
        <v>1159469</v>
      </c>
      <c r="J891" s="0" t="n">
        <v>65775</v>
      </c>
      <c r="K891" s="0" t="n">
        <v>7896045506910</v>
      </c>
      <c r="L891" s="0" t="s">
        <v>2966</v>
      </c>
      <c r="N891" s="0" t="n">
        <v>12</v>
      </c>
      <c r="O891" s="0" t="n">
        <v>63.37</v>
      </c>
      <c r="P891" s="0" t="s">
        <v>2444</v>
      </c>
    </row>
    <row r="892" customFormat="false" ht="15" hidden="false" customHeight="true" outlineLevel="0" collapsed="false">
      <c r="A892" s="0" t="n">
        <v>2</v>
      </c>
      <c r="B892" s="71" t="n">
        <v>46185</v>
      </c>
      <c r="C892" s="0" t="n">
        <v>1</v>
      </c>
      <c r="D892" s="0" t="s">
        <v>2442</v>
      </c>
      <c r="E892" s="0" t="n">
        <v>1613</v>
      </c>
      <c r="F892" s="0" t="s">
        <v>50</v>
      </c>
      <c r="I892" s="0" t="n">
        <v>1595886</v>
      </c>
      <c r="J892" s="0" t="n">
        <v>100052</v>
      </c>
      <c r="K892" s="0" t="n">
        <v>53</v>
      </c>
      <c r="L892" s="0" t="s">
        <v>2967</v>
      </c>
      <c r="N892" s="0" t="n">
        <v>16</v>
      </c>
      <c r="O892" s="0" t="n">
        <v>460.48</v>
      </c>
      <c r="P892" s="0" t="s">
        <v>2444</v>
      </c>
    </row>
    <row r="893" customFormat="false" ht="15" hidden="false" customHeight="true" outlineLevel="0" collapsed="false">
      <c r="A893" s="0" t="n">
        <v>2</v>
      </c>
      <c r="B893" s="71" t="n">
        <v>46185</v>
      </c>
      <c r="C893" s="0" t="n">
        <v>1</v>
      </c>
      <c r="D893" s="0" t="s">
        <v>2442</v>
      </c>
      <c r="E893" s="0" t="n">
        <v>1613</v>
      </c>
      <c r="F893" s="0" t="s">
        <v>50</v>
      </c>
      <c r="I893" s="0" t="n">
        <v>1595886</v>
      </c>
      <c r="J893" s="0" t="n">
        <v>102408</v>
      </c>
      <c r="K893" s="0" t="n">
        <v>7891515602918</v>
      </c>
      <c r="L893" s="0" t="s">
        <v>2968</v>
      </c>
      <c r="N893" s="0" t="n">
        <v>24</v>
      </c>
      <c r="O893" s="0" t="n">
        <v>86.16</v>
      </c>
      <c r="P893" s="0" t="s">
        <v>2444</v>
      </c>
    </row>
    <row r="894" customFormat="false" ht="15" hidden="false" customHeight="true" outlineLevel="0" collapsed="false">
      <c r="A894" s="0" t="n">
        <v>2</v>
      </c>
      <c r="B894" s="71" t="n">
        <v>46185</v>
      </c>
      <c r="C894" s="0" t="n">
        <v>1</v>
      </c>
      <c r="D894" s="0" t="s">
        <v>2442</v>
      </c>
      <c r="E894" s="0" t="n">
        <v>1613</v>
      </c>
      <c r="F894" s="0" t="s">
        <v>50</v>
      </c>
      <c r="I894" s="0" t="n">
        <v>1595886</v>
      </c>
      <c r="J894" s="0" t="n">
        <v>103794</v>
      </c>
      <c r="K894" s="0" t="n">
        <v>7893000488526</v>
      </c>
      <c r="L894" s="0" t="s">
        <v>2969</v>
      </c>
      <c r="N894" s="0" t="n">
        <v>8</v>
      </c>
      <c r="O894" s="0" t="n">
        <v>94.65</v>
      </c>
      <c r="P894" s="0" t="s">
        <v>2444</v>
      </c>
    </row>
    <row r="895" customFormat="false" ht="15" hidden="false" customHeight="true" outlineLevel="0" collapsed="false">
      <c r="A895" s="0" t="n">
        <v>2</v>
      </c>
      <c r="B895" s="71" t="n">
        <v>46185</v>
      </c>
      <c r="C895" s="0" t="n">
        <v>1</v>
      </c>
      <c r="D895" s="0" t="s">
        <v>2442</v>
      </c>
      <c r="E895" s="0" t="n">
        <v>1613</v>
      </c>
      <c r="F895" s="0" t="s">
        <v>50</v>
      </c>
      <c r="I895" s="0" t="n">
        <v>1595886</v>
      </c>
      <c r="J895" s="0" t="n">
        <v>103795</v>
      </c>
      <c r="K895" s="0" t="n">
        <v>7893000436800</v>
      </c>
      <c r="L895" s="0" t="s">
        <v>2970</v>
      </c>
      <c r="N895" s="0" t="n">
        <v>12</v>
      </c>
      <c r="O895" s="0" t="n">
        <v>128.64</v>
      </c>
      <c r="P895" s="0" t="s">
        <v>2444</v>
      </c>
    </row>
    <row r="896" customFormat="false" ht="15" hidden="false" customHeight="true" outlineLevel="0" collapsed="false">
      <c r="A896" s="0" t="n">
        <v>2</v>
      </c>
      <c r="B896" s="71" t="n">
        <v>46185</v>
      </c>
      <c r="C896" s="0" t="n">
        <v>1</v>
      </c>
      <c r="D896" s="0" t="s">
        <v>2442</v>
      </c>
      <c r="E896" s="0" t="n">
        <v>1613</v>
      </c>
      <c r="F896" s="0" t="s">
        <v>50</v>
      </c>
      <c r="I896" s="0" t="n">
        <v>1595886</v>
      </c>
      <c r="J896" s="0" t="n">
        <v>103796</v>
      </c>
      <c r="K896" s="0" t="n">
        <v>7893000436725</v>
      </c>
      <c r="L896" s="0" t="s">
        <v>2971</v>
      </c>
      <c r="N896" s="0" t="n">
        <v>12</v>
      </c>
      <c r="O896" s="0" t="n">
        <v>138.24</v>
      </c>
      <c r="P896" s="0" t="s">
        <v>2444</v>
      </c>
    </row>
    <row r="897" customFormat="false" ht="15" hidden="false" customHeight="true" outlineLevel="0" collapsed="false">
      <c r="A897" s="0" t="n">
        <v>2</v>
      </c>
      <c r="B897" s="71" t="n">
        <v>46185</v>
      </c>
      <c r="C897" s="0" t="n">
        <v>1</v>
      </c>
      <c r="D897" s="0" t="s">
        <v>2442</v>
      </c>
      <c r="E897" s="0" t="n">
        <v>1613</v>
      </c>
      <c r="F897" s="0" t="s">
        <v>50</v>
      </c>
      <c r="I897" s="0" t="n">
        <v>1595886</v>
      </c>
      <c r="J897" s="0" t="n">
        <v>103848</v>
      </c>
      <c r="K897" s="0" t="n">
        <v>7893000488878</v>
      </c>
      <c r="L897" s="0" t="s">
        <v>2972</v>
      </c>
      <c r="N897" s="0" t="n">
        <v>8</v>
      </c>
      <c r="O897" s="0" t="n">
        <v>101.84</v>
      </c>
      <c r="P897" s="0" t="s">
        <v>2444</v>
      </c>
    </row>
    <row r="898" customFormat="false" ht="15" hidden="false" customHeight="true" outlineLevel="0" collapsed="false">
      <c r="A898" s="0" t="n">
        <v>2</v>
      </c>
      <c r="B898" s="71" t="n">
        <v>46185</v>
      </c>
      <c r="C898" s="0" t="n">
        <v>1</v>
      </c>
      <c r="D898" s="0" t="s">
        <v>2442</v>
      </c>
      <c r="E898" s="0" t="n">
        <v>1613</v>
      </c>
      <c r="F898" s="0" t="s">
        <v>50</v>
      </c>
      <c r="I898" s="0" t="n">
        <v>1595886</v>
      </c>
      <c r="J898" s="0" t="n">
        <v>104014</v>
      </c>
      <c r="K898" s="0" t="n">
        <v>7893000863125</v>
      </c>
      <c r="L898" s="0" t="s">
        <v>2973</v>
      </c>
      <c r="N898" s="0" t="n">
        <v>12</v>
      </c>
      <c r="O898" s="0" t="n">
        <v>191.04</v>
      </c>
      <c r="P898" s="0" t="s">
        <v>2444</v>
      </c>
    </row>
    <row r="899" customFormat="false" ht="15" hidden="false" customHeight="true" outlineLevel="0" collapsed="false">
      <c r="A899" s="0" t="n">
        <v>2</v>
      </c>
      <c r="B899" s="71" t="n">
        <v>46185</v>
      </c>
      <c r="C899" s="0" t="n">
        <v>1</v>
      </c>
      <c r="D899" s="0" t="s">
        <v>2442</v>
      </c>
      <c r="E899" s="0" t="n">
        <v>1613</v>
      </c>
      <c r="F899" s="0" t="s">
        <v>50</v>
      </c>
      <c r="I899" s="0" t="n">
        <v>1595886</v>
      </c>
      <c r="J899" s="0" t="n">
        <v>108591</v>
      </c>
      <c r="K899" s="0" t="n">
        <v>8461</v>
      </c>
      <c r="L899" s="0" t="s">
        <v>2974</v>
      </c>
      <c r="N899" s="0" t="n">
        <v>15</v>
      </c>
      <c r="O899" s="0" t="n">
        <v>175.03</v>
      </c>
      <c r="P899" s="0" t="s">
        <v>2444</v>
      </c>
    </row>
    <row r="900" customFormat="false" ht="15" hidden="false" customHeight="true" outlineLevel="0" collapsed="false">
      <c r="A900" s="0" t="n">
        <v>2</v>
      </c>
      <c r="B900" s="71" t="n">
        <v>46185</v>
      </c>
      <c r="C900" s="0" t="n">
        <v>1</v>
      </c>
      <c r="D900" s="0" t="s">
        <v>2442</v>
      </c>
      <c r="E900" s="0" t="n">
        <v>1613</v>
      </c>
      <c r="F900" s="0" t="s">
        <v>50</v>
      </c>
      <c r="I900" s="0" t="n">
        <v>1595886</v>
      </c>
      <c r="J900" s="0" t="n">
        <v>108581</v>
      </c>
      <c r="K900" s="0" t="n">
        <v>7893000949355</v>
      </c>
      <c r="L900" s="0" t="s">
        <v>2975</v>
      </c>
      <c r="N900" s="0" t="n">
        <v>16</v>
      </c>
      <c r="O900" s="0" t="n">
        <v>136.72</v>
      </c>
      <c r="P900" s="0" t="s">
        <v>2444</v>
      </c>
    </row>
    <row r="901" customFormat="false" ht="15" hidden="false" customHeight="true" outlineLevel="0" collapsed="false">
      <c r="A901" s="0" t="n">
        <v>2</v>
      </c>
      <c r="B901" s="71" t="n">
        <v>46185</v>
      </c>
      <c r="C901" s="0" t="n">
        <v>1</v>
      </c>
      <c r="D901" s="0" t="s">
        <v>2442</v>
      </c>
      <c r="E901" s="0" t="n">
        <v>1613</v>
      </c>
      <c r="F901" s="0" t="s">
        <v>50</v>
      </c>
      <c r="I901" s="0" t="n">
        <v>1595886</v>
      </c>
      <c r="J901" s="0" t="n">
        <v>109076</v>
      </c>
      <c r="K901" s="0" t="n">
        <v>7891515989408</v>
      </c>
      <c r="L901" s="0" t="s">
        <v>2976</v>
      </c>
      <c r="N901" s="0" t="n">
        <v>36</v>
      </c>
      <c r="O901" s="0" t="n">
        <v>37.99</v>
      </c>
      <c r="P901" s="0" t="s">
        <v>2444</v>
      </c>
    </row>
    <row r="902" customFormat="false" ht="15" hidden="false" customHeight="true" outlineLevel="0" collapsed="false">
      <c r="A902" s="0" t="n">
        <v>2</v>
      </c>
      <c r="B902" s="71" t="n">
        <v>46185</v>
      </c>
      <c r="C902" s="0" t="n">
        <v>1</v>
      </c>
      <c r="D902" s="0" t="s">
        <v>2442</v>
      </c>
      <c r="E902" s="0" t="n">
        <v>1613</v>
      </c>
      <c r="F902" s="0" t="s">
        <v>50</v>
      </c>
      <c r="I902" s="0" t="n">
        <v>1595886</v>
      </c>
      <c r="J902" s="0" t="n">
        <v>109076</v>
      </c>
      <c r="K902" s="0" t="n">
        <v>7891515989408</v>
      </c>
      <c r="L902" s="0" t="s">
        <v>2976</v>
      </c>
      <c r="N902" s="0" t="n">
        <v>36</v>
      </c>
      <c r="O902" s="0" t="n">
        <v>40.41</v>
      </c>
      <c r="P902" s="0" t="s">
        <v>2444</v>
      </c>
    </row>
    <row r="903" customFormat="false" ht="15" hidden="false" customHeight="true" outlineLevel="0" collapsed="false">
      <c r="A903" s="0" t="n">
        <v>2</v>
      </c>
      <c r="B903" s="71" t="n">
        <v>46185</v>
      </c>
      <c r="C903" s="0" t="n">
        <v>1</v>
      </c>
      <c r="D903" s="0" t="s">
        <v>2442</v>
      </c>
      <c r="E903" s="0" t="n">
        <v>1613</v>
      </c>
      <c r="F903" s="0" t="s">
        <v>50</v>
      </c>
      <c r="I903" s="0" t="n">
        <v>1595886</v>
      </c>
      <c r="J903" s="0" t="n">
        <v>19546</v>
      </c>
      <c r="K903" s="0" t="n">
        <v>7893000079311</v>
      </c>
      <c r="L903" s="0" t="s">
        <v>2977</v>
      </c>
      <c r="N903" s="0" t="n">
        <v>6</v>
      </c>
      <c r="O903" s="0" t="n">
        <v>78.6</v>
      </c>
      <c r="P903" s="0" t="s">
        <v>2444</v>
      </c>
    </row>
    <row r="904" customFormat="false" ht="15" hidden="false" customHeight="true" outlineLevel="0" collapsed="false">
      <c r="A904" s="0" t="n">
        <v>2</v>
      </c>
      <c r="B904" s="71" t="n">
        <v>46185</v>
      </c>
      <c r="C904" s="0" t="n">
        <v>1</v>
      </c>
      <c r="D904" s="0" t="s">
        <v>2442</v>
      </c>
      <c r="E904" s="0" t="n">
        <v>1613</v>
      </c>
      <c r="F904" s="0" t="s">
        <v>50</v>
      </c>
      <c r="I904" s="0" t="n">
        <v>1595886</v>
      </c>
      <c r="J904" s="0" t="n">
        <v>23694</v>
      </c>
      <c r="K904" s="0" t="n">
        <v>7891515474737</v>
      </c>
      <c r="L904" s="0" t="s">
        <v>2978</v>
      </c>
      <c r="N904" s="0" t="n">
        <v>45</v>
      </c>
      <c r="O904" s="0" t="n">
        <v>73.7</v>
      </c>
      <c r="P904" s="0" t="s">
        <v>2444</v>
      </c>
    </row>
    <row r="905" customFormat="false" ht="15" hidden="false" customHeight="true" outlineLevel="0" collapsed="false">
      <c r="A905" s="0" t="n">
        <v>2</v>
      </c>
      <c r="B905" s="71" t="n">
        <v>46185</v>
      </c>
      <c r="C905" s="0" t="n">
        <v>1</v>
      </c>
      <c r="D905" s="0" t="s">
        <v>2442</v>
      </c>
      <c r="E905" s="0" t="n">
        <v>1613</v>
      </c>
      <c r="F905" s="0" t="s">
        <v>50</v>
      </c>
      <c r="I905" s="0" t="n">
        <v>1595886</v>
      </c>
      <c r="J905" s="0" t="n">
        <v>23694</v>
      </c>
      <c r="K905" s="0" t="n">
        <v>7891515474737</v>
      </c>
      <c r="L905" s="0" t="s">
        <v>2978</v>
      </c>
      <c r="N905" s="0" t="n">
        <v>45</v>
      </c>
      <c r="O905" s="0" t="n">
        <v>77.82</v>
      </c>
      <c r="P905" s="0" t="s">
        <v>2444</v>
      </c>
    </row>
    <row r="906" customFormat="false" ht="15" hidden="false" customHeight="true" outlineLevel="0" collapsed="false">
      <c r="A906" s="0" t="n">
        <v>2</v>
      </c>
      <c r="B906" s="71" t="n">
        <v>46185</v>
      </c>
      <c r="C906" s="0" t="n">
        <v>1</v>
      </c>
      <c r="D906" s="0" t="s">
        <v>2442</v>
      </c>
      <c r="E906" s="0" t="n">
        <v>1613</v>
      </c>
      <c r="F906" s="0" t="s">
        <v>50</v>
      </c>
      <c r="I906" s="0" t="n">
        <v>1595886</v>
      </c>
      <c r="J906" s="0" t="n">
        <v>23695</v>
      </c>
      <c r="K906" s="0" t="n">
        <v>7891515474126</v>
      </c>
      <c r="L906" s="0" t="s">
        <v>2979</v>
      </c>
      <c r="N906" s="0" t="n">
        <v>45</v>
      </c>
      <c r="O906" s="0" t="n">
        <v>77.82</v>
      </c>
      <c r="P906" s="0" t="s">
        <v>2444</v>
      </c>
    </row>
    <row r="907" customFormat="false" ht="15" hidden="false" customHeight="true" outlineLevel="0" collapsed="false">
      <c r="A907" s="0" t="n">
        <v>2</v>
      </c>
      <c r="B907" s="71" t="n">
        <v>46185</v>
      </c>
      <c r="C907" s="0" t="n">
        <v>1</v>
      </c>
      <c r="D907" s="0" t="s">
        <v>2442</v>
      </c>
      <c r="E907" s="0" t="n">
        <v>1613</v>
      </c>
      <c r="F907" s="0" t="s">
        <v>50</v>
      </c>
      <c r="I907" s="0" t="n">
        <v>1595886</v>
      </c>
      <c r="J907" s="0" t="n">
        <v>23695</v>
      </c>
      <c r="K907" s="0" t="n">
        <v>7891515474126</v>
      </c>
      <c r="L907" s="0" t="s">
        <v>2979</v>
      </c>
      <c r="N907" s="0" t="n">
        <v>45</v>
      </c>
      <c r="O907" s="0" t="n">
        <v>73.7</v>
      </c>
      <c r="P907" s="0" t="s">
        <v>2444</v>
      </c>
    </row>
    <row r="908" customFormat="false" ht="15" hidden="false" customHeight="true" outlineLevel="0" collapsed="false">
      <c r="A908" s="0" t="n">
        <v>2</v>
      </c>
      <c r="B908" s="71" t="n">
        <v>46185</v>
      </c>
      <c r="C908" s="0" t="n">
        <v>1</v>
      </c>
      <c r="D908" s="0" t="s">
        <v>2442</v>
      </c>
      <c r="E908" s="0" t="n">
        <v>1613</v>
      </c>
      <c r="F908" s="0" t="s">
        <v>50</v>
      </c>
      <c r="I908" s="0" t="n">
        <v>1595886</v>
      </c>
      <c r="J908" s="0" t="n">
        <v>36041</v>
      </c>
      <c r="K908" s="0" t="n">
        <v>7891515554224</v>
      </c>
      <c r="L908" s="0" t="s">
        <v>2980</v>
      </c>
      <c r="N908" s="0" t="n">
        <v>36</v>
      </c>
      <c r="O908" s="0" t="n">
        <v>36.38</v>
      </c>
      <c r="P908" s="0" t="s">
        <v>2444</v>
      </c>
    </row>
    <row r="909" customFormat="false" ht="15" hidden="false" customHeight="true" outlineLevel="0" collapsed="false">
      <c r="A909" s="0" t="n">
        <v>2</v>
      </c>
      <c r="B909" s="71" t="n">
        <v>46185</v>
      </c>
      <c r="C909" s="0" t="n">
        <v>1</v>
      </c>
      <c r="D909" s="0" t="s">
        <v>2442</v>
      </c>
      <c r="E909" s="0" t="n">
        <v>1613</v>
      </c>
      <c r="F909" s="0" t="s">
        <v>50</v>
      </c>
      <c r="I909" s="0" t="n">
        <v>1595886</v>
      </c>
      <c r="J909" s="0" t="n">
        <v>36041</v>
      </c>
      <c r="K909" s="0" t="n">
        <v>7891515554224</v>
      </c>
      <c r="L909" s="0" t="s">
        <v>2980</v>
      </c>
      <c r="N909" s="0" t="n">
        <v>36</v>
      </c>
      <c r="O909" s="0" t="n">
        <v>34.2</v>
      </c>
      <c r="P909" s="0" t="s">
        <v>2444</v>
      </c>
    </row>
    <row r="910" customFormat="false" ht="15" hidden="false" customHeight="true" outlineLevel="0" collapsed="false">
      <c r="A910" s="0" t="n">
        <v>2</v>
      </c>
      <c r="B910" s="71" t="n">
        <v>46185</v>
      </c>
      <c r="C910" s="0" t="n">
        <v>1</v>
      </c>
      <c r="D910" s="0" t="s">
        <v>2442</v>
      </c>
      <c r="E910" s="0" t="n">
        <v>1613</v>
      </c>
      <c r="F910" s="0" t="s">
        <v>50</v>
      </c>
      <c r="I910" s="0" t="n">
        <v>1595886</v>
      </c>
      <c r="J910" s="0" t="n">
        <v>110181</v>
      </c>
      <c r="K910" s="0" t="n">
        <v>37389</v>
      </c>
      <c r="L910" s="0" t="s">
        <v>2981</v>
      </c>
      <c r="N910" s="0" t="n">
        <v>15</v>
      </c>
      <c r="O910" s="0" t="n">
        <v>164.86</v>
      </c>
      <c r="P910" s="0" t="s">
        <v>2444</v>
      </c>
    </row>
    <row r="911" customFormat="false" ht="15" hidden="false" customHeight="true" outlineLevel="0" collapsed="false">
      <c r="A911" s="0" t="n">
        <v>2</v>
      </c>
      <c r="B911" s="71" t="n">
        <v>46185</v>
      </c>
      <c r="C911" s="0" t="n">
        <v>1</v>
      </c>
      <c r="D911" s="0" t="s">
        <v>2442</v>
      </c>
      <c r="E911" s="0" t="n">
        <v>1608</v>
      </c>
      <c r="F911" s="0" t="s">
        <v>240</v>
      </c>
      <c r="I911" s="0" t="n">
        <v>1672321</v>
      </c>
      <c r="J911" s="0" t="n">
        <v>50232</v>
      </c>
      <c r="K911" s="0" t="n">
        <v>7891025123057</v>
      </c>
      <c r="L911" s="0" t="s">
        <v>2639</v>
      </c>
      <c r="N911" s="0" t="n">
        <v>4</v>
      </c>
      <c r="O911" s="0" t="n">
        <v>10.24</v>
      </c>
      <c r="P911" s="0" t="s">
        <v>2444</v>
      </c>
    </row>
    <row r="912" customFormat="false" ht="15" hidden="false" customHeight="true" outlineLevel="0" collapsed="false">
      <c r="A912" s="0" t="n">
        <v>2</v>
      </c>
      <c r="B912" s="71" t="n">
        <v>46185</v>
      </c>
      <c r="C912" s="0" t="n">
        <v>1</v>
      </c>
      <c r="D912" s="0" t="s">
        <v>2442</v>
      </c>
      <c r="E912" s="0" t="n">
        <v>1608</v>
      </c>
      <c r="F912" s="0" t="s">
        <v>240</v>
      </c>
      <c r="I912" s="0" t="n">
        <v>1672321</v>
      </c>
      <c r="J912" s="0" t="n">
        <v>19906</v>
      </c>
      <c r="K912" s="0" t="n">
        <v>7898553442933</v>
      </c>
      <c r="L912" s="0" t="s">
        <v>2982</v>
      </c>
      <c r="N912" s="0" t="n">
        <v>12</v>
      </c>
      <c r="O912" s="0" t="n">
        <v>140.52</v>
      </c>
      <c r="P912" s="0" t="s">
        <v>2444</v>
      </c>
    </row>
    <row r="913" customFormat="false" ht="15" hidden="false" customHeight="true" outlineLevel="0" collapsed="false">
      <c r="A913" s="0" t="n">
        <v>2</v>
      </c>
      <c r="B913" s="71" t="n">
        <v>46185</v>
      </c>
      <c r="C913" s="0" t="n">
        <v>1</v>
      </c>
      <c r="D913" s="0" t="s">
        <v>2442</v>
      </c>
      <c r="E913" s="0" t="n">
        <v>1608</v>
      </c>
      <c r="F913" s="0" t="s">
        <v>240</v>
      </c>
      <c r="I913" s="0" t="n">
        <v>1672321</v>
      </c>
      <c r="J913" s="0" t="n">
        <v>20522</v>
      </c>
      <c r="K913" s="0" t="n">
        <v>7891025106067</v>
      </c>
      <c r="L913" s="0" t="s">
        <v>2642</v>
      </c>
      <c r="N913" s="0" t="n">
        <v>4</v>
      </c>
      <c r="O913" s="0" t="n">
        <v>11.4</v>
      </c>
      <c r="P913" s="0" t="s">
        <v>2444</v>
      </c>
    </row>
    <row r="914" customFormat="false" ht="15" hidden="false" customHeight="true" outlineLevel="0" collapsed="false">
      <c r="A914" s="0" t="n">
        <v>2</v>
      </c>
      <c r="B914" s="71" t="n">
        <v>46185</v>
      </c>
      <c r="C914" s="0" t="n">
        <v>1</v>
      </c>
      <c r="D914" s="0" t="s">
        <v>2442</v>
      </c>
      <c r="E914" s="0" t="n">
        <v>1608</v>
      </c>
      <c r="F914" s="0" t="s">
        <v>240</v>
      </c>
      <c r="I914" s="0" t="n">
        <v>1672321</v>
      </c>
      <c r="J914" s="0" t="n">
        <v>22010</v>
      </c>
      <c r="K914" s="0" t="n">
        <v>7891025107255</v>
      </c>
      <c r="L914" s="0" t="s">
        <v>2983</v>
      </c>
      <c r="N914" s="0" t="n">
        <v>2</v>
      </c>
      <c r="O914" s="0" t="n">
        <v>5.7</v>
      </c>
      <c r="P914" s="0" t="s">
        <v>2444</v>
      </c>
    </row>
    <row r="915" customFormat="false" ht="15" hidden="false" customHeight="true" outlineLevel="0" collapsed="false">
      <c r="A915" s="0" t="n">
        <v>2</v>
      </c>
      <c r="B915" s="71" t="n">
        <v>46185</v>
      </c>
      <c r="C915" s="0" t="n">
        <v>1</v>
      </c>
      <c r="D915" s="0" t="s">
        <v>2442</v>
      </c>
      <c r="E915" s="0" t="n">
        <v>1608</v>
      </c>
      <c r="F915" s="0" t="s">
        <v>240</v>
      </c>
      <c r="I915" s="0" t="n">
        <v>1672321</v>
      </c>
      <c r="J915" s="0" t="n">
        <v>24196</v>
      </c>
      <c r="K915" s="0" t="n">
        <v>7891025109884</v>
      </c>
      <c r="L915" s="0" t="s">
        <v>2645</v>
      </c>
      <c r="N915" s="0" t="n">
        <v>3</v>
      </c>
      <c r="O915" s="0" t="n">
        <v>25.38</v>
      </c>
      <c r="P915" s="0" t="s">
        <v>2444</v>
      </c>
    </row>
    <row r="916" customFormat="false" ht="15" hidden="false" customHeight="true" outlineLevel="0" collapsed="false">
      <c r="A916" s="0" t="n">
        <v>2</v>
      </c>
      <c r="B916" s="71" t="n">
        <v>46185</v>
      </c>
      <c r="C916" s="0" t="n">
        <v>1</v>
      </c>
      <c r="D916" s="0" t="s">
        <v>2442</v>
      </c>
      <c r="E916" s="0" t="n">
        <v>1608</v>
      </c>
      <c r="F916" s="0" t="s">
        <v>240</v>
      </c>
      <c r="I916" s="0" t="n">
        <v>1672321</v>
      </c>
      <c r="J916" s="0" t="n">
        <v>26683</v>
      </c>
      <c r="K916" s="0" t="n">
        <v>7898133620553</v>
      </c>
      <c r="L916" s="0" t="s">
        <v>2984</v>
      </c>
      <c r="N916" s="0" t="n">
        <v>12</v>
      </c>
      <c r="O916" s="0" t="n">
        <v>160.68</v>
      </c>
      <c r="P916" s="0" t="s">
        <v>2444</v>
      </c>
    </row>
    <row r="917" customFormat="false" ht="15" hidden="false" customHeight="true" outlineLevel="0" collapsed="false">
      <c r="A917" s="0" t="n">
        <v>2</v>
      </c>
      <c r="B917" s="71" t="n">
        <v>46185</v>
      </c>
      <c r="C917" s="0" t="n">
        <v>1</v>
      </c>
      <c r="D917" s="0" t="s">
        <v>2442</v>
      </c>
      <c r="E917" s="0" t="n">
        <v>1608</v>
      </c>
      <c r="F917" s="0" t="s">
        <v>240</v>
      </c>
      <c r="I917" s="0" t="n">
        <v>1672321</v>
      </c>
      <c r="J917" s="0" t="n">
        <v>28462</v>
      </c>
      <c r="K917" s="0" t="n">
        <v>7891025121626</v>
      </c>
      <c r="L917" s="0" t="s">
        <v>2985</v>
      </c>
      <c r="N917" s="0" t="n">
        <v>4</v>
      </c>
      <c r="O917" s="0" t="n">
        <v>30.04</v>
      </c>
      <c r="P917" s="0" t="s">
        <v>2444</v>
      </c>
    </row>
    <row r="918" customFormat="false" ht="15" hidden="false" customHeight="true" outlineLevel="0" collapsed="false">
      <c r="A918" s="0" t="n">
        <v>2</v>
      </c>
      <c r="B918" s="71" t="n">
        <v>46185</v>
      </c>
      <c r="C918" s="0" t="n">
        <v>1</v>
      </c>
      <c r="D918" s="0" t="s">
        <v>2442</v>
      </c>
      <c r="E918" s="0" t="n">
        <v>1608</v>
      </c>
      <c r="F918" s="0" t="s">
        <v>240</v>
      </c>
      <c r="I918" s="0" t="n">
        <v>1672321</v>
      </c>
      <c r="J918" s="0" t="n">
        <v>29169</v>
      </c>
      <c r="K918" s="0" t="n">
        <v>7891025115656</v>
      </c>
      <c r="L918" s="0" t="s">
        <v>2518</v>
      </c>
      <c r="N918" s="0" t="n">
        <v>1</v>
      </c>
      <c r="O918" s="0" t="n">
        <v>7.12</v>
      </c>
      <c r="P918" s="0" t="s">
        <v>2444</v>
      </c>
    </row>
    <row r="919" customFormat="false" ht="15" hidden="false" customHeight="true" outlineLevel="0" collapsed="false">
      <c r="A919" s="0" t="n">
        <v>2</v>
      </c>
      <c r="B919" s="71" t="n">
        <v>46185</v>
      </c>
      <c r="C919" s="0" t="n">
        <v>1</v>
      </c>
      <c r="D919" s="0" t="s">
        <v>2442</v>
      </c>
      <c r="E919" s="0" t="n">
        <v>1608</v>
      </c>
      <c r="F919" s="0" t="s">
        <v>240</v>
      </c>
      <c r="I919" s="0" t="n">
        <v>1672321</v>
      </c>
      <c r="J919" s="0" t="n">
        <v>31497</v>
      </c>
      <c r="K919" s="0" t="n">
        <v>7891025117773</v>
      </c>
      <c r="L919" s="0" t="s">
        <v>2520</v>
      </c>
      <c r="N919" s="0" t="n">
        <v>2</v>
      </c>
      <c r="O919" s="0" t="n">
        <v>10.6</v>
      </c>
      <c r="P919" s="0" t="s">
        <v>2444</v>
      </c>
    </row>
    <row r="920" customFormat="false" ht="15" hidden="false" customHeight="true" outlineLevel="0" collapsed="false">
      <c r="A920" s="0" t="n">
        <v>2</v>
      </c>
      <c r="B920" s="71" t="n">
        <v>46185</v>
      </c>
      <c r="C920" s="0" t="n">
        <v>1</v>
      </c>
      <c r="D920" s="0" t="s">
        <v>2442</v>
      </c>
      <c r="E920" s="0" t="n">
        <v>1608</v>
      </c>
      <c r="F920" s="0" t="s">
        <v>240</v>
      </c>
      <c r="I920" s="0" t="n">
        <v>1672321</v>
      </c>
      <c r="J920" s="0" t="n">
        <v>31570</v>
      </c>
      <c r="K920" s="0" t="n">
        <v>7898927809157</v>
      </c>
      <c r="L920" s="0" t="s">
        <v>2986</v>
      </c>
      <c r="N920" s="0" t="n">
        <v>12</v>
      </c>
      <c r="O920" s="0" t="n">
        <v>178.44</v>
      </c>
      <c r="P920" s="0" t="s">
        <v>2444</v>
      </c>
    </row>
    <row r="921" customFormat="false" ht="15" hidden="false" customHeight="true" outlineLevel="0" collapsed="false">
      <c r="A921" s="0" t="n">
        <v>2</v>
      </c>
      <c r="B921" s="71" t="n">
        <v>46185</v>
      </c>
      <c r="C921" s="0" t="n">
        <v>1</v>
      </c>
      <c r="D921" s="0" t="s">
        <v>2442</v>
      </c>
      <c r="E921" s="0" t="n">
        <v>1608</v>
      </c>
      <c r="F921" s="0" t="s">
        <v>240</v>
      </c>
      <c r="I921" s="0" t="n">
        <v>1672321</v>
      </c>
      <c r="J921" s="0" t="n">
        <v>35395</v>
      </c>
      <c r="K921" s="0" t="n">
        <v>7891025119852</v>
      </c>
      <c r="L921" s="0" t="s">
        <v>2987</v>
      </c>
      <c r="N921" s="0" t="n">
        <v>2</v>
      </c>
      <c r="O921" s="0" t="n">
        <v>24.4</v>
      </c>
      <c r="P921" s="0" t="s">
        <v>2444</v>
      </c>
    </row>
    <row r="922" customFormat="false" ht="15" hidden="false" customHeight="true" outlineLevel="0" collapsed="false">
      <c r="A922" s="0" t="n">
        <v>2</v>
      </c>
      <c r="B922" s="71" t="n">
        <v>46185</v>
      </c>
      <c r="C922" s="0" t="n">
        <v>1</v>
      </c>
      <c r="D922" s="0" t="s">
        <v>2442</v>
      </c>
      <c r="E922" s="0" t="n">
        <v>1608</v>
      </c>
      <c r="F922" s="0" t="s">
        <v>240</v>
      </c>
      <c r="I922" s="0" t="n">
        <v>1672321</v>
      </c>
      <c r="J922" s="0" t="n">
        <v>35841</v>
      </c>
      <c r="K922" s="0" t="n">
        <v>7891025120223</v>
      </c>
      <c r="L922" s="0" t="s">
        <v>2988</v>
      </c>
      <c r="N922" s="0" t="n">
        <v>4</v>
      </c>
      <c r="O922" s="0" t="n">
        <v>14.32</v>
      </c>
      <c r="P922" s="0" t="s">
        <v>2444</v>
      </c>
    </row>
    <row r="923" customFormat="false" ht="15" hidden="false" customHeight="true" outlineLevel="0" collapsed="false">
      <c r="A923" s="0" t="n">
        <v>2</v>
      </c>
      <c r="B923" s="71" t="n">
        <v>46185</v>
      </c>
      <c r="C923" s="0" t="n">
        <v>1</v>
      </c>
      <c r="D923" s="0" t="s">
        <v>2442</v>
      </c>
      <c r="E923" s="0" t="n">
        <v>1608</v>
      </c>
      <c r="F923" s="0" t="s">
        <v>240</v>
      </c>
      <c r="I923" s="0" t="n">
        <v>1672321</v>
      </c>
      <c r="J923" s="0" t="n">
        <v>35842</v>
      </c>
      <c r="K923" s="0" t="n">
        <v>7891025120230</v>
      </c>
      <c r="L923" s="0" t="s">
        <v>2522</v>
      </c>
      <c r="N923" s="0" t="n">
        <v>1</v>
      </c>
      <c r="O923" s="0" t="n">
        <v>3.66</v>
      </c>
      <c r="P923" s="0" t="s">
        <v>2444</v>
      </c>
    </row>
    <row r="924" customFormat="false" ht="15" hidden="false" customHeight="true" outlineLevel="0" collapsed="false">
      <c r="A924" s="0" t="n">
        <v>2</v>
      </c>
      <c r="B924" s="71" t="n">
        <v>46185</v>
      </c>
      <c r="C924" s="0" t="n">
        <v>1</v>
      </c>
      <c r="D924" s="0" t="s">
        <v>2442</v>
      </c>
      <c r="E924" s="0" t="n">
        <v>1608</v>
      </c>
      <c r="F924" s="0" t="s">
        <v>240</v>
      </c>
      <c r="I924" s="0" t="n">
        <v>1672321</v>
      </c>
      <c r="J924" s="0" t="n">
        <v>37024</v>
      </c>
      <c r="K924" s="0" t="n">
        <v>7891025121251</v>
      </c>
      <c r="L924" s="0" t="s">
        <v>2523</v>
      </c>
      <c r="N924" s="0" t="n">
        <v>2</v>
      </c>
      <c r="O924" s="0" t="n">
        <v>7.16</v>
      </c>
      <c r="P924" s="0" t="s">
        <v>2444</v>
      </c>
    </row>
    <row r="925" customFormat="false" ht="15" hidden="false" customHeight="true" outlineLevel="0" collapsed="false">
      <c r="A925" s="0" t="n">
        <v>2</v>
      </c>
      <c r="B925" s="71" t="n">
        <v>46185</v>
      </c>
      <c r="C925" s="0" t="n">
        <v>1</v>
      </c>
      <c r="D925" s="0" t="s">
        <v>2442</v>
      </c>
      <c r="E925" s="0" t="n">
        <v>1608</v>
      </c>
      <c r="F925" s="0" t="s">
        <v>240</v>
      </c>
      <c r="I925" s="0" t="n">
        <v>1672321</v>
      </c>
      <c r="J925" s="0" t="n">
        <v>37980</v>
      </c>
      <c r="K925" s="0" t="n">
        <v>7891025121640</v>
      </c>
      <c r="L925" s="0" t="s">
        <v>2989</v>
      </c>
      <c r="N925" s="0" t="n">
        <v>4</v>
      </c>
      <c r="O925" s="0" t="n">
        <v>29.44</v>
      </c>
      <c r="P925" s="0" t="s">
        <v>2444</v>
      </c>
    </row>
    <row r="926" customFormat="false" ht="15" hidden="false" customHeight="true" outlineLevel="0" collapsed="false">
      <c r="A926" s="0" t="n">
        <v>2</v>
      </c>
      <c r="B926" s="71" t="n">
        <v>46185</v>
      </c>
      <c r="C926" s="0" t="n">
        <v>1</v>
      </c>
      <c r="D926" s="0" t="s">
        <v>2442</v>
      </c>
      <c r="E926" s="0" t="n">
        <v>1608</v>
      </c>
      <c r="F926" s="0" t="s">
        <v>240</v>
      </c>
      <c r="I926" s="0" t="n">
        <v>1672321</v>
      </c>
      <c r="J926" s="0" t="n">
        <v>48139</v>
      </c>
      <c r="K926" s="0" t="n">
        <v>7891025122067</v>
      </c>
      <c r="L926" s="0" t="s">
        <v>2524</v>
      </c>
      <c r="N926" s="0" t="n">
        <v>1</v>
      </c>
      <c r="O926" s="0" t="n">
        <v>7.12</v>
      </c>
      <c r="P926" s="0" t="s">
        <v>2444</v>
      </c>
    </row>
    <row r="927" customFormat="false" ht="15" hidden="false" customHeight="true" outlineLevel="0" collapsed="false">
      <c r="A927" s="0" t="n">
        <v>2</v>
      </c>
      <c r="B927" s="71" t="n">
        <v>46185</v>
      </c>
      <c r="C927" s="0" t="n">
        <v>1</v>
      </c>
      <c r="D927" s="0" t="s">
        <v>2442</v>
      </c>
      <c r="E927" s="0" t="n">
        <v>1608</v>
      </c>
      <c r="F927" s="0" t="s">
        <v>240</v>
      </c>
      <c r="I927" s="0" t="n">
        <v>1672321</v>
      </c>
      <c r="J927" s="0" t="n">
        <v>50877</v>
      </c>
      <c r="K927" s="0" t="n">
        <v>7891025123040</v>
      </c>
      <c r="L927" s="0" t="s">
        <v>2990</v>
      </c>
      <c r="N927" s="0" t="n">
        <v>4</v>
      </c>
      <c r="O927" s="0" t="n">
        <v>10.24</v>
      </c>
      <c r="P927" s="0" t="s">
        <v>2444</v>
      </c>
    </row>
    <row r="928" customFormat="false" ht="15" hidden="false" customHeight="true" outlineLevel="0" collapsed="false">
      <c r="A928" s="0" t="n">
        <v>2</v>
      </c>
      <c r="B928" s="71" t="n">
        <v>46185</v>
      </c>
      <c r="C928" s="0" t="n">
        <v>1</v>
      </c>
      <c r="D928" s="0" t="s">
        <v>2442</v>
      </c>
      <c r="E928" s="0" t="n">
        <v>1608</v>
      </c>
      <c r="F928" s="0" t="s">
        <v>240</v>
      </c>
      <c r="I928" s="0" t="n">
        <v>1672321</v>
      </c>
      <c r="J928" s="0" t="n">
        <v>55693</v>
      </c>
      <c r="K928" s="0" t="n">
        <v>7891025124177</v>
      </c>
      <c r="L928" s="0" t="s">
        <v>2991</v>
      </c>
      <c r="N928" s="0" t="n">
        <v>2</v>
      </c>
      <c r="O928" s="0" t="n">
        <v>27.56</v>
      </c>
      <c r="P928" s="0" t="s">
        <v>2444</v>
      </c>
    </row>
    <row r="929" customFormat="false" ht="15" hidden="false" customHeight="true" outlineLevel="0" collapsed="false">
      <c r="A929" s="0" t="n">
        <v>2</v>
      </c>
      <c r="B929" s="71" t="n">
        <v>46185</v>
      </c>
      <c r="C929" s="0" t="n">
        <v>1</v>
      </c>
      <c r="D929" s="0" t="s">
        <v>2442</v>
      </c>
      <c r="E929" s="0" t="n">
        <v>1608</v>
      </c>
      <c r="F929" s="0" t="s">
        <v>240</v>
      </c>
      <c r="I929" s="0" t="n">
        <v>1672321</v>
      </c>
      <c r="J929" s="0" t="n">
        <v>69612</v>
      </c>
      <c r="K929" s="0" t="n">
        <v>7891025123453</v>
      </c>
      <c r="L929" s="0" t="s">
        <v>2525</v>
      </c>
      <c r="N929" s="0" t="n">
        <v>2</v>
      </c>
      <c r="O929" s="0" t="n">
        <v>24.58</v>
      </c>
      <c r="P929" s="0" t="s">
        <v>2444</v>
      </c>
    </row>
    <row r="930" customFormat="false" ht="15" hidden="false" customHeight="true" outlineLevel="0" collapsed="false">
      <c r="A930" s="0" t="n">
        <v>2</v>
      </c>
      <c r="B930" s="71" t="n">
        <v>46185</v>
      </c>
      <c r="C930" s="0" t="n">
        <v>1</v>
      </c>
      <c r="D930" s="0" t="s">
        <v>2442</v>
      </c>
      <c r="E930" s="0" t="n">
        <v>1608</v>
      </c>
      <c r="F930" s="0" t="s">
        <v>240</v>
      </c>
      <c r="I930" s="0" t="n">
        <v>1672321</v>
      </c>
      <c r="J930" s="0" t="n">
        <v>80307</v>
      </c>
      <c r="K930" s="0" t="n">
        <v>7891025125372</v>
      </c>
      <c r="L930" s="0" t="s">
        <v>2992</v>
      </c>
      <c r="N930" s="0" t="n">
        <v>1</v>
      </c>
      <c r="O930" s="0" t="n">
        <v>15.72</v>
      </c>
      <c r="P930" s="0" t="s">
        <v>2444</v>
      </c>
    </row>
    <row r="931" customFormat="false" ht="15" hidden="false" customHeight="true" outlineLevel="0" collapsed="false">
      <c r="A931" s="0" t="n">
        <v>2</v>
      </c>
      <c r="B931" s="71" t="n">
        <v>46185</v>
      </c>
      <c r="C931" s="0" t="n">
        <v>1</v>
      </c>
      <c r="D931" s="0" t="s">
        <v>2442</v>
      </c>
      <c r="E931" s="0" t="n">
        <v>1608</v>
      </c>
      <c r="F931" s="0" t="s">
        <v>240</v>
      </c>
      <c r="I931" s="0" t="n">
        <v>1672321</v>
      </c>
      <c r="J931" s="0" t="n">
        <v>81126</v>
      </c>
      <c r="K931" s="0" t="n">
        <v>7891025125501</v>
      </c>
      <c r="L931" s="0" t="s">
        <v>2993</v>
      </c>
      <c r="N931" s="0" t="n">
        <v>1</v>
      </c>
      <c r="O931" s="0" t="n">
        <v>7.12</v>
      </c>
      <c r="P931" s="0" t="s">
        <v>2444</v>
      </c>
    </row>
    <row r="932" customFormat="false" ht="15" hidden="false" customHeight="true" outlineLevel="0" collapsed="false">
      <c r="A932" s="0" t="n">
        <v>2</v>
      </c>
      <c r="B932" s="71" t="n">
        <v>46185</v>
      </c>
      <c r="C932" s="0" t="n">
        <v>1</v>
      </c>
      <c r="D932" s="0" t="s">
        <v>2442</v>
      </c>
      <c r="E932" s="0" t="n">
        <v>1608</v>
      </c>
      <c r="F932" s="0" t="s">
        <v>240</v>
      </c>
      <c r="I932" s="0" t="n">
        <v>1672321</v>
      </c>
      <c r="J932" s="0" t="n">
        <v>81338</v>
      </c>
      <c r="K932" s="0" t="n">
        <v>7891025125365</v>
      </c>
      <c r="L932" s="0" t="s">
        <v>2994</v>
      </c>
      <c r="N932" s="0" t="n">
        <v>1</v>
      </c>
      <c r="O932" s="0" t="n">
        <v>15.72</v>
      </c>
      <c r="P932" s="0" t="s">
        <v>2444</v>
      </c>
    </row>
    <row r="933" customFormat="false" ht="15" hidden="false" customHeight="true" outlineLevel="0" collapsed="false">
      <c r="A933" s="0" t="n">
        <v>2</v>
      </c>
      <c r="B933" s="71" t="n">
        <v>46185</v>
      </c>
      <c r="C933" s="0" t="n">
        <v>1</v>
      </c>
      <c r="D933" s="0" t="s">
        <v>2442</v>
      </c>
      <c r="E933" s="0" t="n">
        <v>1705</v>
      </c>
      <c r="F933" s="0" t="s">
        <v>130</v>
      </c>
      <c r="I933" s="0" t="n">
        <v>1877756</v>
      </c>
      <c r="J933" s="0" t="n">
        <v>103160</v>
      </c>
      <c r="K933" s="0" t="n">
        <v>7894900030013</v>
      </c>
      <c r="L933" s="0" t="s">
        <v>2568</v>
      </c>
      <c r="N933" s="0" t="n">
        <v>6</v>
      </c>
      <c r="O933" s="0" t="n">
        <v>16.61</v>
      </c>
      <c r="P933" s="0" t="s">
        <v>2444</v>
      </c>
    </row>
    <row r="934" customFormat="false" ht="15" hidden="false" customHeight="true" outlineLevel="0" collapsed="false">
      <c r="A934" s="0" t="n">
        <v>2</v>
      </c>
      <c r="B934" s="71" t="n">
        <v>46185</v>
      </c>
      <c r="C934" s="0" t="n">
        <v>1</v>
      </c>
      <c r="D934" s="0" t="s">
        <v>2442</v>
      </c>
      <c r="E934" s="0" t="n">
        <v>1705</v>
      </c>
      <c r="F934" s="0" t="s">
        <v>130</v>
      </c>
      <c r="I934" s="0" t="n">
        <v>1877757</v>
      </c>
      <c r="J934" s="0" t="n">
        <v>103139</v>
      </c>
      <c r="K934" s="0" t="n">
        <v>7894900051759</v>
      </c>
      <c r="L934" s="0" t="s">
        <v>2654</v>
      </c>
      <c r="N934" s="0" t="n">
        <v>6</v>
      </c>
      <c r="O934" s="0" t="n">
        <v>31.26</v>
      </c>
      <c r="P934" s="0" t="s">
        <v>2444</v>
      </c>
    </row>
    <row r="935" customFormat="false" ht="15" hidden="false" customHeight="true" outlineLevel="0" collapsed="false">
      <c r="A935" s="0" t="n">
        <v>2</v>
      </c>
      <c r="B935" s="71" t="n">
        <v>46185</v>
      </c>
      <c r="C935" s="0" t="n">
        <v>1</v>
      </c>
      <c r="D935" s="0" t="s">
        <v>2442</v>
      </c>
      <c r="E935" s="0" t="n">
        <v>1705</v>
      </c>
      <c r="F935" s="0" t="s">
        <v>130</v>
      </c>
      <c r="I935" s="0" t="n">
        <v>1877757</v>
      </c>
      <c r="J935" s="0" t="n">
        <v>103142</v>
      </c>
      <c r="K935" s="0" t="n">
        <v>7894900011753</v>
      </c>
      <c r="L935" s="0" t="s">
        <v>2581</v>
      </c>
      <c r="N935" s="0" t="n">
        <v>36</v>
      </c>
      <c r="O935" s="0" t="n">
        <v>219.05</v>
      </c>
      <c r="P935" s="0" t="s">
        <v>2444</v>
      </c>
    </row>
    <row r="936" customFormat="false" ht="15" hidden="false" customHeight="true" outlineLevel="0" collapsed="false">
      <c r="A936" s="0" t="n">
        <v>2</v>
      </c>
      <c r="B936" s="71" t="n">
        <v>46185</v>
      </c>
      <c r="C936" s="0" t="n">
        <v>1</v>
      </c>
      <c r="D936" s="0" t="s">
        <v>2442</v>
      </c>
      <c r="E936" s="0" t="n">
        <v>1705</v>
      </c>
      <c r="F936" s="0" t="s">
        <v>130</v>
      </c>
      <c r="I936" s="0" t="n">
        <v>1877757</v>
      </c>
      <c r="J936" s="0" t="n">
        <v>103145</v>
      </c>
      <c r="K936" s="0" t="n">
        <v>7894900051513</v>
      </c>
      <c r="L936" s="0" t="s">
        <v>2995</v>
      </c>
      <c r="N936" s="0" t="n">
        <v>18</v>
      </c>
      <c r="O936" s="0" t="n">
        <v>134.98</v>
      </c>
      <c r="P936" s="0" t="s">
        <v>2444</v>
      </c>
    </row>
    <row r="937" customFormat="false" ht="15" hidden="false" customHeight="true" outlineLevel="0" collapsed="false">
      <c r="A937" s="0" t="n">
        <v>2</v>
      </c>
      <c r="B937" s="71" t="n">
        <v>46185</v>
      </c>
      <c r="C937" s="0" t="n">
        <v>1</v>
      </c>
      <c r="D937" s="0" t="s">
        <v>2442</v>
      </c>
      <c r="E937" s="0" t="n">
        <v>1705</v>
      </c>
      <c r="F937" s="0" t="s">
        <v>130</v>
      </c>
      <c r="I937" s="0" t="n">
        <v>1877757</v>
      </c>
      <c r="J937" s="0" t="n">
        <v>103158</v>
      </c>
      <c r="K937" s="0" t="n">
        <v>7894900060010</v>
      </c>
      <c r="L937" s="0" t="s">
        <v>2559</v>
      </c>
      <c r="N937" s="0" t="n">
        <v>18</v>
      </c>
      <c r="O937" s="0" t="n">
        <v>46.89</v>
      </c>
      <c r="P937" s="0" t="s">
        <v>2444</v>
      </c>
    </row>
    <row r="938" customFormat="false" ht="15" hidden="false" customHeight="true" outlineLevel="0" collapsed="false">
      <c r="A938" s="0" t="n">
        <v>2</v>
      </c>
      <c r="B938" s="71" t="n">
        <v>46185</v>
      </c>
      <c r="C938" s="0" t="n">
        <v>1</v>
      </c>
      <c r="D938" s="0" t="s">
        <v>2442</v>
      </c>
      <c r="E938" s="0" t="n">
        <v>1705</v>
      </c>
      <c r="F938" s="0" t="s">
        <v>130</v>
      </c>
      <c r="I938" s="0" t="n">
        <v>1877757</v>
      </c>
      <c r="J938" s="0" t="n">
        <v>103159</v>
      </c>
      <c r="K938" s="0" t="n">
        <v>7894900050011</v>
      </c>
      <c r="L938" s="0" t="s">
        <v>2656</v>
      </c>
      <c r="N938" s="0" t="n">
        <v>12</v>
      </c>
      <c r="O938" s="0" t="n">
        <v>33.21</v>
      </c>
      <c r="P938" s="0" t="s">
        <v>2444</v>
      </c>
    </row>
    <row r="939" customFormat="false" ht="15" hidden="false" customHeight="true" outlineLevel="0" collapsed="false">
      <c r="A939" s="0" t="n">
        <v>2</v>
      </c>
      <c r="B939" s="71" t="n">
        <v>46185</v>
      </c>
      <c r="C939" s="0" t="n">
        <v>1</v>
      </c>
      <c r="D939" s="0" t="s">
        <v>2442</v>
      </c>
      <c r="E939" s="0" t="n">
        <v>1705</v>
      </c>
      <c r="F939" s="0" t="s">
        <v>130</v>
      </c>
      <c r="I939" s="0" t="n">
        <v>1877757</v>
      </c>
      <c r="J939" s="0" t="n">
        <v>103160</v>
      </c>
      <c r="K939" s="0" t="n">
        <v>7894900030013</v>
      </c>
      <c r="L939" s="0" t="s">
        <v>2568</v>
      </c>
      <c r="N939" s="0" t="n">
        <v>6</v>
      </c>
      <c r="O939" s="0" t="n">
        <v>16.61</v>
      </c>
      <c r="P939" s="0" t="s">
        <v>2444</v>
      </c>
    </row>
    <row r="940" customFormat="false" ht="15" hidden="false" customHeight="true" outlineLevel="0" collapsed="false">
      <c r="A940" s="0" t="n">
        <v>2</v>
      </c>
      <c r="B940" s="71" t="n">
        <v>46185</v>
      </c>
      <c r="C940" s="0" t="n">
        <v>1</v>
      </c>
      <c r="D940" s="0" t="s">
        <v>2442</v>
      </c>
      <c r="E940" s="0" t="n">
        <v>1705</v>
      </c>
      <c r="F940" s="0" t="s">
        <v>130</v>
      </c>
      <c r="I940" s="0" t="n">
        <v>1877757</v>
      </c>
      <c r="J940" s="0" t="n">
        <v>103161</v>
      </c>
      <c r="K940" s="0" t="n">
        <v>7894900010015</v>
      </c>
      <c r="L940" s="0" t="s">
        <v>2569</v>
      </c>
      <c r="N940" s="0" t="n">
        <v>48</v>
      </c>
      <c r="O940" s="0" t="n">
        <v>152.38</v>
      </c>
      <c r="P940" s="0" t="s">
        <v>2444</v>
      </c>
    </row>
    <row r="941" customFormat="false" ht="15" hidden="false" customHeight="true" outlineLevel="0" collapsed="false">
      <c r="A941" s="0" t="n">
        <v>2</v>
      </c>
      <c r="B941" s="71" t="n">
        <v>46185</v>
      </c>
      <c r="C941" s="0" t="n">
        <v>1</v>
      </c>
      <c r="D941" s="0" t="s">
        <v>2442</v>
      </c>
      <c r="E941" s="0" t="n">
        <v>1705</v>
      </c>
      <c r="F941" s="0" t="s">
        <v>130</v>
      </c>
      <c r="I941" s="0" t="n">
        <v>1877757</v>
      </c>
      <c r="J941" s="0" t="n">
        <v>105323</v>
      </c>
      <c r="K941" s="0" t="n">
        <v>7894900701753</v>
      </c>
      <c r="L941" s="0" t="s">
        <v>2570</v>
      </c>
      <c r="N941" s="0" t="n">
        <v>24</v>
      </c>
      <c r="O941" s="0" t="n">
        <v>141.88</v>
      </c>
      <c r="P941" s="0" t="s">
        <v>2444</v>
      </c>
    </row>
    <row r="942" customFormat="false" ht="15" hidden="false" customHeight="true" outlineLevel="0" collapsed="false">
      <c r="A942" s="0" t="n">
        <v>2</v>
      </c>
      <c r="B942" s="71" t="n">
        <v>46185</v>
      </c>
      <c r="C942" s="0" t="n">
        <v>1</v>
      </c>
      <c r="D942" s="0" t="s">
        <v>2442</v>
      </c>
      <c r="E942" s="0" t="n">
        <v>1705</v>
      </c>
      <c r="F942" s="0" t="s">
        <v>130</v>
      </c>
      <c r="I942" s="0" t="n">
        <v>1877757</v>
      </c>
      <c r="J942" s="0" t="n">
        <v>107100</v>
      </c>
      <c r="K942" s="0" t="n">
        <v>7894900700015</v>
      </c>
      <c r="L942" s="0" t="s">
        <v>2572</v>
      </c>
      <c r="N942" s="0" t="n">
        <v>12</v>
      </c>
      <c r="O942" s="0" t="n">
        <v>37.12</v>
      </c>
      <c r="P942" s="0" t="s">
        <v>2444</v>
      </c>
    </row>
    <row r="943" customFormat="false" ht="15" hidden="false" customHeight="true" outlineLevel="0" collapsed="false">
      <c r="A943" s="0" t="n">
        <v>2</v>
      </c>
      <c r="B943" s="71" t="n">
        <v>46185</v>
      </c>
      <c r="C943" s="0" t="n">
        <v>1</v>
      </c>
      <c r="D943" s="0" t="s">
        <v>2442</v>
      </c>
      <c r="E943" s="0" t="n">
        <v>1705</v>
      </c>
      <c r="F943" s="0" t="s">
        <v>130</v>
      </c>
      <c r="I943" s="0" t="n">
        <v>1877757</v>
      </c>
      <c r="J943" s="0" t="n">
        <v>10830</v>
      </c>
      <c r="K943" s="0" t="n">
        <v>7894900701517</v>
      </c>
      <c r="L943" s="0" t="s">
        <v>2573</v>
      </c>
      <c r="N943" s="0" t="n">
        <v>12</v>
      </c>
      <c r="O943" s="0" t="n">
        <v>102.56</v>
      </c>
      <c r="P943" s="0" t="s">
        <v>2444</v>
      </c>
    </row>
    <row r="944" customFormat="false" ht="15" hidden="false" customHeight="true" outlineLevel="0" collapsed="false">
      <c r="A944" s="0" t="n">
        <v>2</v>
      </c>
      <c r="B944" s="71" t="n">
        <v>46185</v>
      </c>
      <c r="C944" s="0" t="n">
        <v>1</v>
      </c>
      <c r="D944" s="0" t="s">
        <v>2442</v>
      </c>
      <c r="E944" s="0" t="n">
        <v>1705</v>
      </c>
      <c r="F944" s="0" t="s">
        <v>130</v>
      </c>
      <c r="I944" s="0" t="n">
        <v>1877757</v>
      </c>
      <c r="J944" s="0" t="n">
        <v>21426</v>
      </c>
      <c r="K944" s="0" t="n">
        <v>7894900014211</v>
      </c>
      <c r="L944" s="0" t="s">
        <v>2470</v>
      </c>
      <c r="N944" s="0" t="n">
        <v>9</v>
      </c>
      <c r="O944" s="0" t="n">
        <v>59.89</v>
      </c>
      <c r="P944" s="0" t="s">
        <v>2444</v>
      </c>
    </row>
    <row r="945" customFormat="false" ht="15" hidden="false" customHeight="true" outlineLevel="0" collapsed="false">
      <c r="A945" s="0" t="n">
        <v>2</v>
      </c>
      <c r="B945" s="71" t="n">
        <v>46185</v>
      </c>
      <c r="C945" s="0" t="n">
        <v>1</v>
      </c>
      <c r="D945" s="0" t="s">
        <v>2442</v>
      </c>
      <c r="E945" s="0" t="n">
        <v>1705</v>
      </c>
      <c r="F945" s="0" t="s">
        <v>130</v>
      </c>
      <c r="I945" s="0" t="n">
        <v>1877757</v>
      </c>
      <c r="J945" s="0" t="n">
        <v>32339</v>
      </c>
      <c r="K945" s="0" t="n">
        <v>7894900681000</v>
      </c>
      <c r="L945" s="0" t="s">
        <v>2996</v>
      </c>
      <c r="N945" s="0" t="n">
        <v>6</v>
      </c>
      <c r="O945" s="0" t="n">
        <v>44.99</v>
      </c>
      <c r="P945" s="0" t="s">
        <v>2444</v>
      </c>
    </row>
    <row r="946" customFormat="false" ht="15" hidden="false" customHeight="true" outlineLevel="0" collapsed="false">
      <c r="A946" s="0" t="n">
        <v>2</v>
      </c>
      <c r="B946" s="71" t="n">
        <v>46185</v>
      </c>
      <c r="C946" s="0" t="n">
        <v>1</v>
      </c>
      <c r="D946" s="0" t="s">
        <v>2442</v>
      </c>
      <c r="E946" s="0" t="n">
        <v>1705</v>
      </c>
      <c r="F946" s="0" t="s">
        <v>130</v>
      </c>
      <c r="I946" s="0" t="n">
        <v>1877757</v>
      </c>
      <c r="J946" s="0" t="n">
        <v>35357</v>
      </c>
      <c r="K946" s="0" t="n">
        <v>7894900681017</v>
      </c>
      <c r="L946" s="0" t="s">
        <v>2564</v>
      </c>
      <c r="N946" s="0" t="n">
        <v>18</v>
      </c>
      <c r="O946" s="0" t="n">
        <v>49.82</v>
      </c>
      <c r="P946" s="0" t="s">
        <v>2444</v>
      </c>
    </row>
    <row r="947" customFormat="false" ht="15" hidden="false" customHeight="true" outlineLevel="0" collapsed="false">
      <c r="A947" s="0" t="n">
        <v>2</v>
      </c>
      <c r="B947" s="71" t="n">
        <v>46185</v>
      </c>
      <c r="C947" s="0" t="n">
        <v>1</v>
      </c>
      <c r="D947" s="0" t="s">
        <v>2442</v>
      </c>
      <c r="E947" s="0" t="n">
        <v>1705</v>
      </c>
      <c r="F947" s="0" t="s">
        <v>130</v>
      </c>
      <c r="I947" s="0" t="n">
        <v>1877757</v>
      </c>
      <c r="J947" s="0" t="n">
        <v>64292</v>
      </c>
      <c r="K947" s="0" t="n">
        <v>78938588</v>
      </c>
      <c r="L947" s="0" t="s">
        <v>2578</v>
      </c>
      <c r="N947" s="0" t="n">
        <v>6</v>
      </c>
      <c r="O947" s="0" t="n">
        <v>10.44</v>
      </c>
      <c r="P947" s="0" t="s">
        <v>2444</v>
      </c>
    </row>
    <row r="948" customFormat="false" ht="15" hidden="false" customHeight="true" outlineLevel="0" collapsed="false">
      <c r="A948" s="0" t="n">
        <v>2</v>
      </c>
      <c r="B948" s="71" t="n">
        <v>46185</v>
      </c>
      <c r="C948" s="0" t="n">
        <v>2</v>
      </c>
      <c r="D948" s="0" t="s">
        <v>2533</v>
      </c>
      <c r="E948" s="0" t="n">
        <v>48</v>
      </c>
      <c r="F948" s="0" t="s">
        <v>153</v>
      </c>
      <c r="I948" s="0" t="n">
        <v>12626</v>
      </c>
      <c r="J948" s="0" t="n">
        <v>42564</v>
      </c>
      <c r="K948" s="0" t="n">
        <v>574</v>
      </c>
      <c r="L948" s="0" t="s">
        <v>2534</v>
      </c>
      <c r="N948" s="0" t="n">
        <v>20</v>
      </c>
      <c r="O948" s="0" t="n">
        <v>260</v>
      </c>
      <c r="P948" s="0" t="s">
        <v>2444</v>
      </c>
    </row>
    <row r="949" customFormat="false" ht="15" hidden="false" customHeight="true" outlineLevel="0" collapsed="false">
      <c r="A949" s="0" t="n">
        <v>2</v>
      </c>
      <c r="B949" s="71" t="n">
        <v>46185</v>
      </c>
      <c r="C949" s="0" t="n">
        <v>2</v>
      </c>
      <c r="D949" s="0" t="s">
        <v>2533</v>
      </c>
      <c r="E949" s="0" t="n">
        <v>48</v>
      </c>
      <c r="F949" s="0" t="s">
        <v>153</v>
      </c>
      <c r="I949" s="0" t="n">
        <v>1262026</v>
      </c>
      <c r="J949" s="0" t="n">
        <v>100110</v>
      </c>
      <c r="K949" s="0" t="n">
        <v>111</v>
      </c>
      <c r="L949" s="0" t="s">
        <v>2997</v>
      </c>
      <c r="N949" s="0" t="n">
        <v>15</v>
      </c>
      <c r="O949" s="0" t="n">
        <v>150</v>
      </c>
      <c r="P949" s="0" t="s">
        <v>2444</v>
      </c>
    </row>
    <row r="950" customFormat="false" ht="15" hidden="false" customHeight="true" outlineLevel="0" collapsed="false">
      <c r="A950" s="0" t="n">
        <v>2</v>
      </c>
      <c r="B950" s="71" t="n">
        <v>46185</v>
      </c>
      <c r="C950" s="0" t="n">
        <v>2</v>
      </c>
      <c r="D950" s="0" t="s">
        <v>2533</v>
      </c>
      <c r="E950" s="0" t="n">
        <v>48</v>
      </c>
      <c r="F950" s="0" t="s">
        <v>153</v>
      </c>
      <c r="I950" s="0" t="n">
        <v>1262026</v>
      </c>
      <c r="J950" s="0" t="n">
        <v>100112</v>
      </c>
      <c r="K950" s="0" t="n">
        <v>113</v>
      </c>
      <c r="L950" s="0" t="s">
        <v>2538</v>
      </c>
      <c r="N950" s="0" t="n">
        <v>48</v>
      </c>
      <c r="O950" s="0" t="n">
        <v>75</v>
      </c>
      <c r="P950" s="0" t="s">
        <v>2444</v>
      </c>
    </row>
    <row r="951" customFormat="false" ht="15" hidden="false" customHeight="true" outlineLevel="0" collapsed="false">
      <c r="A951" s="0" t="n">
        <v>2</v>
      </c>
      <c r="B951" s="71" t="n">
        <v>46185</v>
      </c>
      <c r="C951" s="0" t="n">
        <v>2</v>
      </c>
      <c r="D951" s="0" t="s">
        <v>2533</v>
      </c>
      <c r="E951" s="0" t="n">
        <v>48</v>
      </c>
      <c r="F951" s="0" t="s">
        <v>153</v>
      </c>
      <c r="I951" s="0" t="n">
        <v>1262026</v>
      </c>
      <c r="J951" s="0" t="n">
        <v>100113</v>
      </c>
      <c r="K951" s="0" t="n">
        <v>114</v>
      </c>
      <c r="L951" s="0" t="s">
        <v>2539</v>
      </c>
      <c r="N951" s="0" t="n">
        <v>40</v>
      </c>
      <c r="O951" s="0" t="n">
        <v>80</v>
      </c>
      <c r="P951" s="0" t="s">
        <v>2444</v>
      </c>
    </row>
    <row r="952" customFormat="false" ht="15" hidden="false" customHeight="true" outlineLevel="0" collapsed="false">
      <c r="A952" s="0" t="n">
        <v>2</v>
      </c>
      <c r="B952" s="71" t="n">
        <v>46185</v>
      </c>
      <c r="C952" s="0" t="n">
        <v>2</v>
      </c>
      <c r="D952" s="0" t="s">
        <v>2533</v>
      </c>
      <c r="E952" s="0" t="n">
        <v>48</v>
      </c>
      <c r="F952" s="0" t="s">
        <v>153</v>
      </c>
      <c r="I952" s="0" t="n">
        <v>1262026</v>
      </c>
      <c r="J952" s="0" t="n">
        <v>100118</v>
      </c>
      <c r="K952" s="0" t="n">
        <v>119</v>
      </c>
      <c r="L952" s="0" t="s">
        <v>2541</v>
      </c>
      <c r="N952" s="0" t="n">
        <v>5</v>
      </c>
      <c r="O952" s="0" t="n">
        <v>30</v>
      </c>
      <c r="P952" s="0" t="s">
        <v>2444</v>
      </c>
    </row>
    <row r="953" customFormat="false" ht="15" hidden="false" customHeight="true" outlineLevel="0" collapsed="false">
      <c r="A953" s="0" t="n">
        <v>2</v>
      </c>
      <c r="B953" s="71" t="n">
        <v>46185</v>
      </c>
      <c r="C953" s="0" t="n">
        <v>2</v>
      </c>
      <c r="D953" s="0" t="s">
        <v>2533</v>
      </c>
      <c r="E953" s="0" t="n">
        <v>48</v>
      </c>
      <c r="F953" s="0" t="s">
        <v>153</v>
      </c>
      <c r="I953" s="0" t="n">
        <v>1262026</v>
      </c>
      <c r="J953" s="0" t="n">
        <v>100121</v>
      </c>
      <c r="K953" s="0" t="n">
        <v>122</v>
      </c>
      <c r="L953" s="0" t="s">
        <v>2542</v>
      </c>
      <c r="N953" s="0" t="n">
        <v>3</v>
      </c>
      <c r="O953" s="0" t="n">
        <v>60</v>
      </c>
      <c r="P953" s="0" t="s">
        <v>2444</v>
      </c>
    </row>
    <row r="954" customFormat="false" ht="15" hidden="false" customHeight="true" outlineLevel="0" collapsed="false">
      <c r="A954" s="0" t="n">
        <v>2</v>
      </c>
      <c r="B954" s="71" t="n">
        <v>46185</v>
      </c>
      <c r="C954" s="0" t="n">
        <v>2</v>
      </c>
      <c r="D954" s="0" t="s">
        <v>2533</v>
      </c>
      <c r="E954" s="0" t="n">
        <v>48</v>
      </c>
      <c r="F954" s="0" t="s">
        <v>153</v>
      </c>
      <c r="I954" s="0" t="n">
        <v>1262026</v>
      </c>
      <c r="J954" s="0" t="n">
        <v>100122</v>
      </c>
      <c r="K954" s="0" t="n">
        <v>123</v>
      </c>
      <c r="L954" s="0" t="s">
        <v>2543</v>
      </c>
      <c r="N954" s="0" t="n">
        <v>3</v>
      </c>
      <c r="O954" s="0" t="n">
        <v>51</v>
      </c>
      <c r="P954" s="0" t="s">
        <v>2444</v>
      </c>
    </row>
    <row r="955" customFormat="false" ht="15" hidden="false" customHeight="true" outlineLevel="0" collapsed="false">
      <c r="A955" s="0" t="n">
        <v>2</v>
      </c>
      <c r="B955" s="71" t="n">
        <v>46185</v>
      </c>
      <c r="C955" s="0" t="n">
        <v>2</v>
      </c>
      <c r="D955" s="0" t="s">
        <v>2533</v>
      </c>
      <c r="E955" s="0" t="n">
        <v>48</v>
      </c>
      <c r="F955" s="0" t="s">
        <v>153</v>
      </c>
      <c r="I955" s="0" t="n">
        <v>1262026</v>
      </c>
      <c r="J955" s="0" t="n">
        <v>100123</v>
      </c>
      <c r="K955" s="0" t="n">
        <v>124</v>
      </c>
      <c r="L955" s="0" t="s">
        <v>2544</v>
      </c>
      <c r="N955" s="0" t="n">
        <v>1</v>
      </c>
      <c r="O955" s="0" t="n">
        <v>15</v>
      </c>
      <c r="P955" s="0" t="s">
        <v>2444</v>
      </c>
    </row>
    <row r="956" customFormat="false" ht="15" hidden="false" customHeight="true" outlineLevel="0" collapsed="false">
      <c r="A956" s="0" t="n">
        <v>2</v>
      </c>
      <c r="B956" s="71" t="n">
        <v>46185</v>
      </c>
      <c r="C956" s="0" t="n">
        <v>2</v>
      </c>
      <c r="D956" s="0" t="s">
        <v>2533</v>
      </c>
      <c r="E956" s="0" t="n">
        <v>48</v>
      </c>
      <c r="F956" s="0" t="s">
        <v>153</v>
      </c>
      <c r="I956" s="0" t="n">
        <v>1262026</v>
      </c>
      <c r="J956" s="0" t="n">
        <v>100130</v>
      </c>
      <c r="K956" s="0" t="n">
        <v>131</v>
      </c>
      <c r="L956" s="0" t="s">
        <v>2545</v>
      </c>
      <c r="N956" s="0" t="n">
        <v>15</v>
      </c>
      <c r="O956" s="0" t="n">
        <v>55</v>
      </c>
      <c r="P956" s="0" t="s">
        <v>2444</v>
      </c>
    </row>
    <row r="957" customFormat="false" ht="15" hidden="false" customHeight="true" outlineLevel="0" collapsed="false">
      <c r="A957" s="0" t="n">
        <v>2</v>
      </c>
      <c r="B957" s="71" t="n">
        <v>46185</v>
      </c>
      <c r="C957" s="0" t="n">
        <v>2</v>
      </c>
      <c r="D957" s="0" t="s">
        <v>2533</v>
      </c>
      <c r="E957" s="0" t="n">
        <v>48</v>
      </c>
      <c r="F957" s="0" t="s">
        <v>153</v>
      </c>
      <c r="I957" s="0" t="n">
        <v>1262026</v>
      </c>
      <c r="J957" s="0" t="n">
        <v>100132</v>
      </c>
      <c r="K957" s="0" t="n">
        <v>133</v>
      </c>
      <c r="L957" s="0" t="s">
        <v>2546</v>
      </c>
      <c r="N957" s="0" t="n">
        <v>44</v>
      </c>
      <c r="O957" s="0" t="n">
        <v>152</v>
      </c>
      <c r="P957" s="0" t="s">
        <v>2444</v>
      </c>
    </row>
    <row r="958" customFormat="false" ht="15" hidden="false" customHeight="true" outlineLevel="0" collapsed="false">
      <c r="A958" s="0" t="n">
        <v>2</v>
      </c>
      <c r="B958" s="71" t="n">
        <v>46185</v>
      </c>
      <c r="C958" s="0" t="n">
        <v>2</v>
      </c>
      <c r="D958" s="0" t="s">
        <v>2533</v>
      </c>
      <c r="E958" s="0" t="n">
        <v>48</v>
      </c>
      <c r="F958" s="0" t="s">
        <v>153</v>
      </c>
      <c r="I958" s="0" t="n">
        <v>1262026</v>
      </c>
      <c r="J958" s="0" t="n">
        <v>100133</v>
      </c>
      <c r="K958" s="0" t="n">
        <v>134</v>
      </c>
      <c r="L958" s="0" t="s">
        <v>2547</v>
      </c>
      <c r="N958" s="0" t="n">
        <v>15</v>
      </c>
      <c r="O958" s="0" t="n">
        <v>37.5</v>
      </c>
      <c r="P958" s="0" t="s">
        <v>2444</v>
      </c>
    </row>
    <row r="959" customFormat="false" ht="15" hidden="false" customHeight="true" outlineLevel="0" collapsed="false">
      <c r="A959" s="0" t="n">
        <v>2</v>
      </c>
      <c r="B959" s="71" t="n">
        <v>46185</v>
      </c>
      <c r="C959" s="0" t="n">
        <v>2</v>
      </c>
      <c r="D959" s="0" t="s">
        <v>2533</v>
      </c>
      <c r="E959" s="0" t="n">
        <v>48</v>
      </c>
      <c r="F959" s="0" t="s">
        <v>153</v>
      </c>
      <c r="I959" s="0" t="n">
        <v>1262026</v>
      </c>
      <c r="J959" s="0" t="n">
        <v>100135</v>
      </c>
      <c r="K959" s="0" t="n">
        <v>136</v>
      </c>
      <c r="L959" s="0" t="s">
        <v>2599</v>
      </c>
      <c r="N959" s="0" t="n">
        <v>13</v>
      </c>
      <c r="O959" s="0" t="n">
        <v>108.29</v>
      </c>
      <c r="P959" s="0" t="s">
        <v>2444</v>
      </c>
    </row>
    <row r="960" customFormat="false" ht="15" hidden="false" customHeight="true" outlineLevel="0" collapsed="false">
      <c r="A960" s="0" t="n">
        <v>2</v>
      </c>
      <c r="B960" s="71" t="n">
        <v>46185</v>
      </c>
      <c r="C960" s="0" t="n">
        <v>2</v>
      </c>
      <c r="D960" s="0" t="s">
        <v>2533</v>
      </c>
      <c r="E960" s="0" t="n">
        <v>48</v>
      </c>
      <c r="F960" s="0" t="s">
        <v>153</v>
      </c>
      <c r="I960" s="0" t="n">
        <v>1262026</v>
      </c>
      <c r="J960" s="0" t="n">
        <v>110142</v>
      </c>
      <c r="K960" s="0" t="n">
        <v>16699</v>
      </c>
      <c r="L960" s="0" t="s">
        <v>2549</v>
      </c>
      <c r="N960" s="0" t="n">
        <v>40</v>
      </c>
      <c r="O960" s="0" t="n">
        <v>240</v>
      </c>
      <c r="P960" s="0" t="s">
        <v>2444</v>
      </c>
    </row>
    <row r="961" customFormat="false" ht="15" hidden="false" customHeight="true" outlineLevel="0" collapsed="false">
      <c r="A961" s="0" t="n">
        <v>2</v>
      </c>
      <c r="B961" s="71" t="n">
        <v>46185</v>
      </c>
      <c r="C961" s="0" t="n">
        <v>2</v>
      </c>
      <c r="D961" s="0" t="s">
        <v>2533</v>
      </c>
      <c r="E961" s="0" t="n">
        <v>48</v>
      </c>
      <c r="F961" s="0" t="s">
        <v>153</v>
      </c>
      <c r="I961" s="0" t="n">
        <v>1262026</v>
      </c>
      <c r="J961" s="0" t="n">
        <v>110489</v>
      </c>
      <c r="K961" s="0" t="n">
        <v>54743</v>
      </c>
      <c r="L961" s="0" t="s">
        <v>2550</v>
      </c>
      <c r="N961" s="0" t="n">
        <v>40</v>
      </c>
      <c r="O961" s="0" t="n">
        <v>240</v>
      </c>
      <c r="P961" s="0" t="s">
        <v>2444</v>
      </c>
    </row>
    <row r="962" customFormat="false" ht="15" hidden="false" customHeight="true" outlineLevel="0" collapsed="false">
      <c r="A962" s="0" t="n">
        <v>2</v>
      </c>
      <c r="B962" s="71" t="n">
        <v>46185</v>
      </c>
      <c r="C962" s="0" t="n">
        <v>2</v>
      </c>
      <c r="D962" s="0" t="s">
        <v>2533</v>
      </c>
      <c r="E962" s="0" t="n">
        <v>48</v>
      </c>
      <c r="F962" s="0" t="s">
        <v>153</v>
      </c>
      <c r="I962" s="0" t="n">
        <v>1262026</v>
      </c>
      <c r="J962" s="0" t="n">
        <v>80078</v>
      </c>
      <c r="K962" s="0" t="n">
        <v>710</v>
      </c>
      <c r="L962" s="0" t="s">
        <v>2551</v>
      </c>
      <c r="N962" s="0" t="n">
        <v>10</v>
      </c>
      <c r="O962" s="0" t="n">
        <v>30</v>
      </c>
      <c r="P962" s="0" t="s">
        <v>2444</v>
      </c>
    </row>
    <row r="963" customFormat="false" ht="15" hidden="false" customHeight="true" outlineLevel="0" collapsed="false">
      <c r="A963" s="0" t="n">
        <v>2</v>
      </c>
      <c r="B963" s="71" t="n">
        <v>46185</v>
      </c>
      <c r="C963" s="0" t="n">
        <v>6</v>
      </c>
      <c r="D963" s="0" t="s">
        <v>2553</v>
      </c>
      <c r="E963" s="0" t="n">
        <v>48</v>
      </c>
      <c r="F963" s="0" t="s">
        <v>153</v>
      </c>
      <c r="I963" s="0" t="n">
        <v>2494</v>
      </c>
      <c r="J963" s="0" t="n">
        <v>42564</v>
      </c>
      <c r="K963" s="0" t="n">
        <v>574</v>
      </c>
      <c r="L963" s="0" t="s">
        <v>2534</v>
      </c>
      <c r="N963" s="0" t="n">
        <v>20</v>
      </c>
      <c r="O963" s="0" t="n">
        <v>260</v>
      </c>
      <c r="P963" s="0" t="s">
        <v>2444</v>
      </c>
    </row>
    <row r="964" customFormat="false" ht="15" hidden="false" customHeight="true" outlineLevel="0" collapsed="false">
      <c r="A964" s="0" t="n">
        <v>2</v>
      </c>
      <c r="B964" s="71" t="n">
        <v>46185</v>
      </c>
      <c r="C964" s="0" t="n">
        <v>6</v>
      </c>
      <c r="D964" s="0" t="s">
        <v>2553</v>
      </c>
      <c r="E964" s="0" t="n">
        <v>48</v>
      </c>
      <c r="F964" s="0" t="s">
        <v>153</v>
      </c>
      <c r="I964" s="0" t="n">
        <v>2495</v>
      </c>
      <c r="J964" s="0" t="n">
        <v>100110</v>
      </c>
      <c r="K964" s="0" t="n">
        <v>111</v>
      </c>
      <c r="L964" s="0" t="s">
        <v>2997</v>
      </c>
      <c r="N964" s="0" t="n">
        <v>15</v>
      </c>
      <c r="O964" s="0" t="n">
        <v>150</v>
      </c>
      <c r="P964" s="0" t="s">
        <v>2444</v>
      </c>
    </row>
    <row r="965" customFormat="false" ht="15" hidden="false" customHeight="true" outlineLevel="0" collapsed="false">
      <c r="A965" s="0" t="n">
        <v>2</v>
      </c>
      <c r="B965" s="71" t="n">
        <v>46185</v>
      </c>
      <c r="C965" s="0" t="n">
        <v>6</v>
      </c>
      <c r="D965" s="0" t="s">
        <v>2553</v>
      </c>
      <c r="E965" s="0" t="n">
        <v>48</v>
      </c>
      <c r="F965" s="0" t="s">
        <v>153</v>
      </c>
      <c r="I965" s="0" t="n">
        <v>2495</v>
      </c>
      <c r="J965" s="0" t="n">
        <v>100112</v>
      </c>
      <c r="K965" s="0" t="n">
        <v>113</v>
      </c>
      <c r="L965" s="0" t="s">
        <v>2538</v>
      </c>
      <c r="N965" s="0" t="n">
        <v>48</v>
      </c>
      <c r="O965" s="0" t="n">
        <v>75</v>
      </c>
      <c r="P965" s="0" t="s">
        <v>2444</v>
      </c>
    </row>
    <row r="966" customFormat="false" ht="15" hidden="false" customHeight="true" outlineLevel="0" collapsed="false">
      <c r="A966" s="0" t="n">
        <v>2</v>
      </c>
      <c r="B966" s="71" t="n">
        <v>46185</v>
      </c>
      <c r="C966" s="0" t="n">
        <v>6</v>
      </c>
      <c r="D966" s="0" t="s">
        <v>2553</v>
      </c>
      <c r="E966" s="0" t="n">
        <v>48</v>
      </c>
      <c r="F966" s="0" t="s">
        <v>153</v>
      </c>
      <c r="I966" s="0" t="n">
        <v>2495</v>
      </c>
      <c r="J966" s="0" t="n">
        <v>100113</v>
      </c>
      <c r="K966" s="0" t="n">
        <v>114</v>
      </c>
      <c r="L966" s="0" t="s">
        <v>2539</v>
      </c>
      <c r="N966" s="0" t="n">
        <v>40</v>
      </c>
      <c r="O966" s="0" t="n">
        <v>80</v>
      </c>
      <c r="P966" s="0" t="s">
        <v>2444</v>
      </c>
    </row>
    <row r="967" customFormat="false" ht="15" hidden="false" customHeight="true" outlineLevel="0" collapsed="false">
      <c r="A967" s="0" t="n">
        <v>2</v>
      </c>
      <c r="B967" s="71" t="n">
        <v>46185</v>
      </c>
      <c r="C967" s="0" t="n">
        <v>6</v>
      </c>
      <c r="D967" s="0" t="s">
        <v>2553</v>
      </c>
      <c r="E967" s="0" t="n">
        <v>48</v>
      </c>
      <c r="F967" s="0" t="s">
        <v>153</v>
      </c>
      <c r="I967" s="0" t="n">
        <v>2495</v>
      </c>
      <c r="J967" s="0" t="n">
        <v>100118</v>
      </c>
      <c r="K967" s="0" t="n">
        <v>119</v>
      </c>
      <c r="L967" s="0" t="s">
        <v>2541</v>
      </c>
      <c r="N967" s="0" t="n">
        <v>5</v>
      </c>
      <c r="O967" s="0" t="n">
        <v>30</v>
      </c>
      <c r="P967" s="0" t="s">
        <v>2444</v>
      </c>
    </row>
    <row r="968" customFormat="false" ht="15" hidden="false" customHeight="true" outlineLevel="0" collapsed="false">
      <c r="A968" s="0" t="n">
        <v>2</v>
      </c>
      <c r="B968" s="71" t="n">
        <v>46185</v>
      </c>
      <c r="C968" s="0" t="n">
        <v>6</v>
      </c>
      <c r="D968" s="0" t="s">
        <v>2553</v>
      </c>
      <c r="E968" s="0" t="n">
        <v>48</v>
      </c>
      <c r="F968" s="0" t="s">
        <v>153</v>
      </c>
      <c r="I968" s="0" t="n">
        <v>2495</v>
      </c>
      <c r="J968" s="0" t="n">
        <v>100121</v>
      </c>
      <c r="K968" s="0" t="n">
        <v>122</v>
      </c>
      <c r="L968" s="0" t="s">
        <v>2542</v>
      </c>
      <c r="N968" s="0" t="n">
        <v>3</v>
      </c>
      <c r="O968" s="0" t="n">
        <v>60</v>
      </c>
      <c r="P968" s="0" t="s">
        <v>2444</v>
      </c>
    </row>
    <row r="969" customFormat="false" ht="15" hidden="false" customHeight="true" outlineLevel="0" collapsed="false">
      <c r="A969" s="0" t="n">
        <v>2</v>
      </c>
      <c r="B969" s="71" t="n">
        <v>46185</v>
      </c>
      <c r="C969" s="0" t="n">
        <v>6</v>
      </c>
      <c r="D969" s="0" t="s">
        <v>2553</v>
      </c>
      <c r="E969" s="0" t="n">
        <v>48</v>
      </c>
      <c r="F969" s="0" t="s">
        <v>153</v>
      </c>
      <c r="I969" s="0" t="n">
        <v>2495</v>
      </c>
      <c r="J969" s="0" t="n">
        <v>100122</v>
      </c>
      <c r="K969" s="0" t="n">
        <v>123</v>
      </c>
      <c r="L969" s="0" t="s">
        <v>2543</v>
      </c>
      <c r="N969" s="0" t="n">
        <v>3</v>
      </c>
      <c r="O969" s="0" t="n">
        <v>51</v>
      </c>
      <c r="P969" s="0" t="s">
        <v>2444</v>
      </c>
    </row>
    <row r="970" customFormat="false" ht="15" hidden="false" customHeight="true" outlineLevel="0" collapsed="false">
      <c r="A970" s="0" t="n">
        <v>2</v>
      </c>
      <c r="B970" s="71" t="n">
        <v>46185</v>
      </c>
      <c r="C970" s="0" t="n">
        <v>6</v>
      </c>
      <c r="D970" s="0" t="s">
        <v>2553</v>
      </c>
      <c r="E970" s="0" t="n">
        <v>48</v>
      </c>
      <c r="F970" s="0" t="s">
        <v>153</v>
      </c>
      <c r="I970" s="0" t="n">
        <v>2495</v>
      </c>
      <c r="J970" s="0" t="n">
        <v>100123</v>
      </c>
      <c r="K970" s="0" t="n">
        <v>124</v>
      </c>
      <c r="L970" s="0" t="s">
        <v>2544</v>
      </c>
      <c r="N970" s="0" t="n">
        <v>1</v>
      </c>
      <c r="O970" s="0" t="n">
        <v>15</v>
      </c>
      <c r="P970" s="0" t="s">
        <v>2444</v>
      </c>
    </row>
    <row r="971" customFormat="false" ht="15" hidden="false" customHeight="true" outlineLevel="0" collapsed="false">
      <c r="A971" s="0" t="n">
        <v>2</v>
      </c>
      <c r="B971" s="71" t="n">
        <v>46185</v>
      </c>
      <c r="C971" s="0" t="n">
        <v>6</v>
      </c>
      <c r="D971" s="0" t="s">
        <v>2553</v>
      </c>
      <c r="E971" s="0" t="n">
        <v>48</v>
      </c>
      <c r="F971" s="0" t="s">
        <v>153</v>
      </c>
      <c r="I971" s="0" t="n">
        <v>2495</v>
      </c>
      <c r="J971" s="0" t="n">
        <v>100130</v>
      </c>
      <c r="K971" s="0" t="n">
        <v>131</v>
      </c>
      <c r="L971" s="0" t="s">
        <v>2545</v>
      </c>
      <c r="N971" s="0" t="n">
        <v>15</v>
      </c>
      <c r="O971" s="0" t="n">
        <v>55</v>
      </c>
      <c r="P971" s="0" t="s">
        <v>2444</v>
      </c>
    </row>
    <row r="972" customFormat="false" ht="15" hidden="false" customHeight="true" outlineLevel="0" collapsed="false">
      <c r="A972" s="0" t="n">
        <v>2</v>
      </c>
      <c r="B972" s="71" t="n">
        <v>46185</v>
      </c>
      <c r="C972" s="0" t="n">
        <v>6</v>
      </c>
      <c r="D972" s="0" t="s">
        <v>2553</v>
      </c>
      <c r="E972" s="0" t="n">
        <v>48</v>
      </c>
      <c r="F972" s="0" t="s">
        <v>153</v>
      </c>
      <c r="I972" s="0" t="n">
        <v>2495</v>
      </c>
      <c r="J972" s="0" t="n">
        <v>100132</v>
      </c>
      <c r="K972" s="0" t="n">
        <v>133</v>
      </c>
      <c r="L972" s="0" t="s">
        <v>2546</v>
      </c>
      <c r="N972" s="0" t="n">
        <v>44</v>
      </c>
      <c r="O972" s="0" t="n">
        <v>152</v>
      </c>
      <c r="P972" s="0" t="s">
        <v>2444</v>
      </c>
    </row>
    <row r="973" customFormat="false" ht="15" hidden="false" customHeight="true" outlineLevel="0" collapsed="false">
      <c r="A973" s="0" t="n">
        <v>2</v>
      </c>
      <c r="B973" s="71" t="n">
        <v>46185</v>
      </c>
      <c r="C973" s="0" t="n">
        <v>6</v>
      </c>
      <c r="D973" s="0" t="s">
        <v>2553</v>
      </c>
      <c r="E973" s="0" t="n">
        <v>48</v>
      </c>
      <c r="F973" s="0" t="s">
        <v>153</v>
      </c>
      <c r="I973" s="0" t="n">
        <v>2495</v>
      </c>
      <c r="J973" s="0" t="n">
        <v>100133</v>
      </c>
      <c r="K973" s="0" t="n">
        <v>134</v>
      </c>
      <c r="L973" s="0" t="s">
        <v>2547</v>
      </c>
      <c r="N973" s="0" t="n">
        <v>15</v>
      </c>
      <c r="O973" s="0" t="n">
        <v>37.5</v>
      </c>
      <c r="P973" s="0" t="s">
        <v>2444</v>
      </c>
    </row>
    <row r="974" customFormat="false" ht="15" hidden="false" customHeight="true" outlineLevel="0" collapsed="false">
      <c r="A974" s="0" t="n">
        <v>2</v>
      </c>
      <c r="B974" s="71" t="n">
        <v>46185</v>
      </c>
      <c r="C974" s="0" t="n">
        <v>6</v>
      </c>
      <c r="D974" s="0" t="s">
        <v>2553</v>
      </c>
      <c r="E974" s="0" t="n">
        <v>48</v>
      </c>
      <c r="F974" s="0" t="s">
        <v>153</v>
      </c>
      <c r="I974" s="0" t="n">
        <v>2495</v>
      </c>
      <c r="J974" s="0" t="n">
        <v>100135</v>
      </c>
      <c r="K974" s="0" t="n">
        <v>136</v>
      </c>
      <c r="L974" s="0" t="s">
        <v>2599</v>
      </c>
      <c r="N974" s="0" t="n">
        <v>13</v>
      </c>
      <c r="O974" s="0" t="n">
        <v>108.29</v>
      </c>
      <c r="P974" s="0" t="s">
        <v>2444</v>
      </c>
    </row>
    <row r="975" customFormat="false" ht="15" hidden="false" customHeight="true" outlineLevel="0" collapsed="false">
      <c r="A975" s="0" t="n">
        <v>2</v>
      </c>
      <c r="B975" s="71" t="n">
        <v>46185</v>
      </c>
      <c r="C975" s="0" t="n">
        <v>6</v>
      </c>
      <c r="D975" s="0" t="s">
        <v>2553</v>
      </c>
      <c r="E975" s="0" t="n">
        <v>48</v>
      </c>
      <c r="F975" s="0" t="s">
        <v>153</v>
      </c>
      <c r="I975" s="0" t="n">
        <v>2495</v>
      </c>
      <c r="J975" s="0" t="n">
        <v>110142</v>
      </c>
      <c r="K975" s="0" t="n">
        <v>16699</v>
      </c>
      <c r="L975" s="0" t="s">
        <v>2549</v>
      </c>
      <c r="N975" s="0" t="n">
        <v>40</v>
      </c>
      <c r="O975" s="0" t="n">
        <v>240</v>
      </c>
      <c r="P975" s="0" t="s">
        <v>2444</v>
      </c>
    </row>
    <row r="976" customFormat="false" ht="15" hidden="false" customHeight="true" outlineLevel="0" collapsed="false">
      <c r="A976" s="0" t="n">
        <v>2</v>
      </c>
      <c r="B976" s="71" t="n">
        <v>46185</v>
      </c>
      <c r="C976" s="0" t="n">
        <v>6</v>
      </c>
      <c r="D976" s="0" t="s">
        <v>2553</v>
      </c>
      <c r="E976" s="0" t="n">
        <v>48</v>
      </c>
      <c r="F976" s="0" t="s">
        <v>153</v>
      </c>
      <c r="I976" s="0" t="n">
        <v>2495</v>
      </c>
      <c r="J976" s="0" t="n">
        <v>110489</v>
      </c>
      <c r="K976" s="0" t="n">
        <v>54743</v>
      </c>
      <c r="L976" s="0" t="s">
        <v>2550</v>
      </c>
      <c r="N976" s="0" t="n">
        <v>40</v>
      </c>
      <c r="O976" s="0" t="n">
        <v>240</v>
      </c>
      <c r="P976" s="0" t="s">
        <v>2444</v>
      </c>
    </row>
    <row r="977" customFormat="false" ht="15" hidden="false" customHeight="true" outlineLevel="0" collapsed="false">
      <c r="A977" s="0" t="n">
        <v>2</v>
      </c>
      <c r="B977" s="71" t="n">
        <v>46185</v>
      </c>
      <c r="C977" s="0" t="n">
        <v>6</v>
      </c>
      <c r="D977" s="0" t="s">
        <v>2553</v>
      </c>
      <c r="E977" s="0" t="n">
        <v>48</v>
      </c>
      <c r="F977" s="0" t="s">
        <v>153</v>
      </c>
      <c r="I977" s="0" t="n">
        <v>2495</v>
      </c>
      <c r="J977" s="0" t="n">
        <v>80078</v>
      </c>
      <c r="K977" s="0" t="n">
        <v>710</v>
      </c>
      <c r="L977" s="0" t="s">
        <v>2551</v>
      </c>
      <c r="N977" s="0" t="n">
        <v>10</v>
      </c>
      <c r="O977" s="0" t="n">
        <v>30</v>
      </c>
      <c r="P977" s="0" t="s">
        <v>2444</v>
      </c>
    </row>
    <row r="978" customFormat="false" ht="15" hidden="false" customHeight="true" outlineLevel="0" collapsed="false">
      <c r="A978" s="0" t="n">
        <v>2</v>
      </c>
      <c r="B978" s="71" t="n">
        <v>46185</v>
      </c>
      <c r="C978" s="0" t="n">
        <v>11</v>
      </c>
      <c r="D978" s="0" t="s">
        <v>2471</v>
      </c>
      <c r="E978" s="0" t="n">
        <v>666</v>
      </c>
      <c r="F978" s="0" t="s">
        <v>417</v>
      </c>
      <c r="I978" s="0" t="n">
        <v>7725</v>
      </c>
      <c r="J978" s="0" t="n">
        <v>100217</v>
      </c>
      <c r="K978" s="0" t="n">
        <v>218</v>
      </c>
      <c r="L978" s="0" t="s">
        <v>2998</v>
      </c>
      <c r="N978" s="0" t="n">
        <v>100</v>
      </c>
      <c r="O978" s="0" t="n">
        <v>863.4</v>
      </c>
      <c r="P978" s="0" t="s">
        <v>2444</v>
      </c>
    </row>
    <row r="979" customFormat="false" ht="15" hidden="false" customHeight="true" outlineLevel="0" collapsed="false">
      <c r="A979" s="0" t="n">
        <v>2</v>
      </c>
      <c r="B979" s="71" t="n">
        <v>46185</v>
      </c>
      <c r="C979" s="0" t="n">
        <v>11</v>
      </c>
      <c r="D979" s="0" t="s">
        <v>2471</v>
      </c>
      <c r="E979" s="0" t="n">
        <v>666</v>
      </c>
      <c r="F979" s="0" t="s">
        <v>417</v>
      </c>
      <c r="I979" s="0" t="n">
        <v>7725</v>
      </c>
      <c r="J979" s="0" t="n">
        <v>46735</v>
      </c>
      <c r="K979" s="0" t="n">
        <v>7898372444859</v>
      </c>
      <c r="L979" s="0" t="s">
        <v>2999</v>
      </c>
      <c r="N979" s="0" t="n">
        <v>1</v>
      </c>
      <c r="O979" s="0" t="n">
        <v>152.25</v>
      </c>
      <c r="P979" s="0" t="s">
        <v>2444</v>
      </c>
    </row>
    <row r="980" customFormat="false" ht="15" hidden="false" customHeight="true" outlineLevel="0" collapsed="false">
      <c r="A980" s="0" t="n">
        <v>2</v>
      </c>
      <c r="B980" s="71" t="n">
        <v>46185</v>
      </c>
      <c r="C980" s="0" t="n">
        <v>11</v>
      </c>
      <c r="D980" s="0" t="s">
        <v>2471</v>
      </c>
      <c r="E980" s="0" t="n">
        <v>666</v>
      </c>
      <c r="F980" s="0" t="s">
        <v>417</v>
      </c>
      <c r="I980" s="0" t="n">
        <v>7725</v>
      </c>
      <c r="J980" s="0" t="n">
        <v>46771</v>
      </c>
      <c r="K980" s="0" t="n">
        <v>7898372444811</v>
      </c>
      <c r="L980" s="0" t="s">
        <v>3000</v>
      </c>
      <c r="N980" s="0" t="n">
        <v>1</v>
      </c>
      <c r="O980" s="0" t="n">
        <v>134.09</v>
      </c>
      <c r="P980" s="0" t="s">
        <v>2444</v>
      </c>
    </row>
    <row r="981" customFormat="false" ht="15" hidden="false" customHeight="true" outlineLevel="0" collapsed="false">
      <c r="A981" s="0" t="n">
        <v>2</v>
      </c>
      <c r="B981" s="71" t="n">
        <v>46185</v>
      </c>
      <c r="C981" s="0" t="n">
        <v>11</v>
      </c>
      <c r="D981" s="0" t="s">
        <v>2471</v>
      </c>
      <c r="E981" s="0" t="n">
        <v>1667</v>
      </c>
      <c r="F981" s="0" t="s">
        <v>77</v>
      </c>
      <c r="I981" s="0" t="n">
        <v>394904</v>
      </c>
      <c r="J981" s="0" t="n">
        <v>105613</v>
      </c>
      <c r="K981" s="0" t="n">
        <v>7898330150044</v>
      </c>
      <c r="L981" s="0" t="s">
        <v>3001</v>
      </c>
      <c r="N981" s="0" t="n">
        <v>12</v>
      </c>
      <c r="O981" s="0" t="n">
        <v>44.77</v>
      </c>
      <c r="P981" s="0" t="s">
        <v>2444</v>
      </c>
    </row>
    <row r="982" customFormat="false" ht="15" hidden="false" customHeight="true" outlineLevel="0" collapsed="false">
      <c r="A982" s="0" t="n">
        <v>2</v>
      </c>
      <c r="B982" s="71" t="n">
        <v>46185</v>
      </c>
      <c r="C982" s="0" t="n">
        <v>11</v>
      </c>
      <c r="D982" s="0" t="s">
        <v>2471</v>
      </c>
      <c r="E982" s="0" t="n">
        <v>1667</v>
      </c>
      <c r="F982" s="0" t="s">
        <v>77</v>
      </c>
      <c r="I982" s="0" t="n">
        <v>394904</v>
      </c>
      <c r="J982" s="0" t="n">
        <v>105620</v>
      </c>
      <c r="K982" s="0" t="n">
        <v>7898330150020</v>
      </c>
      <c r="L982" s="0" t="s">
        <v>3002</v>
      </c>
      <c r="N982" s="0" t="n">
        <v>12</v>
      </c>
      <c r="O982" s="0" t="n">
        <v>44.77</v>
      </c>
      <c r="P982" s="0" t="s">
        <v>2444</v>
      </c>
    </row>
    <row r="983" customFormat="false" ht="15" hidden="false" customHeight="true" outlineLevel="0" collapsed="false">
      <c r="A983" s="0" t="n">
        <v>2</v>
      </c>
      <c r="B983" s="71" t="n">
        <v>46185</v>
      </c>
      <c r="C983" s="0" t="n">
        <v>11</v>
      </c>
      <c r="D983" s="0" t="s">
        <v>2471</v>
      </c>
      <c r="E983" s="0" t="n">
        <v>1667</v>
      </c>
      <c r="F983" s="0" t="s">
        <v>77</v>
      </c>
      <c r="I983" s="0" t="n">
        <v>394904</v>
      </c>
      <c r="J983" s="0" t="n">
        <v>106546</v>
      </c>
      <c r="K983" s="0" t="n">
        <v>7898330150013</v>
      </c>
      <c r="L983" s="0" t="s">
        <v>3003</v>
      </c>
      <c r="N983" s="0" t="n">
        <v>12</v>
      </c>
      <c r="O983" s="0" t="n">
        <v>54.03</v>
      </c>
      <c r="P983" s="0" t="s">
        <v>2444</v>
      </c>
    </row>
    <row r="984" customFormat="false" ht="15" hidden="false" customHeight="true" outlineLevel="0" collapsed="false">
      <c r="A984" s="0" t="n">
        <v>2</v>
      </c>
      <c r="B984" s="71" t="n">
        <v>46185</v>
      </c>
      <c r="C984" s="0" t="n">
        <v>11</v>
      </c>
      <c r="D984" s="0" t="s">
        <v>2471</v>
      </c>
      <c r="E984" s="0" t="n">
        <v>1667</v>
      </c>
      <c r="F984" s="0" t="s">
        <v>77</v>
      </c>
      <c r="I984" s="0" t="n">
        <v>394904</v>
      </c>
      <c r="J984" s="0" t="n">
        <v>20915</v>
      </c>
      <c r="K984" s="0" t="n">
        <v>7898330150129</v>
      </c>
      <c r="L984" s="0" t="s">
        <v>3004</v>
      </c>
      <c r="N984" s="0" t="n">
        <v>12</v>
      </c>
      <c r="O984" s="0" t="n">
        <v>44.77</v>
      </c>
      <c r="P984" s="0" t="s">
        <v>2444</v>
      </c>
    </row>
    <row r="985" customFormat="false" ht="15" hidden="false" customHeight="true" outlineLevel="0" collapsed="false">
      <c r="A985" s="0" t="n">
        <v>2</v>
      </c>
      <c r="B985" s="71" t="n">
        <v>46185</v>
      </c>
      <c r="C985" s="0" t="n">
        <v>11</v>
      </c>
      <c r="D985" s="0" t="s">
        <v>2471</v>
      </c>
      <c r="E985" s="0" t="n">
        <v>1667</v>
      </c>
      <c r="F985" s="0" t="s">
        <v>77</v>
      </c>
      <c r="I985" s="0" t="n">
        <v>394904</v>
      </c>
      <c r="J985" s="0" t="n">
        <v>21828</v>
      </c>
      <c r="K985" s="0" t="n">
        <v>7898215152811</v>
      </c>
      <c r="L985" s="0" t="s">
        <v>3005</v>
      </c>
      <c r="N985" s="0" t="n">
        <v>12</v>
      </c>
      <c r="O985" s="0" t="n">
        <v>97.85</v>
      </c>
      <c r="P985" s="0" t="s">
        <v>2444</v>
      </c>
    </row>
    <row r="986" customFormat="false" ht="15" hidden="false" customHeight="true" outlineLevel="0" collapsed="false">
      <c r="A986" s="0" t="n">
        <v>2</v>
      </c>
      <c r="B986" s="71" t="n">
        <v>46185</v>
      </c>
      <c r="C986" s="0" t="n">
        <v>11</v>
      </c>
      <c r="D986" s="0" t="s">
        <v>2471</v>
      </c>
      <c r="E986" s="0" t="n">
        <v>1667</v>
      </c>
      <c r="F986" s="0" t="s">
        <v>77</v>
      </c>
      <c r="I986" s="0" t="n">
        <v>394904</v>
      </c>
      <c r="J986" s="0" t="n">
        <v>25807</v>
      </c>
      <c r="K986" s="0" t="n">
        <v>7896256600780</v>
      </c>
      <c r="L986" s="0" t="s">
        <v>3006</v>
      </c>
      <c r="N986" s="0" t="n">
        <v>81</v>
      </c>
      <c r="O986" s="0" t="n">
        <v>227.61</v>
      </c>
      <c r="P986" s="0" t="s">
        <v>2444</v>
      </c>
    </row>
    <row r="987" customFormat="false" ht="15" hidden="false" customHeight="true" outlineLevel="0" collapsed="false">
      <c r="A987" s="0" t="n">
        <v>2</v>
      </c>
      <c r="B987" s="71" t="n">
        <v>46185</v>
      </c>
      <c r="C987" s="0" t="n">
        <v>11</v>
      </c>
      <c r="D987" s="0" t="s">
        <v>2471</v>
      </c>
      <c r="E987" s="0" t="n">
        <v>1667</v>
      </c>
      <c r="F987" s="0" t="s">
        <v>77</v>
      </c>
      <c r="I987" s="0" t="n">
        <v>394904</v>
      </c>
      <c r="J987" s="0" t="n">
        <v>29491</v>
      </c>
      <c r="K987" s="0" t="n">
        <v>7896256604962</v>
      </c>
      <c r="L987" s="0" t="s">
        <v>3007</v>
      </c>
      <c r="N987" s="0" t="n">
        <v>54</v>
      </c>
      <c r="O987" s="0" t="n">
        <v>291.06</v>
      </c>
      <c r="P987" s="0" t="s">
        <v>2444</v>
      </c>
    </row>
    <row r="988" customFormat="false" ht="15" hidden="false" customHeight="true" outlineLevel="0" collapsed="false">
      <c r="A988" s="0" t="n">
        <v>2</v>
      </c>
      <c r="B988" s="71" t="n">
        <v>46185</v>
      </c>
      <c r="C988" s="0" t="n">
        <v>11</v>
      </c>
      <c r="D988" s="0" t="s">
        <v>2471</v>
      </c>
      <c r="E988" s="0" t="n">
        <v>1667</v>
      </c>
      <c r="F988" s="0" t="s">
        <v>77</v>
      </c>
      <c r="I988" s="0" t="n">
        <v>394904</v>
      </c>
      <c r="J988" s="0" t="n">
        <v>33984</v>
      </c>
      <c r="K988" s="0" t="n">
        <v>7896256601848</v>
      </c>
      <c r="L988" s="0" t="s">
        <v>3008</v>
      </c>
      <c r="N988" s="0" t="n">
        <v>24</v>
      </c>
      <c r="O988" s="0" t="n">
        <v>162.96</v>
      </c>
      <c r="P988" s="0" t="s">
        <v>2444</v>
      </c>
    </row>
    <row r="989" customFormat="false" ht="15" hidden="false" customHeight="true" outlineLevel="0" collapsed="false">
      <c r="A989" s="0" t="n">
        <v>2</v>
      </c>
      <c r="B989" s="71" t="n">
        <v>46185</v>
      </c>
      <c r="C989" s="0" t="n">
        <v>11</v>
      </c>
      <c r="D989" s="0" t="s">
        <v>2471</v>
      </c>
      <c r="E989" s="0" t="n">
        <v>1667</v>
      </c>
      <c r="F989" s="0" t="s">
        <v>77</v>
      </c>
      <c r="I989" s="0" t="n">
        <v>394904</v>
      </c>
      <c r="J989" s="0" t="n">
        <v>44223</v>
      </c>
      <c r="K989" s="0" t="n">
        <v>7896016441066</v>
      </c>
      <c r="L989" s="0" t="s">
        <v>3009</v>
      </c>
      <c r="N989" s="0" t="n">
        <v>24</v>
      </c>
      <c r="O989" s="0" t="n">
        <v>94.8</v>
      </c>
      <c r="P989" s="0" t="s">
        <v>2444</v>
      </c>
    </row>
    <row r="990" customFormat="false" ht="15" hidden="false" customHeight="true" outlineLevel="0" collapsed="false">
      <c r="A990" s="0" t="n">
        <v>2</v>
      </c>
      <c r="B990" s="71" t="n">
        <v>46185</v>
      </c>
      <c r="C990" s="0" t="n">
        <v>11</v>
      </c>
      <c r="D990" s="0" t="s">
        <v>2471</v>
      </c>
      <c r="E990" s="0" t="n">
        <v>1667</v>
      </c>
      <c r="F990" s="0" t="s">
        <v>77</v>
      </c>
      <c r="I990" s="0" t="n">
        <v>394904</v>
      </c>
      <c r="J990" s="0" t="n">
        <v>56194</v>
      </c>
      <c r="K990" s="0" t="n">
        <v>7898330152659</v>
      </c>
      <c r="L990" s="0" t="s">
        <v>3010</v>
      </c>
      <c r="N990" s="0" t="n">
        <v>12</v>
      </c>
      <c r="O990" s="0" t="n">
        <v>133.27</v>
      </c>
      <c r="P990" s="0" t="s">
        <v>2444</v>
      </c>
    </row>
    <row r="991" customFormat="false" ht="15" hidden="false" customHeight="true" outlineLevel="0" collapsed="false">
      <c r="A991" s="0" t="n">
        <v>2</v>
      </c>
      <c r="B991" s="71" t="n">
        <v>46185</v>
      </c>
      <c r="C991" s="0" t="n">
        <v>11</v>
      </c>
      <c r="D991" s="0" t="s">
        <v>2471</v>
      </c>
      <c r="E991" s="0" t="n">
        <v>1667</v>
      </c>
      <c r="F991" s="0" t="s">
        <v>77</v>
      </c>
      <c r="I991" s="0" t="n">
        <v>394904</v>
      </c>
      <c r="J991" s="0" t="n">
        <v>57381</v>
      </c>
      <c r="K991" s="0" t="n">
        <v>7896016441417</v>
      </c>
      <c r="L991" s="0" t="s">
        <v>3011</v>
      </c>
      <c r="N991" s="0" t="n">
        <v>24</v>
      </c>
      <c r="O991" s="0" t="n">
        <v>94.8</v>
      </c>
      <c r="P991" s="0" t="s">
        <v>2444</v>
      </c>
    </row>
    <row r="992" customFormat="false" ht="15" hidden="false" customHeight="true" outlineLevel="0" collapsed="false">
      <c r="A992" s="0" t="n">
        <v>2</v>
      </c>
      <c r="B992" s="71" t="n">
        <v>46185</v>
      </c>
      <c r="C992" s="0" t="n">
        <v>11</v>
      </c>
      <c r="D992" s="0" t="s">
        <v>2471</v>
      </c>
      <c r="E992" s="0" t="n">
        <v>1667</v>
      </c>
      <c r="F992" s="0" t="s">
        <v>77</v>
      </c>
      <c r="I992" s="0" t="n">
        <v>394904</v>
      </c>
      <c r="J992" s="0" t="n">
        <v>67546</v>
      </c>
      <c r="K992" s="0" t="n">
        <v>7898330152963</v>
      </c>
      <c r="L992" s="0" t="s">
        <v>3012</v>
      </c>
      <c r="N992" s="0" t="n">
        <v>12</v>
      </c>
      <c r="O992" s="0" t="n">
        <v>133.27</v>
      </c>
      <c r="P992" s="0" t="s">
        <v>2444</v>
      </c>
    </row>
    <row r="993" customFormat="false" ht="15" hidden="false" customHeight="true" outlineLevel="0" collapsed="false">
      <c r="A993" s="0" t="n">
        <v>2</v>
      </c>
      <c r="B993" s="71" t="n">
        <v>46185</v>
      </c>
      <c r="C993" s="0" t="n">
        <v>11</v>
      </c>
      <c r="D993" s="0" t="s">
        <v>2471</v>
      </c>
      <c r="E993" s="0" t="n">
        <v>1667</v>
      </c>
      <c r="F993" s="0" t="s">
        <v>77</v>
      </c>
      <c r="I993" s="0" t="n">
        <v>394904</v>
      </c>
      <c r="J993" s="0" t="n">
        <v>74195</v>
      </c>
      <c r="K993" s="0" t="n">
        <v>7898132847142</v>
      </c>
      <c r="L993" s="0" t="s">
        <v>3013</v>
      </c>
      <c r="N993" s="0" t="n">
        <v>20</v>
      </c>
      <c r="O993" s="0" t="n">
        <v>113.46</v>
      </c>
      <c r="P993" s="0" t="s">
        <v>2444</v>
      </c>
    </row>
    <row r="994" customFormat="false" ht="15" hidden="false" customHeight="true" outlineLevel="0" collapsed="false">
      <c r="A994" s="0" t="n">
        <v>2</v>
      </c>
      <c r="B994" s="71" t="n">
        <v>46185</v>
      </c>
      <c r="C994" s="0" t="n">
        <v>11</v>
      </c>
      <c r="D994" s="0" t="s">
        <v>2471</v>
      </c>
      <c r="E994" s="0" t="n">
        <v>1667</v>
      </c>
      <c r="F994" s="0" t="s">
        <v>77</v>
      </c>
      <c r="I994" s="0" t="n">
        <v>394904</v>
      </c>
      <c r="J994" s="0" t="n">
        <v>80627</v>
      </c>
      <c r="K994" s="0" t="n">
        <v>7898330153236</v>
      </c>
      <c r="L994" s="0" t="s">
        <v>3014</v>
      </c>
      <c r="N994" s="0" t="n">
        <v>12</v>
      </c>
      <c r="O994" s="0" t="n">
        <v>65.88</v>
      </c>
      <c r="P994" s="0" t="s">
        <v>2444</v>
      </c>
    </row>
    <row r="995" customFormat="false" ht="15" hidden="false" customHeight="true" outlineLevel="0" collapsed="false">
      <c r="A995" s="0" t="n">
        <v>2</v>
      </c>
      <c r="B995" s="71" t="n">
        <v>46185</v>
      </c>
      <c r="C995" s="0" t="n">
        <v>11</v>
      </c>
      <c r="D995" s="0" t="s">
        <v>2471</v>
      </c>
      <c r="E995" s="0" t="n">
        <v>1667</v>
      </c>
      <c r="F995" s="0" t="s">
        <v>77</v>
      </c>
      <c r="I995" s="0" t="n">
        <v>394904</v>
      </c>
      <c r="J995" s="0" t="n">
        <v>80628</v>
      </c>
      <c r="K995" s="0" t="n">
        <v>7898330153250</v>
      </c>
      <c r="L995" s="0" t="s">
        <v>3015</v>
      </c>
      <c r="N995" s="0" t="n">
        <v>12</v>
      </c>
      <c r="O995" s="0" t="n">
        <v>65.88</v>
      </c>
      <c r="P995" s="0" t="s">
        <v>2444</v>
      </c>
    </row>
    <row r="996" customFormat="false" ht="15" hidden="false" customHeight="true" outlineLevel="0" collapsed="false">
      <c r="A996" s="0" t="n">
        <v>2</v>
      </c>
      <c r="B996" s="71" t="n">
        <v>46185</v>
      </c>
      <c r="C996" s="0" t="n">
        <v>11</v>
      </c>
      <c r="D996" s="0" t="s">
        <v>2471</v>
      </c>
      <c r="E996" s="0" t="n">
        <v>1667</v>
      </c>
      <c r="F996" s="0" t="s">
        <v>77</v>
      </c>
      <c r="I996" s="0" t="n">
        <v>394904</v>
      </c>
      <c r="J996" s="0" t="n">
        <v>80642</v>
      </c>
      <c r="K996" s="0" t="n">
        <v>7898594711074</v>
      </c>
      <c r="L996" s="0" t="s">
        <v>3016</v>
      </c>
      <c r="N996" s="0" t="n">
        <v>30</v>
      </c>
      <c r="O996" s="0" t="n">
        <v>58.53</v>
      </c>
      <c r="P996" s="0" t="s">
        <v>2444</v>
      </c>
    </row>
    <row r="997" customFormat="false" ht="15" hidden="false" customHeight="true" outlineLevel="0" collapsed="false">
      <c r="A997" s="0" t="n">
        <v>2</v>
      </c>
      <c r="B997" s="71" t="n">
        <v>46185</v>
      </c>
      <c r="C997" s="0" t="n">
        <v>171</v>
      </c>
      <c r="D997" s="0" t="s">
        <v>3017</v>
      </c>
      <c r="E997" s="0" t="n">
        <v>1616</v>
      </c>
      <c r="F997" s="0" t="s">
        <v>64</v>
      </c>
      <c r="I997" s="0" t="n">
        <v>645627</v>
      </c>
      <c r="J997" s="0" t="n">
        <v>29387</v>
      </c>
      <c r="K997" s="0" t="n">
        <v>7896022205218</v>
      </c>
      <c r="L997" s="0" t="s">
        <v>3018</v>
      </c>
      <c r="N997" s="0" t="n">
        <v>20</v>
      </c>
      <c r="O997" s="0" t="n">
        <v>91.2</v>
      </c>
      <c r="P997" s="0" t="s">
        <v>3019</v>
      </c>
    </row>
    <row r="998" customFormat="false" ht="15" hidden="false" customHeight="true" outlineLevel="0" collapsed="false">
      <c r="A998" s="0" t="n">
        <v>2</v>
      </c>
      <c r="B998" s="71" t="n">
        <v>46186</v>
      </c>
      <c r="C998" s="0" t="n">
        <v>1</v>
      </c>
      <c r="D998" s="0" t="s">
        <v>2442</v>
      </c>
      <c r="E998" s="0" t="n">
        <v>10018</v>
      </c>
      <c r="F998" s="0" t="s">
        <v>216</v>
      </c>
      <c r="I998" s="0" t="n">
        <v>299</v>
      </c>
      <c r="J998" s="0" t="n">
        <v>100933</v>
      </c>
      <c r="K998" s="0" t="n">
        <v>7896982100059</v>
      </c>
      <c r="L998" s="0" t="s">
        <v>2500</v>
      </c>
      <c r="N998" s="0" t="n">
        <v>1800</v>
      </c>
      <c r="O998" s="0" t="n">
        <v>950</v>
      </c>
      <c r="P998" s="0" t="s">
        <v>2444</v>
      </c>
    </row>
    <row r="999" customFormat="false" ht="15" hidden="false" customHeight="true" outlineLevel="0" collapsed="false">
      <c r="A999" s="0" t="n">
        <v>2</v>
      </c>
      <c r="B999" s="71" t="n">
        <v>46186</v>
      </c>
      <c r="C999" s="0" t="n">
        <v>1</v>
      </c>
      <c r="D999" s="0" t="s">
        <v>2442</v>
      </c>
      <c r="E999" s="0" t="n">
        <v>642</v>
      </c>
      <c r="F999" s="0" t="s">
        <v>123</v>
      </c>
      <c r="I999" s="0" t="n">
        <v>496</v>
      </c>
      <c r="J999" s="0" t="n">
        <v>71766</v>
      </c>
      <c r="K999" s="0" t="n">
        <v>779180</v>
      </c>
      <c r="L999" s="0" t="s">
        <v>2501</v>
      </c>
      <c r="N999" s="0" t="n">
        <v>15</v>
      </c>
      <c r="O999" s="0" t="n">
        <v>180</v>
      </c>
      <c r="P999" s="0" t="s">
        <v>2444</v>
      </c>
    </row>
    <row r="1000" customFormat="false" ht="15" hidden="false" customHeight="true" outlineLevel="0" collapsed="false">
      <c r="A1000" s="0" t="n">
        <v>2</v>
      </c>
      <c r="B1000" s="71" t="n">
        <v>46186</v>
      </c>
      <c r="C1000" s="0" t="n">
        <v>1</v>
      </c>
      <c r="D1000" s="0" t="s">
        <v>2442</v>
      </c>
      <c r="E1000" s="0" t="n">
        <v>1749</v>
      </c>
      <c r="F1000" s="0" t="s">
        <v>585</v>
      </c>
      <c r="I1000" s="0" t="n">
        <v>1601</v>
      </c>
      <c r="J1000" s="0" t="n">
        <v>100827</v>
      </c>
      <c r="K1000" s="0" t="n">
        <v>7897312400078</v>
      </c>
      <c r="L1000" s="0" t="s">
        <v>3020</v>
      </c>
      <c r="N1000" s="0" t="n">
        <v>24</v>
      </c>
      <c r="O1000" s="0" t="n">
        <v>59</v>
      </c>
      <c r="P1000" s="0" t="s">
        <v>2444</v>
      </c>
    </row>
    <row r="1001" customFormat="false" ht="15" hidden="false" customHeight="true" outlineLevel="0" collapsed="false">
      <c r="A1001" s="0" t="n">
        <v>2</v>
      </c>
      <c r="B1001" s="71" t="n">
        <v>46186</v>
      </c>
      <c r="C1001" s="0" t="n">
        <v>1</v>
      </c>
      <c r="D1001" s="0" t="s">
        <v>2442</v>
      </c>
      <c r="E1001" s="0" t="n">
        <v>1749</v>
      </c>
      <c r="F1001" s="0" t="s">
        <v>585</v>
      </c>
      <c r="I1001" s="0" t="n">
        <v>1601</v>
      </c>
      <c r="J1001" s="0" t="n">
        <v>13188</v>
      </c>
      <c r="K1001" s="0" t="n">
        <v>7896393601046</v>
      </c>
      <c r="L1001" s="0" t="s">
        <v>3021</v>
      </c>
      <c r="N1001" s="0" t="n">
        <v>60</v>
      </c>
      <c r="O1001" s="0" t="n">
        <v>239.8</v>
      </c>
      <c r="P1001" s="0" t="s">
        <v>2444</v>
      </c>
    </row>
    <row r="1002" customFormat="false" ht="15" hidden="false" customHeight="true" outlineLevel="0" collapsed="false">
      <c r="A1002" s="0" t="n">
        <v>2</v>
      </c>
      <c r="B1002" s="71" t="n">
        <v>46186</v>
      </c>
      <c r="C1002" s="0" t="n">
        <v>1</v>
      </c>
      <c r="D1002" s="0" t="s">
        <v>2442</v>
      </c>
      <c r="E1002" s="0" t="n">
        <v>1749</v>
      </c>
      <c r="F1002" s="0" t="s">
        <v>585</v>
      </c>
      <c r="I1002" s="0" t="n">
        <v>1601</v>
      </c>
      <c r="J1002" s="0" t="n">
        <v>13677</v>
      </c>
      <c r="K1002" s="0" t="n">
        <v>7896393601039</v>
      </c>
      <c r="L1002" s="0" t="s">
        <v>3022</v>
      </c>
      <c r="N1002" s="0" t="n">
        <v>60</v>
      </c>
      <c r="O1002" s="0" t="n">
        <v>231.8</v>
      </c>
      <c r="P1002" s="0" t="s">
        <v>2444</v>
      </c>
    </row>
    <row r="1003" customFormat="false" ht="15" hidden="false" customHeight="true" outlineLevel="0" collapsed="false">
      <c r="A1003" s="0" t="n">
        <v>2</v>
      </c>
      <c r="B1003" s="71" t="n">
        <v>46186</v>
      </c>
      <c r="C1003" s="0" t="n">
        <v>1</v>
      </c>
      <c r="D1003" s="0" t="s">
        <v>2442</v>
      </c>
      <c r="E1003" s="0" t="n">
        <v>1749</v>
      </c>
      <c r="F1003" s="0" t="s">
        <v>585</v>
      </c>
      <c r="I1003" s="0" t="n">
        <v>1601</v>
      </c>
      <c r="J1003" s="0" t="n">
        <v>29729</v>
      </c>
      <c r="K1003" s="0" t="n">
        <v>7898018160105</v>
      </c>
      <c r="L1003" s="0" t="s">
        <v>3023</v>
      </c>
      <c r="N1003" s="0" t="n">
        <v>60</v>
      </c>
      <c r="O1003" s="0" t="n">
        <v>223.8</v>
      </c>
      <c r="P1003" s="0" t="s">
        <v>2444</v>
      </c>
    </row>
    <row r="1004" customFormat="false" ht="15" hidden="false" customHeight="true" outlineLevel="0" collapsed="false">
      <c r="A1004" s="0" t="n">
        <v>2</v>
      </c>
      <c r="B1004" s="71" t="n">
        <v>46186</v>
      </c>
      <c r="C1004" s="0" t="n">
        <v>1</v>
      </c>
      <c r="D1004" s="0" t="s">
        <v>2442</v>
      </c>
      <c r="E1004" s="0" t="n">
        <v>1749</v>
      </c>
      <c r="F1004" s="0" t="s">
        <v>585</v>
      </c>
      <c r="I1004" s="0" t="n">
        <v>1601</v>
      </c>
      <c r="J1004" s="0" t="n">
        <v>38109</v>
      </c>
      <c r="K1004" s="0" t="n">
        <v>602883330382</v>
      </c>
      <c r="L1004" s="0" t="s">
        <v>3024</v>
      </c>
      <c r="N1004" s="0" t="n">
        <v>20</v>
      </c>
      <c r="O1004" s="0" t="n">
        <v>57.5</v>
      </c>
      <c r="P1004" s="0" t="s">
        <v>2444</v>
      </c>
    </row>
    <row r="1005" customFormat="false" ht="15" hidden="false" customHeight="true" outlineLevel="0" collapsed="false">
      <c r="A1005" s="0" t="n">
        <v>2</v>
      </c>
      <c r="B1005" s="71" t="n">
        <v>46186</v>
      </c>
      <c r="C1005" s="0" t="n">
        <v>1</v>
      </c>
      <c r="D1005" s="0" t="s">
        <v>2442</v>
      </c>
      <c r="E1005" s="0" t="n">
        <v>1749</v>
      </c>
      <c r="F1005" s="0" t="s">
        <v>585</v>
      </c>
      <c r="I1005" s="0" t="n">
        <v>1601</v>
      </c>
      <c r="J1005" s="0" t="n">
        <v>44963</v>
      </c>
      <c r="K1005" s="0" t="n">
        <v>7896763621872</v>
      </c>
      <c r="L1005" s="0" t="s">
        <v>3025</v>
      </c>
      <c r="N1005" s="0" t="n">
        <v>200</v>
      </c>
      <c r="O1005" s="0" t="n">
        <v>429</v>
      </c>
      <c r="P1005" s="0" t="s">
        <v>2444</v>
      </c>
    </row>
    <row r="1006" customFormat="false" ht="15" hidden="false" customHeight="true" outlineLevel="0" collapsed="false">
      <c r="A1006" s="0" t="n">
        <v>2</v>
      </c>
      <c r="B1006" s="71" t="n">
        <v>46186</v>
      </c>
      <c r="C1006" s="0" t="n">
        <v>1</v>
      </c>
      <c r="D1006" s="0" t="s">
        <v>2442</v>
      </c>
      <c r="E1006" s="0" t="n">
        <v>1749</v>
      </c>
      <c r="F1006" s="0" t="s">
        <v>585</v>
      </c>
      <c r="I1006" s="0" t="n">
        <v>1601</v>
      </c>
      <c r="J1006" s="0" t="n">
        <v>71834</v>
      </c>
      <c r="K1006" s="0" t="n">
        <v>7898361830069</v>
      </c>
      <c r="L1006" s="0" t="s">
        <v>3026</v>
      </c>
      <c r="N1006" s="0" t="n">
        <v>150</v>
      </c>
      <c r="O1006" s="0" t="n">
        <v>439.5</v>
      </c>
      <c r="P1006" s="0" t="s">
        <v>2444</v>
      </c>
    </row>
    <row r="1007" customFormat="false" ht="15" hidden="false" customHeight="true" outlineLevel="0" collapsed="false">
      <c r="A1007" s="0" t="n">
        <v>2</v>
      </c>
      <c r="B1007" s="71" t="n">
        <v>46186</v>
      </c>
      <c r="C1007" s="0" t="n">
        <v>1</v>
      </c>
      <c r="D1007" s="0" t="s">
        <v>2442</v>
      </c>
      <c r="E1007" s="0" t="n">
        <v>1749</v>
      </c>
      <c r="F1007" s="0" t="s">
        <v>585</v>
      </c>
      <c r="I1007" s="0" t="n">
        <v>1601</v>
      </c>
      <c r="J1007" s="0" t="n">
        <v>72218</v>
      </c>
      <c r="K1007" s="0" t="n">
        <v>7898971278060</v>
      </c>
      <c r="L1007" s="0" t="s">
        <v>3027</v>
      </c>
      <c r="N1007" s="0" t="n">
        <v>20</v>
      </c>
      <c r="O1007" s="0" t="n">
        <v>103.5</v>
      </c>
      <c r="P1007" s="0" t="s">
        <v>2444</v>
      </c>
    </row>
    <row r="1008" customFormat="false" ht="15" hidden="false" customHeight="true" outlineLevel="0" collapsed="false">
      <c r="A1008" s="0" t="n">
        <v>2</v>
      </c>
      <c r="B1008" s="71" t="n">
        <v>46186</v>
      </c>
      <c r="C1008" s="0" t="n">
        <v>1</v>
      </c>
      <c r="D1008" s="0" t="s">
        <v>2442</v>
      </c>
      <c r="E1008" s="0" t="n">
        <v>911</v>
      </c>
      <c r="F1008" s="0" t="s">
        <v>487</v>
      </c>
      <c r="I1008" s="0" t="n">
        <v>51542</v>
      </c>
      <c r="J1008" s="0" t="n">
        <v>25959</v>
      </c>
      <c r="K1008" s="0" t="n">
        <v>7898007220834</v>
      </c>
      <c r="L1008" s="0" t="s">
        <v>3028</v>
      </c>
      <c r="N1008" s="0" t="n">
        <v>24</v>
      </c>
      <c r="O1008" s="0" t="n">
        <v>95.76</v>
      </c>
      <c r="P1008" s="0" t="s">
        <v>2444</v>
      </c>
    </row>
    <row r="1009" customFormat="false" ht="15" hidden="false" customHeight="true" outlineLevel="0" collapsed="false">
      <c r="A1009" s="0" t="n">
        <v>2</v>
      </c>
      <c r="B1009" s="71" t="n">
        <v>46186</v>
      </c>
      <c r="C1009" s="0" t="n">
        <v>1</v>
      </c>
      <c r="D1009" s="0" t="s">
        <v>2442</v>
      </c>
      <c r="E1009" s="0" t="n">
        <v>911</v>
      </c>
      <c r="F1009" s="0" t="s">
        <v>487</v>
      </c>
      <c r="I1009" s="0" t="n">
        <v>51542</v>
      </c>
      <c r="J1009" s="0" t="n">
        <v>50676</v>
      </c>
      <c r="K1009" s="0" t="n">
        <v>7898007221176</v>
      </c>
      <c r="L1009" s="0" t="s">
        <v>3029</v>
      </c>
      <c r="N1009" s="0" t="n">
        <v>12</v>
      </c>
      <c r="O1009" s="0" t="n">
        <v>30.6</v>
      </c>
      <c r="P1009" s="0" t="s">
        <v>2444</v>
      </c>
    </row>
    <row r="1010" customFormat="false" ht="15" hidden="false" customHeight="true" outlineLevel="0" collapsed="false">
      <c r="A1010" s="0" t="n">
        <v>2</v>
      </c>
      <c r="B1010" s="71" t="n">
        <v>46186</v>
      </c>
      <c r="C1010" s="0" t="n">
        <v>1</v>
      </c>
      <c r="D1010" s="0" t="s">
        <v>2442</v>
      </c>
      <c r="E1010" s="0" t="n">
        <v>911</v>
      </c>
      <c r="F1010" s="0" t="s">
        <v>487</v>
      </c>
      <c r="I1010" s="0" t="n">
        <v>51542</v>
      </c>
      <c r="J1010" s="0" t="n">
        <v>61432</v>
      </c>
      <c r="K1010" s="0" t="n">
        <v>95188874505</v>
      </c>
      <c r="L1010" s="0" t="s">
        <v>3030</v>
      </c>
      <c r="N1010" s="0" t="n">
        <v>12</v>
      </c>
      <c r="O1010" s="0" t="n">
        <v>52.2</v>
      </c>
      <c r="P1010" s="0" t="s">
        <v>2444</v>
      </c>
    </row>
    <row r="1011" customFormat="false" ht="15" hidden="false" customHeight="true" outlineLevel="0" collapsed="false">
      <c r="A1011" s="0" t="n">
        <v>2</v>
      </c>
      <c r="B1011" s="71" t="n">
        <v>46186</v>
      </c>
      <c r="C1011" s="0" t="n">
        <v>1</v>
      </c>
      <c r="D1011" s="0" t="s">
        <v>2442</v>
      </c>
      <c r="E1011" s="0" t="n">
        <v>911</v>
      </c>
      <c r="F1011" s="0" t="s">
        <v>487</v>
      </c>
      <c r="I1011" s="0" t="n">
        <v>51542</v>
      </c>
      <c r="J1011" s="0" t="n">
        <v>62654</v>
      </c>
      <c r="K1011" s="0" t="n">
        <v>95188872501</v>
      </c>
      <c r="L1011" s="0" t="s">
        <v>3030</v>
      </c>
      <c r="N1011" s="0" t="n">
        <v>12</v>
      </c>
      <c r="O1011" s="0" t="n">
        <v>37.8</v>
      </c>
      <c r="P1011" s="0" t="s">
        <v>2444</v>
      </c>
    </row>
    <row r="1012" customFormat="false" ht="15" hidden="false" customHeight="true" outlineLevel="0" collapsed="false">
      <c r="A1012" s="0" t="n">
        <v>2</v>
      </c>
      <c r="B1012" s="71" t="n">
        <v>46186</v>
      </c>
      <c r="C1012" s="0" t="n">
        <v>1</v>
      </c>
      <c r="D1012" s="0" t="s">
        <v>2442</v>
      </c>
      <c r="E1012" s="0" t="n">
        <v>911</v>
      </c>
      <c r="F1012" s="0" t="s">
        <v>487</v>
      </c>
      <c r="I1012" s="0" t="n">
        <v>51542</v>
      </c>
      <c r="J1012" s="0" t="n">
        <v>65695</v>
      </c>
      <c r="K1012" s="0" t="n">
        <v>7898007221312</v>
      </c>
      <c r="L1012" s="0" t="s">
        <v>3031</v>
      </c>
      <c r="N1012" s="0" t="n">
        <v>12</v>
      </c>
      <c r="O1012" s="0" t="n">
        <v>30.6</v>
      </c>
      <c r="P1012" s="0" t="s">
        <v>2444</v>
      </c>
    </row>
    <row r="1013" customFormat="false" ht="15" hidden="false" customHeight="true" outlineLevel="0" collapsed="false">
      <c r="A1013" s="0" t="n">
        <v>2</v>
      </c>
      <c r="B1013" s="71" t="n">
        <v>46186</v>
      </c>
      <c r="C1013" s="0" t="n">
        <v>1</v>
      </c>
      <c r="D1013" s="0" t="s">
        <v>2442</v>
      </c>
      <c r="E1013" s="0" t="n">
        <v>10017</v>
      </c>
      <c r="F1013" s="0" t="s">
        <v>183</v>
      </c>
      <c r="I1013" s="0" t="n">
        <v>193355</v>
      </c>
      <c r="J1013" s="0" t="n">
        <v>29859</v>
      </c>
      <c r="K1013" s="0" t="n">
        <v>7892300002401</v>
      </c>
      <c r="L1013" s="0" t="s">
        <v>3032</v>
      </c>
      <c r="N1013" s="0" t="n">
        <v>12</v>
      </c>
      <c r="O1013" s="0" t="n">
        <v>69.5</v>
      </c>
      <c r="P1013" s="0" t="s">
        <v>2444</v>
      </c>
    </row>
    <row r="1014" customFormat="false" ht="15" hidden="false" customHeight="true" outlineLevel="0" collapsed="false">
      <c r="A1014" s="0" t="n">
        <v>2</v>
      </c>
      <c r="B1014" s="71" t="n">
        <v>46186</v>
      </c>
      <c r="C1014" s="0" t="n">
        <v>1</v>
      </c>
      <c r="D1014" s="0" t="s">
        <v>2442</v>
      </c>
      <c r="E1014" s="0" t="n">
        <v>10017</v>
      </c>
      <c r="F1014" s="0" t="s">
        <v>183</v>
      </c>
      <c r="I1014" s="0" t="n">
        <v>193355</v>
      </c>
      <c r="J1014" s="0" t="n">
        <v>32092</v>
      </c>
      <c r="K1014" s="0" t="n">
        <v>7892300002449</v>
      </c>
      <c r="L1014" s="0" t="s">
        <v>3033</v>
      </c>
      <c r="N1014" s="0" t="n">
        <v>12</v>
      </c>
      <c r="O1014" s="0" t="n">
        <v>130.46</v>
      </c>
      <c r="P1014" s="0" t="s">
        <v>2444</v>
      </c>
    </row>
    <row r="1015" customFormat="false" ht="15" hidden="false" customHeight="true" outlineLevel="0" collapsed="false">
      <c r="A1015" s="0" t="n">
        <v>2</v>
      </c>
      <c r="B1015" s="71" t="n">
        <v>46186</v>
      </c>
      <c r="C1015" s="0" t="n">
        <v>1</v>
      </c>
      <c r="D1015" s="0" t="s">
        <v>2442</v>
      </c>
      <c r="E1015" s="0" t="n">
        <v>10017</v>
      </c>
      <c r="F1015" s="0" t="s">
        <v>183</v>
      </c>
      <c r="I1015" s="0" t="n">
        <v>193355</v>
      </c>
      <c r="J1015" s="0" t="n">
        <v>51929</v>
      </c>
      <c r="K1015" s="0" t="n">
        <v>7896212920501</v>
      </c>
      <c r="L1015" s="0" t="s">
        <v>3034</v>
      </c>
      <c r="N1015" s="0" t="n">
        <v>100</v>
      </c>
      <c r="O1015" s="0" t="n">
        <v>202.1</v>
      </c>
      <c r="P1015" s="0" t="s">
        <v>2444</v>
      </c>
    </row>
    <row r="1016" customFormat="false" ht="15" hidden="false" customHeight="true" outlineLevel="0" collapsed="false">
      <c r="A1016" s="0" t="n">
        <v>2</v>
      </c>
      <c r="B1016" s="71" t="n">
        <v>46186</v>
      </c>
      <c r="C1016" s="0" t="n">
        <v>1</v>
      </c>
      <c r="D1016" s="0" t="s">
        <v>2442</v>
      </c>
      <c r="E1016" s="0" t="n">
        <v>10017</v>
      </c>
      <c r="F1016" s="0" t="s">
        <v>183</v>
      </c>
      <c r="I1016" s="0" t="n">
        <v>193355</v>
      </c>
      <c r="J1016" s="0" t="n">
        <v>79678</v>
      </c>
      <c r="K1016" s="0" t="n">
        <v>7898961490328</v>
      </c>
      <c r="L1016" s="0" t="s">
        <v>3035</v>
      </c>
      <c r="N1016" s="0" t="n">
        <v>27</v>
      </c>
      <c r="O1016" s="0" t="n">
        <v>34.56</v>
      </c>
      <c r="P1016" s="0" t="s">
        <v>2444</v>
      </c>
    </row>
    <row r="1017" customFormat="false" ht="15" hidden="false" customHeight="true" outlineLevel="0" collapsed="false">
      <c r="A1017" s="0" t="n">
        <v>2</v>
      </c>
      <c r="B1017" s="71" t="n">
        <v>46186</v>
      </c>
      <c r="C1017" s="0" t="n">
        <v>1</v>
      </c>
      <c r="D1017" s="0" t="s">
        <v>2442</v>
      </c>
      <c r="E1017" s="0" t="n">
        <v>10017</v>
      </c>
      <c r="F1017" s="0" t="s">
        <v>183</v>
      </c>
      <c r="I1017" s="0" t="n">
        <v>193355</v>
      </c>
      <c r="J1017" s="0" t="n">
        <v>79679</v>
      </c>
      <c r="K1017" s="0" t="n">
        <v>7898961490311</v>
      </c>
      <c r="L1017" s="0" t="s">
        <v>3036</v>
      </c>
      <c r="N1017" s="0" t="n">
        <v>27</v>
      </c>
      <c r="O1017" s="0" t="n">
        <v>34.56</v>
      </c>
      <c r="P1017" s="0" t="s">
        <v>2444</v>
      </c>
    </row>
    <row r="1018" customFormat="false" ht="15" hidden="false" customHeight="true" outlineLevel="0" collapsed="false">
      <c r="A1018" s="0" t="n">
        <v>2</v>
      </c>
      <c r="B1018" s="71" t="n">
        <v>46186</v>
      </c>
      <c r="C1018" s="0" t="n">
        <v>1</v>
      </c>
      <c r="D1018" s="0" t="s">
        <v>2442</v>
      </c>
      <c r="E1018" s="0" t="n">
        <v>10017</v>
      </c>
      <c r="F1018" s="0" t="s">
        <v>183</v>
      </c>
      <c r="I1018" s="0" t="n">
        <v>193355</v>
      </c>
      <c r="J1018" s="0" t="n">
        <v>79680</v>
      </c>
      <c r="K1018" s="0" t="n">
        <v>7898961490441</v>
      </c>
      <c r="L1018" s="0" t="s">
        <v>3037</v>
      </c>
      <c r="N1018" s="0" t="n">
        <v>27</v>
      </c>
      <c r="O1018" s="0" t="n">
        <v>34.56</v>
      </c>
      <c r="P1018" s="0" t="s">
        <v>2444</v>
      </c>
    </row>
    <row r="1019" customFormat="false" ht="15" hidden="false" customHeight="true" outlineLevel="0" collapsed="false">
      <c r="A1019" s="0" t="n">
        <v>2</v>
      </c>
      <c r="B1019" s="71" t="n">
        <v>46186</v>
      </c>
      <c r="C1019" s="0" t="n">
        <v>1</v>
      </c>
      <c r="D1019" s="0" t="s">
        <v>2442</v>
      </c>
      <c r="E1019" s="0" t="n">
        <v>10017</v>
      </c>
      <c r="F1019" s="0" t="s">
        <v>183</v>
      </c>
      <c r="I1019" s="0" t="n">
        <v>193355</v>
      </c>
      <c r="J1019" s="0" t="n">
        <v>79681</v>
      </c>
      <c r="K1019" s="0" t="n">
        <v>7898961490335</v>
      </c>
      <c r="L1019" s="0" t="s">
        <v>3038</v>
      </c>
      <c r="N1019" s="0" t="n">
        <v>27</v>
      </c>
      <c r="O1019" s="0" t="n">
        <v>34.56</v>
      </c>
      <c r="P1019" s="0" t="s">
        <v>2444</v>
      </c>
    </row>
    <row r="1020" customFormat="false" ht="15" hidden="false" customHeight="true" outlineLevel="0" collapsed="false">
      <c r="A1020" s="0" t="n">
        <v>2</v>
      </c>
      <c r="B1020" s="71" t="n">
        <v>46186</v>
      </c>
      <c r="C1020" s="0" t="n">
        <v>1</v>
      </c>
      <c r="D1020" s="0" t="s">
        <v>2442</v>
      </c>
      <c r="E1020" s="0" t="n">
        <v>1666</v>
      </c>
      <c r="F1020" s="0" t="s">
        <v>266</v>
      </c>
      <c r="I1020" s="0" t="n">
        <v>563269</v>
      </c>
      <c r="J1020" s="0" t="n">
        <v>37536</v>
      </c>
      <c r="K1020" s="0" t="n">
        <v>78942066</v>
      </c>
      <c r="L1020" s="0" t="s">
        <v>2750</v>
      </c>
      <c r="N1020" s="0" t="n">
        <v>30</v>
      </c>
      <c r="O1020" s="0" t="n">
        <v>402.33</v>
      </c>
      <c r="P1020" s="0" t="s">
        <v>2444</v>
      </c>
    </row>
    <row r="1021" customFormat="false" ht="15" hidden="false" customHeight="true" outlineLevel="0" collapsed="false">
      <c r="A1021" s="0" t="n">
        <v>2</v>
      </c>
      <c r="B1021" s="71" t="n">
        <v>46186</v>
      </c>
      <c r="C1021" s="0" t="n">
        <v>1</v>
      </c>
      <c r="D1021" s="0" t="s">
        <v>2442</v>
      </c>
      <c r="E1021" s="0" t="n">
        <v>1666</v>
      </c>
      <c r="F1021" s="0" t="s">
        <v>266</v>
      </c>
      <c r="I1021" s="0" t="n">
        <v>563269</v>
      </c>
      <c r="J1021" s="0" t="n">
        <v>40750</v>
      </c>
      <c r="K1021" s="0" t="n">
        <v>78943032</v>
      </c>
      <c r="L1021" s="0" t="s">
        <v>2751</v>
      </c>
      <c r="N1021" s="0" t="n">
        <v>40</v>
      </c>
      <c r="O1021" s="0" t="n">
        <v>508.21</v>
      </c>
      <c r="P1021" s="0" t="s">
        <v>2444</v>
      </c>
    </row>
    <row r="1022" customFormat="false" ht="15" hidden="false" customHeight="true" outlineLevel="0" collapsed="false">
      <c r="A1022" s="0" t="n">
        <v>2</v>
      </c>
      <c r="B1022" s="71" t="n">
        <v>46186</v>
      </c>
      <c r="C1022" s="0" t="n">
        <v>1</v>
      </c>
      <c r="D1022" s="0" t="s">
        <v>2442</v>
      </c>
      <c r="E1022" s="0" t="n">
        <v>1666</v>
      </c>
      <c r="F1022" s="0" t="s">
        <v>266</v>
      </c>
      <c r="I1022" s="0" t="n">
        <v>563269</v>
      </c>
      <c r="J1022" s="0" t="n">
        <v>49090</v>
      </c>
      <c r="K1022" s="0" t="n">
        <v>78942813</v>
      </c>
      <c r="L1022" s="0" t="s">
        <v>2752</v>
      </c>
      <c r="N1022" s="0" t="n">
        <v>10</v>
      </c>
      <c r="O1022" s="0" t="n">
        <v>112.94</v>
      </c>
      <c r="P1022" s="0" t="s">
        <v>2444</v>
      </c>
    </row>
    <row r="1023" customFormat="false" ht="15" hidden="false" customHeight="true" outlineLevel="0" collapsed="false">
      <c r="A1023" s="0" t="n">
        <v>2</v>
      </c>
      <c r="B1023" s="71" t="n">
        <v>46186</v>
      </c>
      <c r="C1023" s="0" t="n">
        <v>1</v>
      </c>
      <c r="D1023" s="0" t="s">
        <v>2442</v>
      </c>
      <c r="E1023" s="0" t="n">
        <v>1666</v>
      </c>
      <c r="F1023" s="0" t="s">
        <v>266</v>
      </c>
      <c r="I1023" s="0" t="n">
        <v>563269</v>
      </c>
      <c r="J1023" s="0" t="n">
        <v>50760</v>
      </c>
      <c r="K1023" s="0" t="n">
        <v>78943087</v>
      </c>
      <c r="L1023" s="0" t="s">
        <v>2753</v>
      </c>
      <c r="N1023" s="0" t="n">
        <v>30</v>
      </c>
      <c r="O1023" s="0" t="n">
        <v>352.92</v>
      </c>
      <c r="P1023" s="0" t="s">
        <v>2444</v>
      </c>
    </row>
    <row r="1024" customFormat="false" ht="15" hidden="false" customHeight="true" outlineLevel="0" collapsed="false">
      <c r="A1024" s="0" t="n">
        <v>2</v>
      </c>
      <c r="B1024" s="71" t="n">
        <v>46186</v>
      </c>
      <c r="C1024" s="0" t="n">
        <v>1</v>
      </c>
      <c r="D1024" s="0" t="s">
        <v>2442</v>
      </c>
      <c r="E1024" s="0" t="n">
        <v>1666</v>
      </c>
      <c r="F1024" s="0" t="s">
        <v>266</v>
      </c>
      <c r="I1024" s="0" t="n">
        <v>563269</v>
      </c>
      <c r="J1024" s="0" t="n">
        <v>57287</v>
      </c>
      <c r="K1024" s="0" t="n">
        <v>78944251</v>
      </c>
      <c r="L1024" s="0" t="s">
        <v>2755</v>
      </c>
      <c r="N1024" s="0" t="n">
        <v>20</v>
      </c>
      <c r="O1024" s="0" t="n">
        <v>258.81</v>
      </c>
      <c r="P1024" s="0" t="s">
        <v>2444</v>
      </c>
    </row>
    <row r="1025" customFormat="false" ht="15" hidden="false" customHeight="true" outlineLevel="0" collapsed="false">
      <c r="A1025" s="0" t="n">
        <v>2</v>
      </c>
      <c r="B1025" s="71" t="n">
        <v>46186</v>
      </c>
      <c r="C1025" s="0" t="n">
        <v>1</v>
      </c>
      <c r="D1025" s="0" t="s">
        <v>2442</v>
      </c>
      <c r="E1025" s="0" t="n">
        <v>1666</v>
      </c>
      <c r="F1025" s="0" t="s">
        <v>266</v>
      </c>
      <c r="I1025" s="0" t="n">
        <v>563269</v>
      </c>
      <c r="J1025" s="0" t="n">
        <v>67622</v>
      </c>
      <c r="K1025" s="0" t="n">
        <v>78944503</v>
      </c>
      <c r="L1025" s="0" t="s">
        <v>2758</v>
      </c>
      <c r="N1025" s="0" t="n">
        <v>10</v>
      </c>
      <c r="O1025" s="0" t="n">
        <v>94.11</v>
      </c>
      <c r="P1025" s="0" t="s">
        <v>2444</v>
      </c>
    </row>
    <row r="1026" customFormat="false" ht="15" hidden="false" customHeight="true" outlineLevel="0" collapsed="false">
      <c r="A1026" s="0" t="n">
        <v>2</v>
      </c>
      <c r="B1026" s="71" t="n">
        <v>46186</v>
      </c>
      <c r="C1026" s="0" t="n">
        <v>1</v>
      </c>
      <c r="D1026" s="0" t="s">
        <v>2442</v>
      </c>
      <c r="E1026" s="0" t="n">
        <v>1666</v>
      </c>
      <c r="F1026" s="0" t="s">
        <v>266</v>
      </c>
      <c r="I1026" s="0" t="n">
        <v>563269</v>
      </c>
      <c r="J1026" s="0" t="n">
        <v>71518</v>
      </c>
      <c r="K1026" s="0" t="n">
        <v>78946200</v>
      </c>
      <c r="L1026" s="0" t="s">
        <v>2759</v>
      </c>
      <c r="N1026" s="0" t="n">
        <v>20</v>
      </c>
      <c r="O1026" s="0" t="n">
        <v>145.88</v>
      </c>
      <c r="P1026" s="0" t="s">
        <v>2444</v>
      </c>
    </row>
    <row r="1027" customFormat="false" ht="15" hidden="false" customHeight="true" outlineLevel="0" collapsed="false">
      <c r="A1027" s="0" t="n">
        <v>2</v>
      </c>
      <c r="B1027" s="71" t="n">
        <v>46186</v>
      </c>
      <c r="C1027" s="0" t="n">
        <v>1</v>
      </c>
      <c r="D1027" s="0" t="s">
        <v>2442</v>
      </c>
      <c r="E1027" s="0" t="n">
        <v>1666</v>
      </c>
      <c r="F1027" s="0" t="s">
        <v>266</v>
      </c>
      <c r="I1027" s="0" t="n">
        <v>563269</v>
      </c>
      <c r="J1027" s="0" t="n">
        <v>77084</v>
      </c>
      <c r="K1027" s="0" t="n">
        <v>78947535</v>
      </c>
      <c r="L1027" s="0" t="s">
        <v>2760</v>
      </c>
      <c r="N1027" s="0" t="n">
        <v>50</v>
      </c>
      <c r="O1027" s="0" t="n">
        <v>764.67</v>
      </c>
      <c r="P1027" s="0" t="s">
        <v>2444</v>
      </c>
    </row>
    <row r="1028" customFormat="false" ht="15" hidden="false" customHeight="true" outlineLevel="0" collapsed="false">
      <c r="A1028" s="0" t="n">
        <v>2</v>
      </c>
      <c r="B1028" s="71" t="n">
        <v>46186</v>
      </c>
      <c r="C1028" s="0" t="n">
        <v>1</v>
      </c>
      <c r="D1028" s="0" t="s">
        <v>2442</v>
      </c>
      <c r="E1028" s="0" t="n">
        <v>1666</v>
      </c>
      <c r="F1028" s="0" t="s">
        <v>266</v>
      </c>
      <c r="I1028" s="0" t="n">
        <v>563269</v>
      </c>
      <c r="J1028" s="0" t="n">
        <v>78026</v>
      </c>
      <c r="K1028" s="0" t="n">
        <v>78947504</v>
      </c>
      <c r="L1028" s="0" t="s">
        <v>2761</v>
      </c>
      <c r="N1028" s="0" t="n">
        <v>40</v>
      </c>
      <c r="O1028" s="0" t="n">
        <v>498.8</v>
      </c>
      <c r="P1028" s="0" t="s">
        <v>2444</v>
      </c>
    </row>
    <row r="1029" customFormat="false" ht="15" hidden="false" customHeight="true" outlineLevel="0" collapsed="false">
      <c r="A1029" s="0" t="n">
        <v>2</v>
      </c>
      <c r="B1029" s="71" t="n">
        <v>46186</v>
      </c>
      <c r="C1029" s="0" t="n">
        <v>1</v>
      </c>
      <c r="D1029" s="0" t="s">
        <v>2442</v>
      </c>
      <c r="E1029" s="0" t="n">
        <v>10009</v>
      </c>
      <c r="F1029" s="0" t="s">
        <v>464</v>
      </c>
      <c r="I1029" s="0" t="n">
        <v>1415530</v>
      </c>
      <c r="J1029" s="0" t="n">
        <v>40074</v>
      </c>
      <c r="K1029" s="0" t="n">
        <v>7891008121773</v>
      </c>
      <c r="L1029" s="0" t="s">
        <v>3039</v>
      </c>
      <c r="N1029" s="0" t="n">
        <v>24</v>
      </c>
      <c r="O1029" s="0" t="n">
        <v>196.38</v>
      </c>
      <c r="P1029" s="0" t="s">
        <v>2444</v>
      </c>
    </row>
    <row r="1030" customFormat="false" ht="15" hidden="false" customHeight="true" outlineLevel="0" collapsed="false">
      <c r="A1030" s="0" t="n">
        <v>2</v>
      </c>
      <c r="B1030" s="71" t="n">
        <v>46186</v>
      </c>
      <c r="C1030" s="0" t="n">
        <v>1</v>
      </c>
      <c r="D1030" s="0" t="s">
        <v>2442</v>
      </c>
      <c r="E1030" s="0" t="n">
        <v>10009</v>
      </c>
      <c r="F1030" s="0" t="s">
        <v>464</v>
      </c>
      <c r="I1030" s="0" t="n">
        <v>1415530</v>
      </c>
      <c r="J1030" s="0" t="n">
        <v>40081</v>
      </c>
      <c r="K1030" s="0" t="n">
        <v>7891008121728</v>
      </c>
      <c r="L1030" s="0" t="s">
        <v>3040</v>
      </c>
      <c r="N1030" s="0" t="n">
        <v>12</v>
      </c>
      <c r="O1030" s="0" t="n">
        <v>98.18</v>
      </c>
      <c r="P1030" s="0" t="s">
        <v>2444</v>
      </c>
    </row>
    <row r="1031" customFormat="false" ht="15" hidden="false" customHeight="true" outlineLevel="0" collapsed="false">
      <c r="A1031" s="0" t="n">
        <v>2</v>
      </c>
      <c r="B1031" s="71" t="n">
        <v>46186</v>
      </c>
      <c r="C1031" s="0" t="n">
        <v>1</v>
      </c>
      <c r="D1031" s="0" t="s">
        <v>2442</v>
      </c>
      <c r="E1031" s="0" t="n">
        <v>10009</v>
      </c>
      <c r="F1031" s="0" t="s">
        <v>464</v>
      </c>
      <c r="I1031" s="0" t="n">
        <v>1415530</v>
      </c>
      <c r="J1031" s="0" t="n">
        <v>102227</v>
      </c>
      <c r="K1031" s="0" t="n">
        <v>7891008040029</v>
      </c>
      <c r="L1031" s="0" t="s">
        <v>3041</v>
      </c>
      <c r="N1031" s="0" t="n">
        <v>6</v>
      </c>
      <c r="O1031" s="0" t="n">
        <v>136.07</v>
      </c>
      <c r="P1031" s="0" t="s">
        <v>2444</v>
      </c>
    </row>
    <row r="1032" customFormat="false" ht="15" hidden="false" customHeight="true" outlineLevel="0" collapsed="false">
      <c r="A1032" s="0" t="n">
        <v>2</v>
      </c>
      <c r="B1032" s="71" t="n">
        <v>46186</v>
      </c>
      <c r="C1032" s="0" t="n">
        <v>1</v>
      </c>
      <c r="D1032" s="0" t="s">
        <v>2442</v>
      </c>
      <c r="E1032" s="0" t="n">
        <v>10009</v>
      </c>
      <c r="F1032" s="0" t="s">
        <v>464</v>
      </c>
      <c r="I1032" s="0" t="n">
        <v>1415530</v>
      </c>
      <c r="J1032" s="0" t="n">
        <v>102412</v>
      </c>
      <c r="K1032" s="0" t="n">
        <v>78912359</v>
      </c>
      <c r="L1032" s="0" t="s">
        <v>3042</v>
      </c>
      <c r="N1032" s="0" t="n">
        <v>120</v>
      </c>
      <c r="O1032" s="0" t="n">
        <v>175.64</v>
      </c>
      <c r="P1032" s="0" t="s">
        <v>2444</v>
      </c>
    </row>
    <row r="1033" customFormat="false" ht="15" hidden="false" customHeight="true" outlineLevel="0" collapsed="false">
      <c r="A1033" s="0" t="n">
        <v>2</v>
      </c>
      <c r="B1033" s="71" t="n">
        <v>46186</v>
      </c>
      <c r="C1033" s="0" t="n">
        <v>1</v>
      </c>
      <c r="D1033" s="0" t="s">
        <v>2442</v>
      </c>
      <c r="E1033" s="0" t="n">
        <v>10009</v>
      </c>
      <c r="F1033" s="0" t="s">
        <v>464</v>
      </c>
      <c r="I1033" s="0" t="n">
        <v>1415530</v>
      </c>
      <c r="J1033" s="0" t="n">
        <v>103586</v>
      </c>
      <c r="K1033" s="0" t="n">
        <v>78907461</v>
      </c>
      <c r="L1033" s="0" t="s">
        <v>3043</v>
      </c>
      <c r="N1033" s="0" t="n">
        <v>30</v>
      </c>
      <c r="O1033" s="0" t="n">
        <v>86.7</v>
      </c>
      <c r="P1033" s="0" t="s">
        <v>2444</v>
      </c>
    </row>
    <row r="1034" customFormat="false" ht="15" hidden="false" customHeight="true" outlineLevel="0" collapsed="false">
      <c r="A1034" s="0" t="n">
        <v>2</v>
      </c>
      <c r="B1034" s="71" t="n">
        <v>46186</v>
      </c>
      <c r="C1034" s="0" t="n">
        <v>1</v>
      </c>
      <c r="D1034" s="0" t="s">
        <v>2442</v>
      </c>
      <c r="E1034" s="0" t="n">
        <v>10009</v>
      </c>
      <c r="F1034" s="0" t="s">
        <v>464</v>
      </c>
      <c r="I1034" s="0" t="n">
        <v>1415530</v>
      </c>
      <c r="J1034" s="0" t="n">
        <v>103587</v>
      </c>
      <c r="K1034" s="0" t="n">
        <v>78907492</v>
      </c>
      <c r="L1034" s="0" t="s">
        <v>3044</v>
      </c>
      <c r="N1034" s="0" t="n">
        <v>30</v>
      </c>
      <c r="O1034" s="0" t="n">
        <v>86.7</v>
      </c>
      <c r="P1034" s="0" t="s">
        <v>2444</v>
      </c>
    </row>
    <row r="1035" customFormat="false" ht="15" hidden="false" customHeight="true" outlineLevel="0" collapsed="false">
      <c r="A1035" s="0" t="n">
        <v>2</v>
      </c>
      <c r="B1035" s="71" t="n">
        <v>46186</v>
      </c>
      <c r="C1035" s="0" t="n">
        <v>1</v>
      </c>
      <c r="D1035" s="0" t="s">
        <v>2442</v>
      </c>
      <c r="E1035" s="0" t="n">
        <v>10009</v>
      </c>
      <c r="F1035" s="0" t="s">
        <v>464</v>
      </c>
      <c r="I1035" s="0" t="n">
        <v>1415530</v>
      </c>
      <c r="J1035" s="0" t="n">
        <v>104691</v>
      </c>
      <c r="K1035" s="0" t="n">
        <v>78907478</v>
      </c>
      <c r="L1035" s="0" t="s">
        <v>3045</v>
      </c>
      <c r="N1035" s="0" t="n">
        <v>30</v>
      </c>
      <c r="O1035" s="0" t="n">
        <v>86.7</v>
      </c>
      <c r="P1035" s="0" t="s">
        <v>2444</v>
      </c>
    </row>
    <row r="1036" customFormat="false" ht="15" hidden="false" customHeight="true" outlineLevel="0" collapsed="false">
      <c r="A1036" s="0" t="n">
        <v>2</v>
      </c>
      <c r="B1036" s="71" t="n">
        <v>46186</v>
      </c>
      <c r="C1036" s="0" t="n">
        <v>1</v>
      </c>
      <c r="D1036" s="0" t="s">
        <v>2442</v>
      </c>
      <c r="E1036" s="0" t="n">
        <v>10009</v>
      </c>
      <c r="F1036" s="0" t="s">
        <v>464</v>
      </c>
      <c r="I1036" s="0" t="n">
        <v>1415530</v>
      </c>
      <c r="J1036" s="0" t="n">
        <v>24768</v>
      </c>
      <c r="K1036" s="0" t="n">
        <v>78912366</v>
      </c>
      <c r="L1036" s="0" t="s">
        <v>3046</v>
      </c>
      <c r="N1036" s="0" t="n">
        <v>30</v>
      </c>
      <c r="O1036" s="0" t="n">
        <v>87.81</v>
      </c>
      <c r="P1036" s="0" t="s">
        <v>2444</v>
      </c>
    </row>
    <row r="1037" customFormat="false" ht="15" hidden="false" customHeight="true" outlineLevel="0" collapsed="false">
      <c r="A1037" s="0" t="n">
        <v>2</v>
      </c>
      <c r="B1037" s="71" t="n">
        <v>46186</v>
      </c>
      <c r="C1037" s="0" t="n">
        <v>1</v>
      </c>
      <c r="D1037" s="0" t="s">
        <v>2442</v>
      </c>
      <c r="E1037" s="0" t="n">
        <v>10009</v>
      </c>
      <c r="F1037" s="0" t="s">
        <v>464</v>
      </c>
      <c r="I1037" s="0" t="n">
        <v>1415530</v>
      </c>
      <c r="J1037" s="0" t="n">
        <v>24776</v>
      </c>
      <c r="K1037" s="0" t="n">
        <v>78930230</v>
      </c>
      <c r="L1037" s="0" t="s">
        <v>3047</v>
      </c>
      <c r="N1037" s="0" t="n">
        <v>60</v>
      </c>
      <c r="O1037" s="0" t="n">
        <v>87.81</v>
      </c>
      <c r="P1037" s="0" t="s">
        <v>2444</v>
      </c>
    </row>
    <row r="1038" customFormat="false" ht="15" hidden="false" customHeight="true" outlineLevel="0" collapsed="false">
      <c r="A1038" s="0" t="n">
        <v>2</v>
      </c>
      <c r="B1038" s="71" t="n">
        <v>46186</v>
      </c>
      <c r="C1038" s="0" t="n">
        <v>1</v>
      </c>
      <c r="D1038" s="0" t="s">
        <v>2442</v>
      </c>
      <c r="E1038" s="0" t="n">
        <v>10009</v>
      </c>
      <c r="F1038" s="0" t="s">
        <v>464</v>
      </c>
      <c r="I1038" s="0" t="n">
        <v>1415530</v>
      </c>
      <c r="J1038" s="0" t="n">
        <v>35393</v>
      </c>
      <c r="K1038" s="0" t="n">
        <v>7891008414127</v>
      </c>
      <c r="L1038" s="0" t="s">
        <v>3048</v>
      </c>
      <c r="N1038" s="0" t="n">
        <v>300</v>
      </c>
      <c r="O1038" s="0" t="n">
        <v>271.53</v>
      </c>
      <c r="P1038" s="0" t="s">
        <v>2444</v>
      </c>
    </row>
    <row r="1039" customFormat="false" ht="15" hidden="false" customHeight="true" outlineLevel="0" collapsed="false">
      <c r="A1039" s="0" t="n">
        <v>2</v>
      </c>
      <c r="B1039" s="71" t="n">
        <v>46186</v>
      </c>
      <c r="C1039" s="0" t="n">
        <v>1</v>
      </c>
      <c r="D1039" s="0" t="s">
        <v>2442</v>
      </c>
      <c r="E1039" s="0" t="n">
        <v>10009</v>
      </c>
      <c r="F1039" s="0" t="s">
        <v>464</v>
      </c>
      <c r="I1039" s="0" t="n">
        <v>1415530</v>
      </c>
      <c r="J1039" s="0" t="n">
        <v>38797</v>
      </c>
      <c r="K1039" s="0" t="n">
        <v>78930193</v>
      </c>
      <c r="L1039" s="0" t="s">
        <v>3049</v>
      </c>
      <c r="N1039" s="0" t="n">
        <v>60</v>
      </c>
      <c r="O1039" s="0" t="n">
        <v>87.81</v>
      </c>
      <c r="P1039" s="0" t="s">
        <v>2444</v>
      </c>
    </row>
    <row r="1040" customFormat="false" ht="15" hidden="false" customHeight="true" outlineLevel="0" collapsed="false">
      <c r="A1040" s="0" t="n">
        <v>2</v>
      </c>
      <c r="B1040" s="71" t="n">
        <v>46186</v>
      </c>
      <c r="C1040" s="0" t="n">
        <v>1</v>
      </c>
      <c r="D1040" s="0" t="s">
        <v>2442</v>
      </c>
      <c r="E1040" s="0" t="n">
        <v>10009</v>
      </c>
      <c r="F1040" s="0" t="s">
        <v>464</v>
      </c>
      <c r="I1040" s="0" t="n">
        <v>1415530</v>
      </c>
      <c r="J1040" s="0" t="n">
        <v>50832</v>
      </c>
      <c r="K1040" s="0" t="n">
        <v>7891008124071</v>
      </c>
      <c r="L1040" s="0" t="s">
        <v>3050</v>
      </c>
      <c r="N1040" s="0" t="n">
        <v>16</v>
      </c>
      <c r="O1040" s="0" t="n">
        <v>113.35</v>
      </c>
      <c r="P1040" s="0" t="s">
        <v>2444</v>
      </c>
    </row>
    <row r="1041" customFormat="false" ht="15" hidden="false" customHeight="true" outlineLevel="0" collapsed="false">
      <c r="A1041" s="0" t="n">
        <v>2</v>
      </c>
      <c r="B1041" s="71" t="n">
        <v>46186</v>
      </c>
      <c r="C1041" s="0" t="n">
        <v>1</v>
      </c>
      <c r="D1041" s="0" t="s">
        <v>2442</v>
      </c>
      <c r="E1041" s="0" t="n">
        <v>10009</v>
      </c>
      <c r="F1041" s="0" t="s">
        <v>464</v>
      </c>
      <c r="I1041" s="0" t="n">
        <v>1415530</v>
      </c>
      <c r="J1041" s="0" t="n">
        <v>51146</v>
      </c>
      <c r="K1041" s="0" t="n">
        <v>7891008123975</v>
      </c>
      <c r="L1041" s="0" t="s">
        <v>3051</v>
      </c>
      <c r="N1041" s="0" t="n">
        <v>16</v>
      </c>
      <c r="O1041" s="0" t="n">
        <v>113.35</v>
      </c>
      <c r="P1041" s="0" t="s">
        <v>2444</v>
      </c>
    </row>
    <row r="1042" customFormat="false" ht="15" hidden="false" customHeight="true" outlineLevel="0" collapsed="false">
      <c r="A1042" s="0" t="n">
        <v>2</v>
      </c>
      <c r="B1042" s="71" t="n">
        <v>46186</v>
      </c>
      <c r="C1042" s="0" t="n">
        <v>1</v>
      </c>
      <c r="D1042" s="0" t="s">
        <v>2442</v>
      </c>
      <c r="E1042" s="0" t="n">
        <v>10009</v>
      </c>
      <c r="F1042" s="0" t="s">
        <v>464</v>
      </c>
      <c r="I1042" s="0" t="n">
        <v>1415530</v>
      </c>
      <c r="J1042" s="0" t="n">
        <v>51705</v>
      </c>
      <c r="K1042" s="0" t="n">
        <v>7891008124026</v>
      </c>
      <c r="L1042" s="0" t="s">
        <v>3052</v>
      </c>
      <c r="N1042" s="0" t="n">
        <v>16</v>
      </c>
      <c r="O1042" s="0" t="n">
        <v>113.35</v>
      </c>
      <c r="P1042" s="0" t="s">
        <v>2444</v>
      </c>
    </row>
    <row r="1043" customFormat="false" ht="15" hidden="false" customHeight="true" outlineLevel="0" collapsed="false">
      <c r="A1043" s="0" t="n">
        <v>2</v>
      </c>
      <c r="B1043" s="71" t="n">
        <v>46186</v>
      </c>
      <c r="C1043" s="0" t="n">
        <v>1</v>
      </c>
      <c r="D1043" s="0" t="s">
        <v>2442</v>
      </c>
      <c r="E1043" s="0" t="n">
        <v>10009</v>
      </c>
      <c r="F1043" s="0" t="s">
        <v>464</v>
      </c>
      <c r="I1043" s="0" t="n">
        <v>1415530</v>
      </c>
      <c r="J1043" s="0" t="n">
        <v>53486</v>
      </c>
      <c r="K1043" s="0" t="n">
        <v>7891008125214</v>
      </c>
      <c r="L1043" s="0" t="s">
        <v>3053</v>
      </c>
      <c r="N1043" s="0" t="n">
        <v>16</v>
      </c>
      <c r="O1043" s="0" t="n">
        <v>113.35</v>
      </c>
      <c r="P1043" s="0" t="s">
        <v>2444</v>
      </c>
    </row>
    <row r="1044" customFormat="false" ht="15" hidden="false" customHeight="true" outlineLevel="0" collapsed="false">
      <c r="A1044" s="0" t="n">
        <v>2</v>
      </c>
      <c r="B1044" s="71" t="n">
        <v>46186</v>
      </c>
      <c r="C1044" s="0" t="n">
        <v>1</v>
      </c>
      <c r="D1044" s="0" t="s">
        <v>2442</v>
      </c>
      <c r="E1044" s="0" t="n">
        <v>10009</v>
      </c>
      <c r="F1044" s="0" t="s">
        <v>464</v>
      </c>
      <c r="I1044" s="0" t="n">
        <v>1415530</v>
      </c>
      <c r="J1044" s="0" t="n">
        <v>53486</v>
      </c>
      <c r="K1044" s="0" t="n">
        <v>7891008125214</v>
      </c>
      <c r="L1044" s="0" t="s">
        <v>3053</v>
      </c>
      <c r="N1044" s="0" t="n">
        <v>16</v>
      </c>
      <c r="O1044" s="0" t="n">
        <v>113.35</v>
      </c>
      <c r="P1044" s="0" t="s">
        <v>2444</v>
      </c>
    </row>
    <row r="1045" customFormat="false" ht="15" hidden="false" customHeight="true" outlineLevel="0" collapsed="false">
      <c r="A1045" s="0" t="n">
        <v>2</v>
      </c>
      <c r="B1045" s="71" t="n">
        <v>46186</v>
      </c>
      <c r="C1045" s="0" t="n">
        <v>1</v>
      </c>
      <c r="D1045" s="0" t="s">
        <v>2442</v>
      </c>
      <c r="E1045" s="0" t="n">
        <v>10009</v>
      </c>
      <c r="F1045" s="0" t="s">
        <v>464</v>
      </c>
      <c r="I1045" s="0" t="n">
        <v>1415530</v>
      </c>
      <c r="J1045" s="0" t="n">
        <v>69723</v>
      </c>
      <c r="K1045" s="0" t="n">
        <v>7891000402931</v>
      </c>
      <c r="L1045" s="0" t="s">
        <v>3054</v>
      </c>
      <c r="N1045" s="0" t="n">
        <v>30</v>
      </c>
      <c r="O1045" s="0" t="n">
        <v>159.93</v>
      </c>
      <c r="P1045" s="0" t="s">
        <v>2444</v>
      </c>
    </row>
    <row r="1046" customFormat="false" ht="15" hidden="false" customHeight="true" outlineLevel="0" collapsed="false">
      <c r="A1046" s="0" t="n">
        <v>2</v>
      </c>
      <c r="B1046" s="71" t="n">
        <v>46186</v>
      </c>
      <c r="C1046" s="0" t="n">
        <v>1</v>
      </c>
      <c r="D1046" s="0" t="s">
        <v>2442</v>
      </c>
      <c r="E1046" s="0" t="n">
        <v>10009</v>
      </c>
      <c r="F1046" s="0" t="s">
        <v>464</v>
      </c>
      <c r="I1046" s="0" t="n">
        <v>1415530</v>
      </c>
      <c r="J1046" s="0" t="n">
        <v>70418</v>
      </c>
      <c r="K1046" s="0" t="n">
        <v>7891000409640</v>
      </c>
      <c r="L1046" s="0" t="s">
        <v>3055</v>
      </c>
      <c r="N1046" s="0" t="n">
        <v>12</v>
      </c>
      <c r="O1046" s="0" t="n">
        <v>87.87</v>
      </c>
      <c r="P1046" s="0" t="s">
        <v>2444</v>
      </c>
    </row>
    <row r="1047" customFormat="false" ht="15" hidden="false" customHeight="true" outlineLevel="0" collapsed="false">
      <c r="A1047" s="0" t="n">
        <v>2</v>
      </c>
      <c r="B1047" s="71" t="n">
        <v>46186</v>
      </c>
      <c r="C1047" s="0" t="n">
        <v>1</v>
      </c>
      <c r="D1047" s="0" t="s">
        <v>2442</v>
      </c>
      <c r="E1047" s="0" t="n">
        <v>1683</v>
      </c>
      <c r="F1047" s="0" t="s">
        <v>406</v>
      </c>
      <c r="I1047" s="0" t="n">
        <v>1631088</v>
      </c>
      <c r="J1047" s="0" t="n">
        <v>37359</v>
      </c>
      <c r="K1047" s="0" t="n">
        <v>55526</v>
      </c>
      <c r="L1047" s="0" t="s">
        <v>2466</v>
      </c>
      <c r="N1047" s="0" t="n">
        <v>7</v>
      </c>
      <c r="O1047" s="0" t="n">
        <v>28</v>
      </c>
      <c r="P1047" s="0" t="s">
        <v>2444</v>
      </c>
    </row>
    <row r="1048" customFormat="false" ht="15" hidden="false" customHeight="true" outlineLevel="0" collapsed="false">
      <c r="A1048" s="0" t="n">
        <v>2</v>
      </c>
      <c r="B1048" s="71" t="n">
        <v>46186</v>
      </c>
      <c r="C1048" s="0" t="n">
        <v>1</v>
      </c>
      <c r="D1048" s="0" t="s">
        <v>2442</v>
      </c>
      <c r="E1048" s="0" t="n">
        <v>1683</v>
      </c>
      <c r="F1048" s="0" t="s">
        <v>406</v>
      </c>
      <c r="I1048" s="0" t="n">
        <v>1631088</v>
      </c>
      <c r="J1048" s="0" t="n">
        <v>37361</v>
      </c>
      <c r="K1048" s="0" t="n">
        <v>2240817</v>
      </c>
      <c r="L1048" s="0" t="s">
        <v>2467</v>
      </c>
      <c r="N1048" s="0" t="n">
        <v>20</v>
      </c>
      <c r="O1048" s="0" t="n">
        <v>36</v>
      </c>
      <c r="P1048" s="0" t="s">
        <v>2444</v>
      </c>
    </row>
    <row r="1049" customFormat="false" ht="15" hidden="false" customHeight="true" outlineLevel="0" collapsed="false">
      <c r="A1049" s="0" t="n">
        <v>2</v>
      </c>
      <c r="B1049" s="71" t="n">
        <v>46186</v>
      </c>
      <c r="C1049" s="0" t="n">
        <v>1</v>
      </c>
      <c r="D1049" s="0" t="s">
        <v>2442</v>
      </c>
      <c r="E1049" s="0" t="n">
        <v>1636</v>
      </c>
      <c r="F1049" s="0" t="s">
        <v>61</v>
      </c>
      <c r="I1049" s="0" t="n">
        <v>3201857</v>
      </c>
      <c r="J1049" s="0" t="n">
        <v>17461</v>
      </c>
      <c r="K1049" s="0" t="n">
        <v>7894650004227</v>
      </c>
      <c r="L1049" s="0" t="s">
        <v>3056</v>
      </c>
      <c r="N1049" s="0" t="n">
        <v>12</v>
      </c>
      <c r="O1049" s="0" t="n">
        <v>150.54</v>
      </c>
      <c r="P1049" s="0" t="s">
        <v>2444</v>
      </c>
    </row>
    <row r="1050" customFormat="false" ht="15" hidden="false" customHeight="true" outlineLevel="0" collapsed="false">
      <c r="A1050" s="0" t="n">
        <v>2</v>
      </c>
      <c r="B1050" s="71" t="n">
        <v>46186</v>
      </c>
      <c r="C1050" s="0" t="n">
        <v>1</v>
      </c>
      <c r="D1050" s="0" t="s">
        <v>2442</v>
      </c>
      <c r="E1050" s="0" t="n">
        <v>1636</v>
      </c>
      <c r="F1050" s="0" t="s">
        <v>61</v>
      </c>
      <c r="I1050" s="0" t="n">
        <v>3201857</v>
      </c>
      <c r="J1050" s="0" t="n">
        <v>17976</v>
      </c>
      <c r="K1050" s="0" t="n">
        <v>7894650003848</v>
      </c>
      <c r="L1050" s="0" t="s">
        <v>3057</v>
      </c>
      <c r="N1050" s="0" t="n">
        <v>12</v>
      </c>
      <c r="O1050" s="0" t="n">
        <v>182.88</v>
      </c>
      <c r="P1050" s="0" t="s">
        <v>2444</v>
      </c>
    </row>
    <row r="1051" customFormat="false" ht="15" hidden="false" customHeight="true" outlineLevel="0" collapsed="false">
      <c r="A1051" s="0" t="n">
        <v>2</v>
      </c>
      <c r="B1051" s="71" t="n">
        <v>46186</v>
      </c>
      <c r="C1051" s="0" t="n">
        <v>1</v>
      </c>
      <c r="D1051" s="0" t="s">
        <v>2442</v>
      </c>
      <c r="E1051" s="0" t="n">
        <v>1636</v>
      </c>
      <c r="F1051" s="0" t="s">
        <v>61</v>
      </c>
      <c r="I1051" s="0" t="n">
        <v>3201857</v>
      </c>
      <c r="J1051" s="0" t="n">
        <v>23316</v>
      </c>
      <c r="K1051" s="0" t="n">
        <v>7894650005569</v>
      </c>
      <c r="L1051" s="0" t="s">
        <v>3058</v>
      </c>
      <c r="N1051" s="0" t="n">
        <v>12</v>
      </c>
      <c r="O1051" s="0" t="n">
        <v>182.88</v>
      </c>
      <c r="P1051" s="0" t="s">
        <v>2444</v>
      </c>
    </row>
    <row r="1052" customFormat="false" ht="15" hidden="false" customHeight="true" outlineLevel="0" collapsed="false">
      <c r="A1052" s="0" t="n">
        <v>2</v>
      </c>
      <c r="B1052" s="71" t="n">
        <v>46186</v>
      </c>
      <c r="C1052" s="0" t="n">
        <v>1</v>
      </c>
      <c r="D1052" s="0" t="s">
        <v>2442</v>
      </c>
      <c r="E1052" s="0" t="n">
        <v>1636</v>
      </c>
      <c r="F1052" s="0" t="s">
        <v>61</v>
      </c>
      <c r="I1052" s="0" t="n">
        <v>3201857</v>
      </c>
      <c r="J1052" s="0" t="n">
        <v>31329</v>
      </c>
      <c r="K1052" s="0" t="n">
        <v>7894650938430</v>
      </c>
      <c r="L1052" s="0" t="s">
        <v>3059</v>
      </c>
      <c r="N1052" s="0" t="n">
        <v>12</v>
      </c>
      <c r="O1052" s="0" t="n">
        <v>152.75</v>
      </c>
      <c r="P1052" s="0" t="s">
        <v>2444</v>
      </c>
    </row>
    <row r="1053" customFormat="false" ht="15" hidden="false" customHeight="true" outlineLevel="0" collapsed="false">
      <c r="A1053" s="0" t="n">
        <v>2</v>
      </c>
      <c r="B1053" s="71" t="n">
        <v>46186</v>
      </c>
      <c r="C1053" s="0" t="n">
        <v>1</v>
      </c>
      <c r="D1053" s="0" t="s">
        <v>2442</v>
      </c>
      <c r="E1053" s="0" t="n">
        <v>1636</v>
      </c>
      <c r="F1053" s="0" t="s">
        <v>61</v>
      </c>
      <c r="I1053" s="0" t="n">
        <v>3201857</v>
      </c>
      <c r="J1053" s="0" t="n">
        <v>47718</v>
      </c>
      <c r="K1053" s="0" t="n">
        <v>7896044928539</v>
      </c>
      <c r="L1053" s="0" t="s">
        <v>3060</v>
      </c>
      <c r="N1053" s="0" t="n">
        <v>6</v>
      </c>
      <c r="O1053" s="0" t="n">
        <v>32.12</v>
      </c>
      <c r="P1053" s="0" t="s">
        <v>2444</v>
      </c>
    </row>
    <row r="1054" customFormat="false" ht="15" hidden="false" customHeight="true" outlineLevel="0" collapsed="false">
      <c r="A1054" s="0" t="n">
        <v>2</v>
      </c>
      <c r="B1054" s="71" t="n">
        <v>46186</v>
      </c>
      <c r="C1054" s="0" t="n">
        <v>1</v>
      </c>
      <c r="D1054" s="0" t="s">
        <v>2442</v>
      </c>
      <c r="E1054" s="0" t="n">
        <v>1636</v>
      </c>
      <c r="F1054" s="0" t="s">
        <v>61</v>
      </c>
      <c r="I1054" s="0" t="n">
        <v>3201857</v>
      </c>
      <c r="J1054" s="0" t="n">
        <v>52962</v>
      </c>
      <c r="K1054" s="0" t="n">
        <v>7896044928515</v>
      </c>
      <c r="L1054" s="0" t="s">
        <v>3061</v>
      </c>
      <c r="N1054" s="0" t="n">
        <v>6</v>
      </c>
      <c r="O1054" s="0" t="n">
        <v>32.12</v>
      </c>
      <c r="P1054" s="0" t="s">
        <v>2444</v>
      </c>
    </row>
    <row r="1055" customFormat="false" ht="15" hidden="false" customHeight="true" outlineLevel="0" collapsed="false">
      <c r="A1055" s="0" t="n">
        <v>2</v>
      </c>
      <c r="B1055" s="71" t="n">
        <v>46186</v>
      </c>
      <c r="C1055" s="0" t="n">
        <v>1</v>
      </c>
      <c r="D1055" s="0" t="s">
        <v>2442</v>
      </c>
      <c r="E1055" s="0" t="n">
        <v>1636</v>
      </c>
      <c r="F1055" s="0" t="s">
        <v>61</v>
      </c>
      <c r="I1055" s="0" t="n">
        <v>3201857</v>
      </c>
      <c r="J1055" s="0" t="n">
        <v>57941</v>
      </c>
      <c r="K1055" s="0" t="n">
        <v>7896044942023</v>
      </c>
      <c r="L1055" s="0" t="s">
        <v>3062</v>
      </c>
      <c r="N1055" s="0" t="n">
        <v>6</v>
      </c>
      <c r="O1055" s="0" t="n">
        <v>32.12</v>
      </c>
      <c r="P1055" s="0" t="s">
        <v>2444</v>
      </c>
    </row>
    <row r="1056" customFormat="false" ht="15" hidden="false" customHeight="true" outlineLevel="0" collapsed="false">
      <c r="A1056" s="0" t="n">
        <v>2</v>
      </c>
      <c r="B1056" s="71" t="n">
        <v>46186</v>
      </c>
      <c r="C1056" s="0" t="n">
        <v>1</v>
      </c>
      <c r="D1056" s="0" t="s">
        <v>2442</v>
      </c>
      <c r="E1056" s="0" t="n">
        <v>1636</v>
      </c>
      <c r="F1056" s="0" t="s">
        <v>61</v>
      </c>
      <c r="I1056" s="0" t="n">
        <v>3201857</v>
      </c>
      <c r="J1056" s="0" t="n">
        <v>74629</v>
      </c>
      <c r="K1056" s="0" t="n">
        <v>7896061997440</v>
      </c>
      <c r="L1056" s="0" t="s">
        <v>3063</v>
      </c>
      <c r="N1056" s="0" t="n">
        <v>8</v>
      </c>
      <c r="O1056" s="0" t="n">
        <v>126.67</v>
      </c>
      <c r="P1056" s="0" t="s">
        <v>2444</v>
      </c>
    </row>
    <row r="1057" customFormat="false" ht="15" hidden="false" customHeight="true" outlineLevel="0" collapsed="false">
      <c r="A1057" s="0" t="n">
        <v>2</v>
      </c>
      <c r="B1057" s="71" t="n">
        <v>46188</v>
      </c>
      <c r="C1057" s="0" t="n">
        <v>1</v>
      </c>
      <c r="D1057" s="0" t="s">
        <v>2442</v>
      </c>
      <c r="E1057" s="0" t="n">
        <v>1723</v>
      </c>
      <c r="F1057" s="0" t="s">
        <v>371</v>
      </c>
      <c r="I1057" s="0" t="n">
        <v>171507</v>
      </c>
      <c r="J1057" s="0" t="n">
        <v>29079</v>
      </c>
      <c r="K1057" s="0" t="n">
        <v>55515</v>
      </c>
      <c r="L1057" s="0" t="s">
        <v>2449</v>
      </c>
      <c r="N1057" s="0" t="n">
        <v>65.2</v>
      </c>
      <c r="O1057" s="0" t="n">
        <v>2086.4</v>
      </c>
      <c r="P1057" s="0" t="s">
        <v>2444</v>
      </c>
    </row>
    <row r="1058" customFormat="false" ht="15" hidden="false" customHeight="true" outlineLevel="0" collapsed="false">
      <c r="A1058" s="0" t="n">
        <v>2</v>
      </c>
      <c r="B1058" s="71" t="n">
        <v>46188</v>
      </c>
      <c r="C1058" s="0" t="n">
        <v>1</v>
      </c>
      <c r="D1058" s="0" t="s">
        <v>2442</v>
      </c>
      <c r="E1058" s="0" t="n">
        <v>1723</v>
      </c>
      <c r="F1058" s="0" t="s">
        <v>371</v>
      </c>
      <c r="I1058" s="0" t="n">
        <v>171507</v>
      </c>
      <c r="J1058" s="0" t="n">
        <v>29080</v>
      </c>
      <c r="K1058" s="0" t="n">
        <v>55516</v>
      </c>
      <c r="L1058" s="0" t="s">
        <v>2450</v>
      </c>
      <c r="N1058" s="0" t="n">
        <v>62.8</v>
      </c>
      <c r="O1058" s="0" t="n">
        <v>1381.6</v>
      </c>
      <c r="P1058" s="0" t="s">
        <v>2444</v>
      </c>
    </row>
    <row r="1059" customFormat="false" ht="15" hidden="false" customHeight="true" outlineLevel="0" collapsed="false">
      <c r="A1059" s="0" t="n">
        <v>2</v>
      </c>
      <c r="B1059" s="71" t="n">
        <v>46188</v>
      </c>
      <c r="C1059" s="0" t="n">
        <v>1</v>
      </c>
      <c r="D1059" s="0" t="s">
        <v>2442</v>
      </c>
      <c r="E1059" s="0" t="n">
        <v>1723</v>
      </c>
      <c r="F1059" s="0" t="s">
        <v>371</v>
      </c>
      <c r="I1059" s="0" t="n">
        <v>171507</v>
      </c>
      <c r="J1059" s="0" t="n">
        <v>77455</v>
      </c>
      <c r="K1059" s="0" t="n">
        <v>774567</v>
      </c>
      <c r="L1059" s="0" t="s">
        <v>2624</v>
      </c>
      <c r="N1059" s="0" t="n">
        <v>41.6</v>
      </c>
      <c r="O1059" s="0" t="n">
        <v>1289.6</v>
      </c>
      <c r="P1059" s="0" t="s">
        <v>2444</v>
      </c>
    </row>
    <row r="1060" customFormat="false" ht="15" hidden="false" customHeight="true" outlineLevel="0" collapsed="false">
      <c r="A1060" s="0" t="n">
        <v>2</v>
      </c>
      <c r="B1060" s="71" t="n">
        <v>46188</v>
      </c>
      <c r="C1060" s="0" t="n">
        <v>1</v>
      </c>
      <c r="D1060" s="0" t="s">
        <v>2442</v>
      </c>
      <c r="E1060" s="0" t="n">
        <v>1621</v>
      </c>
      <c r="F1060" s="0" t="s">
        <v>232</v>
      </c>
      <c r="I1060" s="0" t="n">
        <v>854255</v>
      </c>
      <c r="J1060" s="0" t="n">
        <v>102383</v>
      </c>
      <c r="K1060" s="0" t="n">
        <v>9002490225100</v>
      </c>
      <c r="L1060" s="0" t="s">
        <v>3064</v>
      </c>
      <c r="N1060" s="0" t="n">
        <v>6</v>
      </c>
      <c r="O1060" s="0" t="n">
        <v>48.9</v>
      </c>
      <c r="P1060" s="0" t="s">
        <v>2444</v>
      </c>
    </row>
    <row r="1061" customFormat="false" ht="15" hidden="false" customHeight="true" outlineLevel="0" collapsed="false">
      <c r="A1061" s="0" t="n">
        <v>2</v>
      </c>
      <c r="B1061" s="71" t="n">
        <v>46188</v>
      </c>
      <c r="C1061" s="0" t="n">
        <v>1</v>
      </c>
      <c r="D1061" s="0" t="s">
        <v>2442</v>
      </c>
      <c r="E1061" s="0" t="n">
        <v>1621</v>
      </c>
      <c r="F1061" s="0" t="s">
        <v>232</v>
      </c>
      <c r="I1061" s="0" t="n">
        <v>854255</v>
      </c>
      <c r="J1061" s="0" t="n">
        <v>103126</v>
      </c>
      <c r="K1061" s="0" t="n">
        <v>7891991000727</v>
      </c>
      <c r="L1061" s="0" t="s">
        <v>3065</v>
      </c>
      <c r="N1061" s="0" t="n">
        <v>12</v>
      </c>
      <c r="O1061" s="0" t="n">
        <v>35.79</v>
      </c>
      <c r="P1061" s="0" t="s">
        <v>2444</v>
      </c>
    </row>
    <row r="1062" customFormat="false" ht="15" hidden="false" customHeight="true" outlineLevel="0" collapsed="false">
      <c r="A1062" s="0" t="n">
        <v>2</v>
      </c>
      <c r="B1062" s="71" t="n">
        <v>46188</v>
      </c>
      <c r="C1062" s="0" t="n">
        <v>1</v>
      </c>
      <c r="D1062" s="0" t="s">
        <v>2442</v>
      </c>
      <c r="E1062" s="0" t="n">
        <v>1621</v>
      </c>
      <c r="F1062" s="0" t="s">
        <v>232</v>
      </c>
      <c r="I1062" s="0" t="n">
        <v>854255</v>
      </c>
      <c r="J1062" s="0" t="n">
        <v>103127</v>
      </c>
      <c r="K1062" s="0" t="n">
        <v>7891991000826</v>
      </c>
      <c r="L1062" s="0" t="s">
        <v>3066</v>
      </c>
      <c r="N1062" s="0" t="n">
        <v>12</v>
      </c>
      <c r="O1062" s="0" t="n">
        <v>35.79</v>
      </c>
      <c r="P1062" s="0" t="s">
        <v>2444</v>
      </c>
    </row>
    <row r="1063" customFormat="false" ht="15" hidden="false" customHeight="true" outlineLevel="0" collapsed="false">
      <c r="A1063" s="0" t="n">
        <v>2</v>
      </c>
      <c r="B1063" s="71" t="n">
        <v>46188</v>
      </c>
      <c r="C1063" s="0" t="n">
        <v>1</v>
      </c>
      <c r="D1063" s="0" t="s">
        <v>2442</v>
      </c>
      <c r="E1063" s="0" t="n">
        <v>1621</v>
      </c>
      <c r="F1063" s="0" t="s">
        <v>232</v>
      </c>
      <c r="I1063" s="0" t="n">
        <v>854255</v>
      </c>
      <c r="J1063" s="0" t="n">
        <v>103130</v>
      </c>
      <c r="K1063" s="0" t="n">
        <v>7891149440801</v>
      </c>
      <c r="L1063" s="0" t="s">
        <v>3067</v>
      </c>
      <c r="N1063" s="0" t="n">
        <v>18</v>
      </c>
      <c r="O1063" s="0" t="n">
        <v>99.81</v>
      </c>
      <c r="P1063" s="0" t="s">
        <v>2444</v>
      </c>
    </row>
    <row r="1064" customFormat="false" ht="15" hidden="false" customHeight="true" outlineLevel="0" collapsed="false">
      <c r="A1064" s="0" t="n">
        <v>2</v>
      </c>
      <c r="B1064" s="71" t="n">
        <v>46188</v>
      </c>
      <c r="C1064" s="0" t="n">
        <v>1</v>
      </c>
      <c r="D1064" s="0" t="s">
        <v>2442</v>
      </c>
      <c r="E1064" s="0" t="n">
        <v>1621</v>
      </c>
      <c r="F1064" s="0" t="s">
        <v>232</v>
      </c>
      <c r="I1064" s="0" t="n">
        <v>854255</v>
      </c>
      <c r="J1064" s="0" t="n">
        <v>103132</v>
      </c>
      <c r="K1064" s="0" t="n">
        <v>7892840800000</v>
      </c>
      <c r="L1064" s="0" t="s">
        <v>3068</v>
      </c>
      <c r="N1064" s="0" t="n">
        <v>30</v>
      </c>
      <c r="O1064" s="0" t="n">
        <v>204.36</v>
      </c>
      <c r="P1064" s="0" t="s">
        <v>2444</v>
      </c>
    </row>
    <row r="1065" customFormat="false" ht="15" hidden="false" customHeight="true" outlineLevel="0" collapsed="false">
      <c r="A1065" s="0" t="n">
        <v>2</v>
      </c>
      <c r="B1065" s="71" t="n">
        <v>46188</v>
      </c>
      <c r="C1065" s="0" t="n">
        <v>1</v>
      </c>
      <c r="D1065" s="0" t="s">
        <v>2442</v>
      </c>
      <c r="E1065" s="0" t="n">
        <v>1621</v>
      </c>
      <c r="F1065" s="0" t="s">
        <v>232</v>
      </c>
      <c r="I1065" s="0" t="n">
        <v>854255</v>
      </c>
      <c r="J1065" s="0" t="n">
        <v>103133</v>
      </c>
      <c r="K1065" s="0" t="n">
        <v>7891991001373</v>
      </c>
      <c r="L1065" s="0" t="s">
        <v>3069</v>
      </c>
      <c r="N1065" s="0" t="n">
        <v>18</v>
      </c>
      <c r="O1065" s="0" t="n">
        <v>137.69</v>
      </c>
      <c r="P1065" s="0" t="s">
        <v>2444</v>
      </c>
    </row>
    <row r="1066" customFormat="false" ht="15" hidden="false" customHeight="true" outlineLevel="0" collapsed="false">
      <c r="A1066" s="0" t="n">
        <v>2</v>
      </c>
      <c r="B1066" s="71" t="n">
        <v>46188</v>
      </c>
      <c r="C1066" s="0" t="n">
        <v>1</v>
      </c>
      <c r="D1066" s="0" t="s">
        <v>2442</v>
      </c>
      <c r="E1066" s="0" t="n">
        <v>1621</v>
      </c>
      <c r="F1066" s="0" t="s">
        <v>232</v>
      </c>
      <c r="I1066" s="0" t="n">
        <v>854255</v>
      </c>
      <c r="J1066" s="0" t="n">
        <v>103630</v>
      </c>
      <c r="K1066" s="0" t="n">
        <v>7891991004107</v>
      </c>
      <c r="L1066" s="0" t="s">
        <v>3070</v>
      </c>
      <c r="N1066" s="0" t="n">
        <v>60</v>
      </c>
      <c r="O1066" s="0" t="n">
        <v>281.27</v>
      </c>
      <c r="P1066" s="0" t="s">
        <v>2444</v>
      </c>
    </row>
    <row r="1067" customFormat="false" ht="15" hidden="false" customHeight="true" outlineLevel="0" collapsed="false">
      <c r="A1067" s="0" t="n">
        <v>2</v>
      </c>
      <c r="B1067" s="71" t="n">
        <v>46188</v>
      </c>
      <c r="C1067" s="0" t="n">
        <v>1</v>
      </c>
      <c r="D1067" s="0" t="s">
        <v>2442</v>
      </c>
      <c r="E1067" s="0" t="n">
        <v>1621</v>
      </c>
      <c r="F1067" s="0" t="s">
        <v>232</v>
      </c>
      <c r="I1067" s="0" t="n">
        <v>854255</v>
      </c>
      <c r="J1067" s="0" t="n">
        <v>103936</v>
      </c>
      <c r="K1067" s="0" t="n">
        <v>7891991001342</v>
      </c>
      <c r="L1067" s="0" t="s">
        <v>3071</v>
      </c>
      <c r="N1067" s="0" t="n">
        <v>30</v>
      </c>
      <c r="O1067" s="0" t="n">
        <v>229.49</v>
      </c>
      <c r="P1067" s="0" t="s">
        <v>2444</v>
      </c>
    </row>
    <row r="1068" customFormat="false" ht="15" hidden="false" customHeight="true" outlineLevel="0" collapsed="false">
      <c r="A1068" s="0" t="n">
        <v>2</v>
      </c>
      <c r="B1068" s="71" t="n">
        <v>46188</v>
      </c>
      <c r="C1068" s="0" t="n">
        <v>1</v>
      </c>
      <c r="D1068" s="0" t="s">
        <v>2442</v>
      </c>
      <c r="E1068" s="0" t="n">
        <v>1621</v>
      </c>
      <c r="F1068" s="0" t="s">
        <v>232</v>
      </c>
      <c r="I1068" s="0" t="n">
        <v>854255</v>
      </c>
      <c r="J1068" s="0" t="n">
        <v>103943</v>
      </c>
      <c r="K1068" s="0" t="n">
        <v>7891149200504</v>
      </c>
      <c r="L1068" s="0" t="s">
        <v>3072</v>
      </c>
      <c r="N1068" s="0" t="n">
        <v>108</v>
      </c>
      <c r="O1068" s="0" t="n">
        <v>329.979923</v>
      </c>
      <c r="P1068" s="0" t="s">
        <v>2444</v>
      </c>
    </row>
    <row r="1069" customFormat="false" ht="15" hidden="false" customHeight="true" outlineLevel="0" collapsed="false">
      <c r="A1069" s="0" t="n">
        <v>2</v>
      </c>
      <c r="B1069" s="71" t="n">
        <v>46188</v>
      </c>
      <c r="C1069" s="0" t="n">
        <v>1</v>
      </c>
      <c r="D1069" s="0" t="s">
        <v>2442</v>
      </c>
      <c r="E1069" s="0" t="n">
        <v>1621</v>
      </c>
      <c r="F1069" s="0" t="s">
        <v>232</v>
      </c>
      <c r="I1069" s="0" t="n">
        <v>854255</v>
      </c>
      <c r="J1069" s="0" t="n">
        <v>103943</v>
      </c>
      <c r="K1069" s="0" t="n">
        <v>7891149200504</v>
      </c>
      <c r="L1069" s="0" t="s">
        <v>3072</v>
      </c>
      <c r="N1069" s="0" t="n">
        <v>12</v>
      </c>
      <c r="O1069" s="0" t="n">
        <v>35.930035</v>
      </c>
      <c r="P1069" s="0" t="s">
        <v>2444</v>
      </c>
    </row>
    <row r="1070" customFormat="false" ht="15" hidden="false" customHeight="true" outlineLevel="0" collapsed="false">
      <c r="A1070" s="0" t="n">
        <v>2</v>
      </c>
      <c r="B1070" s="71" t="n">
        <v>46188</v>
      </c>
      <c r="C1070" s="0" t="n">
        <v>1</v>
      </c>
      <c r="D1070" s="0" t="s">
        <v>2442</v>
      </c>
      <c r="E1070" s="0" t="n">
        <v>1621</v>
      </c>
      <c r="F1070" s="0" t="s">
        <v>232</v>
      </c>
      <c r="I1070" s="0" t="n">
        <v>854255</v>
      </c>
      <c r="J1070" s="0" t="n">
        <v>104505</v>
      </c>
      <c r="K1070" s="0" t="n">
        <v>7892840800079</v>
      </c>
      <c r="L1070" s="0" t="s">
        <v>3073</v>
      </c>
      <c r="N1070" s="0" t="n">
        <v>24</v>
      </c>
      <c r="O1070" s="0" t="n">
        <v>69.38</v>
      </c>
      <c r="P1070" s="0" t="s">
        <v>2444</v>
      </c>
    </row>
    <row r="1071" customFormat="false" ht="15" hidden="false" customHeight="true" outlineLevel="0" collapsed="false">
      <c r="A1071" s="0" t="n">
        <v>2</v>
      </c>
      <c r="B1071" s="71" t="n">
        <v>46188</v>
      </c>
      <c r="C1071" s="0" t="n">
        <v>1</v>
      </c>
      <c r="D1071" s="0" t="s">
        <v>2442</v>
      </c>
      <c r="E1071" s="0" t="n">
        <v>1621</v>
      </c>
      <c r="F1071" s="0" t="s">
        <v>232</v>
      </c>
      <c r="I1071" s="0" t="n">
        <v>854255</v>
      </c>
      <c r="J1071" s="0" t="n">
        <v>108599</v>
      </c>
      <c r="K1071" s="0" t="n">
        <v>7892840808051</v>
      </c>
      <c r="L1071" s="0" t="s">
        <v>3074</v>
      </c>
      <c r="N1071" s="0" t="n">
        <v>6</v>
      </c>
      <c r="O1071" s="0" t="n">
        <v>32.66</v>
      </c>
      <c r="P1071" s="0" t="s">
        <v>2444</v>
      </c>
    </row>
    <row r="1072" customFormat="false" ht="15" hidden="false" customHeight="true" outlineLevel="0" collapsed="false">
      <c r="A1072" s="0" t="n">
        <v>2</v>
      </c>
      <c r="B1072" s="71" t="n">
        <v>46188</v>
      </c>
      <c r="C1072" s="0" t="n">
        <v>1</v>
      </c>
      <c r="D1072" s="0" t="s">
        <v>2442</v>
      </c>
      <c r="E1072" s="0" t="n">
        <v>1621</v>
      </c>
      <c r="F1072" s="0" t="s">
        <v>232</v>
      </c>
      <c r="I1072" s="0" t="n">
        <v>854255</v>
      </c>
      <c r="J1072" s="0" t="n">
        <v>16185</v>
      </c>
      <c r="K1072" s="0" t="n">
        <v>7891149103102</v>
      </c>
      <c r="L1072" s="0" t="s">
        <v>3075</v>
      </c>
      <c r="N1072" s="0" t="n">
        <v>15</v>
      </c>
      <c r="O1072" s="0" t="n">
        <v>39.910029</v>
      </c>
      <c r="P1072" s="0" t="s">
        <v>2444</v>
      </c>
    </row>
    <row r="1073" customFormat="false" ht="15" hidden="false" customHeight="true" outlineLevel="0" collapsed="false">
      <c r="A1073" s="0" t="n">
        <v>2</v>
      </c>
      <c r="B1073" s="71" t="n">
        <v>46188</v>
      </c>
      <c r="C1073" s="0" t="n">
        <v>1</v>
      </c>
      <c r="D1073" s="0" t="s">
        <v>2442</v>
      </c>
      <c r="E1073" s="0" t="n">
        <v>1621</v>
      </c>
      <c r="F1073" s="0" t="s">
        <v>232</v>
      </c>
      <c r="I1073" s="0" t="n">
        <v>854255</v>
      </c>
      <c r="J1073" s="0" t="n">
        <v>16185</v>
      </c>
      <c r="K1073" s="0" t="n">
        <v>7891149103102</v>
      </c>
      <c r="L1073" s="0" t="s">
        <v>3075</v>
      </c>
      <c r="N1073" s="0" t="n">
        <v>60</v>
      </c>
      <c r="O1073" s="0" t="n">
        <v>162.919962</v>
      </c>
      <c r="P1073" s="0" t="s">
        <v>2444</v>
      </c>
    </row>
    <row r="1074" customFormat="false" ht="15" hidden="false" customHeight="true" outlineLevel="0" collapsed="false">
      <c r="A1074" s="0" t="n">
        <v>2</v>
      </c>
      <c r="B1074" s="71" t="n">
        <v>46188</v>
      </c>
      <c r="C1074" s="0" t="n">
        <v>1</v>
      </c>
      <c r="D1074" s="0" t="s">
        <v>2442</v>
      </c>
      <c r="E1074" s="0" t="n">
        <v>1621</v>
      </c>
      <c r="F1074" s="0" t="s">
        <v>232</v>
      </c>
      <c r="I1074" s="0" t="n">
        <v>854255</v>
      </c>
      <c r="J1074" s="0" t="n">
        <v>17277</v>
      </c>
      <c r="K1074" s="0" t="n">
        <v>7892840808174</v>
      </c>
      <c r="L1074" s="0" t="s">
        <v>3076</v>
      </c>
      <c r="N1074" s="0" t="n">
        <v>6</v>
      </c>
      <c r="O1074" s="0" t="n">
        <v>32.66</v>
      </c>
      <c r="P1074" s="0" t="s">
        <v>2444</v>
      </c>
    </row>
    <row r="1075" customFormat="false" ht="15" hidden="false" customHeight="true" outlineLevel="0" collapsed="false">
      <c r="A1075" s="0" t="n">
        <v>2</v>
      </c>
      <c r="B1075" s="71" t="n">
        <v>46188</v>
      </c>
      <c r="C1075" s="0" t="n">
        <v>1</v>
      </c>
      <c r="D1075" s="0" t="s">
        <v>2442</v>
      </c>
      <c r="E1075" s="0" t="n">
        <v>1621</v>
      </c>
      <c r="F1075" s="0" t="s">
        <v>232</v>
      </c>
      <c r="I1075" s="0" t="n">
        <v>854255</v>
      </c>
      <c r="J1075" s="0" t="n">
        <v>17277</v>
      </c>
      <c r="K1075" s="0" t="n">
        <v>7892840808174</v>
      </c>
      <c r="L1075" s="0" t="s">
        <v>3076</v>
      </c>
      <c r="N1075" s="0" t="n">
        <v>6</v>
      </c>
      <c r="O1075" s="0" t="n">
        <v>29.39</v>
      </c>
      <c r="P1075" s="0" t="s">
        <v>2444</v>
      </c>
    </row>
    <row r="1076" customFormat="false" ht="15" hidden="false" customHeight="true" outlineLevel="0" collapsed="false">
      <c r="A1076" s="0" t="n">
        <v>2</v>
      </c>
      <c r="B1076" s="71" t="n">
        <v>46188</v>
      </c>
      <c r="C1076" s="0" t="n">
        <v>1</v>
      </c>
      <c r="D1076" s="0" t="s">
        <v>2442</v>
      </c>
      <c r="E1076" s="0" t="n">
        <v>1621</v>
      </c>
      <c r="F1076" s="0" t="s">
        <v>232</v>
      </c>
      <c r="I1076" s="0" t="n">
        <v>854255</v>
      </c>
      <c r="J1076" s="0" t="n">
        <v>17473</v>
      </c>
      <c r="K1076" s="0" t="n">
        <v>822671</v>
      </c>
      <c r="L1076" s="0" t="s">
        <v>3077</v>
      </c>
      <c r="N1076" s="0" t="n">
        <v>15</v>
      </c>
      <c r="O1076" s="0" t="n">
        <v>37.079906</v>
      </c>
      <c r="P1076" s="0" t="s">
        <v>2444</v>
      </c>
    </row>
    <row r="1077" customFormat="false" ht="15" hidden="false" customHeight="true" outlineLevel="0" collapsed="false">
      <c r="A1077" s="0" t="n">
        <v>2</v>
      </c>
      <c r="B1077" s="71" t="n">
        <v>46188</v>
      </c>
      <c r="C1077" s="0" t="n">
        <v>1</v>
      </c>
      <c r="D1077" s="0" t="s">
        <v>2442</v>
      </c>
      <c r="E1077" s="0" t="n">
        <v>1621</v>
      </c>
      <c r="F1077" s="0" t="s">
        <v>232</v>
      </c>
      <c r="I1077" s="0" t="n">
        <v>854255</v>
      </c>
      <c r="J1077" s="0" t="n">
        <v>17473</v>
      </c>
      <c r="K1077" s="0" t="n">
        <v>822671</v>
      </c>
      <c r="L1077" s="0" t="s">
        <v>3077</v>
      </c>
      <c r="N1077" s="0" t="n">
        <v>15</v>
      </c>
      <c r="O1077" s="0" t="n">
        <v>39.460027</v>
      </c>
      <c r="P1077" s="0" t="s">
        <v>2444</v>
      </c>
    </row>
    <row r="1078" customFormat="false" ht="15" hidden="false" customHeight="true" outlineLevel="0" collapsed="false">
      <c r="A1078" s="0" t="n">
        <v>2</v>
      </c>
      <c r="B1078" s="71" t="n">
        <v>46188</v>
      </c>
      <c r="C1078" s="0" t="n">
        <v>1</v>
      </c>
      <c r="D1078" s="0" t="s">
        <v>2442</v>
      </c>
      <c r="E1078" s="0" t="n">
        <v>1621</v>
      </c>
      <c r="F1078" s="0" t="s">
        <v>232</v>
      </c>
      <c r="I1078" s="0" t="n">
        <v>854255</v>
      </c>
      <c r="J1078" s="0" t="n">
        <v>20610</v>
      </c>
      <c r="K1078" s="0" t="n">
        <v>7891149105564</v>
      </c>
      <c r="L1078" s="0" t="s">
        <v>3078</v>
      </c>
      <c r="N1078" s="0" t="n">
        <v>8</v>
      </c>
      <c r="O1078" s="0" t="n">
        <v>45.669938</v>
      </c>
      <c r="P1078" s="0" t="s">
        <v>2444</v>
      </c>
    </row>
    <row r="1079" customFormat="false" ht="15" hidden="false" customHeight="true" outlineLevel="0" collapsed="false">
      <c r="A1079" s="0" t="n">
        <v>2</v>
      </c>
      <c r="B1079" s="71" t="n">
        <v>46188</v>
      </c>
      <c r="C1079" s="0" t="n">
        <v>1</v>
      </c>
      <c r="D1079" s="0" t="s">
        <v>2442</v>
      </c>
      <c r="E1079" s="0" t="n">
        <v>1621</v>
      </c>
      <c r="F1079" s="0" t="s">
        <v>232</v>
      </c>
      <c r="I1079" s="0" t="n">
        <v>854255</v>
      </c>
      <c r="J1079" s="0" t="n">
        <v>24129</v>
      </c>
      <c r="K1079" s="0" t="n">
        <v>7891991011877</v>
      </c>
      <c r="L1079" s="0" t="s">
        <v>3079</v>
      </c>
      <c r="N1079" s="0" t="n">
        <v>24</v>
      </c>
      <c r="O1079" s="0" t="n">
        <v>69.240056</v>
      </c>
      <c r="P1079" s="0" t="s">
        <v>2444</v>
      </c>
    </row>
    <row r="1080" customFormat="false" ht="15" hidden="false" customHeight="true" outlineLevel="0" collapsed="false">
      <c r="A1080" s="0" t="n">
        <v>2</v>
      </c>
      <c r="B1080" s="71" t="n">
        <v>46188</v>
      </c>
      <c r="C1080" s="0" t="n">
        <v>1</v>
      </c>
      <c r="D1080" s="0" t="s">
        <v>2442</v>
      </c>
      <c r="E1080" s="0" t="n">
        <v>1621</v>
      </c>
      <c r="F1080" s="0" t="s">
        <v>232</v>
      </c>
      <c r="I1080" s="0" t="n">
        <v>854255</v>
      </c>
      <c r="J1080" s="0" t="n">
        <v>24129</v>
      </c>
      <c r="K1080" s="0" t="n">
        <v>7891991011877</v>
      </c>
      <c r="L1080" s="0" t="s">
        <v>3079</v>
      </c>
      <c r="N1080" s="0" t="n">
        <v>8</v>
      </c>
      <c r="O1080" s="0" t="n">
        <v>22.399915</v>
      </c>
      <c r="P1080" s="0" t="s">
        <v>2444</v>
      </c>
    </row>
    <row r="1081" customFormat="false" ht="15" hidden="false" customHeight="true" outlineLevel="0" collapsed="false">
      <c r="A1081" s="0" t="n">
        <v>2</v>
      </c>
      <c r="B1081" s="71" t="n">
        <v>46188</v>
      </c>
      <c r="C1081" s="0" t="n">
        <v>1</v>
      </c>
      <c r="D1081" s="0" t="s">
        <v>2442</v>
      </c>
      <c r="E1081" s="0" t="n">
        <v>1621</v>
      </c>
      <c r="F1081" s="0" t="s">
        <v>232</v>
      </c>
      <c r="I1081" s="0" t="n">
        <v>854255</v>
      </c>
      <c r="J1081" s="0" t="n">
        <v>26171</v>
      </c>
      <c r="K1081" s="0" t="n">
        <v>7891149000005</v>
      </c>
      <c r="L1081" s="0" t="s">
        <v>3080</v>
      </c>
      <c r="N1081" s="0" t="n">
        <v>36</v>
      </c>
      <c r="O1081" s="0" t="n">
        <v>152.940023</v>
      </c>
      <c r="P1081" s="0" t="s">
        <v>2444</v>
      </c>
    </row>
    <row r="1082" customFormat="false" ht="15" hidden="false" customHeight="true" outlineLevel="0" collapsed="false">
      <c r="A1082" s="0" t="n">
        <v>2</v>
      </c>
      <c r="B1082" s="71" t="n">
        <v>46188</v>
      </c>
      <c r="C1082" s="0" t="n">
        <v>1</v>
      </c>
      <c r="D1082" s="0" t="s">
        <v>2442</v>
      </c>
      <c r="E1082" s="0" t="n">
        <v>1621</v>
      </c>
      <c r="F1082" s="0" t="s">
        <v>232</v>
      </c>
      <c r="I1082" s="0" t="n">
        <v>854255</v>
      </c>
      <c r="J1082" s="0" t="n">
        <v>26391</v>
      </c>
      <c r="K1082" s="0" t="n">
        <v>7891991010061</v>
      </c>
      <c r="L1082" s="0" t="s">
        <v>3081</v>
      </c>
      <c r="N1082" s="0" t="n">
        <v>60</v>
      </c>
      <c r="O1082" s="0" t="n">
        <v>162.920078</v>
      </c>
      <c r="P1082" s="0" t="s">
        <v>2444</v>
      </c>
    </row>
    <row r="1083" customFormat="false" ht="15" hidden="false" customHeight="true" outlineLevel="0" collapsed="false">
      <c r="A1083" s="0" t="n">
        <v>2</v>
      </c>
      <c r="B1083" s="71" t="n">
        <v>46188</v>
      </c>
      <c r="C1083" s="0" t="n">
        <v>1</v>
      </c>
      <c r="D1083" s="0" t="s">
        <v>2442</v>
      </c>
      <c r="E1083" s="0" t="n">
        <v>1621</v>
      </c>
      <c r="F1083" s="0" t="s">
        <v>232</v>
      </c>
      <c r="I1083" s="0" t="n">
        <v>854255</v>
      </c>
      <c r="J1083" s="0" t="n">
        <v>26391</v>
      </c>
      <c r="K1083" s="0" t="n">
        <v>7891991010061</v>
      </c>
      <c r="L1083" s="0" t="s">
        <v>3081</v>
      </c>
      <c r="N1083" s="0" t="n">
        <v>15</v>
      </c>
      <c r="O1083" s="0" t="n">
        <v>39.100014</v>
      </c>
      <c r="P1083" s="0" t="s">
        <v>2444</v>
      </c>
    </row>
    <row r="1084" customFormat="false" ht="15" hidden="false" customHeight="true" outlineLevel="0" collapsed="false">
      <c r="A1084" s="0" t="n">
        <v>2</v>
      </c>
      <c r="B1084" s="71" t="n">
        <v>46188</v>
      </c>
      <c r="C1084" s="0" t="n">
        <v>1</v>
      </c>
      <c r="D1084" s="0" t="s">
        <v>2442</v>
      </c>
      <c r="E1084" s="0" t="n">
        <v>1621</v>
      </c>
      <c r="F1084" s="0" t="s">
        <v>232</v>
      </c>
      <c r="I1084" s="0" t="n">
        <v>854255</v>
      </c>
      <c r="J1084" s="0" t="n">
        <v>31030</v>
      </c>
      <c r="K1084" s="0" t="n">
        <v>7891991014090</v>
      </c>
      <c r="L1084" s="0" t="s">
        <v>3082</v>
      </c>
      <c r="N1084" s="0" t="n">
        <v>60</v>
      </c>
      <c r="O1084" s="0" t="n">
        <v>189.35</v>
      </c>
      <c r="P1084" s="0" t="s">
        <v>2444</v>
      </c>
    </row>
    <row r="1085" customFormat="false" ht="15" hidden="false" customHeight="true" outlineLevel="0" collapsed="false">
      <c r="A1085" s="0" t="n">
        <v>2</v>
      </c>
      <c r="B1085" s="71" t="n">
        <v>46188</v>
      </c>
      <c r="C1085" s="0" t="n">
        <v>1</v>
      </c>
      <c r="D1085" s="0" t="s">
        <v>2442</v>
      </c>
      <c r="E1085" s="0" t="n">
        <v>1621</v>
      </c>
      <c r="F1085" s="0" t="s">
        <v>232</v>
      </c>
      <c r="I1085" s="0" t="n">
        <v>854255</v>
      </c>
      <c r="J1085" s="0" t="n">
        <v>31032</v>
      </c>
      <c r="K1085" s="0" t="n">
        <v>7891991002561</v>
      </c>
      <c r="L1085" s="0" t="s">
        <v>3083</v>
      </c>
      <c r="N1085" s="0" t="n">
        <v>18</v>
      </c>
      <c r="O1085" s="0" t="n">
        <v>68.94</v>
      </c>
      <c r="P1085" s="0" t="s">
        <v>2444</v>
      </c>
    </row>
    <row r="1086" customFormat="false" ht="15" hidden="false" customHeight="true" outlineLevel="0" collapsed="false">
      <c r="A1086" s="0" t="n">
        <v>2</v>
      </c>
      <c r="B1086" s="71" t="n">
        <v>46188</v>
      </c>
      <c r="C1086" s="0" t="n">
        <v>1</v>
      </c>
      <c r="D1086" s="0" t="s">
        <v>2442</v>
      </c>
      <c r="E1086" s="0" t="n">
        <v>1621</v>
      </c>
      <c r="F1086" s="0" t="s">
        <v>232</v>
      </c>
      <c r="I1086" s="0" t="n">
        <v>854255</v>
      </c>
      <c r="J1086" s="0" t="n">
        <v>31564</v>
      </c>
      <c r="K1086" s="0" t="n">
        <v>7891149840878</v>
      </c>
      <c r="L1086" s="0" t="s">
        <v>3084</v>
      </c>
      <c r="N1086" s="0" t="n">
        <v>8</v>
      </c>
      <c r="O1086" s="0" t="n">
        <v>45.660078</v>
      </c>
      <c r="P1086" s="0" t="s">
        <v>2444</v>
      </c>
    </row>
    <row r="1087" customFormat="false" ht="15" hidden="false" customHeight="true" outlineLevel="0" collapsed="false">
      <c r="A1087" s="0" t="n">
        <v>2</v>
      </c>
      <c r="B1087" s="71" t="n">
        <v>46188</v>
      </c>
      <c r="C1087" s="0" t="n">
        <v>1</v>
      </c>
      <c r="D1087" s="0" t="s">
        <v>2442</v>
      </c>
      <c r="E1087" s="0" t="n">
        <v>1621</v>
      </c>
      <c r="F1087" s="0" t="s">
        <v>232</v>
      </c>
      <c r="I1087" s="0" t="n">
        <v>854255</v>
      </c>
      <c r="J1087" s="0" t="n">
        <v>34937</v>
      </c>
      <c r="K1087" s="0" t="n">
        <v>7891991015462</v>
      </c>
      <c r="L1087" s="0" t="s">
        <v>3085</v>
      </c>
      <c r="N1087" s="0" t="n">
        <v>72</v>
      </c>
      <c r="O1087" s="0" t="n">
        <v>411.189975</v>
      </c>
      <c r="P1087" s="0" t="s">
        <v>2444</v>
      </c>
    </row>
    <row r="1088" customFormat="false" ht="15" hidden="false" customHeight="true" outlineLevel="0" collapsed="false">
      <c r="A1088" s="0" t="n">
        <v>2</v>
      </c>
      <c r="B1088" s="71" t="n">
        <v>46188</v>
      </c>
      <c r="C1088" s="0" t="n">
        <v>1</v>
      </c>
      <c r="D1088" s="0" t="s">
        <v>2442</v>
      </c>
      <c r="E1088" s="0" t="n">
        <v>1621</v>
      </c>
      <c r="F1088" s="0" t="s">
        <v>232</v>
      </c>
      <c r="I1088" s="0" t="n">
        <v>854255</v>
      </c>
      <c r="J1088" s="0" t="n">
        <v>40508</v>
      </c>
      <c r="K1088" s="0" t="n">
        <v>7891991301138</v>
      </c>
      <c r="L1088" s="0" t="s">
        <v>3086</v>
      </c>
      <c r="N1088" s="0" t="n">
        <v>24</v>
      </c>
      <c r="O1088" s="0" t="n">
        <v>160.600044</v>
      </c>
      <c r="P1088" s="0" t="s">
        <v>2444</v>
      </c>
    </row>
    <row r="1089" customFormat="false" ht="15" hidden="false" customHeight="true" outlineLevel="0" collapsed="false">
      <c r="A1089" s="0" t="n">
        <v>2</v>
      </c>
      <c r="B1089" s="71" t="n">
        <v>46188</v>
      </c>
      <c r="C1089" s="0" t="n">
        <v>1</v>
      </c>
      <c r="D1089" s="0" t="s">
        <v>2442</v>
      </c>
      <c r="E1089" s="0" t="n">
        <v>1621</v>
      </c>
      <c r="F1089" s="0" t="s">
        <v>232</v>
      </c>
      <c r="I1089" s="0" t="n">
        <v>854255</v>
      </c>
      <c r="J1089" s="0" t="n">
        <v>44674</v>
      </c>
      <c r="K1089" s="0" t="n">
        <v>7891991297424</v>
      </c>
      <c r="L1089" s="0" t="s">
        <v>3087</v>
      </c>
      <c r="N1089" s="0" t="n">
        <v>48</v>
      </c>
      <c r="O1089" s="0" t="n">
        <v>212.010094</v>
      </c>
      <c r="P1089" s="0" t="s">
        <v>2444</v>
      </c>
    </row>
    <row r="1090" customFormat="false" ht="15" hidden="false" customHeight="true" outlineLevel="0" collapsed="false">
      <c r="A1090" s="0" t="n">
        <v>2</v>
      </c>
      <c r="B1090" s="71" t="n">
        <v>46188</v>
      </c>
      <c r="C1090" s="0" t="n">
        <v>1</v>
      </c>
      <c r="D1090" s="0" t="s">
        <v>2442</v>
      </c>
      <c r="E1090" s="0" t="n">
        <v>1621</v>
      </c>
      <c r="F1090" s="0" t="s">
        <v>232</v>
      </c>
      <c r="I1090" s="0" t="n">
        <v>854255</v>
      </c>
      <c r="J1090" s="0" t="n">
        <v>46066</v>
      </c>
      <c r="K1090" s="0" t="n">
        <v>7891991295277</v>
      </c>
      <c r="L1090" s="0" t="s">
        <v>3088</v>
      </c>
      <c r="N1090" s="0" t="n">
        <v>30</v>
      </c>
      <c r="O1090" s="0" t="n">
        <v>86.570116</v>
      </c>
      <c r="P1090" s="0" t="s">
        <v>2444</v>
      </c>
    </row>
    <row r="1091" customFormat="false" ht="15" hidden="false" customHeight="true" outlineLevel="0" collapsed="false">
      <c r="A1091" s="0" t="n">
        <v>2</v>
      </c>
      <c r="B1091" s="71" t="n">
        <v>46188</v>
      </c>
      <c r="C1091" s="0" t="n">
        <v>1</v>
      </c>
      <c r="D1091" s="0" t="s">
        <v>2442</v>
      </c>
      <c r="E1091" s="0" t="n">
        <v>1621</v>
      </c>
      <c r="F1091" s="0" t="s">
        <v>232</v>
      </c>
      <c r="I1091" s="0" t="n">
        <v>854255</v>
      </c>
      <c r="J1091" s="0" t="n">
        <v>51810</v>
      </c>
      <c r="K1091" s="0" t="n">
        <v>7891991010900</v>
      </c>
      <c r="L1091" s="0" t="s">
        <v>3089</v>
      </c>
      <c r="N1091" s="0" t="n">
        <v>15</v>
      </c>
      <c r="O1091" s="0" t="n">
        <v>39.459897</v>
      </c>
      <c r="P1091" s="0" t="s">
        <v>2444</v>
      </c>
    </row>
    <row r="1092" customFormat="false" ht="15" hidden="false" customHeight="true" outlineLevel="0" collapsed="false">
      <c r="A1092" s="0" t="n">
        <v>2</v>
      </c>
      <c r="B1092" s="71" t="n">
        <v>46188</v>
      </c>
      <c r="C1092" s="0" t="n">
        <v>1</v>
      </c>
      <c r="D1092" s="0" t="s">
        <v>2442</v>
      </c>
      <c r="E1092" s="0" t="n">
        <v>1621</v>
      </c>
      <c r="F1092" s="0" t="s">
        <v>232</v>
      </c>
      <c r="I1092" s="0" t="n">
        <v>854255</v>
      </c>
      <c r="J1092" s="0" t="n">
        <v>53065</v>
      </c>
      <c r="K1092" s="0" t="n">
        <v>7898994926115</v>
      </c>
      <c r="L1092" s="0" t="s">
        <v>3090</v>
      </c>
      <c r="N1092" s="0" t="n">
        <v>12</v>
      </c>
      <c r="O1092" s="0" t="n">
        <v>34.52</v>
      </c>
      <c r="P1092" s="0" t="s">
        <v>2444</v>
      </c>
    </row>
    <row r="1093" customFormat="false" ht="15" hidden="false" customHeight="true" outlineLevel="0" collapsed="false">
      <c r="A1093" s="0" t="n">
        <v>2</v>
      </c>
      <c r="B1093" s="71" t="n">
        <v>46188</v>
      </c>
      <c r="C1093" s="0" t="n">
        <v>1</v>
      </c>
      <c r="D1093" s="0" t="s">
        <v>2442</v>
      </c>
      <c r="E1093" s="0" t="n">
        <v>1621</v>
      </c>
      <c r="F1093" s="0" t="s">
        <v>232</v>
      </c>
      <c r="I1093" s="0" t="n">
        <v>854255</v>
      </c>
      <c r="J1093" s="0" t="n">
        <v>55510</v>
      </c>
      <c r="K1093" s="0" t="n">
        <v>7891991303347</v>
      </c>
      <c r="L1093" s="0" t="s">
        <v>3091</v>
      </c>
      <c r="N1093" s="0" t="n">
        <v>32</v>
      </c>
      <c r="O1093" s="0" t="n">
        <v>108.829876</v>
      </c>
      <c r="P1093" s="0" t="s">
        <v>2444</v>
      </c>
    </row>
    <row r="1094" customFormat="false" ht="15" hidden="false" customHeight="true" outlineLevel="0" collapsed="false">
      <c r="A1094" s="0" t="n">
        <v>2</v>
      </c>
      <c r="B1094" s="71" t="n">
        <v>46188</v>
      </c>
      <c r="C1094" s="0" t="n">
        <v>1</v>
      </c>
      <c r="D1094" s="0" t="s">
        <v>2442</v>
      </c>
      <c r="E1094" s="0" t="n">
        <v>1621</v>
      </c>
      <c r="F1094" s="0" t="s">
        <v>232</v>
      </c>
      <c r="I1094" s="0" t="n">
        <v>854255</v>
      </c>
      <c r="J1094" s="0" t="n">
        <v>57246</v>
      </c>
      <c r="K1094" s="0" t="n">
        <v>7892840800406</v>
      </c>
      <c r="L1094" s="0" t="s">
        <v>3092</v>
      </c>
      <c r="N1094" s="0" t="n">
        <v>18</v>
      </c>
      <c r="O1094" s="0" t="n">
        <v>61.23</v>
      </c>
      <c r="P1094" s="0" t="s">
        <v>2444</v>
      </c>
    </row>
    <row r="1095" customFormat="false" ht="15" hidden="false" customHeight="true" outlineLevel="0" collapsed="false">
      <c r="A1095" s="0" t="n">
        <v>2</v>
      </c>
      <c r="B1095" s="71" t="n">
        <v>46188</v>
      </c>
      <c r="C1095" s="0" t="n">
        <v>1</v>
      </c>
      <c r="D1095" s="0" t="s">
        <v>2442</v>
      </c>
      <c r="E1095" s="0" t="n">
        <v>1621</v>
      </c>
      <c r="F1095" s="0" t="s">
        <v>232</v>
      </c>
      <c r="I1095" s="0" t="n">
        <v>854255</v>
      </c>
      <c r="J1095" s="0" t="n">
        <v>63462</v>
      </c>
      <c r="K1095" s="0" t="n">
        <v>7891991306164</v>
      </c>
      <c r="L1095" s="0" t="s">
        <v>3093</v>
      </c>
      <c r="N1095" s="0" t="n">
        <v>8</v>
      </c>
      <c r="O1095" s="0" t="n">
        <v>45.660078</v>
      </c>
      <c r="P1095" s="0" t="s">
        <v>2444</v>
      </c>
    </row>
    <row r="1096" customFormat="false" ht="15" hidden="false" customHeight="true" outlineLevel="0" collapsed="false">
      <c r="A1096" s="0" t="n">
        <v>2</v>
      </c>
      <c r="B1096" s="71" t="n">
        <v>46188</v>
      </c>
      <c r="C1096" s="0" t="n">
        <v>1</v>
      </c>
      <c r="D1096" s="0" t="s">
        <v>2442</v>
      </c>
      <c r="E1096" s="0" t="n">
        <v>1621</v>
      </c>
      <c r="F1096" s="0" t="s">
        <v>232</v>
      </c>
      <c r="I1096" s="0" t="n">
        <v>854255</v>
      </c>
      <c r="J1096" s="0" t="n">
        <v>63479</v>
      </c>
      <c r="K1096" s="0" t="n">
        <v>7891991295055</v>
      </c>
      <c r="L1096" s="0" t="s">
        <v>3094</v>
      </c>
      <c r="N1096" s="0" t="n">
        <v>8</v>
      </c>
      <c r="O1096" s="0" t="n">
        <v>40.249956</v>
      </c>
      <c r="P1096" s="0" t="s">
        <v>2444</v>
      </c>
    </row>
    <row r="1097" customFormat="false" ht="15" hidden="false" customHeight="true" outlineLevel="0" collapsed="false">
      <c r="A1097" s="0" t="n">
        <v>2</v>
      </c>
      <c r="B1097" s="71" t="n">
        <v>46188</v>
      </c>
      <c r="C1097" s="0" t="n">
        <v>1</v>
      </c>
      <c r="D1097" s="0" t="s">
        <v>2442</v>
      </c>
      <c r="E1097" s="0" t="n">
        <v>1621</v>
      </c>
      <c r="F1097" s="0" t="s">
        <v>232</v>
      </c>
      <c r="I1097" s="0" t="n">
        <v>854255</v>
      </c>
      <c r="J1097" s="0" t="n">
        <v>63479</v>
      </c>
      <c r="K1097" s="0" t="n">
        <v>7891991295055</v>
      </c>
      <c r="L1097" s="0" t="s">
        <v>3094</v>
      </c>
      <c r="N1097" s="0" t="n">
        <v>32</v>
      </c>
      <c r="O1097" s="0" t="n">
        <v>171.29001</v>
      </c>
      <c r="P1097" s="0" t="s">
        <v>2444</v>
      </c>
    </row>
    <row r="1098" customFormat="false" ht="15" hidden="false" customHeight="true" outlineLevel="0" collapsed="false">
      <c r="A1098" s="0" t="n">
        <v>2</v>
      </c>
      <c r="B1098" s="71" t="n">
        <v>46188</v>
      </c>
      <c r="C1098" s="0" t="n">
        <v>1</v>
      </c>
      <c r="D1098" s="0" t="s">
        <v>2442</v>
      </c>
      <c r="E1098" s="0" t="n">
        <v>1621</v>
      </c>
      <c r="F1098" s="0" t="s">
        <v>232</v>
      </c>
      <c r="I1098" s="0" t="n">
        <v>854255</v>
      </c>
      <c r="J1098" s="0" t="n">
        <v>71497</v>
      </c>
      <c r="K1098" s="0" t="n">
        <v>7891991304184</v>
      </c>
      <c r="L1098" s="0" t="s">
        <v>3095</v>
      </c>
      <c r="N1098" s="0" t="n">
        <v>24</v>
      </c>
      <c r="O1098" s="0" t="n">
        <v>150.1</v>
      </c>
      <c r="P1098" s="0" t="s">
        <v>2444</v>
      </c>
    </row>
    <row r="1099" customFormat="false" ht="15" hidden="false" customHeight="true" outlineLevel="0" collapsed="false">
      <c r="A1099" s="0" t="n">
        <v>2</v>
      </c>
      <c r="B1099" s="71" t="n">
        <v>46188</v>
      </c>
      <c r="C1099" s="0" t="n">
        <v>1</v>
      </c>
      <c r="D1099" s="0" t="s">
        <v>2442</v>
      </c>
      <c r="E1099" s="0" t="n">
        <v>1621</v>
      </c>
      <c r="F1099" s="0" t="s">
        <v>232</v>
      </c>
      <c r="I1099" s="0" t="n">
        <v>854255</v>
      </c>
      <c r="J1099" s="0" t="n">
        <v>73036</v>
      </c>
      <c r="K1099" s="0" t="n">
        <v>7892840822019</v>
      </c>
      <c r="L1099" s="0" t="s">
        <v>3096</v>
      </c>
      <c r="N1099" s="0" t="n">
        <v>6</v>
      </c>
      <c r="O1099" s="0" t="n">
        <v>32.66</v>
      </c>
      <c r="P1099" s="0" t="s">
        <v>2444</v>
      </c>
    </row>
    <row r="1100" customFormat="false" ht="15" hidden="false" customHeight="true" outlineLevel="0" collapsed="false">
      <c r="A1100" s="0" t="n">
        <v>2</v>
      </c>
      <c r="B1100" s="71" t="n">
        <v>46188</v>
      </c>
      <c r="C1100" s="0" t="n">
        <v>1</v>
      </c>
      <c r="D1100" s="0" t="s">
        <v>2442</v>
      </c>
      <c r="E1100" s="0" t="n">
        <v>1621</v>
      </c>
      <c r="F1100" s="0" t="s">
        <v>232</v>
      </c>
      <c r="I1100" s="0" t="n">
        <v>854255</v>
      </c>
      <c r="J1100" s="0" t="n">
        <v>73319</v>
      </c>
      <c r="K1100" s="0" t="n">
        <v>7891991307185</v>
      </c>
      <c r="L1100" s="0" t="s">
        <v>3097</v>
      </c>
      <c r="N1100" s="0" t="n">
        <v>8</v>
      </c>
      <c r="O1100" s="0" t="n">
        <v>45.669938</v>
      </c>
      <c r="P1100" s="0" t="s">
        <v>2444</v>
      </c>
    </row>
    <row r="1101" customFormat="false" ht="15" hidden="false" customHeight="true" outlineLevel="0" collapsed="false">
      <c r="A1101" s="0" t="n">
        <v>2</v>
      </c>
      <c r="B1101" s="71" t="n">
        <v>46188</v>
      </c>
      <c r="C1101" s="0" t="n">
        <v>1</v>
      </c>
      <c r="D1101" s="0" t="s">
        <v>2442</v>
      </c>
      <c r="E1101" s="0" t="n">
        <v>1621</v>
      </c>
      <c r="F1101" s="0" t="s">
        <v>232</v>
      </c>
      <c r="I1101" s="0" t="n">
        <v>854255</v>
      </c>
      <c r="J1101" s="0" t="n">
        <v>76646</v>
      </c>
      <c r="K1101" s="0" t="n">
        <v>7891991307208</v>
      </c>
      <c r="L1101" s="0" t="s">
        <v>3098</v>
      </c>
      <c r="N1101" s="0" t="n">
        <v>12</v>
      </c>
      <c r="O1101" s="0" t="n">
        <v>80.290008</v>
      </c>
      <c r="P1101" s="0" t="s">
        <v>2444</v>
      </c>
    </row>
    <row r="1102" customFormat="false" ht="15" hidden="false" customHeight="true" outlineLevel="0" collapsed="false">
      <c r="A1102" s="0" t="n">
        <v>2</v>
      </c>
      <c r="B1102" s="71" t="n">
        <v>46188</v>
      </c>
      <c r="C1102" s="0" t="n">
        <v>1</v>
      </c>
      <c r="D1102" s="0" t="s">
        <v>2442</v>
      </c>
      <c r="E1102" s="0" t="n">
        <v>1621</v>
      </c>
      <c r="F1102" s="0" t="s">
        <v>232</v>
      </c>
      <c r="I1102" s="0" t="n">
        <v>854255</v>
      </c>
      <c r="J1102" s="0" t="n">
        <v>78038</v>
      </c>
      <c r="K1102" s="0" t="n">
        <v>7891991010481</v>
      </c>
      <c r="L1102" s="0" t="s">
        <v>3099</v>
      </c>
      <c r="N1102" s="0" t="n">
        <v>12</v>
      </c>
      <c r="O1102" s="0" t="n">
        <v>42.940069</v>
      </c>
      <c r="P1102" s="0" t="s">
        <v>2444</v>
      </c>
    </row>
    <row r="1103" customFormat="false" ht="15" hidden="false" customHeight="true" outlineLevel="0" collapsed="false">
      <c r="A1103" s="0" t="n">
        <v>2</v>
      </c>
      <c r="B1103" s="71" t="n">
        <v>46188</v>
      </c>
      <c r="C1103" s="0" t="n">
        <v>1</v>
      </c>
      <c r="D1103" s="0" t="s">
        <v>2442</v>
      </c>
      <c r="E1103" s="0" t="n">
        <v>1621</v>
      </c>
      <c r="F1103" s="0" t="s">
        <v>232</v>
      </c>
      <c r="I1103" s="0" t="n">
        <v>854255</v>
      </c>
      <c r="J1103" s="0" t="n">
        <v>78038</v>
      </c>
      <c r="K1103" s="0" t="n">
        <v>7891991010481</v>
      </c>
      <c r="L1103" s="0" t="s">
        <v>3099</v>
      </c>
      <c r="N1103" s="0" t="n">
        <v>48</v>
      </c>
      <c r="O1103" s="0" t="n">
        <v>175.26004</v>
      </c>
      <c r="P1103" s="0" t="s">
        <v>2444</v>
      </c>
    </row>
    <row r="1104" customFormat="false" ht="15" hidden="false" customHeight="true" outlineLevel="0" collapsed="false">
      <c r="A1104" s="0" t="n">
        <v>2</v>
      </c>
      <c r="B1104" s="71" t="n">
        <v>46188</v>
      </c>
      <c r="C1104" s="0" t="n">
        <v>1</v>
      </c>
      <c r="D1104" s="0" t="s">
        <v>2442</v>
      </c>
      <c r="E1104" s="0" t="n">
        <v>1621</v>
      </c>
      <c r="F1104" s="0" t="s">
        <v>232</v>
      </c>
      <c r="I1104" s="0" t="n">
        <v>854255</v>
      </c>
      <c r="J1104" s="0" t="n">
        <v>78062</v>
      </c>
      <c r="K1104" s="0" t="n">
        <v>7891991305440</v>
      </c>
      <c r="L1104" s="0" t="s">
        <v>3100</v>
      </c>
      <c r="N1104" s="0" t="n">
        <v>24</v>
      </c>
      <c r="O1104" s="0" t="n">
        <v>128.480021</v>
      </c>
      <c r="P1104" s="0" t="s">
        <v>2444</v>
      </c>
    </row>
    <row r="1105" customFormat="false" ht="15" hidden="false" customHeight="true" outlineLevel="0" collapsed="false">
      <c r="A1105" s="0" t="n">
        <v>2</v>
      </c>
      <c r="B1105" s="71" t="n">
        <v>46188</v>
      </c>
      <c r="C1105" s="0" t="n">
        <v>1</v>
      </c>
      <c r="D1105" s="0" t="s">
        <v>2442</v>
      </c>
      <c r="E1105" s="0" t="n">
        <v>1659</v>
      </c>
      <c r="F1105" s="0" t="s">
        <v>214</v>
      </c>
      <c r="I1105" s="0" t="n">
        <v>878392</v>
      </c>
      <c r="J1105" s="0" t="n">
        <v>102434</v>
      </c>
      <c r="K1105" s="0" t="n">
        <v>7898366930344</v>
      </c>
      <c r="L1105" s="0" t="s">
        <v>3101</v>
      </c>
      <c r="N1105" s="0" t="n">
        <v>24</v>
      </c>
      <c r="O1105" s="0" t="n">
        <v>60.63</v>
      </c>
      <c r="P1105" s="0" t="s">
        <v>2444</v>
      </c>
    </row>
    <row r="1106" customFormat="false" ht="15" hidden="false" customHeight="true" outlineLevel="0" collapsed="false">
      <c r="A1106" s="0" t="n">
        <v>2</v>
      </c>
      <c r="B1106" s="71" t="n">
        <v>46188</v>
      </c>
      <c r="C1106" s="0" t="n">
        <v>1</v>
      </c>
      <c r="D1106" s="0" t="s">
        <v>2442</v>
      </c>
      <c r="E1106" s="0" t="n">
        <v>1659</v>
      </c>
      <c r="F1106" s="0" t="s">
        <v>214</v>
      </c>
      <c r="I1106" s="0" t="n">
        <v>878392</v>
      </c>
      <c r="J1106" s="0" t="n">
        <v>103381</v>
      </c>
      <c r="K1106" s="0" t="n">
        <v>7896006412656</v>
      </c>
      <c r="L1106" s="0" t="s">
        <v>3102</v>
      </c>
      <c r="N1106" s="0" t="n">
        <v>80</v>
      </c>
      <c r="O1106" s="0" t="n">
        <v>298.65</v>
      </c>
      <c r="P1106" s="0" t="s">
        <v>2444</v>
      </c>
    </row>
    <row r="1107" customFormat="false" ht="15" hidden="false" customHeight="true" outlineLevel="0" collapsed="false">
      <c r="A1107" s="0" t="n">
        <v>2</v>
      </c>
      <c r="B1107" s="71" t="n">
        <v>46188</v>
      </c>
      <c r="C1107" s="0" t="n">
        <v>1</v>
      </c>
      <c r="D1107" s="0" t="s">
        <v>2442</v>
      </c>
      <c r="E1107" s="0" t="n">
        <v>1659</v>
      </c>
      <c r="F1107" s="0" t="s">
        <v>214</v>
      </c>
      <c r="I1107" s="0" t="n">
        <v>878392</v>
      </c>
      <c r="J1107" s="0" t="n">
        <v>103386</v>
      </c>
      <c r="K1107" s="0" t="n">
        <v>7896006413851</v>
      </c>
      <c r="L1107" s="0" t="s">
        <v>3103</v>
      </c>
      <c r="N1107" s="0" t="n">
        <v>60</v>
      </c>
      <c r="O1107" s="0" t="n">
        <v>197.5</v>
      </c>
      <c r="P1107" s="0" t="s">
        <v>2444</v>
      </c>
    </row>
    <row r="1108" customFormat="false" ht="15" hidden="false" customHeight="true" outlineLevel="0" collapsed="false">
      <c r="A1108" s="0" t="n">
        <v>2</v>
      </c>
      <c r="B1108" s="71" t="n">
        <v>46188</v>
      </c>
      <c r="C1108" s="0" t="n">
        <v>1</v>
      </c>
      <c r="D1108" s="0" t="s">
        <v>2442</v>
      </c>
      <c r="E1108" s="0" t="n">
        <v>1659</v>
      </c>
      <c r="F1108" s="0" t="s">
        <v>214</v>
      </c>
      <c r="I1108" s="0" t="n">
        <v>878392</v>
      </c>
      <c r="J1108" s="0" t="n">
        <v>107754</v>
      </c>
      <c r="K1108" s="0" t="n">
        <v>7898366930351</v>
      </c>
      <c r="L1108" s="0" t="s">
        <v>3104</v>
      </c>
      <c r="N1108" s="0" t="n">
        <v>20</v>
      </c>
      <c r="O1108" s="0" t="n">
        <v>96.73</v>
      </c>
      <c r="P1108" s="0" t="s">
        <v>2444</v>
      </c>
    </row>
    <row r="1109" customFormat="false" ht="15" hidden="false" customHeight="true" outlineLevel="0" collapsed="false">
      <c r="A1109" s="0" t="n">
        <v>2</v>
      </c>
      <c r="B1109" s="71" t="n">
        <v>46188</v>
      </c>
      <c r="C1109" s="0" t="n">
        <v>1</v>
      </c>
      <c r="D1109" s="0" t="s">
        <v>2442</v>
      </c>
      <c r="E1109" s="0" t="n">
        <v>1659</v>
      </c>
      <c r="F1109" s="0" t="s">
        <v>214</v>
      </c>
      <c r="I1109" s="0" t="n">
        <v>878392</v>
      </c>
      <c r="J1109" s="0" t="n">
        <v>27534</v>
      </c>
      <c r="K1109" s="0" t="n">
        <v>7898959504068</v>
      </c>
      <c r="L1109" s="0" t="s">
        <v>3105</v>
      </c>
      <c r="N1109" s="0" t="n">
        <v>25</v>
      </c>
      <c r="O1109" s="0" t="n">
        <v>364.31</v>
      </c>
      <c r="P1109" s="0" t="s">
        <v>2444</v>
      </c>
    </row>
    <row r="1110" customFormat="false" ht="15" hidden="false" customHeight="true" outlineLevel="0" collapsed="false">
      <c r="A1110" s="0" t="n">
        <v>2</v>
      </c>
      <c r="B1110" s="71" t="n">
        <v>46188</v>
      </c>
      <c r="C1110" s="0" t="n">
        <v>1</v>
      </c>
      <c r="D1110" s="0" t="s">
        <v>2442</v>
      </c>
      <c r="E1110" s="0" t="n">
        <v>1659</v>
      </c>
      <c r="F1110" s="0" t="s">
        <v>214</v>
      </c>
      <c r="I1110" s="0" t="n">
        <v>878392</v>
      </c>
      <c r="J1110" s="0" t="n">
        <v>31059</v>
      </c>
      <c r="K1110" s="0" t="n">
        <v>7898962794142</v>
      </c>
      <c r="L1110" s="0" t="s">
        <v>3106</v>
      </c>
      <c r="N1110" s="0" t="n">
        <v>32</v>
      </c>
      <c r="O1110" s="0" t="n">
        <v>233.04</v>
      </c>
      <c r="P1110" s="0" t="s">
        <v>2444</v>
      </c>
    </row>
    <row r="1111" customFormat="false" ht="15" hidden="false" customHeight="true" outlineLevel="0" collapsed="false">
      <c r="A1111" s="0" t="n">
        <v>2</v>
      </c>
      <c r="B1111" s="71" t="n">
        <v>46188</v>
      </c>
      <c r="C1111" s="0" t="n">
        <v>1</v>
      </c>
      <c r="D1111" s="0" t="s">
        <v>2442</v>
      </c>
      <c r="E1111" s="0" t="n">
        <v>1659</v>
      </c>
      <c r="F1111" s="0" t="s">
        <v>214</v>
      </c>
      <c r="I1111" s="0" t="n">
        <v>878392</v>
      </c>
      <c r="J1111" s="0" t="n">
        <v>33253</v>
      </c>
      <c r="K1111" s="0" t="n">
        <v>7898959504471</v>
      </c>
      <c r="L1111" s="0" t="s">
        <v>3107</v>
      </c>
      <c r="N1111" s="0" t="n">
        <v>24</v>
      </c>
      <c r="O1111" s="0" t="n">
        <v>130.8</v>
      </c>
      <c r="P1111" s="0" t="s">
        <v>2444</v>
      </c>
    </row>
    <row r="1112" customFormat="false" ht="15" hidden="false" customHeight="true" outlineLevel="0" collapsed="false">
      <c r="A1112" s="0" t="n">
        <v>2</v>
      </c>
      <c r="B1112" s="71" t="n">
        <v>46188</v>
      </c>
      <c r="C1112" s="0" t="n">
        <v>1</v>
      </c>
      <c r="D1112" s="0" t="s">
        <v>2442</v>
      </c>
      <c r="E1112" s="0" t="n">
        <v>1659</v>
      </c>
      <c r="F1112" s="0" t="s">
        <v>214</v>
      </c>
      <c r="I1112" s="0" t="n">
        <v>878392</v>
      </c>
      <c r="J1112" s="0" t="n">
        <v>40353</v>
      </c>
      <c r="K1112" s="0" t="n">
        <v>7898503790879</v>
      </c>
      <c r="L1112" s="0" t="s">
        <v>3108</v>
      </c>
      <c r="N1112" s="0" t="n">
        <v>40</v>
      </c>
      <c r="O1112" s="0" t="n">
        <v>137.56</v>
      </c>
      <c r="P1112" s="0" t="s">
        <v>2444</v>
      </c>
    </row>
    <row r="1113" customFormat="false" ht="15" hidden="false" customHeight="true" outlineLevel="0" collapsed="false">
      <c r="A1113" s="0" t="n">
        <v>2</v>
      </c>
      <c r="B1113" s="71" t="n">
        <v>46188</v>
      </c>
      <c r="C1113" s="0" t="n">
        <v>1</v>
      </c>
      <c r="D1113" s="0" t="s">
        <v>2442</v>
      </c>
      <c r="E1113" s="0" t="n">
        <v>1659</v>
      </c>
      <c r="F1113" s="0" t="s">
        <v>214</v>
      </c>
      <c r="I1113" s="0" t="n">
        <v>878392</v>
      </c>
      <c r="J1113" s="0" t="n">
        <v>40521</v>
      </c>
      <c r="K1113" s="0" t="n">
        <v>7898650811069</v>
      </c>
      <c r="L1113" s="0" t="s">
        <v>3109</v>
      </c>
      <c r="N1113" s="0" t="n">
        <v>25</v>
      </c>
      <c r="O1113" s="0" t="n">
        <v>171.36</v>
      </c>
      <c r="P1113" s="0" t="s">
        <v>2444</v>
      </c>
    </row>
    <row r="1114" customFormat="false" ht="15" hidden="false" customHeight="true" outlineLevel="0" collapsed="false">
      <c r="A1114" s="0" t="n">
        <v>2</v>
      </c>
      <c r="B1114" s="71" t="n">
        <v>46188</v>
      </c>
      <c r="C1114" s="0" t="n">
        <v>1</v>
      </c>
      <c r="D1114" s="0" t="s">
        <v>2442</v>
      </c>
      <c r="E1114" s="0" t="n">
        <v>1659</v>
      </c>
      <c r="F1114" s="0" t="s">
        <v>214</v>
      </c>
      <c r="I1114" s="0" t="n">
        <v>878392</v>
      </c>
      <c r="J1114" s="0" t="n">
        <v>43488</v>
      </c>
      <c r="K1114" s="0" t="n">
        <v>7898503790886</v>
      </c>
      <c r="L1114" s="0" t="s">
        <v>3110</v>
      </c>
      <c r="N1114" s="0" t="n">
        <v>20</v>
      </c>
      <c r="O1114" s="0" t="n">
        <v>65.26</v>
      </c>
      <c r="P1114" s="0" t="s">
        <v>2444</v>
      </c>
    </row>
    <row r="1115" customFormat="false" ht="15" hidden="false" customHeight="true" outlineLevel="0" collapsed="false">
      <c r="A1115" s="0" t="n">
        <v>2</v>
      </c>
      <c r="B1115" s="71" t="n">
        <v>46188</v>
      </c>
      <c r="C1115" s="0" t="n">
        <v>1</v>
      </c>
      <c r="D1115" s="0" t="s">
        <v>2442</v>
      </c>
      <c r="E1115" s="0" t="n">
        <v>1659</v>
      </c>
      <c r="F1115" s="0" t="s">
        <v>214</v>
      </c>
      <c r="I1115" s="0" t="n">
        <v>878392</v>
      </c>
      <c r="J1115" s="0" t="n">
        <v>45860</v>
      </c>
      <c r="K1115" s="0" t="n">
        <v>7898503790091</v>
      </c>
      <c r="L1115" s="0" t="s">
        <v>3111</v>
      </c>
      <c r="N1115" s="0" t="n">
        <v>100</v>
      </c>
      <c r="O1115" s="0" t="n">
        <v>86</v>
      </c>
      <c r="P1115" s="0" t="s">
        <v>2444</v>
      </c>
    </row>
    <row r="1116" customFormat="false" ht="15" hidden="false" customHeight="true" outlineLevel="0" collapsed="false">
      <c r="A1116" s="0" t="n">
        <v>2</v>
      </c>
      <c r="B1116" s="71" t="n">
        <v>46188</v>
      </c>
      <c r="C1116" s="0" t="n">
        <v>1</v>
      </c>
      <c r="D1116" s="0" t="s">
        <v>2442</v>
      </c>
      <c r="E1116" s="0" t="n">
        <v>1659</v>
      </c>
      <c r="F1116" s="0" t="s">
        <v>214</v>
      </c>
      <c r="I1116" s="0" t="n">
        <v>878392</v>
      </c>
      <c r="J1116" s="0" t="n">
        <v>57216</v>
      </c>
      <c r="K1116" s="0" t="n">
        <v>7898503791043</v>
      </c>
      <c r="L1116" s="0" t="s">
        <v>3112</v>
      </c>
      <c r="N1116" s="0" t="n">
        <v>20</v>
      </c>
      <c r="O1116" s="0" t="n">
        <v>65.26</v>
      </c>
      <c r="P1116" s="0" t="s">
        <v>2444</v>
      </c>
    </row>
    <row r="1117" customFormat="false" ht="15" hidden="false" customHeight="true" outlineLevel="0" collapsed="false">
      <c r="A1117" s="0" t="n">
        <v>2</v>
      </c>
      <c r="B1117" s="71" t="n">
        <v>46188</v>
      </c>
      <c r="C1117" s="0" t="n">
        <v>1</v>
      </c>
      <c r="D1117" s="0" t="s">
        <v>2442</v>
      </c>
      <c r="E1117" s="0" t="n">
        <v>1659</v>
      </c>
      <c r="F1117" s="0" t="s">
        <v>214</v>
      </c>
      <c r="I1117" s="0" t="n">
        <v>878392</v>
      </c>
      <c r="J1117" s="0" t="n">
        <v>57217</v>
      </c>
      <c r="K1117" s="0" t="n">
        <v>7898503791111</v>
      </c>
      <c r="L1117" s="0" t="s">
        <v>3112</v>
      </c>
      <c r="N1117" s="0" t="n">
        <v>40</v>
      </c>
      <c r="O1117" s="0" t="n">
        <v>91.1</v>
      </c>
      <c r="P1117" s="0" t="s">
        <v>2444</v>
      </c>
    </row>
    <row r="1118" customFormat="false" ht="15" hidden="false" customHeight="true" outlineLevel="0" collapsed="false">
      <c r="A1118" s="0" t="n">
        <v>2</v>
      </c>
      <c r="B1118" s="71" t="n">
        <v>46188</v>
      </c>
      <c r="C1118" s="0" t="n">
        <v>1</v>
      </c>
      <c r="D1118" s="0" t="s">
        <v>2442</v>
      </c>
      <c r="E1118" s="0" t="n">
        <v>1659</v>
      </c>
      <c r="F1118" s="0" t="s">
        <v>214</v>
      </c>
      <c r="I1118" s="0" t="n">
        <v>878392</v>
      </c>
      <c r="J1118" s="0" t="n">
        <v>60793</v>
      </c>
      <c r="K1118" s="0" t="n">
        <v>7898503791142</v>
      </c>
      <c r="L1118" s="0" t="s">
        <v>3112</v>
      </c>
      <c r="N1118" s="0" t="n">
        <v>48</v>
      </c>
      <c r="O1118" s="0" t="n">
        <v>38.66</v>
      </c>
      <c r="P1118" s="0" t="s">
        <v>2444</v>
      </c>
    </row>
    <row r="1119" customFormat="false" ht="15" hidden="false" customHeight="true" outlineLevel="0" collapsed="false">
      <c r="A1119" s="0" t="n">
        <v>2</v>
      </c>
      <c r="B1119" s="71" t="n">
        <v>46188</v>
      </c>
      <c r="C1119" s="0" t="n">
        <v>1</v>
      </c>
      <c r="D1119" s="0" t="s">
        <v>2442</v>
      </c>
      <c r="E1119" s="0" t="n">
        <v>1659</v>
      </c>
      <c r="F1119" s="0" t="s">
        <v>214</v>
      </c>
      <c r="I1119" s="0" t="n">
        <v>878392</v>
      </c>
      <c r="J1119" s="0" t="n">
        <v>61012</v>
      </c>
      <c r="K1119" s="0" t="n">
        <v>7898617581271</v>
      </c>
      <c r="L1119" s="0" t="s">
        <v>3113</v>
      </c>
      <c r="N1119" s="0" t="n">
        <v>12</v>
      </c>
      <c r="O1119" s="0" t="n">
        <v>60.14</v>
      </c>
      <c r="P1119" s="0" t="s">
        <v>2444</v>
      </c>
    </row>
    <row r="1120" customFormat="false" ht="15" hidden="false" customHeight="true" outlineLevel="0" collapsed="false">
      <c r="A1120" s="0" t="n">
        <v>2</v>
      </c>
      <c r="B1120" s="71" t="n">
        <v>46188</v>
      </c>
      <c r="C1120" s="0" t="n">
        <v>1</v>
      </c>
      <c r="D1120" s="0" t="s">
        <v>2442</v>
      </c>
      <c r="E1120" s="0" t="n">
        <v>1659</v>
      </c>
      <c r="F1120" s="0" t="s">
        <v>214</v>
      </c>
      <c r="I1120" s="0" t="n">
        <v>878392</v>
      </c>
      <c r="J1120" s="0" t="n">
        <v>67240</v>
      </c>
      <c r="K1120" s="0" t="n">
        <v>7898503791227</v>
      </c>
      <c r="L1120" s="0" t="s">
        <v>3114</v>
      </c>
      <c r="N1120" s="0" t="n">
        <v>48</v>
      </c>
      <c r="O1120" s="0" t="n">
        <v>38.66</v>
      </c>
      <c r="P1120" s="0" t="s">
        <v>2444</v>
      </c>
    </row>
    <row r="1121" customFormat="false" ht="15" hidden="false" customHeight="true" outlineLevel="0" collapsed="false">
      <c r="A1121" s="0" t="n">
        <v>2</v>
      </c>
      <c r="B1121" s="71" t="n">
        <v>46188</v>
      </c>
      <c r="C1121" s="0" t="n">
        <v>1</v>
      </c>
      <c r="D1121" s="0" t="s">
        <v>2442</v>
      </c>
      <c r="E1121" s="0" t="n">
        <v>1659</v>
      </c>
      <c r="F1121" s="0" t="s">
        <v>214</v>
      </c>
      <c r="I1121" s="0" t="n">
        <v>878392</v>
      </c>
      <c r="J1121" s="0" t="n">
        <v>70467</v>
      </c>
      <c r="K1121" s="0" t="n">
        <v>7898617581745</v>
      </c>
      <c r="L1121" s="0" t="s">
        <v>3115</v>
      </c>
      <c r="N1121" s="0" t="n">
        <v>96</v>
      </c>
      <c r="O1121" s="0" t="n">
        <v>119.14</v>
      </c>
      <c r="P1121" s="0" t="s">
        <v>2444</v>
      </c>
    </row>
    <row r="1122" customFormat="false" ht="15" hidden="false" customHeight="true" outlineLevel="0" collapsed="false">
      <c r="A1122" s="0" t="n">
        <v>2</v>
      </c>
      <c r="B1122" s="71" t="n">
        <v>46188</v>
      </c>
      <c r="C1122" s="0" t="n">
        <v>1</v>
      </c>
      <c r="D1122" s="0" t="s">
        <v>2442</v>
      </c>
      <c r="E1122" s="0" t="n">
        <v>1659</v>
      </c>
      <c r="F1122" s="0" t="s">
        <v>214</v>
      </c>
      <c r="I1122" s="0" t="n">
        <v>878392</v>
      </c>
      <c r="J1122" s="0" t="n">
        <v>70469</v>
      </c>
      <c r="K1122" s="0" t="n">
        <v>7898617581769</v>
      </c>
      <c r="L1122" s="0" t="s">
        <v>3116</v>
      </c>
      <c r="N1122" s="0" t="n">
        <v>96</v>
      </c>
      <c r="O1122" s="0" t="n">
        <v>119.14</v>
      </c>
      <c r="P1122" s="0" t="s">
        <v>2444</v>
      </c>
    </row>
    <row r="1123" customFormat="false" ht="15" hidden="false" customHeight="true" outlineLevel="0" collapsed="false">
      <c r="A1123" s="0" t="n">
        <v>2</v>
      </c>
      <c r="B1123" s="71" t="n">
        <v>46188</v>
      </c>
      <c r="C1123" s="0" t="n">
        <v>1</v>
      </c>
      <c r="D1123" s="0" t="s">
        <v>2442</v>
      </c>
      <c r="E1123" s="0" t="n">
        <v>1659</v>
      </c>
      <c r="F1123" s="0" t="s">
        <v>214</v>
      </c>
      <c r="I1123" s="0" t="n">
        <v>878758</v>
      </c>
      <c r="J1123" s="0" t="n">
        <v>30278</v>
      </c>
      <c r="K1123" s="0" t="n">
        <v>7891030300139</v>
      </c>
      <c r="L1123" s="0" t="s">
        <v>3117</v>
      </c>
      <c r="N1123" s="0" t="n">
        <v>25</v>
      </c>
      <c r="O1123" s="0" t="n">
        <v>88.56</v>
      </c>
      <c r="P1123" s="0" t="s">
        <v>2444</v>
      </c>
    </row>
    <row r="1124" customFormat="false" ht="15" hidden="false" customHeight="true" outlineLevel="0" collapsed="false">
      <c r="A1124" s="0" t="n">
        <v>2</v>
      </c>
      <c r="B1124" s="71" t="n">
        <v>46188</v>
      </c>
      <c r="C1124" s="0" t="n">
        <v>1</v>
      </c>
      <c r="D1124" s="0" t="s">
        <v>2442</v>
      </c>
      <c r="E1124" s="0" t="n">
        <v>1659</v>
      </c>
      <c r="F1124" s="0" t="s">
        <v>214</v>
      </c>
      <c r="I1124" s="0" t="n">
        <v>878758</v>
      </c>
      <c r="J1124" s="0" t="n">
        <v>102350</v>
      </c>
      <c r="K1124" s="0" t="n">
        <v>7891030003016</v>
      </c>
      <c r="L1124" s="0" t="s">
        <v>3118</v>
      </c>
      <c r="N1124" s="0" t="n">
        <v>270</v>
      </c>
      <c r="O1124" s="0" t="n">
        <v>390.5</v>
      </c>
      <c r="P1124" s="0" t="s">
        <v>2444</v>
      </c>
    </row>
    <row r="1125" customFormat="false" ht="15" hidden="false" customHeight="true" outlineLevel="0" collapsed="false">
      <c r="A1125" s="0" t="n">
        <v>2</v>
      </c>
      <c r="B1125" s="71" t="n">
        <v>46188</v>
      </c>
      <c r="C1125" s="0" t="n">
        <v>1</v>
      </c>
      <c r="D1125" s="0" t="s">
        <v>2442</v>
      </c>
      <c r="E1125" s="0" t="n">
        <v>1659</v>
      </c>
      <c r="F1125" s="0" t="s">
        <v>214</v>
      </c>
      <c r="I1125" s="0" t="n">
        <v>878758</v>
      </c>
      <c r="J1125" s="0" t="n">
        <v>102592</v>
      </c>
      <c r="K1125" s="0" t="n">
        <v>7891030003467</v>
      </c>
      <c r="L1125" s="0" t="s">
        <v>2770</v>
      </c>
      <c r="N1125" s="0" t="n">
        <v>135</v>
      </c>
      <c r="O1125" s="0" t="n">
        <v>369.15</v>
      </c>
      <c r="P1125" s="0" t="s">
        <v>2444</v>
      </c>
    </row>
    <row r="1126" customFormat="false" ht="15" hidden="false" customHeight="true" outlineLevel="0" collapsed="false">
      <c r="A1126" s="0" t="n">
        <v>2</v>
      </c>
      <c r="B1126" s="71" t="n">
        <v>46188</v>
      </c>
      <c r="C1126" s="0" t="n">
        <v>1</v>
      </c>
      <c r="D1126" s="0" t="s">
        <v>2442</v>
      </c>
      <c r="E1126" s="0" t="n">
        <v>1659</v>
      </c>
      <c r="F1126" s="0" t="s">
        <v>214</v>
      </c>
      <c r="I1126" s="0" t="n">
        <v>878758</v>
      </c>
      <c r="J1126" s="0" t="n">
        <v>31312</v>
      </c>
      <c r="K1126" s="0" t="n">
        <v>7891030300306</v>
      </c>
      <c r="L1126" s="0" t="s">
        <v>3119</v>
      </c>
      <c r="N1126" s="0" t="n">
        <v>270</v>
      </c>
      <c r="O1126" s="0" t="n">
        <v>519</v>
      </c>
      <c r="P1126" s="0" t="s">
        <v>2444</v>
      </c>
    </row>
    <row r="1127" customFormat="false" ht="15" hidden="false" customHeight="true" outlineLevel="0" collapsed="false">
      <c r="A1127" s="0" t="n">
        <v>2</v>
      </c>
      <c r="B1127" s="71" t="n">
        <v>46188</v>
      </c>
      <c r="C1127" s="0" t="n">
        <v>1</v>
      </c>
      <c r="D1127" s="0" t="s">
        <v>2442</v>
      </c>
      <c r="E1127" s="0" t="n">
        <v>1659</v>
      </c>
      <c r="F1127" s="0" t="s">
        <v>214</v>
      </c>
      <c r="I1127" s="0" t="n">
        <v>878758</v>
      </c>
      <c r="J1127" s="0" t="n">
        <v>34895</v>
      </c>
      <c r="K1127" s="0" t="n">
        <v>7897312402898</v>
      </c>
      <c r="L1127" s="0" t="s">
        <v>3120</v>
      </c>
      <c r="N1127" s="0" t="n">
        <v>24</v>
      </c>
      <c r="O1127" s="0" t="n">
        <v>40.74</v>
      </c>
      <c r="P1127" s="0" t="s">
        <v>2444</v>
      </c>
    </row>
    <row r="1128" customFormat="false" ht="15" hidden="false" customHeight="true" outlineLevel="0" collapsed="false">
      <c r="A1128" s="0" t="n">
        <v>2</v>
      </c>
      <c r="B1128" s="71" t="n">
        <v>46188</v>
      </c>
      <c r="C1128" s="0" t="n">
        <v>1</v>
      </c>
      <c r="D1128" s="0" t="s">
        <v>2442</v>
      </c>
      <c r="E1128" s="0" t="n">
        <v>1659</v>
      </c>
      <c r="F1128" s="0" t="s">
        <v>214</v>
      </c>
      <c r="I1128" s="0" t="n">
        <v>878758</v>
      </c>
      <c r="J1128" s="0" t="n">
        <v>51389</v>
      </c>
      <c r="K1128" s="0" t="n">
        <v>7896098905913</v>
      </c>
      <c r="L1128" s="0" t="s">
        <v>3121</v>
      </c>
      <c r="N1128" s="0" t="n">
        <v>60</v>
      </c>
      <c r="O1128" s="0" t="n">
        <v>202.49</v>
      </c>
      <c r="P1128" s="0" t="s">
        <v>2444</v>
      </c>
    </row>
    <row r="1129" customFormat="false" ht="15" hidden="false" customHeight="true" outlineLevel="0" collapsed="false">
      <c r="A1129" s="0" t="n">
        <v>2</v>
      </c>
      <c r="B1129" s="71" t="n">
        <v>46188</v>
      </c>
      <c r="C1129" s="0" t="n">
        <v>1</v>
      </c>
      <c r="D1129" s="0" t="s">
        <v>2442</v>
      </c>
      <c r="E1129" s="0" t="n">
        <v>1659</v>
      </c>
      <c r="F1129" s="0" t="s">
        <v>214</v>
      </c>
      <c r="I1129" s="0" t="n">
        <v>878758</v>
      </c>
      <c r="J1129" s="0" t="n">
        <v>54424</v>
      </c>
      <c r="K1129" s="0" t="n">
        <v>7897312404144</v>
      </c>
      <c r="L1129" s="0" t="s">
        <v>3122</v>
      </c>
      <c r="N1129" s="0" t="n">
        <v>100</v>
      </c>
      <c r="O1129" s="0" t="n">
        <v>156.8</v>
      </c>
      <c r="P1129" s="0" t="s">
        <v>2444</v>
      </c>
    </row>
    <row r="1130" customFormat="false" ht="15" hidden="false" customHeight="true" outlineLevel="0" collapsed="false">
      <c r="A1130" s="0" t="n">
        <v>2</v>
      </c>
      <c r="B1130" s="71" t="n">
        <v>46188</v>
      </c>
      <c r="C1130" s="0" t="n">
        <v>1</v>
      </c>
      <c r="D1130" s="0" t="s">
        <v>2442</v>
      </c>
      <c r="E1130" s="0" t="n">
        <v>10009</v>
      </c>
      <c r="F1130" s="0" t="s">
        <v>464</v>
      </c>
      <c r="I1130" s="0" t="n">
        <v>1415529</v>
      </c>
      <c r="J1130" s="0" t="n">
        <v>101930</v>
      </c>
      <c r="K1130" s="0" t="n">
        <v>7891000026182</v>
      </c>
      <c r="L1130" s="0" t="s">
        <v>3123</v>
      </c>
      <c r="N1130" s="0" t="n">
        <v>12</v>
      </c>
      <c r="O1130" s="0" t="n">
        <v>80.31</v>
      </c>
      <c r="P1130" s="0" t="s">
        <v>2444</v>
      </c>
    </row>
    <row r="1131" customFormat="false" ht="15" hidden="false" customHeight="true" outlineLevel="0" collapsed="false">
      <c r="A1131" s="0" t="n">
        <v>2</v>
      </c>
      <c r="B1131" s="71" t="n">
        <v>46188</v>
      </c>
      <c r="C1131" s="0" t="n">
        <v>1</v>
      </c>
      <c r="D1131" s="0" t="s">
        <v>2442</v>
      </c>
      <c r="E1131" s="0" t="n">
        <v>10009</v>
      </c>
      <c r="F1131" s="0" t="s">
        <v>464</v>
      </c>
      <c r="I1131" s="0" t="n">
        <v>1415529</v>
      </c>
      <c r="J1131" s="0" t="n">
        <v>101932</v>
      </c>
      <c r="K1131" s="0" t="n">
        <v>7891000582107</v>
      </c>
      <c r="L1131" s="0" t="s">
        <v>3124</v>
      </c>
      <c r="N1131" s="0" t="n">
        <v>12</v>
      </c>
      <c r="O1131" s="0" t="n">
        <v>80.31</v>
      </c>
      <c r="P1131" s="0" t="s">
        <v>2444</v>
      </c>
    </row>
    <row r="1132" customFormat="false" ht="15" hidden="false" customHeight="true" outlineLevel="0" collapsed="false">
      <c r="A1132" s="0" t="n">
        <v>2</v>
      </c>
      <c r="B1132" s="71" t="n">
        <v>46188</v>
      </c>
      <c r="C1132" s="0" t="n">
        <v>1</v>
      </c>
      <c r="D1132" s="0" t="s">
        <v>2442</v>
      </c>
      <c r="E1132" s="0" t="n">
        <v>10009</v>
      </c>
      <c r="F1132" s="0" t="s">
        <v>464</v>
      </c>
      <c r="I1132" s="0" t="n">
        <v>1415529</v>
      </c>
      <c r="J1132" s="0" t="n">
        <v>102162</v>
      </c>
      <c r="K1132" s="0" t="n">
        <v>7891000001080</v>
      </c>
      <c r="L1132" s="0" t="s">
        <v>3125</v>
      </c>
      <c r="N1132" s="0" t="n">
        <v>12</v>
      </c>
      <c r="O1132" s="0" t="n">
        <v>264.24</v>
      </c>
      <c r="P1132" s="0" t="s">
        <v>2444</v>
      </c>
    </row>
    <row r="1133" customFormat="false" ht="15" hidden="false" customHeight="true" outlineLevel="0" collapsed="false">
      <c r="A1133" s="0" t="n">
        <v>2</v>
      </c>
      <c r="B1133" s="71" t="n">
        <v>46188</v>
      </c>
      <c r="C1133" s="0" t="n">
        <v>1</v>
      </c>
      <c r="D1133" s="0" t="s">
        <v>2442</v>
      </c>
      <c r="E1133" s="0" t="n">
        <v>10009</v>
      </c>
      <c r="F1133" s="0" t="s">
        <v>464</v>
      </c>
      <c r="I1133" s="0" t="n">
        <v>1415529</v>
      </c>
      <c r="J1133" s="0" t="n">
        <v>102501</v>
      </c>
      <c r="K1133" s="0" t="n">
        <v>7891000502303</v>
      </c>
      <c r="L1133" s="0" t="s">
        <v>3126</v>
      </c>
      <c r="N1133" s="0" t="n">
        <v>6</v>
      </c>
      <c r="O1133" s="0" t="n">
        <v>44.73</v>
      </c>
      <c r="P1133" s="0" t="s">
        <v>2444</v>
      </c>
    </row>
    <row r="1134" customFormat="false" ht="15" hidden="false" customHeight="true" outlineLevel="0" collapsed="false">
      <c r="A1134" s="0" t="n">
        <v>2</v>
      </c>
      <c r="B1134" s="71" t="n">
        <v>46188</v>
      </c>
      <c r="C1134" s="0" t="n">
        <v>1</v>
      </c>
      <c r="D1134" s="0" t="s">
        <v>2442</v>
      </c>
      <c r="E1134" s="0" t="n">
        <v>10009</v>
      </c>
      <c r="F1134" s="0" t="s">
        <v>464</v>
      </c>
      <c r="I1134" s="0" t="n">
        <v>1415529</v>
      </c>
      <c r="J1134" s="0" t="n">
        <v>103473</v>
      </c>
      <c r="K1134" s="0" t="n">
        <v>7891000367506</v>
      </c>
      <c r="L1134" s="0" t="s">
        <v>3127</v>
      </c>
      <c r="N1134" s="0" t="n">
        <v>64</v>
      </c>
      <c r="O1134" s="0" t="n">
        <v>103.34</v>
      </c>
      <c r="P1134" s="0" t="s">
        <v>2444</v>
      </c>
    </row>
    <row r="1135" customFormat="false" ht="15" hidden="false" customHeight="true" outlineLevel="0" collapsed="false">
      <c r="A1135" s="0" t="n">
        <v>2</v>
      </c>
      <c r="B1135" s="71" t="n">
        <v>46188</v>
      </c>
      <c r="C1135" s="0" t="n">
        <v>1</v>
      </c>
      <c r="D1135" s="0" t="s">
        <v>2442</v>
      </c>
      <c r="E1135" s="0" t="n">
        <v>10009</v>
      </c>
      <c r="F1135" s="0" t="s">
        <v>464</v>
      </c>
      <c r="I1135" s="0" t="n">
        <v>1415529</v>
      </c>
      <c r="J1135" s="0" t="n">
        <v>11105</v>
      </c>
      <c r="K1135" s="0" t="n">
        <v>7891000056523</v>
      </c>
      <c r="L1135" s="0" t="s">
        <v>3128</v>
      </c>
      <c r="N1135" s="0" t="n">
        <v>2</v>
      </c>
      <c r="O1135" s="0" t="n">
        <v>60.14</v>
      </c>
      <c r="P1135" s="0" t="s">
        <v>2444</v>
      </c>
    </row>
    <row r="1136" customFormat="false" ht="15" hidden="false" customHeight="true" outlineLevel="0" collapsed="false">
      <c r="A1136" s="0" t="n">
        <v>2</v>
      </c>
      <c r="B1136" s="71" t="n">
        <v>46188</v>
      </c>
      <c r="C1136" s="0" t="n">
        <v>1</v>
      </c>
      <c r="D1136" s="0" t="s">
        <v>2442</v>
      </c>
      <c r="E1136" s="0" t="n">
        <v>10009</v>
      </c>
      <c r="F1136" s="0" t="s">
        <v>464</v>
      </c>
      <c r="I1136" s="0" t="n">
        <v>1415529</v>
      </c>
      <c r="J1136" s="0" t="n">
        <v>11802</v>
      </c>
      <c r="K1136" s="0" t="n">
        <v>7891000049891</v>
      </c>
      <c r="L1136" s="0" t="s">
        <v>3129</v>
      </c>
      <c r="N1136" s="0" t="n">
        <v>12</v>
      </c>
      <c r="O1136" s="0" t="n">
        <v>80.31</v>
      </c>
      <c r="P1136" s="0" t="s">
        <v>2444</v>
      </c>
    </row>
    <row r="1137" customFormat="false" ht="15" hidden="false" customHeight="true" outlineLevel="0" collapsed="false">
      <c r="A1137" s="0" t="n">
        <v>2</v>
      </c>
      <c r="B1137" s="71" t="n">
        <v>46188</v>
      </c>
      <c r="C1137" s="0" t="n">
        <v>1</v>
      </c>
      <c r="D1137" s="0" t="s">
        <v>2442</v>
      </c>
      <c r="E1137" s="0" t="n">
        <v>10009</v>
      </c>
      <c r="F1137" s="0" t="s">
        <v>464</v>
      </c>
      <c r="I1137" s="0" t="n">
        <v>1415529</v>
      </c>
      <c r="J1137" s="0" t="n">
        <v>11844</v>
      </c>
      <c r="K1137" s="0" t="n">
        <v>7891000070673</v>
      </c>
      <c r="L1137" s="0" t="s">
        <v>3130</v>
      </c>
      <c r="N1137" s="0" t="n">
        <v>20</v>
      </c>
      <c r="O1137" s="0" t="n">
        <v>103.5</v>
      </c>
      <c r="P1137" s="0" t="s">
        <v>2444</v>
      </c>
    </row>
    <row r="1138" customFormat="false" ht="15" hidden="false" customHeight="true" outlineLevel="0" collapsed="false">
      <c r="A1138" s="0" t="n">
        <v>2</v>
      </c>
      <c r="B1138" s="71" t="n">
        <v>46188</v>
      </c>
      <c r="C1138" s="0" t="n">
        <v>1</v>
      </c>
      <c r="D1138" s="0" t="s">
        <v>2442</v>
      </c>
      <c r="E1138" s="0" t="n">
        <v>10009</v>
      </c>
      <c r="F1138" s="0" t="s">
        <v>464</v>
      </c>
      <c r="I1138" s="0" t="n">
        <v>1415529</v>
      </c>
      <c r="J1138" s="0" t="n">
        <v>12411</v>
      </c>
      <c r="K1138" s="0" t="n">
        <v>7891000050927</v>
      </c>
      <c r="L1138" s="0" t="s">
        <v>3131</v>
      </c>
      <c r="N1138" s="0" t="n">
        <v>20</v>
      </c>
      <c r="O1138" s="0" t="n">
        <v>103.5</v>
      </c>
      <c r="P1138" s="0" t="s">
        <v>2444</v>
      </c>
    </row>
    <row r="1139" customFormat="false" ht="15" hidden="false" customHeight="true" outlineLevel="0" collapsed="false">
      <c r="A1139" s="0" t="n">
        <v>2</v>
      </c>
      <c r="B1139" s="71" t="n">
        <v>46188</v>
      </c>
      <c r="C1139" s="0" t="n">
        <v>1</v>
      </c>
      <c r="D1139" s="0" t="s">
        <v>2442</v>
      </c>
      <c r="E1139" s="0" t="n">
        <v>10009</v>
      </c>
      <c r="F1139" s="0" t="s">
        <v>464</v>
      </c>
      <c r="I1139" s="0" t="n">
        <v>1415529</v>
      </c>
      <c r="J1139" s="0" t="n">
        <v>12575</v>
      </c>
      <c r="K1139" s="0" t="n">
        <v>7891000056615</v>
      </c>
      <c r="L1139" s="0" t="s">
        <v>3132</v>
      </c>
      <c r="N1139" s="0" t="n">
        <v>2</v>
      </c>
      <c r="O1139" s="0" t="n">
        <v>60.14</v>
      </c>
      <c r="P1139" s="0" t="s">
        <v>2444</v>
      </c>
    </row>
    <row r="1140" customFormat="false" ht="15" hidden="false" customHeight="true" outlineLevel="0" collapsed="false">
      <c r="A1140" s="0" t="n">
        <v>2</v>
      </c>
      <c r="B1140" s="71" t="n">
        <v>46188</v>
      </c>
      <c r="C1140" s="0" t="n">
        <v>1</v>
      </c>
      <c r="D1140" s="0" t="s">
        <v>2442</v>
      </c>
      <c r="E1140" s="0" t="n">
        <v>10009</v>
      </c>
      <c r="F1140" s="0" t="s">
        <v>464</v>
      </c>
      <c r="I1140" s="0" t="n">
        <v>1415529</v>
      </c>
      <c r="J1140" s="0" t="n">
        <v>12588</v>
      </c>
      <c r="K1140" s="0" t="n">
        <v>7891000067048</v>
      </c>
      <c r="L1140" s="0" t="s">
        <v>3133</v>
      </c>
      <c r="N1140" s="0" t="n">
        <v>6</v>
      </c>
      <c r="O1140" s="0" t="n">
        <v>33.54</v>
      </c>
      <c r="P1140" s="0" t="s">
        <v>2444</v>
      </c>
    </row>
    <row r="1141" customFormat="false" ht="15" hidden="false" customHeight="true" outlineLevel="0" collapsed="false">
      <c r="A1141" s="0" t="n">
        <v>2</v>
      </c>
      <c r="B1141" s="71" t="n">
        <v>46188</v>
      </c>
      <c r="C1141" s="0" t="n">
        <v>1</v>
      </c>
      <c r="D1141" s="0" t="s">
        <v>2442</v>
      </c>
      <c r="E1141" s="0" t="n">
        <v>10009</v>
      </c>
      <c r="F1141" s="0" t="s">
        <v>464</v>
      </c>
      <c r="I1141" s="0" t="n">
        <v>1415529</v>
      </c>
      <c r="J1141" s="0" t="n">
        <v>12803</v>
      </c>
      <c r="K1141" s="0" t="n">
        <v>7891000050880</v>
      </c>
      <c r="L1141" s="0" t="s">
        <v>3134</v>
      </c>
      <c r="N1141" s="0" t="n">
        <v>20</v>
      </c>
      <c r="O1141" s="0" t="n">
        <v>103.5</v>
      </c>
      <c r="P1141" s="0" t="s">
        <v>2444</v>
      </c>
    </row>
    <row r="1142" customFormat="false" ht="15" hidden="false" customHeight="true" outlineLevel="0" collapsed="false">
      <c r="A1142" s="0" t="n">
        <v>2</v>
      </c>
      <c r="B1142" s="71" t="n">
        <v>46188</v>
      </c>
      <c r="C1142" s="0" t="n">
        <v>1</v>
      </c>
      <c r="D1142" s="0" t="s">
        <v>2442</v>
      </c>
      <c r="E1142" s="0" t="n">
        <v>10009</v>
      </c>
      <c r="F1142" s="0" t="s">
        <v>464</v>
      </c>
      <c r="I1142" s="0" t="n">
        <v>1415529</v>
      </c>
      <c r="J1142" s="0" t="n">
        <v>13038</v>
      </c>
      <c r="K1142" s="0" t="n">
        <v>7891000077962</v>
      </c>
      <c r="L1142" s="0" t="s">
        <v>3135</v>
      </c>
      <c r="N1142" s="0" t="n">
        <v>12</v>
      </c>
      <c r="O1142" s="0" t="n">
        <v>47.63</v>
      </c>
      <c r="P1142" s="0" t="s">
        <v>2444</v>
      </c>
    </row>
    <row r="1143" customFormat="false" ht="15" hidden="false" customHeight="true" outlineLevel="0" collapsed="false">
      <c r="A1143" s="0" t="n">
        <v>2</v>
      </c>
      <c r="B1143" s="71" t="n">
        <v>46188</v>
      </c>
      <c r="C1143" s="0" t="n">
        <v>1</v>
      </c>
      <c r="D1143" s="0" t="s">
        <v>2442</v>
      </c>
      <c r="E1143" s="0" t="n">
        <v>10009</v>
      </c>
      <c r="F1143" s="0" t="s">
        <v>464</v>
      </c>
      <c r="I1143" s="0" t="n">
        <v>1415529</v>
      </c>
      <c r="J1143" s="0" t="n">
        <v>14234</v>
      </c>
      <c r="K1143" s="0" t="n">
        <v>7891000081501</v>
      </c>
      <c r="L1143" s="0" t="s">
        <v>3136</v>
      </c>
      <c r="N1143" s="0" t="n">
        <v>12</v>
      </c>
      <c r="O1143" s="0" t="n">
        <v>137.43</v>
      </c>
      <c r="P1143" s="0" t="s">
        <v>2444</v>
      </c>
    </row>
    <row r="1144" customFormat="false" ht="15" hidden="false" customHeight="true" outlineLevel="0" collapsed="false">
      <c r="A1144" s="0" t="n">
        <v>2</v>
      </c>
      <c r="B1144" s="71" t="n">
        <v>46188</v>
      </c>
      <c r="C1144" s="0" t="n">
        <v>1</v>
      </c>
      <c r="D1144" s="0" t="s">
        <v>2442</v>
      </c>
      <c r="E1144" s="0" t="n">
        <v>10009</v>
      </c>
      <c r="F1144" s="0" t="s">
        <v>464</v>
      </c>
      <c r="I1144" s="0" t="n">
        <v>1415529</v>
      </c>
      <c r="J1144" s="0" t="n">
        <v>15573</v>
      </c>
      <c r="K1144" s="0" t="n">
        <v>7891000089194</v>
      </c>
      <c r="L1144" s="0" t="s">
        <v>3137</v>
      </c>
      <c r="N1144" s="0" t="n">
        <v>36</v>
      </c>
      <c r="O1144" s="0" t="n">
        <v>154.53</v>
      </c>
      <c r="P1144" s="0" t="s">
        <v>2444</v>
      </c>
    </row>
    <row r="1145" customFormat="false" ht="15" hidden="false" customHeight="true" outlineLevel="0" collapsed="false">
      <c r="A1145" s="0" t="n">
        <v>2</v>
      </c>
      <c r="B1145" s="71" t="n">
        <v>46188</v>
      </c>
      <c r="C1145" s="0" t="n">
        <v>1</v>
      </c>
      <c r="D1145" s="0" t="s">
        <v>2442</v>
      </c>
      <c r="E1145" s="0" t="n">
        <v>10009</v>
      </c>
      <c r="F1145" s="0" t="s">
        <v>464</v>
      </c>
      <c r="I1145" s="0" t="n">
        <v>1415529</v>
      </c>
      <c r="J1145" s="0" t="n">
        <v>15716</v>
      </c>
      <c r="K1145" s="0" t="n">
        <v>7891000089231</v>
      </c>
      <c r="L1145" s="0" t="s">
        <v>3138</v>
      </c>
      <c r="N1145" s="0" t="n">
        <v>36</v>
      </c>
      <c r="O1145" s="0" t="n">
        <v>154.53</v>
      </c>
      <c r="P1145" s="0" t="s">
        <v>2444</v>
      </c>
    </row>
    <row r="1146" customFormat="false" ht="15" hidden="false" customHeight="true" outlineLevel="0" collapsed="false">
      <c r="A1146" s="0" t="n">
        <v>2</v>
      </c>
      <c r="B1146" s="71" t="n">
        <v>46188</v>
      </c>
      <c r="C1146" s="0" t="n">
        <v>1</v>
      </c>
      <c r="D1146" s="0" t="s">
        <v>2442</v>
      </c>
      <c r="E1146" s="0" t="n">
        <v>10009</v>
      </c>
      <c r="F1146" s="0" t="s">
        <v>464</v>
      </c>
      <c r="I1146" s="0" t="n">
        <v>1415529</v>
      </c>
      <c r="J1146" s="0" t="n">
        <v>15717</v>
      </c>
      <c r="K1146" s="0" t="n">
        <v>7891000089255</v>
      </c>
      <c r="L1146" s="0" t="s">
        <v>3139</v>
      </c>
      <c r="N1146" s="0" t="n">
        <v>36</v>
      </c>
      <c r="O1146" s="0" t="n">
        <v>154.53</v>
      </c>
      <c r="P1146" s="0" t="s">
        <v>2444</v>
      </c>
    </row>
    <row r="1147" customFormat="false" ht="15" hidden="false" customHeight="true" outlineLevel="0" collapsed="false">
      <c r="A1147" s="0" t="n">
        <v>2</v>
      </c>
      <c r="B1147" s="71" t="n">
        <v>46188</v>
      </c>
      <c r="C1147" s="0" t="n">
        <v>1</v>
      </c>
      <c r="D1147" s="0" t="s">
        <v>2442</v>
      </c>
      <c r="E1147" s="0" t="n">
        <v>10009</v>
      </c>
      <c r="F1147" s="0" t="s">
        <v>464</v>
      </c>
      <c r="I1147" s="0" t="n">
        <v>1415529</v>
      </c>
      <c r="J1147" s="0" t="n">
        <v>15718</v>
      </c>
      <c r="K1147" s="0" t="n">
        <v>7891000089279</v>
      </c>
      <c r="L1147" s="0" t="s">
        <v>3140</v>
      </c>
      <c r="N1147" s="0" t="n">
        <v>36</v>
      </c>
      <c r="O1147" s="0" t="n">
        <v>154.53</v>
      </c>
      <c r="P1147" s="0" t="s">
        <v>2444</v>
      </c>
    </row>
    <row r="1148" customFormat="false" ht="15" hidden="false" customHeight="true" outlineLevel="0" collapsed="false">
      <c r="A1148" s="0" t="n">
        <v>2</v>
      </c>
      <c r="B1148" s="71" t="n">
        <v>46188</v>
      </c>
      <c r="C1148" s="0" t="n">
        <v>1</v>
      </c>
      <c r="D1148" s="0" t="s">
        <v>2442</v>
      </c>
      <c r="E1148" s="0" t="n">
        <v>10009</v>
      </c>
      <c r="F1148" s="0" t="s">
        <v>464</v>
      </c>
      <c r="I1148" s="0" t="n">
        <v>1415529</v>
      </c>
      <c r="J1148" s="0" t="n">
        <v>16667</v>
      </c>
      <c r="K1148" s="0" t="n">
        <v>7891000090732</v>
      </c>
      <c r="L1148" s="0" t="s">
        <v>3141</v>
      </c>
      <c r="N1148" s="0" t="n">
        <v>6</v>
      </c>
      <c r="O1148" s="0" t="n">
        <v>33.54</v>
      </c>
      <c r="P1148" s="0" t="s">
        <v>2444</v>
      </c>
    </row>
    <row r="1149" customFormat="false" ht="15" hidden="false" customHeight="true" outlineLevel="0" collapsed="false">
      <c r="A1149" s="0" t="n">
        <v>2</v>
      </c>
      <c r="B1149" s="71" t="n">
        <v>46188</v>
      </c>
      <c r="C1149" s="0" t="n">
        <v>1</v>
      </c>
      <c r="D1149" s="0" t="s">
        <v>2442</v>
      </c>
      <c r="E1149" s="0" t="n">
        <v>10009</v>
      </c>
      <c r="F1149" s="0" t="s">
        <v>464</v>
      </c>
      <c r="I1149" s="0" t="n">
        <v>1415529</v>
      </c>
      <c r="J1149" s="0" t="n">
        <v>17092</v>
      </c>
      <c r="K1149" s="0" t="n">
        <v>7891000051436</v>
      </c>
      <c r="L1149" s="0" t="s">
        <v>3142</v>
      </c>
      <c r="N1149" s="0" t="n">
        <v>54</v>
      </c>
      <c r="O1149" s="0" t="n">
        <v>190.67</v>
      </c>
      <c r="P1149" s="0" t="s">
        <v>2444</v>
      </c>
    </row>
    <row r="1150" customFormat="false" ht="15" hidden="false" customHeight="true" outlineLevel="0" collapsed="false">
      <c r="A1150" s="0" t="n">
        <v>2</v>
      </c>
      <c r="B1150" s="71" t="n">
        <v>46188</v>
      </c>
      <c r="C1150" s="0" t="n">
        <v>1</v>
      </c>
      <c r="D1150" s="0" t="s">
        <v>2442</v>
      </c>
      <c r="E1150" s="0" t="n">
        <v>10009</v>
      </c>
      <c r="F1150" s="0" t="s">
        <v>464</v>
      </c>
      <c r="I1150" s="0" t="n">
        <v>1415529</v>
      </c>
      <c r="J1150" s="0" t="n">
        <v>18833</v>
      </c>
      <c r="K1150" s="0" t="n">
        <v>7891000098950</v>
      </c>
      <c r="L1150" s="0" t="s">
        <v>3143</v>
      </c>
      <c r="N1150" s="0" t="n">
        <v>12</v>
      </c>
      <c r="O1150" s="0" t="n">
        <v>70.49</v>
      </c>
      <c r="P1150" s="0" t="s">
        <v>2444</v>
      </c>
    </row>
    <row r="1151" customFormat="false" ht="15" hidden="false" customHeight="true" outlineLevel="0" collapsed="false">
      <c r="A1151" s="0" t="n">
        <v>2</v>
      </c>
      <c r="B1151" s="71" t="n">
        <v>46188</v>
      </c>
      <c r="C1151" s="0" t="n">
        <v>1</v>
      </c>
      <c r="D1151" s="0" t="s">
        <v>2442</v>
      </c>
      <c r="E1151" s="0" t="n">
        <v>10009</v>
      </c>
      <c r="F1151" s="0" t="s">
        <v>464</v>
      </c>
      <c r="I1151" s="0" t="n">
        <v>1415529</v>
      </c>
      <c r="J1151" s="0" t="n">
        <v>19811</v>
      </c>
      <c r="K1151" s="0" t="n">
        <v>7891000101506</v>
      </c>
      <c r="L1151" s="0" t="s">
        <v>3144</v>
      </c>
      <c r="N1151" s="0" t="n">
        <v>16</v>
      </c>
      <c r="O1151" s="0" t="n">
        <v>293.35</v>
      </c>
      <c r="P1151" s="0" t="s">
        <v>2444</v>
      </c>
    </row>
    <row r="1152" customFormat="false" ht="15" hidden="false" customHeight="true" outlineLevel="0" collapsed="false">
      <c r="A1152" s="0" t="n">
        <v>2</v>
      </c>
      <c r="B1152" s="71" t="n">
        <v>46188</v>
      </c>
      <c r="C1152" s="0" t="n">
        <v>1</v>
      </c>
      <c r="D1152" s="0" t="s">
        <v>2442</v>
      </c>
      <c r="E1152" s="0" t="n">
        <v>10009</v>
      </c>
      <c r="F1152" s="0" t="s">
        <v>464</v>
      </c>
      <c r="I1152" s="0" t="n">
        <v>1415529</v>
      </c>
      <c r="J1152" s="0" t="n">
        <v>19987</v>
      </c>
      <c r="K1152" s="0" t="n">
        <v>7891000101926</v>
      </c>
      <c r="L1152" s="0" t="s">
        <v>3145</v>
      </c>
      <c r="N1152" s="0" t="n">
        <v>6</v>
      </c>
      <c r="O1152" s="0" t="n">
        <v>33.54</v>
      </c>
      <c r="P1152" s="0" t="s">
        <v>2444</v>
      </c>
    </row>
    <row r="1153" customFormat="false" ht="15" hidden="false" customHeight="true" outlineLevel="0" collapsed="false">
      <c r="A1153" s="0" t="n">
        <v>2</v>
      </c>
      <c r="B1153" s="71" t="n">
        <v>46188</v>
      </c>
      <c r="C1153" s="0" t="n">
        <v>1</v>
      </c>
      <c r="D1153" s="0" t="s">
        <v>2442</v>
      </c>
      <c r="E1153" s="0" t="n">
        <v>10009</v>
      </c>
      <c r="F1153" s="0" t="s">
        <v>464</v>
      </c>
      <c r="I1153" s="0" t="n">
        <v>1415529</v>
      </c>
      <c r="J1153" s="0" t="n">
        <v>24989</v>
      </c>
      <c r="K1153" s="0" t="n">
        <v>7891000241356</v>
      </c>
      <c r="L1153" s="0" t="s">
        <v>3146</v>
      </c>
      <c r="N1153" s="0" t="n">
        <v>70</v>
      </c>
      <c r="O1153" s="0" t="n">
        <v>161.95</v>
      </c>
      <c r="P1153" s="0" t="s">
        <v>2444</v>
      </c>
    </row>
    <row r="1154" customFormat="false" ht="15" hidden="false" customHeight="true" outlineLevel="0" collapsed="false">
      <c r="A1154" s="0" t="n">
        <v>2</v>
      </c>
      <c r="B1154" s="71" t="n">
        <v>46188</v>
      </c>
      <c r="C1154" s="0" t="n">
        <v>1</v>
      </c>
      <c r="D1154" s="0" t="s">
        <v>2442</v>
      </c>
      <c r="E1154" s="0" t="n">
        <v>10009</v>
      </c>
      <c r="F1154" s="0" t="s">
        <v>464</v>
      </c>
      <c r="I1154" s="0" t="n">
        <v>1415529</v>
      </c>
      <c r="J1154" s="0" t="n">
        <v>25948</v>
      </c>
      <c r="K1154" s="0" t="n">
        <v>7891000247624</v>
      </c>
      <c r="L1154" s="0" t="s">
        <v>3147</v>
      </c>
      <c r="N1154" s="0" t="n">
        <v>24</v>
      </c>
      <c r="O1154" s="0" t="n">
        <v>60.33</v>
      </c>
      <c r="P1154" s="0" t="s">
        <v>2444</v>
      </c>
    </row>
    <row r="1155" customFormat="false" ht="15" hidden="false" customHeight="true" outlineLevel="0" collapsed="false">
      <c r="A1155" s="0" t="n">
        <v>2</v>
      </c>
      <c r="B1155" s="71" t="n">
        <v>46188</v>
      </c>
      <c r="C1155" s="0" t="n">
        <v>1</v>
      </c>
      <c r="D1155" s="0" t="s">
        <v>2442</v>
      </c>
      <c r="E1155" s="0" t="n">
        <v>10009</v>
      </c>
      <c r="F1155" s="0" t="s">
        <v>464</v>
      </c>
      <c r="I1155" s="0" t="n">
        <v>1415529</v>
      </c>
      <c r="J1155" s="0" t="n">
        <v>26644</v>
      </c>
      <c r="K1155" s="0" t="n">
        <v>7891000242452</v>
      </c>
      <c r="L1155" s="0" t="s">
        <v>3148</v>
      </c>
      <c r="N1155" s="0" t="n">
        <v>48</v>
      </c>
      <c r="O1155" s="0" t="n">
        <v>33.66</v>
      </c>
      <c r="P1155" s="0" t="s">
        <v>2444</v>
      </c>
    </row>
    <row r="1156" customFormat="false" ht="15" hidden="false" customHeight="true" outlineLevel="0" collapsed="false">
      <c r="A1156" s="0" t="n">
        <v>2</v>
      </c>
      <c r="B1156" s="71" t="n">
        <v>46188</v>
      </c>
      <c r="C1156" s="0" t="n">
        <v>1</v>
      </c>
      <c r="D1156" s="0" t="s">
        <v>2442</v>
      </c>
      <c r="E1156" s="0" t="n">
        <v>10009</v>
      </c>
      <c r="F1156" s="0" t="s">
        <v>464</v>
      </c>
      <c r="I1156" s="0" t="n">
        <v>1415529</v>
      </c>
      <c r="J1156" s="0" t="n">
        <v>26982</v>
      </c>
      <c r="K1156" s="0" t="n">
        <v>7891000255445</v>
      </c>
      <c r="L1156" s="0" t="s">
        <v>3149</v>
      </c>
      <c r="N1156" s="0" t="n">
        <v>20</v>
      </c>
      <c r="O1156" s="0" t="n">
        <v>103.5</v>
      </c>
      <c r="P1156" s="0" t="s">
        <v>2444</v>
      </c>
    </row>
    <row r="1157" customFormat="false" ht="15" hidden="false" customHeight="true" outlineLevel="0" collapsed="false">
      <c r="A1157" s="0" t="n">
        <v>2</v>
      </c>
      <c r="B1157" s="71" t="n">
        <v>46188</v>
      </c>
      <c r="C1157" s="0" t="n">
        <v>1</v>
      </c>
      <c r="D1157" s="0" t="s">
        <v>2442</v>
      </c>
      <c r="E1157" s="0" t="n">
        <v>10009</v>
      </c>
      <c r="F1157" s="0" t="s">
        <v>464</v>
      </c>
      <c r="I1157" s="0" t="n">
        <v>1415529</v>
      </c>
      <c r="J1157" s="0" t="n">
        <v>27690</v>
      </c>
      <c r="K1157" s="0" t="n">
        <v>7891000111161</v>
      </c>
      <c r="L1157" s="0" t="s">
        <v>3150</v>
      </c>
      <c r="N1157" s="0" t="n">
        <v>6</v>
      </c>
      <c r="O1157" s="0" t="n">
        <v>62.88</v>
      </c>
      <c r="P1157" s="0" t="s">
        <v>2444</v>
      </c>
    </row>
    <row r="1158" customFormat="false" ht="15" hidden="false" customHeight="true" outlineLevel="0" collapsed="false">
      <c r="A1158" s="0" t="n">
        <v>2</v>
      </c>
      <c r="B1158" s="71" t="n">
        <v>46188</v>
      </c>
      <c r="C1158" s="0" t="n">
        <v>1</v>
      </c>
      <c r="D1158" s="0" t="s">
        <v>2442</v>
      </c>
      <c r="E1158" s="0" t="n">
        <v>10009</v>
      </c>
      <c r="F1158" s="0" t="s">
        <v>464</v>
      </c>
      <c r="I1158" s="0" t="n">
        <v>1415529</v>
      </c>
      <c r="J1158" s="0" t="n">
        <v>28349</v>
      </c>
      <c r="K1158" s="0" t="n">
        <v>7891000258613</v>
      </c>
      <c r="L1158" s="0" t="s">
        <v>3151</v>
      </c>
      <c r="N1158" s="0" t="n">
        <v>6</v>
      </c>
      <c r="O1158" s="0" t="n">
        <v>62.85</v>
      </c>
      <c r="P1158" s="0" t="s">
        <v>2444</v>
      </c>
    </row>
    <row r="1159" customFormat="false" ht="15" hidden="false" customHeight="true" outlineLevel="0" collapsed="false">
      <c r="A1159" s="0" t="n">
        <v>2</v>
      </c>
      <c r="B1159" s="71" t="n">
        <v>46188</v>
      </c>
      <c r="C1159" s="0" t="n">
        <v>1</v>
      </c>
      <c r="D1159" s="0" t="s">
        <v>2442</v>
      </c>
      <c r="E1159" s="0" t="n">
        <v>10009</v>
      </c>
      <c r="F1159" s="0" t="s">
        <v>464</v>
      </c>
      <c r="I1159" s="0" t="n">
        <v>1415529</v>
      </c>
      <c r="J1159" s="0" t="n">
        <v>30028</v>
      </c>
      <c r="K1159" s="0" t="n">
        <v>7891000241295</v>
      </c>
      <c r="L1159" s="0" t="s">
        <v>3152</v>
      </c>
      <c r="N1159" s="0" t="n">
        <v>30</v>
      </c>
      <c r="O1159" s="0" t="n">
        <v>69.35</v>
      </c>
      <c r="P1159" s="0" t="s">
        <v>2444</v>
      </c>
    </row>
    <row r="1160" customFormat="false" ht="15" hidden="false" customHeight="true" outlineLevel="0" collapsed="false">
      <c r="A1160" s="0" t="n">
        <v>2</v>
      </c>
      <c r="B1160" s="71" t="n">
        <v>46188</v>
      </c>
      <c r="C1160" s="0" t="n">
        <v>1</v>
      </c>
      <c r="D1160" s="0" t="s">
        <v>2442</v>
      </c>
      <c r="E1160" s="0" t="n">
        <v>10009</v>
      </c>
      <c r="F1160" s="0" t="s">
        <v>464</v>
      </c>
      <c r="I1160" s="0" t="n">
        <v>1415529</v>
      </c>
      <c r="J1160" s="0" t="n">
        <v>52108</v>
      </c>
      <c r="K1160" s="0" t="n">
        <v>7891000364253</v>
      </c>
      <c r="L1160" s="0" t="s">
        <v>3153</v>
      </c>
      <c r="N1160" s="0" t="n">
        <v>12</v>
      </c>
      <c r="O1160" s="0" t="n">
        <v>47.63</v>
      </c>
      <c r="P1160" s="0" t="s">
        <v>2444</v>
      </c>
    </row>
    <row r="1161" customFormat="false" ht="15" hidden="false" customHeight="true" outlineLevel="0" collapsed="false">
      <c r="A1161" s="0" t="n">
        <v>2</v>
      </c>
      <c r="B1161" s="71" t="n">
        <v>46188</v>
      </c>
      <c r="C1161" s="0" t="n">
        <v>1</v>
      </c>
      <c r="D1161" s="0" t="s">
        <v>2442</v>
      </c>
      <c r="E1161" s="0" t="n">
        <v>10009</v>
      </c>
      <c r="F1161" s="0" t="s">
        <v>464</v>
      </c>
      <c r="I1161" s="0" t="n">
        <v>1415529</v>
      </c>
      <c r="J1161" s="0" t="n">
        <v>46617</v>
      </c>
      <c r="K1161" s="0" t="n">
        <v>7891000350119</v>
      </c>
      <c r="L1161" s="0" t="s">
        <v>3154</v>
      </c>
      <c r="N1161" s="0" t="n">
        <v>24</v>
      </c>
      <c r="O1161" s="0" t="n">
        <v>60.33</v>
      </c>
      <c r="P1161" s="0" t="s">
        <v>2444</v>
      </c>
    </row>
    <row r="1162" customFormat="false" ht="15" hidden="false" customHeight="true" outlineLevel="0" collapsed="false">
      <c r="A1162" s="0" t="n">
        <v>2</v>
      </c>
      <c r="B1162" s="71" t="n">
        <v>46188</v>
      </c>
      <c r="C1162" s="0" t="n">
        <v>1</v>
      </c>
      <c r="D1162" s="0" t="s">
        <v>2442</v>
      </c>
      <c r="E1162" s="0" t="n">
        <v>10009</v>
      </c>
      <c r="F1162" s="0" t="s">
        <v>464</v>
      </c>
      <c r="I1162" s="0" t="n">
        <v>1415529</v>
      </c>
      <c r="J1162" s="0" t="n">
        <v>47582</v>
      </c>
      <c r="K1162" s="0" t="n">
        <v>7891000350072</v>
      </c>
      <c r="L1162" s="0" t="s">
        <v>3155</v>
      </c>
      <c r="N1162" s="0" t="n">
        <v>24</v>
      </c>
      <c r="O1162" s="0" t="n">
        <v>60.33</v>
      </c>
      <c r="P1162" s="0" t="s">
        <v>2444</v>
      </c>
    </row>
    <row r="1163" customFormat="false" ht="15" hidden="false" customHeight="true" outlineLevel="0" collapsed="false">
      <c r="A1163" s="0" t="n">
        <v>2</v>
      </c>
      <c r="B1163" s="71" t="n">
        <v>46188</v>
      </c>
      <c r="C1163" s="0" t="n">
        <v>1</v>
      </c>
      <c r="D1163" s="0" t="s">
        <v>2442</v>
      </c>
      <c r="E1163" s="0" t="n">
        <v>10009</v>
      </c>
      <c r="F1163" s="0" t="s">
        <v>464</v>
      </c>
      <c r="I1163" s="0" t="n">
        <v>1415529</v>
      </c>
      <c r="J1163" s="0" t="n">
        <v>48382</v>
      </c>
      <c r="K1163" s="0" t="n">
        <v>7891000097694</v>
      </c>
      <c r="L1163" s="0" t="s">
        <v>3156</v>
      </c>
      <c r="N1163" s="0" t="n">
        <v>12</v>
      </c>
      <c r="O1163" s="0" t="n">
        <v>80.31</v>
      </c>
      <c r="P1163" s="0" t="s">
        <v>2444</v>
      </c>
    </row>
    <row r="1164" customFormat="false" ht="15" hidden="false" customHeight="true" outlineLevel="0" collapsed="false">
      <c r="A1164" s="0" t="n">
        <v>2</v>
      </c>
      <c r="B1164" s="71" t="n">
        <v>46188</v>
      </c>
      <c r="C1164" s="0" t="n">
        <v>1</v>
      </c>
      <c r="D1164" s="0" t="s">
        <v>2442</v>
      </c>
      <c r="E1164" s="0" t="n">
        <v>10009</v>
      </c>
      <c r="F1164" s="0" t="s">
        <v>464</v>
      </c>
      <c r="I1164" s="0" t="n">
        <v>1415529</v>
      </c>
      <c r="J1164" s="0" t="n">
        <v>48754</v>
      </c>
      <c r="K1164" s="0" t="n">
        <v>7891000339558</v>
      </c>
      <c r="L1164" s="0" t="s">
        <v>3157</v>
      </c>
      <c r="N1164" s="0" t="n">
        <v>24</v>
      </c>
      <c r="O1164" s="0" t="n">
        <v>60.35</v>
      </c>
      <c r="P1164" s="0" t="s">
        <v>2444</v>
      </c>
    </row>
    <row r="1165" customFormat="false" ht="15" hidden="false" customHeight="true" outlineLevel="0" collapsed="false">
      <c r="A1165" s="0" t="n">
        <v>2</v>
      </c>
      <c r="B1165" s="71" t="n">
        <v>46188</v>
      </c>
      <c r="C1165" s="0" t="n">
        <v>1</v>
      </c>
      <c r="D1165" s="0" t="s">
        <v>2442</v>
      </c>
      <c r="E1165" s="0" t="n">
        <v>10009</v>
      </c>
      <c r="F1165" s="0" t="s">
        <v>464</v>
      </c>
      <c r="I1165" s="0" t="n">
        <v>1415529</v>
      </c>
      <c r="J1165" s="0" t="n">
        <v>48868</v>
      </c>
      <c r="K1165" s="0" t="n">
        <v>7891000359822</v>
      </c>
      <c r="L1165" s="0" t="s">
        <v>3158</v>
      </c>
      <c r="N1165" s="0" t="n">
        <v>54</v>
      </c>
      <c r="O1165" s="0" t="n">
        <v>118.94</v>
      </c>
      <c r="P1165" s="0" t="s">
        <v>2444</v>
      </c>
    </row>
    <row r="1166" customFormat="false" ht="15" hidden="false" customHeight="true" outlineLevel="0" collapsed="false">
      <c r="A1166" s="0" t="n">
        <v>2</v>
      </c>
      <c r="B1166" s="71" t="n">
        <v>46188</v>
      </c>
      <c r="C1166" s="0" t="n">
        <v>1</v>
      </c>
      <c r="D1166" s="0" t="s">
        <v>2442</v>
      </c>
      <c r="E1166" s="0" t="n">
        <v>10009</v>
      </c>
      <c r="F1166" s="0" t="s">
        <v>464</v>
      </c>
      <c r="I1166" s="0" t="n">
        <v>1415529</v>
      </c>
      <c r="J1166" s="0" t="n">
        <v>50552</v>
      </c>
      <c r="K1166" s="0" t="n">
        <v>7891000369340</v>
      </c>
      <c r="L1166" s="0" t="s">
        <v>2774</v>
      </c>
      <c r="N1166" s="0" t="n">
        <v>48</v>
      </c>
      <c r="O1166" s="0" t="n">
        <v>213.74</v>
      </c>
      <c r="P1166" s="0" t="s">
        <v>2444</v>
      </c>
    </row>
    <row r="1167" customFormat="false" ht="15" hidden="false" customHeight="true" outlineLevel="0" collapsed="false">
      <c r="A1167" s="0" t="n">
        <v>2</v>
      </c>
      <c r="B1167" s="71" t="n">
        <v>46188</v>
      </c>
      <c r="C1167" s="0" t="n">
        <v>1</v>
      </c>
      <c r="D1167" s="0" t="s">
        <v>2442</v>
      </c>
      <c r="E1167" s="0" t="n">
        <v>10009</v>
      </c>
      <c r="F1167" s="0" t="s">
        <v>464</v>
      </c>
      <c r="I1167" s="0" t="n">
        <v>1415529</v>
      </c>
      <c r="J1167" s="0" t="n">
        <v>51852</v>
      </c>
      <c r="K1167" s="0" t="n">
        <v>7891000372586</v>
      </c>
      <c r="L1167" s="0" t="s">
        <v>3159</v>
      </c>
      <c r="N1167" s="0" t="n">
        <v>12</v>
      </c>
      <c r="O1167" s="0" t="n">
        <v>47.63</v>
      </c>
      <c r="P1167" s="0" t="s">
        <v>2444</v>
      </c>
    </row>
    <row r="1168" customFormat="false" ht="15" hidden="false" customHeight="true" outlineLevel="0" collapsed="false">
      <c r="A1168" s="0" t="n">
        <v>2</v>
      </c>
      <c r="B1168" s="71" t="n">
        <v>46188</v>
      </c>
      <c r="C1168" s="0" t="n">
        <v>1</v>
      </c>
      <c r="D1168" s="0" t="s">
        <v>2442</v>
      </c>
      <c r="E1168" s="0" t="n">
        <v>10009</v>
      </c>
      <c r="F1168" s="0" t="s">
        <v>464</v>
      </c>
      <c r="I1168" s="0" t="n">
        <v>1415529</v>
      </c>
      <c r="J1168" s="0" t="n">
        <v>54900</v>
      </c>
      <c r="K1168" s="0" t="n">
        <v>7891000376805</v>
      </c>
      <c r="L1168" s="0" t="s">
        <v>3160</v>
      </c>
      <c r="N1168" s="0" t="n">
        <v>33</v>
      </c>
      <c r="O1168" s="0" t="n">
        <v>76.94</v>
      </c>
      <c r="P1168" s="0" t="s">
        <v>2444</v>
      </c>
    </row>
    <row r="1169" customFormat="false" ht="15" hidden="false" customHeight="true" outlineLevel="0" collapsed="false">
      <c r="A1169" s="0" t="n">
        <v>2</v>
      </c>
      <c r="B1169" s="71" t="n">
        <v>46188</v>
      </c>
      <c r="C1169" s="0" t="n">
        <v>1</v>
      </c>
      <c r="D1169" s="0" t="s">
        <v>2442</v>
      </c>
      <c r="E1169" s="0" t="n">
        <v>10009</v>
      </c>
      <c r="F1169" s="0" t="s">
        <v>464</v>
      </c>
      <c r="I1169" s="0" t="n">
        <v>1415529</v>
      </c>
      <c r="J1169" s="0" t="n">
        <v>54906</v>
      </c>
      <c r="K1169" s="0" t="n">
        <v>7891000377130</v>
      </c>
      <c r="L1169" s="0" t="s">
        <v>3161</v>
      </c>
      <c r="N1169" s="0" t="n">
        <v>66</v>
      </c>
      <c r="O1169" s="0" t="n">
        <v>147.98</v>
      </c>
      <c r="P1169" s="0" t="s">
        <v>2444</v>
      </c>
    </row>
    <row r="1170" customFormat="false" ht="15" hidden="false" customHeight="true" outlineLevel="0" collapsed="false">
      <c r="A1170" s="0" t="n">
        <v>2</v>
      </c>
      <c r="B1170" s="71" t="n">
        <v>46188</v>
      </c>
      <c r="C1170" s="0" t="n">
        <v>1</v>
      </c>
      <c r="D1170" s="0" t="s">
        <v>2442</v>
      </c>
      <c r="E1170" s="0" t="n">
        <v>10009</v>
      </c>
      <c r="F1170" s="0" t="s">
        <v>464</v>
      </c>
      <c r="I1170" s="0" t="n">
        <v>1415529</v>
      </c>
      <c r="J1170" s="0" t="n">
        <v>55164</v>
      </c>
      <c r="K1170" s="0" t="n">
        <v>7891000365335</v>
      </c>
      <c r="L1170" s="0" t="s">
        <v>3162</v>
      </c>
      <c r="N1170" s="0" t="n">
        <v>20</v>
      </c>
      <c r="O1170" s="0" t="n">
        <v>79.89</v>
      </c>
      <c r="P1170" s="0" t="s">
        <v>2444</v>
      </c>
    </row>
    <row r="1171" customFormat="false" ht="15" hidden="false" customHeight="true" outlineLevel="0" collapsed="false">
      <c r="A1171" s="0" t="n">
        <v>2</v>
      </c>
      <c r="B1171" s="71" t="n">
        <v>46188</v>
      </c>
      <c r="C1171" s="0" t="n">
        <v>1</v>
      </c>
      <c r="D1171" s="0" t="s">
        <v>2442</v>
      </c>
      <c r="E1171" s="0" t="n">
        <v>10009</v>
      </c>
      <c r="F1171" s="0" t="s">
        <v>464</v>
      </c>
      <c r="I1171" s="0" t="n">
        <v>1415529</v>
      </c>
      <c r="J1171" s="0" t="n">
        <v>57201</v>
      </c>
      <c r="K1171" s="0" t="n">
        <v>7891000369203</v>
      </c>
      <c r="L1171" s="0" t="s">
        <v>3163</v>
      </c>
      <c r="N1171" s="0" t="n">
        <v>12</v>
      </c>
      <c r="O1171" s="0" t="n">
        <v>47.73</v>
      </c>
      <c r="P1171" s="0" t="s">
        <v>2444</v>
      </c>
    </row>
    <row r="1172" customFormat="false" ht="15" hidden="false" customHeight="true" outlineLevel="0" collapsed="false">
      <c r="A1172" s="0" t="n">
        <v>2</v>
      </c>
      <c r="B1172" s="71" t="n">
        <v>46188</v>
      </c>
      <c r="C1172" s="0" t="n">
        <v>1</v>
      </c>
      <c r="D1172" s="0" t="s">
        <v>2442</v>
      </c>
      <c r="E1172" s="0" t="n">
        <v>10009</v>
      </c>
      <c r="F1172" s="0" t="s">
        <v>464</v>
      </c>
      <c r="I1172" s="0" t="n">
        <v>1415529</v>
      </c>
      <c r="J1172" s="0" t="n">
        <v>58706</v>
      </c>
      <c r="K1172" s="0" t="n">
        <v>7891000376843</v>
      </c>
      <c r="L1172" s="0" t="s">
        <v>3164</v>
      </c>
      <c r="N1172" s="0" t="n">
        <v>66</v>
      </c>
      <c r="O1172" s="0" t="n">
        <v>147.98</v>
      </c>
      <c r="P1172" s="0" t="s">
        <v>2444</v>
      </c>
    </row>
    <row r="1173" customFormat="false" ht="15" hidden="false" customHeight="true" outlineLevel="0" collapsed="false">
      <c r="A1173" s="0" t="n">
        <v>2</v>
      </c>
      <c r="B1173" s="71" t="n">
        <v>46188</v>
      </c>
      <c r="C1173" s="0" t="n">
        <v>1</v>
      </c>
      <c r="D1173" s="0" t="s">
        <v>2442</v>
      </c>
      <c r="E1173" s="0" t="n">
        <v>10009</v>
      </c>
      <c r="F1173" s="0" t="s">
        <v>464</v>
      </c>
      <c r="I1173" s="0" t="n">
        <v>1415529</v>
      </c>
      <c r="J1173" s="0" t="n">
        <v>61564</v>
      </c>
      <c r="K1173" s="0" t="n">
        <v>7891000366141</v>
      </c>
      <c r="L1173" s="0" t="s">
        <v>3165</v>
      </c>
      <c r="N1173" s="0" t="n">
        <v>27</v>
      </c>
      <c r="O1173" s="0" t="n">
        <v>70.68</v>
      </c>
      <c r="P1173" s="0" t="s">
        <v>2444</v>
      </c>
    </row>
    <row r="1174" customFormat="false" ht="15" hidden="false" customHeight="true" outlineLevel="0" collapsed="false">
      <c r="A1174" s="0" t="n">
        <v>2</v>
      </c>
      <c r="B1174" s="71" t="n">
        <v>46188</v>
      </c>
      <c r="C1174" s="0" t="n">
        <v>1</v>
      </c>
      <c r="D1174" s="0" t="s">
        <v>2442</v>
      </c>
      <c r="E1174" s="0" t="n">
        <v>10009</v>
      </c>
      <c r="F1174" s="0" t="s">
        <v>464</v>
      </c>
      <c r="I1174" s="0" t="n">
        <v>1415529</v>
      </c>
      <c r="J1174" s="0" t="n">
        <v>65564</v>
      </c>
      <c r="K1174" s="0" t="n">
        <v>7891000369159</v>
      </c>
      <c r="L1174" s="0" t="s">
        <v>3166</v>
      </c>
      <c r="N1174" s="0" t="n">
        <v>12</v>
      </c>
      <c r="O1174" s="0" t="n">
        <v>47.73</v>
      </c>
      <c r="P1174" s="0" t="s">
        <v>2444</v>
      </c>
    </row>
    <row r="1175" customFormat="false" ht="15" hidden="false" customHeight="true" outlineLevel="0" collapsed="false">
      <c r="A1175" s="0" t="n">
        <v>2</v>
      </c>
      <c r="B1175" s="71" t="n">
        <v>46188</v>
      </c>
      <c r="C1175" s="0" t="n">
        <v>1</v>
      </c>
      <c r="D1175" s="0" t="s">
        <v>2442</v>
      </c>
      <c r="E1175" s="0" t="n">
        <v>10009</v>
      </c>
      <c r="F1175" s="0" t="s">
        <v>464</v>
      </c>
      <c r="I1175" s="0" t="n">
        <v>1415529</v>
      </c>
      <c r="J1175" s="0" t="n">
        <v>66436</v>
      </c>
      <c r="K1175" s="0" t="n">
        <v>7891000389300</v>
      </c>
      <c r="L1175" s="0" t="s">
        <v>3167</v>
      </c>
      <c r="N1175" s="0" t="n">
        <v>6</v>
      </c>
      <c r="O1175" s="0" t="n">
        <v>33.51</v>
      </c>
      <c r="P1175" s="0" t="s">
        <v>2444</v>
      </c>
    </row>
    <row r="1176" customFormat="false" ht="15" hidden="false" customHeight="true" outlineLevel="0" collapsed="false">
      <c r="A1176" s="0" t="n">
        <v>2</v>
      </c>
      <c r="B1176" s="71" t="n">
        <v>46188</v>
      </c>
      <c r="C1176" s="0" t="n">
        <v>1</v>
      </c>
      <c r="D1176" s="0" t="s">
        <v>2442</v>
      </c>
      <c r="E1176" s="0" t="n">
        <v>10009</v>
      </c>
      <c r="F1176" s="0" t="s">
        <v>464</v>
      </c>
      <c r="I1176" s="0" t="n">
        <v>1415529</v>
      </c>
      <c r="J1176" s="0" t="n">
        <v>69735</v>
      </c>
      <c r="K1176" s="0" t="n">
        <v>7891000402979</v>
      </c>
      <c r="L1176" s="0" t="s">
        <v>3168</v>
      </c>
      <c r="N1176" s="0" t="n">
        <v>10</v>
      </c>
      <c r="O1176" s="0" t="n">
        <v>60.01</v>
      </c>
      <c r="P1176" s="0" t="s">
        <v>2444</v>
      </c>
    </row>
    <row r="1177" customFormat="false" ht="15" hidden="false" customHeight="true" outlineLevel="0" collapsed="false">
      <c r="A1177" s="0" t="n">
        <v>2</v>
      </c>
      <c r="B1177" s="71" t="n">
        <v>46188</v>
      </c>
      <c r="C1177" s="0" t="n">
        <v>1</v>
      </c>
      <c r="D1177" s="0" t="s">
        <v>2442</v>
      </c>
      <c r="E1177" s="0" t="n">
        <v>10009</v>
      </c>
      <c r="F1177" s="0" t="s">
        <v>464</v>
      </c>
      <c r="I1177" s="0" t="n">
        <v>1416973</v>
      </c>
      <c r="J1177" s="0" t="n">
        <v>102418</v>
      </c>
      <c r="K1177" s="0" t="n">
        <v>7891000460207</v>
      </c>
      <c r="L1177" s="0" t="s">
        <v>3169</v>
      </c>
      <c r="N1177" s="0" t="n">
        <v>30</v>
      </c>
      <c r="O1177" s="0" t="n">
        <v>71.6</v>
      </c>
      <c r="P1177" s="0" t="s">
        <v>2444</v>
      </c>
    </row>
    <row r="1178" customFormat="false" ht="15" hidden="false" customHeight="true" outlineLevel="0" collapsed="false">
      <c r="A1178" s="0" t="n">
        <v>2</v>
      </c>
      <c r="B1178" s="71" t="n">
        <v>46188</v>
      </c>
      <c r="C1178" s="0" t="n">
        <v>1</v>
      </c>
      <c r="D1178" s="0" t="s">
        <v>2442</v>
      </c>
      <c r="E1178" s="0" t="n">
        <v>10009</v>
      </c>
      <c r="F1178" s="0" t="s">
        <v>464</v>
      </c>
      <c r="I1178" s="0" t="n">
        <v>1416973</v>
      </c>
      <c r="J1178" s="0" t="n">
        <v>102419</v>
      </c>
      <c r="K1178" s="0" t="n">
        <v>7891000462300</v>
      </c>
      <c r="L1178" s="0" t="s">
        <v>3170</v>
      </c>
      <c r="N1178" s="0" t="n">
        <v>30</v>
      </c>
      <c r="O1178" s="0" t="n">
        <v>71.4</v>
      </c>
      <c r="P1178" s="0" t="s">
        <v>2444</v>
      </c>
    </row>
    <row r="1179" customFormat="false" ht="15" hidden="false" customHeight="true" outlineLevel="0" collapsed="false">
      <c r="A1179" s="0" t="n">
        <v>2</v>
      </c>
      <c r="B1179" s="71" t="n">
        <v>46188</v>
      </c>
      <c r="C1179" s="0" t="n">
        <v>1</v>
      </c>
      <c r="D1179" s="0" t="s">
        <v>2442</v>
      </c>
      <c r="E1179" s="0" t="n">
        <v>10009</v>
      </c>
      <c r="F1179" s="0" t="s">
        <v>464</v>
      </c>
      <c r="I1179" s="0" t="n">
        <v>1416973</v>
      </c>
      <c r="J1179" s="0" t="n">
        <v>26412</v>
      </c>
      <c r="K1179" s="0" t="n">
        <v>7891000248768</v>
      </c>
      <c r="L1179" s="0" t="s">
        <v>3171</v>
      </c>
      <c r="N1179" s="0" t="n">
        <v>24</v>
      </c>
      <c r="O1179" s="0" t="n">
        <v>87.86</v>
      </c>
      <c r="P1179" s="0" t="s">
        <v>2444</v>
      </c>
    </row>
    <row r="1180" customFormat="false" ht="15" hidden="false" customHeight="true" outlineLevel="0" collapsed="false">
      <c r="A1180" s="0" t="n">
        <v>2</v>
      </c>
      <c r="B1180" s="71" t="n">
        <v>46188</v>
      </c>
      <c r="C1180" s="0" t="n">
        <v>1</v>
      </c>
      <c r="D1180" s="0" t="s">
        <v>2442</v>
      </c>
      <c r="E1180" s="0" t="n">
        <v>10009</v>
      </c>
      <c r="F1180" s="0" t="s">
        <v>464</v>
      </c>
      <c r="I1180" s="0" t="n">
        <v>1416973</v>
      </c>
      <c r="J1180" s="0" t="n">
        <v>29822</v>
      </c>
      <c r="K1180" s="0" t="n">
        <v>7891000248829</v>
      </c>
      <c r="L1180" s="0" t="s">
        <v>3172</v>
      </c>
      <c r="N1180" s="0" t="n">
        <v>24</v>
      </c>
      <c r="O1180" s="0" t="n">
        <v>87.86</v>
      </c>
      <c r="P1180" s="0" t="s">
        <v>2444</v>
      </c>
    </row>
    <row r="1181" customFormat="false" ht="15" hidden="false" customHeight="true" outlineLevel="0" collapsed="false">
      <c r="A1181" s="0" t="n">
        <v>2</v>
      </c>
      <c r="B1181" s="71" t="n">
        <v>46188</v>
      </c>
      <c r="C1181" s="0" t="n">
        <v>1</v>
      </c>
      <c r="D1181" s="0" t="s">
        <v>2442</v>
      </c>
      <c r="E1181" s="0" t="n">
        <v>10009</v>
      </c>
      <c r="F1181" s="0" t="s">
        <v>464</v>
      </c>
      <c r="I1181" s="0" t="n">
        <v>1416973</v>
      </c>
      <c r="J1181" s="0" t="n">
        <v>51568</v>
      </c>
      <c r="K1181" s="0" t="n">
        <v>7891000368572</v>
      </c>
      <c r="L1181" s="0" t="s">
        <v>3173</v>
      </c>
      <c r="N1181" s="0" t="n">
        <v>16</v>
      </c>
      <c r="O1181" s="0" t="n">
        <v>125.01</v>
      </c>
      <c r="P1181" s="0" t="s">
        <v>2444</v>
      </c>
    </row>
    <row r="1182" customFormat="false" ht="15" hidden="false" customHeight="true" outlineLevel="0" collapsed="false">
      <c r="A1182" s="0" t="n">
        <v>2</v>
      </c>
      <c r="B1182" s="71" t="n">
        <v>46188</v>
      </c>
      <c r="C1182" s="0" t="n">
        <v>1</v>
      </c>
      <c r="D1182" s="0" t="s">
        <v>2442</v>
      </c>
      <c r="E1182" s="0" t="n">
        <v>10009</v>
      </c>
      <c r="F1182" s="0" t="s">
        <v>464</v>
      </c>
      <c r="I1182" s="0" t="n">
        <v>1416973</v>
      </c>
      <c r="J1182" s="0" t="n">
        <v>52037</v>
      </c>
      <c r="K1182" s="0" t="n">
        <v>7891000369371</v>
      </c>
      <c r="L1182" s="0" t="s">
        <v>3174</v>
      </c>
      <c r="N1182" s="0" t="n">
        <v>16</v>
      </c>
      <c r="O1182" s="0" t="n">
        <v>125.01</v>
      </c>
      <c r="P1182" s="0" t="s">
        <v>2444</v>
      </c>
    </row>
    <row r="1183" customFormat="false" ht="15" hidden="false" customHeight="true" outlineLevel="0" collapsed="false">
      <c r="A1183" s="0" t="n">
        <v>2</v>
      </c>
      <c r="B1183" s="71" t="n">
        <v>46188</v>
      </c>
      <c r="C1183" s="0" t="n">
        <v>1</v>
      </c>
      <c r="D1183" s="0" t="s">
        <v>2442</v>
      </c>
      <c r="E1183" s="0" t="n">
        <v>10009</v>
      </c>
      <c r="F1183" s="0" t="s">
        <v>464</v>
      </c>
      <c r="I1183" s="0" t="n">
        <v>1416973</v>
      </c>
      <c r="J1183" s="0" t="n">
        <v>52266</v>
      </c>
      <c r="K1183" s="0" t="n">
        <v>7891000369098</v>
      </c>
      <c r="L1183" s="0" t="s">
        <v>3175</v>
      </c>
      <c r="N1183" s="0" t="n">
        <v>16</v>
      </c>
      <c r="O1183" s="0" t="n">
        <v>125.01</v>
      </c>
      <c r="P1183" s="0" t="s">
        <v>2444</v>
      </c>
    </row>
    <row r="1184" customFormat="false" ht="15" hidden="false" customHeight="true" outlineLevel="0" collapsed="false">
      <c r="A1184" s="0" t="n">
        <v>2</v>
      </c>
      <c r="B1184" s="71" t="n">
        <v>46188</v>
      </c>
      <c r="C1184" s="0" t="n">
        <v>1</v>
      </c>
      <c r="D1184" s="0" t="s">
        <v>2442</v>
      </c>
      <c r="E1184" s="0" t="n">
        <v>10009</v>
      </c>
      <c r="F1184" s="0" t="s">
        <v>464</v>
      </c>
      <c r="I1184" s="0" t="n">
        <v>1416973</v>
      </c>
      <c r="J1184" s="0" t="n">
        <v>52453</v>
      </c>
      <c r="K1184" s="0" t="n">
        <v>7891000368626</v>
      </c>
      <c r="L1184" s="0" t="s">
        <v>3176</v>
      </c>
      <c r="N1184" s="0" t="n">
        <v>16</v>
      </c>
      <c r="O1184" s="0" t="n">
        <v>125</v>
      </c>
      <c r="P1184" s="0" t="s">
        <v>2444</v>
      </c>
    </row>
    <row r="1185" customFormat="false" ht="15" hidden="false" customHeight="true" outlineLevel="0" collapsed="false">
      <c r="A1185" s="0" t="n">
        <v>2</v>
      </c>
      <c r="B1185" s="71" t="n">
        <v>46188</v>
      </c>
      <c r="C1185" s="0" t="n">
        <v>1</v>
      </c>
      <c r="D1185" s="0" t="s">
        <v>2442</v>
      </c>
      <c r="E1185" s="0" t="n">
        <v>10009</v>
      </c>
      <c r="F1185" s="0" t="s">
        <v>464</v>
      </c>
      <c r="I1185" s="0" t="n">
        <v>1416973</v>
      </c>
      <c r="J1185" s="0" t="n">
        <v>53637</v>
      </c>
      <c r="K1185" s="0" t="n">
        <v>7891000368992</v>
      </c>
      <c r="L1185" s="0" t="s">
        <v>3177</v>
      </c>
      <c r="N1185" s="0" t="n">
        <v>16</v>
      </c>
      <c r="O1185" s="0" t="n">
        <v>125.01</v>
      </c>
      <c r="P1185" s="0" t="s">
        <v>2444</v>
      </c>
    </row>
    <row r="1186" customFormat="false" ht="15" hidden="false" customHeight="true" outlineLevel="0" collapsed="false">
      <c r="A1186" s="0" t="n">
        <v>2</v>
      </c>
      <c r="B1186" s="71" t="n">
        <v>46188</v>
      </c>
      <c r="C1186" s="0" t="n">
        <v>1</v>
      </c>
      <c r="D1186" s="0" t="s">
        <v>2442</v>
      </c>
      <c r="E1186" s="0" t="n">
        <v>10009</v>
      </c>
      <c r="F1186" s="0" t="s">
        <v>464</v>
      </c>
      <c r="I1186" s="0" t="n">
        <v>1416973</v>
      </c>
      <c r="J1186" s="0" t="n">
        <v>66942</v>
      </c>
      <c r="K1186" s="0" t="n">
        <v>7891000377598</v>
      </c>
      <c r="L1186" s="0" t="s">
        <v>3178</v>
      </c>
      <c r="N1186" s="0" t="n">
        <v>12</v>
      </c>
      <c r="O1186" s="0" t="n">
        <v>94.88</v>
      </c>
      <c r="P1186" s="0" t="s">
        <v>2444</v>
      </c>
    </row>
    <row r="1187" customFormat="false" ht="15" hidden="false" customHeight="true" outlineLevel="0" collapsed="false">
      <c r="A1187" s="0" t="n">
        <v>2</v>
      </c>
      <c r="B1187" s="71" t="n">
        <v>46188</v>
      </c>
      <c r="C1187" s="0" t="n">
        <v>1</v>
      </c>
      <c r="D1187" s="0" t="s">
        <v>2442</v>
      </c>
      <c r="E1187" s="0" t="n">
        <v>10009</v>
      </c>
      <c r="F1187" s="0" t="s">
        <v>464</v>
      </c>
      <c r="I1187" s="0" t="n">
        <v>1416973</v>
      </c>
      <c r="J1187" s="0" t="n">
        <v>67996</v>
      </c>
      <c r="K1187" s="0" t="n">
        <v>7891000377543</v>
      </c>
      <c r="L1187" s="0" t="s">
        <v>3179</v>
      </c>
      <c r="N1187" s="0" t="n">
        <v>12</v>
      </c>
      <c r="O1187" s="0" t="n">
        <v>94.88</v>
      </c>
      <c r="P1187" s="0" t="s">
        <v>2444</v>
      </c>
    </row>
    <row r="1188" customFormat="false" ht="15" hidden="false" customHeight="true" outlineLevel="0" collapsed="false">
      <c r="A1188" s="0" t="n">
        <v>2</v>
      </c>
      <c r="B1188" s="71" t="n">
        <v>46188</v>
      </c>
      <c r="C1188" s="0" t="n">
        <v>1</v>
      </c>
      <c r="D1188" s="0" t="s">
        <v>2442</v>
      </c>
      <c r="E1188" s="0" t="n">
        <v>10009</v>
      </c>
      <c r="F1188" s="0" t="s">
        <v>464</v>
      </c>
      <c r="I1188" s="0" t="n">
        <v>1416973</v>
      </c>
      <c r="J1188" s="0" t="n">
        <v>79789</v>
      </c>
      <c r="K1188" s="0" t="n">
        <v>7891000410707</v>
      </c>
      <c r="L1188" s="0" t="s">
        <v>3180</v>
      </c>
      <c r="N1188" s="0" t="n">
        <v>16</v>
      </c>
      <c r="O1188" s="0" t="n">
        <v>125.01</v>
      </c>
      <c r="P1188" s="0" t="s">
        <v>2444</v>
      </c>
    </row>
    <row r="1189" customFormat="false" ht="15" hidden="false" customHeight="true" outlineLevel="0" collapsed="false">
      <c r="A1189" s="0" t="n">
        <v>2</v>
      </c>
      <c r="B1189" s="71" t="n">
        <v>46188</v>
      </c>
      <c r="C1189" s="0" t="n">
        <v>1</v>
      </c>
      <c r="D1189" s="0" t="s">
        <v>2442</v>
      </c>
      <c r="E1189" s="0" t="n">
        <v>10009</v>
      </c>
      <c r="F1189" s="0" t="s">
        <v>464</v>
      </c>
      <c r="I1189" s="0" t="n">
        <v>1416973</v>
      </c>
      <c r="J1189" s="0" t="n">
        <v>79945</v>
      </c>
      <c r="K1189" s="0" t="n">
        <v>7891000457467</v>
      </c>
      <c r="L1189" s="0" t="s">
        <v>3181</v>
      </c>
      <c r="N1189" s="0" t="n">
        <v>20</v>
      </c>
      <c r="O1189" s="0" t="n">
        <v>279.27</v>
      </c>
      <c r="P1189" s="0" t="s">
        <v>2444</v>
      </c>
    </row>
    <row r="1190" customFormat="false" ht="15" hidden="false" customHeight="true" outlineLevel="0" collapsed="false">
      <c r="A1190" s="0" t="n">
        <v>2</v>
      </c>
      <c r="B1190" s="71" t="n">
        <v>46188</v>
      </c>
      <c r="C1190" s="0" t="n">
        <v>1</v>
      </c>
      <c r="D1190" s="0" t="s">
        <v>2442</v>
      </c>
      <c r="E1190" s="0" t="n">
        <v>1683</v>
      </c>
      <c r="F1190" s="0" t="s">
        <v>406</v>
      </c>
      <c r="I1190" s="0" t="n">
        <v>1631512</v>
      </c>
      <c r="J1190" s="0" t="n">
        <v>109791</v>
      </c>
      <c r="K1190" s="0" t="n">
        <v>9667</v>
      </c>
      <c r="L1190" s="0" t="s">
        <v>2465</v>
      </c>
      <c r="N1190" s="0" t="n">
        <v>10</v>
      </c>
      <c r="O1190" s="0" t="n">
        <v>15</v>
      </c>
      <c r="P1190" s="0" t="s">
        <v>2444</v>
      </c>
    </row>
    <row r="1191" customFormat="false" ht="15" hidden="false" customHeight="true" outlineLevel="0" collapsed="false">
      <c r="A1191" s="0" t="n">
        <v>2</v>
      </c>
      <c r="B1191" s="71" t="n">
        <v>46188</v>
      </c>
      <c r="C1191" s="0" t="n">
        <v>1</v>
      </c>
      <c r="D1191" s="0" t="s">
        <v>2442</v>
      </c>
      <c r="E1191" s="0" t="n">
        <v>1683</v>
      </c>
      <c r="F1191" s="0" t="s">
        <v>406</v>
      </c>
      <c r="I1191" s="0" t="n">
        <v>1631512</v>
      </c>
      <c r="J1191" s="0" t="n">
        <v>37359</v>
      </c>
      <c r="K1191" s="0" t="n">
        <v>55526</v>
      </c>
      <c r="L1191" s="0" t="s">
        <v>2466</v>
      </c>
      <c r="N1191" s="0" t="n">
        <v>5</v>
      </c>
      <c r="O1191" s="0" t="n">
        <v>20</v>
      </c>
      <c r="P1191" s="0" t="s">
        <v>2444</v>
      </c>
    </row>
    <row r="1192" customFormat="false" ht="15" hidden="false" customHeight="true" outlineLevel="0" collapsed="false">
      <c r="A1192" s="0" t="n">
        <v>2</v>
      </c>
      <c r="B1192" s="71" t="n">
        <v>46188</v>
      </c>
      <c r="C1192" s="0" t="n">
        <v>1</v>
      </c>
      <c r="D1192" s="0" t="s">
        <v>2442</v>
      </c>
      <c r="E1192" s="0" t="n">
        <v>1683</v>
      </c>
      <c r="F1192" s="0" t="s">
        <v>406</v>
      </c>
      <c r="I1192" s="0" t="n">
        <v>1631512</v>
      </c>
      <c r="J1192" s="0" t="n">
        <v>37361</v>
      </c>
      <c r="K1192" s="0" t="n">
        <v>2240817</v>
      </c>
      <c r="L1192" s="0" t="s">
        <v>2467</v>
      </c>
      <c r="N1192" s="0" t="n">
        <v>70</v>
      </c>
      <c r="O1192" s="0" t="n">
        <v>126</v>
      </c>
      <c r="P1192" s="0" t="s">
        <v>2444</v>
      </c>
    </row>
    <row r="1193" customFormat="false" ht="15" hidden="false" customHeight="true" outlineLevel="0" collapsed="false">
      <c r="A1193" s="0" t="n">
        <v>2</v>
      </c>
      <c r="B1193" s="71" t="n">
        <v>46188</v>
      </c>
      <c r="C1193" s="0" t="n">
        <v>1</v>
      </c>
      <c r="D1193" s="0" t="s">
        <v>2442</v>
      </c>
      <c r="E1193" s="0" t="n">
        <v>1683</v>
      </c>
      <c r="F1193" s="0" t="s">
        <v>406</v>
      </c>
      <c r="I1193" s="0" t="n">
        <v>1631944</v>
      </c>
      <c r="J1193" s="0" t="n">
        <v>37359</v>
      </c>
      <c r="K1193" s="0" t="n">
        <v>55526</v>
      </c>
      <c r="L1193" s="0" t="s">
        <v>2466</v>
      </c>
      <c r="N1193" s="0" t="n">
        <v>8</v>
      </c>
      <c r="O1193" s="0" t="n">
        <v>32</v>
      </c>
      <c r="P1193" s="0" t="s">
        <v>2444</v>
      </c>
    </row>
    <row r="1194" customFormat="false" ht="15" hidden="false" customHeight="true" outlineLevel="0" collapsed="false">
      <c r="A1194" s="0" t="n">
        <v>2</v>
      </c>
      <c r="B1194" s="71" t="n">
        <v>46188</v>
      </c>
      <c r="C1194" s="0" t="n">
        <v>1</v>
      </c>
      <c r="D1194" s="0" t="s">
        <v>2442</v>
      </c>
      <c r="E1194" s="0" t="n">
        <v>1683</v>
      </c>
      <c r="F1194" s="0" t="s">
        <v>406</v>
      </c>
      <c r="I1194" s="0" t="n">
        <v>1631944</v>
      </c>
      <c r="J1194" s="0" t="n">
        <v>37361</v>
      </c>
      <c r="K1194" s="0" t="n">
        <v>2240817</v>
      </c>
      <c r="L1194" s="0" t="s">
        <v>2467</v>
      </c>
      <c r="N1194" s="0" t="n">
        <v>30</v>
      </c>
      <c r="O1194" s="0" t="n">
        <v>54</v>
      </c>
      <c r="P1194" s="0" t="s">
        <v>2444</v>
      </c>
    </row>
    <row r="1195" customFormat="false" ht="15" hidden="false" customHeight="true" outlineLevel="0" collapsed="false">
      <c r="A1195" s="0" t="n">
        <v>2</v>
      </c>
      <c r="B1195" s="71" t="n">
        <v>46188</v>
      </c>
      <c r="C1195" s="0" t="n">
        <v>1</v>
      </c>
      <c r="D1195" s="0" t="s">
        <v>2442</v>
      </c>
      <c r="E1195" s="0" t="n">
        <v>1611</v>
      </c>
      <c r="F1195" s="0" t="s">
        <v>178</v>
      </c>
      <c r="I1195" s="0" t="n">
        <v>1771887</v>
      </c>
      <c r="J1195" s="0" t="n">
        <v>80722</v>
      </c>
      <c r="K1195" s="0" t="n">
        <v>7897653549146</v>
      </c>
      <c r="L1195" s="0" t="s">
        <v>3182</v>
      </c>
      <c r="N1195" s="0" t="n">
        <v>300</v>
      </c>
      <c r="O1195" s="0" t="n">
        <v>1839.99</v>
      </c>
      <c r="P1195" s="0" t="s">
        <v>2444</v>
      </c>
    </row>
    <row r="1196" customFormat="false" ht="15" hidden="false" customHeight="true" outlineLevel="0" collapsed="false">
      <c r="A1196" s="0" t="n">
        <v>2</v>
      </c>
      <c r="B1196" s="71" t="n">
        <v>46188</v>
      </c>
      <c r="C1196" s="0" t="n">
        <v>2</v>
      </c>
      <c r="D1196" s="0" t="s">
        <v>2533</v>
      </c>
      <c r="E1196" s="0" t="n">
        <v>48</v>
      </c>
      <c r="F1196" s="0" t="s">
        <v>153</v>
      </c>
      <c r="I1196" s="0" t="n">
        <v>15626</v>
      </c>
      <c r="J1196" s="0" t="n">
        <v>42564</v>
      </c>
      <c r="K1196" s="0" t="n">
        <v>574</v>
      </c>
      <c r="L1196" s="0" t="s">
        <v>2534</v>
      </c>
      <c r="N1196" s="0" t="n">
        <v>15</v>
      </c>
      <c r="O1196" s="0" t="n">
        <v>210</v>
      </c>
      <c r="P1196" s="0" t="s">
        <v>2444</v>
      </c>
    </row>
    <row r="1197" customFormat="false" ht="15" hidden="false" customHeight="true" outlineLevel="0" collapsed="false">
      <c r="A1197" s="0" t="n">
        <v>2</v>
      </c>
      <c r="B1197" s="71" t="n">
        <v>46188</v>
      </c>
      <c r="C1197" s="0" t="n">
        <v>6</v>
      </c>
      <c r="D1197" s="0" t="s">
        <v>2553</v>
      </c>
      <c r="E1197" s="0" t="n">
        <v>48</v>
      </c>
      <c r="F1197" s="0" t="s">
        <v>153</v>
      </c>
      <c r="I1197" s="0" t="n">
        <v>2496</v>
      </c>
      <c r="J1197" s="0" t="n">
        <v>42564</v>
      </c>
      <c r="K1197" s="0" t="n">
        <v>574</v>
      </c>
      <c r="L1197" s="0" t="s">
        <v>2534</v>
      </c>
      <c r="N1197" s="0" t="n">
        <v>15</v>
      </c>
      <c r="O1197" s="0" t="n">
        <v>210</v>
      </c>
      <c r="P1197" s="0" t="s">
        <v>2444</v>
      </c>
    </row>
    <row r="1198" customFormat="false" ht="15" hidden="false" customHeight="true" outlineLevel="0" collapsed="false">
      <c r="A1198" s="0" t="n">
        <v>2</v>
      </c>
      <c r="B1198" s="71" t="n">
        <v>46188</v>
      </c>
      <c r="C1198" s="0" t="n">
        <v>11</v>
      </c>
      <c r="D1198" s="0" t="s">
        <v>2471</v>
      </c>
      <c r="E1198" s="0" t="n">
        <v>10081</v>
      </c>
      <c r="F1198" s="0" t="s">
        <v>2336</v>
      </c>
      <c r="I1198" s="0" t="n">
        <v>10</v>
      </c>
      <c r="J1198" s="0" t="n">
        <v>10470</v>
      </c>
      <c r="K1198" s="0" t="n">
        <v>7898392930059</v>
      </c>
      <c r="L1198" s="0" t="s">
        <v>3183</v>
      </c>
      <c r="N1198" s="0" t="n">
        <v>12</v>
      </c>
      <c r="O1198" s="0" t="n">
        <v>84</v>
      </c>
      <c r="P1198" s="0" t="s">
        <v>2444</v>
      </c>
    </row>
    <row r="1199" customFormat="false" ht="15" hidden="false" customHeight="true" outlineLevel="0" collapsed="false">
      <c r="A1199" s="0" t="n">
        <v>2</v>
      </c>
      <c r="B1199" s="71" t="n">
        <v>46188</v>
      </c>
      <c r="C1199" s="0" t="n">
        <v>11</v>
      </c>
      <c r="D1199" s="0" t="s">
        <v>2471</v>
      </c>
      <c r="E1199" s="0" t="n">
        <v>10081</v>
      </c>
      <c r="F1199" s="0" t="s">
        <v>2336</v>
      </c>
      <c r="I1199" s="0" t="n">
        <v>10</v>
      </c>
      <c r="J1199" s="0" t="n">
        <v>30511</v>
      </c>
      <c r="K1199" s="0" t="n">
        <v>7891751000042</v>
      </c>
      <c r="L1199" s="0" t="s">
        <v>3184</v>
      </c>
      <c r="N1199" s="0" t="n">
        <v>12</v>
      </c>
      <c r="O1199" s="0" t="n">
        <v>16</v>
      </c>
      <c r="P1199" s="0" t="s">
        <v>2444</v>
      </c>
    </row>
    <row r="1200" customFormat="false" ht="15" hidden="false" customHeight="true" outlineLevel="0" collapsed="false">
      <c r="A1200" s="0" t="n">
        <v>2</v>
      </c>
      <c r="B1200" s="71" t="n">
        <v>46188</v>
      </c>
      <c r="C1200" s="0" t="n">
        <v>11</v>
      </c>
      <c r="D1200" s="0" t="s">
        <v>2471</v>
      </c>
      <c r="E1200" s="0" t="n">
        <v>10081</v>
      </c>
      <c r="F1200" s="0" t="s">
        <v>2336</v>
      </c>
      <c r="I1200" s="0" t="n">
        <v>10</v>
      </c>
      <c r="J1200" s="0" t="n">
        <v>30828</v>
      </c>
      <c r="K1200" s="0" t="n">
        <v>7896818211867</v>
      </c>
      <c r="L1200" s="0" t="s">
        <v>3185</v>
      </c>
      <c r="N1200" s="0" t="n">
        <v>24</v>
      </c>
      <c r="O1200" s="0" t="n">
        <v>11</v>
      </c>
      <c r="P1200" s="0" t="s">
        <v>2444</v>
      </c>
    </row>
    <row r="1201" customFormat="false" ht="15" hidden="false" customHeight="true" outlineLevel="0" collapsed="false">
      <c r="A1201" s="0" t="n">
        <v>2</v>
      </c>
      <c r="B1201" s="71" t="n">
        <v>46188</v>
      </c>
      <c r="C1201" s="0" t="n">
        <v>11</v>
      </c>
      <c r="D1201" s="0" t="s">
        <v>2471</v>
      </c>
      <c r="E1201" s="0" t="n">
        <v>10081</v>
      </c>
      <c r="F1201" s="0" t="s">
        <v>2336</v>
      </c>
      <c r="I1201" s="0" t="n">
        <v>10</v>
      </c>
      <c r="J1201" s="0" t="n">
        <v>30829</v>
      </c>
      <c r="K1201" s="0" t="n">
        <v>7896818218873</v>
      </c>
      <c r="L1201" s="0" t="s">
        <v>3186</v>
      </c>
      <c r="N1201" s="0" t="n">
        <v>24</v>
      </c>
      <c r="O1201" s="0" t="n">
        <v>14</v>
      </c>
      <c r="P1201" s="0" t="s">
        <v>2444</v>
      </c>
    </row>
    <row r="1202" customFormat="false" ht="15" hidden="false" customHeight="true" outlineLevel="0" collapsed="false">
      <c r="A1202" s="0" t="n">
        <v>2</v>
      </c>
      <c r="B1202" s="71" t="n">
        <v>46188</v>
      </c>
      <c r="C1202" s="0" t="n">
        <v>11</v>
      </c>
      <c r="D1202" s="0" t="s">
        <v>2471</v>
      </c>
      <c r="E1202" s="0" t="n">
        <v>10081</v>
      </c>
      <c r="F1202" s="0" t="s">
        <v>2336</v>
      </c>
      <c r="I1202" s="0" t="n">
        <v>10</v>
      </c>
      <c r="J1202" s="0" t="n">
        <v>61698</v>
      </c>
      <c r="K1202" s="0" t="n">
        <v>7890785492434</v>
      </c>
      <c r="L1202" s="0" t="s">
        <v>3187</v>
      </c>
      <c r="N1202" s="0" t="n">
        <v>3</v>
      </c>
      <c r="O1202" s="0" t="n">
        <v>45</v>
      </c>
      <c r="P1202" s="0" t="s">
        <v>2444</v>
      </c>
    </row>
    <row r="1203" customFormat="false" ht="15" hidden="false" customHeight="true" outlineLevel="0" collapsed="false">
      <c r="A1203" s="0" t="n">
        <v>2</v>
      </c>
      <c r="B1203" s="71" t="n">
        <v>46188</v>
      </c>
      <c r="C1203" s="0" t="n">
        <v>11</v>
      </c>
      <c r="D1203" s="0" t="s">
        <v>2471</v>
      </c>
      <c r="E1203" s="0" t="n">
        <v>10081</v>
      </c>
      <c r="F1203" s="0" t="s">
        <v>2336</v>
      </c>
      <c r="I1203" s="0" t="n">
        <v>10</v>
      </c>
      <c r="J1203" s="0" t="n">
        <v>81141</v>
      </c>
      <c r="K1203" s="0" t="n">
        <v>7899958261846</v>
      </c>
      <c r="L1203" s="0" t="s">
        <v>3188</v>
      </c>
      <c r="N1203" s="0" t="n">
        <v>3</v>
      </c>
      <c r="O1203" s="0" t="n">
        <v>22.5</v>
      </c>
      <c r="P1203" s="0" t="s">
        <v>2444</v>
      </c>
    </row>
    <row r="1204" customFormat="false" ht="15" hidden="false" customHeight="true" outlineLevel="0" collapsed="false">
      <c r="A1204" s="0" t="n">
        <v>2</v>
      </c>
      <c r="B1204" s="71" t="n">
        <v>46188</v>
      </c>
      <c r="C1204" s="0" t="n">
        <v>11</v>
      </c>
      <c r="D1204" s="0" t="s">
        <v>2471</v>
      </c>
      <c r="E1204" s="0" t="n">
        <v>10081</v>
      </c>
      <c r="F1204" s="0" t="s">
        <v>2336</v>
      </c>
      <c r="I1204" s="0" t="n">
        <v>10</v>
      </c>
      <c r="J1204" s="0" t="n">
        <v>81285</v>
      </c>
      <c r="K1204" s="0" t="n">
        <v>7898611091042</v>
      </c>
      <c r="L1204" s="0" t="s">
        <v>3189</v>
      </c>
      <c r="N1204" s="0" t="n">
        <v>5</v>
      </c>
      <c r="O1204" s="0" t="n">
        <v>50</v>
      </c>
      <c r="P1204" s="0" t="s">
        <v>2444</v>
      </c>
    </row>
    <row r="1205" customFormat="false" ht="15" hidden="false" customHeight="true" outlineLevel="0" collapsed="false">
      <c r="A1205" s="0" t="n">
        <v>2</v>
      </c>
      <c r="B1205" s="71" t="n">
        <v>46188</v>
      </c>
      <c r="C1205" s="0" t="n">
        <v>11</v>
      </c>
      <c r="D1205" s="0" t="s">
        <v>2471</v>
      </c>
      <c r="E1205" s="0" t="n">
        <v>10081</v>
      </c>
      <c r="F1205" s="0" t="s">
        <v>2336</v>
      </c>
      <c r="I1205" s="0" t="n">
        <v>10</v>
      </c>
      <c r="J1205" s="0" t="n">
        <v>81286</v>
      </c>
      <c r="K1205" s="0" t="n">
        <v>812870</v>
      </c>
      <c r="L1205" s="0" t="s">
        <v>3190</v>
      </c>
      <c r="N1205" s="0" t="n">
        <v>5</v>
      </c>
      <c r="O1205" s="0" t="n">
        <v>32.5</v>
      </c>
      <c r="P1205" s="0" t="s">
        <v>2444</v>
      </c>
    </row>
    <row r="1206" customFormat="false" ht="15" hidden="false" customHeight="true" outlineLevel="0" collapsed="false">
      <c r="A1206" s="0" t="n">
        <v>2</v>
      </c>
      <c r="B1206" s="71" t="n">
        <v>46188</v>
      </c>
      <c r="C1206" s="0" t="n">
        <v>11</v>
      </c>
      <c r="D1206" s="0" t="s">
        <v>2471</v>
      </c>
      <c r="E1206" s="0" t="n">
        <v>10081</v>
      </c>
      <c r="F1206" s="0" t="s">
        <v>2336</v>
      </c>
      <c r="I1206" s="0" t="n">
        <v>10</v>
      </c>
      <c r="J1206" s="0" t="n">
        <v>81288</v>
      </c>
      <c r="K1206" s="0" t="n">
        <v>7908629713741</v>
      </c>
      <c r="L1206" s="0" t="s">
        <v>3191</v>
      </c>
      <c r="N1206" s="0" t="n">
        <v>3</v>
      </c>
      <c r="O1206" s="0" t="n">
        <v>16.5</v>
      </c>
      <c r="P1206" s="0" t="s">
        <v>2444</v>
      </c>
    </row>
    <row r="1207" customFormat="false" ht="15" hidden="false" customHeight="true" outlineLevel="0" collapsed="false">
      <c r="A1207" s="0" t="n">
        <v>2</v>
      </c>
      <c r="B1207" s="71" t="n">
        <v>46188</v>
      </c>
      <c r="C1207" s="0" t="n">
        <v>11</v>
      </c>
      <c r="D1207" s="0" t="s">
        <v>2471</v>
      </c>
      <c r="E1207" s="0" t="n">
        <v>10081</v>
      </c>
      <c r="F1207" s="0" t="s">
        <v>2336</v>
      </c>
      <c r="I1207" s="0" t="n">
        <v>10</v>
      </c>
      <c r="J1207" s="0" t="n">
        <v>81289</v>
      </c>
      <c r="K1207" s="0" t="n">
        <v>7899958261884</v>
      </c>
      <c r="L1207" s="0" t="s">
        <v>3192</v>
      </c>
      <c r="N1207" s="0" t="n">
        <v>2</v>
      </c>
      <c r="O1207" s="0" t="n">
        <v>34</v>
      </c>
      <c r="P1207" s="0" t="s">
        <v>2444</v>
      </c>
    </row>
    <row r="1208" customFormat="false" ht="15" hidden="false" customHeight="true" outlineLevel="0" collapsed="false">
      <c r="A1208" s="0" t="n">
        <v>2</v>
      </c>
      <c r="B1208" s="71" t="n">
        <v>46188</v>
      </c>
      <c r="C1208" s="0" t="n">
        <v>11</v>
      </c>
      <c r="D1208" s="0" t="s">
        <v>2471</v>
      </c>
      <c r="E1208" s="0" t="n">
        <v>10081</v>
      </c>
      <c r="F1208" s="0" t="s">
        <v>2336</v>
      </c>
      <c r="I1208" s="0" t="n">
        <v>10</v>
      </c>
      <c r="J1208" s="0" t="n">
        <v>81290</v>
      </c>
      <c r="K1208" s="0" t="n">
        <v>7898505850137</v>
      </c>
      <c r="L1208" s="0" t="s">
        <v>3193</v>
      </c>
      <c r="N1208" s="0" t="n">
        <v>1</v>
      </c>
      <c r="O1208" s="0" t="n">
        <v>20</v>
      </c>
      <c r="P1208" s="0" t="s">
        <v>2444</v>
      </c>
    </row>
    <row r="1209" customFormat="false" ht="15" hidden="false" customHeight="true" outlineLevel="0" collapsed="false">
      <c r="A1209" s="0" t="n">
        <v>2</v>
      </c>
      <c r="B1209" s="71" t="n">
        <v>46188</v>
      </c>
      <c r="C1209" s="0" t="n">
        <v>11</v>
      </c>
      <c r="D1209" s="0" t="s">
        <v>2471</v>
      </c>
      <c r="E1209" s="0" t="n">
        <v>10081</v>
      </c>
      <c r="F1209" s="0" t="s">
        <v>2336</v>
      </c>
      <c r="I1209" s="0" t="n">
        <v>10</v>
      </c>
      <c r="J1209" s="0" t="n">
        <v>81291</v>
      </c>
      <c r="K1209" s="0" t="n">
        <v>7899958255685</v>
      </c>
      <c r="L1209" s="0" t="s">
        <v>3194</v>
      </c>
      <c r="N1209" s="0" t="n">
        <v>3</v>
      </c>
      <c r="O1209" s="0" t="n">
        <v>22.5</v>
      </c>
      <c r="P1209" s="0" t="s">
        <v>2444</v>
      </c>
    </row>
    <row r="1210" customFormat="false" ht="15" hidden="false" customHeight="true" outlineLevel="0" collapsed="false">
      <c r="A1210" s="0" t="n">
        <v>2</v>
      </c>
      <c r="B1210" s="71" t="n">
        <v>46188</v>
      </c>
      <c r="C1210" s="0" t="n">
        <v>11</v>
      </c>
      <c r="D1210" s="0" t="s">
        <v>2471</v>
      </c>
      <c r="E1210" s="0" t="n">
        <v>10081</v>
      </c>
      <c r="F1210" s="0" t="s">
        <v>2336</v>
      </c>
      <c r="I1210" s="0" t="n">
        <v>10</v>
      </c>
      <c r="J1210" s="0" t="n">
        <v>81292</v>
      </c>
      <c r="K1210" s="0" t="n">
        <v>7908629714236</v>
      </c>
      <c r="L1210" s="0" t="s">
        <v>3195</v>
      </c>
      <c r="N1210" s="0" t="n">
        <v>3</v>
      </c>
      <c r="O1210" s="0" t="n">
        <v>30</v>
      </c>
      <c r="P1210" s="0" t="s">
        <v>2444</v>
      </c>
    </row>
    <row r="1211" customFormat="false" ht="15" hidden="false" customHeight="true" outlineLevel="0" collapsed="false">
      <c r="A1211" s="0" t="n">
        <v>2</v>
      </c>
      <c r="B1211" s="71" t="n">
        <v>46188</v>
      </c>
      <c r="C1211" s="0" t="n">
        <v>11</v>
      </c>
      <c r="D1211" s="0" t="s">
        <v>2471</v>
      </c>
      <c r="E1211" s="0" t="n">
        <v>10081</v>
      </c>
      <c r="F1211" s="0" t="s">
        <v>2336</v>
      </c>
      <c r="I1211" s="0" t="n">
        <v>10</v>
      </c>
      <c r="J1211" s="0" t="n">
        <v>81293</v>
      </c>
      <c r="K1211" s="0" t="n">
        <v>7899110643312</v>
      </c>
      <c r="L1211" s="0" t="s">
        <v>3196</v>
      </c>
      <c r="N1211" s="0" t="n">
        <v>3</v>
      </c>
      <c r="O1211" s="0" t="n">
        <v>16.5</v>
      </c>
      <c r="P1211" s="0" t="s">
        <v>2444</v>
      </c>
    </row>
    <row r="1212" customFormat="false" ht="15" hidden="false" customHeight="true" outlineLevel="0" collapsed="false">
      <c r="A1212" s="0" t="n">
        <v>2</v>
      </c>
      <c r="B1212" s="71" t="n">
        <v>46188</v>
      </c>
      <c r="C1212" s="0" t="n">
        <v>11</v>
      </c>
      <c r="D1212" s="0" t="s">
        <v>2471</v>
      </c>
      <c r="E1212" s="0" t="n">
        <v>10081</v>
      </c>
      <c r="F1212" s="0" t="s">
        <v>2336</v>
      </c>
      <c r="I1212" s="0" t="n">
        <v>10</v>
      </c>
      <c r="J1212" s="0" t="n">
        <v>81294</v>
      </c>
      <c r="K1212" s="0" t="n">
        <v>7898505884392</v>
      </c>
      <c r="L1212" s="0" t="s">
        <v>3197</v>
      </c>
      <c r="N1212" s="0" t="n">
        <v>3</v>
      </c>
      <c r="O1212" s="0" t="n">
        <v>36</v>
      </c>
      <c r="P1212" s="0" t="s">
        <v>2444</v>
      </c>
    </row>
    <row r="1213" customFormat="false" ht="15" hidden="false" customHeight="true" outlineLevel="0" collapsed="false">
      <c r="A1213" s="0" t="n">
        <v>2</v>
      </c>
      <c r="B1213" s="71" t="n">
        <v>46188</v>
      </c>
      <c r="C1213" s="0" t="n">
        <v>11</v>
      </c>
      <c r="D1213" s="0" t="s">
        <v>2471</v>
      </c>
      <c r="E1213" s="0" t="n">
        <v>10081</v>
      </c>
      <c r="F1213" s="0" t="s">
        <v>2336</v>
      </c>
      <c r="I1213" s="0" t="n">
        <v>10</v>
      </c>
      <c r="J1213" s="0" t="n">
        <v>81295</v>
      </c>
      <c r="K1213" s="0" t="n">
        <v>7908629710382</v>
      </c>
      <c r="L1213" s="0" t="s">
        <v>3198</v>
      </c>
      <c r="N1213" s="0" t="n">
        <v>3</v>
      </c>
      <c r="O1213" s="0" t="n">
        <v>36</v>
      </c>
      <c r="P1213" s="0" t="s">
        <v>2444</v>
      </c>
    </row>
    <row r="1214" customFormat="false" ht="15" hidden="false" customHeight="true" outlineLevel="0" collapsed="false">
      <c r="A1214" s="0" t="n">
        <v>2</v>
      </c>
      <c r="B1214" s="71" t="n">
        <v>46188</v>
      </c>
      <c r="C1214" s="0" t="n">
        <v>11</v>
      </c>
      <c r="D1214" s="0" t="s">
        <v>2471</v>
      </c>
      <c r="E1214" s="0" t="n">
        <v>10081</v>
      </c>
      <c r="F1214" s="0" t="s">
        <v>2336</v>
      </c>
      <c r="I1214" s="0" t="n">
        <v>10</v>
      </c>
      <c r="J1214" s="0" t="n">
        <v>81296</v>
      </c>
      <c r="K1214" s="0" t="n">
        <v>7898740980651</v>
      </c>
      <c r="L1214" s="0" t="s">
        <v>3199</v>
      </c>
      <c r="N1214" s="0" t="n">
        <v>3</v>
      </c>
      <c r="O1214" s="0" t="n">
        <v>16.5</v>
      </c>
      <c r="P1214" s="0" t="s">
        <v>2444</v>
      </c>
    </row>
    <row r="1215" customFormat="false" ht="15" hidden="false" customHeight="true" outlineLevel="0" collapsed="false">
      <c r="A1215" s="0" t="n">
        <v>2</v>
      </c>
      <c r="B1215" s="71" t="n">
        <v>46188</v>
      </c>
      <c r="C1215" s="0" t="n">
        <v>11</v>
      </c>
      <c r="D1215" s="0" t="s">
        <v>2471</v>
      </c>
      <c r="E1215" s="0" t="n">
        <v>937</v>
      </c>
      <c r="F1215" s="0" t="s">
        <v>687</v>
      </c>
      <c r="I1215" s="0" t="n">
        <v>2316</v>
      </c>
      <c r="J1215" s="0" t="n">
        <v>81147</v>
      </c>
      <c r="K1215" s="0" t="n">
        <v>9786555165807</v>
      </c>
      <c r="L1215" s="0" t="s">
        <v>3200</v>
      </c>
      <c r="N1215" s="0" t="n">
        <v>20</v>
      </c>
      <c r="O1215" s="0" t="n">
        <v>500</v>
      </c>
      <c r="P1215" s="0" t="s">
        <v>2444</v>
      </c>
    </row>
    <row r="1216" customFormat="false" ht="15" hidden="false" customHeight="true" outlineLevel="0" collapsed="false">
      <c r="A1216" s="0" t="n">
        <v>2</v>
      </c>
      <c r="B1216" s="71" t="n">
        <v>46188</v>
      </c>
      <c r="C1216" s="0" t="n">
        <v>11</v>
      </c>
      <c r="D1216" s="0" t="s">
        <v>2471</v>
      </c>
      <c r="E1216" s="0" t="n">
        <v>937</v>
      </c>
      <c r="F1216" s="0" t="s">
        <v>687</v>
      </c>
      <c r="I1216" s="0" t="n">
        <v>2316</v>
      </c>
      <c r="J1216" s="0" t="n">
        <v>81160</v>
      </c>
      <c r="K1216" s="0" t="n">
        <v>7899471685273</v>
      </c>
      <c r="L1216" s="0" t="s">
        <v>3201</v>
      </c>
      <c r="N1216" s="0" t="n">
        <v>3</v>
      </c>
      <c r="O1216" s="0" t="n">
        <v>30</v>
      </c>
      <c r="P1216" s="0" t="s">
        <v>2444</v>
      </c>
    </row>
    <row r="1217" customFormat="false" ht="15" hidden="false" customHeight="true" outlineLevel="0" collapsed="false">
      <c r="A1217" s="0" t="n">
        <v>2</v>
      </c>
      <c r="B1217" s="71" t="n">
        <v>46188</v>
      </c>
      <c r="C1217" s="0" t="n">
        <v>11</v>
      </c>
      <c r="D1217" s="0" t="s">
        <v>2471</v>
      </c>
      <c r="E1217" s="0" t="n">
        <v>937</v>
      </c>
      <c r="F1217" s="0" t="s">
        <v>687</v>
      </c>
      <c r="I1217" s="0" t="n">
        <v>2316</v>
      </c>
      <c r="J1217" s="0" t="n">
        <v>81161</v>
      </c>
      <c r="K1217" s="0" t="n">
        <v>811620</v>
      </c>
      <c r="L1217" s="0" t="s">
        <v>3202</v>
      </c>
      <c r="N1217" s="0" t="n">
        <v>3</v>
      </c>
      <c r="O1217" s="0" t="n">
        <v>54</v>
      </c>
      <c r="P1217" s="0" t="s">
        <v>2444</v>
      </c>
    </row>
    <row r="1218" customFormat="false" ht="15" hidden="false" customHeight="true" outlineLevel="0" collapsed="false">
      <c r="A1218" s="0" t="n">
        <v>2</v>
      </c>
      <c r="B1218" s="71" t="n">
        <v>46188</v>
      </c>
      <c r="C1218" s="0" t="n">
        <v>11</v>
      </c>
      <c r="D1218" s="0" t="s">
        <v>2471</v>
      </c>
      <c r="E1218" s="0" t="n">
        <v>937</v>
      </c>
      <c r="F1218" s="0" t="s">
        <v>687</v>
      </c>
      <c r="I1218" s="0" t="n">
        <v>2316</v>
      </c>
      <c r="J1218" s="0" t="n">
        <v>81163</v>
      </c>
      <c r="K1218" s="0" t="n">
        <v>6926720607661</v>
      </c>
      <c r="L1218" s="0" t="s">
        <v>3203</v>
      </c>
      <c r="N1218" s="0" t="n">
        <v>3</v>
      </c>
      <c r="O1218" s="0" t="n">
        <v>60</v>
      </c>
      <c r="P1218" s="0" t="s">
        <v>2444</v>
      </c>
    </row>
    <row r="1219" customFormat="false" ht="15" hidden="false" customHeight="true" outlineLevel="0" collapsed="false">
      <c r="A1219" s="0" t="n">
        <v>2</v>
      </c>
      <c r="B1219" s="71" t="n">
        <v>46188</v>
      </c>
      <c r="C1219" s="0" t="n">
        <v>11</v>
      </c>
      <c r="D1219" s="0" t="s">
        <v>2471</v>
      </c>
      <c r="E1219" s="0" t="n">
        <v>937</v>
      </c>
      <c r="F1219" s="0" t="s">
        <v>687</v>
      </c>
      <c r="I1219" s="0" t="n">
        <v>2316</v>
      </c>
      <c r="J1219" s="0" t="n">
        <v>81164</v>
      </c>
      <c r="K1219" s="0" t="n">
        <v>811651</v>
      </c>
      <c r="L1219" s="0" t="s">
        <v>3204</v>
      </c>
      <c r="N1219" s="0" t="n">
        <v>1</v>
      </c>
      <c r="O1219" s="0" t="n">
        <v>56</v>
      </c>
      <c r="P1219" s="0" t="s">
        <v>2444</v>
      </c>
    </row>
    <row r="1220" customFormat="false" ht="15" hidden="false" customHeight="true" outlineLevel="0" collapsed="false">
      <c r="A1220" s="0" t="n">
        <v>2</v>
      </c>
      <c r="B1220" s="71" t="n">
        <v>46188</v>
      </c>
      <c r="C1220" s="0" t="n">
        <v>11</v>
      </c>
      <c r="D1220" s="0" t="s">
        <v>2471</v>
      </c>
      <c r="E1220" s="0" t="n">
        <v>937</v>
      </c>
      <c r="F1220" s="0" t="s">
        <v>687</v>
      </c>
      <c r="I1220" s="0" t="n">
        <v>2316</v>
      </c>
      <c r="J1220" s="0" t="n">
        <v>81170</v>
      </c>
      <c r="K1220" s="0" t="n">
        <v>811712</v>
      </c>
      <c r="L1220" s="0" t="s">
        <v>3205</v>
      </c>
      <c r="N1220" s="0" t="n">
        <v>12</v>
      </c>
      <c r="O1220" s="0" t="n">
        <v>12</v>
      </c>
      <c r="P1220" s="0" t="s">
        <v>2444</v>
      </c>
    </row>
    <row r="1221" customFormat="false" ht="15" hidden="false" customHeight="true" outlineLevel="0" collapsed="false">
      <c r="A1221" s="0" t="n">
        <v>2</v>
      </c>
      <c r="B1221" s="71" t="n">
        <v>46188</v>
      </c>
      <c r="C1221" s="0" t="n">
        <v>11</v>
      </c>
      <c r="D1221" s="0" t="s">
        <v>2471</v>
      </c>
      <c r="E1221" s="0" t="n">
        <v>937</v>
      </c>
      <c r="F1221" s="0" t="s">
        <v>687</v>
      </c>
      <c r="I1221" s="0" t="n">
        <v>2316</v>
      </c>
      <c r="J1221" s="0" t="n">
        <v>81172</v>
      </c>
      <c r="K1221" s="0" t="n">
        <v>811736</v>
      </c>
      <c r="L1221" s="0" t="s">
        <v>3206</v>
      </c>
      <c r="N1221" s="0" t="n">
        <v>12</v>
      </c>
      <c r="O1221" s="0" t="n">
        <v>15</v>
      </c>
      <c r="P1221" s="0" t="s">
        <v>2444</v>
      </c>
    </row>
    <row r="1222" customFormat="false" ht="15" hidden="false" customHeight="true" outlineLevel="0" collapsed="false">
      <c r="A1222" s="0" t="n">
        <v>2</v>
      </c>
      <c r="B1222" s="71" t="n">
        <v>46188</v>
      </c>
      <c r="C1222" s="0" t="n">
        <v>11</v>
      </c>
      <c r="D1222" s="0" t="s">
        <v>2471</v>
      </c>
      <c r="E1222" s="0" t="n">
        <v>937</v>
      </c>
      <c r="F1222" s="0" t="s">
        <v>687</v>
      </c>
      <c r="I1222" s="0" t="n">
        <v>2316</v>
      </c>
      <c r="J1222" s="0" t="n">
        <v>81174</v>
      </c>
      <c r="K1222" s="0" t="n">
        <v>7899471684771</v>
      </c>
      <c r="L1222" s="0" t="s">
        <v>3207</v>
      </c>
      <c r="N1222" s="0" t="n">
        <v>6</v>
      </c>
      <c r="O1222" s="0" t="n">
        <v>21</v>
      </c>
      <c r="P1222" s="0" t="s">
        <v>2444</v>
      </c>
    </row>
    <row r="1223" customFormat="false" ht="15" hidden="false" customHeight="true" outlineLevel="0" collapsed="false">
      <c r="A1223" s="0" t="n">
        <v>2</v>
      </c>
      <c r="B1223" s="71" t="n">
        <v>46188</v>
      </c>
      <c r="C1223" s="0" t="n">
        <v>11</v>
      </c>
      <c r="D1223" s="0" t="s">
        <v>2471</v>
      </c>
      <c r="E1223" s="0" t="n">
        <v>937</v>
      </c>
      <c r="F1223" s="0" t="s">
        <v>687</v>
      </c>
      <c r="I1223" s="0" t="n">
        <v>2316</v>
      </c>
      <c r="J1223" s="0" t="n">
        <v>81176</v>
      </c>
      <c r="K1223" s="0" t="n">
        <v>7899471685983</v>
      </c>
      <c r="L1223" s="0" t="s">
        <v>3208</v>
      </c>
      <c r="N1223" s="0" t="n">
        <v>3</v>
      </c>
      <c r="O1223" s="0" t="n">
        <v>15</v>
      </c>
      <c r="P1223" s="0" t="s">
        <v>2444</v>
      </c>
    </row>
    <row r="1224" customFormat="false" ht="15" hidden="false" customHeight="true" outlineLevel="0" collapsed="false">
      <c r="A1224" s="0" t="n">
        <v>2</v>
      </c>
      <c r="B1224" s="71" t="n">
        <v>46188</v>
      </c>
      <c r="C1224" s="0" t="n">
        <v>11</v>
      </c>
      <c r="D1224" s="0" t="s">
        <v>2471</v>
      </c>
      <c r="E1224" s="0" t="n">
        <v>937</v>
      </c>
      <c r="F1224" s="0" t="s">
        <v>687</v>
      </c>
      <c r="I1224" s="0" t="n">
        <v>2316</v>
      </c>
      <c r="J1224" s="0" t="n">
        <v>81177</v>
      </c>
      <c r="K1224" s="0" t="n">
        <v>7897256297161</v>
      </c>
      <c r="L1224" s="0" t="s">
        <v>3209</v>
      </c>
      <c r="N1224" s="0" t="n">
        <v>4</v>
      </c>
      <c r="O1224" s="0" t="n">
        <v>34</v>
      </c>
      <c r="P1224" s="0" t="s">
        <v>2444</v>
      </c>
    </row>
    <row r="1225" customFormat="false" ht="15" hidden="false" customHeight="true" outlineLevel="0" collapsed="false">
      <c r="A1225" s="0" t="n">
        <v>2</v>
      </c>
      <c r="B1225" s="71" t="n">
        <v>46188</v>
      </c>
      <c r="C1225" s="0" t="n">
        <v>11</v>
      </c>
      <c r="D1225" s="0" t="s">
        <v>2471</v>
      </c>
      <c r="E1225" s="0" t="n">
        <v>937</v>
      </c>
      <c r="F1225" s="0" t="s">
        <v>687</v>
      </c>
      <c r="I1225" s="0" t="n">
        <v>2316</v>
      </c>
      <c r="J1225" s="0" t="n">
        <v>81311</v>
      </c>
      <c r="K1225" s="0" t="n">
        <v>7908728380202</v>
      </c>
      <c r="L1225" s="0" t="s">
        <v>3210</v>
      </c>
      <c r="N1225" s="0" t="n">
        <v>2</v>
      </c>
      <c r="O1225" s="0" t="n">
        <v>30</v>
      </c>
      <c r="P1225" s="0" t="s">
        <v>2444</v>
      </c>
    </row>
    <row r="1226" customFormat="false" ht="15" hidden="false" customHeight="true" outlineLevel="0" collapsed="false">
      <c r="A1226" s="0" t="n">
        <v>2</v>
      </c>
      <c r="B1226" s="71" t="n">
        <v>46188</v>
      </c>
      <c r="C1226" s="0" t="n">
        <v>11</v>
      </c>
      <c r="D1226" s="0" t="s">
        <v>2471</v>
      </c>
      <c r="E1226" s="0" t="n">
        <v>937</v>
      </c>
      <c r="F1226" s="0" t="s">
        <v>687</v>
      </c>
      <c r="I1226" s="0" t="n">
        <v>2316</v>
      </c>
      <c r="J1226" s="0" t="n">
        <v>81312</v>
      </c>
      <c r="K1226" s="0" t="n">
        <v>7899956884757</v>
      </c>
      <c r="L1226" s="0" t="s">
        <v>3211</v>
      </c>
      <c r="N1226" s="0" t="n">
        <v>6</v>
      </c>
      <c r="O1226" s="0" t="n">
        <v>18</v>
      </c>
      <c r="P1226" s="0" t="s">
        <v>2444</v>
      </c>
    </row>
    <row r="1227" customFormat="false" ht="15" hidden="false" customHeight="true" outlineLevel="0" collapsed="false">
      <c r="A1227" s="0" t="n">
        <v>2</v>
      </c>
      <c r="B1227" s="71" t="n">
        <v>46188</v>
      </c>
      <c r="C1227" s="0" t="n">
        <v>11</v>
      </c>
      <c r="D1227" s="0" t="s">
        <v>2471</v>
      </c>
      <c r="E1227" s="0" t="n">
        <v>937</v>
      </c>
      <c r="F1227" s="0" t="s">
        <v>687</v>
      </c>
      <c r="I1227" s="0" t="n">
        <v>2316</v>
      </c>
      <c r="J1227" s="0" t="n">
        <v>81313</v>
      </c>
      <c r="K1227" s="0" t="n">
        <v>7898760970540</v>
      </c>
      <c r="L1227" s="0" t="s">
        <v>3212</v>
      </c>
      <c r="N1227" s="0" t="n">
        <v>6</v>
      </c>
      <c r="O1227" s="0" t="n">
        <v>90</v>
      </c>
      <c r="P1227" s="0" t="s">
        <v>2444</v>
      </c>
    </row>
    <row r="1228" customFormat="false" ht="15" hidden="false" customHeight="true" outlineLevel="0" collapsed="false">
      <c r="A1228" s="0" t="n">
        <v>2</v>
      </c>
      <c r="B1228" s="71" t="n">
        <v>46188</v>
      </c>
      <c r="C1228" s="0" t="n">
        <v>11</v>
      </c>
      <c r="D1228" s="0" t="s">
        <v>2471</v>
      </c>
      <c r="E1228" s="0" t="n">
        <v>937</v>
      </c>
      <c r="F1228" s="0" t="s">
        <v>687</v>
      </c>
      <c r="I1228" s="0" t="n">
        <v>2316</v>
      </c>
      <c r="J1228" s="0" t="n">
        <v>81314</v>
      </c>
      <c r="K1228" s="0" t="n">
        <v>7899492809337</v>
      </c>
      <c r="L1228" s="0" t="s">
        <v>3213</v>
      </c>
      <c r="N1228" s="0" t="n">
        <v>2</v>
      </c>
      <c r="O1228" s="0" t="n">
        <v>24</v>
      </c>
      <c r="P1228" s="0" t="s">
        <v>2444</v>
      </c>
    </row>
    <row r="1229" customFormat="false" ht="15" hidden="false" customHeight="true" outlineLevel="0" collapsed="false">
      <c r="A1229" s="0" t="n">
        <v>2</v>
      </c>
      <c r="B1229" s="71" t="n">
        <v>46188</v>
      </c>
      <c r="C1229" s="0" t="n">
        <v>11</v>
      </c>
      <c r="D1229" s="0" t="s">
        <v>2471</v>
      </c>
      <c r="E1229" s="0" t="n">
        <v>937</v>
      </c>
      <c r="F1229" s="0" t="s">
        <v>687</v>
      </c>
      <c r="I1229" s="0" t="n">
        <v>2316</v>
      </c>
      <c r="J1229" s="0" t="n">
        <v>81315</v>
      </c>
      <c r="K1229" s="0" t="n">
        <v>7908728380509</v>
      </c>
      <c r="L1229" s="0" t="s">
        <v>3214</v>
      </c>
      <c r="N1229" s="0" t="n">
        <v>2</v>
      </c>
      <c r="O1229" s="0" t="n">
        <v>24</v>
      </c>
      <c r="P1229" s="0" t="s">
        <v>2444</v>
      </c>
    </row>
    <row r="1230" customFormat="false" ht="15" hidden="false" customHeight="true" outlineLevel="0" collapsed="false">
      <c r="A1230" s="0" t="n">
        <v>2</v>
      </c>
      <c r="B1230" s="71" t="n">
        <v>46188</v>
      </c>
      <c r="C1230" s="0" t="n">
        <v>11</v>
      </c>
      <c r="D1230" s="0" t="s">
        <v>2471</v>
      </c>
      <c r="E1230" s="0" t="n">
        <v>937</v>
      </c>
      <c r="F1230" s="0" t="s">
        <v>687</v>
      </c>
      <c r="I1230" s="0" t="n">
        <v>2316</v>
      </c>
      <c r="J1230" s="0" t="n">
        <v>81316</v>
      </c>
      <c r="K1230" s="0" t="n">
        <v>7899492809825</v>
      </c>
      <c r="L1230" s="0" t="s">
        <v>3215</v>
      </c>
      <c r="N1230" s="0" t="n">
        <v>3</v>
      </c>
      <c r="O1230" s="0" t="n">
        <v>30</v>
      </c>
      <c r="P1230" s="0" t="s">
        <v>2444</v>
      </c>
    </row>
    <row r="1231" customFormat="false" ht="15" hidden="false" customHeight="true" outlineLevel="0" collapsed="false">
      <c r="A1231" s="0" t="n">
        <v>2</v>
      </c>
      <c r="B1231" s="71" t="n">
        <v>46188</v>
      </c>
      <c r="C1231" s="0" t="n">
        <v>11</v>
      </c>
      <c r="D1231" s="0" t="s">
        <v>2471</v>
      </c>
      <c r="E1231" s="0" t="n">
        <v>937</v>
      </c>
      <c r="F1231" s="0" t="s">
        <v>687</v>
      </c>
      <c r="I1231" s="0" t="n">
        <v>2316</v>
      </c>
      <c r="J1231" s="0" t="n">
        <v>81317</v>
      </c>
      <c r="K1231" s="0" t="n">
        <v>7899492809894</v>
      </c>
      <c r="L1231" s="0" t="s">
        <v>3216</v>
      </c>
      <c r="N1231" s="0" t="n">
        <v>2</v>
      </c>
      <c r="O1231" s="0" t="n">
        <v>30</v>
      </c>
      <c r="P1231" s="0" t="s">
        <v>2444</v>
      </c>
    </row>
    <row r="1232" customFormat="false" ht="15" hidden="false" customHeight="true" outlineLevel="0" collapsed="false">
      <c r="A1232" s="0" t="n">
        <v>2</v>
      </c>
      <c r="B1232" s="71" t="n">
        <v>46188</v>
      </c>
      <c r="C1232" s="0" t="n">
        <v>11</v>
      </c>
      <c r="D1232" s="0" t="s">
        <v>2471</v>
      </c>
      <c r="E1232" s="0" t="n">
        <v>937</v>
      </c>
      <c r="F1232" s="0" t="s">
        <v>687</v>
      </c>
      <c r="I1232" s="0" t="n">
        <v>2316</v>
      </c>
      <c r="J1232" s="0" t="n">
        <v>81318</v>
      </c>
      <c r="K1232" s="0" t="n">
        <v>7908728380653</v>
      </c>
      <c r="L1232" s="0" t="s">
        <v>3217</v>
      </c>
      <c r="N1232" s="0" t="n">
        <v>2</v>
      </c>
      <c r="O1232" s="0" t="n">
        <v>20</v>
      </c>
      <c r="P1232" s="0" t="s">
        <v>2444</v>
      </c>
    </row>
    <row r="1233" customFormat="false" ht="15" hidden="false" customHeight="true" outlineLevel="0" collapsed="false">
      <c r="A1233" s="0" t="n">
        <v>2</v>
      </c>
      <c r="B1233" s="71" t="n">
        <v>46188</v>
      </c>
      <c r="C1233" s="0" t="n">
        <v>11</v>
      </c>
      <c r="D1233" s="0" t="s">
        <v>2471</v>
      </c>
      <c r="E1233" s="0" t="n">
        <v>937</v>
      </c>
      <c r="F1233" s="0" t="s">
        <v>687</v>
      </c>
      <c r="I1233" s="0" t="n">
        <v>2316</v>
      </c>
      <c r="J1233" s="0" t="n">
        <v>81319</v>
      </c>
      <c r="K1233" s="0" t="n">
        <v>7908728392953</v>
      </c>
      <c r="L1233" s="0" t="s">
        <v>3218</v>
      </c>
      <c r="N1233" s="0" t="n">
        <v>2</v>
      </c>
      <c r="O1233" s="0" t="n">
        <v>36</v>
      </c>
      <c r="P1233" s="0" t="s">
        <v>2444</v>
      </c>
    </row>
    <row r="1234" customFormat="false" ht="15" hidden="false" customHeight="true" outlineLevel="0" collapsed="false">
      <c r="A1234" s="0" t="n">
        <v>2</v>
      </c>
      <c r="B1234" s="71" t="n">
        <v>46188</v>
      </c>
      <c r="C1234" s="0" t="n">
        <v>11</v>
      </c>
      <c r="D1234" s="0" t="s">
        <v>2471</v>
      </c>
      <c r="E1234" s="0" t="n">
        <v>937</v>
      </c>
      <c r="F1234" s="0" t="s">
        <v>687</v>
      </c>
      <c r="I1234" s="0" t="n">
        <v>2316</v>
      </c>
      <c r="J1234" s="0" t="n">
        <v>81320</v>
      </c>
      <c r="K1234" s="0" t="n">
        <v>6000700018583</v>
      </c>
      <c r="L1234" s="0" t="s">
        <v>3219</v>
      </c>
      <c r="N1234" s="0" t="n">
        <v>3</v>
      </c>
      <c r="O1234" s="0" t="n">
        <v>42</v>
      </c>
      <c r="P1234" s="0" t="s">
        <v>2444</v>
      </c>
    </row>
    <row r="1235" customFormat="false" ht="15" hidden="false" customHeight="true" outlineLevel="0" collapsed="false">
      <c r="A1235" s="0" t="n">
        <v>2</v>
      </c>
      <c r="B1235" s="71" t="n">
        <v>46188</v>
      </c>
      <c r="C1235" s="0" t="n">
        <v>11</v>
      </c>
      <c r="D1235" s="0" t="s">
        <v>2471</v>
      </c>
      <c r="E1235" s="0" t="n">
        <v>937</v>
      </c>
      <c r="F1235" s="0" t="s">
        <v>687</v>
      </c>
      <c r="I1235" s="0" t="n">
        <v>2316</v>
      </c>
      <c r="J1235" s="0" t="n">
        <v>81321</v>
      </c>
      <c r="K1235" s="0" t="n">
        <v>7908339905320</v>
      </c>
      <c r="L1235" s="0" t="s">
        <v>3220</v>
      </c>
      <c r="N1235" s="0" t="n">
        <v>3</v>
      </c>
      <c r="O1235" s="0" t="n">
        <v>54</v>
      </c>
      <c r="P1235" s="0" t="s">
        <v>2444</v>
      </c>
    </row>
    <row r="1236" customFormat="false" ht="15" hidden="false" customHeight="true" outlineLevel="0" collapsed="false">
      <c r="A1236" s="0" t="n">
        <v>2</v>
      </c>
      <c r="B1236" s="71" t="n">
        <v>46188</v>
      </c>
      <c r="C1236" s="0" t="n">
        <v>11</v>
      </c>
      <c r="D1236" s="0" t="s">
        <v>2471</v>
      </c>
      <c r="E1236" s="0" t="n">
        <v>10009</v>
      </c>
      <c r="F1236" s="0" t="s">
        <v>464</v>
      </c>
      <c r="I1236" s="0" t="n">
        <v>1415346</v>
      </c>
      <c r="J1236" s="0" t="n">
        <v>81383</v>
      </c>
      <c r="K1236" s="0" t="n">
        <v>7891000456941</v>
      </c>
      <c r="L1236" s="0" t="s">
        <v>3221</v>
      </c>
      <c r="N1236" s="0" t="n">
        <v>5</v>
      </c>
      <c r="O1236" s="0" t="n">
        <v>33.84</v>
      </c>
      <c r="P1236" s="0" t="s">
        <v>2444</v>
      </c>
    </row>
    <row r="1237" customFormat="false" ht="15" hidden="false" customHeight="true" outlineLevel="0" collapsed="false">
      <c r="A1237" s="0" t="n">
        <v>2</v>
      </c>
      <c r="B1237" s="71" t="n">
        <v>46188</v>
      </c>
      <c r="C1237" s="0" t="n">
        <v>11</v>
      </c>
      <c r="D1237" s="0" t="s">
        <v>2471</v>
      </c>
      <c r="E1237" s="0" t="n">
        <v>10009</v>
      </c>
      <c r="F1237" s="0" t="s">
        <v>464</v>
      </c>
      <c r="I1237" s="0" t="n">
        <v>1415347</v>
      </c>
      <c r="J1237" s="0" t="n">
        <v>81382</v>
      </c>
      <c r="K1237" s="0" t="n">
        <v>7891000459041</v>
      </c>
      <c r="L1237" s="0" t="s">
        <v>3222</v>
      </c>
      <c r="N1237" s="0" t="n">
        <v>14</v>
      </c>
      <c r="O1237" s="0" t="n">
        <v>98.61</v>
      </c>
      <c r="P1237" s="0" t="s">
        <v>2444</v>
      </c>
    </row>
    <row r="1238" customFormat="false" ht="15" hidden="false" customHeight="true" outlineLevel="0" collapsed="false">
      <c r="A1238" s="0" t="n">
        <v>2</v>
      </c>
      <c r="B1238" s="71" t="n">
        <v>46188</v>
      </c>
      <c r="C1238" s="0" t="n">
        <v>11</v>
      </c>
      <c r="D1238" s="0" t="s">
        <v>2471</v>
      </c>
      <c r="E1238" s="0" t="n">
        <v>10009</v>
      </c>
      <c r="F1238" s="0" t="s">
        <v>464</v>
      </c>
      <c r="I1238" s="0" t="n">
        <v>1417149</v>
      </c>
      <c r="J1238" s="0" t="n">
        <v>81383</v>
      </c>
      <c r="K1238" s="0" t="n">
        <v>7891000456941</v>
      </c>
      <c r="L1238" s="0" t="s">
        <v>3221</v>
      </c>
      <c r="N1238" s="0" t="n">
        <v>4</v>
      </c>
      <c r="O1238" s="0" t="n">
        <v>27.07</v>
      </c>
      <c r="P1238" s="0" t="s">
        <v>2444</v>
      </c>
    </row>
    <row r="1239" customFormat="false" ht="15" hidden="false" customHeight="true" outlineLevel="0" collapsed="false">
      <c r="A1239" s="0" t="n">
        <v>2</v>
      </c>
      <c r="B1239" s="71" t="n">
        <v>46188</v>
      </c>
      <c r="C1239" s="0" t="n">
        <v>22</v>
      </c>
      <c r="D1239" s="0" t="s">
        <v>2479</v>
      </c>
      <c r="E1239" s="0" t="n">
        <v>48</v>
      </c>
      <c r="F1239" s="0" t="s">
        <v>153</v>
      </c>
      <c r="I1239" s="0" t="n">
        <v>2498</v>
      </c>
      <c r="J1239" s="0" t="n">
        <v>100000</v>
      </c>
      <c r="K1239" s="0" t="n">
        <v>1</v>
      </c>
      <c r="L1239" s="0" t="s">
        <v>2480</v>
      </c>
      <c r="N1239" s="0" t="n">
        <v>2.51</v>
      </c>
      <c r="O1239" s="0" t="n">
        <v>47.27</v>
      </c>
      <c r="P1239" s="0" t="s">
        <v>2444</v>
      </c>
    </row>
    <row r="1240" customFormat="false" ht="15" hidden="false" customHeight="true" outlineLevel="0" collapsed="false">
      <c r="A1240" s="0" t="n">
        <v>2</v>
      </c>
      <c r="B1240" s="71" t="n">
        <v>46188</v>
      </c>
      <c r="C1240" s="0" t="n">
        <v>22</v>
      </c>
      <c r="D1240" s="0" t="s">
        <v>2479</v>
      </c>
      <c r="E1240" s="0" t="n">
        <v>48</v>
      </c>
      <c r="F1240" s="0" t="s">
        <v>153</v>
      </c>
      <c r="I1240" s="0" t="n">
        <v>2498</v>
      </c>
      <c r="J1240" s="0" t="n">
        <v>100000</v>
      </c>
      <c r="K1240" s="0" t="n">
        <v>1</v>
      </c>
      <c r="L1240" s="0" t="s">
        <v>2480</v>
      </c>
      <c r="N1240" s="0" t="n">
        <v>3.012</v>
      </c>
      <c r="O1240" s="0" t="n">
        <v>59.34</v>
      </c>
      <c r="P1240" s="0" t="s">
        <v>2444</v>
      </c>
    </row>
    <row r="1241" customFormat="false" ht="15" hidden="false" customHeight="true" outlineLevel="0" collapsed="false">
      <c r="A1241" s="0" t="n">
        <v>2</v>
      </c>
      <c r="B1241" s="71" t="n">
        <v>46188</v>
      </c>
      <c r="C1241" s="0" t="n">
        <v>22</v>
      </c>
      <c r="D1241" s="0" t="s">
        <v>2479</v>
      </c>
      <c r="E1241" s="0" t="n">
        <v>48</v>
      </c>
      <c r="F1241" s="0" t="s">
        <v>153</v>
      </c>
      <c r="I1241" s="0" t="n">
        <v>2498</v>
      </c>
      <c r="J1241" s="0" t="n">
        <v>100001</v>
      </c>
      <c r="K1241" s="0" t="n">
        <v>2</v>
      </c>
      <c r="L1241" s="0" t="s">
        <v>2481</v>
      </c>
      <c r="N1241" s="0" t="n">
        <v>8.64</v>
      </c>
      <c r="O1241" s="0" t="n">
        <v>176.29</v>
      </c>
      <c r="P1241" s="0" t="s">
        <v>2444</v>
      </c>
    </row>
    <row r="1242" customFormat="false" ht="15" hidden="false" customHeight="true" outlineLevel="0" collapsed="false">
      <c r="A1242" s="0" t="n">
        <v>2</v>
      </c>
      <c r="B1242" s="71" t="n">
        <v>46188</v>
      </c>
      <c r="C1242" s="0" t="n">
        <v>22</v>
      </c>
      <c r="D1242" s="0" t="s">
        <v>2479</v>
      </c>
      <c r="E1242" s="0" t="n">
        <v>48</v>
      </c>
      <c r="F1242" s="0" t="s">
        <v>153</v>
      </c>
      <c r="I1242" s="0" t="n">
        <v>2498</v>
      </c>
      <c r="J1242" s="0" t="n">
        <v>100002</v>
      </c>
      <c r="K1242" s="0" t="n">
        <v>3</v>
      </c>
      <c r="L1242" s="0" t="s">
        <v>2482</v>
      </c>
      <c r="N1242" s="0" t="n">
        <v>20.67</v>
      </c>
      <c r="O1242" s="0" t="n">
        <v>486.66</v>
      </c>
      <c r="P1242" s="0" t="s">
        <v>2444</v>
      </c>
    </row>
    <row r="1243" customFormat="false" ht="15" hidden="false" customHeight="true" outlineLevel="0" collapsed="false">
      <c r="A1243" s="0" t="n">
        <v>2</v>
      </c>
      <c r="B1243" s="71" t="n">
        <v>46188</v>
      </c>
      <c r="C1243" s="0" t="n">
        <v>22</v>
      </c>
      <c r="D1243" s="0" t="s">
        <v>2479</v>
      </c>
      <c r="E1243" s="0" t="n">
        <v>48</v>
      </c>
      <c r="F1243" s="0" t="s">
        <v>153</v>
      </c>
      <c r="I1243" s="0" t="n">
        <v>2498</v>
      </c>
      <c r="J1243" s="0" t="n">
        <v>100003</v>
      </c>
      <c r="K1243" s="0" t="n">
        <v>4</v>
      </c>
      <c r="L1243" s="0" t="s">
        <v>2483</v>
      </c>
      <c r="N1243" s="0" t="n">
        <v>20.02</v>
      </c>
      <c r="O1243" s="0" t="n">
        <v>502.79</v>
      </c>
      <c r="P1243" s="0" t="s">
        <v>2444</v>
      </c>
    </row>
    <row r="1244" customFormat="false" ht="15" hidden="false" customHeight="true" outlineLevel="0" collapsed="false">
      <c r="A1244" s="0" t="n">
        <v>2</v>
      </c>
      <c r="B1244" s="71" t="n">
        <v>46188</v>
      </c>
      <c r="C1244" s="0" t="n">
        <v>22</v>
      </c>
      <c r="D1244" s="0" t="s">
        <v>2479</v>
      </c>
      <c r="E1244" s="0" t="n">
        <v>48</v>
      </c>
      <c r="F1244" s="0" t="s">
        <v>153</v>
      </c>
      <c r="I1244" s="0" t="n">
        <v>2498</v>
      </c>
      <c r="J1244" s="0" t="n">
        <v>100004</v>
      </c>
      <c r="K1244" s="0" t="n">
        <v>5</v>
      </c>
      <c r="L1244" s="0" t="s">
        <v>2484</v>
      </c>
      <c r="N1244" s="0" t="n">
        <v>1.628</v>
      </c>
      <c r="O1244" s="0" t="n">
        <v>35.77</v>
      </c>
      <c r="P1244" s="0" t="s">
        <v>2444</v>
      </c>
    </row>
    <row r="1245" customFormat="false" ht="15" hidden="false" customHeight="true" outlineLevel="0" collapsed="false">
      <c r="A1245" s="0" t="n">
        <v>2</v>
      </c>
      <c r="B1245" s="71" t="n">
        <v>46188</v>
      </c>
      <c r="C1245" s="0" t="n">
        <v>22</v>
      </c>
      <c r="D1245" s="0" t="s">
        <v>2479</v>
      </c>
      <c r="E1245" s="0" t="n">
        <v>48</v>
      </c>
      <c r="F1245" s="0" t="s">
        <v>153</v>
      </c>
      <c r="I1245" s="0" t="n">
        <v>2498</v>
      </c>
      <c r="J1245" s="0" t="n">
        <v>100005</v>
      </c>
      <c r="K1245" s="0" t="n">
        <v>6</v>
      </c>
      <c r="L1245" s="0" t="s">
        <v>2582</v>
      </c>
      <c r="N1245" s="0" t="n">
        <v>3.472</v>
      </c>
      <c r="O1245" s="0" t="n">
        <v>81.75</v>
      </c>
      <c r="P1245" s="0" t="s">
        <v>2444</v>
      </c>
    </row>
    <row r="1246" customFormat="false" ht="15" hidden="false" customHeight="true" outlineLevel="0" collapsed="false">
      <c r="A1246" s="0" t="n">
        <v>2</v>
      </c>
      <c r="B1246" s="71" t="n">
        <v>46188</v>
      </c>
      <c r="C1246" s="0" t="n">
        <v>22</v>
      </c>
      <c r="D1246" s="0" t="s">
        <v>2479</v>
      </c>
      <c r="E1246" s="0" t="n">
        <v>48</v>
      </c>
      <c r="F1246" s="0" t="s">
        <v>153</v>
      </c>
      <c r="I1246" s="0" t="n">
        <v>2498</v>
      </c>
      <c r="J1246" s="0" t="n">
        <v>100006</v>
      </c>
      <c r="K1246" s="0" t="n">
        <v>7</v>
      </c>
      <c r="L1246" s="0" t="s">
        <v>2485</v>
      </c>
      <c r="N1246" s="0" t="n">
        <v>2.328</v>
      </c>
      <c r="O1246" s="0" t="n">
        <v>64.98</v>
      </c>
      <c r="P1246" s="0" t="s">
        <v>2444</v>
      </c>
    </row>
    <row r="1247" customFormat="false" ht="15" hidden="false" customHeight="true" outlineLevel="0" collapsed="false">
      <c r="A1247" s="0" t="n">
        <v>2</v>
      </c>
      <c r="B1247" s="71" t="n">
        <v>46188</v>
      </c>
      <c r="C1247" s="0" t="n">
        <v>22</v>
      </c>
      <c r="D1247" s="0" t="s">
        <v>2479</v>
      </c>
      <c r="E1247" s="0" t="n">
        <v>48</v>
      </c>
      <c r="F1247" s="0" t="s">
        <v>153</v>
      </c>
      <c r="I1247" s="0" t="n">
        <v>2498</v>
      </c>
      <c r="J1247" s="0" t="n">
        <v>100007</v>
      </c>
      <c r="K1247" s="0" t="n">
        <v>8</v>
      </c>
      <c r="L1247" s="0" t="s">
        <v>2486</v>
      </c>
      <c r="N1247" s="0" t="n">
        <v>1.842</v>
      </c>
      <c r="O1247" s="0" t="n">
        <v>43.37</v>
      </c>
      <c r="P1247" s="0" t="s">
        <v>2444</v>
      </c>
    </row>
    <row r="1248" customFormat="false" ht="15" hidden="false" customHeight="true" outlineLevel="0" collapsed="false">
      <c r="A1248" s="0" t="n">
        <v>2</v>
      </c>
      <c r="B1248" s="71" t="n">
        <v>46188</v>
      </c>
      <c r="C1248" s="0" t="n">
        <v>22</v>
      </c>
      <c r="D1248" s="0" t="s">
        <v>2479</v>
      </c>
      <c r="E1248" s="0" t="n">
        <v>48</v>
      </c>
      <c r="F1248" s="0" t="s">
        <v>153</v>
      </c>
      <c r="I1248" s="0" t="n">
        <v>2498</v>
      </c>
      <c r="J1248" s="0" t="n">
        <v>100007</v>
      </c>
      <c r="K1248" s="0" t="n">
        <v>8</v>
      </c>
      <c r="L1248" s="0" t="s">
        <v>2486</v>
      </c>
      <c r="N1248" s="0" t="n">
        <v>1.66</v>
      </c>
      <c r="O1248" s="0" t="n">
        <v>40.88</v>
      </c>
      <c r="P1248" s="0" t="s">
        <v>2444</v>
      </c>
    </row>
    <row r="1249" customFormat="false" ht="15" hidden="false" customHeight="true" outlineLevel="0" collapsed="false">
      <c r="A1249" s="0" t="n">
        <v>2</v>
      </c>
      <c r="B1249" s="71" t="n">
        <v>46188</v>
      </c>
      <c r="C1249" s="0" t="n">
        <v>22</v>
      </c>
      <c r="D1249" s="0" t="s">
        <v>2479</v>
      </c>
      <c r="E1249" s="0" t="n">
        <v>48</v>
      </c>
      <c r="F1249" s="0" t="s">
        <v>153</v>
      </c>
      <c r="I1249" s="0" t="n">
        <v>2498</v>
      </c>
      <c r="J1249" s="0" t="n">
        <v>100008</v>
      </c>
      <c r="K1249" s="0" t="n">
        <v>9</v>
      </c>
      <c r="L1249" s="0" t="s">
        <v>2487</v>
      </c>
      <c r="N1249" s="0" t="n">
        <v>13.21</v>
      </c>
      <c r="O1249" s="0" t="n">
        <v>422.97</v>
      </c>
      <c r="P1249" s="0" t="s">
        <v>2444</v>
      </c>
    </row>
    <row r="1250" customFormat="false" ht="15" hidden="false" customHeight="true" outlineLevel="0" collapsed="false">
      <c r="A1250" s="0" t="n">
        <v>2</v>
      </c>
      <c r="B1250" s="71" t="n">
        <v>46188</v>
      </c>
      <c r="C1250" s="0" t="n">
        <v>22</v>
      </c>
      <c r="D1250" s="0" t="s">
        <v>2479</v>
      </c>
      <c r="E1250" s="0" t="n">
        <v>48</v>
      </c>
      <c r="F1250" s="0" t="s">
        <v>153</v>
      </c>
      <c r="I1250" s="0" t="n">
        <v>2498</v>
      </c>
      <c r="J1250" s="0" t="n">
        <v>100008</v>
      </c>
      <c r="K1250" s="0" t="n">
        <v>9</v>
      </c>
      <c r="L1250" s="0" t="s">
        <v>2487</v>
      </c>
      <c r="N1250" s="0" t="n">
        <v>38.04</v>
      </c>
      <c r="O1250" s="0" t="n">
        <v>1166.44</v>
      </c>
      <c r="P1250" s="0" t="s">
        <v>2444</v>
      </c>
    </row>
    <row r="1251" customFormat="false" ht="15" hidden="false" customHeight="true" outlineLevel="0" collapsed="false">
      <c r="A1251" s="0" t="n">
        <v>2</v>
      </c>
      <c r="B1251" s="71" t="n">
        <v>46188</v>
      </c>
      <c r="C1251" s="0" t="n">
        <v>22</v>
      </c>
      <c r="D1251" s="0" t="s">
        <v>2479</v>
      </c>
      <c r="E1251" s="0" t="n">
        <v>48</v>
      </c>
      <c r="F1251" s="0" t="s">
        <v>153</v>
      </c>
      <c r="I1251" s="0" t="n">
        <v>2498</v>
      </c>
      <c r="J1251" s="0" t="n">
        <v>100011</v>
      </c>
      <c r="K1251" s="0" t="n">
        <v>12</v>
      </c>
      <c r="L1251" s="0" t="s">
        <v>2488</v>
      </c>
      <c r="N1251" s="0" t="n">
        <v>8.69</v>
      </c>
      <c r="O1251" s="0" t="n">
        <v>313.93</v>
      </c>
      <c r="P1251" s="0" t="s">
        <v>2444</v>
      </c>
    </row>
    <row r="1252" customFormat="false" ht="15" hidden="false" customHeight="true" outlineLevel="0" collapsed="false">
      <c r="A1252" s="0" t="n">
        <v>2</v>
      </c>
      <c r="B1252" s="71" t="n">
        <v>46188</v>
      </c>
      <c r="C1252" s="0" t="n">
        <v>22</v>
      </c>
      <c r="D1252" s="0" t="s">
        <v>2479</v>
      </c>
      <c r="E1252" s="0" t="n">
        <v>48</v>
      </c>
      <c r="F1252" s="0" t="s">
        <v>153</v>
      </c>
      <c r="I1252" s="0" t="n">
        <v>2498</v>
      </c>
      <c r="J1252" s="0" t="n">
        <v>100012</v>
      </c>
      <c r="K1252" s="0" t="n">
        <v>13</v>
      </c>
      <c r="L1252" s="0" t="s">
        <v>2489</v>
      </c>
      <c r="N1252" s="0" t="n">
        <v>5.432</v>
      </c>
      <c r="O1252" s="0" t="n">
        <v>223</v>
      </c>
      <c r="P1252" s="0" t="s">
        <v>2444</v>
      </c>
    </row>
    <row r="1253" customFormat="false" ht="15" hidden="false" customHeight="true" outlineLevel="0" collapsed="false">
      <c r="A1253" s="0" t="n">
        <v>2</v>
      </c>
      <c r="B1253" s="71" t="n">
        <v>46188</v>
      </c>
      <c r="C1253" s="0" t="n">
        <v>22</v>
      </c>
      <c r="D1253" s="0" t="s">
        <v>2479</v>
      </c>
      <c r="E1253" s="0" t="n">
        <v>48</v>
      </c>
      <c r="F1253" s="0" t="s">
        <v>153</v>
      </c>
      <c r="I1253" s="0" t="n">
        <v>2498</v>
      </c>
      <c r="J1253" s="0" t="n">
        <v>100013</v>
      </c>
      <c r="K1253" s="0" t="n">
        <v>14</v>
      </c>
      <c r="L1253" s="0" t="s">
        <v>2490</v>
      </c>
      <c r="N1253" s="0" t="n">
        <v>10.01</v>
      </c>
      <c r="O1253" s="0" t="n">
        <v>435.6</v>
      </c>
      <c r="P1253" s="0" t="s">
        <v>2444</v>
      </c>
    </row>
    <row r="1254" customFormat="false" ht="15" hidden="false" customHeight="true" outlineLevel="0" collapsed="false">
      <c r="A1254" s="0" t="n">
        <v>2</v>
      </c>
      <c r="B1254" s="71" t="n">
        <v>46188</v>
      </c>
      <c r="C1254" s="0" t="n">
        <v>22</v>
      </c>
      <c r="D1254" s="0" t="s">
        <v>2479</v>
      </c>
      <c r="E1254" s="0" t="n">
        <v>48</v>
      </c>
      <c r="F1254" s="0" t="s">
        <v>153</v>
      </c>
      <c r="I1254" s="0" t="n">
        <v>2498</v>
      </c>
      <c r="J1254" s="0" t="n">
        <v>100014</v>
      </c>
      <c r="K1254" s="0" t="n">
        <v>15</v>
      </c>
      <c r="L1254" s="0" t="s">
        <v>2491</v>
      </c>
      <c r="N1254" s="0" t="n">
        <v>4.046</v>
      </c>
      <c r="O1254" s="0" t="n">
        <v>179.39</v>
      </c>
      <c r="P1254" s="0" t="s">
        <v>2444</v>
      </c>
    </row>
    <row r="1255" customFormat="false" ht="15" hidden="false" customHeight="true" outlineLevel="0" collapsed="false">
      <c r="A1255" s="0" t="n">
        <v>2</v>
      </c>
      <c r="B1255" s="71" t="n">
        <v>46188</v>
      </c>
      <c r="C1255" s="0" t="n">
        <v>22</v>
      </c>
      <c r="D1255" s="0" t="s">
        <v>2479</v>
      </c>
      <c r="E1255" s="0" t="n">
        <v>48</v>
      </c>
      <c r="F1255" s="0" t="s">
        <v>153</v>
      </c>
      <c r="I1255" s="0" t="n">
        <v>2498</v>
      </c>
      <c r="J1255" s="0" t="n">
        <v>100015</v>
      </c>
      <c r="K1255" s="0" t="n">
        <v>16</v>
      </c>
      <c r="L1255" s="0" t="s">
        <v>2492</v>
      </c>
      <c r="N1255" s="0" t="n">
        <v>1.694</v>
      </c>
      <c r="O1255" s="0" t="n">
        <v>66.76</v>
      </c>
      <c r="P1255" s="0" t="s">
        <v>2444</v>
      </c>
    </row>
    <row r="1256" customFormat="false" ht="15" hidden="false" customHeight="true" outlineLevel="0" collapsed="false">
      <c r="A1256" s="0" t="n">
        <v>2</v>
      </c>
      <c r="B1256" s="71" t="n">
        <v>46188</v>
      </c>
      <c r="C1256" s="0" t="n">
        <v>22</v>
      </c>
      <c r="D1256" s="0" t="s">
        <v>2479</v>
      </c>
      <c r="E1256" s="0" t="n">
        <v>48</v>
      </c>
      <c r="F1256" s="0" t="s">
        <v>153</v>
      </c>
      <c r="I1256" s="0" t="n">
        <v>2498</v>
      </c>
      <c r="J1256" s="0" t="n">
        <v>100016</v>
      </c>
      <c r="K1256" s="0" t="n">
        <v>17</v>
      </c>
      <c r="L1256" s="0" t="s">
        <v>2493</v>
      </c>
      <c r="N1256" s="0" t="n">
        <v>2.508</v>
      </c>
      <c r="O1256" s="0" t="n">
        <v>123.56</v>
      </c>
      <c r="P1256" s="0" t="s">
        <v>2444</v>
      </c>
    </row>
    <row r="1257" customFormat="false" ht="15" hidden="false" customHeight="true" outlineLevel="0" collapsed="false">
      <c r="A1257" s="0" t="n">
        <v>2</v>
      </c>
      <c r="B1257" s="71" t="n">
        <v>46188</v>
      </c>
      <c r="C1257" s="0" t="n">
        <v>22</v>
      </c>
      <c r="D1257" s="0" t="s">
        <v>2479</v>
      </c>
      <c r="E1257" s="0" t="n">
        <v>48</v>
      </c>
      <c r="F1257" s="0" t="s">
        <v>153</v>
      </c>
      <c r="I1257" s="0" t="n">
        <v>2498</v>
      </c>
      <c r="J1257" s="0" t="n">
        <v>100017</v>
      </c>
      <c r="K1257" s="0" t="n">
        <v>18</v>
      </c>
      <c r="L1257" s="0" t="s">
        <v>2494</v>
      </c>
      <c r="N1257" s="0" t="n">
        <v>1.492</v>
      </c>
      <c r="O1257" s="0" t="n">
        <v>85.76</v>
      </c>
      <c r="P1257" s="0" t="s">
        <v>2444</v>
      </c>
    </row>
    <row r="1258" customFormat="false" ht="15" hidden="false" customHeight="true" outlineLevel="0" collapsed="false">
      <c r="A1258" s="0" t="n">
        <v>2</v>
      </c>
      <c r="B1258" s="71" t="n">
        <v>46188</v>
      </c>
      <c r="C1258" s="0" t="n">
        <v>22</v>
      </c>
      <c r="D1258" s="0" t="s">
        <v>2479</v>
      </c>
      <c r="E1258" s="0" t="n">
        <v>48</v>
      </c>
      <c r="F1258" s="0" t="s">
        <v>153</v>
      </c>
      <c r="I1258" s="0" t="n">
        <v>2498</v>
      </c>
      <c r="J1258" s="0" t="n">
        <v>100053</v>
      </c>
      <c r="K1258" s="0" t="n">
        <v>54</v>
      </c>
      <c r="L1258" s="0" t="s">
        <v>2495</v>
      </c>
      <c r="N1258" s="0" t="n">
        <v>1.33</v>
      </c>
      <c r="O1258" s="0" t="n">
        <v>48.05</v>
      </c>
      <c r="P1258" s="0" t="s">
        <v>2444</v>
      </c>
    </row>
    <row r="1259" customFormat="false" ht="15" hidden="false" customHeight="true" outlineLevel="0" collapsed="false">
      <c r="A1259" s="0" t="n">
        <v>2</v>
      </c>
      <c r="B1259" s="71" t="n">
        <v>46188</v>
      </c>
      <c r="C1259" s="0" t="n">
        <v>22</v>
      </c>
      <c r="D1259" s="0" t="s">
        <v>2479</v>
      </c>
      <c r="E1259" s="0" t="n">
        <v>48</v>
      </c>
      <c r="F1259" s="0" t="s">
        <v>153</v>
      </c>
      <c r="I1259" s="0" t="n">
        <v>2498</v>
      </c>
      <c r="J1259" s="0" t="n">
        <v>100053</v>
      </c>
      <c r="K1259" s="0" t="n">
        <v>54</v>
      </c>
      <c r="L1259" s="0" t="s">
        <v>2495</v>
      </c>
      <c r="N1259" s="0" t="n">
        <v>3.56</v>
      </c>
      <c r="O1259" s="0" t="n">
        <v>123.16</v>
      </c>
      <c r="P1259" s="0" t="s">
        <v>2444</v>
      </c>
    </row>
    <row r="1260" customFormat="false" ht="15" hidden="false" customHeight="true" outlineLevel="0" collapsed="false">
      <c r="A1260" s="0" t="n">
        <v>2</v>
      </c>
      <c r="B1260" s="71" t="n">
        <v>46188</v>
      </c>
      <c r="C1260" s="0" t="n">
        <v>22</v>
      </c>
      <c r="D1260" s="0" t="s">
        <v>2479</v>
      </c>
      <c r="E1260" s="0" t="n">
        <v>48</v>
      </c>
      <c r="F1260" s="0" t="s">
        <v>153</v>
      </c>
      <c r="I1260" s="0" t="n">
        <v>2498</v>
      </c>
      <c r="J1260" s="0" t="n">
        <v>100638</v>
      </c>
      <c r="K1260" s="0" t="n">
        <v>508</v>
      </c>
      <c r="L1260" s="0" t="s">
        <v>2496</v>
      </c>
      <c r="N1260" s="0" t="n">
        <v>0.78</v>
      </c>
      <c r="O1260" s="0" t="n">
        <v>1.92</v>
      </c>
      <c r="P1260" s="0" t="s">
        <v>2444</v>
      </c>
    </row>
    <row r="1261" customFormat="false" ht="15" hidden="false" customHeight="true" outlineLevel="0" collapsed="false">
      <c r="A1261" s="0" t="n">
        <v>2</v>
      </c>
      <c r="B1261" s="71" t="n">
        <v>46188</v>
      </c>
      <c r="C1261" s="0" t="n">
        <v>22</v>
      </c>
      <c r="D1261" s="0" t="s">
        <v>2479</v>
      </c>
      <c r="E1261" s="0" t="n">
        <v>48</v>
      </c>
      <c r="F1261" s="0" t="s">
        <v>153</v>
      </c>
      <c r="I1261" s="0" t="n">
        <v>2498</v>
      </c>
      <c r="J1261" s="0" t="n">
        <v>100638</v>
      </c>
      <c r="K1261" s="0" t="n">
        <v>508</v>
      </c>
      <c r="L1261" s="0" t="s">
        <v>2496</v>
      </c>
      <c r="N1261" s="0" t="n">
        <v>1.476</v>
      </c>
      <c r="O1261" s="0" t="n">
        <v>3.46</v>
      </c>
      <c r="P1261" s="0" t="s">
        <v>2444</v>
      </c>
    </row>
    <row r="1262" customFormat="false" ht="15" hidden="false" customHeight="true" outlineLevel="0" collapsed="false">
      <c r="A1262" s="0" t="n">
        <v>2</v>
      </c>
      <c r="B1262" s="71" t="n">
        <v>46188</v>
      </c>
      <c r="C1262" s="0" t="n">
        <v>22</v>
      </c>
      <c r="D1262" s="0" t="s">
        <v>2479</v>
      </c>
      <c r="E1262" s="0" t="n">
        <v>48</v>
      </c>
      <c r="F1262" s="0" t="s">
        <v>153</v>
      </c>
      <c r="I1262" s="0" t="n">
        <v>2498</v>
      </c>
      <c r="J1262" s="0" t="n">
        <v>100520</v>
      </c>
      <c r="K1262" s="0" t="n">
        <v>507</v>
      </c>
      <c r="L1262" s="0" t="s">
        <v>2497</v>
      </c>
      <c r="N1262" s="0" t="n">
        <v>8.255</v>
      </c>
      <c r="O1262" s="0" t="n">
        <v>20.27</v>
      </c>
      <c r="P1262" s="0" t="s">
        <v>2444</v>
      </c>
    </row>
    <row r="1263" customFormat="false" ht="15" hidden="false" customHeight="true" outlineLevel="0" collapsed="false">
      <c r="A1263" s="0" t="n">
        <v>2</v>
      </c>
      <c r="B1263" s="71" t="n">
        <v>46188</v>
      </c>
      <c r="C1263" s="0" t="n">
        <v>22</v>
      </c>
      <c r="D1263" s="0" t="s">
        <v>2479</v>
      </c>
      <c r="E1263" s="0" t="n">
        <v>48</v>
      </c>
      <c r="F1263" s="0" t="s">
        <v>153</v>
      </c>
      <c r="I1263" s="0" t="n">
        <v>2498</v>
      </c>
      <c r="J1263" s="0" t="n">
        <v>100520</v>
      </c>
      <c r="K1263" s="0" t="n">
        <v>507</v>
      </c>
      <c r="L1263" s="0" t="s">
        <v>2497</v>
      </c>
      <c r="N1263" s="0" t="n">
        <v>1.806</v>
      </c>
      <c r="O1263" s="0" t="n">
        <v>4.24</v>
      </c>
      <c r="P1263" s="0" t="s">
        <v>2444</v>
      </c>
    </row>
    <row r="1264" customFormat="false" ht="15" hidden="false" customHeight="true" outlineLevel="0" collapsed="false">
      <c r="A1264" s="0" t="n">
        <v>2</v>
      </c>
      <c r="B1264" s="71" t="n">
        <v>46188</v>
      </c>
      <c r="C1264" s="0" t="n">
        <v>22</v>
      </c>
      <c r="D1264" s="0" t="s">
        <v>2479</v>
      </c>
      <c r="E1264" s="0" t="n">
        <v>48</v>
      </c>
      <c r="F1264" s="0" t="s">
        <v>153</v>
      </c>
      <c r="I1264" s="0" t="n">
        <v>2498</v>
      </c>
      <c r="J1264" s="0" t="n">
        <v>110455</v>
      </c>
      <c r="K1264" s="0" t="n">
        <v>53212</v>
      </c>
      <c r="L1264" s="0" t="s">
        <v>2498</v>
      </c>
      <c r="N1264" s="0" t="n">
        <v>0.736</v>
      </c>
      <c r="O1264" s="0" t="n">
        <v>0</v>
      </c>
      <c r="P1264" s="0" t="s">
        <v>2444</v>
      </c>
    </row>
    <row r="1265" customFormat="false" ht="15" hidden="false" customHeight="true" outlineLevel="0" collapsed="false">
      <c r="A1265" s="0" t="n">
        <v>2</v>
      </c>
      <c r="B1265" s="71" t="n">
        <v>46188</v>
      </c>
      <c r="C1265" s="0" t="n">
        <v>22</v>
      </c>
      <c r="D1265" s="0" t="s">
        <v>2479</v>
      </c>
      <c r="E1265" s="0" t="n">
        <v>48</v>
      </c>
      <c r="F1265" s="0" t="s">
        <v>153</v>
      </c>
      <c r="I1265" s="0" t="n">
        <v>2498</v>
      </c>
      <c r="J1265" s="0" t="n">
        <v>110455</v>
      </c>
      <c r="K1265" s="0" t="n">
        <v>53212</v>
      </c>
      <c r="L1265" s="0" t="s">
        <v>2498</v>
      </c>
      <c r="N1265" s="0" t="n">
        <v>0.753</v>
      </c>
      <c r="O1265" s="0" t="n">
        <v>0</v>
      </c>
      <c r="P1265" s="0" t="s">
        <v>2444</v>
      </c>
    </row>
    <row r="1266" customFormat="false" ht="15" hidden="false" customHeight="true" outlineLevel="0" collapsed="false">
      <c r="A1266" s="0" t="n">
        <v>2</v>
      </c>
      <c r="B1266" s="71" t="n">
        <v>46188</v>
      </c>
      <c r="C1266" s="0" t="n">
        <v>100</v>
      </c>
      <c r="D1266" s="0" t="s">
        <v>2499</v>
      </c>
      <c r="E1266" s="0" t="n">
        <v>48</v>
      </c>
      <c r="F1266" s="0" t="s">
        <v>153</v>
      </c>
      <c r="I1266" s="0" t="n">
        <v>1257111</v>
      </c>
      <c r="J1266" s="0" t="n">
        <v>100008</v>
      </c>
      <c r="K1266" s="0" t="n">
        <v>9</v>
      </c>
      <c r="L1266" s="0" t="s">
        <v>2487</v>
      </c>
      <c r="N1266" s="0" t="n">
        <v>38.04</v>
      </c>
      <c r="O1266" s="0" t="n">
        <v>1166.44</v>
      </c>
      <c r="P1266" s="0" t="s">
        <v>2444</v>
      </c>
    </row>
    <row r="1267" customFormat="false" ht="15" hidden="false" customHeight="true" outlineLevel="0" collapsed="false">
      <c r="A1267" s="0" t="n">
        <v>2</v>
      </c>
      <c r="B1267" s="71" t="n">
        <v>46188</v>
      </c>
      <c r="C1267" s="0" t="n">
        <v>100</v>
      </c>
      <c r="D1267" s="0" t="s">
        <v>2499</v>
      </c>
      <c r="E1267" s="0" t="n">
        <v>48</v>
      </c>
      <c r="F1267" s="0" t="s">
        <v>153</v>
      </c>
      <c r="I1267" s="0" t="n">
        <v>1257111</v>
      </c>
      <c r="J1267" s="0" t="n">
        <v>100053</v>
      </c>
      <c r="K1267" s="0" t="n">
        <v>54</v>
      </c>
      <c r="L1267" s="0" t="s">
        <v>2495</v>
      </c>
      <c r="N1267" s="0" t="n">
        <v>3.56</v>
      </c>
      <c r="O1267" s="0" t="n">
        <v>123.16</v>
      </c>
      <c r="P1267" s="0" t="s">
        <v>2444</v>
      </c>
    </row>
    <row r="1268" customFormat="false" ht="15" hidden="false" customHeight="true" outlineLevel="0" collapsed="false">
      <c r="A1268" s="0" t="n">
        <v>2</v>
      </c>
      <c r="B1268" s="71" t="n">
        <v>46188</v>
      </c>
      <c r="C1268" s="0" t="n">
        <v>100</v>
      </c>
      <c r="D1268" s="0" t="s">
        <v>2499</v>
      </c>
      <c r="E1268" s="0" t="n">
        <v>48</v>
      </c>
      <c r="F1268" s="0" t="s">
        <v>153</v>
      </c>
      <c r="I1268" s="0" t="n">
        <v>1257115</v>
      </c>
      <c r="J1268" s="0" t="n">
        <v>100000</v>
      </c>
      <c r="K1268" s="0" t="n">
        <v>1</v>
      </c>
      <c r="L1268" s="0" t="s">
        <v>2480</v>
      </c>
      <c r="N1268" s="0" t="n">
        <v>2.51</v>
      </c>
      <c r="O1268" s="0" t="n">
        <v>47.27</v>
      </c>
      <c r="P1268" s="0" t="s">
        <v>2444</v>
      </c>
    </row>
    <row r="1269" customFormat="false" ht="15" hidden="false" customHeight="true" outlineLevel="0" collapsed="false">
      <c r="A1269" s="0" t="n">
        <v>2</v>
      </c>
      <c r="B1269" s="71" t="n">
        <v>46188</v>
      </c>
      <c r="C1269" s="0" t="n">
        <v>100</v>
      </c>
      <c r="D1269" s="0" t="s">
        <v>2499</v>
      </c>
      <c r="E1269" s="0" t="n">
        <v>48</v>
      </c>
      <c r="F1269" s="0" t="s">
        <v>153</v>
      </c>
      <c r="I1269" s="0" t="n">
        <v>1257115</v>
      </c>
      <c r="J1269" s="0" t="n">
        <v>100001</v>
      </c>
      <c r="K1269" s="0" t="n">
        <v>2</v>
      </c>
      <c r="L1269" s="0" t="s">
        <v>2481</v>
      </c>
      <c r="N1269" s="0" t="n">
        <v>8.64</v>
      </c>
      <c r="O1269" s="0" t="n">
        <v>176.29</v>
      </c>
      <c r="P1269" s="0" t="s">
        <v>2444</v>
      </c>
    </row>
    <row r="1270" customFormat="false" ht="15" hidden="false" customHeight="true" outlineLevel="0" collapsed="false">
      <c r="A1270" s="0" t="n">
        <v>2</v>
      </c>
      <c r="B1270" s="71" t="n">
        <v>46188</v>
      </c>
      <c r="C1270" s="0" t="n">
        <v>100</v>
      </c>
      <c r="D1270" s="0" t="s">
        <v>2499</v>
      </c>
      <c r="E1270" s="0" t="n">
        <v>48</v>
      </c>
      <c r="F1270" s="0" t="s">
        <v>153</v>
      </c>
      <c r="I1270" s="0" t="n">
        <v>1257115</v>
      </c>
      <c r="J1270" s="0" t="n">
        <v>100002</v>
      </c>
      <c r="K1270" s="0" t="n">
        <v>3</v>
      </c>
      <c r="L1270" s="0" t="s">
        <v>2482</v>
      </c>
      <c r="N1270" s="0" t="n">
        <v>20.67</v>
      </c>
      <c r="O1270" s="0" t="n">
        <v>486.66</v>
      </c>
      <c r="P1270" s="0" t="s">
        <v>2444</v>
      </c>
    </row>
    <row r="1271" customFormat="false" ht="15" hidden="false" customHeight="true" outlineLevel="0" collapsed="false">
      <c r="A1271" s="0" t="n">
        <v>2</v>
      </c>
      <c r="B1271" s="71" t="n">
        <v>46188</v>
      </c>
      <c r="C1271" s="0" t="n">
        <v>100</v>
      </c>
      <c r="D1271" s="0" t="s">
        <v>2499</v>
      </c>
      <c r="E1271" s="0" t="n">
        <v>48</v>
      </c>
      <c r="F1271" s="0" t="s">
        <v>153</v>
      </c>
      <c r="I1271" s="0" t="n">
        <v>1257115</v>
      </c>
      <c r="J1271" s="0" t="n">
        <v>100003</v>
      </c>
      <c r="K1271" s="0" t="n">
        <v>4</v>
      </c>
      <c r="L1271" s="0" t="s">
        <v>2483</v>
      </c>
      <c r="N1271" s="0" t="n">
        <v>20.02</v>
      </c>
      <c r="O1271" s="0" t="n">
        <v>502.79</v>
      </c>
      <c r="P1271" s="0" t="s">
        <v>2444</v>
      </c>
    </row>
    <row r="1272" customFormat="false" ht="15" hidden="false" customHeight="true" outlineLevel="0" collapsed="false">
      <c r="A1272" s="0" t="n">
        <v>2</v>
      </c>
      <c r="B1272" s="71" t="n">
        <v>46188</v>
      </c>
      <c r="C1272" s="0" t="n">
        <v>100</v>
      </c>
      <c r="D1272" s="0" t="s">
        <v>2499</v>
      </c>
      <c r="E1272" s="0" t="n">
        <v>48</v>
      </c>
      <c r="F1272" s="0" t="s">
        <v>153</v>
      </c>
      <c r="I1272" s="0" t="n">
        <v>1257115</v>
      </c>
      <c r="J1272" s="0" t="n">
        <v>100004</v>
      </c>
      <c r="K1272" s="0" t="n">
        <v>5</v>
      </c>
      <c r="L1272" s="0" t="s">
        <v>2484</v>
      </c>
      <c r="N1272" s="0" t="n">
        <v>1.628</v>
      </c>
      <c r="O1272" s="0" t="n">
        <v>35.77</v>
      </c>
      <c r="P1272" s="0" t="s">
        <v>2444</v>
      </c>
    </row>
    <row r="1273" customFormat="false" ht="15" hidden="false" customHeight="true" outlineLevel="0" collapsed="false">
      <c r="A1273" s="0" t="n">
        <v>2</v>
      </c>
      <c r="B1273" s="71" t="n">
        <v>46188</v>
      </c>
      <c r="C1273" s="0" t="n">
        <v>100</v>
      </c>
      <c r="D1273" s="0" t="s">
        <v>2499</v>
      </c>
      <c r="E1273" s="0" t="n">
        <v>48</v>
      </c>
      <c r="F1273" s="0" t="s">
        <v>153</v>
      </c>
      <c r="I1273" s="0" t="n">
        <v>1257115</v>
      </c>
      <c r="J1273" s="0" t="n">
        <v>100005</v>
      </c>
      <c r="K1273" s="0" t="n">
        <v>6</v>
      </c>
      <c r="L1273" s="0" t="s">
        <v>2582</v>
      </c>
      <c r="N1273" s="0" t="n">
        <v>3.472</v>
      </c>
      <c r="O1273" s="0" t="n">
        <v>81.75</v>
      </c>
      <c r="P1273" s="0" t="s">
        <v>2444</v>
      </c>
    </row>
    <row r="1274" customFormat="false" ht="15" hidden="false" customHeight="true" outlineLevel="0" collapsed="false">
      <c r="A1274" s="0" t="n">
        <v>2</v>
      </c>
      <c r="B1274" s="71" t="n">
        <v>46188</v>
      </c>
      <c r="C1274" s="0" t="n">
        <v>100</v>
      </c>
      <c r="D1274" s="0" t="s">
        <v>2499</v>
      </c>
      <c r="E1274" s="0" t="n">
        <v>48</v>
      </c>
      <c r="F1274" s="0" t="s">
        <v>153</v>
      </c>
      <c r="I1274" s="0" t="n">
        <v>1257115</v>
      </c>
      <c r="J1274" s="0" t="n">
        <v>100007</v>
      </c>
      <c r="K1274" s="0" t="n">
        <v>8</v>
      </c>
      <c r="L1274" s="0" t="s">
        <v>2486</v>
      </c>
      <c r="N1274" s="0" t="n">
        <v>1.842</v>
      </c>
      <c r="O1274" s="0" t="n">
        <v>43.37</v>
      </c>
      <c r="P1274" s="0" t="s">
        <v>2444</v>
      </c>
    </row>
    <row r="1275" customFormat="false" ht="15" hidden="false" customHeight="true" outlineLevel="0" collapsed="false">
      <c r="A1275" s="0" t="n">
        <v>2</v>
      </c>
      <c r="B1275" s="71" t="n">
        <v>46188</v>
      </c>
      <c r="C1275" s="0" t="n">
        <v>100</v>
      </c>
      <c r="D1275" s="0" t="s">
        <v>2499</v>
      </c>
      <c r="E1275" s="0" t="n">
        <v>48</v>
      </c>
      <c r="F1275" s="0" t="s">
        <v>153</v>
      </c>
      <c r="I1275" s="0" t="n">
        <v>1257115</v>
      </c>
      <c r="J1275" s="0" t="n">
        <v>100638</v>
      </c>
      <c r="K1275" s="0" t="n">
        <v>508</v>
      </c>
      <c r="L1275" s="0" t="s">
        <v>2496</v>
      </c>
      <c r="N1275" s="0" t="n">
        <v>1.476</v>
      </c>
      <c r="O1275" s="0" t="n">
        <v>3.46</v>
      </c>
      <c r="P1275" s="0" t="s">
        <v>2444</v>
      </c>
    </row>
    <row r="1276" customFormat="false" ht="15" hidden="false" customHeight="true" outlineLevel="0" collapsed="false">
      <c r="A1276" s="0" t="n">
        <v>2</v>
      </c>
      <c r="B1276" s="71" t="n">
        <v>46188</v>
      </c>
      <c r="C1276" s="0" t="n">
        <v>100</v>
      </c>
      <c r="D1276" s="0" t="s">
        <v>2499</v>
      </c>
      <c r="E1276" s="0" t="n">
        <v>48</v>
      </c>
      <c r="F1276" s="0" t="s">
        <v>153</v>
      </c>
      <c r="I1276" s="0" t="n">
        <v>1257115</v>
      </c>
      <c r="J1276" s="0" t="n">
        <v>100520</v>
      </c>
      <c r="K1276" s="0" t="n">
        <v>507</v>
      </c>
      <c r="L1276" s="0" t="s">
        <v>2497</v>
      </c>
      <c r="N1276" s="0" t="n">
        <v>1.806</v>
      </c>
      <c r="O1276" s="0" t="n">
        <v>4.24</v>
      </c>
      <c r="P1276" s="0" t="s">
        <v>2444</v>
      </c>
    </row>
    <row r="1277" customFormat="false" ht="15" hidden="false" customHeight="true" outlineLevel="0" collapsed="false">
      <c r="A1277" s="0" t="n">
        <v>2</v>
      </c>
      <c r="B1277" s="71" t="n">
        <v>46188</v>
      </c>
      <c r="C1277" s="0" t="n">
        <v>100</v>
      </c>
      <c r="D1277" s="0" t="s">
        <v>2499</v>
      </c>
      <c r="E1277" s="0" t="n">
        <v>48</v>
      </c>
      <c r="F1277" s="0" t="s">
        <v>153</v>
      </c>
      <c r="I1277" s="0" t="n">
        <v>1257115</v>
      </c>
      <c r="J1277" s="0" t="n">
        <v>110455</v>
      </c>
      <c r="K1277" s="0" t="n">
        <v>53212</v>
      </c>
      <c r="L1277" s="0" t="s">
        <v>2498</v>
      </c>
      <c r="N1277" s="0" t="n">
        <v>0.736</v>
      </c>
      <c r="O1277" s="0" t="n">
        <v>0</v>
      </c>
      <c r="P1277" s="0" t="s">
        <v>2444</v>
      </c>
    </row>
    <row r="1278" customFormat="false" ht="15" hidden="false" customHeight="true" outlineLevel="0" collapsed="false">
      <c r="A1278" s="0" t="n">
        <v>2</v>
      </c>
      <c r="B1278" s="71" t="n">
        <v>46188</v>
      </c>
      <c r="C1278" s="0" t="n">
        <v>100</v>
      </c>
      <c r="D1278" s="0" t="s">
        <v>2499</v>
      </c>
      <c r="E1278" s="0" t="n">
        <v>48</v>
      </c>
      <c r="F1278" s="0" t="s">
        <v>153</v>
      </c>
      <c r="I1278" s="0" t="n">
        <v>1257120</v>
      </c>
      <c r="J1278" s="0" t="n">
        <v>100000</v>
      </c>
      <c r="K1278" s="0" t="n">
        <v>1</v>
      </c>
      <c r="L1278" s="0" t="s">
        <v>2480</v>
      </c>
      <c r="N1278" s="0" t="n">
        <v>3.012</v>
      </c>
      <c r="O1278" s="0" t="n">
        <v>59.34</v>
      </c>
      <c r="P1278" s="0" t="s">
        <v>2444</v>
      </c>
    </row>
    <row r="1279" customFormat="false" ht="15" hidden="false" customHeight="true" outlineLevel="0" collapsed="false">
      <c r="A1279" s="0" t="n">
        <v>2</v>
      </c>
      <c r="B1279" s="71" t="n">
        <v>46188</v>
      </c>
      <c r="C1279" s="0" t="n">
        <v>100</v>
      </c>
      <c r="D1279" s="0" t="s">
        <v>2499</v>
      </c>
      <c r="E1279" s="0" t="n">
        <v>48</v>
      </c>
      <c r="F1279" s="0" t="s">
        <v>153</v>
      </c>
      <c r="I1279" s="0" t="n">
        <v>1257120</v>
      </c>
      <c r="J1279" s="0" t="n">
        <v>100006</v>
      </c>
      <c r="K1279" s="0" t="n">
        <v>7</v>
      </c>
      <c r="L1279" s="0" t="s">
        <v>2485</v>
      </c>
      <c r="N1279" s="0" t="n">
        <v>2.328</v>
      </c>
      <c r="O1279" s="0" t="n">
        <v>64.98</v>
      </c>
      <c r="P1279" s="0" t="s">
        <v>2444</v>
      </c>
    </row>
    <row r="1280" customFormat="false" ht="15" hidden="false" customHeight="true" outlineLevel="0" collapsed="false">
      <c r="A1280" s="0" t="n">
        <v>2</v>
      </c>
      <c r="B1280" s="71" t="n">
        <v>46188</v>
      </c>
      <c r="C1280" s="0" t="n">
        <v>100</v>
      </c>
      <c r="D1280" s="0" t="s">
        <v>2499</v>
      </c>
      <c r="E1280" s="0" t="n">
        <v>48</v>
      </c>
      <c r="F1280" s="0" t="s">
        <v>153</v>
      </c>
      <c r="I1280" s="0" t="n">
        <v>1257120</v>
      </c>
      <c r="J1280" s="0" t="n">
        <v>100007</v>
      </c>
      <c r="K1280" s="0" t="n">
        <v>8</v>
      </c>
      <c r="L1280" s="0" t="s">
        <v>2486</v>
      </c>
      <c r="N1280" s="0" t="n">
        <v>1.66</v>
      </c>
      <c r="O1280" s="0" t="n">
        <v>40.88</v>
      </c>
      <c r="P1280" s="0" t="s">
        <v>2444</v>
      </c>
    </row>
    <row r="1281" customFormat="false" ht="15" hidden="false" customHeight="true" outlineLevel="0" collapsed="false">
      <c r="A1281" s="0" t="n">
        <v>2</v>
      </c>
      <c r="B1281" s="71" t="n">
        <v>46188</v>
      </c>
      <c r="C1281" s="0" t="n">
        <v>100</v>
      </c>
      <c r="D1281" s="0" t="s">
        <v>2499</v>
      </c>
      <c r="E1281" s="0" t="n">
        <v>48</v>
      </c>
      <c r="F1281" s="0" t="s">
        <v>153</v>
      </c>
      <c r="I1281" s="0" t="n">
        <v>1257120</v>
      </c>
      <c r="J1281" s="0" t="n">
        <v>100008</v>
      </c>
      <c r="K1281" s="0" t="n">
        <v>9</v>
      </c>
      <c r="L1281" s="0" t="s">
        <v>2487</v>
      </c>
      <c r="N1281" s="0" t="n">
        <v>13.21</v>
      </c>
      <c r="O1281" s="0" t="n">
        <v>422.97</v>
      </c>
      <c r="P1281" s="0" t="s">
        <v>2444</v>
      </c>
    </row>
    <row r="1282" customFormat="false" ht="15" hidden="false" customHeight="true" outlineLevel="0" collapsed="false">
      <c r="A1282" s="0" t="n">
        <v>2</v>
      </c>
      <c r="B1282" s="71" t="n">
        <v>46188</v>
      </c>
      <c r="C1282" s="0" t="n">
        <v>100</v>
      </c>
      <c r="D1282" s="0" t="s">
        <v>2499</v>
      </c>
      <c r="E1282" s="0" t="n">
        <v>48</v>
      </c>
      <c r="F1282" s="0" t="s">
        <v>153</v>
      </c>
      <c r="I1282" s="0" t="n">
        <v>1257120</v>
      </c>
      <c r="J1282" s="0" t="n">
        <v>100011</v>
      </c>
      <c r="K1282" s="0" t="n">
        <v>12</v>
      </c>
      <c r="L1282" s="0" t="s">
        <v>2488</v>
      </c>
      <c r="N1282" s="0" t="n">
        <v>8.69</v>
      </c>
      <c r="O1282" s="0" t="n">
        <v>313.93</v>
      </c>
      <c r="P1282" s="0" t="s">
        <v>2444</v>
      </c>
    </row>
    <row r="1283" customFormat="false" ht="15" hidden="false" customHeight="true" outlineLevel="0" collapsed="false">
      <c r="A1283" s="0" t="n">
        <v>2</v>
      </c>
      <c r="B1283" s="71" t="n">
        <v>46188</v>
      </c>
      <c r="C1283" s="0" t="n">
        <v>100</v>
      </c>
      <c r="D1283" s="0" t="s">
        <v>2499</v>
      </c>
      <c r="E1283" s="0" t="n">
        <v>48</v>
      </c>
      <c r="F1283" s="0" t="s">
        <v>153</v>
      </c>
      <c r="I1283" s="0" t="n">
        <v>1257120</v>
      </c>
      <c r="J1283" s="0" t="n">
        <v>100012</v>
      </c>
      <c r="K1283" s="0" t="n">
        <v>13</v>
      </c>
      <c r="L1283" s="0" t="s">
        <v>2489</v>
      </c>
      <c r="N1283" s="0" t="n">
        <v>5.432</v>
      </c>
      <c r="O1283" s="0" t="n">
        <v>223</v>
      </c>
      <c r="P1283" s="0" t="s">
        <v>2444</v>
      </c>
    </row>
    <row r="1284" customFormat="false" ht="15" hidden="false" customHeight="true" outlineLevel="0" collapsed="false">
      <c r="A1284" s="0" t="n">
        <v>2</v>
      </c>
      <c r="B1284" s="71" t="n">
        <v>46188</v>
      </c>
      <c r="C1284" s="0" t="n">
        <v>100</v>
      </c>
      <c r="D1284" s="0" t="s">
        <v>2499</v>
      </c>
      <c r="E1284" s="0" t="n">
        <v>48</v>
      </c>
      <c r="F1284" s="0" t="s">
        <v>153</v>
      </c>
      <c r="I1284" s="0" t="n">
        <v>1257120</v>
      </c>
      <c r="J1284" s="0" t="n">
        <v>100013</v>
      </c>
      <c r="K1284" s="0" t="n">
        <v>14</v>
      </c>
      <c r="L1284" s="0" t="s">
        <v>2490</v>
      </c>
      <c r="N1284" s="0" t="n">
        <v>10.01</v>
      </c>
      <c r="O1284" s="0" t="n">
        <v>435.6</v>
      </c>
      <c r="P1284" s="0" t="s">
        <v>2444</v>
      </c>
    </row>
    <row r="1285" customFormat="false" ht="15" hidden="false" customHeight="true" outlineLevel="0" collapsed="false">
      <c r="A1285" s="0" t="n">
        <v>2</v>
      </c>
      <c r="B1285" s="71" t="n">
        <v>46188</v>
      </c>
      <c r="C1285" s="0" t="n">
        <v>100</v>
      </c>
      <c r="D1285" s="0" t="s">
        <v>2499</v>
      </c>
      <c r="E1285" s="0" t="n">
        <v>48</v>
      </c>
      <c r="F1285" s="0" t="s">
        <v>153</v>
      </c>
      <c r="I1285" s="0" t="n">
        <v>1257120</v>
      </c>
      <c r="J1285" s="0" t="n">
        <v>100014</v>
      </c>
      <c r="K1285" s="0" t="n">
        <v>15</v>
      </c>
      <c r="L1285" s="0" t="s">
        <v>2491</v>
      </c>
      <c r="N1285" s="0" t="n">
        <v>4.046</v>
      </c>
      <c r="O1285" s="0" t="n">
        <v>179.39</v>
      </c>
      <c r="P1285" s="0" t="s">
        <v>2444</v>
      </c>
    </row>
    <row r="1286" customFormat="false" ht="15" hidden="false" customHeight="true" outlineLevel="0" collapsed="false">
      <c r="A1286" s="0" t="n">
        <v>2</v>
      </c>
      <c r="B1286" s="71" t="n">
        <v>46188</v>
      </c>
      <c r="C1286" s="0" t="n">
        <v>100</v>
      </c>
      <c r="D1286" s="0" t="s">
        <v>2499</v>
      </c>
      <c r="E1286" s="0" t="n">
        <v>48</v>
      </c>
      <c r="F1286" s="0" t="s">
        <v>153</v>
      </c>
      <c r="I1286" s="0" t="n">
        <v>1257120</v>
      </c>
      <c r="J1286" s="0" t="n">
        <v>100015</v>
      </c>
      <c r="K1286" s="0" t="n">
        <v>16</v>
      </c>
      <c r="L1286" s="0" t="s">
        <v>2492</v>
      </c>
      <c r="N1286" s="0" t="n">
        <v>1.694</v>
      </c>
      <c r="O1286" s="0" t="n">
        <v>66.76</v>
      </c>
      <c r="P1286" s="0" t="s">
        <v>2444</v>
      </c>
    </row>
    <row r="1287" customFormat="false" ht="15" hidden="false" customHeight="true" outlineLevel="0" collapsed="false">
      <c r="A1287" s="0" t="n">
        <v>2</v>
      </c>
      <c r="B1287" s="71" t="n">
        <v>46188</v>
      </c>
      <c r="C1287" s="0" t="n">
        <v>100</v>
      </c>
      <c r="D1287" s="0" t="s">
        <v>2499</v>
      </c>
      <c r="E1287" s="0" t="n">
        <v>48</v>
      </c>
      <c r="F1287" s="0" t="s">
        <v>153</v>
      </c>
      <c r="I1287" s="0" t="n">
        <v>1257120</v>
      </c>
      <c r="J1287" s="0" t="n">
        <v>100016</v>
      </c>
      <c r="K1287" s="0" t="n">
        <v>17</v>
      </c>
      <c r="L1287" s="0" t="s">
        <v>2493</v>
      </c>
      <c r="N1287" s="0" t="n">
        <v>2.508</v>
      </c>
      <c r="O1287" s="0" t="n">
        <v>123.56</v>
      </c>
      <c r="P1287" s="0" t="s">
        <v>2444</v>
      </c>
    </row>
    <row r="1288" customFormat="false" ht="15" hidden="false" customHeight="true" outlineLevel="0" collapsed="false">
      <c r="A1288" s="0" t="n">
        <v>2</v>
      </c>
      <c r="B1288" s="71" t="n">
        <v>46188</v>
      </c>
      <c r="C1288" s="0" t="n">
        <v>100</v>
      </c>
      <c r="D1288" s="0" t="s">
        <v>2499</v>
      </c>
      <c r="E1288" s="0" t="n">
        <v>48</v>
      </c>
      <c r="F1288" s="0" t="s">
        <v>153</v>
      </c>
      <c r="I1288" s="0" t="n">
        <v>1257120</v>
      </c>
      <c r="J1288" s="0" t="n">
        <v>100017</v>
      </c>
      <c r="K1288" s="0" t="n">
        <v>18</v>
      </c>
      <c r="L1288" s="0" t="s">
        <v>2494</v>
      </c>
      <c r="N1288" s="0" t="n">
        <v>1.492</v>
      </c>
      <c r="O1288" s="0" t="n">
        <v>85.76</v>
      </c>
      <c r="P1288" s="0" t="s">
        <v>2444</v>
      </c>
    </row>
    <row r="1289" customFormat="false" ht="15" hidden="false" customHeight="true" outlineLevel="0" collapsed="false">
      <c r="A1289" s="0" t="n">
        <v>2</v>
      </c>
      <c r="B1289" s="71" t="n">
        <v>46188</v>
      </c>
      <c r="C1289" s="0" t="n">
        <v>100</v>
      </c>
      <c r="D1289" s="0" t="s">
        <v>2499</v>
      </c>
      <c r="E1289" s="0" t="n">
        <v>48</v>
      </c>
      <c r="F1289" s="0" t="s">
        <v>153</v>
      </c>
      <c r="I1289" s="0" t="n">
        <v>1257120</v>
      </c>
      <c r="J1289" s="0" t="n">
        <v>100053</v>
      </c>
      <c r="K1289" s="0" t="n">
        <v>54</v>
      </c>
      <c r="L1289" s="0" t="s">
        <v>2495</v>
      </c>
      <c r="N1289" s="0" t="n">
        <v>1.33</v>
      </c>
      <c r="O1289" s="0" t="n">
        <v>48.05</v>
      </c>
      <c r="P1289" s="0" t="s">
        <v>2444</v>
      </c>
    </row>
    <row r="1290" customFormat="false" ht="15" hidden="false" customHeight="true" outlineLevel="0" collapsed="false">
      <c r="A1290" s="0" t="n">
        <v>2</v>
      </c>
      <c r="B1290" s="71" t="n">
        <v>46188</v>
      </c>
      <c r="C1290" s="0" t="n">
        <v>100</v>
      </c>
      <c r="D1290" s="0" t="s">
        <v>2499</v>
      </c>
      <c r="E1290" s="0" t="n">
        <v>48</v>
      </c>
      <c r="F1290" s="0" t="s">
        <v>153</v>
      </c>
      <c r="I1290" s="0" t="n">
        <v>1257120</v>
      </c>
      <c r="J1290" s="0" t="n">
        <v>100638</v>
      </c>
      <c r="K1290" s="0" t="n">
        <v>508</v>
      </c>
      <c r="L1290" s="0" t="s">
        <v>2496</v>
      </c>
      <c r="N1290" s="0" t="n">
        <v>0.78</v>
      </c>
      <c r="O1290" s="0" t="n">
        <v>1.92</v>
      </c>
      <c r="P1290" s="0" t="s">
        <v>2444</v>
      </c>
    </row>
    <row r="1291" customFormat="false" ht="15" hidden="false" customHeight="true" outlineLevel="0" collapsed="false">
      <c r="A1291" s="0" t="n">
        <v>2</v>
      </c>
      <c r="B1291" s="71" t="n">
        <v>46188</v>
      </c>
      <c r="C1291" s="0" t="n">
        <v>100</v>
      </c>
      <c r="D1291" s="0" t="s">
        <v>2499</v>
      </c>
      <c r="E1291" s="0" t="n">
        <v>48</v>
      </c>
      <c r="F1291" s="0" t="s">
        <v>153</v>
      </c>
      <c r="I1291" s="0" t="n">
        <v>1257120</v>
      </c>
      <c r="J1291" s="0" t="n">
        <v>100520</v>
      </c>
      <c r="K1291" s="0" t="n">
        <v>507</v>
      </c>
      <c r="L1291" s="0" t="s">
        <v>2497</v>
      </c>
      <c r="N1291" s="0" t="n">
        <v>8.255</v>
      </c>
      <c r="O1291" s="0" t="n">
        <v>20.27</v>
      </c>
      <c r="P1291" s="0" t="s">
        <v>2444</v>
      </c>
    </row>
    <row r="1292" customFormat="false" ht="15" hidden="false" customHeight="true" outlineLevel="0" collapsed="false">
      <c r="A1292" s="0" t="n">
        <v>2</v>
      </c>
      <c r="B1292" s="71" t="n">
        <v>46188</v>
      </c>
      <c r="C1292" s="0" t="n">
        <v>100</v>
      </c>
      <c r="D1292" s="0" t="s">
        <v>2499</v>
      </c>
      <c r="E1292" s="0" t="n">
        <v>48</v>
      </c>
      <c r="F1292" s="0" t="s">
        <v>153</v>
      </c>
      <c r="I1292" s="0" t="n">
        <v>1257120</v>
      </c>
      <c r="J1292" s="0" t="n">
        <v>110455</v>
      </c>
      <c r="K1292" s="0" t="n">
        <v>53212</v>
      </c>
      <c r="L1292" s="0" t="s">
        <v>2498</v>
      </c>
      <c r="N1292" s="0" t="n">
        <v>0.753</v>
      </c>
      <c r="O1292" s="0" t="n">
        <v>0</v>
      </c>
      <c r="P1292" s="0" t="s">
        <v>2444</v>
      </c>
    </row>
    <row r="1293" customFormat="false" ht="15" hidden="false" customHeight="true" outlineLevel="0" collapsed="false">
      <c r="A1293" s="0" t="n">
        <v>2</v>
      </c>
      <c r="B1293" s="71" t="n">
        <v>46189</v>
      </c>
      <c r="C1293" s="0" t="n">
        <v>1</v>
      </c>
      <c r="D1293" s="0" t="s">
        <v>2442</v>
      </c>
      <c r="E1293" s="0" t="n">
        <v>1328</v>
      </c>
      <c r="F1293" s="0" t="s">
        <v>95</v>
      </c>
      <c r="I1293" s="0" t="n">
        <v>3777</v>
      </c>
      <c r="J1293" s="0" t="n">
        <v>50310</v>
      </c>
      <c r="K1293" s="0" t="n">
        <v>7898588380101</v>
      </c>
      <c r="L1293" s="0" t="s">
        <v>2502</v>
      </c>
      <c r="N1293" s="0" t="n">
        <v>2</v>
      </c>
      <c r="O1293" s="0" t="n">
        <v>15.4</v>
      </c>
      <c r="P1293" s="0" t="s">
        <v>2444</v>
      </c>
    </row>
    <row r="1294" customFormat="false" ht="15" hidden="false" customHeight="true" outlineLevel="0" collapsed="false">
      <c r="A1294" s="0" t="n">
        <v>2</v>
      </c>
      <c r="B1294" s="71" t="n">
        <v>46189</v>
      </c>
      <c r="C1294" s="0" t="n">
        <v>1</v>
      </c>
      <c r="D1294" s="0" t="s">
        <v>2442</v>
      </c>
      <c r="E1294" s="0" t="n">
        <v>1328</v>
      </c>
      <c r="F1294" s="0" t="s">
        <v>95</v>
      </c>
      <c r="I1294" s="0" t="n">
        <v>3777</v>
      </c>
      <c r="J1294" s="0" t="n">
        <v>21045</v>
      </c>
      <c r="K1294" s="0" t="n">
        <v>7898588380255</v>
      </c>
      <c r="L1294" s="0" t="s">
        <v>2503</v>
      </c>
      <c r="N1294" s="0" t="n">
        <v>2</v>
      </c>
      <c r="O1294" s="0" t="n">
        <v>11.44</v>
      </c>
      <c r="P1294" s="0" t="s">
        <v>2444</v>
      </c>
    </row>
    <row r="1295" customFormat="false" ht="15" hidden="false" customHeight="true" outlineLevel="0" collapsed="false">
      <c r="A1295" s="0" t="n">
        <v>2</v>
      </c>
      <c r="B1295" s="71" t="n">
        <v>46189</v>
      </c>
      <c r="C1295" s="0" t="n">
        <v>1</v>
      </c>
      <c r="D1295" s="0" t="s">
        <v>2442</v>
      </c>
      <c r="E1295" s="0" t="n">
        <v>1328</v>
      </c>
      <c r="F1295" s="0" t="s">
        <v>95</v>
      </c>
      <c r="I1295" s="0" t="n">
        <v>3777</v>
      </c>
      <c r="J1295" s="0" t="n">
        <v>21060</v>
      </c>
      <c r="K1295" s="0" t="n">
        <v>7898588380118</v>
      </c>
      <c r="L1295" s="0" t="s">
        <v>2504</v>
      </c>
      <c r="N1295" s="0" t="n">
        <v>12</v>
      </c>
      <c r="O1295" s="0" t="n">
        <v>84</v>
      </c>
      <c r="P1295" s="0" t="s">
        <v>2444</v>
      </c>
    </row>
    <row r="1296" customFormat="false" ht="15" hidden="false" customHeight="true" outlineLevel="0" collapsed="false">
      <c r="A1296" s="0" t="n">
        <v>2</v>
      </c>
      <c r="B1296" s="71" t="n">
        <v>46189</v>
      </c>
      <c r="C1296" s="0" t="n">
        <v>1</v>
      </c>
      <c r="D1296" s="0" t="s">
        <v>2442</v>
      </c>
      <c r="E1296" s="0" t="n">
        <v>1328</v>
      </c>
      <c r="F1296" s="0" t="s">
        <v>95</v>
      </c>
      <c r="I1296" s="0" t="n">
        <v>3777</v>
      </c>
      <c r="J1296" s="0" t="n">
        <v>31789</v>
      </c>
      <c r="K1296" s="0" t="n">
        <v>7898588380149</v>
      </c>
      <c r="L1296" s="0" t="s">
        <v>2446</v>
      </c>
      <c r="N1296" s="0" t="n">
        <v>3</v>
      </c>
      <c r="O1296" s="0" t="n">
        <v>17.16</v>
      </c>
      <c r="P1296" s="0" t="s">
        <v>2444</v>
      </c>
    </row>
    <row r="1297" customFormat="false" ht="15" hidden="false" customHeight="true" outlineLevel="0" collapsed="false">
      <c r="A1297" s="0" t="n">
        <v>2</v>
      </c>
      <c r="B1297" s="71" t="n">
        <v>46189</v>
      </c>
      <c r="C1297" s="0" t="n">
        <v>1</v>
      </c>
      <c r="D1297" s="0" t="s">
        <v>2442</v>
      </c>
      <c r="E1297" s="0" t="n">
        <v>1328</v>
      </c>
      <c r="F1297" s="0" t="s">
        <v>95</v>
      </c>
      <c r="I1297" s="0" t="n">
        <v>3777</v>
      </c>
      <c r="J1297" s="0" t="n">
        <v>31782</v>
      </c>
      <c r="K1297" s="0" t="n">
        <v>7898588380132</v>
      </c>
      <c r="L1297" s="0" t="s">
        <v>2505</v>
      </c>
      <c r="N1297" s="0" t="n">
        <v>2</v>
      </c>
      <c r="O1297" s="0" t="n">
        <v>11.44</v>
      </c>
      <c r="P1297" s="0" t="s">
        <v>2444</v>
      </c>
    </row>
    <row r="1298" customFormat="false" ht="15" hidden="false" customHeight="true" outlineLevel="0" collapsed="false">
      <c r="A1298" s="0" t="n">
        <v>2</v>
      </c>
      <c r="B1298" s="71" t="n">
        <v>46189</v>
      </c>
      <c r="C1298" s="0" t="n">
        <v>1</v>
      </c>
      <c r="D1298" s="0" t="s">
        <v>2442</v>
      </c>
      <c r="E1298" s="0" t="n">
        <v>1328</v>
      </c>
      <c r="F1298" s="0" t="s">
        <v>95</v>
      </c>
      <c r="I1298" s="0" t="n">
        <v>3777</v>
      </c>
      <c r="J1298" s="0" t="n">
        <v>31784</v>
      </c>
      <c r="K1298" s="0" t="n">
        <v>7898588380545</v>
      </c>
      <c r="L1298" s="0" t="s">
        <v>2590</v>
      </c>
      <c r="N1298" s="0" t="n">
        <v>2</v>
      </c>
      <c r="O1298" s="0" t="n">
        <v>11.44</v>
      </c>
      <c r="P1298" s="0" t="s">
        <v>2444</v>
      </c>
    </row>
    <row r="1299" customFormat="false" ht="15" hidden="false" customHeight="true" outlineLevel="0" collapsed="false">
      <c r="A1299" s="0" t="n">
        <v>2</v>
      </c>
      <c r="B1299" s="71" t="n">
        <v>46189</v>
      </c>
      <c r="C1299" s="0" t="n">
        <v>1</v>
      </c>
      <c r="D1299" s="0" t="s">
        <v>2442</v>
      </c>
      <c r="E1299" s="0" t="n">
        <v>1328</v>
      </c>
      <c r="F1299" s="0" t="s">
        <v>95</v>
      </c>
      <c r="I1299" s="0" t="n">
        <v>3777</v>
      </c>
      <c r="J1299" s="0" t="n">
        <v>31786</v>
      </c>
      <c r="K1299" s="0" t="n">
        <v>7898588380187</v>
      </c>
      <c r="L1299" s="0" t="s">
        <v>2506</v>
      </c>
      <c r="N1299" s="0" t="n">
        <v>3</v>
      </c>
      <c r="O1299" s="0" t="n">
        <v>17.16</v>
      </c>
      <c r="P1299" s="0" t="s">
        <v>2444</v>
      </c>
    </row>
    <row r="1300" customFormat="false" ht="15" hidden="false" customHeight="true" outlineLevel="0" collapsed="false">
      <c r="A1300" s="0" t="n">
        <v>2</v>
      </c>
      <c r="B1300" s="71" t="n">
        <v>46189</v>
      </c>
      <c r="C1300" s="0" t="n">
        <v>1</v>
      </c>
      <c r="D1300" s="0" t="s">
        <v>2442</v>
      </c>
      <c r="E1300" s="0" t="n">
        <v>1328</v>
      </c>
      <c r="F1300" s="0" t="s">
        <v>95</v>
      </c>
      <c r="I1300" s="0" t="n">
        <v>3777</v>
      </c>
      <c r="J1300" s="0" t="n">
        <v>31790</v>
      </c>
      <c r="K1300" s="0" t="n">
        <v>7898588380231</v>
      </c>
      <c r="L1300" s="0" t="s">
        <v>2508</v>
      </c>
      <c r="N1300" s="0" t="n">
        <v>3</v>
      </c>
      <c r="O1300" s="0" t="n">
        <v>17.16</v>
      </c>
      <c r="P1300" s="0" t="s">
        <v>2444</v>
      </c>
    </row>
    <row r="1301" customFormat="false" ht="15" hidden="false" customHeight="true" outlineLevel="0" collapsed="false">
      <c r="A1301" s="0" t="n">
        <v>2</v>
      </c>
      <c r="B1301" s="71" t="n">
        <v>46189</v>
      </c>
      <c r="C1301" s="0" t="n">
        <v>1</v>
      </c>
      <c r="D1301" s="0" t="s">
        <v>2442</v>
      </c>
      <c r="E1301" s="0" t="n">
        <v>957</v>
      </c>
      <c r="F1301" s="0" t="s">
        <v>628</v>
      </c>
      <c r="I1301" s="0" t="n">
        <v>20499</v>
      </c>
      <c r="J1301" s="0" t="n">
        <v>22563</v>
      </c>
      <c r="K1301" s="0" t="n">
        <v>7896029015001</v>
      </c>
      <c r="L1301" s="0" t="s">
        <v>3223</v>
      </c>
      <c r="N1301" s="0" t="n">
        <v>720</v>
      </c>
      <c r="O1301" s="0" t="n">
        <v>1281.6</v>
      </c>
      <c r="P1301" s="0" t="s">
        <v>2444</v>
      </c>
    </row>
    <row r="1302" customFormat="false" ht="15" hidden="false" customHeight="true" outlineLevel="0" collapsed="false">
      <c r="A1302" s="0" t="n">
        <v>2</v>
      </c>
      <c r="B1302" s="71" t="n">
        <v>46189</v>
      </c>
      <c r="C1302" s="0" t="n">
        <v>1</v>
      </c>
      <c r="D1302" s="0" t="s">
        <v>2442</v>
      </c>
      <c r="E1302" s="0" t="n">
        <v>957</v>
      </c>
      <c r="F1302" s="0" t="s">
        <v>628</v>
      </c>
      <c r="I1302" s="0" t="n">
        <v>20499</v>
      </c>
      <c r="J1302" s="0" t="n">
        <v>23404</v>
      </c>
      <c r="K1302" s="0" t="n">
        <v>7896029014981</v>
      </c>
      <c r="L1302" s="0" t="s">
        <v>3224</v>
      </c>
      <c r="N1302" s="0" t="n">
        <v>360</v>
      </c>
      <c r="O1302" s="0" t="n">
        <v>640.8</v>
      </c>
      <c r="P1302" s="0" t="s">
        <v>2444</v>
      </c>
    </row>
    <row r="1303" customFormat="false" ht="15" hidden="false" customHeight="true" outlineLevel="0" collapsed="false">
      <c r="A1303" s="0" t="n">
        <v>2</v>
      </c>
      <c r="B1303" s="71" t="n">
        <v>46189</v>
      </c>
      <c r="C1303" s="0" t="n">
        <v>1</v>
      </c>
      <c r="D1303" s="0" t="s">
        <v>2442</v>
      </c>
      <c r="E1303" s="0" t="n">
        <v>957</v>
      </c>
      <c r="F1303" s="0" t="s">
        <v>628</v>
      </c>
      <c r="I1303" s="0" t="n">
        <v>20499</v>
      </c>
      <c r="J1303" s="0" t="n">
        <v>28316</v>
      </c>
      <c r="K1303" s="0" t="n">
        <v>7896029046296</v>
      </c>
      <c r="L1303" s="0" t="s">
        <v>3225</v>
      </c>
      <c r="N1303" s="0" t="n">
        <v>400</v>
      </c>
      <c r="O1303" s="0" t="n">
        <v>712</v>
      </c>
      <c r="P1303" s="0" t="s">
        <v>2444</v>
      </c>
    </row>
    <row r="1304" customFormat="false" ht="15" hidden="false" customHeight="true" outlineLevel="0" collapsed="false">
      <c r="A1304" s="0" t="n">
        <v>2</v>
      </c>
      <c r="B1304" s="71" t="n">
        <v>46189</v>
      </c>
      <c r="C1304" s="0" t="n">
        <v>1</v>
      </c>
      <c r="D1304" s="0" t="s">
        <v>2442</v>
      </c>
      <c r="E1304" s="0" t="n">
        <v>957</v>
      </c>
      <c r="F1304" s="0" t="s">
        <v>628</v>
      </c>
      <c r="I1304" s="0" t="n">
        <v>20499</v>
      </c>
      <c r="J1304" s="0" t="n">
        <v>28318</v>
      </c>
      <c r="K1304" s="0" t="n">
        <v>7896029046555</v>
      </c>
      <c r="L1304" s="0" t="s">
        <v>3226</v>
      </c>
      <c r="N1304" s="0" t="n">
        <v>400</v>
      </c>
      <c r="O1304" s="0" t="n">
        <v>712</v>
      </c>
      <c r="P1304" s="0" t="s">
        <v>2444</v>
      </c>
    </row>
    <row r="1305" customFormat="false" ht="15" hidden="false" customHeight="true" outlineLevel="0" collapsed="false">
      <c r="A1305" s="0" t="n">
        <v>2</v>
      </c>
      <c r="B1305" s="71" t="n">
        <v>46189</v>
      </c>
      <c r="C1305" s="0" t="n">
        <v>1</v>
      </c>
      <c r="D1305" s="0" t="s">
        <v>2442</v>
      </c>
      <c r="E1305" s="0" t="n">
        <v>957</v>
      </c>
      <c r="F1305" s="0" t="s">
        <v>628</v>
      </c>
      <c r="I1305" s="0" t="n">
        <v>20499</v>
      </c>
      <c r="J1305" s="0" t="n">
        <v>28319</v>
      </c>
      <c r="K1305" s="0" t="n">
        <v>7896029046197</v>
      </c>
      <c r="L1305" s="0" t="s">
        <v>3227</v>
      </c>
      <c r="N1305" s="0" t="n">
        <v>400</v>
      </c>
      <c r="O1305" s="0" t="n">
        <v>712</v>
      </c>
      <c r="P1305" s="0" t="s">
        <v>2444</v>
      </c>
    </row>
    <row r="1306" customFormat="false" ht="15" hidden="false" customHeight="true" outlineLevel="0" collapsed="false">
      <c r="A1306" s="0" t="n">
        <v>2</v>
      </c>
      <c r="B1306" s="71" t="n">
        <v>46189</v>
      </c>
      <c r="C1306" s="0" t="n">
        <v>1</v>
      </c>
      <c r="D1306" s="0" t="s">
        <v>2442</v>
      </c>
      <c r="E1306" s="0" t="n">
        <v>957</v>
      </c>
      <c r="F1306" s="0" t="s">
        <v>628</v>
      </c>
      <c r="I1306" s="0" t="n">
        <v>20499</v>
      </c>
      <c r="J1306" s="0" t="n">
        <v>28320</v>
      </c>
      <c r="K1306" s="0" t="n">
        <v>7896029047279</v>
      </c>
      <c r="L1306" s="0" t="s">
        <v>3228</v>
      </c>
      <c r="N1306" s="0" t="n">
        <v>400</v>
      </c>
      <c r="O1306" s="0" t="n">
        <v>712</v>
      </c>
      <c r="P1306" s="0" t="s">
        <v>2444</v>
      </c>
    </row>
    <row r="1307" customFormat="false" ht="15" hidden="false" customHeight="true" outlineLevel="0" collapsed="false">
      <c r="A1307" s="0" t="n">
        <v>2</v>
      </c>
      <c r="B1307" s="71" t="n">
        <v>46189</v>
      </c>
      <c r="C1307" s="0" t="n">
        <v>1</v>
      </c>
      <c r="D1307" s="0" t="s">
        <v>2442</v>
      </c>
      <c r="E1307" s="0" t="n">
        <v>957</v>
      </c>
      <c r="F1307" s="0" t="s">
        <v>628</v>
      </c>
      <c r="I1307" s="0" t="n">
        <v>20499</v>
      </c>
      <c r="J1307" s="0" t="n">
        <v>29346</v>
      </c>
      <c r="K1307" s="0" t="n">
        <v>7896029047101</v>
      </c>
      <c r="L1307" s="0" t="s">
        <v>3229</v>
      </c>
      <c r="N1307" s="0" t="n">
        <v>400</v>
      </c>
      <c r="O1307" s="0" t="n">
        <v>712</v>
      </c>
      <c r="P1307" s="0" t="s">
        <v>2444</v>
      </c>
    </row>
    <row r="1308" customFormat="false" ht="15" hidden="false" customHeight="true" outlineLevel="0" collapsed="false">
      <c r="A1308" s="0" t="n">
        <v>2</v>
      </c>
      <c r="B1308" s="71" t="n">
        <v>46189</v>
      </c>
      <c r="C1308" s="0" t="n">
        <v>1</v>
      </c>
      <c r="D1308" s="0" t="s">
        <v>2442</v>
      </c>
      <c r="E1308" s="0" t="n">
        <v>957</v>
      </c>
      <c r="F1308" s="0" t="s">
        <v>628</v>
      </c>
      <c r="I1308" s="0" t="n">
        <v>20499</v>
      </c>
      <c r="J1308" s="0" t="n">
        <v>51104</v>
      </c>
      <c r="K1308" s="0" t="n">
        <v>7896029082447</v>
      </c>
      <c r="L1308" s="0" t="s">
        <v>3230</v>
      </c>
      <c r="N1308" s="0" t="n">
        <v>6</v>
      </c>
      <c r="O1308" s="0" t="n">
        <v>81.36</v>
      </c>
      <c r="P1308" s="0" t="s">
        <v>2444</v>
      </c>
    </row>
    <row r="1309" customFormat="false" ht="15" hidden="false" customHeight="true" outlineLevel="0" collapsed="false">
      <c r="A1309" s="0" t="n">
        <v>2</v>
      </c>
      <c r="B1309" s="71" t="n">
        <v>46189</v>
      </c>
      <c r="C1309" s="0" t="n">
        <v>1</v>
      </c>
      <c r="D1309" s="0" t="s">
        <v>2442</v>
      </c>
      <c r="E1309" s="0" t="n">
        <v>957</v>
      </c>
      <c r="F1309" s="0" t="s">
        <v>628</v>
      </c>
      <c r="I1309" s="0" t="n">
        <v>20499</v>
      </c>
      <c r="J1309" s="0" t="n">
        <v>51884</v>
      </c>
      <c r="K1309" s="0" t="n">
        <v>7896029083482</v>
      </c>
      <c r="L1309" s="0" t="s">
        <v>3231</v>
      </c>
      <c r="N1309" s="0" t="n">
        <v>6</v>
      </c>
      <c r="O1309" s="0" t="n">
        <v>81.36</v>
      </c>
      <c r="P1309" s="0" t="s">
        <v>2444</v>
      </c>
    </row>
    <row r="1310" customFormat="false" ht="15" hidden="false" customHeight="true" outlineLevel="0" collapsed="false">
      <c r="A1310" s="0" t="n">
        <v>2</v>
      </c>
      <c r="B1310" s="71" t="n">
        <v>46189</v>
      </c>
      <c r="C1310" s="0" t="n">
        <v>1</v>
      </c>
      <c r="D1310" s="0" t="s">
        <v>2442</v>
      </c>
      <c r="E1310" s="0" t="n">
        <v>957</v>
      </c>
      <c r="F1310" s="0" t="s">
        <v>628</v>
      </c>
      <c r="I1310" s="0" t="n">
        <v>20499</v>
      </c>
      <c r="J1310" s="0" t="n">
        <v>54884</v>
      </c>
      <c r="K1310" s="0" t="n">
        <v>7896029046609</v>
      </c>
      <c r="L1310" s="0" t="s">
        <v>3232</v>
      </c>
      <c r="N1310" s="0" t="n">
        <v>400</v>
      </c>
      <c r="O1310" s="0" t="n">
        <v>712</v>
      </c>
      <c r="P1310" s="0" t="s">
        <v>2444</v>
      </c>
    </row>
    <row r="1311" customFormat="false" ht="15" hidden="false" customHeight="true" outlineLevel="0" collapsed="false">
      <c r="A1311" s="0" t="n">
        <v>2</v>
      </c>
      <c r="B1311" s="71" t="n">
        <v>46189</v>
      </c>
      <c r="C1311" s="0" t="n">
        <v>1</v>
      </c>
      <c r="D1311" s="0" t="s">
        <v>2442</v>
      </c>
      <c r="E1311" s="0" t="n">
        <v>10033</v>
      </c>
      <c r="F1311" s="0" t="s">
        <v>668</v>
      </c>
      <c r="I1311" s="0" t="n">
        <v>102727</v>
      </c>
      <c r="J1311" s="0" t="n">
        <v>106486</v>
      </c>
      <c r="K1311" s="0" t="n">
        <v>7896075709947</v>
      </c>
      <c r="L1311" s="0" t="s">
        <v>3233</v>
      </c>
      <c r="N1311" s="0" t="n">
        <v>6</v>
      </c>
      <c r="O1311" s="0" t="n">
        <v>46.56</v>
      </c>
      <c r="P1311" s="0" t="s">
        <v>2444</v>
      </c>
    </row>
    <row r="1312" customFormat="false" ht="15" hidden="false" customHeight="true" outlineLevel="0" collapsed="false">
      <c r="A1312" s="0" t="n">
        <v>2</v>
      </c>
      <c r="B1312" s="71" t="n">
        <v>46189</v>
      </c>
      <c r="C1312" s="0" t="n">
        <v>1</v>
      </c>
      <c r="D1312" s="0" t="s">
        <v>2442</v>
      </c>
      <c r="E1312" s="0" t="n">
        <v>10033</v>
      </c>
      <c r="F1312" s="0" t="s">
        <v>668</v>
      </c>
      <c r="I1312" s="0" t="n">
        <v>102727</v>
      </c>
      <c r="J1312" s="0" t="n">
        <v>109433</v>
      </c>
      <c r="K1312" s="0" t="n">
        <v>7896075709992</v>
      </c>
      <c r="L1312" s="0" t="s">
        <v>3233</v>
      </c>
      <c r="N1312" s="0" t="n">
        <v>6</v>
      </c>
      <c r="O1312" s="0" t="n">
        <v>46.56</v>
      </c>
      <c r="P1312" s="0" t="s">
        <v>2444</v>
      </c>
    </row>
    <row r="1313" customFormat="false" ht="15" hidden="false" customHeight="true" outlineLevel="0" collapsed="false">
      <c r="A1313" s="0" t="n">
        <v>2</v>
      </c>
      <c r="B1313" s="71" t="n">
        <v>46189</v>
      </c>
      <c r="C1313" s="0" t="n">
        <v>1</v>
      </c>
      <c r="D1313" s="0" t="s">
        <v>2442</v>
      </c>
      <c r="E1313" s="0" t="n">
        <v>10033</v>
      </c>
      <c r="F1313" s="0" t="s">
        <v>668</v>
      </c>
      <c r="I1313" s="0" t="n">
        <v>102727</v>
      </c>
      <c r="J1313" s="0" t="n">
        <v>11519</v>
      </c>
      <c r="K1313" s="0" t="n">
        <v>7897312400924</v>
      </c>
      <c r="L1313" s="0" t="s">
        <v>3234</v>
      </c>
      <c r="N1313" s="0" t="n">
        <v>48</v>
      </c>
      <c r="O1313" s="0" t="n">
        <v>70.08</v>
      </c>
      <c r="P1313" s="0" t="s">
        <v>2444</v>
      </c>
    </row>
    <row r="1314" customFormat="false" ht="15" hidden="false" customHeight="true" outlineLevel="0" collapsed="false">
      <c r="A1314" s="0" t="n">
        <v>2</v>
      </c>
      <c r="B1314" s="71" t="n">
        <v>46189</v>
      </c>
      <c r="C1314" s="0" t="n">
        <v>1</v>
      </c>
      <c r="D1314" s="0" t="s">
        <v>2442</v>
      </c>
      <c r="E1314" s="0" t="n">
        <v>10033</v>
      </c>
      <c r="F1314" s="0" t="s">
        <v>668</v>
      </c>
      <c r="I1314" s="0" t="n">
        <v>102727</v>
      </c>
      <c r="J1314" s="0" t="n">
        <v>11770</v>
      </c>
      <c r="K1314" s="0" t="n">
        <v>7897312400962</v>
      </c>
      <c r="L1314" s="0" t="s">
        <v>3235</v>
      </c>
      <c r="N1314" s="0" t="n">
        <v>48</v>
      </c>
      <c r="O1314" s="0" t="n">
        <v>70.08</v>
      </c>
      <c r="P1314" s="0" t="s">
        <v>2444</v>
      </c>
    </row>
    <row r="1315" customFormat="false" ht="15" hidden="false" customHeight="true" outlineLevel="0" collapsed="false">
      <c r="A1315" s="0" t="n">
        <v>2</v>
      </c>
      <c r="B1315" s="71" t="n">
        <v>46189</v>
      </c>
      <c r="C1315" s="0" t="n">
        <v>1</v>
      </c>
      <c r="D1315" s="0" t="s">
        <v>2442</v>
      </c>
      <c r="E1315" s="0" t="n">
        <v>10033</v>
      </c>
      <c r="F1315" s="0" t="s">
        <v>668</v>
      </c>
      <c r="I1315" s="0" t="n">
        <v>102727</v>
      </c>
      <c r="J1315" s="0" t="n">
        <v>36337</v>
      </c>
      <c r="K1315" s="0" t="n">
        <v>7898633380575</v>
      </c>
      <c r="L1315" s="0" t="s">
        <v>3236</v>
      </c>
      <c r="N1315" s="0" t="n">
        <v>96</v>
      </c>
      <c r="O1315" s="0" t="n">
        <v>286.08</v>
      </c>
      <c r="P1315" s="0" t="s">
        <v>2444</v>
      </c>
    </row>
    <row r="1316" customFormat="false" ht="15" hidden="false" customHeight="true" outlineLevel="0" collapsed="false">
      <c r="A1316" s="0" t="n">
        <v>2</v>
      </c>
      <c r="B1316" s="71" t="n">
        <v>46189</v>
      </c>
      <c r="C1316" s="0" t="n">
        <v>1</v>
      </c>
      <c r="D1316" s="0" t="s">
        <v>2442</v>
      </c>
      <c r="E1316" s="0" t="n">
        <v>10033</v>
      </c>
      <c r="F1316" s="0" t="s">
        <v>668</v>
      </c>
      <c r="I1316" s="0" t="n">
        <v>102727</v>
      </c>
      <c r="J1316" s="0" t="n">
        <v>37247</v>
      </c>
      <c r="K1316" s="0" t="n">
        <v>7896075709343</v>
      </c>
      <c r="L1316" s="0" t="s">
        <v>3237</v>
      </c>
      <c r="N1316" s="0" t="n">
        <v>12</v>
      </c>
      <c r="O1316" s="0" t="n">
        <v>31.2</v>
      </c>
      <c r="P1316" s="0" t="s">
        <v>2444</v>
      </c>
    </row>
    <row r="1317" customFormat="false" ht="15" hidden="false" customHeight="true" outlineLevel="0" collapsed="false">
      <c r="A1317" s="0" t="n">
        <v>2</v>
      </c>
      <c r="B1317" s="71" t="n">
        <v>46189</v>
      </c>
      <c r="C1317" s="0" t="n">
        <v>1</v>
      </c>
      <c r="D1317" s="0" t="s">
        <v>2442</v>
      </c>
      <c r="E1317" s="0" t="n">
        <v>10033</v>
      </c>
      <c r="F1317" s="0" t="s">
        <v>668</v>
      </c>
      <c r="I1317" s="0" t="n">
        <v>102727</v>
      </c>
      <c r="J1317" s="0" t="n">
        <v>53225</v>
      </c>
      <c r="K1317" s="0" t="n">
        <v>7897312404083</v>
      </c>
      <c r="L1317" s="0" t="s">
        <v>3238</v>
      </c>
      <c r="N1317" s="0" t="n">
        <v>48</v>
      </c>
      <c r="O1317" s="0" t="n">
        <v>70.08</v>
      </c>
      <c r="P1317" s="0" t="s">
        <v>2444</v>
      </c>
    </row>
    <row r="1318" customFormat="false" ht="15" hidden="false" customHeight="true" outlineLevel="0" collapsed="false">
      <c r="A1318" s="0" t="n">
        <v>2</v>
      </c>
      <c r="B1318" s="71" t="n">
        <v>46189</v>
      </c>
      <c r="C1318" s="0" t="n">
        <v>1</v>
      </c>
      <c r="D1318" s="0" t="s">
        <v>2442</v>
      </c>
      <c r="E1318" s="0" t="n">
        <v>10033</v>
      </c>
      <c r="F1318" s="0" t="s">
        <v>668</v>
      </c>
      <c r="I1318" s="0" t="n">
        <v>102727</v>
      </c>
      <c r="J1318" s="0" t="n">
        <v>55398</v>
      </c>
      <c r="K1318" s="0" t="n">
        <v>7897312404052</v>
      </c>
      <c r="L1318" s="0" t="s">
        <v>3239</v>
      </c>
      <c r="N1318" s="0" t="n">
        <v>48</v>
      </c>
      <c r="O1318" s="0" t="n">
        <v>70.08</v>
      </c>
      <c r="P1318" s="0" t="s">
        <v>2444</v>
      </c>
    </row>
    <row r="1319" customFormat="false" ht="15" hidden="false" customHeight="true" outlineLevel="0" collapsed="false">
      <c r="A1319" s="0" t="n">
        <v>2</v>
      </c>
      <c r="B1319" s="71" t="n">
        <v>46189</v>
      </c>
      <c r="C1319" s="0" t="n">
        <v>1</v>
      </c>
      <c r="D1319" s="0" t="s">
        <v>2442</v>
      </c>
      <c r="E1319" s="0" t="n">
        <v>10033</v>
      </c>
      <c r="F1319" s="0" t="s">
        <v>668</v>
      </c>
      <c r="I1319" s="0" t="n">
        <v>102727</v>
      </c>
      <c r="J1319" s="0" t="n">
        <v>69085</v>
      </c>
      <c r="K1319" s="0" t="n">
        <v>7896075709190</v>
      </c>
      <c r="L1319" s="0" t="s">
        <v>3240</v>
      </c>
      <c r="N1319" s="0" t="n">
        <v>12</v>
      </c>
      <c r="O1319" s="0" t="n">
        <v>29.76</v>
      </c>
      <c r="P1319" s="0" t="s">
        <v>2444</v>
      </c>
    </row>
    <row r="1320" customFormat="false" ht="15" hidden="false" customHeight="true" outlineLevel="0" collapsed="false">
      <c r="A1320" s="0" t="n">
        <v>2</v>
      </c>
      <c r="B1320" s="71" t="n">
        <v>46189</v>
      </c>
      <c r="C1320" s="0" t="n">
        <v>1</v>
      </c>
      <c r="D1320" s="0" t="s">
        <v>2442</v>
      </c>
      <c r="E1320" s="0" t="n">
        <v>1708</v>
      </c>
      <c r="F1320" s="0" t="s">
        <v>275</v>
      </c>
      <c r="I1320" s="0" t="n">
        <v>260896</v>
      </c>
      <c r="J1320" s="0" t="n">
        <v>13485</v>
      </c>
      <c r="K1320" s="0" t="n">
        <v>7896058590500</v>
      </c>
      <c r="L1320" s="0" t="s">
        <v>3241</v>
      </c>
      <c r="N1320" s="0" t="n">
        <v>50</v>
      </c>
      <c r="O1320" s="0" t="n">
        <v>48.24</v>
      </c>
      <c r="P1320" s="0" t="s">
        <v>2444</v>
      </c>
    </row>
    <row r="1321" customFormat="false" ht="15" hidden="false" customHeight="true" outlineLevel="0" collapsed="false">
      <c r="A1321" s="0" t="n">
        <v>2</v>
      </c>
      <c r="B1321" s="71" t="n">
        <v>46189</v>
      </c>
      <c r="C1321" s="0" t="n">
        <v>1</v>
      </c>
      <c r="D1321" s="0" t="s">
        <v>2442</v>
      </c>
      <c r="E1321" s="0" t="n">
        <v>1708</v>
      </c>
      <c r="F1321" s="0" t="s">
        <v>275</v>
      </c>
      <c r="I1321" s="0" t="n">
        <v>260896</v>
      </c>
      <c r="J1321" s="0" t="n">
        <v>20666</v>
      </c>
      <c r="K1321" s="0" t="n">
        <v>7896321000552</v>
      </c>
      <c r="L1321" s="0" t="s">
        <v>3242</v>
      </c>
      <c r="N1321" s="0" t="n">
        <v>5</v>
      </c>
      <c r="O1321" s="0" t="n">
        <v>54.25</v>
      </c>
      <c r="P1321" s="0" t="s">
        <v>2444</v>
      </c>
    </row>
    <row r="1322" customFormat="false" ht="15" hidden="false" customHeight="true" outlineLevel="0" collapsed="false">
      <c r="A1322" s="0" t="n">
        <v>2</v>
      </c>
      <c r="B1322" s="71" t="n">
        <v>46189</v>
      </c>
      <c r="C1322" s="0" t="n">
        <v>1</v>
      </c>
      <c r="D1322" s="0" t="s">
        <v>2442</v>
      </c>
      <c r="E1322" s="0" t="n">
        <v>1708</v>
      </c>
      <c r="F1322" s="0" t="s">
        <v>275</v>
      </c>
      <c r="I1322" s="0" t="n">
        <v>260896</v>
      </c>
      <c r="J1322" s="0" t="n">
        <v>24943</v>
      </c>
      <c r="K1322" s="0" t="n">
        <v>7896058506105</v>
      </c>
      <c r="L1322" s="0" t="s">
        <v>3243</v>
      </c>
      <c r="N1322" s="0" t="n">
        <v>60</v>
      </c>
      <c r="O1322" s="0" t="n">
        <v>48.74</v>
      </c>
      <c r="P1322" s="0" t="s">
        <v>2444</v>
      </c>
    </row>
    <row r="1323" customFormat="false" ht="15" hidden="false" customHeight="true" outlineLevel="0" collapsed="false">
      <c r="A1323" s="0" t="n">
        <v>2</v>
      </c>
      <c r="B1323" s="71" t="n">
        <v>46189</v>
      </c>
      <c r="C1323" s="0" t="n">
        <v>1</v>
      </c>
      <c r="D1323" s="0" t="s">
        <v>2442</v>
      </c>
      <c r="E1323" s="0" t="n">
        <v>1708</v>
      </c>
      <c r="F1323" s="0" t="s">
        <v>275</v>
      </c>
      <c r="I1323" s="0" t="n">
        <v>260896</v>
      </c>
      <c r="J1323" s="0" t="n">
        <v>25936</v>
      </c>
      <c r="K1323" s="0" t="n">
        <v>7896321011299</v>
      </c>
      <c r="L1323" s="0" t="s">
        <v>3244</v>
      </c>
      <c r="N1323" s="0" t="n">
        <v>2</v>
      </c>
      <c r="O1323" s="0" t="n">
        <v>22.53</v>
      </c>
      <c r="P1323" s="0" t="s">
        <v>2444</v>
      </c>
    </row>
    <row r="1324" customFormat="false" ht="15" hidden="false" customHeight="true" outlineLevel="0" collapsed="false">
      <c r="A1324" s="0" t="n">
        <v>2</v>
      </c>
      <c r="B1324" s="71" t="n">
        <v>46189</v>
      </c>
      <c r="C1324" s="0" t="n">
        <v>1</v>
      </c>
      <c r="D1324" s="0" t="s">
        <v>2442</v>
      </c>
      <c r="E1324" s="0" t="n">
        <v>1708</v>
      </c>
      <c r="F1324" s="0" t="s">
        <v>275</v>
      </c>
      <c r="I1324" s="0" t="n">
        <v>260896</v>
      </c>
      <c r="J1324" s="0" t="n">
        <v>31995</v>
      </c>
      <c r="K1324" s="0" t="n">
        <v>7896321007575</v>
      </c>
      <c r="L1324" s="0" t="s">
        <v>3245</v>
      </c>
      <c r="N1324" s="0" t="n">
        <v>2</v>
      </c>
      <c r="O1324" s="0" t="n">
        <v>12.98</v>
      </c>
      <c r="P1324" s="0" t="s">
        <v>2444</v>
      </c>
    </row>
    <row r="1325" customFormat="false" ht="15" hidden="false" customHeight="true" outlineLevel="0" collapsed="false">
      <c r="A1325" s="0" t="n">
        <v>2</v>
      </c>
      <c r="B1325" s="71" t="n">
        <v>46189</v>
      </c>
      <c r="C1325" s="0" t="n">
        <v>1</v>
      </c>
      <c r="D1325" s="0" t="s">
        <v>2442</v>
      </c>
      <c r="E1325" s="0" t="n">
        <v>1708</v>
      </c>
      <c r="F1325" s="0" t="s">
        <v>275</v>
      </c>
      <c r="I1325" s="0" t="n">
        <v>260896</v>
      </c>
      <c r="J1325" s="0" t="n">
        <v>32577</v>
      </c>
      <c r="K1325" s="0" t="n">
        <v>7896043351314</v>
      </c>
      <c r="L1325" s="0" t="s">
        <v>3246</v>
      </c>
      <c r="N1325" s="0" t="n">
        <v>12</v>
      </c>
      <c r="O1325" s="0" t="n">
        <v>153</v>
      </c>
      <c r="P1325" s="0" t="s">
        <v>2444</v>
      </c>
    </row>
    <row r="1326" customFormat="false" ht="15" hidden="false" customHeight="true" outlineLevel="0" collapsed="false">
      <c r="A1326" s="0" t="n">
        <v>2</v>
      </c>
      <c r="B1326" s="71" t="n">
        <v>46189</v>
      </c>
      <c r="C1326" s="0" t="n">
        <v>1</v>
      </c>
      <c r="D1326" s="0" t="s">
        <v>2442</v>
      </c>
      <c r="E1326" s="0" t="n">
        <v>1708</v>
      </c>
      <c r="F1326" s="0" t="s">
        <v>275</v>
      </c>
      <c r="I1326" s="0" t="n">
        <v>260896</v>
      </c>
      <c r="J1326" s="0" t="n">
        <v>37867</v>
      </c>
      <c r="K1326" s="0" t="n">
        <v>7896383000590</v>
      </c>
      <c r="L1326" s="0" t="s">
        <v>3247</v>
      </c>
      <c r="N1326" s="0" t="n">
        <v>300</v>
      </c>
      <c r="O1326" s="0" t="n">
        <v>142.62</v>
      </c>
      <c r="P1326" s="0" t="s">
        <v>2444</v>
      </c>
    </row>
    <row r="1327" customFormat="false" ht="15" hidden="false" customHeight="true" outlineLevel="0" collapsed="false">
      <c r="A1327" s="0" t="n">
        <v>2</v>
      </c>
      <c r="B1327" s="71" t="n">
        <v>46189</v>
      </c>
      <c r="C1327" s="0" t="n">
        <v>1</v>
      </c>
      <c r="D1327" s="0" t="s">
        <v>2442</v>
      </c>
      <c r="E1327" s="0" t="n">
        <v>1624</v>
      </c>
      <c r="F1327" s="0" t="s">
        <v>351</v>
      </c>
      <c r="I1327" s="0" t="n">
        <v>658429</v>
      </c>
      <c r="J1327" s="0" t="n">
        <v>13143</v>
      </c>
      <c r="K1327" s="0" t="n">
        <v>7896803071582</v>
      </c>
      <c r="L1327" s="0" t="s">
        <v>3248</v>
      </c>
      <c r="N1327" s="0" t="n">
        <v>12</v>
      </c>
      <c r="O1327" s="0" t="n">
        <v>150</v>
      </c>
      <c r="P1327" s="0" t="s">
        <v>2444</v>
      </c>
    </row>
    <row r="1328" customFormat="false" ht="15" hidden="false" customHeight="true" outlineLevel="0" collapsed="false">
      <c r="A1328" s="0" t="n">
        <v>2</v>
      </c>
      <c r="B1328" s="71" t="n">
        <v>46189</v>
      </c>
      <c r="C1328" s="0" t="n">
        <v>1</v>
      </c>
      <c r="D1328" s="0" t="s">
        <v>2442</v>
      </c>
      <c r="E1328" s="0" t="n">
        <v>1624</v>
      </c>
      <c r="F1328" s="0" t="s">
        <v>351</v>
      </c>
      <c r="I1328" s="0" t="n">
        <v>658429</v>
      </c>
      <c r="J1328" s="0" t="n">
        <v>34701</v>
      </c>
      <c r="K1328" s="0" t="n">
        <v>7896273808794</v>
      </c>
      <c r="L1328" s="0" t="s">
        <v>3249</v>
      </c>
      <c r="N1328" s="0" t="n">
        <v>60</v>
      </c>
      <c r="O1328" s="0" t="n">
        <v>120</v>
      </c>
      <c r="P1328" s="0" t="s">
        <v>2444</v>
      </c>
    </row>
    <row r="1329" customFormat="false" ht="15" hidden="false" customHeight="true" outlineLevel="0" collapsed="false">
      <c r="A1329" s="0" t="n">
        <v>2</v>
      </c>
      <c r="B1329" s="71" t="n">
        <v>46189</v>
      </c>
      <c r="C1329" s="0" t="n">
        <v>1</v>
      </c>
      <c r="D1329" s="0" t="s">
        <v>2442</v>
      </c>
      <c r="E1329" s="0" t="n">
        <v>1624</v>
      </c>
      <c r="F1329" s="0" t="s">
        <v>351</v>
      </c>
      <c r="I1329" s="0" t="n">
        <v>658429</v>
      </c>
      <c r="J1329" s="0" t="n">
        <v>34702</v>
      </c>
      <c r="K1329" s="0" t="n">
        <v>7896273808787</v>
      </c>
      <c r="L1329" s="0" t="s">
        <v>3250</v>
      </c>
      <c r="N1329" s="0" t="n">
        <v>60</v>
      </c>
      <c r="O1329" s="0" t="n">
        <v>120</v>
      </c>
      <c r="P1329" s="0" t="s">
        <v>2444</v>
      </c>
    </row>
    <row r="1330" customFormat="false" ht="15" hidden="false" customHeight="true" outlineLevel="0" collapsed="false">
      <c r="A1330" s="0" t="n">
        <v>2</v>
      </c>
      <c r="B1330" s="71" t="n">
        <v>46189</v>
      </c>
      <c r="C1330" s="0" t="n">
        <v>1</v>
      </c>
      <c r="D1330" s="0" t="s">
        <v>2442</v>
      </c>
      <c r="E1330" s="0" t="n">
        <v>1624</v>
      </c>
      <c r="F1330" s="0" t="s">
        <v>351</v>
      </c>
      <c r="I1330" s="0" t="n">
        <v>658429</v>
      </c>
      <c r="J1330" s="0" t="n">
        <v>34703</v>
      </c>
      <c r="K1330" s="0" t="n">
        <v>7896273808770</v>
      </c>
      <c r="L1330" s="0" t="s">
        <v>3251</v>
      </c>
      <c r="N1330" s="0" t="n">
        <v>60</v>
      </c>
      <c r="O1330" s="0" t="n">
        <v>120</v>
      </c>
      <c r="P1330" s="0" t="s">
        <v>2444</v>
      </c>
    </row>
    <row r="1331" customFormat="false" ht="15" hidden="false" customHeight="true" outlineLevel="0" collapsed="false">
      <c r="A1331" s="0" t="n">
        <v>2</v>
      </c>
      <c r="B1331" s="71" t="n">
        <v>46189</v>
      </c>
      <c r="C1331" s="0" t="n">
        <v>1</v>
      </c>
      <c r="D1331" s="0" t="s">
        <v>2442</v>
      </c>
      <c r="E1331" s="0" t="n">
        <v>1624</v>
      </c>
      <c r="F1331" s="0" t="s">
        <v>351</v>
      </c>
      <c r="I1331" s="0" t="n">
        <v>658429</v>
      </c>
      <c r="J1331" s="0" t="n">
        <v>34705</v>
      </c>
      <c r="K1331" s="0" t="n">
        <v>7896273808800</v>
      </c>
      <c r="L1331" s="0" t="s">
        <v>3252</v>
      </c>
      <c r="N1331" s="0" t="n">
        <v>60</v>
      </c>
      <c r="O1331" s="0" t="n">
        <v>120</v>
      </c>
      <c r="P1331" s="0" t="s">
        <v>2444</v>
      </c>
    </row>
    <row r="1332" customFormat="false" ht="15" hidden="false" customHeight="true" outlineLevel="0" collapsed="false">
      <c r="A1332" s="0" t="n">
        <v>2</v>
      </c>
      <c r="B1332" s="71" t="n">
        <v>46189</v>
      </c>
      <c r="C1332" s="0" t="n">
        <v>1</v>
      </c>
      <c r="D1332" s="0" t="s">
        <v>2442</v>
      </c>
      <c r="E1332" s="0" t="n">
        <v>1624</v>
      </c>
      <c r="F1332" s="0" t="s">
        <v>351</v>
      </c>
      <c r="I1332" s="0" t="n">
        <v>658429</v>
      </c>
      <c r="J1332" s="0" t="n">
        <v>46675</v>
      </c>
      <c r="K1332" s="0" t="n">
        <v>7898996004125</v>
      </c>
      <c r="L1332" s="0" t="s">
        <v>3253</v>
      </c>
      <c r="N1332" s="0" t="n">
        <v>12</v>
      </c>
      <c r="O1332" s="0" t="n">
        <v>171.6</v>
      </c>
      <c r="P1332" s="0" t="s">
        <v>2444</v>
      </c>
    </row>
    <row r="1333" customFormat="false" ht="15" hidden="false" customHeight="true" outlineLevel="0" collapsed="false">
      <c r="A1333" s="0" t="n">
        <v>2</v>
      </c>
      <c r="B1333" s="71" t="n">
        <v>46189</v>
      </c>
      <c r="C1333" s="0" t="n">
        <v>1</v>
      </c>
      <c r="D1333" s="0" t="s">
        <v>2442</v>
      </c>
      <c r="E1333" s="0" t="n">
        <v>1624</v>
      </c>
      <c r="F1333" s="0" t="s">
        <v>351</v>
      </c>
      <c r="I1333" s="0" t="n">
        <v>658429</v>
      </c>
      <c r="J1333" s="0" t="n">
        <v>110552</v>
      </c>
      <c r="K1333" s="0" t="n">
        <v>60139</v>
      </c>
      <c r="L1333" s="0" t="s">
        <v>3254</v>
      </c>
      <c r="N1333" s="0" t="n">
        <v>350</v>
      </c>
      <c r="O1333" s="0" t="n">
        <v>1400</v>
      </c>
      <c r="P1333" s="0" t="s">
        <v>2444</v>
      </c>
    </row>
    <row r="1334" customFormat="false" ht="15" hidden="false" customHeight="true" outlineLevel="0" collapsed="false">
      <c r="A1334" s="0" t="n">
        <v>2</v>
      </c>
      <c r="B1334" s="71" t="n">
        <v>46189</v>
      </c>
      <c r="C1334" s="0" t="n">
        <v>1</v>
      </c>
      <c r="D1334" s="0" t="s">
        <v>2442</v>
      </c>
      <c r="E1334" s="0" t="n">
        <v>1705</v>
      </c>
      <c r="F1334" s="0" t="s">
        <v>130</v>
      </c>
      <c r="I1334" s="0" t="n">
        <v>1161723</v>
      </c>
      <c r="J1334" s="0" t="n">
        <v>24324</v>
      </c>
      <c r="K1334" s="0" t="n">
        <v>70847022015</v>
      </c>
      <c r="L1334" s="0" t="s">
        <v>2462</v>
      </c>
      <c r="N1334" s="0" t="n">
        <v>24</v>
      </c>
      <c r="O1334" s="0" t="n">
        <v>203.42</v>
      </c>
      <c r="P1334" s="0" t="s">
        <v>2444</v>
      </c>
    </row>
    <row r="1335" customFormat="false" ht="15" hidden="false" customHeight="true" outlineLevel="0" collapsed="false">
      <c r="A1335" s="0" t="n">
        <v>2</v>
      </c>
      <c r="B1335" s="71" t="n">
        <v>46189</v>
      </c>
      <c r="C1335" s="0" t="n">
        <v>1</v>
      </c>
      <c r="D1335" s="0" t="s">
        <v>2442</v>
      </c>
      <c r="E1335" s="0" t="n">
        <v>1705</v>
      </c>
      <c r="F1335" s="0" t="s">
        <v>130</v>
      </c>
      <c r="I1335" s="0" t="n">
        <v>1162362</v>
      </c>
      <c r="J1335" s="0" t="n">
        <v>102362</v>
      </c>
      <c r="K1335" s="0" t="n">
        <v>7894900583700</v>
      </c>
      <c r="L1335" s="0" t="s">
        <v>3255</v>
      </c>
      <c r="N1335" s="0" t="n">
        <v>96</v>
      </c>
      <c r="O1335" s="0" t="n">
        <v>195.36</v>
      </c>
      <c r="P1335" s="0" t="s">
        <v>2444</v>
      </c>
    </row>
    <row r="1336" customFormat="false" ht="15" hidden="false" customHeight="true" outlineLevel="0" collapsed="false">
      <c r="A1336" s="0" t="n">
        <v>2</v>
      </c>
      <c r="B1336" s="71" t="n">
        <v>46189</v>
      </c>
      <c r="C1336" s="0" t="n">
        <v>1</v>
      </c>
      <c r="D1336" s="0" t="s">
        <v>2442</v>
      </c>
      <c r="E1336" s="0" t="n">
        <v>1705</v>
      </c>
      <c r="F1336" s="0" t="s">
        <v>130</v>
      </c>
      <c r="I1336" s="0" t="n">
        <v>1162362</v>
      </c>
      <c r="J1336" s="0" t="n">
        <v>102363</v>
      </c>
      <c r="K1336" s="0" t="n">
        <v>7894900563702</v>
      </c>
      <c r="L1336" s="0" t="s">
        <v>2558</v>
      </c>
      <c r="N1336" s="0" t="n">
        <v>24</v>
      </c>
      <c r="O1336" s="0" t="n">
        <v>48.84</v>
      </c>
      <c r="P1336" s="0" t="s">
        <v>2444</v>
      </c>
    </row>
    <row r="1337" customFormat="false" ht="15" hidden="false" customHeight="true" outlineLevel="0" collapsed="false">
      <c r="A1337" s="0" t="n">
        <v>2</v>
      </c>
      <c r="B1337" s="71" t="n">
        <v>46189</v>
      </c>
      <c r="C1337" s="0" t="n">
        <v>1</v>
      </c>
      <c r="D1337" s="0" t="s">
        <v>2442</v>
      </c>
      <c r="E1337" s="0" t="n">
        <v>1705</v>
      </c>
      <c r="F1337" s="0" t="s">
        <v>130</v>
      </c>
      <c r="I1337" s="0" t="n">
        <v>1162362</v>
      </c>
      <c r="J1337" s="0" t="n">
        <v>104029</v>
      </c>
      <c r="K1337" s="0" t="n">
        <v>7896045512317</v>
      </c>
      <c r="L1337" s="0" t="s">
        <v>3256</v>
      </c>
      <c r="N1337" s="0" t="n">
        <v>120</v>
      </c>
      <c r="O1337" s="0" t="n">
        <v>329.67</v>
      </c>
      <c r="P1337" s="0" t="s">
        <v>2444</v>
      </c>
    </row>
    <row r="1338" customFormat="false" ht="15" hidden="false" customHeight="true" outlineLevel="0" collapsed="false">
      <c r="A1338" s="0" t="n">
        <v>2</v>
      </c>
      <c r="B1338" s="71" t="n">
        <v>46189</v>
      </c>
      <c r="C1338" s="0" t="n">
        <v>1</v>
      </c>
      <c r="D1338" s="0" t="s">
        <v>2442</v>
      </c>
      <c r="E1338" s="0" t="n">
        <v>1705</v>
      </c>
      <c r="F1338" s="0" t="s">
        <v>130</v>
      </c>
      <c r="I1338" s="0" t="n">
        <v>1162362</v>
      </c>
      <c r="J1338" s="0" t="n">
        <v>29749</v>
      </c>
      <c r="K1338" s="0" t="n">
        <v>70847033929</v>
      </c>
      <c r="L1338" s="0" t="s">
        <v>2563</v>
      </c>
      <c r="N1338" s="0" t="n">
        <v>6</v>
      </c>
      <c r="O1338" s="0" t="n">
        <v>50.85</v>
      </c>
      <c r="P1338" s="0" t="s">
        <v>2444</v>
      </c>
    </row>
    <row r="1339" customFormat="false" ht="15" hidden="false" customHeight="true" outlineLevel="0" collapsed="false">
      <c r="A1339" s="0" t="n">
        <v>2</v>
      </c>
      <c r="B1339" s="71" t="n">
        <v>46189</v>
      </c>
      <c r="C1339" s="0" t="n">
        <v>1</v>
      </c>
      <c r="D1339" s="0" t="s">
        <v>2442</v>
      </c>
      <c r="E1339" s="0" t="n">
        <v>1705</v>
      </c>
      <c r="F1339" s="0" t="s">
        <v>130</v>
      </c>
      <c r="I1339" s="0" t="n">
        <v>1162362</v>
      </c>
      <c r="J1339" s="0" t="n">
        <v>77914</v>
      </c>
      <c r="K1339" s="0" t="n">
        <v>7894900530001</v>
      </c>
      <c r="L1339" s="0" t="s">
        <v>3257</v>
      </c>
      <c r="N1339" s="0" t="n">
        <v>12</v>
      </c>
      <c r="O1339" s="0" t="n">
        <v>15.14</v>
      </c>
      <c r="P1339" s="0" t="s">
        <v>2444</v>
      </c>
    </row>
    <row r="1340" customFormat="false" ht="15" hidden="false" customHeight="true" outlineLevel="0" collapsed="false">
      <c r="A1340" s="0" t="n">
        <v>2</v>
      </c>
      <c r="B1340" s="71" t="n">
        <v>46189</v>
      </c>
      <c r="C1340" s="0" t="n">
        <v>1</v>
      </c>
      <c r="D1340" s="0" t="s">
        <v>2442</v>
      </c>
      <c r="E1340" s="0" t="n">
        <v>1705</v>
      </c>
      <c r="F1340" s="0" t="s">
        <v>130</v>
      </c>
      <c r="I1340" s="0" t="n">
        <v>1880950</v>
      </c>
      <c r="J1340" s="0" t="n">
        <v>103142</v>
      </c>
      <c r="K1340" s="0" t="n">
        <v>7894900011753</v>
      </c>
      <c r="L1340" s="0" t="s">
        <v>2581</v>
      </c>
      <c r="N1340" s="0" t="n">
        <v>30</v>
      </c>
      <c r="O1340" s="0" t="n">
        <v>182.54</v>
      </c>
      <c r="P1340" s="0" t="s">
        <v>2444</v>
      </c>
    </row>
    <row r="1341" customFormat="false" ht="15" hidden="false" customHeight="true" outlineLevel="0" collapsed="false">
      <c r="A1341" s="0" t="n">
        <v>2</v>
      </c>
      <c r="B1341" s="71" t="n">
        <v>46189</v>
      </c>
      <c r="C1341" s="0" t="n">
        <v>1</v>
      </c>
      <c r="D1341" s="0" t="s">
        <v>2442</v>
      </c>
      <c r="E1341" s="0" t="n">
        <v>1705</v>
      </c>
      <c r="F1341" s="0" t="s">
        <v>130</v>
      </c>
      <c r="I1341" s="0" t="n">
        <v>1880950</v>
      </c>
      <c r="J1341" s="0" t="n">
        <v>103161</v>
      </c>
      <c r="K1341" s="0" t="n">
        <v>7894900010015</v>
      </c>
      <c r="L1341" s="0" t="s">
        <v>2569</v>
      </c>
      <c r="N1341" s="0" t="n">
        <v>60</v>
      </c>
      <c r="O1341" s="0" t="n">
        <v>190.48</v>
      </c>
      <c r="P1341" s="0" t="s">
        <v>2444</v>
      </c>
    </row>
    <row r="1342" customFormat="false" ht="15" hidden="false" customHeight="true" outlineLevel="0" collapsed="false">
      <c r="A1342" s="0" t="n">
        <v>2</v>
      </c>
      <c r="B1342" s="71" t="n">
        <v>46189</v>
      </c>
      <c r="C1342" s="0" t="n">
        <v>1</v>
      </c>
      <c r="D1342" s="0" t="s">
        <v>2442</v>
      </c>
      <c r="E1342" s="0" t="n">
        <v>1705</v>
      </c>
      <c r="F1342" s="0" t="s">
        <v>130</v>
      </c>
      <c r="I1342" s="0" t="n">
        <v>1880950</v>
      </c>
      <c r="J1342" s="0" t="n">
        <v>105323</v>
      </c>
      <c r="K1342" s="0" t="n">
        <v>7894900701753</v>
      </c>
      <c r="L1342" s="0" t="s">
        <v>2570</v>
      </c>
      <c r="N1342" s="0" t="n">
        <v>24</v>
      </c>
      <c r="O1342" s="0" t="n">
        <v>141.88</v>
      </c>
      <c r="P1342" s="0" t="s">
        <v>2444</v>
      </c>
    </row>
    <row r="1343" customFormat="false" ht="15" hidden="false" customHeight="true" outlineLevel="0" collapsed="false">
      <c r="A1343" s="0" t="n">
        <v>2</v>
      </c>
      <c r="B1343" s="71" t="n">
        <v>46189</v>
      </c>
      <c r="C1343" s="0" t="n">
        <v>1</v>
      </c>
      <c r="D1343" s="0" t="s">
        <v>2442</v>
      </c>
      <c r="E1343" s="0" t="n">
        <v>1705</v>
      </c>
      <c r="F1343" s="0" t="s">
        <v>130</v>
      </c>
      <c r="I1343" s="0" t="n">
        <v>1880950</v>
      </c>
      <c r="J1343" s="0" t="n">
        <v>107100</v>
      </c>
      <c r="K1343" s="0" t="n">
        <v>7894900700015</v>
      </c>
      <c r="L1343" s="0" t="s">
        <v>2572</v>
      </c>
      <c r="N1343" s="0" t="n">
        <v>24</v>
      </c>
      <c r="O1343" s="0" t="n">
        <v>74.24</v>
      </c>
      <c r="P1343" s="0" t="s">
        <v>2444</v>
      </c>
    </row>
    <row r="1344" customFormat="false" ht="15" hidden="false" customHeight="true" outlineLevel="0" collapsed="false">
      <c r="A1344" s="0" t="n">
        <v>2</v>
      </c>
      <c r="B1344" s="71" t="n">
        <v>46189</v>
      </c>
      <c r="C1344" s="0" t="n">
        <v>1</v>
      </c>
      <c r="D1344" s="0" t="s">
        <v>2442</v>
      </c>
      <c r="E1344" s="0" t="n">
        <v>1705</v>
      </c>
      <c r="F1344" s="0" t="s">
        <v>130</v>
      </c>
      <c r="I1344" s="0" t="n">
        <v>1880950</v>
      </c>
      <c r="J1344" s="0" t="n">
        <v>10830</v>
      </c>
      <c r="K1344" s="0" t="n">
        <v>7894900701517</v>
      </c>
      <c r="L1344" s="0" t="s">
        <v>2573</v>
      </c>
      <c r="N1344" s="0" t="n">
        <v>30</v>
      </c>
      <c r="O1344" s="0" t="n">
        <v>256.41</v>
      </c>
      <c r="P1344" s="0" t="s">
        <v>2444</v>
      </c>
    </row>
    <row r="1345" customFormat="false" ht="15" hidden="false" customHeight="true" outlineLevel="0" collapsed="false">
      <c r="A1345" s="0" t="n">
        <v>2</v>
      </c>
      <c r="B1345" s="71" t="n">
        <v>46189</v>
      </c>
      <c r="C1345" s="0" t="n">
        <v>1</v>
      </c>
      <c r="D1345" s="0" t="s">
        <v>2442</v>
      </c>
      <c r="E1345" s="0" t="n">
        <v>1705</v>
      </c>
      <c r="F1345" s="0" t="s">
        <v>130</v>
      </c>
      <c r="I1345" s="0" t="n">
        <v>1880950</v>
      </c>
      <c r="J1345" s="0" t="n">
        <v>11678</v>
      </c>
      <c r="K1345" s="0" t="n">
        <v>7894900701593</v>
      </c>
      <c r="L1345" s="0" t="s">
        <v>2468</v>
      </c>
      <c r="N1345" s="0" t="n">
        <v>18</v>
      </c>
      <c r="O1345" s="0" t="n">
        <v>170.7</v>
      </c>
      <c r="P1345" s="0" t="s">
        <v>2444</v>
      </c>
    </row>
    <row r="1346" customFormat="false" ht="15" hidden="false" customHeight="true" outlineLevel="0" collapsed="false">
      <c r="A1346" s="0" t="n">
        <v>2</v>
      </c>
      <c r="B1346" s="71" t="n">
        <v>46189</v>
      </c>
      <c r="C1346" s="0" t="n">
        <v>1</v>
      </c>
      <c r="D1346" s="0" t="s">
        <v>2442</v>
      </c>
      <c r="E1346" s="0" t="n">
        <v>1705</v>
      </c>
      <c r="F1346" s="0" t="s">
        <v>130</v>
      </c>
      <c r="I1346" s="0" t="n">
        <v>1880950</v>
      </c>
      <c r="J1346" s="0" t="n">
        <v>21425</v>
      </c>
      <c r="K1346" s="0" t="n">
        <v>7894900034219</v>
      </c>
      <c r="L1346" s="0" t="s">
        <v>2469</v>
      </c>
      <c r="N1346" s="0" t="n">
        <v>9</v>
      </c>
      <c r="O1346" s="0" t="n">
        <v>52.11</v>
      </c>
      <c r="P1346" s="0" t="s">
        <v>2444</v>
      </c>
    </row>
    <row r="1347" customFormat="false" ht="15" hidden="false" customHeight="true" outlineLevel="0" collapsed="false">
      <c r="A1347" s="0" t="n">
        <v>2</v>
      </c>
      <c r="B1347" s="71" t="n">
        <v>46189</v>
      </c>
      <c r="C1347" s="0" t="n">
        <v>1</v>
      </c>
      <c r="D1347" s="0" t="s">
        <v>2442</v>
      </c>
      <c r="E1347" s="0" t="n">
        <v>1705</v>
      </c>
      <c r="F1347" s="0" t="s">
        <v>130</v>
      </c>
      <c r="I1347" s="0" t="n">
        <v>1880950</v>
      </c>
      <c r="J1347" s="0" t="n">
        <v>21426</v>
      </c>
      <c r="K1347" s="0" t="n">
        <v>7894900014211</v>
      </c>
      <c r="L1347" s="0" t="s">
        <v>2470</v>
      </c>
      <c r="N1347" s="0" t="n">
        <v>18</v>
      </c>
      <c r="O1347" s="0" t="n">
        <v>119.78</v>
      </c>
      <c r="P1347" s="0" t="s">
        <v>2444</v>
      </c>
    </row>
    <row r="1348" customFormat="false" ht="15" hidden="false" customHeight="true" outlineLevel="0" collapsed="false">
      <c r="A1348" s="0" t="n">
        <v>2</v>
      </c>
      <c r="B1348" s="71" t="n">
        <v>46189</v>
      </c>
      <c r="C1348" s="0" t="n">
        <v>1</v>
      </c>
      <c r="D1348" s="0" t="s">
        <v>2442</v>
      </c>
      <c r="E1348" s="0" t="n">
        <v>1705</v>
      </c>
      <c r="F1348" s="0" t="s">
        <v>130</v>
      </c>
      <c r="I1348" s="0" t="n">
        <v>1880950</v>
      </c>
      <c r="J1348" s="0" t="n">
        <v>27673</v>
      </c>
      <c r="K1348" s="0" t="n">
        <v>7894900701715</v>
      </c>
      <c r="L1348" s="0" t="s">
        <v>2660</v>
      </c>
      <c r="N1348" s="0" t="n">
        <v>30</v>
      </c>
      <c r="O1348" s="0" t="n">
        <v>164.53</v>
      </c>
      <c r="P1348" s="0" t="s">
        <v>2444</v>
      </c>
    </row>
    <row r="1349" customFormat="false" ht="15" hidden="false" customHeight="true" outlineLevel="0" collapsed="false">
      <c r="A1349" s="0" t="n">
        <v>2</v>
      </c>
      <c r="B1349" s="71" t="n">
        <v>46189</v>
      </c>
      <c r="C1349" s="0" t="n">
        <v>1</v>
      </c>
      <c r="D1349" s="0" t="s">
        <v>2442</v>
      </c>
      <c r="E1349" s="0" t="n">
        <v>1705</v>
      </c>
      <c r="F1349" s="0" t="s">
        <v>130</v>
      </c>
      <c r="I1349" s="0" t="n">
        <v>1880950</v>
      </c>
      <c r="J1349" s="0" t="n">
        <v>29509</v>
      </c>
      <c r="K1349" s="0" t="n">
        <v>78933873</v>
      </c>
      <c r="L1349" s="0" t="s">
        <v>3258</v>
      </c>
      <c r="N1349" s="0" t="n">
        <v>12</v>
      </c>
      <c r="O1349" s="0" t="n">
        <v>22.59</v>
      </c>
      <c r="P1349" s="0" t="s">
        <v>2444</v>
      </c>
    </row>
    <row r="1350" customFormat="false" ht="15" hidden="false" customHeight="true" outlineLevel="0" collapsed="false">
      <c r="A1350" s="0" t="n">
        <v>2</v>
      </c>
      <c r="B1350" s="71" t="n">
        <v>46189</v>
      </c>
      <c r="C1350" s="0" t="n">
        <v>1</v>
      </c>
      <c r="D1350" s="0" t="s">
        <v>2442</v>
      </c>
      <c r="E1350" s="0" t="n">
        <v>1705</v>
      </c>
      <c r="F1350" s="0" t="s">
        <v>130</v>
      </c>
      <c r="I1350" s="0" t="n">
        <v>1880950</v>
      </c>
      <c r="J1350" s="0" t="n">
        <v>32339</v>
      </c>
      <c r="K1350" s="0" t="n">
        <v>7894900681000</v>
      </c>
      <c r="L1350" s="0" t="s">
        <v>2996</v>
      </c>
      <c r="N1350" s="0" t="n">
        <v>6</v>
      </c>
      <c r="O1350" s="0" t="n">
        <v>44.99</v>
      </c>
      <c r="P1350" s="0" t="s">
        <v>2444</v>
      </c>
    </row>
    <row r="1351" customFormat="false" ht="15" hidden="false" customHeight="true" outlineLevel="0" collapsed="false">
      <c r="A1351" s="0" t="n">
        <v>2</v>
      </c>
      <c r="B1351" s="71" t="n">
        <v>46189</v>
      </c>
      <c r="C1351" s="0" t="n">
        <v>1</v>
      </c>
      <c r="D1351" s="0" t="s">
        <v>2442</v>
      </c>
      <c r="E1351" s="0" t="n">
        <v>1705</v>
      </c>
      <c r="F1351" s="0" t="s">
        <v>130</v>
      </c>
      <c r="I1351" s="0" t="n">
        <v>1880950</v>
      </c>
      <c r="J1351" s="0" t="n">
        <v>37279</v>
      </c>
      <c r="K1351" s="0" t="n">
        <v>7894900027013</v>
      </c>
      <c r="L1351" s="0" t="s">
        <v>2575</v>
      </c>
      <c r="N1351" s="0" t="n">
        <v>72</v>
      </c>
      <c r="O1351" s="0" t="n">
        <v>634.43</v>
      </c>
      <c r="P1351" s="0" t="s">
        <v>2444</v>
      </c>
    </row>
    <row r="1352" customFormat="false" ht="15" hidden="false" customHeight="true" outlineLevel="0" collapsed="false">
      <c r="A1352" s="0" t="n">
        <v>2</v>
      </c>
      <c r="B1352" s="71" t="n">
        <v>46189</v>
      </c>
      <c r="C1352" s="0" t="n">
        <v>1</v>
      </c>
      <c r="D1352" s="0" t="s">
        <v>2442</v>
      </c>
      <c r="E1352" s="0" t="n">
        <v>1705</v>
      </c>
      <c r="F1352" s="0" t="s">
        <v>130</v>
      </c>
      <c r="I1352" s="0" t="n">
        <v>1880950</v>
      </c>
      <c r="J1352" s="0" t="n">
        <v>38060</v>
      </c>
      <c r="K1352" s="0" t="n">
        <v>7894900701609</v>
      </c>
      <c r="L1352" s="0" t="s">
        <v>2576</v>
      </c>
      <c r="N1352" s="0" t="n">
        <v>36</v>
      </c>
      <c r="O1352" s="0" t="n">
        <v>123.08</v>
      </c>
      <c r="P1352" s="0" t="s">
        <v>2444</v>
      </c>
    </row>
    <row r="1353" customFormat="false" ht="15" hidden="false" customHeight="true" outlineLevel="0" collapsed="false">
      <c r="A1353" s="0" t="n">
        <v>2</v>
      </c>
      <c r="B1353" s="71" t="n">
        <v>46189</v>
      </c>
      <c r="C1353" s="0" t="n">
        <v>2</v>
      </c>
      <c r="D1353" s="0" t="s">
        <v>2533</v>
      </c>
      <c r="E1353" s="0" t="n">
        <v>48</v>
      </c>
      <c r="F1353" s="0" t="s">
        <v>153</v>
      </c>
      <c r="I1353" s="0" t="n">
        <v>1662026</v>
      </c>
      <c r="J1353" s="0" t="n">
        <v>100062</v>
      </c>
      <c r="K1353" s="0" t="n">
        <v>63</v>
      </c>
      <c r="L1353" s="0" t="s">
        <v>2535</v>
      </c>
      <c r="N1353" s="0" t="n">
        <v>13</v>
      </c>
      <c r="O1353" s="0" t="n">
        <v>93.86</v>
      </c>
      <c r="P1353" s="0" t="s">
        <v>2444</v>
      </c>
    </row>
    <row r="1354" customFormat="false" ht="15" hidden="false" customHeight="true" outlineLevel="0" collapsed="false">
      <c r="A1354" s="0" t="n">
        <v>2</v>
      </c>
      <c r="B1354" s="71" t="n">
        <v>46189</v>
      </c>
      <c r="C1354" s="0" t="n">
        <v>2</v>
      </c>
      <c r="D1354" s="0" t="s">
        <v>2533</v>
      </c>
      <c r="E1354" s="0" t="n">
        <v>48</v>
      </c>
      <c r="F1354" s="0" t="s">
        <v>153</v>
      </c>
      <c r="I1354" s="0" t="n">
        <v>1662026</v>
      </c>
      <c r="J1354" s="0" t="n">
        <v>100105</v>
      </c>
      <c r="K1354" s="0" t="n">
        <v>106</v>
      </c>
      <c r="L1354" s="0" t="s">
        <v>2536</v>
      </c>
      <c r="N1354" s="0" t="n">
        <v>24</v>
      </c>
      <c r="O1354" s="0" t="n">
        <v>170</v>
      </c>
      <c r="P1354" s="0" t="s">
        <v>2444</v>
      </c>
    </row>
    <row r="1355" customFormat="false" ht="15" hidden="false" customHeight="true" outlineLevel="0" collapsed="false">
      <c r="A1355" s="0" t="n">
        <v>2</v>
      </c>
      <c r="B1355" s="71" t="n">
        <v>46189</v>
      </c>
      <c r="C1355" s="0" t="n">
        <v>2</v>
      </c>
      <c r="D1355" s="0" t="s">
        <v>2533</v>
      </c>
      <c r="E1355" s="0" t="n">
        <v>48</v>
      </c>
      <c r="F1355" s="0" t="s">
        <v>153</v>
      </c>
      <c r="I1355" s="0" t="n">
        <v>1662026</v>
      </c>
      <c r="J1355" s="0" t="n">
        <v>100107</v>
      </c>
      <c r="K1355" s="0" t="n">
        <v>108</v>
      </c>
      <c r="L1355" s="0" t="s">
        <v>3259</v>
      </c>
      <c r="N1355" s="0" t="n">
        <v>4</v>
      </c>
      <c r="O1355" s="0" t="n">
        <v>40</v>
      </c>
      <c r="P1355" s="0" t="s">
        <v>2444</v>
      </c>
    </row>
    <row r="1356" customFormat="false" ht="15" hidden="false" customHeight="true" outlineLevel="0" collapsed="false">
      <c r="A1356" s="0" t="n">
        <v>2</v>
      </c>
      <c r="B1356" s="71" t="n">
        <v>46189</v>
      </c>
      <c r="C1356" s="0" t="n">
        <v>2</v>
      </c>
      <c r="D1356" s="0" t="s">
        <v>2533</v>
      </c>
      <c r="E1356" s="0" t="n">
        <v>48</v>
      </c>
      <c r="F1356" s="0" t="s">
        <v>153</v>
      </c>
      <c r="I1356" s="0" t="n">
        <v>1662026</v>
      </c>
      <c r="J1356" s="0" t="n">
        <v>100109</v>
      </c>
      <c r="K1356" s="0" t="n">
        <v>110</v>
      </c>
      <c r="L1356" s="0" t="s">
        <v>2537</v>
      </c>
      <c r="N1356" s="0" t="n">
        <v>20</v>
      </c>
      <c r="O1356" s="0" t="n">
        <v>100</v>
      </c>
      <c r="P1356" s="0" t="s">
        <v>2444</v>
      </c>
    </row>
    <row r="1357" customFormat="false" ht="15" hidden="false" customHeight="true" outlineLevel="0" collapsed="false">
      <c r="A1357" s="0" t="n">
        <v>2</v>
      </c>
      <c r="B1357" s="71" t="n">
        <v>46189</v>
      </c>
      <c r="C1357" s="0" t="n">
        <v>2</v>
      </c>
      <c r="D1357" s="0" t="s">
        <v>2533</v>
      </c>
      <c r="E1357" s="0" t="n">
        <v>48</v>
      </c>
      <c r="F1357" s="0" t="s">
        <v>153</v>
      </c>
      <c r="I1357" s="0" t="n">
        <v>1662026</v>
      </c>
      <c r="J1357" s="0" t="n">
        <v>100115</v>
      </c>
      <c r="K1357" s="0" t="n">
        <v>116</v>
      </c>
      <c r="L1357" s="0" t="s">
        <v>2694</v>
      </c>
      <c r="N1357" s="0" t="n">
        <v>10</v>
      </c>
      <c r="O1357" s="0" t="n">
        <v>53.3</v>
      </c>
      <c r="P1357" s="0" t="s">
        <v>2444</v>
      </c>
    </row>
    <row r="1358" customFormat="false" ht="15" hidden="false" customHeight="true" outlineLevel="0" collapsed="false">
      <c r="A1358" s="0" t="n">
        <v>2</v>
      </c>
      <c r="B1358" s="71" t="n">
        <v>46189</v>
      </c>
      <c r="C1358" s="0" t="n">
        <v>2</v>
      </c>
      <c r="D1358" s="0" t="s">
        <v>2533</v>
      </c>
      <c r="E1358" s="0" t="n">
        <v>48</v>
      </c>
      <c r="F1358" s="0" t="s">
        <v>153</v>
      </c>
      <c r="I1358" s="0" t="n">
        <v>1662026</v>
      </c>
      <c r="J1358" s="0" t="n">
        <v>100118</v>
      </c>
      <c r="K1358" s="0" t="n">
        <v>119</v>
      </c>
      <c r="L1358" s="0" t="s">
        <v>2541</v>
      </c>
      <c r="N1358" s="0" t="n">
        <v>5</v>
      </c>
      <c r="O1358" s="0" t="n">
        <v>25</v>
      </c>
      <c r="P1358" s="0" t="s">
        <v>2444</v>
      </c>
    </row>
    <row r="1359" customFormat="false" ht="15" hidden="false" customHeight="true" outlineLevel="0" collapsed="false">
      <c r="A1359" s="0" t="n">
        <v>2</v>
      </c>
      <c r="B1359" s="71" t="n">
        <v>46189</v>
      </c>
      <c r="C1359" s="0" t="n">
        <v>2</v>
      </c>
      <c r="D1359" s="0" t="s">
        <v>2533</v>
      </c>
      <c r="E1359" s="0" t="n">
        <v>48</v>
      </c>
      <c r="F1359" s="0" t="s">
        <v>153</v>
      </c>
      <c r="I1359" s="0" t="n">
        <v>1662026</v>
      </c>
      <c r="J1359" s="0" t="n">
        <v>100121</v>
      </c>
      <c r="K1359" s="0" t="n">
        <v>122</v>
      </c>
      <c r="L1359" s="0" t="s">
        <v>2542</v>
      </c>
      <c r="N1359" s="0" t="n">
        <v>3</v>
      </c>
      <c r="O1359" s="0" t="n">
        <v>75</v>
      </c>
      <c r="P1359" s="0" t="s">
        <v>2444</v>
      </c>
    </row>
    <row r="1360" customFormat="false" ht="15" hidden="false" customHeight="true" outlineLevel="0" collapsed="false">
      <c r="A1360" s="0" t="n">
        <v>2</v>
      </c>
      <c r="B1360" s="71" t="n">
        <v>46189</v>
      </c>
      <c r="C1360" s="0" t="n">
        <v>2</v>
      </c>
      <c r="D1360" s="0" t="s">
        <v>2533</v>
      </c>
      <c r="E1360" s="0" t="n">
        <v>48</v>
      </c>
      <c r="F1360" s="0" t="s">
        <v>153</v>
      </c>
      <c r="I1360" s="0" t="n">
        <v>1662026</v>
      </c>
      <c r="J1360" s="0" t="n">
        <v>100122</v>
      </c>
      <c r="K1360" s="0" t="n">
        <v>123</v>
      </c>
      <c r="L1360" s="0" t="s">
        <v>2543</v>
      </c>
      <c r="N1360" s="0" t="n">
        <v>3</v>
      </c>
      <c r="O1360" s="0" t="n">
        <v>54</v>
      </c>
      <c r="P1360" s="0" t="s">
        <v>2444</v>
      </c>
    </row>
    <row r="1361" customFormat="false" ht="15" hidden="false" customHeight="true" outlineLevel="0" collapsed="false">
      <c r="A1361" s="0" t="n">
        <v>2</v>
      </c>
      <c r="B1361" s="71" t="n">
        <v>46189</v>
      </c>
      <c r="C1361" s="0" t="n">
        <v>2</v>
      </c>
      <c r="D1361" s="0" t="s">
        <v>2533</v>
      </c>
      <c r="E1361" s="0" t="n">
        <v>48</v>
      </c>
      <c r="F1361" s="0" t="s">
        <v>153</v>
      </c>
      <c r="I1361" s="0" t="n">
        <v>1662026</v>
      </c>
      <c r="J1361" s="0" t="n">
        <v>100123</v>
      </c>
      <c r="K1361" s="0" t="n">
        <v>124</v>
      </c>
      <c r="L1361" s="0" t="s">
        <v>2544</v>
      </c>
      <c r="N1361" s="0" t="n">
        <v>1</v>
      </c>
      <c r="O1361" s="0" t="n">
        <v>13</v>
      </c>
      <c r="P1361" s="0" t="s">
        <v>2444</v>
      </c>
    </row>
    <row r="1362" customFormat="false" ht="15" hidden="false" customHeight="true" outlineLevel="0" collapsed="false">
      <c r="A1362" s="0" t="n">
        <v>2</v>
      </c>
      <c r="B1362" s="71" t="n">
        <v>46189</v>
      </c>
      <c r="C1362" s="0" t="n">
        <v>2</v>
      </c>
      <c r="D1362" s="0" t="s">
        <v>2533</v>
      </c>
      <c r="E1362" s="0" t="n">
        <v>48</v>
      </c>
      <c r="F1362" s="0" t="s">
        <v>153</v>
      </c>
      <c r="I1362" s="0" t="n">
        <v>1662026</v>
      </c>
      <c r="J1362" s="0" t="n">
        <v>100124</v>
      </c>
      <c r="K1362" s="0" t="n">
        <v>125</v>
      </c>
      <c r="L1362" s="0" t="s">
        <v>2695</v>
      </c>
      <c r="N1362" s="0" t="n">
        <v>5</v>
      </c>
      <c r="O1362" s="0" t="n">
        <v>55</v>
      </c>
      <c r="P1362" s="0" t="s">
        <v>2444</v>
      </c>
    </row>
    <row r="1363" customFormat="false" ht="15" hidden="false" customHeight="true" outlineLevel="0" collapsed="false">
      <c r="A1363" s="0" t="n">
        <v>2</v>
      </c>
      <c r="B1363" s="71" t="n">
        <v>46189</v>
      </c>
      <c r="C1363" s="0" t="n">
        <v>2</v>
      </c>
      <c r="D1363" s="0" t="s">
        <v>2533</v>
      </c>
      <c r="E1363" s="0" t="n">
        <v>48</v>
      </c>
      <c r="F1363" s="0" t="s">
        <v>153</v>
      </c>
      <c r="I1363" s="0" t="n">
        <v>1662026</v>
      </c>
      <c r="J1363" s="0" t="n">
        <v>100130</v>
      </c>
      <c r="K1363" s="0" t="n">
        <v>131</v>
      </c>
      <c r="L1363" s="0" t="s">
        <v>2545</v>
      </c>
      <c r="N1363" s="0" t="n">
        <v>20</v>
      </c>
      <c r="O1363" s="0" t="n">
        <v>100</v>
      </c>
      <c r="P1363" s="0" t="s">
        <v>2444</v>
      </c>
    </row>
    <row r="1364" customFormat="false" ht="15" hidden="false" customHeight="true" outlineLevel="0" collapsed="false">
      <c r="A1364" s="0" t="n">
        <v>2</v>
      </c>
      <c r="B1364" s="71" t="n">
        <v>46189</v>
      </c>
      <c r="C1364" s="0" t="n">
        <v>2</v>
      </c>
      <c r="D1364" s="0" t="s">
        <v>2533</v>
      </c>
      <c r="E1364" s="0" t="n">
        <v>48</v>
      </c>
      <c r="F1364" s="0" t="s">
        <v>153</v>
      </c>
      <c r="I1364" s="0" t="n">
        <v>1662026</v>
      </c>
      <c r="J1364" s="0" t="n">
        <v>100132</v>
      </c>
      <c r="K1364" s="0" t="n">
        <v>133</v>
      </c>
      <c r="L1364" s="0" t="s">
        <v>2546</v>
      </c>
      <c r="N1364" s="0" t="n">
        <v>47</v>
      </c>
      <c r="O1364" s="0" t="n">
        <v>175</v>
      </c>
      <c r="P1364" s="0" t="s">
        <v>2444</v>
      </c>
    </row>
    <row r="1365" customFormat="false" ht="15" hidden="false" customHeight="true" outlineLevel="0" collapsed="false">
      <c r="A1365" s="0" t="n">
        <v>2</v>
      </c>
      <c r="B1365" s="71" t="n">
        <v>46189</v>
      </c>
      <c r="C1365" s="0" t="n">
        <v>2</v>
      </c>
      <c r="D1365" s="0" t="s">
        <v>2533</v>
      </c>
      <c r="E1365" s="0" t="n">
        <v>48</v>
      </c>
      <c r="F1365" s="0" t="s">
        <v>153</v>
      </c>
      <c r="I1365" s="0" t="n">
        <v>1662026</v>
      </c>
      <c r="J1365" s="0" t="n">
        <v>100133</v>
      </c>
      <c r="K1365" s="0" t="n">
        <v>134</v>
      </c>
      <c r="L1365" s="0" t="s">
        <v>2547</v>
      </c>
      <c r="N1365" s="0" t="n">
        <v>14</v>
      </c>
      <c r="O1365" s="0" t="n">
        <v>42</v>
      </c>
      <c r="P1365" s="0" t="s">
        <v>2444</v>
      </c>
    </row>
    <row r="1366" customFormat="false" ht="15" hidden="false" customHeight="true" outlineLevel="0" collapsed="false">
      <c r="A1366" s="0" t="n">
        <v>2</v>
      </c>
      <c r="B1366" s="71" t="n">
        <v>46189</v>
      </c>
      <c r="C1366" s="0" t="n">
        <v>2</v>
      </c>
      <c r="D1366" s="0" t="s">
        <v>2533</v>
      </c>
      <c r="E1366" s="0" t="n">
        <v>48</v>
      </c>
      <c r="F1366" s="0" t="s">
        <v>153</v>
      </c>
      <c r="I1366" s="0" t="n">
        <v>1662026</v>
      </c>
      <c r="J1366" s="0" t="n">
        <v>100141</v>
      </c>
      <c r="K1366" s="0" t="n">
        <v>142</v>
      </c>
      <c r="L1366" s="0" t="s">
        <v>3260</v>
      </c>
      <c r="N1366" s="0" t="n">
        <v>1</v>
      </c>
      <c r="O1366" s="0" t="n">
        <v>35</v>
      </c>
      <c r="P1366" s="0" t="s">
        <v>2444</v>
      </c>
    </row>
    <row r="1367" customFormat="false" ht="15" hidden="false" customHeight="true" outlineLevel="0" collapsed="false">
      <c r="A1367" s="0" t="n">
        <v>2</v>
      </c>
      <c r="B1367" s="71" t="n">
        <v>46189</v>
      </c>
      <c r="C1367" s="0" t="n">
        <v>2</v>
      </c>
      <c r="D1367" s="0" t="s">
        <v>2533</v>
      </c>
      <c r="E1367" s="0" t="n">
        <v>48</v>
      </c>
      <c r="F1367" s="0" t="s">
        <v>153</v>
      </c>
      <c r="I1367" s="0" t="n">
        <v>1662026</v>
      </c>
      <c r="J1367" s="0" t="n">
        <v>110142</v>
      </c>
      <c r="K1367" s="0" t="n">
        <v>16699</v>
      </c>
      <c r="L1367" s="0" t="s">
        <v>2549</v>
      </c>
      <c r="N1367" s="0" t="n">
        <v>20</v>
      </c>
      <c r="O1367" s="0" t="n">
        <v>120</v>
      </c>
      <c r="P1367" s="0" t="s">
        <v>2444</v>
      </c>
    </row>
    <row r="1368" customFormat="false" ht="15" hidden="false" customHeight="true" outlineLevel="0" collapsed="false">
      <c r="A1368" s="0" t="n">
        <v>2</v>
      </c>
      <c r="B1368" s="71" t="n">
        <v>46189</v>
      </c>
      <c r="C1368" s="0" t="n">
        <v>2</v>
      </c>
      <c r="D1368" s="0" t="s">
        <v>2533</v>
      </c>
      <c r="E1368" s="0" t="n">
        <v>48</v>
      </c>
      <c r="F1368" s="0" t="s">
        <v>153</v>
      </c>
      <c r="I1368" s="0" t="n">
        <v>1662026</v>
      </c>
      <c r="J1368" s="0" t="n">
        <v>110374</v>
      </c>
      <c r="K1368" s="0" t="n">
        <v>48077</v>
      </c>
      <c r="L1368" s="0" t="s">
        <v>2696</v>
      </c>
      <c r="N1368" s="0" t="n">
        <v>14</v>
      </c>
      <c r="O1368" s="0" t="n">
        <v>77</v>
      </c>
      <c r="P1368" s="0" t="s">
        <v>2444</v>
      </c>
    </row>
    <row r="1369" customFormat="false" ht="15" hidden="false" customHeight="true" outlineLevel="0" collapsed="false">
      <c r="A1369" s="0" t="n">
        <v>2</v>
      </c>
      <c r="B1369" s="71" t="n">
        <v>46189</v>
      </c>
      <c r="C1369" s="0" t="n">
        <v>2</v>
      </c>
      <c r="D1369" s="0" t="s">
        <v>2533</v>
      </c>
      <c r="E1369" s="0" t="n">
        <v>48</v>
      </c>
      <c r="F1369" s="0" t="s">
        <v>153</v>
      </c>
      <c r="I1369" s="0" t="n">
        <v>1662026</v>
      </c>
      <c r="J1369" s="0" t="n">
        <v>110489</v>
      </c>
      <c r="K1369" s="0" t="n">
        <v>54743</v>
      </c>
      <c r="L1369" s="0" t="s">
        <v>2550</v>
      </c>
      <c r="N1369" s="0" t="n">
        <v>40</v>
      </c>
      <c r="O1369" s="0" t="n">
        <v>240</v>
      </c>
      <c r="P1369" s="0" t="s">
        <v>2444</v>
      </c>
    </row>
    <row r="1370" customFormat="false" ht="15" hidden="false" customHeight="true" outlineLevel="0" collapsed="false">
      <c r="A1370" s="0" t="n">
        <v>2</v>
      </c>
      <c r="B1370" s="71" t="n">
        <v>46189</v>
      </c>
      <c r="C1370" s="0" t="n">
        <v>2</v>
      </c>
      <c r="D1370" s="0" t="s">
        <v>2533</v>
      </c>
      <c r="E1370" s="0" t="n">
        <v>48</v>
      </c>
      <c r="F1370" s="0" t="s">
        <v>153</v>
      </c>
      <c r="I1370" s="0" t="n">
        <v>1662026</v>
      </c>
      <c r="J1370" s="0" t="n">
        <v>80078</v>
      </c>
      <c r="K1370" s="0" t="n">
        <v>710</v>
      </c>
      <c r="L1370" s="0" t="s">
        <v>2551</v>
      </c>
      <c r="N1370" s="0" t="n">
        <v>10</v>
      </c>
      <c r="O1370" s="0" t="n">
        <v>30</v>
      </c>
      <c r="P1370" s="0" t="s">
        <v>2444</v>
      </c>
    </row>
    <row r="1371" customFormat="false" ht="15" hidden="false" customHeight="true" outlineLevel="0" collapsed="false">
      <c r="A1371" s="0" t="n">
        <v>2</v>
      </c>
      <c r="B1371" s="71" t="n">
        <v>46189</v>
      </c>
      <c r="C1371" s="0" t="n">
        <v>2</v>
      </c>
      <c r="D1371" s="0" t="s">
        <v>2533</v>
      </c>
      <c r="E1371" s="0" t="n">
        <v>48</v>
      </c>
      <c r="F1371" s="0" t="s">
        <v>153</v>
      </c>
      <c r="I1371" s="0" t="n">
        <v>1662026</v>
      </c>
      <c r="J1371" s="0" t="n">
        <v>80308</v>
      </c>
      <c r="K1371" s="0" t="n">
        <v>1250</v>
      </c>
      <c r="L1371" s="0" t="s">
        <v>2552</v>
      </c>
      <c r="N1371" s="0" t="n">
        <v>5</v>
      </c>
      <c r="O1371" s="0" t="n">
        <v>15</v>
      </c>
      <c r="P1371" s="0" t="s">
        <v>2444</v>
      </c>
    </row>
    <row r="1372" customFormat="false" ht="15" hidden="false" customHeight="true" outlineLevel="0" collapsed="false">
      <c r="A1372" s="0" t="n">
        <v>2</v>
      </c>
      <c r="B1372" s="71" t="n">
        <v>46189</v>
      </c>
      <c r="C1372" s="0" t="n">
        <v>6</v>
      </c>
      <c r="D1372" s="0" t="s">
        <v>2553</v>
      </c>
      <c r="E1372" s="0" t="n">
        <v>48</v>
      </c>
      <c r="F1372" s="0" t="s">
        <v>153</v>
      </c>
      <c r="I1372" s="0" t="n">
        <v>2499</v>
      </c>
      <c r="J1372" s="0" t="n">
        <v>100062</v>
      </c>
      <c r="K1372" s="0" t="n">
        <v>63</v>
      </c>
      <c r="L1372" s="0" t="s">
        <v>2535</v>
      </c>
      <c r="N1372" s="0" t="n">
        <v>13</v>
      </c>
      <c r="O1372" s="0" t="n">
        <v>93.86</v>
      </c>
      <c r="P1372" s="0" t="s">
        <v>2444</v>
      </c>
    </row>
    <row r="1373" customFormat="false" ht="15" hidden="false" customHeight="true" outlineLevel="0" collapsed="false">
      <c r="A1373" s="0" t="n">
        <v>2</v>
      </c>
      <c r="B1373" s="71" t="n">
        <v>46189</v>
      </c>
      <c r="C1373" s="0" t="n">
        <v>6</v>
      </c>
      <c r="D1373" s="0" t="s">
        <v>2553</v>
      </c>
      <c r="E1373" s="0" t="n">
        <v>48</v>
      </c>
      <c r="F1373" s="0" t="s">
        <v>153</v>
      </c>
      <c r="I1373" s="0" t="n">
        <v>2499</v>
      </c>
      <c r="J1373" s="0" t="n">
        <v>100105</v>
      </c>
      <c r="K1373" s="0" t="n">
        <v>106</v>
      </c>
      <c r="L1373" s="0" t="s">
        <v>2536</v>
      </c>
      <c r="N1373" s="0" t="n">
        <v>24</v>
      </c>
      <c r="O1373" s="0" t="n">
        <v>170</v>
      </c>
      <c r="P1373" s="0" t="s">
        <v>2444</v>
      </c>
    </row>
    <row r="1374" customFormat="false" ht="15" hidden="false" customHeight="true" outlineLevel="0" collapsed="false">
      <c r="A1374" s="0" t="n">
        <v>2</v>
      </c>
      <c r="B1374" s="71" t="n">
        <v>46189</v>
      </c>
      <c r="C1374" s="0" t="n">
        <v>6</v>
      </c>
      <c r="D1374" s="0" t="s">
        <v>2553</v>
      </c>
      <c r="E1374" s="0" t="n">
        <v>48</v>
      </c>
      <c r="F1374" s="0" t="s">
        <v>153</v>
      </c>
      <c r="I1374" s="0" t="n">
        <v>2499</v>
      </c>
      <c r="J1374" s="0" t="n">
        <v>100107</v>
      </c>
      <c r="K1374" s="0" t="n">
        <v>108</v>
      </c>
      <c r="L1374" s="0" t="s">
        <v>3259</v>
      </c>
      <c r="N1374" s="0" t="n">
        <v>4</v>
      </c>
      <c r="O1374" s="0" t="n">
        <v>40</v>
      </c>
      <c r="P1374" s="0" t="s">
        <v>2444</v>
      </c>
    </row>
    <row r="1375" customFormat="false" ht="15" hidden="false" customHeight="true" outlineLevel="0" collapsed="false">
      <c r="A1375" s="0" t="n">
        <v>2</v>
      </c>
      <c r="B1375" s="71" t="n">
        <v>46189</v>
      </c>
      <c r="C1375" s="0" t="n">
        <v>6</v>
      </c>
      <c r="D1375" s="0" t="s">
        <v>2553</v>
      </c>
      <c r="E1375" s="0" t="n">
        <v>48</v>
      </c>
      <c r="F1375" s="0" t="s">
        <v>153</v>
      </c>
      <c r="I1375" s="0" t="n">
        <v>2499</v>
      </c>
      <c r="J1375" s="0" t="n">
        <v>100109</v>
      </c>
      <c r="K1375" s="0" t="n">
        <v>110</v>
      </c>
      <c r="L1375" s="0" t="s">
        <v>2537</v>
      </c>
      <c r="N1375" s="0" t="n">
        <v>20</v>
      </c>
      <c r="O1375" s="0" t="n">
        <v>100</v>
      </c>
      <c r="P1375" s="0" t="s">
        <v>2444</v>
      </c>
    </row>
    <row r="1376" customFormat="false" ht="15" hidden="false" customHeight="true" outlineLevel="0" collapsed="false">
      <c r="A1376" s="0" t="n">
        <v>2</v>
      </c>
      <c r="B1376" s="71" t="n">
        <v>46189</v>
      </c>
      <c r="C1376" s="0" t="n">
        <v>6</v>
      </c>
      <c r="D1376" s="0" t="s">
        <v>2553</v>
      </c>
      <c r="E1376" s="0" t="n">
        <v>48</v>
      </c>
      <c r="F1376" s="0" t="s">
        <v>153</v>
      </c>
      <c r="I1376" s="0" t="n">
        <v>2499</v>
      </c>
      <c r="J1376" s="0" t="n">
        <v>100115</v>
      </c>
      <c r="K1376" s="0" t="n">
        <v>116</v>
      </c>
      <c r="L1376" s="0" t="s">
        <v>2694</v>
      </c>
      <c r="N1376" s="0" t="n">
        <v>10</v>
      </c>
      <c r="O1376" s="0" t="n">
        <v>53.3</v>
      </c>
      <c r="P1376" s="0" t="s">
        <v>2444</v>
      </c>
    </row>
    <row r="1377" customFormat="false" ht="15" hidden="false" customHeight="true" outlineLevel="0" collapsed="false">
      <c r="A1377" s="0" t="n">
        <v>2</v>
      </c>
      <c r="B1377" s="71" t="n">
        <v>46189</v>
      </c>
      <c r="C1377" s="0" t="n">
        <v>6</v>
      </c>
      <c r="D1377" s="0" t="s">
        <v>2553</v>
      </c>
      <c r="E1377" s="0" t="n">
        <v>48</v>
      </c>
      <c r="F1377" s="0" t="s">
        <v>153</v>
      </c>
      <c r="I1377" s="0" t="n">
        <v>2499</v>
      </c>
      <c r="J1377" s="0" t="n">
        <v>100118</v>
      </c>
      <c r="K1377" s="0" t="n">
        <v>119</v>
      </c>
      <c r="L1377" s="0" t="s">
        <v>2541</v>
      </c>
      <c r="N1377" s="0" t="n">
        <v>5</v>
      </c>
      <c r="O1377" s="0" t="n">
        <v>25</v>
      </c>
      <c r="P1377" s="0" t="s">
        <v>2444</v>
      </c>
    </row>
    <row r="1378" customFormat="false" ht="15" hidden="false" customHeight="true" outlineLevel="0" collapsed="false">
      <c r="A1378" s="0" t="n">
        <v>2</v>
      </c>
      <c r="B1378" s="71" t="n">
        <v>46189</v>
      </c>
      <c r="C1378" s="0" t="n">
        <v>6</v>
      </c>
      <c r="D1378" s="0" t="s">
        <v>2553</v>
      </c>
      <c r="E1378" s="0" t="n">
        <v>48</v>
      </c>
      <c r="F1378" s="0" t="s">
        <v>153</v>
      </c>
      <c r="I1378" s="0" t="n">
        <v>2499</v>
      </c>
      <c r="J1378" s="0" t="n">
        <v>100121</v>
      </c>
      <c r="K1378" s="0" t="n">
        <v>122</v>
      </c>
      <c r="L1378" s="0" t="s">
        <v>2542</v>
      </c>
      <c r="N1378" s="0" t="n">
        <v>3</v>
      </c>
      <c r="O1378" s="0" t="n">
        <v>75</v>
      </c>
      <c r="P1378" s="0" t="s">
        <v>2444</v>
      </c>
    </row>
    <row r="1379" customFormat="false" ht="15" hidden="false" customHeight="true" outlineLevel="0" collapsed="false">
      <c r="A1379" s="0" t="n">
        <v>2</v>
      </c>
      <c r="B1379" s="71" t="n">
        <v>46189</v>
      </c>
      <c r="C1379" s="0" t="n">
        <v>6</v>
      </c>
      <c r="D1379" s="0" t="s">
        <v>2553</v>
      </c>
      <c r="E1379" s="0" t="n">
        <v>48</v>
      </c>
      <c r="F1379" s="0" t="s">
        <v>153</v>
      </c>
      <c r="I1379" s="0" t="n">
        <v>2499</v>
      </c>
      <c r="J1379" s="0" t="n">
        <v>100122</v>
      </c>
      <c r="K1379" s="0" t="n">
        <v>123</v>
      </c>
      <c r="L1379" s="0" t="s">
        <v>2543</v>
      </c>
      <c r="N1379" s="0" t="n">
        <v>3</v>
      </c>
      <c r="O1379" s="0" t="n">
        <v>54</v>
      </c>
      <c r="P1379" s="0" t="s">
        <v>2444</v>
      </c>
    </row>
    <row r="1380" customFormat="false" ht="15" hidden="false" customHeight="true" outlineLevel="0" collapsed="false">
      <c r="A1380" s="0" t="n">
        <v>2</v>
      </c>
      <c r="B1380" s="71" t="n">
        <v>46189</v>
      </c>
      <c r="C1380" s="0" t="n">
        <v>6</v>
      </c>
      <c r="D1380" s="0" t="s">
        <v>2553</v>
      </c>
      <c r="E1380" s="0" t="n">
        <v>48</v>
      </c>
      <c r="F1380" s="0" t="s">
        <v>153</v>
      </c>
      <c r="I1380" s="0" t="n">
        <v>2499</v>
      </c>
      <c r="J1380" s="0" t="n">
        <v>100123</v>
      </c>
      <c r="K1380" s="0" t="n">
        <v>124</v>
      </c>
      <c r="L1380" s="0" t="s">
        <v>2544</v>
      </c>
      <c r="N1380" s="0" t="n">
        <v>1</v>
      </c>
      <c r="O1380" s="0" t="n">
        <v>13</v>
      </c>
      <c r="P1380" s="0" t="s">
        <v>2444</v>
      </c>
    </row>
    <row r="1381" customFormat="false" ht="15" hidden="false" customHeight="true" outlineLevel="0" collapsed="false">
      <c r="A1381" s="0" t="n">
        <v>2</v>
      </c>
      <c r="B1381" s="71" t="n">
        <v>46189</v>
      </c>
      <c r="C1381" s="0" t="n">
        <v>6</v>
      </c>
      <c r="D1381" s="0" t="s">
        <v>2553</v>
      </c>
      <c r="E1381" s="0" t="n">
        <v>48</v>
      </c>
      <c r="F1381" s="0" t="s">
        <v>153</v>
      </c>
      <c r="I1381" s="0" t="n">
        <v>2499</v>
      </c>
      <c r="J1381" s="0" t="n">
        <v>100124</v>
      </c>
      <c r="K1381" s="0" t="n">
        <v>125</v>
      </c>
      <c r="L1381" s="0" t="s">
        <v>2695</v>
      </c>
      <c r="N1381" s="0" t="n">
        <v>5</v>
      </c>
      <c r="O1381" s="0" t="n">
        <v>55</v>
      </c>
      <c r="P1381" s="0" t="s">
        <v>2444</v>
      </c>
    </row>
    <row r="1382" customFormat="false" ht="15" hidden="false" customHeight="true" outlineLevel="0" collapsed="false">
      <c r="A1382" s="0" t="n">
        <v>2</v>
      </c>
      <c r="B1382" s="71" t="n">
        <v>46189</v>
      </c>
      <c r="C1382" s="0" t="n">
        <v>6</v>
      </c>
      <c r="D1382" s="0" t="s">
        <v>2553</v>
      </c>
      <c r="E1382" s="0" t="n">
        <v>48</v>
      </c>
      <c r="F1382" s="0" t="s">
        <v>153</v>
      </c>
      <c r="I1382" s="0" t="n">
        <v>2499</v>
      </c>
      <c r="J1382" s="0" t="n">
        <v>100130</v>
      </c>
      <c r="K1382" s="0" t="n">
        <v>131</v>
      </c>
      <c r="L1382" s="0" t="s">
        <v>2545</v>
      </c>
      <c r="N1382" s="0" t="n">
        <v>20</v>
      </c>
      <c r="O1382" s="0" t="n">
        <v>100</v>
      </c>
      <c r="P1382" s="0" t="s">
        <v>2444</v>
      </c>
    </row>
    <row r="1383" customFormat="false" ht="15" hidden="false" customHeight="true" outlineLevel="0" collapsed="false">
      <c r="A1383" s="0" t="n">
        <v>2</v>
      </c>
      <c r="B1383" s="71" t="n">
        <v>46189</v>
      </c>
      <c r="C1383" s="0" t="n">
        <v>6</v>
      </c>
      <c r="D1383" s="0" t="s">
        <v>2553</v>
      </c>
      <c r="E1383" s="0" t="n">
        <v>48</v>
      </c>
      <c r="F1383" s="0" t="s">
        <v>153</v>
      </c>
      <c r="I1383" s="0" t="n">
        <v>2499</v>
      </c>
      <c r="J1383" s="0" t="n">
        <v>100132</v>
      </c>
      <c r="K1383" s="0" t="n">
        <v>133</v>
      </c>
      <c r="L1383" s="0" t="s">
        <v>2546</v>
      </c>
      <c r="N1383" s="0" t="n">
        <v>47</v>
      </c>
      <c r="O1383" s="0" t="n">
        <v>175</v>
      </c>
      <c r="P1383" s="0" t="s">
        <v>2444</v>
      </c>
    </row>
    <row r="1384" customFormat="false" ht="15" hidden="false" customHeight="true" outlineLevel="0" collapsed="false">
      <c r="A1384" s="0" t="n">
        <v>2</v>
      </c>
      <c r="B1384" s="71" t="n">
        <v>46189</v>
      </c>
      <c r="C1384" s="0" t="n">
        <v>6</v>
      </c>
      <c r="D1384" s="0" t="s">
        <v>2553</v>
      </c>
      <c r="E1384" s="0" t="n">
        <v>48</v>
      </c>
      <c r="F1384" s="0" t="s">
        <v>153</v>
      </c>
      <c r="I1384" s="0" t="n">
        <v>2499</v>
      </c>
      <c r="J1384" s="0" t="n">
        <v>100133</v>
      </c>
      <c r="K1384" s="0" t="n">
        <v>134</v>
      </c>
      <c r="L1384" s="0" t="s">
        <v>2547</v>
      </c>
      <c r="N1384" s="0" t="n">
        <v>14</v>
      </c>
      <c r="O1384" s="0" t="n">
        <v>42</v>
      </c>
      <c r="P1384" s="0" t="s">
        <v>2444</v>
      </c>
    </row>
    <row r="1385" customFormat="false" ht="15" hidden="false" customHeight="true" outlineLevel="0" collapsed="false">
      <c r="A1385" s="0" t="n">
        <v>2</v>
      </c>
      <c r="B1385" s="71" t="n">
        <v>46189</v>
      </c>
      <c r="C1385" s="0" t="n">
        <v>6</v>
      </c>
      <c r="D1385" s="0" t="s">
        <v>2553</v>
      </c>
      <c r="E1385" s="0" t="n">
        <v>48</v>
      </c>
      <c r="F1385" s="0" t="s">
        <v>153</v>
      </c>
      <c r="I1385" s="0" t="n">
        <v>2499</v>
      </c>
      <c r="J1385" s="0" t="n">
        <v>100141</v>
      </c>
      <c r="K1385" s="0" t="n">
        <v>142</v>
      </c>
      <c r="L1385" s="0" t="s">
        <v>3260</v>
      </c>
      <c r="N1385" s="0" t="n">
        <v>1</v>
      </c>
      <c r="O1385" s="0" t="n">
        <v>35</v>
      </c>
      <c r="P1385" s="0" t="s">
        <v>2444</v>
      </c>
    </row>
    <row r="1386" customFormat="false" ht="15" hidden="false" customHeight="true" outlineLevel="0" collapsed="false">
      <c r="A1386" s="0" t="n">
        <v>2</v>
      </c>
      <c r="B1386" s="71" t="n">
        <v>46189</v>
      </c>
      <c r="C1386" s="0" t="n">
        <v>6</v>
      </c>
      <c r="D1386" s="0" t="s">
        <v>2553</v>
      </c>
      <c r="E1386" s="0" t="n">
        <v>48</v>
      </c>
      <c r="F1386" s="0" t="s">
        <v>153</v>
      </c>
      <c r="I1386" s="0" t="n">
        <v>2499</v>
      </c>
      <c r="J1386" s="0" t="n">
        <v>110142</v>
      </c>
      <c r="K1386" s="0" t="n">
        <v>16699</v>
      </c>
      <c r="L1386" s="0" t="s">
        <v>2549</v>
      </c>
      <c r="N1386" s="0" t="n">
        <v>20</v>
      </c>
      <c r="O1386" s="0" t="n">
        <v>120</v>
      </c>
      <c r="P1386" s="0" t="s">
        <v>2444</v>
      </c>
    </row>
    <row r="1387" customFormat="false" ht="15" hidden="false" customHeight="true" outlineLevel="0" collapsed="false">
      <c r="A1387" s="0" t="n">
        <v>2</v>
      </c>
      <c r="B1387" s="71" t="n">
        <v>46189</v>
      </c>
      <c r="C1387" s="0" t="n">
        <v>6</v>
      </c>
      <c r="D1387" s="0" t="s">
        <v>2553</v>
      </c>
      <c r="E1387" s="0" t="n">
        <v>48</v>
      </c>
      <c r="F1387" s="0" t="s">
        <v>153</v>
      </c>
      <c r="I1387" s="0" t="n">
        <v>2499</v>
      </c>
      <c r="J1387" s="0" t="n">
        <v>110374</v>
      </c>
      <c r="K1387" s="0" t="n">
        <v>48077</v>
      </c>
      <c r="L1387" s="0" t="s">
        <v>2696</v>
      </c>
      <c r="N1387" s="0" t="n">
        <v>14</v>
      </c>
      <c r="O1387" s="0" t="n">
        <v>77</v>
      </c>
      <c r="P1387" s="0" t="s">
        <v>2444</v>
      </c>
    </row>
    <row r="1388" customFormat="false" ht="15" hidden="false" customHeight="true" outlineLevel="0" collapsed="false">
      <c r="A1388" s="0" t="n">
        <v>2</v>
      </c>
      <c r="B1388" s="71" t="n">
        <v>46189</v>
      </c>
      <c r="C1388" s="0" t="n">
        <v>6</v>
      </c>
      <c r="D1388" s="0" t="s">
        <v>2553</v>
      </c>
      <c r="E1388" s="0" t="n">
        <v>48</v>
      </c>
      <c r="F1388" s="0" t="s">
        <v>153</v>
      </c>
      <c r="I1388" s="0" t="n">
        <v>2499</v>
      </c>
      <c r="J1388" s="0" t="n">
        <v>110489</v>
      </c>
      <c r="K1388" s="0" t="n">
        <v>54743</v>
      </c>
      <c r="L1388" s="0" t="s">
        <v>2550</v>
      </c>
      <c r="N1388" s="0" t="n">
        <v>40</v>
      </c>
      <c r="O1388" s="0" t="n">
        <v>240</v>
      </c>
      <c r="P1388" s="0" t="s">
        <v>2444</v>
      </c>
    </row>
    <row r="1389" customFormat="false" ht="15" hidden="false" customHeight="true" outlineLevel="0" collapsed="false">
      <c r="A1389" s="0" t="n">
        <v>2</v>
      </c>
      <c r="B1389" s="71" t="n">
        <v>46189</v>
      </c>
      <c r="C1389" s="0" t="n">
        <v>6</v>
      </c>
      <c r="D1389" s="0" t="s">
        <v>2553</v>
      </c>
      <c r="E1389" s="0" t="n">
        <v>48</v>
      </c>
      <c r="F1389" s="0" t="s">
        <v>153</v>
      </c>
      <c r="I1389" s="0" t="n">
        <v>2499</v>
      </c>
      <c r="J1389" s="0" t="n">
        <v>80078</v>
      </c>
      <c r="K1389" s="0" t="n">
        <v>710</v>
      </c>
      <c r="L1389" s="0" t="s">
        <v>2551</v>
      </c>
      <c r="N1389" s="0" t="n">
        <v>10</v>
      </c>
      <c r="O1389" s="0" t="n">
        <v>30</v>
      </c>
      <c r="P1389" s="0" t="s">
        <v>2444</v>
      </c>
    </row>
    <row r="1390" customFormat="false" ht="15" hidden="false" customHeight="true" outlineLevel="0" collapsed="false">
      <c r="A1390" s="0" t="n">
        <v>2</v>
      </c>
      <c r="B1390" s="71" t="n">
        <v>46189</v>
      </c>
      <c r="C1390" s="0" t="n">
        <v>6</v>
      </c>
      <c r="D1390" s="0" t="s">
        <v>2553</v>
      </c>
      <c r="E1390" s="0" t="n">
        <v>48</v>
      </c>
      <c r="F1390" s="0" t="s">
        <v>153</v>
      </c>
      <c r="I1390" s="0" t="n">
        <v>2499</v>
      </c>
      <c r="J1390" s="0" t="n">
        <v>80308</v>
      </c>
      <c r="K1390" s="0" t="n">
        <v>1250</v>
      </c>
      <c r="L1390" s="0" t="s">
        <v>2552</v>
      </c>
      <c r="N1390" s="0" t="n">
        <v>5</v>
      </c>
      <c r="O1390" s="0" t="n">
        <v>15</v>
      </c>
      <c r="P1390" s="0" t="s">
        <v>2444</v>
      </c>
    </row>
    <row r="1391" customFormat="false" ht="15" hidden="false" customHeight="true" outlineLevel="0" collapsed="false">
      <c r="A1391" s="0" t="n">
        <v>2</v>
      </c>
      <c r="B1391" s="71" t="n">
        <v>46189</v>
      </c>
      <c r="C1391" s="0" t="n">
        <v>11</v>
      </c>
      <c r="D1391" s="0" t="s">
        <v>2471</v>
      </c>
      <c r="E1391" s="0" t="n">
        <v>1391</v>
      </c>
      <c r="F1391" s="0" t="s">
        <v>2352</v>
      </c>
      <c r="I1391" s="0" t="n">
        <v>394</v>
      </c>
      <c r="J1391" s="0" t="n">
        <v>25750</v>
      </c>
      <c r="K1391" s="0" t="n">
        <v>78937529</v>
      </c>
      <c r="L1391" s="0" t="s">
        <v>3261</v>
      </c>
      <c r="N1391" s="0" t="n">
        <v>50</v>
      </c>
      <c r="O1391" s="0" t="n">
        <v>195</v>
      </c>
      <c r="P1391" s="0" t="s">
        <v>2444</v>
      </c>
    </row>
    <row r="1392" customFormat="false" ht="15" hidden="false" customHeight="true" outlineLevel="0" collapsed="false">
      <c r="A1392" s="0" t="n">
        <v>2</v>
      </c>
      <c r="B1392" s="71" t="n">
        <v>46189</v>
      </c>
      <c r="C1392" s="0" t="n">
        <v>11</v>
      </c>
      <c r="D1392" s="0" t="s">
        <v>2471</v>
      </c>
      <c r="E1392" s="0" t="n">
        <v>1391</v>
      </c>
      <c r="F1392" s="0" t="s">
        <v>2352</v>
      </c>
      <c r="I1392" s="0" t="n">
        <v>394</v>
      </c>
      <c r="J1392" s="0" t="n">
        <v>36733</v>
      </c>
      <c r="K1392" s="0" t="n">
        <v>78939035</v>
      </c>
      <c r="L1392" s="0" t="s">
        <v>3262</v>
      </c>
      <c r="N1392" s="0" t="n">
        <v>50</v>
      </c>
      <c r="O1392" s="0" t="n">
        <v>195</v>
      </c>
      <c r="P1392" s="0" t="s">
        <v>2444</v>
      </c>
    </row>
    <row r="1393" customFormat="false" ht="15" hidden="false" customHeight="true" outlineLevel="0" collapsed="false">
      <c r="A1393" s="0" t="n">
        <v>2</v>
      </c>
      <c r="B1393" s="71" t="n">
        <v>46189</v>
      </c>
      <c r="C1393" s="0" t="n">
        <v>11</v>
      </c>
      <c r="D1393" s="0" t="s">
        <v>2471</v>
      </c>
      <c r="E1393" s="0" t="n">
        <v>1705</v>
      </c>
      <c r="F1393" s="0" t="s">
        <v>130</v>
      </c>
      <c r="I1393" s="0" t="n">
        <v>1161721</v>
      </c>
      <c r="J1393" s="0" t="n">
        <v>102980</v>
      </c>
      <c r="K1393" s="0" t="n">
        <v>7895800201503</v>
      </c>
      <c r="L1393" s="0" t="s">
        <v>3263</v>
      </c>
      <c r="N1393" s="0" t="n">
        <v>42</v>
      </c>
      <c r="O1393" s="0" t="n">
        <v>88.89</v>
      </c>
      <c r="P1393" s="0" t="s">
        <v>2444</v>
      </c>
    </row>
    <row r="1394" customFormat="false" ht="15" hidden="false" customHeight="true" outlineLevel="0" collapsed="false">
      <c r="A1394" s="0" t="n">
        <v>2</v>
      </c>
      <c r="B1394" s="71" t="n">
        <v>46189</v>
      </c>
      <c r="C1394" s="0" t="n">
        <v>11</v>
      </c>
      <c r="D1394" s="0" t="s">
        <v>2471</v>
      </c>
      <c r="E1394" s="0" t="n">
        <v>1705</v>
      </c>
      <c r="F1394" s="0" t="s">
        <v>130</v>
      </c>
      <c r="I1394" s="0" t="n">
        <v>1161721</v>
      </c>
      <c r="J1394" s="0" t="n">
        <v>16772</v>
      </c>
      <c r="K1394" s="0" t="n">
        <v>7895800309780</v>
      </c>
      <c r="L1394" s="0" t="s">
        <v>3264</v>
      </c>
      <c r="N1394" s="0" t="n">
        <v>105</v>
      </c>
      <c r="O1394" s="0" t="n">
        <v>204.06</v>
      </c>
      <c r="P1394" s="0" t="s">
        <v>2444</v>
      </c>
    </row>
    <row r="1395" customFormat="false" ht="15" hidden="false" customHeight="true" outlineLevel="0" collapsed="false">
      <c r="A1395" s="0" t="n">
        <v>2</v>
      </c>
      <c r="B1395" s="71" t="n">
        <v>46189</v>
      </c>
      <c r="C1395" s="0" t="n">
        <v>11</v>
      </c>
      <c r="D1395" s="0" t="s">
        <v>2471</v>
      </c>
      <c r="E1395" s="0" t="n">
        <v>1705</v>
      </c>
      <c r="F1395" s="0" t="s">
        <v>130</v>
      </c>
      <c r="I1395" s="0" t="n">
        <v>1161721</v>
      </c>
      <c r="J1395" s="0" t="n">
        <v>16774</v>
      </c>
      <c r="K1395" s="0" t="n">
        <v>7895800430002</v>
      </c>
      <c r="L1395" s="0" t="s">
        <v>3265</v>
      </c>
      <c r="N1395" s="0" t="n">
        <v>42</v>
      </c>
      <c r="O1395" s="0" t="n">
        <v>81.62</v>
      </c>
      <c r="P1395" s="0" t="s">
        <v>2444</v>
      </c>
    </row>
    <row r="1396" customFormat="false" ht="15" hidden="false" customHeight="true" outlineLevel="0" collapsed="false">
      <c r="A1396" s="0" t="n">
        <v>2</v>
      </c>
      <c r="B1396" s="71" t="n">
        <v>46189</v>
      </c>
      <c r="C1396" s="0" t="n">
        <v>11</v>
      </c>
      <c r="D1396" s="0" t="s">
        <v>2471</v>
      </c>
      <c r="E1396" s="0" t="n">
        <v>1705</v>
      </c>
      <c r="F1396" s="0" t="s">
        <v>130</v>
      </c>
      <c r="I1396" s="0" t="n">
        <v>1161721</v>
      </c>
      <c r="J1396" s="0" t="n">
        <v>16778</v>
      </c>
      <c r="K1396" s="0" t="n">
        <v>7895800304228</v>
      </c>
      <c r="L1396" s="0" t="s">
        <v>3266</v>
      </c>
      <c r="N1396" s="0" t="n">
        <v>105</v>
      </c>
      <c r="O1396" s="0" t="n">
        <v>204.06</v>
      </c>
      <c r="P1396" s="0" t="s">
        <v>2444</v>
      </c>
    </row>
    <row r="1397" customFormat="false" ht="15" hidden="false" customHeight="true" outlineLevel="0" collapsed="false">
      <c r="A1397" s="0" t="n">
        <v>2</v>
      </c>
      <c r="B1397" s="71" t="n">
        <v>46189</v>
      </c>
      <c r="C1397" s="0" t="n">
        <v>11</v>
      </c>
      <c r="D1397" s="0" t="s">
        <v>2471</v>
      </c>
      <c r="E1397" s="0" t="n">
        <v>1705</v>
      </c>
      <c r="F1397" s="0" t="s">
        <v>130</v>
      </c>
      <c r="I1397" s="0" t="n">
        <v>1161721</v>
      </c>
      <c r="J1397" s="0" t="n">
        <v>16776</v>
      </c>
      <c r="K1397" s="0" t="n">
        <v>7895800304211</v>
      </c>
      <c r="L1397" s="0" t="s">
        <v>3267</v>
      </c>
      <c r="N1397" s="0" t="n">
        <v>105</v>
      </c>
      <c r="O1397" s="0" t="n">
        <v>204.06</v>
      </c>
      <c r="P1397" s="0" t="s">
        <v>2444</v>
      </c>
    </row>
    <row r="1398" customFormat="false" ht="15" hidden="false" customHeight="true" outlineLevel="0" collapsed="false">
      <c r="A1398" s="0" t="n">
        <v>2</v>
      </c>
      <c r="B1398" s="71" t="n">
        <v>46189</v>
      </c>
      <c r="C1398" s="0" t="n">
        <v>11</v>
      </c>
      <c r="D1398" s="0" t="s">
        <v>2471</v>
      </c>
      <c r="E1398" s="0" t="n">
        <v>1705</v>
      </c>
      <c r="F1398" s="0" t="s">
        <v>130</v>
      </c>
      <c r="I1398" s="0" t="n">
        <v>1161721</v>
      </c>
      <c r="J1398" s="0" t="n">
        <v>17106</v>
      </c>
      <c r="K1398" s="0" t="n">
        <v>7895144603223</v>
      </c>
      <c r="L1398" s="0" t="s">
        <v>3268</v>
      </c>
      <c r="N1398" s="0" t="n">
        <v>32</v>
      </c>
      <c r="O1398" s="0" t="n">
        <v>68.38</v>
      </c>
      <c r="P1398" s="0" t="s">
        <v>2444</v>
      </c>
    </row>
    <row r="1399" customFormat="false" ht="15" hidden="false" customHeight="true" outlineLevel="0" collapsed="false">
      <c r="A1399" s="0" t="n">
        <v>2</v>
      </c>
      <c r="B1399" s="71" t="n">
        <v>46189</v>
      </c>
      <c r="C1399" s="0" t="n">
        <v>11</v>
      </c>
      <c r="D1399" s="0" t="s">
        <v>2471</v>
      </c>
      <c r="E1399" s="0" t="n">
        <v>1705</v>
      </c>
      <c r="F1399" s="0" t="s">
        <v>130</v>
      </c>
      <c r="I1399" s="0" t="n">
        <v>1161721</v>
      </c>
      <c r="J1399" s="0" t="n">
        <v>52436</v>
      </c>
      <c r="K1399" s="0" t="n">
        <v>7895800002940</v>
      </c>
      <c r="L1399" s="0" t="s">
        <v>3269</v>
      </c>
      <c r="N1399" s="0" t="n">
        <v>120</v>
      </c>
      <c r="O1399" s="0" t="n">
        <v>45.18</v>
      </c>
      <c r="P1399" s="0" t="s">
        <v>2444</v>
      </c>
    </row>
    <row r="1400" customFormat="false" ht="15" hidden="false" customHeight="true" outlineLevel="0" collapsed="false">
      <c r="A1400" s="0" t="n">
        <v>2</v>
      </c>
      <c r="B1400" s="71" t="n">
        <v>46189</v>
      </c>
      <c r="C1400" s="0" t="n">
        <v>11</v>
      </c>
      <c r="D1400" s="0" t="s">
        <v>2471</v>
      </c>
      <c r="E1400" s="0" t="n">
        <v>1705</v>
      </c>
      <c r="F1400" s="0" t="s">
        <v>130</v>
      </c>
      <c r="I1400" s="0" t="n">
        <v>1161721</v>
      </c>
      <c r="J1400" s="0" t="n">
        <v>52455</v>
      </c>
      <c r="K1400" s="0" t="n">
        <v>7895800002957</v>
      </c>
      <c r="L1400" s="0" t="s">
        <v>3270</v>
      </c>
      <c r="N1400" s="0" t="n">
        <v>120</v>
      </c>
      <c r="O1400" s="0" t="n">
        <v>45.18</v>
      </c>
      <c r="P1400" s="0" t="s">
        <v>2444</v>
      </c>
    </row>
    <row r="1401" customFormat="false" ht="15" hidden="false" customHeight="true" outlineLevel="0" collapsed="false">
      <c r="A1401" s="0" t="n">
        <v>2</v>
      </c>
      <c r="B1401" s="71" t="n">
        <v>46189</v>
      </c>
      <c r="C1401" s="0" t="n">
        <v>11</v>
      </c>
      <c r="D1401" s="0" t="s">
        <v>2471</v>
      </c>
      <c r="E1401" s="0" t="n">
        <v>1705</v>
      </c>
      <c r="F1401" s="0" t="s">
        <v>130</v>
      </c>
      <c r="I1401" s="0" t="n">
        <v>1161721</v>
      </c>
      <c r="J1401" s="0" t="n">
        <v>79271</v>
      </c>
      <c r="K1401" s="0" t="n">
        <v>7895144900025</v>
      </c>
      <c r="L1401" s="0" t="s">
        <v>3271</v>
      </c>
      <c r="N1401" s="0" t="n">
        <v>32</v>
      </c>
      <c r="O1401" s="0" t="n">
        <v>68.38</v>
      </c>
      <c r="P1401" s="0" t="s">
        <v>2444</v>
      </c>
    </row>
    <row r="1402" customFormat="false" ht="15" hidden="false" customHeight="true" outlineLevel="0" collapsed="false">
      <c r="A1402" s="0" t="n">
        <v>2</v>
      </c>
      <c r="B1402" s="71" t="n">
        <v>46189</v>
      </c>
      <c r="C1402" s="0" t="n">
        <v>11</v>
      </c>
      <c r="D1402" s="0" t="s">
        <v>2471</v>
      </c>
      <c r="E1402" s="0" t="n">
        <v>1636</v>
      </c>
      <c r="F1402" s="0" t="s">
        <v>61</v>
      </c>
      <c r="I1402" s="0" t="n">
        <v>3183807</v>
      </c>
      <c r="J1402" s="0" t="n">
        <v>21723</v>
      </c>
      <c r="K1402" s="0" t="n">
        <v>7506339394603</v>
      </c>
      <c r="L1402" s="0" t="s">
        <v>3272</v>
      </c>
      <c r="N1402" s="0" t="n">
        <v>1</v>
      </c>
      <c r="O1402" s="0" t="n">
        <v>5.57</v>
      </c>
      <c r="P1402" s="0" t="s">
        <v>2444</v>
      </c>
    </row>
    <row r="1403" customFormat="false" ht="15" hidden="false" customHeight="true" outlineLevel="0" collapsed="false">
      <c r="A1403" s="0" t="n">
        <v>2</v>
      </c>
      <c r="B1403" s="71" t="n">
        <v>46189</v>
      </c>
      <c r="C1403" s="0" t="n">
        <v>11</v>
      </c>
      <c r="D1403" s="0" t="s">
        <v>2471</v>
      </c>
      <c r="E1403" s="0" t="n">
        <v>1636</v>
      </c>
      <c r="F1403" s="0" t="s">
        <v>61</v>
      </c>
      <c r="I1403" s="0" t="n">
        <v>3183807</v>
      </c>
      <c r="J1403" s="0" t="n">
        <v>21807</v>
      </c>
      <c r="K1403" s="0" t="n">
        <v>7506339394535</v>
      </c>
      <c r="L1403" s="0" t="s">
        <v>3273</v>
      </c>
      <c r="N1403" s="0" t="n">
        <v>1</v>
      </c>
      <c r="O1403" s="0" t="n">
        <v>5.57</v>
      </c>
      <c r="P1403" s="0" t="s">
        <v>2444</v>
      </c>
    </row>
    <row r="1404" customFormat="false" ht="15" hidden="false" customHeight="true" outlineLevel="0" collapsed="false">
      <c r="A1404" s="0" t="n">
        <v>2</v>
      </c>
      <c r="B1404" s="71" t="n">
        <v>46189</v>
      </c>
      <c r="C1404" s="0" t="n">
        <v>11</v>
      </c>
      <c r="D1404" s="0" t="s">
        <v>2471</v>
      </c>
      <c r="E1404" s="0" t="n">
        <v>1636</v>
      </c>
      <c r="F1404" s="0" t="s">
        <v>61</v>
      </c>
      <c r="I1404" s="0" t="n">
        <v>3183807</v>
      </c>
      <c r="J1404" s="0" t="n">
        <v>27206</v>
      </c>
      <c r="K1404" s="0" t="n">
        <v>7500435122764</v>
      </c>
      <c r="L1404" s="0" t="s">
        <v>3274</v>
      </c>
      <c r="N1404" s="0" t="n">
        <v>1</v>
      </c>
      <c r="O1404" s="0" t="n">
        <v>2.99</v>
      </c>
      <c r="P1404" s="0" t="s">
        <v>2444</v>
      </c>
    </row>
    <row r="1405" customFormat="false" ht="15" hidden="false" customHeight="true" outlineLevel="0" collapsed="false">
      <c r="A1405" s="0" t="n">
        <v>2</v>
      </c>
      <c r="B1405" s="71" t="n">
        <v>46189</v>
      </c>
      <c r="C1405" s="0" t="n">
        <v>11</v>
      </c>
      <c r="D1405" s="0" t="s">
        <v>2471</v>
      </c>
      <c r="E1405" s="0" t="n">
        <v>1636</v>
      </c>
      <c r="F1405" s="0" t="s">
        <v>61</v>
      </c>
      <c r="I1405" s="0" t="n">
        <v>3202460</v>
      </c>
      <c r="J1405" s="0" t="n">
        <v>105388</v>
      </c>
      <c r="K1405" s="0" t="n">
        <v>7891167021013</v>
      </c>
      <c r="L1405" s="0" t="s">
        <v>3275</v>
      </c>
      <c r="N1405" s="0" t="n">
        <v>50</v>
      </c>
      <c r="O1405" s="0" t="n">
        <v>229.5</v>
      </c>
      <c r="P1405" s="0" t="s">
        <v>2444</v>
      </c>
    </row>
    <row r="1406" customFormat="false" ht="15" hidden="false" customHeight="true" outlineLevel="0" collapsed="false">
      <c r="A1406" s="0" t="n">
        <v>2</v>
      </c>
      <c r="B1406" s="71" t="n">
        <v>46189</v>
      </c>
      <c r="C1406" s="0" t="n">
        <v>11</v>
      </c>
      <c r="D1406" s="0" t="s">
        <v>2471</v>
      </c>
      <c r="E1406" s="0" t="n">
        <v>1636</v>
      </c>
      <c r="F1406" s="0" t="s">
        <v>61</v>
      </c>
      <c r="I1406" s="0" t="n">
        <v>3202460</v>
      </c>
      <c r="J1406" s="0" t="n">
        <v>108885</v>
      </c>
      <c r="K1406" s="0" t="n">
        <v>7891167021020</v>
      </c>
      <c r="L1406" s="0" t="s">
        <v>3276</v>
      </c>
      <c r="N1406" s="0" t="n">
        <v>50</v>
      </c>
      <c r="O1406" s="0" t="n">
        <v>229.5</v>
      </c>
      <c r="P1406" s="0" t="s">
        <v>2444</v>
      </c>
    </row>
    <row r="1407" customFormat="false" ht="15" hidden="false" customHeight="true" outlineLevel="0" collapsed="false">
      <c r="A1407" s="0" t="n">
        <v>2</v>
      </c>
      <c r="B1407" s="71" t="n">
        <v>46189</v>
      </c>
      <c r="C1407" s="0" t="n">
        <v>11</v>
      </c>
      <c r="D1407" s="0" t="s">
        <v>2471</v>
      </c>
      <c r="E1407" s="0" t="n">
        <v>1636</v>
      </c>
      <c r="F1407" s="0" t="s">
        <v>61</v>
      </c>
      <c r="I1407" s="0" t="n">
        <v>3202460</v>
      </c>
      <c r="J1407" s="0" t="n">
        <v>14246</v>
      </c>
      <c r="K1407" s="0" t="n">
        <v>7896036090602</v>
      </c>
      <c r="L1407" s="0" t="s">
        <v>3277</v>
      </c>
      <c r="N1407" s="0" t="n">
        <v>3</v>
      </c>
      <c r="O1407" s="0" t="n">
        <v>49.03</v>
      </c>
      <c r="P1407" s="0" t="s">
        <v>2444</v>
      </c>
    </row>
    <row r="1408" customFormat="false" ht="15" hidden="false" customHeight="true" outlineLevel="0" collapsed="false">
      <c r="A1408" s="0" t="n">
        <v>2</v>
      </c>
      <c r="B1408" s="71" t="n">
        <v>46189</v>
      </c>
      <c r="C1408" s="0" t="n">
        <v>11</v>
      </c>
      <c r="D1408" s="0" t="s">
        <v>2471</v>
      </c>
      <c r="E1408" s="0" t="n">
        <v>1636</v>
      </c>
      <c r="F1408" s="0" t="s">
        <v>61</v>
      </c>
      <c r="I1408" s="0" t="n">
        <v>3202460</v>
      </c>
      <c r="J1408" s="0" t="n">
        <v>14767</v>
      </c>
      <c r="K1408" s="0" t="n">
        <v>7896036095096</v>
      </c>
      <c r="L1408" s="0" t="s">
        <v>3278</v>
      </c>
      <c r="N1408" s="0" t="n">
        <v>54</v>
      </c>
      <c r="O1408" s="0" t="n">
        <v>143.64</v>
      </c>
      <c r="P1408" s="0" t="s">
        <v>2444</v>
      </c>
    </row>
    <row r="1409" customFormat="false" ht="15" hidden="false" customHeight="true" outlineLevel="0" collapsed="false">
      <c r="A1409" s="0" t="n">
        <v>2</v>
      </c>
      <c r="B1409" s="71" t="n">
        <v>46189</v>
      </c>
      <c r="C1409" s="0" t="n">
        <v>11</v>
      </c>
      <c r="D1409" s="0" t="s">
        <v>2471</v>
      </c>
      <c r="E1409" s="0" t="n">
        <v>1636</v>
      </c>
      <c r="F1409" s="0" t="s">
        <v>61</v>
      </c>
      <c r="I1409" s="0" t="n">
        <v>3202460</v>
      </c>
      <c r="J1409" s="0" t="n">
        <v>14874</v>
      </c>
      <c r="K1409" s="0" t="n">
        <v>7896036095102</v>
      </c>
      <c r="L1409" s="0" t="s">
        <v>3279</v>
      </c>
      <c r="N1409" s="0" t="n">
        <v>24</v>
      </c>
      <c r="O1409" s="0" t="n">
        <v>108.72</v>
      </c>
      <c r="P1409" s="0" t="s">
        <v>2444</v>
      </c>
    </row>
    <row r="1410" customFormat="false" ht="15" hidden="false" customHeight="true" outlineLevel="0" collapsed="false">
      <c r="A1410" s="0" t="n">
        <v>2</v>
      </c>
      <c r="B1410" s="71" t="n">
        <v>46189</v>
      </c>
      <c r="C1410" s="0" t="n">
        <v>11</v>
      </c>
      <c r="D1410" s="0" t="s">
        <v>2471</v>
      </c>
      <c r="E1410" s="0" t="n">
        <v>1636</v>
      </c>
      <c r="F1410" s="0" t="s">
        <v>61</v>
      </c>
      <c r="I1410" s="0" t="n">
        <v>3202460</v>
      </c>
      <c r="J1410" s="0" t="n">
        <v>15632</v>
      </c>
      <c r="K1410" s="0" t="n">
        <v>7896036092934</v>
      </c>
      <c r="L1410" s="0" t="s">
        <v>3280</v>
      </c>
      <c r="N1410" s="0" t="n">
        <v>6</v>
      </c>
      <c r="O1410" s="0" t="n">
        <v>93.27</v>
      </c>
      <c r="P1410" s="0" t="s">
        <v>2444</v>
      </c>
    </row>
    <row r="1411" customFormat="false" ht="15" hidden="false" customHeight="true" outlineLevel="0" collapsed="false">
      <c r="A1411" s="0" t="n">
        <v>2</v>
      </c>
      <c r="B1411" s="71" t="n">
        <v>46189</v>
      </c>
      <c r="C1411" s="0" t="n">
        <v>11</v>
      </c>
      <c r="D1411" s="0" t="s">
        <v>2471</v>
      </c>
      <c r="E1411" s="0" t="n">
        <v>1636</v>
      </c>
      <c r="F1411" s="0" t="s">
        <v>61</v>
      </c>
      <c r="I1411" s="0" t="n">
        <v>3202460</v>
      </c>
      <c r="J1411" s="0" t="n">
        <v>15633</v>
      </c>
      <c r="K1411" s="0" t="n">
        <v>7896036090619</v>
      </c>
      <c r="L1411" s="0" t="s">
        <v>3281</v>
      </c>
      <c r="N1411" s="0" t="n">
        <v>3</v>
      </c>
      <c r="O1411" s="0" t="n">
        <v>45.94</v>
      </c>
      <c r="P1411" s="0" t="s">
        <v>2444</v>
      </c>
    </row>
    <row r="1412" customFormat="false" ht="15" hidden="false" customHeight="true" outlineLevel="0" collapsed="false">
      <c r="A1412" s="0" t="n">
        <v>2</v>
      </c>
      <c r="B1412" s="71" t="n">
        <v>46189</v>
      </c>
      <c r="C1412" s="0" t="n">
        <v>11</v>
      </c>
      <c r="D1412" s="0" t="s">
        <v>2471</v>
      </c>
      <c r="E1412" s="0" t="n">
        <v>1636</v>
      </c>
      <c r="F1412" s="0" t="s">
        <v>61</v>
      </c>
      <c r="I1412" s="0" t="n">
        <v>3202460</v>
      </c>
      <c r="J1412" s="0" t="n">
        <v>18509</v>
      </c>
      <c r="K1412" s="0" t="n">
        <v>7896036094815</v>
      </c>
      <c r="L1412" s="0" t="s">
        <v>3282</v>
      </c>
      <c r="N1412" s="0" t="n">
        <v>24</v>
      </c>
      <c r="O1412" s="0" t="n">
        <v>61.98</v>
      </c>
      <c r="P1412" s="0" t="s">
        <v>2444</v>
      </c>
    </row>
    <row r="1413" customFormat="false" ht="15" hidden="false" customHeight="true" outlineLevel="0" collapsed="false">
      <c r="A1413" s="0" t="n">
        <v>2</v>
      </c>
      <c r="B1413" s="71" t="n">
        <v>46189</v>
      </c>
      <c r="C1413" s="0" t="n">
        <v>11</v>
      </c>
      <c r="D1413" s="0" t="s">
        <v>2471</v>
      </c>
      <c r="E1413" s="0" t="n">
        <v>1636</v>
      </c>
      <c r="F1413" s="0" t="s">
        <v>61</v>
      </c>
      <c r="I1413" s="0" t="n">
        <v>3202460</v>
      </c>
      <c r="J1413" s="0" t="n">
        <v>37688</v>
      </c>
      <c r="K1413" s="0" t="n">
        <v>7896423481853</v>
      </c>
      <c r="L1413" s="0" t="s">
        <v>3283</v>
      </c>
      <c r="N1413" s="0" t="n">
        <v>20</v>
      </c>
      <c r="O1413" s="0" t="n">
        <v>55.8</v>
      </c>
      <c r="P1413" s="0" t="s">
        <v>2444</v>
      </c>
    </row>
    <row r="1414" customFormat="false" ht="15" hidden="false" customHeight="true" outlineLevel="0" collapsed="false">
      <c r="A1414" s="0" t="n">
        <v>2</v>
      </c>
      <c r="B1414" s="71" t="n">
        <v>46189</v>
      </c>
      <c r="C1414" s="0" t="n">
        <v>11</v>
      </c>
      <c r="D1414" s="0" t="s">
        <v>2471</v>
      </c>
      <c r="E1414" s="0" t="n">
        <v>1636</v>
      </c>
      <c r="F1414" s="0" t="s">
        <v>61</v>
      </c>
      <c r="I1414" s="0" t="n">
        <v>3202460</v>
      </c>
      <c r="J1414" s="0" t="n">
        <v>43997</v>
      </c>
      <c r="K1414" s="0" t="n">
        <v>7896036091340</v>
      </c>
      <c r="L1414" s="0" t="s">
        <v>3284</v>
      </c>
      <c r="N1414" s="0" t="n">
        <v>12</v>
      </c>
      <c r="O1414" s="0" t="n">
        <v>43.21</v>
      </c>
      <c r="P1414" s="0" t="s">
        <v>2444</v>
      </c>
    </row>
    <row r="1415" customFormat="false" ht="15" hidden="false" customHeight="true" outlineLevel="0" collapsed="false">
      <c r="A1415" s="0" t="n">
        <v>2</v>
      </c>
      <c r="B1415" s="71" t="n">
        <v>46189</v>
      </c>
      <c r="C1415" s="0" t="n">
        <v>11</v>
      </c>
      <c r="D1415" s="0" t="s">
        <v>2471</v>
      </c>
      <c r="E1415" s="0" t="n">
        <v>1636</v>
      </c>
      <c r="F1415" s="0" t="s">
        <v>61</v>
      </c>
      <c r="I1415" s="0" t="n">
        <v>3202460</v>
      </c>
      <c r="J1415" s="0" t="n">
        <v>48493</v>
      </c>
      <c r="K1415" s="0" t="n">
        <v>7896036099544</v>
      </c>
      <c r="L1415" s="0" t="s">
        <v>3285</v>
      </c>
      <c r="N1415" s="0" t="n">
        <v>24</v>
      </c>
      <c r="O1415" s="0" t="n">
        <v>41.88</v>
      </c>
      <c r="P1415" s="0" t="s">
        <v>2444</v>
      </c>
    </row>
    <row r="1416" customFormat="false" ht="15" hidden="false" customHeight="true" outlineLevel="0" collapsed="false">
      <c r="A1416" s="0" t="n">
        <v>2</v>
      </c>
      <c r="B1416" s="71" t="n">
        <v>46189</v>
      </c>
      <c r="C1416" s="0" t="n">
        <v>11</v>
      </c>
      <c r="D1416" s="0" t="s">
        <v>2471</v>
      </c>
      <c r="E1416" s="0" t="n">
        <v>1636</v>
      </c>
      <c r="F1416" s="0" t="s">
        <v>61</v>
      </c>
      <c r="I1416" s="0" t="n">
        <v>3202460</v>
      </c>
      <c r="J1416" s="0" t="n">
        <v>48494</v>
      </c>
      <c r="K1416" s="0" t="n">
        <v>7896036099520</v>
      </c>
      <c r="L1416" s="0" t="s">
        <v>3286</v>
      </c>
      <c r="N1416" s="0" t="n">
        <v>12</v>
      </c>
      <c r="O1416" s="0" t="n">
        <v>27.33</v>
      </c>
      <c r="P1416" s="0" t="s">
        <v>2444</v>
      </c>
    </row>
    <row r="1417" customFormat="false" ht="15" hidden="false" customHeight="true" outlineLevel="0" collapsed="false">
      <c r="A1417" s="0" t="n">
        <v>2</v>
      </c>
      <c r="B1417" s="71" t="n">
        <v>46189</v>
      </c>
      <c r="C1417" s="0" t="n">
        <v>11</v>
      </c>
      <c r="D1417" s="0" t="s">
        <v>2471</v>
      </c>
      <c r="E1417" s="0" t="n">
        <v>1636</v>
      </c>
      <c r="F1417" s="0" t="s">
        <v>61</v>
      </c>
      <c r="I1417" s="0" t="n">
        <v>3202460</v>
      </c>
      <c r="J1417" s="0" t="n">
        <v>50370</v>
      </c>
      <c r="K1417" s="0" t="n">
        <v>7896036099537</v>
      </c>
      <c r="L1417" s="0" t="s">
        <v>3287</v>
      </c>
      <c r="N1417" s="0" t="n">
        <v>12</v>
      </c>
      <c r="O1417" s="0" t="n">
        <v>24.81</v>
      </c>
      <c r="P1417" s="0" t="s">
        <v>2444</v>
      </c>
    </row>
    <row r="1418" customFormat="false" ht="15" hidden="false" customHeight="true" outlineLevel="0" collapsed="false">
      <c r="A1418" s="0" t="n">
        <v>2</v>
      </c>
      <c r="B1418" s="71" t="n">
        <v>46189</v>
      </c>
      <c r="C1418" s="0" t="n">
        <v>11</v>
      </c>
      <c r="D1418" s="0" t="s">
        <v>2471</v>
      </c>
      <c r="E1418" s="0" t="n">
        <v>1636</v>
      </c>
      <c r="F1418" s="0" t="s">
        <v>61</v>
      </c>
      <c r="I1418" s="0" t="n">
        <v>3202460</v>
      </c>
      <c r="J1418" s="0" t="n">
        <v>50371</v>
      </c>
      <c r="K1418" s="0" t="n">
        <v>7896036099490</v>
      </c>
      <c r="L1418" s="0" t="s">
        <v>3288</v>
      </c>
      <c r="N1418" s="0" t="n">
        <v>12</v>
      </c>
      <c r="O1418" s="0" t="n">
        <v>24.81</v>
      </c>
      <c r="P1418" s="0" t="s">
        <v>2444</v>
      </c>
    </row>
    <row r="1419" customFormat="false" ht="15" hidden="false" customHeight="true" outlineLevel="0" collapsed="false">
      <c r="A1419" s="0" t="n">
        <v>2</v>
      </c>
      <c r="B1419" s="71" t="n">
        <v>46189</v>
      </c>
      <c r="C1419" s="0" t="n">
        <v>11</v>
      </c>
      <c r="D1419" s="0" t="s">
        <v>2471</v>
      </c>
      <c r="E1419" s="0" t="n">
        <v>1636</v>
      </c>
      <c r="F1419" s="0" t="s">
        <v>61</v>
      </c>
      <c r="I1419" s="0" t="n">
        <v>3202460</v>
      </c>
      <c r="J1419" s="0" t="n">
        <v>52194</v>
      </c>
      <c r="K1419" s="0" t="n">
        <v>7896036099506</v>
      </c>
      <c r="L1419" s="0" t="s">
        <v>3289</v>
      </c>
      <c r="N1419" s="0" t="n">
        <v>12</v>
      </c>
      <c r="O1419" s="0" t="n">
        <v>24.81</v>
      </c>
      <c r="P1419" s="0" t="s">
        <v>2444</v>
      </c>
    </row>
    <row r="1420" customFormat="false" ht="15" hidden="false" customHeight="true" outlineLevel="0" collapsed="false">
      <c r="A1420" s="0" t="n">
        <v>2</v>
      </c>
      <c r="B1420" s="71" t="n">
        <v>46189</v>
      </c>
      <c r="C1420" s="0" t="n">
        <v>11</v>
      </c>
      <c r="D1420" s="0" t="s">
        <v>2471</v>
      </c>
      <c r="E1420" s="0" t="n">
        <v>1636</v>
      </c>
      <c r="F1420" s="0" t="s">
        <v>61</v>
      </c>
      <c r="I1420" s="0" t="n">
        <v>3202460</v>
      </c>
      <c r="J1420" s="0" t="n">
        <v>65885</v>
      </c>
      <c r="K1420" s="0" t="n">
        <v>7896036001219</v>
      </c>
      <c r="L1420" s="0" t="s">
        <v>3290</v>
      </c>
      <c r="N1420" s="0" t="n">
        <v>27</v>
      </c>
      <c r="O1420" s="0" t="n">
        <v>51.42</v>
      </c>
      <c r="P1420" s="0" t="s">
        <v>2444</v>
      </c>
    </row>
    <row r="1421" customFormat="false" ht="15" hidden="false" customHeight="true" outlineLevel="0" collapsed="false">
      <c r="A1421" s="0" t="n">
        <v>2</v>
      </c>
      <c r="B1421" s="71" t="n">
        <v>46189</v>
      </c>
      <c r="C1421" s="0" t="n">
        <v>11</v>
      </c>
      <c r="D1421" s="0" t="s">
        <v>2471</v>
      </c>
      <c r="E1421" s="0" t="n">
        <v>1636</v>
      </c>
      <c r="F1421" s="0" t="s">
        <v>61</v>
      </c>
      <c r="I1421" s="0" t="n">
        <v>3202460</v>
      </c>
      <c r="J1421" s="0" t="n">
        <v>66069</v>
      </c>
      <c r="K1421" s="0" t="n">
        <v>7896004010076</v>
      </c>
      <c r="L1421" s="0" t="s">
        <v>3291</v>
      </c>
      <c r="N1421" s="0" t="n">
        <v>24</v>
      </c>
      <c r="O1421" s="0" t="n">
        <v>109.47</v>
      </c>
      <c r="P1421" s="0" t="s">
        <v>2444</v>
      </c>
    </row>
    <row r="1422" customFormat="false" ht="15" hidden="false" customHeight="true" outlineLevel="0" collapsed="false">
      <c r="A1422" s="0" t="n">
        <v>2</v>
      </c>
      <c r="B1422" s="71" t="n">
        <v>46189</v>
      </c>
      <c r="C1422" s="0" t="n">
        <v>11</v>
      </c>
      <c r="D1422" s="0" t="s">
        <v>2471</v>
      </c>
      <c r="E1422" s="0" t="n">
        <v>1636</v>
      </c>
      <c r="F1422" s="0" t="s">
        <v>61</v>
      </c>
      <c r="I1422" s="0" t="n">
        <v>3202460</v>
      </c>
      <c r="J1422" s="0" t="n">
        <v>67359</v>
      </c>
      <c r="K1422" s="0" t="n">
        <v>7891167831650</v>
      </c>
      <c r="L1422" s="0" t="s">
        <v>3292</v>
      </c>
      <c r="N1422" s="0" t="n">
        <v>24</v>
      </c>
      <c r="O1422" s="0" t="n">
        <v>131.76</v>
      </c>
      <c r="P1422" s="0" t="s">
        <v>2444</v>
      </c>
    </row>
    <row r="1423" customFormat="false" ht="15" hidden="false" customHeight="true" outlineLevel="0" collapsed="false">
      <c r="A1423" s="0" t="n">
        <v>2</v>
      </c>
      <c r="B1423" s="71" t="n">
        <v>46189</v>
      </c>
      <c r="C1423" s="0" t="n">
        <v>11</v>
      </c>
      <c r="D1423" s="0" t="s">
        <v>2471</v>
      </c>
      <c r="E1423" s="0" t="n">
        <v>1636</v>
      </c>
      <c r="F1423" s="0" t="s">
        <v>61</v>
      </c>
      <c r="I1423" s="0" t="n">
        <v>3202460</v>
      </c>
      <c r="J1423" s="0" t="n">
        <v>67363</v>
      </c>
      <c r="K1423" s="0" t="n">
        <v>7891167831667</v>
      </c>
      <c r="L1423" s="0" t="s">
        <v>3293</v>
      </c>
      <c r="N1423" s="0" t="n">
        <v>24</v>
      </c>
      <c r="O1423" s="0" t="n">
        <v>131.76</v>
      </c>
      <c r="P1423" s="0" t="s">
        <v>2444</v>
      </c>
    </row>
    <row r="1424" customFormat="false" ht="15" hidden="false" customHeight="true" outlineLevel="0" collapsed="false">
      <c r="A1424" s="0" t="n">
        <v>2</v>
      </c>
      <c r="B1424" s="71" t="n">
        <v>46189</v>
      </c>
      <c r="C1424" s="0" t="n">
        <v>11</v>
      </c>
      <c r="D1424" s="0" t="s">
        <v>2471</v>
      </c>
      <c r="E1424" s="0" t="n">
        <v>1636</v>
      </c>
      <c r="F1424" s="0" t="s">
        <v>61</v>
      </c>
      <c r="I1424" s="0" t="n">
        <v>3202460</v>
      </c>
      <c r="J1424" s="0" t="n">
        <v>71380</v>
      </c>
      <c r="K1424" s="0" t="n">
        <v>7896423488883</v>
      </c>
      <c r="L1424" s="0" t="s">
        <v>3294</v>
      </c>
      <c r="N1424" s="0" t="n">
        <v>20</v>
      </c>
      <c r="O1424" s="0" t="n">
        <v>55.8</v>
      </c>
      <c r="P1424" s="0" t="s">
        <v>2444</v>
      </c>
    </row>
    <row r="1425" customFormat="false" ht="15" hidden="false" customHeight="true" outlineLevel="0" collapsed="false">
      <c r="A1425" s="0" t="n">
        <v>2</v>
      </c>
      <c r="B1425" s="71" t="n">
        <v>46189</v>
      </c>
      <c r="C1425" s="0" t="n">
        <v>11</v>
      </c>
      <c r="D1425" s="0" t="s">
        <v>2471</v>
      </c>
      <c r="E1425" s="0" t="n">
        <v>1636</v>
      </c>
      <c r="F1425" s="0" t="s">
        <v>61</v>
      </c>
      <c r="I1425" s="0" t="n">
        <v>3202460</v>
      </c>
      <c r="J1425" s="0" t="n">
        <v>74370</v>
      </c>
      <c r="K1425" s="0" t="n">
        <v>7896036001349</v>
      </c>
      <c r="L1425" s="0" t="s">
        <v>3295</v>
      </c>
      <c r="N1425" s="0" t="n">
        <v>32</v>
      </c>
      <c r="O1425" s="0" t="n">
        <v>113.76</v>
      </c>
      <c r="P1425" s="0" t="s">
        <v>2444</v>
      </c>
    </row>
    <row r="1426" customFormat="false" ht="15" hidden="false" customHeight="true" outlineLevel="0" collapsed="false">
      <c r="A1426" s="0" t="n">
        <v>2</v>
      </c>
      <c r="B1426" s="71" t="n">
        <v>46189</v>
      </c>
      <c r="C1426" s="0" t="n">
        <v>11</v>
      </c>
      <c r="D1426" s="0" t="s">
        <v>2471</v>
      </c>
      <c r="E1426" s="0" t="n">
        <v>1636</v>
      </c>
      <c r="F1426" s="0" t="s">
        <v>61</v>
      </c>
      <c r="I1426" s="0" t="n">
        <v>3202460</v>
      </c>
      <c r="J1426" s="0" t="n">
        <v>79990</v>
      </c>
      <c r="K1426" s="0" t="n">
        <v>7896004010083</v>
      </c>
      <c r="L1426" s="0" t="s">
        <v>3296</v>
      </c>
      <c r="N1426" s="0" t="n">
        <v>12</v>
      </c>
      <c r="O1426" s="0" t="n">
        <v>54.73</v>
      </c>
      <c r="P1426" s="0" t="s">
        <v>2444</v>
      </c>
    </row>
    <row r="1427" customFormat="false" ht="15" hidden="false" customHeight="true" outlineLevel="0" collapsed="false">
      <c r="A1427" s="0" t="n">
        <v>2</v>
      </c>
      <c r="B1427" s="71" t="n">
        <v>46189</v>
      </c>
      <c r="C1427" s="0" t="n">
        <v>11</v>
      </c>
      <c r="D1427" s="0" t="s">
        <v>2471</v>
      </c>
      <c r="E1427" s="0" t="n">
        <v>1636</v>
      </c>
      <c r="F1427" s="0" t="s">
        <v>61</v>
      </c>
      <c r="I1427" s="0" t="n">
        <v>3202460</v>
      </c>
      <c r="J1427" s="0" t="n">
        <v>80262</v>
      </c>
      <c r="K1427" s="0" t="n">
        <v>7896036001684</v>
      </c>
      <c r="L1427" s="0" t="s">
        <v>3297</v>
      </c>
      <c r="N1427" s="0" t="n">
        <v>32</v>
      </c>
      <c r="O1427" s="0" t="n">
        <v>70.51</v>
      </c>
      <c r="P1427" s="0" t="s">
        <v>2444</v>
      </c>
    </row>
    <row r="1428" customFormat="false" ht="15" hidden="false" customHeight="true" outlineLevel="0" collapsed="false">
      <c r="A1428" s="0" t="n">
        <v>2</v>
      </c>
      <c r="B1428" s="71" t="n">
        <v>46189</v>
      </c>
      <c r="C1428" s="0" t="n">
        <v>39</v>
      </c>
      <c r="D1428" s="0" t="s">
        <v>3298</v>
      </c>
      <c r="E1428" s="0" t="n">
        <v>1203</v>
      </c>
      <c r="F1428" s="0" t="s">
        <v>2345</v>
      </c>
      <c r="I1428" s="0" t="n">
        <v>18964</v>
      </c>
      <c r="J1428" s="0" t="n">
        <v>80007</v>
      </c>
      <c r="K1428" s="0" t="n">
        <v>800082</v>
      </c>
      <c r="L1428" s="0" t="s">
        <v>3299</v>
      </c>
      <c r="N1428" s="0" t="n">
        <v>6</v>
      </c>
      <c r="O1428" s="0" t="n">
        <v>113.4</v>
      </c>
      <c r="P1428" s="0" t="s">
        <v>2444</v>
      </c>
    </row>
    <row r="1429" customFormat="false" ht="15" hidden="false" customHeight="true" outlineLevel="0" collapsed="false">
      <c r="A1429" s="0" t="n">
        <v>2</v>
      </c>
      <c r="B1429" s="71" t="n">
        <v>46189</v>
      </c>
      <c r="C1429" s="0" t="n">
        <v>39</v>
      </c>
      <c r="D1429" s="0" t="s">
        <v>3298</v>
      </c>
      <c r="E1429" s="0" t="n">
        <v>1203</v>
      </c>
      <c r="F1429" s="0" t="s">
        <v>2345</v>
      </c>
      <c r="I1429" s="0" t="n">
        <v>18964</v>
      </c>
      <c r="J1429" s="0" t="n">
        <v>80009</v>
      </c>
      <c r="K1429" s="0" t="n">
        <v>800105</v>
      </c>
      <c r="L1429" s="0" t="s">
        <v>3300</v>
      </c>
      <c r="N1429" s="0" t="n">
        <v>5</v>
      </c>
      <c r="O1429" s="0" t="n">
        <v>91.1</v>
      </c>
      <c r="P1429" s="0" t="s">
        <v>2444</v>
      </c>
    </row>
    <row r="1430" customFormat="false" ht="15" hidden="false" customHeight="true" outlineLevel="0" collapsed="false">
      <c r="A1430" s="0" t="n">
        <v>2</v>
      </c>
      <c r="B1430" s="71" t="n">
        <v>46189</v>
      </c>
      <c r="C1430" s="0" t="n">
        <v>39</v>
      </c>
      <c r="D1430" s="0" t="s">
        <v>3298</v>
      </c>
      <c r="E1430" s="0" t="n">
        <v>1203</v>
      </c>
      <c r="F1430" s="0" t="s">
        <v>2345</v>
      </c>
      <c r="I1430" s="0" t="n">
        <v>18964</v>
      </c>
      <c r="J1430" s="0" t="n">
        <v>80011</v>
      </c>
      <c r="K1430" s="0" t="n">
        <v>800129</v>
      </c>
      <c r="L1430" s="0" t="s">
        <v>3301</v>
      </c>
      <c r="N1430" s="0" t="n">
        <v>1</v>
      </c>
      <c r="O1430" s="0" t="n">
        <v>6.78</v>
      </c>
      <c r="P1430" s="0" t="s">
        <v>2444</v>
      </c>
    </row>
    <row r="1431" customFormat="false" ht="15" hidden="false" customHeight="true" outlineLevel="0" collapsed="false">
      <c r="A1431" s="0" t="n">
        <v>2</v>
      </c>
      <c r="B1431" s="71" t="n">
        <v>46189</v>
      </c>
      <c r="C1431" s="0" t="n">
        <v>39</v>
      </c>
      <c r="D1431" s="0" t="s">
        <v>3298</v>
      </c>
      <c r="E1431" s="0" t="n">
        <v>1203</v>
      </c>
      <c r="F1431" s="0" t="s">
        <v>2345</v>
      </c>
      <c r="I1431" s="0" t="n">
        <v>18964</v>
      </c>
      <c r="J1431" s="0" t="n">
        <v>81423</v>
      </c>
      <c r="K1431" s="0" t="n">
        <v>814249</v>
      </c>
      <c r="L1431" s="0" t="s">
        <v>3302</v>
      </c>
      <c r="N1431" s="0" t="n">
        <v>4</v>
      </c>
      <c r="O1431" s="0" t="n">
        <v>286.04</v>
      </c>
      <c r="P1431" s="0" t="s">
        <v>2444</v>
      </c>
    </row>
    <row r="1432" customFormat="false" ht="15" hidden="false" customHeight="true" outlineLevel="0" collapsed="false">
      <c r="A1432" s="0" t="n">
        <v>2</v>
      </c>
      <c r="B1432" s="71" t="n">
        <v>46189</v>
      </c>
      <c r="C1432" s="0" t="n">
        <v>39</v>
      </c>
      <c r="D1432" s="0" t="s">
        <v>3298</v>
      </c>
      <c r="E1432" s="0" t="n">
        <v>1203</v>
      </c>
      <c r="F1432" s="0" t="s">
        <v>2345</v>
      </c>
      <c r="I1432" s="0" t="n">
        <v>18964</v>
      </c>
      <c r="J1432" s="0" t="n">
        <v>81425</v>
      </c>
      <c r="K1432" s="0" t="n">
        <v>814263</v>
      </c>
      <c r="L1432" s="0" t="s">
        <v>3303</v>
      </c>
      <c r="N1432" s="0" t="n">
        <v>2</v>
      </c>
      <c r="O1432" s="0" t="n">
        <v>9.7</v>
      </c>
      <c r="P1432" s="0" t="s">
        <v>2444</v>
      </c>
    </row>
    <row r="1433" customFormat="false" ht="15" hidden="false" customHeight="true" outlineLevel="0" collapsed="false">
      <c r="A1433" s="0" t="n">
        <v>2</v>
      </c>
      <c r="B1433" s="71" t="n">
        <v>46189</v>
      </c>
      <c r="C1433" s="0" t="n">
        <v>39</v>
      </c>
      <c r="D1433" s="0" t="s">
        <v>3298</v>
      </c>
      <c r="E1433" s="0" t="n">
        <v>1203</v>
      </c>
      <c r="F1433" s="0" t="s">
        <v>2345</v>
      </c>
      <c r="I1433" s="0" t="n">
        <v>18964</v>
      </c>
      <c r="J1433" s="0" t="n">
        <v>81427</v>
      </c>
      <c r="K1433" s="0" t="n">
        <v>814287</v>
      </c>
      <c r="L1433" s="0" t="s">
        <v>3304</v>
      </c>
      <c r="N1433" s="0" t="n">
        <v>1</v>
      </c>
      <c r="O1433" s="0" t="n">
        <v>37.98</v>
      </c>
      <c r="P1433" s="0" t="s">
        <v>2444</v>
      </c>
    </row>
    <row r="1434" customFormat="false" ht="15" hidden="false" customHeight="true" outlineLevel="0" collapsed="false">
      <c r="A1434" s="0" t="n">
        <v>2</v>
      </c>
      <c r="B1434" s="71" t="n">
        <v>46189</v>
      </c>
      <c r="C1434" s="0" t="n">
        <v>39</v>
      </c>
      <c r="D1434" s="0" t="s">
        <v>3298</v>
      </c>
      <c r="E1434" s="0" t="n">
        <v>645</v>
      </c>
      <c r="F1434" s="0" t="s">
        <v>2350</v>
      </c>
      <c r="I1434" s="0" t="n">
        <v>35695</v>
      </c>
      <c r="J1434" s="0" t="n">
        <v>81429</v>
      </c>
      <c r="K1434" s="0" t="n">
        <v>814300</v>
      </c>
      <c r="L1434" s="0" t="s">
        <v>3305</v>
      </c>
      <c r="N1434" s="0" t="n">
        <v>2</v>
      </c>
      <c r="O1434" s="0" t="n">
        <v>13.1</v>
      </c>
      <c r="P1434" s="0" t="s">
        <v>2444</v>
      </c>
    </row>
    <row r="1435" customFormat="false" ht="15" hidden="false" customHeight="true" outlineLevel="0" collapsed="false">
      <c r="A1435" s="0" t="n">
        <v>2</v>
      </c>
      <c r="B1435" s="71" t="n">
        <v>46189</v>
      </c>
      <c r="C1435" s="0" t="n">
        <v>171</v>
      </c>
      <c r="D1435" s="0" t="s">
        <v>3017</v>
      </c>
      <c r="E1435" s="0" t="n">
        <v>1611</v>
      </c>
      <c r="F1435" s="0" t="s">
        <v>178</v>
      </c>
      <c r="I1435" s="0" t="n">
        <v>1771888</v>
      </c>
      <c r="J1435" s="0" t="n">
        <v>81147</v>
      </c>
      <c r="K1435" s="0" t="n">
        <v>9786555165807</v>
      </c>
      <c r="L1435" s="0" t="s">
        <v>3200</v>
      </c>
      <c r="N1435" s="0" t="n">
        <v>20</v>
      </c>
      <c r="O1435" s="0" t="n">
        <v>47.14</v>
      </c>
      <c r="P1435" s="0" t="s">
        <v>3019</v>
      </c>
    </row>
    <row r="1436" customFormat="false" ht="15" hidden="false" customHeight="true" outlineLevel="0" collapsed="false">
      <c r="A1436" s="0" t="n">
        <v>2</v>
      </c>
      <c r="B1436" s="71" t="n">
        <v>46190</v>
      </c>
      <c r="C1436" s="0" t="n">
        <v>1</v>
      </c>
      <c r="D1436" s="0" t="s">
        <v>2442</v>
      </c>
      <c r="E1436" s="0" t="n">
        <v>10018</v>
      </c>
      <c r="F1436" s="0" t="s">
        <v>216</v>
      </c>
      <c r="I1436" s="0" t="n">
        <v>304</v>
      </c>
      <c r="J1436" s="0" t="n">
        <v>100933</v>
      </c>
      <c r="K1436" s="0" t="n">
        <v>7896982100059</v>
      </c>
      <c r="L1436" s="0" t="s">
        <v>2500</v>
      </c>
      <c r="N1436" s="0" t="n">
        <v>1800</v>
      </c>
      <c r="O1436" s="0" t="n">
        <v>925</v>
      </c>
      <c r="P1436" s="0" t="s">
        <v>2444</v>
      </c>
    </row>
    <row r="1437" customFormat="false" ht="15" hidden="false" customHeight="true" outlineLevel="0" collapsed="false">
      <c r="A1437" s="0" t="n">
        <v>2</v>
      </c>
      <c r="B1437" s="71" t="n">
        <v>46190</v>
      </c>
      <c r="C1437" s="0" t="n">
        <v>1</v>
      </c>
      <c r="D1437" s="0" t="s">
        <v>2442</v>
      </c>
      <c r="E1437" s="0" t="n">
        <v>1899</v>
      </c>
      <c r="F1437" s="0" t="s">
        <v>204</v>
      </c>
      <c r="I1437" s="0" t="n">
        <v>669</v>
      </c>
      <c r="J1437" s="0" t="n">
        <v>44588</v>
      </c>
      <c r="K1437" s="0" t="n">
        <v>7898904331091</v>
      </c>
      <c r="L1437" s="0" t="s">
        <v>2443</v>
      </c>
      <c r="N1437" s="0" t="n">
        <v>15</v>
      </c>
      <c r="O1437" s="0" t="n">
        <v>74.85</v>
      </c>
      <c r="P1437" s="0" t="s">
        <v>2444</v>
      </c>
    </row>
    <row r="1438" customFormat="false" ht="15" hidden="false" customHeight="true" outlineLevel="0" collapsed="false">
      <c r="A1438" s="0" t="n">
        <v>2</v>
      </c>
      <c r="B1438" s="71" t="n">
        <v>46190</v>
      </c>
      <c r="C1438" s="0" t="n">
        <v>1</v>
      </c>
      <c r="D1438" s="0" t="s">
        <v>2442</v>
      </c>
      <c r="E1438" s="0" t="n">
        <v>1899</v>
      </c>
      <c r="F1438" s="0" t="s">
        <v>204</v>
      </c>
      <c r="I1438" s="0" t="n">
        <v>669</v>
      </c>
      <c r="J1438" s="0" t="n">
        <v>77463</v>
      </c>
      <c r="K1438" s="0" t="n">
        <v>774642</v>
      </c>
      <c r="L1438" s="0" t="s">
        <v>2445</v>
      </c>
      <c r="N1438" s="0" t="n">
        <v>30</v>
      </c>
      <c r="O1438" s="0" t="n">
        <v>135</v>
      </c>
      <c r="P1438" s="0" t="s">
        <v>2444</v>
      </c>
    </row>
    <row r="1439" customFormat="false" ht="15" hidden="false" customHeight="true" outlineLevel="0" collapsed="false">
      <c r="A1439" s="0" t="n">
        <v>2</v>
      </c>
      <c r="B1439" s="71" t="n">
        <v>46190</v>
      </c>
      <c r="C1439" s="0" t="n">
        <v>1</v>
      </c>
      <c r="D1439" s="0" t="s">
        <v>2442</v>
      </c>
      <c r="E1439" s="0" t="n">
        <v>1899</v>
      </c>
      <c r="F1439" s="0" t="s">
        <v>204</v>
      </c>
      <c r="I1439" s="0" t="n">
        <v>669</v>
      </c>
      <c r="J1439" s="0" t="n">
        <v>77903</v>
      </c>
      <c r="K1439" s="0" t="n">
        <v>779043</v>
      </c>
      <c r="L1439" s="0" t="s">
        <v>2945</v>
      </c>
      <c r="N1439" s="0" t="n">
        <v>5</v>
      </c>
      <c r="O1439" s="0" t="n">
        <v>22.5</v>
      </c>
      <c r="P1439" s="0" t="s">
        <v>2444</v>
      </c>
    </row>
    <row r="1440" customFormat="false" ht="15" hidden="false" customHeight="true" outlineLevel="0" collapsed="false">
      <c r="A1440" s="0" t="n">
        <v>2</v>
      </c>
      <c r="B1440" s="71" t="n">
        <v>46190</v>
      </c>
      <c r="C1440" s="0" t="n">
        <v>1</v>
      </c>
      <c r="D1440" s="0" t="s">
        <v>2442</v>
      </c>
      <c r="E1440" s="0" t="n">
        <v>1899</v>
      </c>
      <c r="F1440" s="0" t="s">
        <v>204</v>
      </c>
      <c r="I1440" s="0" t="n">
        <v>669</v>
      </c>
      <c r="J1440" s="0" t="n">
        <v>78013</v>
      </c>
      <c r="K1440" s="0" t="n">
        <v>780148</v>
      </c>
      <c r="L1440" s="0" t="s">
        <v>2584</v>
      </c>
      <c r="N1440" s="0" t="n">
        <v>5</v>
      </c>
      <c r="O1440" s="0" t="n">
        <v>22.5</v>
      </c>
      <c r="P1440" s="0" t="s">
        <v>2444</v>
      </c>
    </row>
    <row r="1441" customFormat="false" ht="15" hidden="false" customHeight="true" outlineLevel="0" collapsed="false">
      <c r="A1441" s="0" t="n">
        <v>2</v>
      </c>
      <c r="B1441" s="71" t="n">
        <v>46190</v>
      </c>
      <c r="C1441" s="0" t="n">
        <v>1</v>
      </c>
      <c r="D1441" s="0" t="s">
        <v>2442</v>
      </c>
      <c r="E1441" s="0" t="n">
        <v>1899</v>
      </c>
      <c r="F1441" s="0" t="s">
        <v>204</v>
      </c>
      <c r="I1441" s="0" t="n">
        <v>669</v>
      </c>
      <c r="J1441" s="0" t="n">
        <v>78015</v>
      </c>
      <c r="K1441" s="0" t="n">
        <v>780162</v>
      </c>
      <c r="L1441" s="0" t="s">
        <v>2447</v>
      </c>
      <c r="N1441" s="0" t="n">
        <v>10</v>
      </c>
      <c r="O1441" s="0" t="n">
        <v>49.9</v>
      </c>
      <c r="P1441" s="0" t="s">
        <v>2444</v>
      </c>
    </row>
    <row r="1442" customFormat="false" ht="15" hidden="false" customHeight="true" outlineLevel="0" collapsed="false">
      <c r="A1442" s="0" t="n">
        <v>2</v>
      </c>
      <c r="B1442" s="71" t="n">
        <v>46190</v>
      </c>
      <c r="C1442" s="0" t="n">
        <v>1</v>
      </c>
      <c r="D1442" s="0" t="s">
        <v>2442</v>
      </c>
      <c r="E1442" s="0" t="n">
        <v>1749</v>
      </c>
      <c r="F1442" s="0" t="s">
        <v>585</v>
      </c>
      <c r="I1442" s="0" t="n">
        <v>1773</v>
      </c>
      <c r="J1442" s="0" t="n">
        <v>104678</v>
      </c>
      <c r="K1442" s="0" t="n">
        <v>7898247780075</v>
      </c>
      <c r="L1442" s="0" t="s">
        <v>3306</v>
      </c>
      <c r="N1442" s="0" t="n">
        <v>200</v>
      </c>
      <c r="O1442" s="0" t="n">
        <v>1379</v>
      </c>
      <c r="P1442" s="0" t="s">
        <v>2444</v>
      </c>
    </row>
    <row r="1443" customFormat="false" ht="15" hidden="false" customHeight="true" outlineLevel="0" collapsed="false">
      <c r="A1443" s="0" t="n">
        <v>2</v>
      </c>
      <c r="B1443" s="71" t="n">
        <v>46190</v>
      </c>
      <c r="C1443" s="0" t="n">
        <v>1</v>
      </c>
      <c r="D1443" s="0" t="s">
        <v>2442</v>
      </c>
      <c r="E1443" s="0" t="n">
        <v>1749</v>
      </c>
      <c r="F1443" s="0" t="s">
        <v>585</v>
      </c>
      <c r="I1443" s="0" t="n">
        <v>1773</v>
      </c>
      <c r="J1443" s="0" t="n">
        <v>81365</v>
      </c>
      <c r="K1443" s="0" t="n">
        <v>7898361830106</v>
      </c>
      <c r="L1443" s="0" t="s">
        <v>3307</v>
      </c>
      <c r="N1443" s="0" t="n">
        <v>125</v>
      </c>
      <c r="O1443" s="0" t="n">
        <v>455</v>
      </c>
      <c r="P1443" s="0" t="s">
        <v>2444</v>
      </c>
    </row>
    <row r="1444" customFormat="false" ht="15" hidden="false" customHeight="true" outlineLevel="0" collapsed="false">
      <c r="A1444" s="0" t="n">
        <v>2</v>
      </c>
      <c r="B1444" s="71" t="n">
        <v>46190</v>
      </c>
      <c r="C1444" s="0" t="n">
        <v>1</v>
      </c>
      <c r="D1444" s="0" t="s">
        <v>2442</v>
      </c>
      <c r="E1444" s="0" t="n">
        <v>1292</v>
      </c>
      <c r="F1444" s="0" t="s">
        <v>209</v>
      </c>
      <c r="I1444" s="0" t="n">
        <v>3415</v>
      </c>
      <c r="J1444" s="0" t="n">
        <v>28574</v>
      </c>
      <c r="K1444" s="0" t="n">
        <v>7898028069009</v>
      </c>
      <c r="L1444" s="0" t="s">
        <v>2607</v>
      </c>
      <c r="N1444" s="0" t="n">
        <v>25</v>
      </c>
      <c r="O1444" s="0" t="n">
        <v>140</v>
      </c>
      <c r="P1444" s="0" t="s">
        <v>2444</v>
      </c>
    </row>
    <row r="1445" customFormat="false" ht="15" hidden="false" customHeight="true" outlineLevel="0" collapsed="false">
      <c r="A1445" s="0" t="n">
        <v>2</v>
      </c>
      <c r="B1445" s="71" t="n">
        <v>46190</v>
      </c>
      <c r="C1445" s="0" t="n">
        <v>1</v>
      </c>
      <c r="D1445" s="0" t="s">
        <v>2442</v>
      </c>
      <c r="E1445" s="0" t="n">
        <v>1292</v>
      </c>
      <c r="F1445" s="0" t="s">
        <v>209</v>
      </c>
      <c r="I1445" s="0" t="n">
        <v>3415</v>
      </c>
      <c r="J1445" s="0" t="n">
        <v>58633</v>
      </c>
      <c r="K1445" s="0" t="n">
        <v>7891164025250</v>
      </c>
      <c r="L1445" s="0" t="s">
        <v>2448</v>
      </c>
      <c r="N1445" s="0" t="n">
        <v>15</v>
      </c>
      <c r="O1445" s="0" t="n">
        <v>134.85</v>
      </c>
      <c r="P1445" s="0" t="s">
        <v>2444</v>
      </c>
    </row>
    <row r="1446" customFormat="false" ht="15" hidden="false" customHeight="true" outlineLevel="0" collapsed="false">
      <c r="A1446" s="0" t="n">
        <v>2</v>
      </c>
      <c r="B1446" s="71" t="n">
        <v>46190</v>
      </c>
      <c r="C1446" s="0" t="n">
        <v>1</v>
      </c>
      <c r="D1446" s="0" t="s">
        <v>2442</v>
      </c>
      <c r="E1446" s="0" t="n">
        <v>1078</v>
      </c>
      <c r="F1446" s="0" t="s">
        <v>151</v>
      </c>
      <c r="I1446" s="0" t="n">
        <v>27994</v>
      </c>
      <c r="J1446" s="0" t="n">
        <v>23413</v>
      </c>
      <c r="K1446" s="0" t="n">
        <v>7898542022900</v>
      </c>
      <c r="L1446" s="0" t="s">
        <v>3308</v>
      </c>
      <c r="N1446" s="0" t="n">
        <v>180</v>
      </c>
      <c r="O1446" s="0" t="n">
        <v>212.4</v>
      </c>
      <c r="P1446" s="0" t="s">
        <v>2444</v>
      </c>
    </row>
    <row r="1447" customFormat="false" ht="15" hidden="false" customHeight="true" outlineLevel="0" collapsed="false">
      <c r="A1447" s="0" t="n">
        <v>2</v>
      </c>
      <c r="B1447" s="71" t="n">
        <v>46190</v>
      </c>
      <c r="C1447" s="0" t="n">
        <v>1</v>
      </c>
      <c r="D1447" s="0" t="s">
        <v>2442</v>
      </c>
      <c r="E1447" s="0" t="n">
        <v>10010</v>
      </c>
      <c r="F1447" s="0" t="s">
        <v>837</v>
      </c>
      <c r="I1447" s="0" t="n">
        <v>41243</v>
      </c>
      <c r="J1447" s="0" t="n">
        <v>63351</v>
      </c>
      <c r="K1447" s="0" t="n">
        <v>7898969820233</v>
      </c>
      <c r="L1447" s="0" t="s">
        <v>3309</v>
      </c>
      <c r="N1447" s="0" t="n">
        <v>12</v>
      </c>
      <c r="O1447" s="0" t="n">
        <v>50.72</v>
      </c>
      <c r="P1447" s="0" t="s">
        <v>2444</v>
      </c>
    </row>
    <row r="1448" customFormat="false" ht="15" hidden="false" customHeight="true" outlineLevel="0" collapsed="false">
      <c r="A1448" s="0" t="n">
        <v>2</v>
      </c>
      <c r="B1448" s="71" t="n">
        <v>46190</v>
      </c>
      <c r="C1448" s="0" t="n">
        <v>1</v>
      </c>
      <c r="D1448" s="0" t="s">
        <v>2442</v>
      </c>
      <c r="E1448" s="0" t="n">
        <v>10010</v>
      </c>
      <c r="F1448" s="0" t="s">
        <v>837</v>
      </c>
      <c r="I1448" s="0" t="n">
        <v>41243</v>
      </c>
      <c r="J1448" s="0" t="n">
        <v>63364</v>
      </c>
      <c r="K1448" s="0" t="n">
        <v>7898969820226</v>
      </c>
      <c r="L1448" s="0" t="s">
        <v>3309</v>
      </c>
      <c r="N1448" s="0" t="n">
        <v>12</v>
      </c>
      <c r="O1448" s="0" t="n">
        <v>50.72</v>
      </c>
      <c r="P1448" s="0" t="s">
        <v>2444</v>
      </c>
    </row>
    <row r="1449" customFormat="false" ht="15" hidden="false" customHeight="true" outlineLevel="0" collapsed="false">
      <c r="A1449" s="0" t="n">
        <v>2</v>
      </c>
      <c r="B1449" s="71" t="n">
        <v>46190</v>
      </c>
      <c r="C1449" s="0" t="n">
        <v>1</v>
      </c>
      <c r="D1449" s="0" t="s">
        <v>2442</v>
      </c>
      <c r="E1449" s="0" t="n">
        <v>10010</v>
      </c>
      <c r="F1449" s="0" t="s">
        <v>837</v>
      </c>
      <c r="I1449" s="0" t="n">
        <v>41243</v>
      </c>
      <c r="J1449" s="0" t="n">
        <v>63488</v>
      </c>
      <c r="K1449" s="0" t="n">
        <v>7898969820127</v>
      </c>
      <c r="L1449" s="0" t="s">
        <v>3310</v>
      </c>
      <c r="N1449" s="0" t="n">
        <v>12</v>
      </c>
      <c r="O1449" s="0" t="n">
        <v>24</v>
      </c>
      <c r="P1449" s="0" t="s">
        <v>2444</v>
      </c>
    </row>
    <row r="1450" customFormat="false" ht="15" hidden="false" customHeight="true" outlineLevel="0" collapsed="false">
      <c r="A1450" s="0" t="n">
        <v>2</v>
      </c>
      <c r="B1450" s="71" t="n">
        <v>46190</v>
      </c>
      <c r="C1450" s="0" t="n">
        <v>1</v>
      </c>
      <c r="D1450" s="0" t="s">
        <v>2442</v>
      </c>
      <c r="E1450" s="0" t="n">
        <v>10010</v>
      </c>
      <c r="F1450" s="0" t="s">
        <v>837</v>
      </c>
      <c r="I1450" s="0" t="n">
        <v>41243</v>
      </c>
      <c r="J1450" s="0" t="n">
        <v>63491</v>
      </c>
      <c r="K1450" s="0" t="n">
        <v>7898969820103</v>
      </c>
      <c r="L1450" s="0" t="s">
        <v>3311</v>
      </c>
      <c r="N1450" s="0" t="n">
        <v>12</v>
      </c>
      <c r="O1450" s="0" t="n">
        <v>24</v>
      </c>
      <c r="P1450" s="0" t="s">
        <v>2444</v>
      </c>
    </row>
    <row r="1451" customFormat="false" ht="15" hidden="false" customHeight="true" outlineLevel="0" collapsed="false">
      <c r="A1451" s="0" t="n">
        <v>2</v>
      </c>
      <c r="B1451" s="71" t="n">
        <v>46190</v>
      </c>
      <c r="C1451" s="0" t="n">
        <v>1</v>
      </c>
      <c r="D1451" s="0" t="s">
        <v>2442</v>
      </c>
      <c r="E1451" s="0" t="n">
        <v>10010</v>
      </c>
      <c r="F1451" s="0" t="s">
        <v>837</v>
      </c>
      <c r="I1451" s="0" t="n">
        <v>41243</v>
      </c>
      <c r="J1451" s="0" t="n">
        <v>64288</v>
      </c>
      <c r="K1451" s="0" t="n">
        <v>7898969820110</v>
      </c>
      <c r="L1451" s="0" t="s">
        <v>3312</v>
      </c>
      <c r="N1451" s="0" t="n">
        <v>12</v>
      </c>
      <c r="O1451" s="0" t="n">
        <v>24</v>
      </c>
      <c r="P1451" s="0" t="s">
        <v>2444</v>
      </c>
    </row>
    <row r="1452" customFormat="false" ht="15" hidden="false" customHeight="true" outlineLevel="0" collapsed="false">
      <c r="A1452" s="0" t="n">
        <v>2</v>
      </c>
      <c r="B1452" s="71" t="n">
        <v>46190</v>
      </c>
      <c r="C1452" s="0" t="n">
        <v>1</v>
      </c>
      <c r="D1452" s="0" t="s">
        <v>2442</v>
      </c>
      <c r="E1452" s="0" t="n">
        <v>10010</v>
      </c>
      <c r="F1452" s="0" t="s">
        <v>837</v>
      </c>
      <c r="I1452" s="0" t="n">
        <v>41243</v>
      </c>
      <c r="J1452" s="0" t="n">
        <v>64397</v>
      </c>
      <c r="K1452" s="0" t="n">
        <v>7898969820011</v>
      </c>
      <c r="L1452" s="0" t="s">
        <v>3313</v>
      </c>
      <c r="N1452" s="0" t="n">
        <v>12</v>
      </c>
      <c r="O1452" s="0" t="n">
        <v>50.72</v>
      </c>
      <c r="P1452" s="0" t="s">
        <v>2444</v>
      </c>
    </row>
    <row r="1453" customFormat="false" ht="15" hidden="false" customHeight="true" outlineLevel="0" collapsed="false">
      <c r="A1453" s="0" t="n">
        <v>2</v>
      </c>
      <c r="B1453" s="71" t="n">
        <v>46190</v>
      </c>
      <c r="C1453" s="0" t="n">
        <v>1</v>
      </c>
      <c r="D1453" s="0" t="s">
        <v>2442</v>
      </c>
      <c r="E1453" s="0" t="n">
        <v>10010</v>
      </c>
      <c r="F1453" s="0" t="s">
        <v>837</v>
      </c>
      <c r="I1453" s="0" t="n">
        <v>41243</v>
      </c>
      <c r="J1453" s="0" t="n">
        <v>64957</v>
      </c>
      <c r="K1453" s="0" t="n">
        <v>7898969820172</v>
      </c>
      <c r="L1453" s="0" t="s">
        <v>3314</v>
      </c>
      <c r="N1453" s="0" t="n">
        <v>12</v>
      </c>
      <c r="O1453" s="0" t="n">
        <v>50.72</v>
      </c>
      <c r="P1453" s="0" t="s">
        <v>2444</v>
      </c>
    </row>
    <row r="1454" customFormat="false" ht="15" hidden="false" customHeight="true" outlineLevel="0" collapsed="false">
      <c r="A1454" s="0" t="n">
        <v>2</v>
      </c>
      <c r="B1454" s="71" t="n">
        <v>46190</v>
      </c>
      <c r="C1454" s="0" t="n">
        <v>1</v>
      </c>
      <c r="D1454" s="0" t="s">
        <v>2442</v>
      </c>
      <c r="E1454" s="0" t="n">
        <v>10010</v>
      </c>
      <c r="F1454" s="0" t="s">
        <v>837</v>
      </c>
      <c r="I1454" s="0" t="n">
        <v>41243</v>
      </c>
      <c r="J1454" s="0" t="n">
        <v>65119</v>
      </c>
      <c r="K1454" s="0" t="n">
        <v>7898969820196</v>
      </c>
      <c r="L1454" s="0" t="s">
        <v>3315</v>
      </c>
      <c r="N1454" s="0" t="n">
        <v>12</v>
      </c>
      <c r="O1454" s="0" t="n">
        <v>50.72</v>
      </c>
      <c r="P1454" s="0" t="s">
        <v>2444</v>
      </c>
    </row>
    <row r="1455" customFormat="false" ht="15" hidden="false" customHeight="true" outlineLevel="0" collapsed="false">
      <c r="A1455" s="0" t="n">
        <v>2</v>
      </c>
      <c r="B1455" s="71" t="n">
        <v>46190</v>
      </c>
      <c r="C1455" s="0" t="n">
        <v>1</v>
      </c>
      <c r="D1455" s="0" t="s">
        <v>2442</v>
      </c>
      <c r="E1455" s="0" t="n">
        <v>10010</v>
      </c>
      <c r="F1455" s="0" t="s">
        <v>837</v>
      </c>
      <c r="I1455" s="0" t="n">
        <v>41243</v>
      </c>
      <c r="J1455" s="0" t="n">
        <v>67828</v>
      </c>
      <c r="K1455" s="0" t="n">
        <v>7898969820202</v>
      </c>
      <c r="L1455" s="0" t="s">
        <v>3309</v>
      </c>
      <c r="N1455" s="0" t="n">
        <v>12</v>
      </c>
      <c r="O1455" s="0" t="n">
        <v>50.72</v>
      </c>
      <c r="P1455" s="0" t="s">
        <v>2444</v>
      </c>
    </row>
    <row r="1456" customFormat="false" ht="15" hidden="false" customHeight="true" outlineLevel="0" collapsed="false">
      <c r="A1456" s="0" t="n">
        <v>2</v>
      </c>
      <c r="B1456" s="71" t="n">
        <v>46190</v>
      </c>
      <c r="C1456" s="0" t="n">
        <v>1</v>
      </c>
      <c r="D1456" s="0" t="s">
        <v>2442</v>
      </c>
      <c r="E1456" s="0" t="n">
        <v>10010</v>
      </c>
      <c r="F1456" s="0" t="s">
        <v>837</v>
      </c>
      <c r="I1456" s="0" t="n">
        <v>41243</v>
      </c>
      <c r="J1456" s="0" t="n">
        <v>67829</v>
      </c>
      <c r="K1456" s="0" t="n">
        <v>7898969820219</v>
      </c>
      <c r="L1456" s="0" t="s">
        <v>3309</v>
      </c>
      <c r="N1456" s="0" t="n">
        <v>12</v>
      </c>
      <c r="O1456" s="0" t="n">
        <v>50.72</v>
      </c>
      <c r="P1456" s="0" t="s">
        <v>2444</v>
      </c>
    </row>
    <row r="1457" customFormat="false" ht="15" hidden="false" customHeight="true" outlineLevel="0" collapsed="false">
      <c r="A1457" s="0" t="n">
        <v>2</v>
      </c>
      <c r="B1457" s="71" t="n">
        <v>46190</v>
      </c>
      <c r="C1457" s="0" t="n">
        <v>1</v>
      </c>
      <c r="D1457" s="0" t="s">
        <v>2442</v>
      </c>
      <c r="E1457" s="0" t="n">
        <v>10010</v>
      </c>
      <c r="F1457" s="0" t="s">
        <v>837</v>
      </c>
      <c r="I1457" s="0" t="n">
        <v>41243</v>
      </c>
      <c r="J1457" s="0" t="n">
        <v>69537</v>
      </c>
      <c r="K1457" s="0" t="n">
        <v>7898969820257</v>
      </c>
      <c r="L1457" s="0" t="s">
        <v>3316</v>
      </c>
      <c r="N1457" s="0" t="n">
        <v>90</v>
      </c>
      <c r="O1457" s="0" t="n">
        <v>795</v>
      </c>
      <c r="P1457" s="0" t="s">
        <v>2444</v>
      </c>
    </row>
    <row r="1458" customFormat="false" ht="15" hidden="false" customHeight="true" outlineLevel="0" collapsed="false">
      <c r="A1458" s="0" t="n">
        <v>2</v>
      </c>
      <c r="B1458" s="71" t="n">
        <v>46190</v>
      </c>
      <c r="C1458" s="0" t="n">
        <v>1</v>
      </c>
      <c r="D1458" s="0" t="s">
        <v>2442</v>
      </c>
      <c r="E1458" s="0" t="n">
        <v>1665</v>
      </c>
      <c r="F1458" s="0" t="s">
        <v>554</v>
      </c>
      <c r="I1458" s="0" t="n">
        <v>132836</v>
      </c>
      <c r="J1458" s="0" t="n">
        <v>25716</v>
      </c>
      <c r="K1458" s="0" t="n">
        <v>7896353301184</v>
      </c>
      <c r="L1458" s="0" t="s">
        <v>3317</v>
      </c>
      <c r="N1458" s="0" t="n">
        <v>24</v>
      </c>
      <c r="O1458" s="0" t="n">
        <v>194.4</v>
      </c>
      <c r="P1458" s="0" t="s">
        <v>2444</v>
      </c>
    </row>
    <row r="1459" customFormat="false" ht="15" hidden="false" customHeight="true" outlineLevel="0" collapsed="false">
      <c r="A1459" s="0" t="n">
        <v>2</v>
      </c>
      <c r="B1459" s="71" t="n">
        <v>46190</v>
      </c>
      <c r="C1459" s="0" t="n">
        <v>1</v>
      </c>
      <c r="D1459" s="0" t="s">
        <v>2442</v>
      </c>
      <c r="E1459" s="0" t="n">
        <v>1745</v>
      </c>
      <c r="F1459" s="0" t="s">
        <v>189</v>
      </c>
      <c r="I1459" s="0" t="n">
        <v>346452</v>
      </c>
      <c r="J1459" s="0" t="n">
        <v>101863</v>
      </c>
      <c r="K1459" s="0" t="n">
        <v>7896045100019</v>
      </c>
      <c r="L1459" s="0" t="s">
        <v>3318</v>
      </c>
      <c r="N1459" s="0" t="n">
        <v>50</v>
      </c>
      <c r="O1459" s="0" t="n">
        <v>260</v>
      </c>
      <c r="P1459" s="0" t="s">
        <v>2444</v>
      </c>
    </row>
    <row r="1460" customFormat="false" ht="15" hidden="false" customHeight="true" outlineLevel="0" collapsed="false">
      <c r="A1460" s="0" t="n">
        <v>2</v>
      </c>
      <c r="B1460" s="71" t="n">
        <v>46190</v>
      </c>
      <c r="C1460" s="0" t="n">
        <v>1</v>
      </c>
      <c r="D1460" s="0" t="s">
        <v>2442</v>
      </c>
      <c r="E1460" s="0" t="n">
        <v>1745</v>
      </c>
      <c r="F1460" s="0" t="s">
        <v>189</v>
      </c>
      <c r="I1460" s="0" t="n">
        <v>346452</v>
      </c>
      <c r="J1460" s="0" t="n">
        <v>101864</v>
      </c>
      <c r="K1460" s="0" t="n">
        <v>7896045100026</v>
      </c>
      <c r="L1460" s="0" t="s">
        <v>3319</v>
      </c>
      <c r="N1460" s="0" t="n">
        <v>40</v>
      </c>
      <c r="O1460" s="0" t="n">
        <v>520</v>
      </c>
      <c r="P1460" s="0" t="s">
        <v>2444</v>
      </c>
    </row>
    <row r="1461" customFormat="false" ht="15" hidden="false" customHeight="true" outlineLevel="0" collapsed="false">
      <c r="A1461" s="0" t="n">
        <v>2</v>
      </c>
      <c r="B1461" s="71" t="n">
        <v>46190</v>
      </c>
      <c r="C1461" s="0" t="n">
        <v>1</v>
      </c>
      <c r="D1461" s="0" t="s">
        <v>2442</v>
      </c>
      <c r="E1461" s="0" t="n">
        <v>1745</v>
      </c>
      <c r="F1461" s="0" t="s">
        <v>189</v>
      </c>
      <c r="I1461" s="0" t="n">
        <v>346452</v>
      </c>
      <c r="J1461" s="0" t="n">
        <v>101908</v>
      </c>
      <c r="K1461" s="0" t="n">
        <v>7896224808101</v>
      </c>
      <c r="L1461" s="0" t="s">
        <v>3320</v>
      </c>
      <c r="N1461" s="0" t="n">
        <v>50</v>
      </c>
      <c r="O1461" s="0" t="n">
        <v>280</v>
      </c>
      <c r="P1461" s="0" t="s">
        <v>2444</v>
      </c>
    </row>
    <row r="1462" customFormat="false" ht="15" hidden="false" customHeight="true" outlineLevel="0" collapsed="false">
      <c r="A1462" s="0" t="n">
        <v>2</v>
      </c>
      <c r="B1462" s="71" t="n">
        <v>46190</v>
      </c>
      <c r="C1462" s="0" t="n">
        <v>1</v>
      </c>
      <c r="D1462" s="0" t="s">
        <v>2442</v>
      </c>
      <c r="E1462" s="0" t="n">
        <v>1745</v>
      </c>
      <c r="F1462" s="0" t="s">
        <v>189</v>
      </c>
      <c r="I1462" s="0" t="n">
        <v>346452</v>
      </c>
      <c r="J1462" s="0" t="n">
        <v>15768</v>
      </c>
      <c r="K1462" s="0" t="n">
        <v>7896045100200</v>
      </c>
      <c r="L1462" s="0" t="s">
        <v>3321</v>
      </c>
      <c r="N1462" s="0" t="n">
        <v>20</v>
      </c>
      <c r="O1462" s="0" t="n">
        <v>260</v>
      </c>
      <c r="P1462" s="0" t="s">
        <v>2444</v>
      </c>
    </row>
    <row r="1463" customFormat="false" ht="15" hidden="false" customHeight="true" outlineLevel="0" collapsed="false">
      <c r="A1463" s="0" t="n">
        <v>2</v>
      </c>
      <c r="B1463" s="71" t="n">
        <v>46190</v>
      </c>
      <c r="C1463" s="0" t="n">
        <v>1</v>
      </c>
      <c r="D1463" s="0" t="s">
        <v>2442</v>
      </c>
      <c r="E1463" s="0" t="n">
        <v>1745</v>
      </c>
      <c r="F1463" s="0" t="s">
        <v>189</v>
      </c>
      <c r="I1463" s="0" t="n">
        <v>346452</v>
      </c>
      <c r="J1463" s="0" t="n">
        <v>16811</v>
      </c>
      <c r="K1463" s="0" t="n">
        <v>7896224835794</v>
      </c>
      <c r="L1463" s="0" t="s">
        <v>3322</v>
      </c>
      <c r="N1463" s="0" t="n">
        <v>20</v>
      </c>
      <c r="O1463" s="0" t="n">
        <v>100.49</v>
      </c>
      <c r="P1463" s="0" t="s">
        <v>2444</v>
      </c>
    </row>
    <row r="1464" customFormat="false" ht="15" hidden="false" customHeight="true" outlineLevel="0" collapsed="false">
      <c r="A1464" s="0" t="n">
        <v>2</v>
      </c>
      <c r="B1464" s="71" t="n">
        <v>46190</v>
      </c>
      <c r="C1464" s="0" t="n">
        <v>1</v>
      </c>
      <c r="D1464" s="0" t="s">
        <v>2442</v>
      </c>
      <c r="E1464" s="0" t="n">
        <v>1745</v>
      </c>
      <c r="F1464" s="0" t="s">
        <v>189</v>
      </c>
      <c r="I1464" s="0" t="n">
        <v>346452</v>
      </c>
      <c r="J1464" s="0" t="n">
        <v>25314</v>
      </c>
      <c r="K1464" s="0" t="n">
        <v>7896045112104</v>
      </c>
      <c r="L1464" s="0" t="s">
        <v>3323</v>
      </c>
      <c r="N1464" s="0" t="n">
        <v>36</v>
      </c>
      <c r="O1464" s="0" t="n">
        <v>24.64</v>
      </c>
      <c r="P1464" s="0" t="s">
        <v>2444</v>
      </c>
    </row>
    <row r="1465" customFormat="false" ht="15" hidden="false" customHeight="true" outlineLevel="0" collapsed="false">
      <c r="A1465" s="0" t="n">
        <v>2</v>
      </c>
      <c r="B1465" s="71" t="n">
        <v>46190</v>
      </c>
      <c r="C1465" s="0" t="n">
        <v>1</v>
      </c>
      <c r="D1465" s="0" t="s">
        <v>2442</v>
      </c>
      <c r="E1465" s="0" t="n">
        <v>1745</v>
      </c>
      <c r="F1465" s="0" t="s">
        <v>189</v>
      </c>
      <c r="I1465" s="0" t="n">
        <v>346452</v>
      </c>
      <c r="J1465" s="0" t="n">
        <v>27751</v>
      </c>
      <c r="K1465" s="0" t="n">
        <v>7896005801512</v>
      </c>
      <c r="L1465" s="0" t="s">
        <v>3324</v>
      </c>
      <c r="N1465" s="0" t="n">
        <v>20</v>
      </c>
      <c r="O1465" s="0" t="n">
        <v>278</v>
      </c>
      <c r="P1465" s="0" t="s">
        <v>2444</v>
      </c>
    </row>
    <row r="1466" customFormat="false" ht="15" hidden="false" customHeight="true" outlineLevel="0" collapsed="false">
      <c r="A1466" s="0" t="n">
        <v>2</v>
      </c>
      <c r="B1466" s="71" t="n">
        <v>46190</v>
      </c>
      <c r="C1466" s="0" t="n">
        <v>1</v>
      </c>
      <c r="D1466" s="0" t="s">
        <v>2442</v>
      </c>
      <c r="E1466" s="0" t="n">
        <v>1745</v>
      </c>
      <c r="F1466" s="0" t="s">
        <v>189</v>
      </c>
      <c r="I1466" s="0" t="n">
        <v>346452</v>
      </c>
      <c r="J1466" s="0" t="n">
        <v>41223</v>
      </c>
      <c r="K1466" s="0" t="n">
        <v>7896045112463</v>
      </c>
      <c r="L1466" s="0" t="s">
        <v>3325</v>
      </c>
      <c r="N1466" s="0" t="n">
        <v>36</v>
      </c>
      <c r="O1466" s="0" t="n">
        <v>24.64</v>
      </c>
      <c r="P1466" s="0" t="s">
        <v>2444</v>
      </c>
    </row>
    <row r="1467" customFormat="false" ht="15" hidden="false" customHeight="true" outlineLevel="0" collapsed="false">
      <c r="A1467" s="0" t="n">
        <v>2</v>
      </c>
      <c r="B1467" s="71" t="n">
        <v>46190</v>
      </c>
      <c r="C1467" s="0" t="n">
        <v>1</v>
      </c>
      <c r="D1467" s="0" t="s">
        <v>2442</v>
      </c>
      <c r="E1467" s="0" t="n">
        <v>1745</v>
      </c>
      <c r="F1467" s="0" t="s">
        <v>189</v>
      </c>
      <c r="I1467" s="0" t="n">
        <v>346452</v>
      </c>
      <c r="J1467" s="0" t="n">
        <v>50659</v>
      </c>
      <c r="K1467" s="0" t="n">
        <v>7896045109074</v>
      </c>
      <c r="L1467" s="0" t="s">
        <v>3326</v>
      </c>
      <c r="N1467" s="0" t="n">
        <v>20</v>
      </c>
      <c r="O1467" s="0" t="n">
        <v>272</v>
      </c>
      <c r="P1467" s="0" t="s">
        <v>2444</v>
      </c>
    </row>
    <row r="1468" customFormat="false" ht="15" hidden="false" customHeight="true" outlineLevel="0" collapsed="false">
      <c r="A1468" s="0" t="n">
        <v>2</v>
      </c>
      <c r="B1468" s="71" t="n">
        <v>46190</v>
      </c>
      <c r="C1468" s="0" t="n">
        <v>1</v>
      </c>
      <c r="D1468" s="0" t="s">
        <v>2442</v>
      </c>
      <c r="E1468" s="0" t="n">
        <v>1745</v>
      </c>
      <c r="F1468" s="0" t="s">
        <v>189</v>
      </c>
      <c r="I1468" s="0" t="n">
        <v>346452</v>
      </c>
      <c r="J1468" s="0" t="n">
        <v>58903</v>
      </c>
      <c r="K1468" s="0" t="n">
        <v>7896045103003</v>
      </c>
      <c r="L1468" s="0" t="s">
        <v>3327</v>
      </c>
      <c r="N1468" s="0" t="n">
        <v>12</v>
      </c>
      <c r="O1468" s="0" t="n">
        <v>89.44</v>
      </c>
      <c r="P1468" s="0" t="s">
        <v>2444</v>
      </c>
    </row>
    <row r="1469" customFormat="false" ht="15" hidden="false" customHeight="true" outlineLevel="0" collapsed="false">
      <c r="A1469" s="0" t="n">
        <v>2</v>
      </c>
      <c r="B1469" s="71" t="n">
        <v>46190</v>
      </c>
      <c r="C1469" s="0" t="n">
        <v>1</v>
      </c>
      <c r="D1469" s="0" t="s">
        <v>2442</v>
      </c>
      <c r="E1469" s="0" t="n">
        <v>1745</v>
      </c>
      <c r="F1469" s="0" t="s">
        <v>189</v>
      </c>
      <c r="I1469" s="0" t="n">
        <v>346452</v>
      </c>
      <c r="J1469" s="0" t="n">
        <v>60541</v>
      </c>
      <c r="K1469" s="0" t="n">
        <v>7896045112081</v>
      </c>
      <c r="L1469" s="0" t="s">
        <v>3328</v>
      </c>
      <c r="N1469" s="0" t="n">
        <v>72</v>
      </c>
      <c r="O1469" s="0" t="n">
        <v>49.28</v>
      </c>
      <c r="P1469" s="0" t="s">
        <v>2444</v>
      </c>
    </row>
    <row r="1470" customFormat="false" ht="15" hidden="false" customHeight="true" outlineLevel="0" collapsed="false">
      <c r="A1470" s="0" t="n">
        <v>2</v>
      </c>
      <c r="B1470" s="71" t="n">
        <v>46190</v>
      </c>
      <c r="C1470" s="0" t="n">
        <v>1</v>
      </c>
      <c r="D1470" s="0" t="s">
        <v>2442</v>
      </c>
      <c r="E1470" s="0" t="n">
        <v>1745</v>
      </c>
      <c r="F1470" s="0" t="s">
        <v>189</v>
      </c>
      <c r="I1470" s="0" t="n">
        <v>346452</v>
      </c>
      <c r="J1470" s="0" t="n">
        <v>60542</v>
      </c>
      <c r="K1470" s="0" t="n">
        <v>7896045112098</v>
      </c>
      <c r="L1470" s="0" t="s">
        <v>3329</v>
      </c>
      <c r="N1470" s="0" t="n">
        <v>36</v>
      </c>
      <c r="O1470" s="0" t="n">
        <v>24.64</v>
      </c>
      <c r="P1470" s="0" t="s">
        <v>2444</v>
      </c>
    </row>
    <row r="1471" customFormat="false" ht="15" hidden="false" customHeight="true" outlineLevel="0" collapsed="false">
      <c r="A1471" s="0" t="n">
        <v>2</v>
      </c>
      <c r="B1471" s="71" t="n">
        <v>46190</v>
      </c>
      <c r="C1471" s="0" t="n">
        <v>1</v>
      </c>
      <c r="D1471" s="0" t="s">
        <v>2442</v>
      </c>
      <c r="E1471" s="0" t="n">
        <v>1745</v>
      </c>
      <c r="F1471" s="0" t="s">
        <v>189</v>
      </c>
      <c r="I1471" s="0" t="n">
        <v>346452</v>
      </c>
      <c r="J1471" s="0" t="n">
        <v>60545</v>
      </c>
      <c r="K1471" s="0" t="n">
        <v>7896045112142</v>
      </c>
      <c r="L1471" s="0" t="s">
        <v>3330</v>
      </c>
      <c r="N1471" s="0" t="n">
        <v>36</v>
      </c>
      <c r="O1471" s="0" t="n">
        <v>24.64</v>
      </c>
      <c r="P1471" s="0" t="s">
        <v>2444</v>
      </c>
    </row>
    <row r="1472" customFormat="false" ht="15" hidden="false" customHeight="true" outlineLevel="0" collapsed="false">
      <c r="A1472" s="0" t="n">
        <v>2</v>
      </c>
      <c r="B1472" s="71" t="n">
        <v>46190</v>
      </c>
      <c r="C1472" s="0" t="n">
        <v>1</v>
      </c>
      <c r="D1472" s="0" t="s">
        <v>2442</v>
      </c>
      <c r="E1472" s="0" t="n">
        <v>1745</v>
      </c>
      <c r="F1472" s="0" t="s">
        <v>189</v>
      </c>
      <c r="I1472" s="0" t="n">
        <v>346452</v>
      </c>
      <c r="J1472" s="0" t="n">
        <v>60547</v>
      </c>
      <c r="K1472" s="0" t="n">
        <v>7896045112470</v>
      </c>
      <c r="L1472" s="0" t="s">
        <v>3331</v>
      </c>
      <c r="N1472" s="0" t="n">
        <v>36</v>
      </c>
      <c r="O1472" s="0" t="n">
        <v>24.64</v>
      </c>
      <c r="P1472" s="0" t="s">
        <v>2444</v>
      </c>
    </row>
    <row r="1473" customFormat="false" ht="15" hidden="false" customHeight="true" outlineLevel="0" collapsed="false">
      <c r="A1473" s="0" t="n">
        <v>2</v>
      </c>
      <c r="B1473" s="71" t="n">
        <v>46190</v>
      </c>
      <c r="C1473" s="0" t="n">
        <v>1</v>
      </c>
      <c r="D1473" s="0" t="s">
        <v>2442</v>
      </c>
      <c r="E1473" s="0" t="n">
        <v>1745</v>
      </c>
      <c r="F1473" s="0" t="s">
        <v>189</v>
      </c>
      <c r="I1473" s="0" t="n">
        <v>346452</v>
      </c>
      <c r="J1473" s="0" t="n">
        <v>61569</v>
      </c>
      <c r="K1473" s="0" t="n">
        <v>7896045112456</v>
      </c>
      <c r="L1473" s="0" t="s">
        <v>3332</v>
      </c>
      <c r="N1473" s="0" t="n">
        <v>36</v>
      </c>
      <c r="O1473" s="0" t="n">
        <v>24.64</v>
      </c>
      <c r="P1473" s="0" t="s">
        <v>2444</v>
      </c>
    </row>
    <row r="1474" customFormat="false" ht="15" hidden="false" customHeight="true" outlineLevel="0" collapsed="false">
      <c r="A1474" s="0" t="n">
        <v>2</v>
      </c>
      <c r="B1474" s="71" t="n">
        <v>46190</v>
      </c>
      <c r="C1474" s="0" t="n">
        <v>1</v>
      </c>
      <c r="D1474" s="0" t="s">
        <v>2442</v>
      </c>
      <c r="E1474" s="0" t="n">
        <v>1745</v>
      </c>
      <c r="F1474" s="0" t="s">
        <v>189</v>
      </c>
      <c r="I1474" s="0" t="n">
        <v>346452</v>
      </c>
      <c r="J1474" s="0" t="n">
        <v>61571</v>
      </c>
      <c r="K1474" s="0" t="n">
        <v>7896045112425</v>
      </c>
      <c r="L1474" s="0" t="s">
        <v>3333</v>
      </c>
      <c r="N1474" s="0" t="n">
        <v>36</v>
      </c>
      <c r="O1474" s="0" t="n">
        <v>24.64</v>
      </c>
      <c r="P1474" s="0" t="s">
        <v>2444</v>
      </c>
    </row>
    <row r="1475" customFormat="false" ht="15" hidden="false" customHeight="true" outlineLevel="0" collapsed="false">
      <c r="A1475" s="0" t="n">
        <v>2</v>
      </c>
      <c r="B1475" s="71" t="n">
        <v>46190</v>
      </c>
      <c r="C1475" s="0" t="n">
        <v>1</v>
      </c>
      <c r="D1475" s="0" t="s">
        <v>2442</v>
      </c>
      <c r="E1475" s="0" t="n">
        <v>1745</v>
      </c>
      <c r="F1475" s="0" t="s">
        <v>189</v>
      </c>
      <c r="I1475" s="0" t="n">
        <v>346452</v>
      </c>
      <c r="J1475" s="0" t="n">
        <v>62657</v>
      </c>
      <c r="K1475" s="0" t="n">
        <v>7896045112616</v>
      </c>
      <c r="L1475" s="0" t="s">
        <v>3334</v>
      </c>
      <c r="N1475" s="0" t="n">
        <v>36</v>
      </c>
      <c r="O1475" s="0" t="n">
        <v>24.64</v>
      </c>
      <c r="P1475" s="0" t="s">
        <v>2444</v>
      </c>
    </row>
    <row r="1476" customFormat="false" ht="15" hidden="false" customHeight="true" outlineLevel="0" collapsed="false">
      <c r="A1476" s="0" t="n">
        <v>2</v>
      </c>
      <c r="B1476" s="71" t="n">
        <v>46190</v>
      </c>
      <c r="C1476" s="0" t="n">
        <v>1</v>
      </c>
      <c r="D1476" s="0" t="s">
        <v>2442</v>
      </c>
      <c r="E1476" s="0" t="n">
        <v>1745</v>
      </c>
      <c r="F1476" s="0" t="s">
        <v>189</v>
      </c>
      <c r="I1476" s="0" t="n">
        <v>346452</v>
      </c>
      <c r="J1476" s="0" t="n">
        <v>67726</v>
      </c>
      <c r="K1476" s="0" t="n">
        <v>7896045112968</v>
      </c>
      <c r="L1476" s="0" t="s">
        <v>3335</v>
      </c>
      <c r="N1476" s="0" t="n">
        <v>12</v>
      </c>
      <c r="O1476" s="0" t="n">
        <v>89.5</v>
      </c>
      <c r="P1476" s="0" t="s">
        <v>2444</v>
      </c>
    </row>
    <row r="1477" customFormat="false" ht="15" hidden="false" customHeight="true" outlineLevel="0" collapsed="false">
      <c r="A1477" s="0" t="n">
        <v>2</v>
      </c>
      <c r="B1477" s="71" t="n">
        <v>46190</v>
      </c>
      <c r="C1477" s="0" t="n">
        <v>1</v>
      </c>
      <c r="D1477" s="0" t="s">
        <v>2442</v>
      </c>
      <c r="E1477" s="0" t="n">
        <v>1745</v>
      </c>
      <c r="F1477" s="0" t="s">
        <v>189</v>
      </c>
      <c r="I1477" s="0" t="n">
        <v>346452</v>
      </c>
      <c r="J1477" s="0" t="n">
        <v>71331</v>
      </c>
      <c r="K1477" s="0" t="n">
        <v>7896045114313</v>
      </c>
      <c r="L1477" s="0" t="s">
        <v>3336</v>
      </c>
      <c r="N1477" s="0" t="n">
        <v>30</v>
      </c>
      <c r="O1477" s="0" t="n">
        <v>138.23</v>
      </c>
      <c r="P1477" s="0" t="s">
        <v>2444</v>
      </c>
    </row>
    <row r="1478" customFormat="false" ht="15" hidden="false" customHeight="true" outlineLevel="0" collapsed="false">
      <c r="A1478" s="0" t="n">
        <v>2</v>
      </c>
      <c r="B1478" s="71" t="n">
        <v>46190</v>
      </c>
      <c r="C1478" s="0" t="n">
        <v>1</v>
      </c>
      <c r="D1478" s="0" t="s">
        <v>2442</v>
      </c>
      <c r="E1478" s="0" t="n">
        <v>1745</v>
      </c>
      <c r="F1478" s="0" t="s">
        <v>189</v>
      </c>
      <c r="I1478" s="0" t="n">
        <v>346452</v>
      </c>
      <c r="J1478" s="0" t="n">
        <v>76461</v>
      </c>
      <c r="K1478" s="0" t="n">
        <v>7896045115365</v>
      </c>
      <c r="L1478" s="0" t="s">
        <v>3337</v>
      </c>
      <c r="N1478" s="0" t="n">
        <v>12</v>
      </c>
      <c r="O1478" s="0" t="n">
        <v>97.75</v>
      </c>
      <c r="P1478" s="0" t="s">
        <v>2444</v>
      </c>
    </row>
    <row r="1479" customFormat="false" ht="15" hidden="false" customHeight="true" outlineLevel="0" collapsed="false">
      <c r="A1479" s="0" t="n">
        <v>2</v>
      </c>
      <c r="B1479" s="71" t="n">
        <v>46190</v>
      </c>
      <c r="C1479" s="0" t="n">
        <v>1</v>
      </c>
      <c r="D1479" s="0" t="s">
        <v>2442</v>
      </c>
      <c r="E1479" s="0" t="n">
        <v>1107</v>
      </c>
      <c r="F1479" s="0" t="s">
        <v>254</v>
      </c>
      <c r="I1479" s="0" t="n">
        <v>416678</v>
      </c>
      <c r="J1479" s="0" t="n">
        <v>17106</v>
      </c>
      <c r="K1479" s="0" t="n">
        <v>7895144603223</v>
      </c>
      <c r="L1479" s="0" t="s">
        <v>3268</v>
      </c>
      <c r="N1479" s="0" t="n">
        <v>16</v>
      </c>
      <c r="O1479" s="0" t="n">
        <v>36.8</v>
      </c>
      <c r="P1479" s="0" t="s">
        <v>2444</v>
      </c>
    </row>
    <row r="1480" customFormat="false" ht="15" hidden="false" customHeight="true" outlineLevel="0" collapsed="false">
      <c r="A1480" s="0" t="n">
        <v>2</v>
      </c>
      <c r="B1480" s="71" t="n">
        <v>46190</v>
      </c>
      <c r="C1480" s="0" t="n">
        <v>1</v>
      </c>
      <c r="D1480" s="0" t="s">
        <v>2442</v>
      </c>
      <c r="E1480" s="0" t="n">
        <v>1107</v>
      </c>
      <c r="F1480" s="0" t="s">
        <v>254</v>
      </c>
      <c r="I1480" s="0" t="n">
        <v>416678</v>
      </c>
      <c r="J1480" s="0" t="n">
        <v>17325</v>
      </c>
      <c r="K1480" s="0" t="n">
        <v>7895144603063</v>
      </c>
      <c r="L1480" s="0" t="s">
        <v>3338</v>
      </c>
      <c r="N1480" s="0" t="n">
        <v>16</v>
      </c>
      <c r="O1480" s="0" t="n">
        <v>36.8</v>
      </c>
      <c r="P1480" s="0" t="s">
        <v>2444</v>
      </c>
    </row>
    <row r="1481" customFormat="false" ht="15" hidden="false" customHeight="true" outlineLevel="0" collapsed="false">
      <c r="A1481" s="0" t="n">
        <v>2</v>
      </c>
      <c r="B1481" s="71" t="n">
        <v>46190</v>
      </c>
      <c r="C1481" s="0" t="n">
        <v>1</v>
      </c>
      <c r="D1481" s="0" t="s">
        <v>2442</v>
      </c>
      <c r="E1481" s="0" t="n">
        <v>1107</v>
      </c>
      <c r="F1481" s="0" t="s">
        <v>254</v>
      </c>
      <c r="I1481" s="0" t="n">
        <v>416678</v>
      </c>
      <c r="J1481" s="0" t="n">
        <v>29020</v>
      </c>
      <c r="K1481" s="0" t="n">
        <v>7896262304306</v>
      </c>
      <c r="L1481" s="0" t="s">
        <v>3339</v>
      </c>
      <c r="N1481" s="0" t="n">
        <v>32</v>
      </c>
      <c r="O1481" s="0" t="n">
        <v>73.64</v>
      </c>
      <c r="P1481" s="0" t="s">
        <v>2444</v>
      </c>
    </row>
    <row r="1482" customFormat="false" ht="15" hidden="false" customHeight="true" outlineLevel="0" collapsed="false">
      <c r="A1482" s="0" t="n">
        <v>2</v>
      </c>
      <c r="B1482" s="71" t="n">
        <v>46190</v>
      </c>
      <c r="C1482" s="0" t="n">
        <v>1</v>
      </c>
      <c r="D1482" s="0" t="s">
        <v>2442</v>
      </c>
      <c r="E1482" s="0" t="n">
        <v>1107</v>
      </c>
      <c r="F1482" s="0" t="s">
        <v>254</v>
      </c>
      <c r="I1482" s="0" t="n">
        <v>416678</v>
      </c>
      <c r="J1482" s="0" t="n">
        <v>33822</v>
      </c>
      <c r="K1482" s="0" t="n">
        <v>797511</v>
      </c>
      <c r="L1482" s="0" t="s">
        <v>3340</v>
      </c>
      <c r="N1482" s="0" t="n">
        <v>100</v>
      </c>
      <c r="O1482" s="0" t="n">
        <v>20.26</v>
      </c>
      <c r="P1482" s="0" t="s">
        <v>2444</v>
      </c>
    </row>
    <row r="1483" customFormat="false" ht="15" hidden="false" customHeight="true" outlineLevel="0" collapsed="false">
      <c r="A1483" s="0" t="n">
        <v>2</v>
      </c>
      <c r="B1483" s="71" t="n">
        <v>46190</v>
      </c>
      <c r="C1483" s="0" t="n">
        <v>1</v>
      </c>
      <c r="D1483" s="0" t="s">
        <v>2442</v>
      </c>
      <c r="E1483" s="0" t="n">
        <v>1107</v>
      </c>
      <c r="F1483" s="0" t="s">
        <v>254</v>
      </c>
      <c r="I1483" s="0" t="n">
        <v>416678</v>
      </c>
      <c r="J1483" s="0" t="n">
        <v>33825</v>
      </c>
      <c r="K1483" s="0" t="n">
        <v>797528</v>
      </c>
      <c r="L1483" s="0" t="s">
        <v>3341</v>
      </c>
      <c r="N1483" s="0" t="n">
        <v>100</v>
      </c>
      <c r="O1483" s="0" t="n">
        <v>17.23</v>
      </c>
      <c r="P1483" s="0" t="s">
        <v>2444</v>
      </c>
    </row>
    <row r="1484" customFormat="false" ht="15" hidden="false" customHeight="true" outlineLevel="0" collapsed="false">
      <c r="A1484" s="0" t="n">
        <v>2</v>
      </c>
      <c r="B1484" s="71" t="n">
        <v>46190</v>
      </c>
      <c r="C1484" s="0" t="n">
        <v>1</v>
      </c>
      <c r="D1484" s="0" t="s">
        <v>2442</v>
      </c>
      <c r="E1484" s="0" t="n">
        <v>1635</v>
      </c>
      <c r="F1484" s="0" t="s">
        <v>128</v>
      </c>
      <c r="I1484" s="0" t="n">
        <v>518753</v>
      </c>
      <c r="J1484" s="0" t="n">
        <v>29742</v>
      </c>
      <c r="K1484" s="0" t="n">
        <v>6917554956285</v>
      </c>
      <c r="L1484" s="0" t="s">
        <v>3342</v>
      </c>
      <c r="N1484" s="0" t="n">
        <v>72</v>
      </c>
      <c r="O1484" s="0" t="n">
        <v>410.4</v>
      </c>
      <c r="P1484" s="0" t="s">
        <v>2444</v>
      </c>
    </row>
    <row r="1485" customFormat="false" ht="15" hidden="false" customHeight="true" outlineLevel="0" collapsed="false">
      <c r="A1485" s="0" t="n">
        <v>2</v>
      </c>
      <c r="B1485" s="71" t="n">
        <v>46190</v>
      </c>
      <c r="C1485" s="0" t="n">
        <v>1</v>
      </c>
      <c r="D1485" s="0" t="s">
        <v>2442</v>
      </c>
      <c r="E1485" s="0" t="n">
        <v>1635</v>
      </c>
      <c r="F1485" s="0" t="s">
        <v>128</v>
      </c>
      <c r="I1485" s="0" t="n">
        <v>518753</v>
      </c>
      <c r="J1485" s="0" t="n">
        <v>80458</v>
      </c>
      <c r="K1485" s="0" t="n">
        <v>6917554962651</v>
      </c>
      <c r="L1485" s="0" t="s">
        <v>3343</v>
      </c>
      <c r="N1485" s="0" t="n">
        <v>48</v>
      </c>
      <c r="O1485" s="0" t="n">
        <v>273.6</v>
      </c>
      <c r="P1485" s="0" t="s">
        <v>2444</v>
      </c>
    </row>
    <row r="1486" customFormat="false" ht="15" hidden="false" customHeight="true" outlineLevel="0" collapsed="false">
      <c r="A1486" s="0" t="n">
        <v>2</v>
      </c>
      <c r="B1486" s="71" t="n">
        <v>46190</v>
      </c>
      <c r="C1486" s="0" t="n">
        <v>1</v>
      </c>
      <c r="D1486" s="0" t="s">
        <v>2442</v>
      </c>
      <c r="E1486" s="0" t="n">
        <v>1621</v>
      </c>
      <c r="F1486" s="0" t="s">
        <v>232</v>
      </c>
      <c r="I1486" s="0" t="n">
        <v>860219</v>
      </c>
      <c r="J1486" s="0" t="n">
        <v>17473</v>
      </c>
      <c r="K1486" s="0" t="n">
        <v>822671</v>
      </c>
      <c r="L1486" s="0" t="s">
        <v>3077</v>
      </c>
      <c r="N1486" s="0" t="n">
        <v>75</v>
      </c>
      <c r="O1486" s="0" t="n">
        <v>197.269915</v>
      </c>
      <c r="P1486" s="0" t="s">
        <v>2444</v>
      </c>
    </row>
    <row r="1487" customFormat="false" ht="15" hidden="false" customHeight="true" outlineLevel="0" collapsed="false">
      <c r="A1487" s="0" t="n">
        <v>2</v>
      </c>
      <c r="B1487" s="71" t="n">
        <v>46190</v>
      </c>
      <c r="C1487" s="0" t="n">
        <v>1</v>
      </c>
      <c r="D1487" s="0" t="s">
        <v>2442</v>
      </c>
      <c r="E1487" s="0" t="n">
        <v>1621</v>
      </c>
      <c r="F1487" s="0" t="s">
        <v>232</v>
      </c>
      <c r="I1487" s="0" t="n">
        <v>860219</v>
      </c>
      <c r="J1487" s="0" t="n">
        <v>33537</v>
      </c>
      <c r="K1487" s="0" t="n">
        <v>7891991294942</v>
      </c>
      <c r="L1487" s="0" t="s">
        <v>3344</v>
      </c>
      <c r="N1487" s="0" t="n">
        <v>120</v>
      </c>
      <c r="O1487" s="0" t="n">
        <v>417.699998</v>
      </c>
      <c r="P1487" s="0" t="s">
        <v>2444</v>
      </c>
    </row>
    <row r="1488" customFormat="false" ht="15" hidden="false" customHeight="true" outlineLevel="0" collapsed="false">
      <c r="A1488" s="0" t="n">
        <v>2</v>
      </c>
      <c r="B1488" s="71" t="n">
        <v>46190</v>
      </c>
      <c r="C1488" s="0" t="n">
        <v>1</v>
      </c>
      <c r="D1488" s="0" t="s">
        <v>2442</v>
      </c>
      <c r="E1488" s="0" t="n">
        <v>1683</v>
      </c>
      <c r="F1488" s="0" t="s">
        <v>406</v>
      </c>
      <c r="I1488" s="0" t="n">
        <v>1633308</v>
      </c>
      <c r="J1488" s="0" t="n">
        <v>109791</v>
      </c>
      <c r="K1488" s="0" t="n">
        <v>9667</v>
      </c>
      <c r="L1488" s="0" t="s">
        <v>2465</v>
      </c>
      <c r="N1488" s="0" t="n">
        <v>15</v>
      </c>
      <c r="O1488" s="0" t="n">
        <v>22.5</v>
      </c>
      <c r="P1488" s="0" t="s">
        <v>2444</v>
      </c>
    </row>
    <row r="1489" customFormat="false" ht="15" hidden="false" customHeight="true" outlineLevel="0" collapsed="false">
      <c r="A1489" s="0" t="n">
        <v>2</v>
      </c>
      <c r="B1489" s="71" t="n">
        <v>46190</v>
      </c>
      <c r="C1489" s="0" t="n">
        <v>1</v>
      </c>
      <c r="D1489" s="0" t="s">
        <v>2442</v>
      </c>
      <c r="E1489" s="0" t="n">
        <v>1683</v>
      </c>
      <c r="F1489" s="0" t="s">
        <v>406</v>
      </c>
      <c r="I1489" s="0" t="n">
        <v>1633308</v>
      </c>
      <c r="J1489" s="0" t="n">
        <v>37359</v>
      </c>
      <c r="K1489" s="0" t="n">
        <v>55526</v>
      </c>
      <c r="L1489" s="0" t="s">
        <v>2466</v>
      </c>
      <c r="N1489" s="0" t="n">
        <v>6</v>
      </c>
      <c r="O1489" s="0" t="n">
        <v>24</v>
      </c>
      <c r="P1489" s="0" t="s">
        <v>2444</v>
      </c>
    </row>
    <row r="1490" customFormat="false" ht="15" hidden="false" customHeight="true" outlineLevel="0" collapsed="false">
      <c r="A1490" s="0" t="n">
        <v>2</v>
      </c>
      <c r="B1490" s="71" t="n">
        <v>46190</v>
      </c>
      <c r="C1490" s="0" t="n">
        <v>1</v>
      </c>
      <c r="D1490" s="0" t="s">
        <v>2442</v>
      </c>
      <c r="E1490" s="0" t="n">
        <v>1683</v>
      </c>
      <c r="F1490" s="0" t="s">
        <v>406</v>
      </c>
      <c r="I1490" s="0" t="n">
        <v>1633308</v>
      </c>
      <c r="J1490" s="0" t="n">
        <v>37361</v>
      </c>
      <c r="K1490" s="0" t="n">
        <v>2240817</v>
      </c>
      <c r="L1490" s="0" t="s">
        <v>2467</v>
      </c>
      <c r="N1490" s="0" t="n">
        <v>80</v>
      </c>
      <c r="O1490" s="0" t="n">
        <v>144</v>
      </c>
      <c r="P1490" s="0" t="s">
        <v>2444</v>
      </c>
    </row>
    <row r="1491" customFormat="false" ht="15" hidden="false" customHeight="true" outlineLevel="0" collapsed="false">
      <c r="A1491" s="0" t="n">
        <v>2</v>
      </c>
      <c r="B1491" s="71" t="n">
        <v>46190</v>
      </c>
      <c r="C1491" s="0" t="n">
        <v>2</v>
      </c>
      <c r="D1491" s="0" t="s">
        <v>2533</v>
      </c>
      <c r="E1491" s="0" t="n">
        <v>48</v>
      </c>
      <c r="F1491" s="0" t="s">
        <v>153</v>
      </c>
      <c r="I1491" s="0" t="n">
        <v>17626</v>
      </c>
      <c r="J1491" s="0" t="n">
        <v>42564</v>
      </c>
      <c r="K1491" s="0" t="n">
        <v>574</v>
      </c>
      <c r="L1491" s="0" t="s">
        <v>2534</v>
      </c>
      <c r="N1491" s="0" t="n">
        <v>15</v>
      </c>
      <c r="O1491" s="0" t="n">
        <v>210</v>
      </c>
      <c r="P1491" s="0" t="s">
        <v>2444</v>
      </c>
    </row>
    <row r="1492" customFormat="false" ht="15" hidden="false" customHeight="true" outlineLevel="0" collapsed="false">
      <c r="A1492" s="0" t="n">
        <v>2</v>
      </c>
      <c r="B1492" s="71" t="n">
        <v>46190</v>
      </c>
      <c r="C1492" s="0" t="n">
        <v>6</v>
      </c>
      <c r="D1492" s="0" t="s">
        <v>2553</v>
      </c>
      <c r="E1492" s="0" t="n">
        <v>48</v>
      </c>
      <c r="F1492" s="0" t="s">
        <v>153</v>
      </c>
      <c r="I1492" s="0" t="n">
        <v>2500</v>
      </c>
      <c r="J1492" s="0" t="n">
        <v>42564</v>
      </c>
      <c r="K1492" s="0" t="n">
        <v>574</v>
      </c>
      <c r="L1492" s="0" t="s">
        <v>2534</v>
      </c>
      <c r="N1492" s="0" t="n">
        <v>15</v>
      </c>
      <c r="O1492" s="0" t="n">
        <v>210</v>
      </c>
      <c r="P1492" s="0" t="s">
        <v>2444</v>
      </c>
    </row>
    <row r="1493" customFormat="false" ht="15" hidden="false" customHeight="true" outlineLevel="0" collapsed="false">
      <c r="A1493" s="0" t="n">
        <v>2</v>
      </c>
      <c r="B1493" s="71" t="n">
        <v>46190</v>
      </c>
      <c r="C1493" s="0" t="n">
        <v>11</v>
      </c>
      <c r="D1493" s="0" t="s">
        <v>2471</v>
      </c>
      <c r="E1493" s="0" t="n">
        <v>10019</v>
      </c>
      <c r="F1493" s="0" t="s">
        <v>268</v>
      </c>
      <c r="I1493" s="0" t="n">
        <v>30415</v>
      </c>
      <c r="J1493" s="0" t="n">
        <v>100024</v>
      </c>
      <c r="K1493" s="0" t="n">
        <v>25</v>
      </c>
      <c r="L1493" s="0" t="s">
        <v>3345</v>
      </c>
      <c r="N1493" s="0" t="n">
        <v>84.905</v>
      </c>
      <c r="O1493" s="0" t="n">
        <v>1103.76</v>
      </c>
      <c r="P1493" s="0" t="s">
        <v>2444</v>
      </c>
    </row>
    <row r="1494" customFormat="false" ht="15" hidden="false" customHeight="true" outlineLevel="0" collapsed="false">
      <c r="A1494" s="0" t="n">
        <v>2</v>
      </c>
      <c r="B1494" s="71" t="n">
        <v>46190</v>
      </c>
      <c r="C1494" s="0" t="n">
        <v>171</v>
      </c>
      <c r="D1494" s="0" t="s">
        <v>3017</v>
      </c>
      <c r="E1494" s="0" t="n">
        <v>607</v>
      </c>
      <c r="F1494" s="0" t="s">
        <v>281</v>
      </c>
      <c r="I1494" s="0" t="n">
        <v>10861</v>
      </c>
      <c r="J1494" s="0" t="n">
        <v>81420</v>
      </c>
      <c r="K1494" s="0" t="n">
        <v>814218</v>
      </c>
      <c r="L1494" s="0" t="s">
        <v>3346</v>
      </c>
      <c r="N1494" s="0" t="n">
        <v>15</v>
      </c>
      <c r="O1494" s="0" t="n">
        <v>58.5</v>
      </c>
      <c r="P1494" s="0" t="s">
        <v>3019</v>
      </c>
    </row>
    <row r="1495" customFormat="false" ht="15" hidden="false" customHeight="true" outlineLevel="0" collapsed="false">
      <c r="A1495" s="0" t="n">
        <v>2</v>
      </c>
      <c r="B1495" s="71" t="n">
        <v>46190</v>
      </c>
      <c r="C1495" s="0" t="n">
        <v>171</v>
      </c>
      <c r="D1495" s="0" t="s">
        <v>3017</v>
      </c>
      <c r="E1495" s="0" t="n">
        <v>1665</v>
      </c>
      <c r="F1495" s="0" t="s">
        <v>554</v>
      </c>
      <c r="I1495" s="0" t="n">
        <v>132842</v>
      </c>
      <c r="J1495" s="0" t="n">
        <v>25717</v>
      </c>
      <c r="K1495" s="0" t="n">
        <v>7896353301191</v>
      </c>
      <c r="L1495" s="0" t="s">
        <v>3347</v>
      </c>
      <c r="N1495" s="0" t="n">
        <v>3</v>
      </c>
      <c r="O1495" s="0" t="n">
        <v>24.3</v>
      </c>
      <c r="P1495" s="0" t="s">
        <v>3019</v>
      </c>
    </row>
    <row r="1496" customFormat="false" ht="15" hidden="false" customHeight="true" outlineLevel="0" collapsed="false">
      <c r="A1496" s="0" t="n">
        <v>2</v>
      </c>
      <c r="B1496" s="71" t="n">
        <v>46191</v>
      </c>
      <c r="C1496" s="0" t="n">
        <v>1</v>
      </c>
      <c r="D1496" s="0" t="s">
        <v>2442</v>
      </c>
      <c r="E1496" s="0" t="n">
        <v>10085</v>
      </c>
      <c r="F1496" s="0" t="s">
        <v>810</v>
      </c>
      <c r="I1496" s="0" t="n">
        <v>252</v>
      </c>
      <c r="J1496" s="0" t="n">
        <v>27404</v>
      </c>
      <c r="K1496" s="0" t="n">
        <v>7898915949216</v>
      </c>
      <c r="L1496" s="0" t="s">
        <v>3348</v>
      </c>
      <c r="N1496" s="0" t="n">
        <v>120</v>
      </c>
      <c r="O1496" s="0" t="n">
        <v>299.04</v>
      </c>
      <c r="P1496" s="0" t="s">
        <v>2444</v>
      </c>
    </row>
    <row r="1497" customFormat="false" ht="15" hidden="false" customHeight="true" outlineLevel="0" collapsed="false">
      <c r="A1497" s="0" t="n">
        <v>2</v>
      </c>
      <c r="B1497" s="71" t="n">
        <v>46191</v>
      </c>
      <c r="C1497" s="0" t="n">
        <v>1</v>
      </c>
      <c r="D1497" s="0" t="s">
        <v>2442</v>
      </c>
      <c r="E1497" s="0" t="n">
        <v>10085</v>
      </c>
      <c r="F1497" s="0" t="s">
        <v>810</v>
      </c>
      <c r="I1497" s="0" t="n">
        <v>252</v>
      </c>
      <c r="J1497" s="0" t="n">
        <v>65091</v>
      </c>
      <c r="K1497" s="0" t="n">
        <v>7898738660220</v>
      </c>
      <c r="L1497" s="0" t="s">
        <v>3349</v>
      </c>
      <c r="N1497" s="0" t="n">
        <v>6</v>
      </c>
      <c r="O1497" s="0" t="n">
        <v>25.39</v>
      </c>
      <c r="P1497" s="0" t="s">
        <v>2444</v>
      </c>
    </row>
    <row r="1498" customFormat="false" ht="15" hidden="false" customHeight="true" outlineLevel="0" collapsed="false">
      <c r="A1498" s="0" t="n">
        <v>2</v>
      </c>
      <c r="B1498" s="71" t="n">
        <v>46191</v>
      </c>
      <c r="C1498" s="0" t="n">
        <v>1</v>
      </c>
      <c r="D1498" s="0" t="s">
        <v>2442</v>
      </c>
      <c r="E1498" s="0" t="n">
        <v>10037</v>
      </c>
      <c r="F1498" s="0" t="s">
        <v>337</v>
      </c>
      <c r="I1498" s="0" t="n">
        <v>2495</v>
      </c>
      <c r="J1498" s="0" t="n">
        <v>28393</v>
      </c>
      <c r="K1498" s="0" t="n">
        <v>7898104093508</v>
      </c>
      <c r="L1498" s="0" t="s">
        <v>3350</v>
      </c>
      <c r="N1498" s="0" t="n">
        <v>6</v>
      </c>
      <c r="O1498" s="0" t="n">
        <v>66</v>
      </c>
      <c r="P1498" s="0" t="s">
        <v>2444</v>
      </c>
    </row>
    <row r="1499" customFormat="false" ht="15" hidden="false" customHeight="true" outlineLevel="0" collapsed="false">
      <c r="A1499" s="0" t="n">
        <v>2</v>
      </c>
      <c r="B1499" s="71" t="n">
        <v>46191</v>
      </c>
      <c r="C1499" s="0" t="n">
        <v>1</v>
      </c>
      <c r="D1499" s="0" t="s">
        <v>2442</v>
      </c>
      <c r="E1499" s="0" t="n">
        <v>10037</v>
      </c>
      <c r="F1499" s="0" t="s">
        <v>337</v>
      </c>
      <c r="I1499" s="0" t="n">
        <v>2495</v>
      </c>
      <c r="J1499" s="0" t="n">
        <v>28394</v>
      </c>
      <c r="K1499" s="0" t="n">
        <v>7898104093522</v>
      </c>
      <c r="L1499" s="0" t="s">
        <v>3351</v>
      </c>
      <c r="N1499" s="0" t="n">
        <v>6</v>
      </c>
      <c r="O1499" s="0" t="n">
        <v>66</v>
      </c>
      <c r="P1499" s="0" t="s">
        <v>2444</v>
      </c>
    </row>
    <row r="1500" customFormat="false" ht="15" hidden="false" customHeight="true" outlineLevel="0" collapsed="false">
      <c r="A1500" s="0" t="n">
        <v>2</v>
      </c>
      <c r="B1500" s="71" t="n">
        <v>46191</v>
      </c>
      <c r="C1500" s="0" t="n">
        <v>1</v>
      </c>
      <c r="D1500" s="0" t="s">
        <v>2442</v>
      </c>
      <c r="E1500" s="0" t="n">
        <v>10037</v>
      </c>
      <c r="F1500" s="0" t="s">
        <v>337</v>
      </c>
      <c r="I1500" s="0" t="n">
        <v>2495</v>
      </c>
      <c r="J1500" s="0" t="n">
        <v>28395</v>
      </c>
      <c r="K1500" s="0" t="n">
        <v>7898104092426</v>
      </c>
      <c r="L1500" s="0" t="s">
        <v>3352</v>
      </c>
      <c r="N1500" s="0" t="n">
        <v>6</v>
      </c>
      <c r="O1500" s="0" t="n">
        <v>66</v>
      </c>
      <c r="P1500" s="0" t="s">
        <v>2444</v>
      </c>
    </row>
    <row r="1501" customFormat="false" ht="15" hidden="false" customHeight="true" outlineLevel="0" collapsed="false">
      <c r="A1501" s="0" t="n">
        <v>2</v>
      </c>
      <c r="B1501" s="71" t="n">
        <v>46191</v>
      </c>
      <c r="C1501" s="0" t="n">
        <v>1</v>
      </c>
      <c r="D1501" s="0" t="s">
        <v>2442</v>
      </c>
      <c r="E1501" s="0" t="n">
        <v>10037</v>
      </c>
      <c r="F1501" s="0" t="s">
        <v>337</v>
      </c>
      <c r="I1501" s="0" t="n">
        <v>2495</v>
      </c>
      <c r="J1501" s="0" t="n">
        <v>28396</v>
      </c>
      <c r="K1501" s="0" t="n">
        <v>7898104092419</v>
      </c>
      <c r="L1501" s="0" t="s">
        <v>3353</v>
      </c>
      <c r="N1501" s="0" t="n">
        <v>6</v>
      </c>
      <c r="O1501" s="0" t="n">
        <v>66</v>
      </c>
      <c r="P1501" s="0" t="s">
        <v>2444</v>
      </c>
    </row>
    <row r="1502" customFormat="false" ht="15" hidden="false" customHeight="true" outlineLevel="0" collapsed="false">
      <c r="A1502" s="0" t="n">
        <v>2</v>
      </c>
      <c r="B1502" s="71" t="n">
        <v>46191</v>
      </c>
      <c r="C1502" s="0" t="n">
        <v>1</v>
      </c>
      <c r="D1502" s="0" t="s">
        <v>2442</v>
      </c>
      <c r="E1502" s="0" t="n">
        <v>10037</v>
      </c>
      <c r="F1502" s="0" t="s">
        <v>337</v>
      </c>
      <c r="I1502" s="0" t="n">
        <v>2495</v>
      </c>
      <c r="J1502" s="0" t="n">
        <v>28397</v>
      </c>
      <c r="K1502" s="0" t="n">
        <v>7898104092440</v>
      </c>
      <c r="L1502" s="0" t="s">
        <v>3354</v>
      </c>
      <c r="N1502" s="0" t="n">
        <v>6</v>
      </c>
      <c r="O1502" s="0" t="n">
        <v>66</v>
      </c>
      <c r="P1502" s="0" t="s">
        <v>2444</v>
      </c>
    </row>
    <row r="1503" customFormat="false" ht="15" hidden="false" customHeight="true" outlineLevel="0" collapsed="false">
      <c r="A1503" s="0" t="n">
        <v>2</v>
      </c>
      <c r="B1503" s="71" t="n">
        <v>46191</v>
      </c>
      <c r="C1503" s="0" t="n">
        <v>1</v>
      </c>
      <c r="D1503" s="0" t="s">
        <v>2442</v>
      </c>
      <c r="E1503" s="0" t="n">
        <v>10037</v>
      </c>
      <c r="F1503" s="0" t="s">
        <v>337</v>
      </c>
      <c r="I1503" s="0" t="n">
        <v>2495</v>
      </c>
      <c r="J1503" s="0" t="n">
        <v>32029</v>
      </c>
      <c r="K1503" s="0" t="n">
        <v>7898104093300</v>
      </c>
      <c r="L1503" s="0" t="s">
        <v>3355</v>
      </c>
      <c r="N1503" s="0" t="n">
        <v>6</v>
      </c>
      <c r="O1503" s="0" t="n">
        <v>66</v>
      </c>
      <c r="P1503" s="0" t="s">
        <v>2444</v>
      </c>
    </row>
    <row r="1504" customFormat="false" ht="15" hidden="false" customHeight="true" outlineLevel="0" collapsed="false">
      <c r="A1504" s="0" t="n">
        <v>2</v>
      </c>
      <c r="B1504" s="71" t="n">
        <v>46191</v>
      </c>
      <c r="C1504" s="0" t="n">
        <v>1</v>
      </c>
      <c r="D1504" s="0" t="s">
        <v>2442</v>
      </c>
      <c r="E1504" s="0" t="n">
        <v>10037</v>
      </c>
      <c r="F1504" s="0" t="s">
        <v>337</v>
      </c>
      <c r="I1504" s="0" t="n">
        <v>2495</v>
      </c>
      <c r="J1504" s="0" t="n">
        <v>37414</v>
      </c>
      <c r="K1504" s="0" t="n">
        <v>7898104091535</v>
      </c>
      <c r="L1504" s="0" t="s">
        <v>3356</v>
      </c>
      <c r="N1504" s="0" t="n">
        <v>6</v>
      </c>
      <c r="O1504" s="0" t="n">
        <v>66</v>
      </c>
      <c r="P1504" s="0" t="s">
        <v>2444</v>
      </c>
    </row>
    <row r="1505" customFormat="false" ht="15" hidden="false" customHeight="true" outlineLevel="0" collapsed="false">
      <c r="A1505" s="0" t="n">
        <v>2</v>
      </c>
      <c r="B1505" s="71" t="n">
        <v>46191</v>
      </c>
      <c r="C1505" s="0" t="n">
        <v>1</v>
      </c>
      <c r="D1505" s="0" t="s">
        <v>2442</v>
      </c>
      <c r="E1505" s="0" t="n">
        <v>10037</v>
      </c>
      <c r="F1505" s="0" t="s">
        <v>337</v>
      </c>
      <c r="I1505" s="0" t="n">
        <v>2495</v>
      </c>
      <c r="J1505" s="0" t="n">
        <v>47370</v>
      </c>
      <c r="K1505" s="0" t="n">
        <v>7898104098855</v>
      </c>
      <c r="L1505" s="0" t="s">
        <v>3357</v>
      </c>
      <c r="N1505" s="0" t="n">
        <v>6</v>
      </c>
      <c r="O1505" s="0" t="n">
        <v>66</v>
      </c>
      <c r="P1505" s="0" t="s">
        <v>2444</v>
      </c>
    </row>
    <row r="1506" customFormat="false" ht="15" hidden="false" customHeight="true" outlineLevel="0" collapsed="false">
      <c r="A1506" s="0" t="n">
        <v>2</v>
      </c>
      <c r="B1506" s="71" t="n">
        <v>46191</v>
      </c>
      <c r="C1506" s="0" t="n">
        <v>1</v>
      </c>
      <c r="D1506" s="0" t="s">
        <v>2442</v>
      </c>
      <c r="E1506" s="0" t="n">
        <v>10037</v>
      </c>
      <c r="F1506" s="0" t="s">
        <v>337</v>
      </c>
      <c r="I1506" s="0" t="n">
        <v>2495</v>
      </c>
      <c r="J1506" s="0" t="n">
        <v>79555</v>
      </c>
      <c r="K1506" s="0" t="n">
        <v>7898104092723</v>
      </c>
      <c r="L1506" s="0" t="s">
        <v>3358</v>
      </c>
      <c r="N1506" s="0" t="n">
        <v>6</v>
      </c>
      <c r="O1506" s="0" t="n">
        <v>66</v>
      </c>
      <c r="P1506" s="0" t="s">
        <v>2444</v>
      </c>
    </row>
    <row r="1507" customFormat="false" ht="15" hidden="false" customHeight="true" outlineLevel="0" collapsed="false">
      <c r="A1507" s="0" t="n">
        <v>2</v>
      </c>
      <c r="B1507" s="71" t="n">
        <v>46191</v>
      </c>
      <c r="C1507" s="0" t="n">
        <v>1</v>
      </c>
      <c r="D1507" s="0" t="s">
        <v>2442</v>
      </c>
      <c r="E1507" s="0" t="n">
        <v>10037</v>
      </c>
      <c r="F1507" s="0" t="s">
        <v>337</v>
      </c>
      <c r="I1507" s="0" t="n">
        <v>2495</v>
      </c>
      <c r="J1507" s="0" t="n">
        <v>79556</v>
      </c>
      <c r="K1507" s="0" t="n">
        <v>7898104091375</v>
      </c>
      <c r="L1507" s="0" t="s">
        <v>3359</v>
      </c>
      <c r="N1507" s="0" t="n">
        <v>6</v>
      </c>
      <c r="O1507" s="0" t="n">
        <v>66</v>
      </c>
      <c r="P1507" s="0" t="s">
        <v>2444</v>
      </c>
    </row>
    <row r="1508" customFormat="false" ht="15" hidden="false" customHeight="true" outlineLevel="0" collapsed="false">
      <c r="A1508" s="0" t="n">
        <v>2</v>
      </c>
      <c r="B1508" s="71" t="n">
        <v>46191</v>
      </c>
      <c r="C1508" s="0" t="n">
        <v>1</v>
      </c>
      <c r="D1508" s="0" t="s">
        <v>2442</v>
      </c>
      <c r="E1508" s="0" t="n">
        <v>1676</v>
      </c>
      <c r="F1508" s="0" t="s">
        <v>729</v>
      </c>
      <c r="I1508" s="0" t="n">
        <v>10423</v>
      </c>
      <c r="J1508" s="0" t="n">
        <v>102260</v>
      </c>
      <c r="K1508" s="0" t="n">
        <v>7898916462028</v>
      </c>
      <c r="L1508" s="0" t="s">
        <v>3360</v>
      </c>
      <c r="N1508" s="0" t="n">
        <v>40</v>
      </c>
      <c r="O1508" s="0" t="n">
        <v>116</v>
      </c>
      <c r="P1508" s="0" t="s">
        <v>2444</v>
      </c>
    </row>
    <row r="1509" customFormat="false" ht="15" hidden="false" customHeight="true" outlineLevel="0" collapsed="false">
      <c r="A1509" s="0" t="n">
        <v>2</v>
      </c>
      <c r="B1509" s="71" t="n">
        <v>46191</v>
      </c>
      <c r="C1509" s="0" t="n">
        <v>1</v>
      </c>
      <c r="D1509" s="0" t="s">
        <v>2442</v>
      </c>
      <c r="E1509" s="0" t="n">
        <v>1676</v>
      </c>
      <c r="F1509" s="0" t="s">
        <v>729</v>
      </c>
      <c r="I1509" s="0" t="n">
        <v>10423</v>
      </c>
      <c r="J1509" s="0" t="n">
        <v>15607</v>
      </c>
      <c r="K1509" s="0" t="n">
        <v>7891340303714</v>
      </c>
      <c r="L1509" s="0" t="s">
        <v>3361</v>
      </c>
      <c r="N1509" s="0" t="n">
        <v>20</v>
      </c>
      <c r="O1509" s="0" t="n">
        <v>51</v>
      </c>
      <c r="P1509" s="0" t="s">
        <v>2444</v>
      </c>
    </row>
    <row r="1510" customFormat="false" ht="15" hidden="false" customHeight="true" outlineLevel="0" collapsed="false">
      <c r="A1510" s="0" t="n">
        <v>2</v>
      </c>
      <c r="B1510" s="71" t="n">
        <v>46191</v>
      </c>
      <c r="C1510" s="0" t="n">
        <v>1</v>
      </c>
      <c r="D1510" s="0" t="s">
        <v>2442</v>
      </c>
      <c r="E1510" s="0" t="n">
        <v>1676</v>
      </c>
      <c r="F1510" s="0" t="s">
        <v>729</v>
      </c>
      <c r="I1510" s="0" t="n">
        <v>10423</v>
      </c>
      <c r="J1510" s="0" t="n">
        <v>15608</v>
      </c>
      <c r="K1510" s="0" t="n">
        <v>7891340303233</v>
      </c>
      <c r="L1510" s="0" t="s">
        <v>3362</v>
      </c>
      <c r="N1510" s="0" t="n">
        <v>20</v>
      </c>
      <c r="O1510" s="0" t="n">
        <v>51</v>
      </c>
      <c r="P1510" s="0" t="s">
        <v>2444</v>
      </c>
    </row>
    <row r="1511" customFormat="false" ht="15" hidden="false" customHeight="true" outlineLevel="0" collapsed="false">
      <c r="A1511" s="0" t="n">
        <v>2</v>
      </c>
      <c r="B1511" s="71" t="n">
        <v>46191</v>
      </c>
      <c r="C1511" s="0" t="n">
        <v>1</v>
      </c>
      <c r="D1511" s="0" t="s">
        <v>2442</v>
      </c>
      <c r="E1511" s="0" t="n">
        <v>1676</v>
      </c>
      <c r="F1511" s="0" t="s">
        <v>729</v>
      </c>
      <c r="I1511" s="0" t="n">
        <v>10423</v>
      </c>
      <c r="J1511" s="0" t="n">
        <v>15650</v>
      </c>
      <c r="K1511" s="0" t="n">
        <v>7891340303615</v>
      </c>
      <c r="L1511" s="0" t="s">
        <v>3363</v>
      </c>
      <c r="N1511" s="0" t="n">
        <v>20</v>
      </c>
      <c r="O1511" s="0" t="n">
        <v>51</v>
      </c>
      <c r="P1511" s="0" t="s">
        <v>2444</v>
      </c>
    </row>
    <row r="1512" customFormat="false" ht="15" hidden="false" customHeight="true" outlineLevel="0" collapsed="false">
      <c r="A1512" s="0" t="n">
        <v>2</v>
      </c>
      <c r="B1512" s="71" t="n">
        <v>46191</v>
      </c>
      <c r="C1512" s="0" t="n">
        <v>1</v>
      </c>
      <c r="D1512" s="0" t="s">
        <v>2442</v>
      </c>
      <c r="E1512" s="0" t="n">
        <v>1676</v>
      </c>
      <c r="F1512" s="0" t="s">
        <v>729</v>
      </c>
      <c r="I1512" s="0" t="n">
        <v>10423</v>
      </c>
      <c r="J1512" s="0" t="n">
        <v>17863</v>
      </c>
      <c r="K1512" s="0" t="n">
        <v>7891340303332</v>
      </c>
      <c r="L1512" s="0" t="s">
        <v>3364</v>
      </c>
      <c r="N1512" s="0" t="n">
        <v>20</v>
      </c>
      <c r="O1512" s="0" t="n">
        <v>51</v>
      </c>
      <c r="P1512" s="0" t="s">
        <v>2444</v>
      </c>
    </row>
    <row r="1513" customFormat="false" ht="15" hidden="false" customHeight="true" outlineLevel="0" collapsed="false">
      <c r="A1513" s="0" t="n">
        <v>2</v>
      </c>
      <c r="B1513" s="71" t="n">
        <v>46191</v>
      </c>
      <c r="C1513" s="0" t="n">
        <v>1</v>
      </c>
      <c r="D1513" s="0" t="s">
        <v>2442</v>
      </c>
      <c r="E1513" s="0" t="n">
        <v>1676</v>
      </c>
      <c r="F1513" s="0" t="s">
        <v>729</v>
      </c>
      <c r="I1513" s="0" t="n">
        <v>10423</v>
      </c>
      <c r="J1513" s="0" t="n">
        <v>34936</v>
      </c>
      <c r="K1513" s="0" t="n">
        <v>7898916462127</v>
      </c>
      <c r="L1513" s="0" t="s">
        <v>3365</v>
      </c>
      <c r="N1513" s="0" t="n">
        <v>40</v>
      </c>
      <c r="O1513" s="0" t="n">
        <v>105.2</v>
      </c>
      <c r="P1513" s="0" t="s">
        <v>2444</v>
      </c>
    </row>
    <row r="1514" customFormat="false" ht="15" hidden="false" customHeight="true" outlineLevel="0" collapsed="false">
      <c r="A1514" s="0" t="n">
        <v>2</v>
      </c>
      <c r="B1514" s="71" t="n">
        <v>46191</v>
      </c>
      <c r="C1514" s="0" t="n">
        <v>1</v>
      </c>
      <c r="D1514" s="0" t="s">
        <v>2442</v>
      </c>
      <c r="E1514" s="0" t="n">
        <v>1676</v>
      </c>
      <c r="F1514" s="0" t="s">
        <v>729</v>
      </c>
      <c r="I1514" s="0" t="n">
        <v>10423</v>
      </c>
      <c r="J1514" s="0" t="n">
        <v>35911</v>
      </c>
      <c r="K1514" s="0" t="n">
        <v>7891340365446</v>
      </c>
      <c r="L1514" s="0" t="s">
        <v>3366</v>
      </c>
      <c r="N1514" s="0" t="n">
        <v>45</v>
      </c>
      <c r="O1514" s="0" t="n">
        <v>30.42</v>
      </c>
      <c r="P1514" s="0" t="s">
        <v>2444</v>
      </c>
    </row>
    <row r="1515" customFormat="false" ht="15" hidden="false" customHeight="true" outlineLevel="0" collapsed="false">
      <c r="A1515" s="0" t="n">
        <v>2</v>
      </c>
      <c r="B1515" s="71" t="n">
        <v>46191</v>
      </c>
      <c r="C1515" s="0" t="n">
        <v>1</v>
      </c>
      <c r="D1515" s="0" t="s">
        <v>2442</v>
      </c>
      <c r="E1515" s="0" t="n">
        <v>1676</v>
      </c>
      <c r="F1515" s="0" t="s">
        <v>729</v>
      </c>
      <c r="I1515" s="0" t="n">
        <v>10423</v>
      </c>
      <c r="J1515" s="0" t="n">
        <v>35912</v>
      </c>
      <c r="K1515" s="0" t="n">
        <v>7891340365439</v>
      </c>
      <c r="L1515" s="0" t="s">
        <v>3367</v>
      </c>
      <c r="N1515" s="0" t="n">
        <v>45</v>
      </c>
      <c r="O1515" s="0" t="n">
        <v>30.42</v>
      </c>
      <c r="P1515" s="0" t="s">
        <v>2444</v>
      </c>
    </row>
    <row r="1516" customFormat="false" ht="15" hidden="false" customHeight="true" outlineLevel="0" collapsed="false">
      <c r="A1516" s="0" t="n">
        <v>2</v>
      </c>
      <c r="B1516" s="71" t="n">
        <v>46191</v>
      </c>
      <c r="C1516" s="0" t="n">
        <v>1</v>
      </c>
      <c r="D1516" s="0" t="s">
        <v>2442</v>
      </c>
      <c r="E1516" s="0" t="n">
        <v>1676</v>
      </c>
      <c r="F1516" s="0" t="s">
        <v>729</v>
      </c>
      <c r="I1516" s="0" t="n">
        <v>10423</v>
      </c>
      <c r="J1516" s="0" t="n">
        <v>37303</v>
      </c>
      <c r="K1516" s="0" t="n">
        <v>7891340365392</v>
      </c>
      <c r="L1516" s="0" t="s">
        <v>3368</v>
      </c>
      <c r="N1516" s="0" t="n">
        <v>20</v>
      </c>
      <c r="O1516" s="0" t="n">
        <v>51</v>
      </c>
      <c r="P1516" s="0" t="s">
        <v>2444</v>
      </c>
    </row>
    <row r="1517" customFormat="false" ht="15" hidden="false" customHeight="true" outlineLevel="0" collapsed="false">
      <c r="A1517" s="0" t="n">
        <v>2</v>
      </c>
      <c r="B1517" s="71" t="n">
        <v>46191</v>
      </c>
      <c r="C1517" s="0" t="n">
        <v>1</v>
      </c>
      <c r="D1517" s="0" t="s">
        <v>2442</v>
      </c>
      <c r="E1517" s="0" t="n">
        <v>1676</v>
      </c>
      <c r="F1517" s="0" t="s">
        <v>729</v>
      </c>
      <c r="I1517" s="0" t="n">
        <v>10423</v>
      </c>
      <c r="J1517" s="0" t="n">
        <v>44716</v>
      </c>
      <c r="K1517" s="0" t="n">
        <v>7896552906234</v>
      </c>
      <c r="L1517" s="0" t="s">
        <v>3369</v>
      </c>
      <c r="N1517" s="0" t="n">
        <v>6</v>
      </c>
      <c r="O1517" s="0" t="n">
        <v>53.7</v>
      </c>
      <c r="P1517" s="0" t="s">
        <v>2444</v>
      </c>
    </row>
    <row r="1518" customFormat="false" ht="15" hidden="false" customHeight="true" outlineLevel="0" collapsed="false">
      <c r="A1518" s="0" t="n">
        <v>2</v>
      </c>
      <c r="B1518" s="71" t="n">
        <v>46191</v>
      </c>
      <c r="C1518" s="0" t="n">
        <v>1</v>
      </c>
      <c r="D1518" s="0" t="s">
        <v>2442</v>
      </c>
      <c r="E1518" s="0" t="n">
        <v>1676</v>
      </c>
      <c r="F1518" s="0" t="s">
        <v>729</v>
      </c>
      <c r="I1518" s="0" t="n">
        <v>10423</v>
      </c>
      <c r="J1518" s="0" t="n">
        <v>46640</v>
      </c>
      <c r="K1518" s="0" t="n">
        <v>7898916462110</v>
      </c>
      <c r="L1518" s="0" t="s">
        <v>3370</v>
      </c>
      <c r="N1518" s="0" t="n">
        <v>12</v>
      </c>
      <c r="O1518" s="0" t="n">
        <v>35</v>
      </c>
      <c r="P1518" s="0" t="s">
        <v>2444</v>
      </c>
    </row>
    <row r="1519" customFormat="false" ht="15" hidden="false" customHeight="true" outlineLevel="0" collapsed="false">
      <c r="A1519" s="0" t="n">
        <v>2</v>
      </c>
      <c r="B1519" s="71" t="n">
        <v>46191</v>
      </c>
      <c r="C1519" s="0" t="n">
        <v>1</v>
      </c>
      <c r="D1519" s="0" t="s">
        <v>2442</v>
      </c>
      <c r="E1519" s="0" t="n">
        <v>1676</v>
      </c>
      <c r="F1519" s="0" t="s">
        <v>729</v>
      </c>
      <c r="I1519" s="0" t="n">
        <v>10423</v>
      </c>
      <c r="J1519" s="0" t="n">
        <v>49142</v>
      </c>
      <c r="K1519" s="0" t="n">
        <v>7891340365576</v>
      </c>
      <c r="L1519" s="0" t="s">
        <v>3371</v>
      </c>
      <c r="N1519" s="0" t="n">
        <v>20</v>
      </c>
      <c r="O1519" s="0" t="n">
        <v>51</v>
      </c>
      <c r="P1519" s="0" t="s">
        <v>2444</v>
      </c>
    </row>
    <row r="1520" customFormat="false" ht="15" hidden="false" customHeight="true" outlineLevel="0" collapsed="false">
      <c r="A1520" s="0" t="n">
        <v>2</v>
      </c>
      <c r="B1520" s="71" t="n">
        <v>46191</v>
      </c>
      <c r="C1520" s="0" t="n">
        <v>1</v>
      </c>
      <c r="D1520" s="0" t="s">
        <v>2442</v>
      </c>
      <c r="E1520" s="0" t="n">
        <v>1676</v>
      </c>
      <c r="F1520" s="0" t="s">
        <v>729</v>
      </c>
      <c r="I1520" s="0" t="n">
        <v>10423</v>
      </c>
      <c r="J1520" s="0" t="n">
        <v>65180</v>
      </c>
      <c r="K1520" s="0" t="n">
        <v>7896523159959</v>
      </c>
      <c r="L1520" s="0" t="s">
        <v>3372</v>
      </c>
      <c r="N1520" s="0" t="n">
        <v>12</v>
      </c>
      <c r="O1520" s="0" t="n">
        <v>72.75</v>
      </c>
      <c r="P1520" s="0" t="s">
        <v>2444</v>
      </c>
    </row>
    <row r="1521" customFormat="false" ht="15" hidden="false" customHeight="true" outlineLevel="0" collapsed="false">
      <c r="A1521" s="0" t="n">
        <v>2</v>
      </c>
      <c r="B1521" s="71" t="n">
        <v>46191</v>
      </c>
      <c r="C1521" s="0" t="n">
        <v>1</v>
      </c>
      <c r="D1521" s="0" t="s">
        <v>2442</v>
      </c>
      <c r="E1521" s="0" t="n">
        <v>1676</v>
      </c>
      <c r="F1521" s="0" t="s">
        <v>729</v>
      </c>
      <c r="I1521" s="0" t="n">
        <v>10423</v>
      </c>
      <c r="J1521" s="0" t="n">
        <v>66249</v>
      </c>
      <c r="K1521" s="0" t="n">
        <v>7896523158433</v>
      </c>
      <c r="L1521" s="0" t="s">
        <v>3373</v>
      </c>
      <c r="N1521" s="0" t="n">
        <v>12</v>
      </c>
      <c r="O1521" s="0" t="n">
        <v>68.85</v>
      </c>
      <c r="P1521" s="0" t="s">
        <v>2444</v>
      </c>
    </row>
    <row r="1522" customFormat="false" ht="15" hidden="false" customHeight="true" outlineLevel="0" collapsed="false">
      <c r="A1522" s="0" t="n">
        <v>2</v>
      </c>
      <c r="B1522" s="71" t="n">
        <v>46191</v>
      </c>
      <c r="C1522" s="0" t="n">
        <v>1</v>
      </c>
      <c r="D1522" s="0" t="s">
        <v>2442</v>
      </c>
      <c r="E1522" s="0" t="n">
        <v>1676</v>
      </c>
      <c r="F1522" s="0" t="s">
        <v>729</v>
      </c>
      <c r="I1522" s="0" t="n">
        <v>10423</v>
      </c>
      <c r="J1522" s="0" t="n">
        <v>70622</v>
      </c>
      <c r="K1522" s="0" t="n">
        <v>7908152301477</v>
      </c>
      <c r="L1522" s="0" t="s">
        <v>3374</v>
      </c>
      <c r="N1522" s="0" t="n">
        <v>30</v>
      </c>
      <c r="O1522" s="0" t="n">
        <v>130.45</v>
      </c>
      <c r="P1522" s="0" t="s">
        <v>2444</v>
      </c>
    </row>
    <row r="1523" customFormat="false" ht="15" hidden="false" customHeight="true" outlineLevel="0" collapsed="false">
      <c r="A1523" s="0" t="n">
        <v>2</v>
      </c>
      <c r="B1523" s="71" t="n">
        <v>46191</v>
      </c>
      <c r="C1523" s="0" t="n">
        <v>1</v>
      </c>
      <c r="D1523" s="0" t="s">
        <v>2442</v>
      </c>
      <c r="E1523" s="0" t="n">
        <v>1676</v>
      </c>
      <c r="F1523" s="0" t="s">
        <v>729</v>
      </c>
      <c r="I1523" s="0" t="n">
        <v>10423</v>
      </c>
      <c r="J1523" s="0" t="n">
        <v>74382</v>
      </c>
      <c r="K1523" s="0" t="n">
        <v>7896523109640</v>
      </c>
      <c r="L1523" s="0" t="s">
        <v>3375</v>
      </c>
      <c r="N1523" s="0" t="n">
        <v>12</v>
      </c>
      <c r="O1523" s="0" t="n">
        <v>43.2</v>
      </c>
      <c r="P1523" s="0" t="s">
        <v>2444</v>
      </c>
    </row>
    <row r="1524" customFormat="false" ht="15" hidden="false" customHeight="true" outlineLevel="0" collapsed="false">
      <c r="A1524" s="0" t="n">
        <v>2</v>
      </c>
      <c r="B1524" s="71" t="n">
        <v>46191</v>
      </c>
      <c r="C1524" s="0" t="n">
        <v>1</v>
      </c>
      <c r="D1524" s="0" t="s">
        <v>2442</v>
      </c>
      <c r="E1524" s="0" t="n">
        <v>1676</v>
      </c>
      <c r="F1524" s="0" t="s">
        <v>729</v>
      </c>
      <c r="I1524" s="0" t="n">
        <v>10423</v>
      </c>
      <c r="J1524" s="0" t="n">
        <v>74384</v>
      </c>
      <c r="K1524" s="0" t="n">
        <v>7896523109664</v>
      </c>
      <c r="L1524" s="0" t="s">
        <v>3376</v>
      </c>
      <c r="N1524" s="0" t="n">
        <v>12</v>
      </c>
      <c r="O1524" s="0" t="n">
        <v>43.2</v>
      </c>
      <c r="P1524" s="0" t="s">
        <v>2444</v>
      </c>
    </row>
    <row r="1525" customFormat="false" ht="15" hidden="false" customHeight="true" outlineLevel="0" collapsed="false">
      <c r="A1525" s="0" t="n">
        <v>2</v>
      </c>
      <c r="B1525" s="71" t="n">
        <v>46191</v>
      </c>
      <c r="C1525" s="0" t="n">
        <v>1</v>
      </c>
      <c r="D1525" s="0" t="s">
        <v>2442</v>
      </c>
      <c r="E1525" s="0" t="n">
        <v>1676</v>
      </c>
      <c r="F1525" s="0" t="s">
        <v>729</v>
      </c>
      <c r="I1525" s="0" t="n">
        <v>10423</v>
      </c>
      <c r="J1525" s="0" t="n">
        <v>74390</v>
      </c>
      <c r="K1525" s="0" t="n">
        <v>7896523146294</v>
      </c>
      <c r="L1525" s="0" t="s">
        <v>3377</v>
      </c>
      <c r="N1525" s="0" t="n">
        <v>12</v>
      </c>
      <c r="O1525" s="0" t="n">
        <v>43.2</v>
      </c>
      <c r="P1525" s="0" t="s">
        <v>2444</v>
      </c>
    </row>
    <row r="1526" customFormat="false" ht="15" hidden="false" customHeight="true" outlineLevel="0" collapsed="false">
      <c r="A1526" s="0" t="n">
        <v>2</v>
      </c>
      <c r="B1526" s="71" t="n">
        <v>46191</v>
      </c>
      <c r="C1526" s="0" t="n">
        <v>1</v>
      </c>
      <c r="D1526" s="0" t="s">
        <v>2442</v>
      </c>
      <c r="E1526" s="0" t="n">
        <v>1676</v>
      </c>
      <c r="F1526" s="0" t="s">
        <v>729</v>
      </c>
      <c r="I1526" s="0" t="n">
        <v>10423</v>
      </c>
      <c r="J1526" s="0" t="n">
        <v>75055</v>
      </c>
      <c r="K1526" s="0" t="n">
        <v>7896025805811</v>
      </c>
      <c r="L1526" s="0" t="s">
        <v>3378</v>
      </c>
      <c r="N1526" s="0" t="n">
        <v>4</v>
      </c>
      <c r="O1526" s="0" t="n">
        <v>26.36</v>
      </c>
      <c r="P1526" s="0" t="s">
        <v>2444</v>
      </c>
    </row>
    <row r="1527" customFormat="false" ht="15" hidden="false" customHeight="true" outlineLevel="0" collapsed="false">
      <c r="A1527" s="0" t="n">
        <v>2</v>
      </c>
      <c r="B1527" s="71" t="n">
        <v>46191</v>
      </c>
      <c r="C1527" s="0" t="n">
        <v>1</v>
      </c>
      <c r="D1527" s="0" t="s">
        <v>2442</v>
      </c>
      <c r="E1527" s="0" t="n">
        <v>1625</v>
      </c>
      <c r="F1527" s="0" t="s">
        <v>270</v>
      </c>
      <c r="I1527" s="0" t="n">
        <v>14505</v>
      </c>
      <c r="J1527" s="0" t="n">
        <v>29079</v>
      </c>
      <c r="K1527" s="0" t="n">
        <v>55515</v>
      </c>
      <c r="L1527" s="0" t="s">
        <v>2449</v>
      </c>
      <c r="N1527" s="0" t="n">
        <v>83</v>
      </c>
      <c r="O1527" s="0" t="n">
        <v>2730.7</v>
      </c>
      <c r="P1527" s="0" t="s">
        <v>2444</v>
      </c>
    </row>
    <row r="1528" customFormat="false" ht="15" hidden="false" customHeight="true" outlineLevel="0" collapsed="false">
      <c r="A1528" s="0" t="n">
        <v>2</v>
      </c>
      <c r="B1528" s="71" t="n">
        <v>46191</v>
      </c>
      <c r="C1528" s="0" t="n">
        <v>1</v>
      </c>
      <c r="D1528" s="0" t="s">
        <v>2442</v>
      </c>
      <c r="E1528" s="0" t="n">
        <v>1625</v>
      </c>
      <c r="F1528" s="0" t="s">
        <v>270</v>
      </c>
      <c r="I1528" s="0" t="n">
        <v>14505</v>
      </c>
      <c r="J1528" s="0" t="n">
        <v>29080</v>
      </c>
      <c r="K1528" s="0" t="n">
        <v>55516</v>
      </c>
      <c r="L1528" s="0" t="s">
        <v>2450</v>
      </c>
      <c r="N1528" s="0" t="n">
        <v>69</v>
      </c>
      <c r="O1528" s="0" t="n">
        <v>1580.1</v>
      </c>
      <c r="P1528" s="0" t="s">
        <v>2444</v>
      </c>
    </row>
    <row r="1529" customFormat="false" ht="15" hidden="false" customHeight="true" outlineLevel="0" collapsed="false">
      <c r="A1529" s="0" t="n">
        <v>2</v>
      </c>
      <c r="B1529" s="71" t="n">
        <v>46191</v>
      </c>
      <c r="C1529" s="0" t="n">
        <v>1</v>
      </c>
      <c r="D1529" s="0" t="s">
        <v>2442</v>
      </c>
      <c r="E1529" s="0" t="n">
        <v>1625</v>
      </c>
      <c r="F1529" s="0" t="s">
        <v>270</v>
      </c>
      <c r="I1529" s="0" t="n">
        <v>14505</v>
      </c>
      <c r="J1529" s="0" t="n">
        <v>77455</v>
      </c>
      <c r="K1529" s="0" t="n">
        <v>774567</v>
      </c>
      <c r="L1529" s="0" t="s">
        <v>2624</v>
      </c>
      <c r="N1529" s="0" t="n">
        <v>21.5</v>
      </c>
      <c r="O1529" s="0" t="n">
        <v>707.35</v>
      </c>
      <c r="P1529" s="0" t="s">
        <v>2444</v>
      </c>
    </row>
    <row r="1530" customFormat="false" ht="15" hidden="false" customHeight="true" outlineLevel="0" collapsed="false">
      <c r="A1530" s="0" t="n">
        <v>2</v>
      </c>
      <c r="B1530" s="71" t="n">
        <v>46191</v>
      </c>
      <c r="C1530" s="0" t="n">
        <v>1</v>
      </c>
      <c r="D1530" s="0" t="s">
        <v>2442</v>
      </c>
      <c r="E1530" s="0" t="n">
        <v>957</v>
      </c>
      <c r="F1530" s="0" t="s">
        <v>628</v>
      </c>
      <c r="I1530" s="0" t="n">
        <v>20440</v>
      </c>
      <c r="J1530" s="0" t="n">
        <v>18973</v>
      </c>
      <c r="K1530" s="0" t="n">
        <v>7896029028414</v>
      </c>
      <c r="L1530" s="0" t="s">
        <v>3379</v>
      </c>
      <c r="N1530" s="0" t="n">
        <v>3</v>
      </c>
      <c r="O1530" s="0" t="n">
        <v>9.78</v>
      </c>
      <c r="P1530" s="0" t="s">
        <v>2444</v>
      </c>
    </row>
    <row r="1531" customFormat="false" ht="15" hidden="false" customHeight="true" outlineLevel="0" collapsed="false">
      <c r="A1531" s="0" t="n">
        <v>2</v>
      </c>
      <c r="B1531" s="71" t="n">
        <v>46191</v>
      </c>
      <c r="C1531" s="0" t="n">
        <v>1</v>
      </c>
      <c r="D1531" s="0" t="s">
        <v>2442</v>
      </c>
      <c r="E1531" s="0" t="n">
        <v>957</v>
      </c>
      <c r="F1531" s="0" t="s">
        <v>628</v>
      </c>
      <c r="I1531" s="0" t="n">
        <v>20440</v>
      </c>
      <c r="J1531" s="0" t="n">
        <v>18973</v>
      </c>
      <c r="K1531" s="0" t="n">
        <v>7896029028414</v>
      </c>
      <c r="L1531" s="0" t="s">
        <v>3379</v>
      </c>
      <c r="N1531" s="0" t="n">
        <v>6</v>
      </c>
      <c r="O1531" s="0" t="n">
        <v>19.56</v>
      </c>
      <c r="P1531" s="0" t="s">
        <v>2444</v>
      </c>
    </row>
    <row r="1532" customFormat="false" ht="15" hidden="false" customHeight="true" outlineLevel="0" collapsed="false">
      <c r="A1532" s="0" t="n">
        <v>2</v>
      </c>
      <c r="B1532" s="71" t="n">
        <v>46191</v>
      </c>
      <c r="C1532" s="0" t="n">
        <v>1</v>
      </c>
      <c r="D1532" s="0" t="s">
        <v>2442</v>
      </c>
      <c r="E1532" s="0" t="n">
        <v>957</v>
      </c>
      <c r="F1532" s="0" t="s">
        <v>628</v>
      </c>
      <c r="I1532" s="0" t="n">
        <v>20440</v>
      </c>
      <c r="J1532" s="0" t="n">
        <v>26461</v>
      </c>
      <c r="K1532" s="0" t="n">
        <v>7896029052327</v>
      </c>
      <c r="L1532" s="0" t="s">
        <v>3380</v>
      </c>
      <c r="N1532" s="0" t="n">
        <v>3</v>
      </c>
      <c r="O1532" s="0" t="n">
        <v>16.98</v>
      </c>
      <c r="P1532" s="0" t="s">
        <v>2444</v>
      </c>
    </row>
    <row r="1533" customFormat="false" ht="15" hidden="false" customHeight="true" outlineLevel="0" collapsed="false">
      <c r="A1533" s="0" t="n">
        <v>2</v>
      </c>
      <c r="B1533" s="71" t="n">
        <v>46191</v>
      </c>
      <c r="C1533" s="0" t="n">
        <v>1</v>
      </c>
      <c r="D1533" s="0" t="s">
        <v>2442</v>
      </c>
      <c r="E1533" s="0" t="n">
        <v>957</v>
      </c>
      <c r="F1533" s="0" t="s">
        <v>628</v>
      </c>
      <c r="I1533" s="0" t="n">
        <v>20440</v>
      </c>
      <c r="J1533" s="0" t="n">
        <v>26772</v>
      </c>
      <c r="K1533" s="0" t="n">
        <v>7896029052341</v>
      </c>
      <c r="L1533" s="0" t="s">
        <v>3381</v>
      </c>
      <c r="N1533" s="0" t="n">
        <v>3</v>
      </c>
      <c r="O1533" s="0" t="n">
        <v>19.8</v>
      </c>
      <c r="P1533" s="0" t="s">
        <v>2444</v>
      </c>
    </row>
    <row r="1534" customFormat="false" ht="15" hidden="false" customHeight="true" outlineLevel="0" collapsed="false">
      <c r="A1534" s="0" t="n">
        <v>2</v>
      </c>
      <c r="B1534" s="71" t="n">
        <v>46191</v>
      </c>
      <c r="C1534" s="0" t="n">
        <v>1</v>
      </c>
      <c r="D1534" s="0" t="s">
        <v>2442</v>
      </c>
      <c r="E1534" s="0" t="n">
        <v>957</v>
      </c>
      <c r="F1534" s="0" t="s">
        <v>628</v>
      </c>
      <c r="I1534" s="0" t="n">
        <v>20440</v>
      </c>
      <c r="J1534" s="0" t="n">
        <v>48937</v>
      </c>
      <c r="K1534" s="0" t="n">
        <v>7896029089620</v>
      </c>
      <c r="L1534" s="0" t="s">
        <v>3382</v>
      </c>
      <c r="N1534" s="0" t="n">
        <v>3</v>
      </c>
      <c r="O1534" s="0" t="n">
        <v>17.79</v>
      </c>
      <c r="P1534" s="0" t="s">
        <v>2444</v>
      </c>
    </row>
    <row r="1535" customFormat="false" ht="15" hidden="false" customHeight="true" outlineLevel="0" collapsed="false">
      <c r="A1535" s="0" t="n">
        <v>2</v>
      </c>
      <c r="B1535" s="71" t="n">
        <v>46191</v>
      </c>
      <c r="C1535" s="0" t="n">
        <v>1</v>
      </c>
      <c r="D1535" s="0" t="s">
        <v>2442</v>
      </c>
      <c r="E1535" s="0" t="n">
        <v>957</v>
      </c>
      <c r="F1535" s="0" t="s">
        <v>628</v>
      </c>
      <c r="I1535" s="0" t="n">
        <v>20440</v>
      </c>
      <c r="J1535" s="0" t="n">
        <v>58843</v>
      </c>
      <c r="K1535" s="0" t="n">
        <v>7896029021781</v>
      </c>
      <c r="L1535" s="0" t="s">
        <v>3383</v>
      </c>
      <c r="N1535" s="0" t="n">
        <v>3</v>
      </c>
      <c r="O1535" s="0" t="n">
        <v>13.8</v>
      </c>
      <c r="P1535" s="0" t="s">
        <v>2444</v>
      </c>
    </row>
    <row r="1536" customFormat="false" ht="15" hidden="false" customHeight="true" outlineLevel="0" collapsed="false">
      <c r="A1536" s="0" t="n">
        <v>2</v>
      </c>
      <c r="B1536" s="71" t="n">
        <v>46191</v>
      </c>
      <c r="C1536" s="0" t="n">
        <v>1</v>
      </c>
      <c r="D1536" s="0" t="s">
        <v>2442</v>
      </c>
      <c r="E1536" s="0" t="n">
        <v>957</v>
      </c>
      <c r="F1536" s="0" t="s">
        <v>628</v>
      </c>
      <c r="I1536" s="0" t="n">
        <v>20440</v>
      </c>
      <c r="J1536" s="0" t="n">
        <v>72634</v>
      </c>
      <c r="K1536" s="0" t="n">
        <v>7896029021569</v>
      </c>
      <c r="L1536" s="0" t="s">
        <v>3384</v>
      </c>
      <c r="N1536" s="0" t="n">
        <v>3</v>
      </c>
      <c r="O1536" s="0" t="n">
        <v>9.78</v>
      </c>
      <c r="P1536" s="0" t="s">
        <v>2444</v>
      </c>
    </row>
    <row r="1537" customFormat="false" ht="15" hidden="false" customHeight="true" outlineLevel="0" collapsed="false">
      <c r="A1537" s="0" t="n">
        <v>2</v>
      </c>
      <c r="B1537" s="71" t="n">
        <v>46191</v>
      </c>
      <c r="C1537" s="0" t="n">
        <v>1</v>
      </c>
      <c r="D1537" s="0" t="s">
        <v>2442</v>
      </c>
      <c r="E1537" s="0" t="n">
        <v>957</v>
      </c>
      <c r="F1537" s="0" t="s">
        <v>628</v>
      </c>
      <c r="I1537" s="0" t="n">
        <v>20440</v>
      </c>
      <c r="J1537" s="0" t="n">
        <v>79597</v>
      </c>
      <c r="K1537" s="0" t="n">
        <v>7896029046906</v>
      </c>
      <c r="L1537" s="0" t="s">
        <v>3385</v>
      </c>
      <c r="N1537" s="0" t="n">
        <v>3</v>
      </c>
      <c r="O1537" s="0" t="n">
        <v>11.58</v>
      </c>
      <c r="P1537" s="0" t="s">
        <v>2444</v>
      </c>
    </row>
    <row r="1538" customFormat="false" ht="15" hidden="false" customHeight="true" outlineLevel="0" collapsed="false">
      <c r="A1538" s="0" t="n">
        <v>2</v>
      </c>
      <c r="B1538" s="71" t="n">
        <v>46191</v>
      </c>
      <c r="C1538" s="0" t="n">
        <v>1</v>
      </c>
      <c r="D1538" s="0" t="s">
        <v>2442</v>
      </c>
      <c r="E1538" s="0" t="n">
        <v>957</v>
      </c>
      <c r="F1538" s="0" t="s">
        <v>628</v>
      </c>
      <c r="I1538" s="0" t="n">
        <v>20440</v>
      </c>
      <c r="J1538" s="0" t="n">
        <v>80194</v>
      </c>
      <c r="K1538" s="0" t="n">
        <v>7896029046142</v>
      </c>
      <c r="L1538" s="0" t="s">
        <v>3386</v>
      </c>
      <c r="N1538" s="0" t="n">
        <v>3</v>
      </c>
      <c r="O1538" s="0" t="n">
        <v>9.78</v>
      </c>
      <c r="P1538" s="0" t="s">
        <v>2444</v>
      </c>
    </row>
    <row r="1539" customFormat="false" ht="15" hidden="false" customHeight="true" outlineLevel="0" collapsed="false">
      <c r="A1539" s="0" t="n">
        <v>2</v>
      </c>
      <c r="B1539" s="71" t="n">
        <v>46191</v>
      </c>
      <c r="C1539" s="0" t="n">
        <v>1</v>
      </c>
      <c r="D1539" s="0" t="s">
        <v>2442</v>
      </c>
      <c r="E1539" s="0" t="n">
        <v>581</v>
      </c>
      <c r="F1539" s="0" t="s">
        <v>147</v>
      </c>
      <c r="I1539" s="0" t="n">
        <v>31025</v>
      </c>
      <c r="J1539" s="0" t="n">
        <v>48008</v>
      </c>
      <c r="K1539" s="0" t="n">
        <v>798190027999</v>
      </c>
      <c r="L1539" s="0" t="s">
        <v>2579</v>
      </c>
      <c r="N1539" s="0" t="n">
        <v>20</v>
      </c>
      <c r="O1539" s="0" t="n">
        <v>130</v>
      </c>
      <c r="P1539" s="0" t="s">
        <v>2444</v>
      </c>
    </row>
    <row r="1540" customFormat="false" ht="15" hidden="false" customHeight="true" outlineLevel="0" collapsed="false">
      <c r="A1540" s="0" t="n">
        <v>2</v>
      </c>
      <c r="B1540" s="71" t="n">
        <v>46191</v>
      </c>
      <c r="C1540" s="0" t="n">
        <v>1</v>
      </c>
      <c r="D1540" s="0" t="s">
        <v>2442</v>
      </c>
      <c r="E1540" s="0" t="n">
        <v>581</v>
      </c>
      <c r="F1540" s="0" t="s">
        <v>147</v>
      </c>
      <c r="I1540" s="0" t="n">
        <v>31025</v>
      </c>
      <c r="J1540" s="0" t="n">
        <v>48009</v>
      </c>
      <c r="K1540" s="0" t="n">
        <v>798190028002</v>
      </c>
      <c r="L1540" s="0" t="s">
        <v>2580</v>
      </c>
      <c r="N1540" s="0" t="n">
        <v>20</v>
      </c>
      <c r="O1540" s="0" t="n">
        <v>69</v>
      </c>
      <c r="P1540" s="0" t="s">
        <v>2444</v>
      </c>
    </row>
    <row r="1541" customFormat="false" ht="15" hidden="false" customHeight="true" outlineLevel="0" collapsed="false">
      <c r="A1541" s="0" t="n">
        <v>2</v>
      </c>
      <c r="B1541" s="71" t="n">
        <v>46191</v>
      </c>
      <c r="C1541" s="0" t="n">
        <v>1</v>
      </c>
      <c r="D1541" s="0" t="s">
        <v>2442</v>
      </c>
      <c r="E1541" s="0" t="n">
        <v>1634</v>
      </c>
      <c r="F1541" s="0" t="s">
        <v>285</v>
      </c>
      <c r="I1541" s="0" t="n">
        <v>326863</v>
      </c>
      <c r="J1541" s="0" t="n">
        <v>102536</v>
      </c>
      <c r="K1541" s="0" t="n">
        <v>7896037514848</v>
      </c>
      <c r="L1541" s="0" t="s">
        <v>3387</v>
      </c>
      <c r="N1541" s="0" t="n">
        <v>24</v>
      </c>
      <c r="O1541" s="0" t="n">
        <v>165.36</v>
      </c>
      <c r="P1541" s="0" t="s">
        <v>2444</v>
      </c>
    </row>
    <row r="1542" customFormat="false" ht="15" hidden="false" customHeight="true" outlineLevel="0" collapsed="false">
      <c r="A1542" s="0" t="n">
        <v>2</v>
      </c>
      <c r="B1542" s="71" t="n">
        <v>46191</v>
      </c>
      <c r="C1542" s="0" t="n">
        <v>1</v>
      </c>
      <c r="D1542" s="0" t="s">
        <v>2442</v>
      </c>
      <c r="E1542" s="0" t="n">
        <v>1634</v>
      </c>
      <c r="F1542" s="0" t="s">
        <v>285</v>
      </c>
      <c r="I1542" s="0" t="n">
        <v>326863</v>
      </c>
      <c r="J1542" s="0" t="n">
        <v>13140</v>
      </c>
      <c r="K1542" s="0" t="n">
        <v>7896037916338</v>
      </c>
      <c r="L1542" s="0" t="s">
        <v>3388</v>
      </c>
      <c r="N1542" s="0" t="n">
        <v>12</v>
      </c>
      <c r="O1542" s="0" t="n">
        <v>260.04</v>
      </c>
      <c r="P1542" s="0" t="s">
        <v>2444</v>
      </c>
    </row>
    <row r="1543" customFormat="false" ht="15" hidden="false" customHeight="true" outlineLevel="0" collapsed="false">
      <c r="A1543" s="0" t="n">
        <v>2</v>
      </c>
      <c r="B1543" s="71" t="n">
        <v>46191</v>
      </c>
      <c r="C1543" s="0" t="n">
        <v>1</v>
      </c>
      <c r="D1543" s="0" t="s">
        <v>2442</v>
      </c>
      <c r="E1543" s="0" t="n">
        <v>1634</v>
      </c>
      <c r="F1543" s="0" t="s">
        <v>285</v>
      </c>
      <c r="I1543" s="0" t="n">
        <v>326863</v>
      </c>
      <c r="J1543" s="0" t="n">
        <v>13180</v>
      </c>
      <c r="K1543" s="0" t="n">
        <v>7896037913177</v>
      </c>
      <c r="L1543" s="0" t="s">
        <v>3389</v>
      </c>
      <c r="N1543" s="0" t="n">
        <v>6</v>
      </c>
      <c r="O1543" s="0" t="n">
        <v>76.26</v>
      </c>
      <c r="P1543" s="0" t="s">
        <v>2444</v>
      </c>
    </row>
    <row r="1544" customFormat="false" ht="15" hidden="false" customHeight="true" outlineLevel="0" collapsed="false">
      <c r="A1544" s="0" t="n">
        <v>2</v>
      </c>
      <c r="B1544" s="71" t="n">
        <v>46191</v>
      </c>
      <c r="C1544" s="0" t="n">
        <v>1</v>
      </c>
      <c r="D1544" s="0" t="s">
        <v>2442</v>
      </c>
      <c r="E1544" s="0" t="n">
        <v>1634</v>
      </c>
      <c r="F1544" s="0" t="s">
        <v>285</v>
      </c>
      <c r="I1544" s="0" t="n">
        <v>326863</v>
      </c>
      <c r="J1544" s="0" t="n">
        <v>14904</v>
      </c>
      <c r="K1544" s="0" t="n">
        <v>7896037913665</v>
      </c>
      <c r="L1544" s="0" t="s">
        <v>3390</v>
      </c>
      <c r="N1544" s="0" t="n">
        <v>6</v>
      </c>
      <c r="O1544" s="0" t="n">
        <v>60.54</v>
      </c>
      <c r="P1544" s="0" t="s">
        <v>2444</v>
      </c>
    </row>
    <row r="1545" customFormat="false" ht="15" hidden="false" customHeight="true" outlineLevel="0" collapsed="false">
      <c r="A1545" s="0" t="n">
        <v>2</v>
      </c>
      <c r="B1545" s="71" t="n">
        <v>46191</v>
      </c>
      <c r="C1545" s="0" t="n">
        <v>1</v>
      </c>
      <c r="D1545" s="0" t="s">
        <v>2442</v>
      </c>
      <c r="E1545" s="0" t="n">
        <v>1634</v>
      </c>
      <c r="F1545" s="0" t="s">
        <v>285</v>
      </c>
      <c r="I1545" s="0" t="n">
        <v>326863</v>
      </c>
      <c r="J1545" s="0" t="n">
        <v>20077</v>
      </c>
      <c r="K1545" s="0" t="n">
        <v>7896383700681</v>
      </c>
      <c r="L1545" s="0" t="s">
        <v>3391</v>
      </c>
      <c r="N1545" s="0" t="n">
        <v>3</v>
      </c>
      <c r="O1545" s="0" t="n">
        <v>92.19</v>
      </c>
      <c r="P1545" s="0" t="s">
        <v>2444</v>
      </c>
    </row>
    <row r="1546" customFormat="false" ht="15" hidden="false" customHeight="true" outlineLevel="0" collapsed="false">
      <c r="A1546" s="0" t="n">
        <v>2</v>
      </c>
      <c r="B1546" s="71" t="n">
        <v>46191</v>
      </c>
      <c r="C1546" s="0" t="n">
        <v>1</v>
      </c>
      <c r="D1546" s="0" t="s">
        <v>2442</v>
      </c>
      <c r="E1546" s="0" t="n">
        <v>1634</v>
      </c>
      <c r="F1546" s="0" t="s">
        <v>285</v>
      </c>
      <c r="I1546" s="0" t="n">
        <v>326863</v>
      </c>
      <c r="J1546" s="0" t="n">
        <v>26641</v>
      </c>
      <c r="K1546" s="0" t="n">
        <v>7896383730152</v>
      </c>
      <c r="L1546" s="0" t="s">
        <v>3392</v>
      </c>
      <c r="N1546" s="0" t="n">
        <v>3</v>
      </c>
      <c r="O1546" s="0" t="n">
        <v>79.62</v>
      </c>
      <c r="P1546" s="0" t="s">
        <v>2444</v>
      </c>
    </row>
    <row r="1547" customFormat="false" ht="15" hidden="false" customHeight="true" outlineLevel="0" collapsed="false">
      <c r="A1547" s="0" t="n">
        <v>2</v>
      </c>
      <c r="B1547" s="71" t="n">
        <v>46191</v>
      </c>
      <c r="C1547" s="0" t="n">
        <v>1</v>
      </c>
      <c r="D1547" s="0" t="s">
        <v>2442</v>
      </c>
      <c r="E1547" s="0" t="n">
        <v>1634</v>
      </c>
      <c r="F1547" s="0" t="s">
        <v>285</v>
      </c>
      <c r="I1547" s="0" t="n">
        <v>326863</v>
      </c>
      <c r="J1547" s="0" t="n">
        <v>36503</v>
      </c>
      <c r="K1547" s="0" t="n">
        <v>7899567245855</v>
      </c>
      <c r="L1547" s="0" t="s">
        <v>3393</v>
      </c>
      <c r="N1547" s="0" t="n">
        <v>24</v>
      </c>
      <c r="O1547" s="0" t="n">
        <v>161.28</v>
      </c>
      <c r="P1547" s="0" t="s">
        <v>2444</v>
      </c>
    </row>
    <row r="1548" customFormat="false" ht="15" hidden="false" customHeight="true" outlineLevel="0" collapsed="false">
      <c r="A1548" s="0" t="n">
        <v>2</v>
      </c>
      <c r="B1548" s="71" t="n">
        <v>46191</v>
      </c>
      <c r="C1548" s="0" t="n">
        <v>1</v>
      </c>
      <c r="D1548" s="0" t="s">
        <v>2442</v>
      </c>
      <c r="E1548" s="0" t="n">
        <v>1634</v>
      </c>
      <c r="F1548" s="0" t="s">
        <v>285</v>
      </c>
      <c r="I1548" s="0" t="n">
        <v>326863</v>
      </c>
      <c r="J1548" s="0" t="n">
        <v>78365</v>
      </c>
      <c r="K1548" s="0" t="n">
        <v>7896037918912</v>
      </c>
      <c r="L1548" s="0" t="s">
        <v>3394</v>
      </c>
      <c r="N1548" s="0" t="n">
        <v>3</v>
      </c>
      <c r="O1548" s="0" t="n">
        <v>97.11</v>
      </c>
      <c r="P1548" s="0" t="s">
        <v>2444</v>
      </c>
    </row>
    <row r="1549" customFormat="false" ht="15" hidden="false" customHeight="true" outlineLevel="0" collapsed="false">
      <c r="A1549" s="0" t="n">
        <v>2</v>
      </c>
      <c r="B1549" s="71" t="n">
        <v>46191</v>
      </c>
      <c r="C1549" s="0" t="n">
        <v>1</v>
      </c>
      <c r="D1549" s="0" t="s">
        <v>2442</v>
      </c>
      <c r="E1549" s="0" t="n">
        <v>1815</v>
      </c>
      <c r="F1549" s="0" t="s">
        <v>172</v>
      </c>
      <c r="I1549" s="0" t="n">
        <v>387833</v>
      </c>
      <c r="J1549" s="0" t="n">
        <v>100012</v>
      </c>
      <c r="K1549" s="0" t="n">
        <v>13</v>
      </c>
      <c r="L1549" s="0" t="s">
        <v>2489</v>
      </c>
      <c r="N1549" s="0" t="n">
        <v>58.31</v>
      </c>
      <c r="O1549" s="0" t="n">
        <v>2273.51</v>
      </c>
      <c r="P1549" s="0" t="s">
        <v>2444</v>
      </c>
    </row>
    <row r="1550" customFormat="false" ht="15" hidden="false" customHeight="true" outlineLevel="0" collapsed="false">
      <c r="A1550" s="0" t="n">
        <v>2</v>
      </c>
      <c r="B1550" s="71" t="n">
        <v>46191</v>
      </c>
      <c r="C1550" s="0" t="n">
        <v>1</v>
      </c>
      <c r="D1550" s="0" t="s">
        <v>2442</v>
      </c>
      <c r="E1550" s="0" t="n">
        <v>1815</v>
      </c>
      <c r="F1550" s="0" t="s">
        <v>172</v>
      </c>
      <c r="I1550" s="0" t="n">
        <v>387833</v>
      </c>
      <c r="J1550" s="0" t="n">
        <v>100013</v>
      </c>
      <c r="K1550" s="0" t="n">
        <v>14</v>
      </c>
      <c r="L1550" s="0" t="s">
        <v>2490</v>
      </c>
      <c r="N1550" s="0" t="n">
        <v>47.686</v>
      </c>
      <c r="O1550" s="0" t="n">
        <v>1788.23</v>
      </c>
      <c r="P1550" s="0" t="s">
        <v>2444</v>
      </c>
    </row>
    <row r="1551" customFormat="false" ht="15" hidden="false" customHeight="true" outlineLevel="0" collapsed="false">
      <c r="A1551" s="0" t="n">
        <v>2</v>
      </c>
      <c r="B1551" s="71" t="n">
        <v>46191</v>
      </c>
      <c r="C1551" s="0" t="n">
        <v>1</v>
      </c>
      <c r="D1551" s="0" t="s">
        <v>2442</v>
      </c>
      <c r="E1551" s="0" t="n">
        <v>1815</v>
      </c>
      <c r="F1551" s="0" t="s">
        <v>172</v>
      </c>
      <c r="I1551" s="0" t="n">
        <v>387833</v>
      </c>
      <c r="J1551" s="0" t="n">
        <v>100014</v>
      </c>
      <c r="K1551" s="0" t="n">
        <v>15</v>
      </c>
      <c r="L1551" s="0" t="s">
        <v>2491</v>
      </c>
      <c r="N1551" s="0" t="n">
        <v>23.834</v>
      </c>
      <c r="O1551" s="0" t="n">
        <v>1048.46</v>
      </c>
      <c r="P1551" s="0" t="s">
        <v>2444</v>
      </c>
    </row>
    <row r="1552" customFormat="false" ht="15" hidden="false" customHeight="true" outlineLevel="0" collapsed="false">
      <c r="A1552" s="0" t="n">
        <v>2</v>
      </c>
      <c r="B1552" s="71" t="n">
        <v>46191</v>
      </c>
      <c r="C1552" s="0" t="n">
        <v>1</v>
      </c>
      <c r="D1552" s="0" t="s">
        <v>2442</v>
      </c>
      <c r="E1552" s="0" t="n">
        <v>1815</v>
      </c>
      <c r="F1552" s="0" t="s">
        <v>172</v>
      </c>
      <c r="I1552" s="0" t="n">
        <v>387833</v>
      </c>
      <c r="J1552" s="0" t="n">
        <v>100036</v>
      </c>
      <c r="K1552" s="0" t="n">
        <v>37</v>
      </c>
      <c r="L1552" s="0" t="s">
        <v>3395</v>
      </c>
      <c r="N1552" s="0" t="n">
        <v>125</v>
      </c>
      <c r="O1552" s="0" t="n">
        <v>2498.75</v>
      </c>
      <c r="P1552" s="0" t="s">
        <v>2444</v>
      </c>
    </row>
    <row r="1553" customFormat="false" ht="15" hidden="false" customHeight="true" outlineLevel="0" collapsed="false">
      <c r="A1553" s="0" t="n">
        <v>2</v>
      </c>
      <c r="B1553" s="71" t="n">
        <v>46191</v>
      </c>
      <c r="C1553" s="0" t="n">
        <v>1</v>
      </c>
      <c r="D1553" s="0" t="s">
        <v>2442</v>
      </c>
      <c r="E1553" s="0" t="n">
        <v>1815</v>
      </c>
      <c r="F1553" s="0" t="s">
        <v>172</v>
      </c>
      <c r="I1553" s="0" t="n">
        <v>387833</v>
      </c>
      <c r="J1553" s="0" t="n">
        <v>110191</v>
      </c>
      <c r="K1553" s="0" t="n">
        <v>37402</v>
      </c>
      <c r="L1553" s="0" t="s">
        <v>2638</v>
      </c>
      <c r="N1553" s="0" t="n">
        <v>20</v>
      </c>
      <c r="O1553" s="0" t="n">
        <v>139.8</v>
      </c>
      <c r="P1553" s="0" t="s">
        <v>2444</v>
      </c>
    </row>
    <row r="1554" customFormat="false" ht="15" hidden="false" customHeight="true" outlineLevel="0" collapsed="false">
      <c r="A1554" s="0" t="n">
        <v>2</v>
      </c>
      <c r="B1554" s="71" t="n">
        <v>46191</v>
      </c>
      <c r="C1554" s="0" t="n">
        <v>1</v>
      </c>
      <c r="D1554" s="0" t="s">
        <v>2442</v>
      </c>
      <c r="E1554" s="0" t="n">
        <v>1815</v>
      </c>
      <c r="F1554" s="0" t="s">
        <v>172</v>
      </c>
      <c r="I1554" s="0" t="n">
        <v>387833</v>
      </c>
      <c r="J1554" s="0" t="n">
        <v>110778</v>
      </c>
      <c r="K1554" s="0" t="n">
        <v>71976</v>
      </c>
      <c r="L1554" s="0" t="s">
        <v>3396</v>
      </c>
      <c r="N1554" s="0" t="n">
        <v>15</v>
      </c>
      <c r="O1554" s="0" t="n">
        <v>134.85</v>
      </c>
      <c r="P1554" s="0" t="s">
        <v>2444</v>
      </c>
    </row>
    <row r="1555" customFormat="false" ht="15" hidden="false" customHeight="true" outlineLevel="0" collapsed="false">
      <c r="A1555" s="0" t="n">
        <v>2</v>
      </c>
      <c r="B1555" s="71" t="n">
        <v>46191</v>
      </c>
      <c r="C1555" s="0" t="n">
        <v>1</v>
      </c>
      <c r="D1555" s="0" t="s">
        <v>2442</v>
      </c>
      <c r="E1555" s="0" t="n">
        <v>1815</v>
      </c>
      <c r="F1555" s="0" t="s">
        <v>172</v>
      </c>
      <c r="I1555" s="0" t="n">
        <v>387833</v>
      </c>
      <c r="J1555" s="0" t="n">
        <v>72694</v>
      </c>
      <c r="K1555" s="0" t="n">
        <v>7898970370123</v>
      </c>
      <c r="L1555" s="0" t="s">
        <v>3397</v>
      </c>
      <c r="N1555" s="0" t="n">
        <v>20</v>
      </c>
      <c r="O1555" s="0" t="n">
        <v>110</v>
      </c>
      <c r="P1555" s="0" t="s">
        <v>2444</v>
      </c>
    </row>
    <row r="1556" customFormat="false" ht="15" hidden="false" customHeight="true" outlineLevel="0" collapsed="false">
      <c r="A1556" s="0" t="n">
        <v>2</v>
      </c>
      <c r="B1556" s="71" t="n">
        <v>46191</v>
      </c>
      <c r="C1556" s="0" t="n">
        <v>1</v>
      </c>
      <c r="D1556" s="0" t="s">
        <v>2442</v>
      </c>
      <c r="E1556" s="0" t="n">
        <v>1718</v>
      </c>
      <c r="F1556" s="0" t="s">
        <v>236</v>
      </c>
      <c r="I1556" s="0" t="n">
        <v>674937</v>
      </c>
      <c r="J1556" s="0" t="n">
        <v>21274</v>
      </c>
      <c r="K1556" s="0" t="n">
        <v>7622300830083</v>
      </c>
      <c r="L1556" s="0" t="s">
        <v>3398</v>
      </c>
      <c r="N1556" s="0" t="n">
        <v>16</v>
      </c>
      <c r="O1556" s="0" t="n">
        <v>26.44</v>
      </c>
      <c r="P1556" s="0" t="s">
        <v>2444</v>
      </c>
    </row>
    <row r="1557" customFormat="false" ht="15" hidden="false" customHeight="true" outlineLevel="0" collapsed="false">
      <c r="A1557" s="0" t="n">
        <v>2</v>
      </c>
      <c r="B1557" s="71" t="n">
        <v>46191</v>
      </c>
      <c r="C1557" s="0" t="n">
        <v>1</v>
      </c>
      <c r="D1557" s="0" t="s">
        <v>2442</v>
      </c>
      <c r="E1557" s="0" t="n">
        <v>1718</v>
      </c>
      <c r="F1557" s="0" t="s">
        <v>236</v>
      </c>
      <c r="I1557" s="0" t="n">
        <v>674937</v>
      </c>
      <c r="J1557" s="0" t="n">
        <v>21275</v>
      </c>
      <c r="K1557" s="0" t="n">
        <v>7622300830151</v>
      </c>
      <c r="L1557" s="0" t="s">
        <v>3399</v>
      </c>
      <c r="N1557" s="0" t="n">
        <v>48</v>
      </c>
      <c r="O1557" s="0" t="n">
        <v>169.92</v>
      </c>
      <c r="P1557" s="0" t="s">
        <v>2444</v>
      </c>
    </row>
    <row r="1558" customFormat="false" ht="15" hidden="false" customHeight="true" outlineLevel="0" collapsed="false">
      <c r="A1558" s="0" t="n">
        <v>2</v>
      </c>
      <c r="B1558" s="71" t="n">
        <v>46191</v>
      </c>
      <c r="C1558" s="0" t="n">
        <v>1</v>
      </c>
      <c r="D1558" s="0" t="s">
        <v>2442</v>
      </c>
      <c r="E1558" s="0" t="n">
        <v>1718</v>
      </c>
      <c r="F1558" s="0" t="s">
        <v>236</v>
      </c>
      <c r="I1558" s="0" t="n">
        <v>674937</v>
      </c>
      <c r="J1558" s="0" t="n">
        <v>22427</v>
      </c>
      <c r="K1558" s="0" t="n">
        <v>7622300873455</v>
      </c>
      <c r="L1558" s="0" t="s">
        <v>3400</v>
      </c>
      <c r="N1558" s="0" t="n">
        <v>16</v>
      </c>
      <c r="O1558" s="0" t="n">
        <v>26.44</v>
      </c>
      <c r="P1558" s="0" t="s">
        <v>2444</v>
      </c>
    </row>
    <row r="1559" customFormat="false" ht="15" hidden="false" customHeight="true" outlineLevel="0" collapsed="false">
      <c r="A1559" s="0" t="n">
        <v>2</v>
      </c>
      <c r="B1559" s="71" t="n">
        <v>46191</v>
      </c>
      <c r="C1559" s="0" t="n">
        <v>1</v>
      </c>
      <c r="D1559" s="0" t="s">
        <v>2442</v>
      </c>
      <c r="E1559" s="0" t="n">
        <v>1718</v>
      </c>
      <c r="F1559" s="0" t="s">
        <v>236</v>
      </c>
      <c r="I1559" s="0" t="n">
        <v>674937</v>
      </c>
      <c r="J1559" s="0" t="n">
        <v>22869</v>
      </c>
      <c r="K1559" s="0" t="n">
        <v>7622300873554</v>
      </c>
      <c r="L1559" s="0" t="s">
        <v>3401</v>
      </c>
      <c r="N1559" s="0" t="n">
        <v>48</v>
      </c>
      <c r="O1559" s="0" t="n">
        <v>169.92</v>
      </c>
      <c r="P1559" s="0" t="s">
        <v>2444</v>
      </c>
    </row>
    <row r="1560" customFormat="false" ht="15" hidden="false" customHeight="true" outlineLevel="0" collapsed="false">
      <c r="A1560" s="0" t="n">
        <v>2</v>
      </c>
      <c r="B1560" s="71" t="n">
        <v>46191</v>
      </c>
      <c r="C1560" s="0" t="n">
        <v>1</v>
      </c>
      <c r="D1560" s="0" t="s">
        <v>2442</v>
      </c>
      <c r="E1560" s="0" t="n">
        <v>1718</v>
      </c>
      <c r="F1560" s="0" t="s">
        <v>236</v>
      </c>
      <c r="I1560" s="0" t="n">
        <v>674937</v>
      </c>
      <c r="J1560" s="0" t="n">
        <v>24048</v>
      </c>
      <c r="K1560" s="0" t="n">
        <v>7622300992293</v>
      </c>
      <c r="L1560" s="0" t="s">
        <v>3402</v>
      </c>
      <c r="N1560" s="0" t="n">
        <v>15</v>
      </c>
      <c r="O1560" s="0" t="n">
        <v>75.75</v>
      </c>
      <c r="P1560" s="0" t="s">
        <v>2444</v>
      </c>
    </row>
    <row r="1561" customFormat="false" ht="15" hidden="false" customHeight="true" outlineLevel="0" collapsed="false">
      <c r="A1561" s="0" t="n">
        <v>2</v>
      </c>
      <c r="B1561" s="71" t="n">
        <v>46191</v>
      </c>
      <c r="C1561" s="0" t="n">
        <v>1</v>
      </c>
      <c r="D1561" s="0" t="s">
        <v>2442</v>
      </c>
      <c r="E1561" s="0" t="n">
        <v>1718</v>
      </c>
      <c r="F1561" s="0" t="s">
        <v>236</v>
      </c>
      <c r="I1561" s="0" t="n">
        <v>674937</v>
      </c>
      <c r="J1561" s="0" t="n">
        <v>24049</v>
      </c>
      <c r="K1561" s="0" t="n">
        <v>7622300990701</v>
      </c>
      <c r="L1561" s="0" t="s">
        <v>3403</v>
      </c>
      <c r="N1561" s="0" t="n">
        <v>44</v>
      </c>
      <c r="O1561" s="0" t="n">
        <v>222.2</v>
      </c>
      <c r="P1561" s="0" t="s">
        <v>2444</v>
      </c>
    </row>
    <row r="1562" customFormat="false" ht="15" hidden="false" customHeight="true" outlineLevel="0" collapsed="false">
      <c r="A1562" s="0" t="n">
        <v>2</v>
      </c>
      <c r="B1562" s="71" t="n">
        <v>46191</v>
      </c>
      <c r="C1562" s="0" t="n">
        <v>1</v>
      </c>
      <c r="D1562" s="0" t="s">
        <v>2442</v>
      </c>
      <c r="E1562" s="0" t="n">
        <v>1718</v>
      </c>
      <c r="F1562" s="0" t="s">
        <v>236</v>
      </c>
      <c r="I1562" s="0" t="n">
        <v>674937</v>
      </c>
      <c r="J1562" s="0" t="n">
        <v>24066</v>
      </c>
      <c r="K1562" s="0" t="n">
        <v>7622300989408</v>
      </c>
      <c r="L1562" s="0" t="s">
        <v>3404</v>
      </c>
      <c r="N1562" s="0" t="n">
        <v>24</v>
      </c>
      <c r="O1562" s="0" t="n">
        <v>84.96</v>
      </c>
      <c r="P1562" s="0" t="s">
        <v>2444</v>
      </c>
    </row>
    <row r="1563" customFormat="false" ht="15" hidden="false" customHeight="true" outlineLevel="0" collapsed="false">
      <c r="A1563" s="0" t="n">
        <v>2</v>
      </c>
      <c r="B1563" s="71" t="n">
        <v>46191</v>
      </c>
      <c r="C1563" s="0" t="n">
        <v>1</v>
      </c>
      <c r="D1563" s="0" t="s">
        <v>2442</v>
      </c>
      <c r="E1563" s="0" t="n">
        <v>1718</v>
      </c>
      <c r="F1563" s="0" t="s">
        <v>236</v>
      </c>
      <c r="I1563" s="0" t="n">
        <v>674937</v>
      </c>
      <c r="J1563" s="0" t="n">
        <v>24226</v>
      </c>
      <c r="K1563" s="0" t="n">
        <v>7622210641632</v>
      </c>
      <c r="L1563" s="0" t="s">
        <v>3403</v>
      </c>
      <c r="N1563" s="0" t="n">
        <v>15</v>
      </c>
      <c r="O1563" s="0" t="n">
        <v>75.75</v>
      </c>
      <c r="P1563" s="0" t="s">
        <v>2444</v>
      </c>
    </row>
    <row r="1564" customFormat="false" ht="15" hidden="false" customHeight="true" outlineLevel="0" collapsed="false">
      <c r="A1564" s="0" t="n">
        <v>2</v>
      </c>
      <c r="B1564" s="71" t="n">
        <v>46191</v>
      </c>
      <c r="C1564" s="0" t="n">
        <v>1</v>
      </c>
      <c r="D1564" s="0" t="s">
        <v>2442</v>
      </c>
      <c r="E1564" s="0" t="n">
        <v>1718</v>
      </c>
      <c r="F1564" s="0" t="s">
        <v>236</v>
      </c>
      <c r="I1564" s="0" t="n">
        <v>674937</v>
      </c>
      <c r="J1564" s="0" t="n">
        <v>24231</v>
      </c>
      <c r="K1564" s="0" t="n">
        <v>7622210641151</v>
      </c>
      <c r="L1564" s="0" t="s">
        <v>3405</v>
      </c>
      <c r="N1564" s="0" t="n">
        <v>15</v>
      </c>
      <c r="O1564" s="0" t="n">
        <v>75.75</v>
      </c>
      <c r="P1564" s="0" t="s">
        <v>2444</v>
      </c>
    </row>
    <row r="1565" customFormat="false" ht="15" hidden="false" customHeight="true" outlineLevel="0" collapsed="false">
      <c r="A1565" s="0" t="n">
        <v>2</v>
      </c>
      <c r="B1565" s="71" t="n">
        <v>46191</v>
      </c>
      <c r="C1565" s="0" t="n">
        <v>1</v>
      </c>
      <c r="D1565" s="0" t="s">
        <v>2442</v>
      </c>
      <c r="E1565" s="0" t="n">
        <v>1718</v>
      </c>
      <c r="F1565" s="0" t="s">
        <v>236</v>
      </c>
      <c r="I1565" s="0" t="n">
        <v>674937</v>
      </c>
      <c r="J1565" s="0" t="n">
        <v>24526</v>
      </c>
      <c r="K1565" s="0" t="n">
        <v>7622210644534</v>
      </c>
      <c r="L1565" s="0" t="s">
        <v>3406</v>
      </c>
      <c r="N1565" s="0" t="n">
        <v>15</v>
      </c>
      <c r="O1565" s="0" t="n">
        <v>75.75</v>
      </c>
      <c r="P1565" s="0" t="s">
        <v>2444</v>
      </c>
    </row>
    <row r="1566" customFormat="false" ht="15" hidden="false" customHeight="true" outlineLevel="0" collapsed="false">
      <c r="A1566" s="0" t="n">
        <v>2</v>
      </c>
      <c r="B1566" s="71" t="n">
        <v>46191</v>
      </c>
      <c r="C1566" s="0" t="n">
        <v>1</v>
      </c>
      <c r="D1566" s="0" t="s">
        <v>2442</v>
      </c>
      <c r="E1566" s="0" t="n">
        <v>1718</v>
      </c>
      <c r="F1566" s="0" t="s">
        <v>236</v>
      </c>
      <c r="I1566" s="0" t="n">
        <v>674937</v>
      </c>
      <c r="J1566" s="0" t="n">
        <v>26009</v>
      </c>
      <c r="K1566" s="0" t="n">
        <v>7622210661661</v>
      </c>
      <c r="L1566" s="0" t="s">
        <v>3407</v>
      </c>
      <c r="N1566" s="0" t="n">
        <v>15</v>
      </c>
      <c r="O1566" s="0" t="n">
        <v>75.75</v>
      </c>
      <c r="P1566" s="0" t="s">
        <v>2444</v>
      </c>
    </row>
    <row r="1567" customFormat="false" ht="15" hidden="false" customHeight="true" outlineLevel="0" collapsed="false">
      <c r="A1567" s="0" t="n">
        <v>2</v>
      </c>
      <c r="B1567" s="71" t="n">
        <v>46191</v>
      </c>
      <c r="C1567" s="0" t="n">
        <v>1</v>
      </c>
      <c r="D1567" s="0" t="s">
        <v>2442</v>
      </c>
      <c r="E1567" s="0" t="n">
        <v>1718</v>
      </c>
      <c r="F1567" s="0" t="s">
        <v>236</v>
      </c>
      <c r="I1567" s="0" t="n">
        <v>674937</v>
      </c>
      <c r="J1567" s="0" t="n">
        <v>28595</v>
      </c>
      <c r="K1567" s="0" t="n">
        <v>78939318</v>
      </c>
      <c r="L1567" s="0" t="s">
        <v>3408</v>
      </c>
      <c r="N1567" s="0" t="n">
        <v>100</v>
      </c>
      <c r="O1567" s="0" t="n">
        <v>123.6</v>
      </c>
      <c r="P1567" s="0" t="s">
        <v>2444</v>
      </c>
    </row>
    <row r="1568" customFormat="false" ht="15" hidden="false" customHeight="true" outlineLevel="0" collapsed="false">
      <c r="A1568" s="0" t="n">
        <v>2</v>
      </c>
      <c r="B1568" s="71" t="n">
        <v>46191</v>
      </c>
      <c r="C1568" s="0" t="n">
        <v>1</v>
      </c>
      <c r="D1568" s="0" t="s">
        <v>2442</v>
      </c>
      <c r="E1568" s="0" t="n">
        <v>1718</v>
      </c>
      <c r="F1568" s="0" t="s">
        <v>236</v>
      </c>
      <c r="I1568" s="0" t="n">
        <v>674937</v>
      </c>
      <c r="J1568" s="0" t="n">
        <v>29150</v>
      </c>
      <c r="K1568" s="0" t="n">
        <v>78938816</v>
      </c>
      <c r="L1568" s="0" t="s">
        <v>3409</v>
      </c>
      <c r="N1568" s="0" t="n">
        <v>84</v>
      </c>
      <c r="O1568" s="0" t="n">
        <v>112.84</v>
      </c>
      <c r="P1568" s="0" t="s">
        <v>2444</v>
      </c>
    </row>
    <row r="1569" customFormat="false" ht="15" hidden="false" customHeight="true" outlineLevel="0" collapsed="false">
      <c r="A1569" s="0" t="n">
        <v>2</v>
      </c>
      <c r="B1569" s="71" t="n">
        <v>46191</v>
      </c>
      <c r="C1569" s="0" t="n">
        <v>1</v>
      </c>
      <c r="D1569" s="0" t="s">
        <v>2442</v>
      </c>
      <c r="E1569" s="0" t="n">
        <v>1718</v>
      </c>
      <c r="F1569" s="0" t="s">
        <v>236</v>
      </c>
      <c r="I1569" s="0" t="n">
        <v>674937</v>
      </c>
      <c r="J1569" s="0" t="n">
        <v>29151</v>
      </c>
      <c r="K1569" s="0" t="n">
        <v>78938823</v>
      </c>
      <c r="L1569" s="0" t="s">
        <v>3410</v>
      </c>
      <c r="N1569" s="0" t="n">
        <v>84</v>
      </c>
      <c r="O1569" s="0" t="n">
        <v>112.84</v>
      </c>
      <c r="P1569" s="0" t="s">
        <v>2444</v>
      </c>
    </row>
    <row r="1570" customFormat="false" ht="15" hidden="false" customHeight="true" outlineLevel="0" collapsed="false">
      <c r="A1570" s="0" t="n">
        <v>2</v>
      </c>
      <c r="B1570" s="71" t="n">
        <v>46191</v>
      </c>
      <c r="C1570" s="0" t="n">
        <v>1</v>
      </c>
      <c r="D1570" s="0" t="s">
        <v>2442</v>
      </c>
      <c r="E1570" s="0" t="n">
        <v>1718</v>
      </c>
      <c r="F1570" s="0" t="s">
        <v>236</v>
      </c>
      <c r="I1570" s="0" t="n">
        <v>674937</v>
      </c>
      <c r="J1570" s="0" t="n">
        <v>29152</v>
      </c>
      <c r="K1570" s="0" t="n">
        <v>78938847</v>
      </c>
      <c r="L1570" s="0" t="s">
        <v>3411</v>
      </c>
      <c r="N1570" s="0" t="n">
        <v>42</v>
      </c>
      <c r="O1570" s="0" t="n">
        <v>56.42</v>
      </c>
      <c r="P1570" s="0" t="s">
        <v>2444</v>
      </c>
    </row>
    <row r="1571" customFormat="false" ht="15" hidden="false" customHeight="true" outlineLevel="0" collapsed="false">
      <c r="A1571" s="0" t="n">
        <v>2</v>
      </c>
      <c r="B1571" s="71" t="n">
        <v>46191</v>
      </c>
      <c r="C1571" s="0" t="n">
        <v>1</v>
      </c>
      <c r="D1571" s="0" t="s">
        <v>2442</v>
      </c>
      <c r="E1571" s="0" t="n">
        <v>1718</v>
      </c>
      <c r="F1571" s="0" t="s">
        <v>236</v>
      </c>
      <c r="I1571" s="0" t="n">
        <v>674937</v>
      </c>
      <c r="J1571" s="0" t="n">
        <v>29153</v>
      </c>
      <c r="K1571" s="0" t="n">
        <v>78938793</v>
      </c>
      <c r="L1571" s="0" t="s">
        <v>3412</v>
      </c>
      <c r="N1571" s="0" t="n">
        <v>42</v>
      </c>
      <c r="O1571" s="0" t="n">
        <v>56.42</v>
      </c>
      <c r="P1571" s="0" t="s">
        <v>2444</v>
      </c>
    </row>
    <row r="1572" customFormat="false" ht="15" hidden="false" customHeight="true" outlineLevel="0" collapsed="false">
      <c r="A1572" s="0" t="n">
        <v>2</v>
      </c>
      <c r="B1572" s="71" t="n">
        <v>46191</v>
      </c>
      <c r="C1572" s="0" t="n">
        <v>1</v>
      </c>
      <c r="D1572" s="0" t="s">
        <v>2442</v>
      </c>
      <c r="E1572" s="0" t="n">
        <v>1718</v>
      </c>
      <c r="F1572" s="0" t="s">
        <v>236</v>
      </c>
      <c r="I1572" s="0" t="n">
        <v>674937</v>
      </c>
      <c r="J1572" s="0" t="n">
        <v>29368</v>
      </c>
      <c r="K1572" s="0" t="n">
        <v>78932609</v>
      </c>
      <c r="L1572" s="0" t="s">
        <v>3413</v>
      </c>
      <c r="N1572" s="0" t="n">
        <v>1000</v>
      </c>
      <c r="O1572" s="0" t="n">
        <v>205.7</v>
      </c>
      <c r="P1572" s="0" t="s">
        <v>2444</v>
      </c>
    </row>
    <row r="1573" customFormat="false" ht="15" hidden="false" customHeight="true" outlineLevel="0" collapsed="false">
      <c r="A1573" s="0" t="n">
        <v>2</v>
      </c>
      <c r="B1573" s="71" t="n">
        <v>46191</v>
      </c>
      <c r="C1573" s="0" t="n">
        <v>1</v>
      </c>
      <c r="D1573" s="0" t="s">
        <v>2442</v>
      </c>
      <c r="E1573" s="0" t="n">
        <v>1718</v>
      </c>
      <c r="F1573" s="0" t="s">
        <v>236</v>
      </c>
      <c r="I1573" s="0" t="n">
        <v>674937</v>
      </c>
      <c r="J1573" s="0" t="n">
        <v>36309</v>
      </c>
      <c r="K1573" s="0" t="n">
        <v>78938830</v>
      </c>
      <c r="L1573" s="0" t="s">
        <v>3414</v>
      </c>
      <c r="N1573" s="0" t="n">
        <v>84</v>
      </c>
      <c r="O1573" s="0" t="n">
        <v>112.84</v>
      </c>
      <c r="P1573" s="0" t="s">
        <v>2444</v>
      </c>
    </row>
    <row r="1574" customFormat="false" ht="15" hidden="false" customHeight="true" outlineLevel="0" collapsed="false">
      <c r="A1574" s="0" t="n">
        <v>2</v>
      </c>
      <c r="B1574" s="71" t="n">
        <v>46191</v>
      </c>
      <c r="C1574" s="0" t="n">
        <v>1</v>
      </c>
      <c r="D1574" s="0" t="s">
        <v>2442</v>
      </c>
      <c r="E1574" s="0" t="n">
        <v>1718</v>
      </c>
      <c r="F1574" s="0" t="s">
        <v>236</v>
      </c>
      <c r="I1574" s="0" t="n">
        <v>674937</v>
      </c>
      <c r="J1574" s="0" t="n">
        <v>36228</v>
      </c>
      <c r="K1574" s="0" t="n">
        <v>78932616</v>
      </c>
      <c r="L1574" s="0" t="s">
        <v>3415</v>
      </c>
      <c r="N1574" s="0" t="n">
        <v>500</v>
      </c>
      <c r="O1574" s="0" t="n">
        <v>102.85</v>
      </c>
      <c r="P1574" s="0" t="s">
        <v>2444</v>
      </c>
    </row>
    <row r="1575" customFormat="false" ht="15" hidden="false" customHeight="true" outlineLevel="0" collapsed="false">
      <c r="A1575" s="0" t="n">
        <v>2</v>
      </c>
      <c r="B1575" s="71" t="n">
        <v>46191</v>
      </c>
      <c r="C1575" s="0" t="n">
        <v>1</v>
      </c>
      <c r="D1575" s="0" t="s">
        <v>2442</v>
      </c>
      <c r="E1575" s="0" t="n">
        <v>1718</v>
      </c>
      <c r="F1575" s="0" t="s">
        <v>236</v>
      </c>
      <c r="I1575" s="0" t="n">
        <v>674937</v>
      </c>
      <c r="J1575" s="0" t="n">
        <v>36310</v>
      </c>
      <c r="K1575" s="0" t="n">
        <v>78938854</v>
      </c>
      <c r="L1575" s="0" t="s">
        <v>3416</v>
      </c>
      <c r="N1575" s="0" t="n">
        <v>42</v>
      </c>
      <c r="O1575" s="0" t="n">
        <v>56.42</v>
      </c>
      <c r="P1575" s="0" t="s">
        <v>2444</v>
      </c>
    </row>
    <row r="1576" customFormat="false" ht="15" hidden="false" customHeight="true" outlineLevel="0" collapsed="false">
      <c r="A1576" s="0" t="n">
        <v>2</v>
      </c>
      <c r="B1576" s="71" t="n">
        <v>46191</v>
      </c>
      <c r="C1576" s="0" t="n">
        <v>1</v>
      </c>
      <c r="D1576" s="0" t="s">
        <v>2442</v>
      </c>
      <c r="E1576" s="0" t="n">
        <v>1718</v>
      </c>
      <c r="F1576" s="0" t="s">
        <v>236</v>
      </c>
      <c r="I1576" s="0" t="n">
        <v>674937</v>
      </c>
      <c r="J1576" s="0" t="n">
        <v>37772</v>
      </c>
      <c r="K1576" s="0" t="n">
        <v>78939301</v>
      </c>
      <c r="L1576" s="0" t="s">
        <v>3417</v>
      </c>
      <c r="N1576" s="0" t="n">
        <v>100</v>
      </c>
      <c r="O1576" s="0" t="n">
        <v>123.6</v>
      </c>
      <c r="P1576" s="0" t="s">
        <v>2444</v>
      </c>
    </row>
    <row r="1577" customFormat="false" ht="15" hidden="false" customHeight="true" outlineLevel="0" collapsed="false">
      <c r="A1577" s="0" t="n">
        <v>2</v>
      </c>
      <c r="B1577" s="71" t="n">
        <v>46191</v>
      </c>
      <c r="C1577" s="0" t="n">
        <v>1</v>
      </c>
      <c r="D1577" s="0" t="s">
        <v>2442</v>
      </c>
      <c r="E1577" s="0" t="n">
        <v>1718</v>
      </c>
      <c r="F1577" s="0" t="s">
        <v>236</v>
      </c>
      <c r="I1577" s="0" t="n">
        <v>674937</v>
      </c>
      <c r="J1577" s="0" t="n">
        <v>38525</v>
      </c>
      <c r="K1577" s="0" t="n">
        <v>78938861</v>
      </c>
      <c r="L1577" s="0" t="s">
        <v>3418</v>
      </c>
      <c r="N1577" s="0" t="n">
        <v>21</v>
      </c>
      <c r="O1577" s="0" t="n">
        <v>28.21</v>
      </c>
      <c r="P1577" s="0" t="s">
        <v>2444</v>
      </c>
    </row>
    <row r="1578" customFormat="false" ht="15" hidden="false" customHeight="true" outlineLevel="0" collapsed="false">
      <c r="A1578" s="0" t="n">
        <v>2</v>
      </c>
      <c r="B1578" s="71" t="n">
        <v>46191</v>
      </c>
      <c r="C1578" s="0" t="n">
        <v>1</v>
      </c>
      <c r="D1578" s="0" t="s">
        <v>2442</v>
      </c>
      <c r="E1578" s="0" t="n">
        <v>1718</v>
      </c>
      <c r="F1578" s="0" t="s">
        <v>236</v>
      </c>
      <c r="I1578" s="0" t="n">
        <v>674937</v>
      </c>
      <c r="J1578" s="0" t="n">
        <v>39155</v>
      </c>
      <c r="K1578" s="0" t="n">
        <v>7622210933454</v>
      </c>
      <c r="L1578" s="0" t="s">
        <v>3419</v>
      </c>
      <c r="N1578" s="0" t="n">
        <v>20</v>
      </c>
      <c r="O1578" s="0" t="n">
        <v>51.34</v>
      </c>
      <c r="P1578" s="0" t="s">
        <v>2444</v>
      </c>
    </row>
    <row r="1579" customFormat="false" ht="15" hidden="false" customHeight="true" outlineLevel="0" collapsed="false">
      <c r="A1579" s="0" t="n">
        <v>2</v>
      </c>
      <c r="B1579" s="71" t="n">
        <v>46191</v>
      </c>
      <c r="C1579" s="0" t="n">
        <v>1</v>
      </c>
      <c r="D1579" s="0" t="s">
        <v>2442</v>
      </c>
      <c r="E1579" s="0" t="n">
        <v>1718</v>
      </c>
      <c r="F1579" s="0" t="s">
        <v>236</v>
      </c>
      <c r="I1579" s="0" t="n">
        <v>674937</v>
      </c>
      <c r="J1579" s="0" t="n">
        <v>52731</v>
      </c>
      <c r="K1579" s="0" t="n">
        <v>7622210674050</v>
      </c>
      <c r="L1579" s="0" t="s">
        <v>3420</v>
      </c>
      <c r="N1579" s="0" t="n">
        <v>17</v>
      </c>
      <c r="O1579" s="0" t="n">
        <v>134.9</v>
      </c>
      <c r="P1579" s="0" t="s">
        <v>2444</v>
      </c>
    </row>
    <row r="1580" customFormat="false" ht="15" hidden="false" customHeight="true" outlineLevel="0" collapsed="false">
      <c r="A1580" s="0" t="n">
        <v>2</v>
      </c>
      <c r="B1580" s="71" t="n">
        <v>46191</v>
      </c>
      <c r="C1580" s="0" t="n">
        <v>1</v>
      </c>
      <c r="D1580" s="0" t="s">
        <v>2442</v>
      </c>
      <c r="E1580" s="0" t="n">
        <v>1718</v>
      </c>
      <c r="F1580" s="0" t="s">
        <v>236</v>
      </c>
      <c r="I1580" s="0" t="n">
        <v>674937</v>
      </c>
      <c r="J1580" s="0" t="n">
        <v>52732</v>
      </c>
      <c r="K1580" s="0" t="n">
        <v>7622210673831</v>
      </c>
      <c r="L1580" s="0" t="s">
        <v>3421</v>
      </c>
      <c r="N1580" s="0" t="n">
        <v>17</v>
      </c>
      <c r="O1580" s="0" t="n">
        <v>134.9</v>
      </c>
      <c r="P1580" s="0" t="s">
        <v>2444</v>
      </c>
    </row>
    <row r="1581" customFormat="false" ht="15" hidden="false" customHeight="true" outlineLevel="0" collapsed="false">
      <c r="A1581" s="0" t="n">
        <v>2</v>
      </c>
      <c r="B1581" s="71" t="n">
        <v>46191</v>
      </c>
      <c r="C1581" s="0" t="n">
        <v>1</v>
      </c>
      <c r="D1581" s="0" t="s">
        <v>2442</v>
      </c>
      <c r="E1581" s="0" t="n">
        <v>1718</v>
      </c>
      <c r="F1581" s="0" t="s">
        <v>236</v>
      </c>
      <c r="I1581" s="0" t="n">
        <v>674937</v>
      </c>
      <c r="J1581" s="0" t="n">
        <v>52734</v>
      </c>
      <c r="K1581" s="0" t="n">
        <v>7622210674395</v>
      </c>
      <c r="L1581" s="0" t="s">
        <v>3422</v>
      </c>
      <c r="N1581" s="0" t="n">
        <v>17</v>
      </c>
      <c r="O1581" s="0" t="n">
        <v>134.9</v>
      </c>
      <c r="P1581" s="0" t="s">
        <v>2444</v>
      </c>
    </row>
    <row r="1582" customFormat="false" ht="15" hidden="false" customHeight="true" outlineLevel="0" collapsed="false">
      <c r="A1582" s="0" t="n">
        <v>2</v>
      </c>
      <c r="B1582" s="71" t="n">
        <v>46191</v>
      </c>
      <c r="C1582" s="0" t="n">
        <v>1</v>
      </c>
      <c r="D1582" s="0" t="s">
        <v>2442</v>
      </c>
      <c r="E1582" s="0" t="n">
        <v>1718</v>
      </c>
      <c r="F1582" s="0" t="s">
        <v>236</v>
      </c>
      <c r="I1582" s="0" t="n">
        <v>674937</v>
      </c>
      <c r="J1582" s="0" t="n">
        <v>53290</v>
      </c>
      <c r="K1582" s="0" t="n">
        <v>7622210674319</v>
      </c>
      <c r="L1582" s="0" t="s">
        <v>3423</v>
      </c>
      <c r="N1582" s="0" t="n">
        <v>17</v>
      </c>
      <c r="O1582" s="0" t="n">
        <v>134.9</v>
      </c>
      <c r="P1582" s="0" t="s">
        <v>2444</v>
      </c>
    </row>
    <row r="1583" customFormat="false" ht="15" hidden="false" customHeight="true" outlineLevel="0" collapsed="false">
      <c r="A1583" s="0" t="n">
        <v>2</v>
      </c>
      <c r="B1583" s="71" t="n">
        <v>46191</v>
      </c>
      <c r="C1583" s="0" t="n">
        <v>1</v>
      </c>
      <c r="D1583" s="0" t="s">
        <v>2442</v>
      </c>
      <c r="E1583" s="0" t="n">
        <v>1718</v>
      </c>
      <c r="F1583" s="0" t="s">
        <v>236</v>
      </c>
      <c r="I1583" s="0" t="n">
        <v>674937</v>
      </c>
      <c r="J1583" s="0" t="n">
        <v>54107</v>
      </c>
      <c r="K1583" s="0" t="n">
        <v>7622210674432</v>
      </c>
      <c r="L1583" s="0" t="s">
        <v>3424</v>
      </c>
      <c r="N1583" s="0" t="n">
        <v>17</v>
      </c>
      <c r="O1583" s="0" t="n">
        <v>134.9</v>
      </c>
      <c r="P1583" s="0" t="s">
        <v>2444</v>
      </c>
    </row>
    <row r="1584" customFormat="false" ht="15" hidden="false" customHeight="true" outlineLevel="0" collapsed="false">
      <c r="A1584" s="0" t="n">
        <v>2</v>
      </c>
      <c r="B1584" s="71" t="n">
        <v>46191</v>
      </c>
      <c r="C1584" s="0" t="n">
        <v>1</v>
      </c>
      <c r="D1584" s="0" t="s">
        <v>2442</v>
      </c>
      <c r="E1584" s="0" t="n">
        <v>1718</v>
      </c>
      <c r="F1584" s="0" t="s">
        <v>236</v>
      </c>
      <c r="I1584" s="0" t="n">
        <v>674937</v>
      </c>
      <c r="J1584" s="0" t="n">
        <v>54427</v>
      </c>
      <c r="K1584" s="0" t="n">
        <v>7622210575630</v>
      </c>
      <c r="L1584" s="0" t="s">
        <v>3425</v>
      </c>
      <c r="N1584" s="0" t="n">
        <v>17</v>
      </c>
      <c r="O1584" s="0" t="n">
        <v>134.9</v>
      </c>
      <c r="P1584" s="0" t="s">
        <v>2444</v>
      </c>
    </row>
    <row r="1585" customFormat="false" ht="15" hidden="false" customHeight="true" outlineLevel="0" collapsed="false">
      <c r="A1585" s="0" t="n">
        <v>2</v>
      </c>
      <c r="B1585" s="71" t="n">
        <v>46191</v>
      </c>
      <c r="C1585" s="0" t="n">
        <v>1</v>
      </c>
      <c r="D1585" s="0" t="s">
        <v>2442</v>
      </c>
      <c r="E1585" s="0" t="n">
        <v>1718</v>
      </c>
      <c r="F1585" s="0" t="s">
        <v>236</v>
      </c>
      <c r="I1585" s="0" t="n">
        <v>674937</v>
      </c>
      <c r="J1585" s="0" t="n">
        <v>79825</v>
      </c>
      <c r="K1585" s="0" t="n">
        <v>7622210674357</v>
      </c>
      <c r="L1585" s="0" t="s">
        <v>3426</v>
      </c>
      <c r="N1585" s="0" t="n">
        <v>17</v>
      </c>
      <c r="O1585" s="0" t="n">
        <v>134.9</v>
      </c>
      <c r="P1585" s="0" t="s">
        <v>2444</v>
      </c>
    </row>
    <row r="1586" customFormat="false" ht="15" hidden="false" customHeight="true" outlineLevel="0" collapsed="false">
      <c r="A1586" s="0" t="n">
        <v>2</v>
      </c>
      <c r="B1586" s="71" t="n">
        <v>46191</v>
      </c>
      <c r="C1586" s="0" t="n">
        <v>1</v>
      </c>
      <c r="D1586" s="0" t="s">
        <v>2442</v>
      </c>
      <c r="E1586" s="0" t="n">
        <v>1718</v>
      </c>
      <c r="F1586" s="0" t="s">
        <v>236</v>
      </c>
      <c r="I1586" s="0" t="n">
        <v>674938</v>
      </c>
      <c r="J1586" s="0" t="n">
        <v>12703</v>
      </c>
      <c r="K1586" s="0" t="n">
        <v>70330710221</v>
      </c>
      <c r="L1586" s="0" t="s">
        <v>3427</v>
      </c>
      <c r="N1586" s="0" t="n">
        <v>100</v>
      </c>
      <c r="O1586" s="0" t="n">
        <v>254</v>
      </c>
      <c r="P1586" s="0" t="s">
        <v>2444</v>
      </c>
    </row>
    <row r="1587" customFormat="false" ht="15" hidden="false" customHeight="true" outlineLevel="0" collapsed="false">
      <c r="A1587" s="0" t="n">
        <v>2</v>
      </c>
      <c r="B1587" s="71" t="n">
        <v>46191</v>
      </c>
      <c r="C1587" s="0" t="n">
        <v>1</v>
      </c>
      <c r="D1587" s="0" t="s">
        <v>2442</v>
      </c>
      <c r="E1587" s="0" t="n">
        <v>1718</v>
      </c>
      <c r="F1587" s="0" t="s">
        <v>236</v>
      </c>
      <c r="I1587" s="0" t="n">
        <v>674938</v>
      </c>
      <c r="J1587" s="0" t="n">
        <v>13289</v>
      </c>
      <c r="K1587" s="0" t="n">
        <v>70330717534</v>
      </c>
      <c r="L1587" s="0" t="s">
        <v>3428</v>
      </c>
      <c r="N1587" s="0" t="n">
        <v>36</v>
      </c>
      <c r="O1587" s="0" t="n">
        <v>132.63</v>
      </c>
      <c r="P1587" s="0" t="s">
        <v>2444</v>
      </c>
    </row>
    <row r="1588" customFormat="false" ht="15" hidden="false" customHeight="true" outlineLevel="0" collapsed="false">
      <c r="A1588" s="0" t="n">
        <v>2</v>
      </c>
      <c r="B1588" s="71" t="n">
        <v>46191</v>
      </c>
      <c r="C1588" s="0" t="n">
        <v>1</v>
      </c>
      <c r="D1588" s="0" t="s">
        <v>2442</v>
      </c>
      <c r="E1588" s="0" t="n">
        <v>1718</v>
      </c>
      <c r="F1588" s="0" t="s">
        <v>236</v>
      </c>
      <c r="I1588" s="0" t="n">
        <v>674938</v>
      </c>
      <c r="J1588" s="0" t="n">
        <v>21739</v>
      </c>
      <c r="K1588" s="0" t="n">
        <v>70330731806</v>
      </c>
      <c r="L1588" s="0" t="s">
        <v>3429</v>
      </c>
      <c r="N1588" s="0" t="n">
        <v>36</v>
      </c>
      <c r="O1588" s="0" t="n">
        <v>138.99</v>
      </c>
      <c r="P1588" s="0" t="s">
        <v>2444</v>
      </c>
    </row>
    <row r="1589" customFormat="false" ht="15" hidden="false" customHeight="true" outlineLevel="0" collapsed="false">
      <c r="A1589" s="0" t="n">
        <v>2</v>
      </c>
      <c r="B1589" s="71" t="n">
        <v>46191</v>
      </c>
      <c r="C1589" s="0" t="n">
        <v>1</v>
      </c>
      <c r="D1589" s="0" t="s">
        <v>2442</v>
      </c>
      <c r="E1589" s="0" t="n">
        <v>1718</v>
      </c>
      <c r="F1589" s="0" t="s">
        <v>236</v>
      </c>
      <c r="I1589" s="0" t="n">
        <v>674938</v>
      </c>
      <c r="J1589" s="0" t="n">
        <v>22351</v>
      </c>
      <c r="K1589" s="0" t="n">
        <v>70330727984</v>
      </c>
      <c r="L1589" s="0" t="s">
        <v>3430</v>
      </c>
      <c r="N1589" s="0" t="n">
        <v>36</v>
      </c>
      <c r="O1589" s="0" t="n">
        <v>132.63</v>
      </c>
      <c r="P1589" s="0" t="s">
        <v>2444</v>
      </c>
    </row>
    <row r="1590" customFormat="false" ht="15" hidden="false" customHeight="true" outlineLevel="0" collapsed="false">
      <c r="A1590" s="0" t="n">
        <v>2</v>
      </c>
      <c r="B1590" s="71" t="n">
        <v>46191</v>
      </c>
      <c r="C1590" s="0" t="n">
        <v>1</v>
      </c>
      <c r="D1590" s="0" t="s">
        <v>2442</v>
      </c>
      <c r="E1590" s="0" t="n">
        <v>1668</v>
      </c>
      <c r="F1590" s="0" t="s">
        <v>151</v>
      </c>
      <c r="I1590" s="0" t="n">
        <v>729265</v>
      </c>
      <c r="J1590" s="0" t="n">
        <v>102434</v>
      </c>
      <c r="K1590" s="0" t="n">
        <v>7898366930344</v>
      </c>
      <c r="L1590" s="0" t="s">
        <v>3101</v>
      </c>
      <c r="N1590" s="0" t="n">
        <v>24</v>
      </c>
      <c r="O1590" s="0" t="n">
        <v>60.33</v>
      </c>
      <c r="P1590" s="0" t="s">
        <v>2444</v>
      </c>
    </row>
    <row r="1591" customFormat="false" ht="15" hidden="false" customHeight="true" outlineLevel="0" collapsed="false">
      <c r="A1591" s="0" t="n">
        <v>2</v>
      </c>
      <c r="B1591" s="71" t="n">
        <v>46191</v>
      </c>
      <c r="C1591" s="0" t="n">
        <v>1</v>
      </c>
      <c r="D1591" s="0" t="s">
        <v>2442</v>
      </c>
      <c r="E1591" s="0" t="n">
        <v>1668</v>
      </c>
      <c r="F1591" s="0" t="s">
        <v>151</v>
      </c>
      <c r="I1591" s="0" t="n">
        <v>729265</v>
      </c>
      <c r="J1591" s="0" t="n">
        <v>103661</v>
      </c>
      <c r="K1591" s="0" t="n">
        <v>7891334150010</v>
      </c>
      <c r="L1591" s="0" t="s">
        <v>3431</v>
      </c>
      <c r="N1591" s="0" t="n">
        <v>100</v>
      </c>
      <c r="O1591" s="0" t="n">
        <v>84.76</v>
      </c>
      <c r="P1591" s="0" t="s">
        <v>2444</v>
      </c>
    </row>
    <row r="1592" customFormat="false" ht="15" hidden="false" customHeight="true" outlineLevel="0" collapsed="false">
      <c r="A1592" s="0" t="n">
        <v>2</v>
      </c>
      <c r="B1592" s="71" t="n">
        <v>46191</v>
      </c>
      <c r="C1592" s="0" t="n">
        <v>1</v>
      </c>
      <c r="D1592" s="0" t="s">
        <v>2442</v>
      </c>
      <c r="E1592" s="0" t="n">
        <v>1668</v>
      </c>
      <c r="F1592" s="0" t="s">
        <v>151</v>
      </c>
      <c r="I1592" s="0" t="n">
        <v>729265</v>
      </c>
      <c r="J1592" s="0" t="n">
        <v>23090</v>
      </c>
      <c r="K1592" s="0" t="n">
        <v>7898934651176</v>
      </c>
      <c r="L1592" s="0" t="s">
        <v>3432</v>
      </c>
      <c r="N1592" s="0" t="n">
        <v>144</v>
      </c>
      <c r="O1592" s="0" t="n">
        <v>142.56</v>
      </c>
      <c r="P1592" s="0" t="s">
        <v>2444</v>
      </c>
    </row>
    <row r="1593" customFormat="false" ht="15" hidden="false" customHeight="true" outlineLevel="0" collapsed="false">
      <c r="A1593" s="0" t="n">
        <v>2</v>
      </c>
      <c r="B1593" s="71" t="n">
        <v>46191</v>
      </c>
      <c r="C1593" s="0" t="n">
        <v>1</v>
      </c>
      <c r="D1593" s="0" t="s">
        <v>2442</v>
      </c>
      <c r="E1593" s="0" t="n">
        <v>1668</v>
      </c>
      <c r="F1593" s="0" t="s">
        <v>151</v>
      </c>
      <c r="I1593" s="0" t="n">
        <v>729265</v>
      </c>
      <c r="J1593" s="0" t="n">
        <v>34620</v>
      </c>
      <c r="K1593" s="0" t="n">
        <v>7898934651855</v>
      </c>
      <c r="L1593" s="0" t="s">
        <v>3433</v>
      </c>
      <c r="N1593" s="0" t="n">
        <v>24</v>
      </c>
      <c r="O1593" s="0" t="n">
        <v>79.71</v>
      </c>
      <c r="P1593" s="0" t="s">
        <v>2444</v>
      </c>
    </row>
    <row r="1594" customFormat="false" ht="15" hidden="false" customHeight="true" outlineLevel="0" collapsed="false">
      <c r="A1594" s="0" t="n">
        <v>2</v>
      </c>
      <c r="B1594" s="71" t="n">
        <v>46191</v>
      </c>
      <c r="C1594" s="0" t="n">
        <v>1</v>
      </c>
      <c r="D1594" s="0" t="s">
        <v>2442</v>
      </c>
      <c r="E1594" s="0" t="n">
        <v>1668</v>
      </c>
      <c r="F1594" s="0" t="s">
        <v>151</v>
      </c>
      <c r="I1594" s="0" t="n">
        <v>729265</v>
      </c>
      <c r="J1594" s="0" t="n">
        <v>45181</v>
      </c>
      <c r="K1594" s="0" t="n">
        <v>7897511731102</v>
      </c>
      <c r="L1594" s="0" t="s">
        <v>3434</v>
      </c>
      <c r="N1594" s="0" t="n">
        <v>50</v>
      </c>
      <c r="O1594" s="0" t="n">
        <v>221.59</v>
      </c>
      <c r="P1594" s="0" t="s">
        <v>2444</v>
      </c>
    </row>
    <row r="1595" customFormat="false" ht="15" hidden="false" customHeight="true" outlineLevel="0" collapsed="false">
      <c r="A1595" s="0" t="n">
        <v>2</v>
      </c>
      <c r="B1595" s="71" t="n">
        <v>46191</v>
      </c>
      <c r="C1595" s="0" t="n">
        <v>1</v>
      </c>
      <c r="D1595" s="0" t="s">
        <v>2442</v>
      </c>
      <c r="E1595" s="0" t="n">
        <v>1668</v>
      </c>
      <c r="F1595" s="0" t="s">
        <v>151</v>
      </c>
      <c r="I1595" s="0" t="n">
        <v>729265</v>
      </c>
      <c r="J1595" s="0" t="n">
        <v>45365</v>
      </c>
      <c r="K1595" s="0" t="n">
        <v>7896036098981</v>
      </c>
      <c r="L1595" s="0" t="s">
        <v>3435</v>
      </c>
      <c r="N1595" s="0" t="n">
        <v>24</v>
      </c>
      <c r="O1595" s="0" t="n">
        <v>33.68</v>
      </c>
      <c r="P1595" s="0" t="s">
        <v>2444</v>
      </c>
    </row>
    <row r="1596" customFormat="false" ht="15" hidden="false" customHeight="true" outlineLevel="0" collapsed="false">
      <c r="A1596" s="0" t="n">
        <v>2</v>
      </c>
      <c r="B1596" s="71" t="n">
        <v>46191</v>
      </c>
      <c r="C1596" s="0" t="n">
        <v>1</v>
      </c>
      <c r="D1596" s="0" t="s">
        <v>2442</v>
      </c>
      <c r="E1596" s="0" t="n">
        <v>1668</v>
      </c>
      <c r="F1596" s="0" t="s">
        <v>151</v>
      </c>
      <c r="I1596" s="0" t="n">
        <v>729265</v>
      </c>
      <c r="J1596" s="0" t="n">
        <v>54015</v>
      </c>
      <c r="K1596" s="0" t="n">
        <v>7896945403357</v>
      </c>
      <c r="L1596" s="0" t="s">
        <v>3436</v>
      </c>
      <c r="N1596" s="0" t="n">
        <v>30</v>
      </c>
      <c r="O1596" s="0" t="n">
        <v>86.31</v>
      </c>
      <c r="P1596" s="0" t="s">
        <v>2444</v>
      </c>
    </row>
    <row r="1597" customFormat="false" ht="15" hidden="false" customHeight="true" outlineLevel="0" collapsed="false">
      <c r="A1597" s="0" t="n">
        <v>2</v>
      </c>
      <c r="B1597" s="71" t="n">
        <v>46191</v>
      </c>
      <c r="C1597" s="0" t="n">
        <v>1</v>
      </c>
      <c r="D1597" s="0" t="s">
        <v>2442</v>
      </c>
      <c r="E1597" s="0" t="n">
        <v>1668</v>
      </c>
      <c r="F1597" s="0" t="s">
        <v>151</v>
      </c>
      <c r="I1597" s="0" t="n">
        <v>729265</v>
      </c>
      <c r="J1597" s="0" t="n">
        <v>81439</v>
      </c>
      <c r="K1597" s="0" t="n">
        <v>814409</v>
      </c>
      <c r="L1597" s="0" t="s">
        <v>3437</v>
      </c>
      <c r="N1597" s="0" t="n">
        <v>50</v>
      </c>
      <c r="O1597" s="0" t="n">
        <v>110.54</v>
      </c>
      <c r="P1597" s="0" t="s">
        <v>2444</v>
      </c>
    </row>
    <row r="1598" customFormat="false" ht="15" hidden="false" customHeight="true" outlineLevel="0" collapsed="false">
      <c r="A1598" s="0" t="n">
        <v>2</v>
      </c>
      <c r="B1598" s="71" t="n">
        <v>46191</v>
      </c>
      <c r="C1598" s="0" t="n">
        <v>1</v>
      </c>
      <c r="D1598" s="0" t="s">
        <v>2442</v>
      </c>
      <c r="E1598" s="0" t="n">
        <v>1668</v>
      </c>
      <c r="F1598" s="0" t="s">
        <v>151</v>
      </c>
      <c r="I1598" s="0" t="n">
        <v>729265</v>
      </c>
      <c r="J1598" s="0" t="n">
        <v>81441</v>
      </c>
      <c r="K1598" s="0" t="n">
        <v>814423</v>
      </c>
      <c r="L1598" s="0" t="s">
        <v>3438</v>
      </c>
      <c r="N1598" s="0" t="n">
        <v>50</v>
      </c>
      <c r="O1598" s="0" t="n">
        <v>161.02</v>
      </c>
      <c r="P1598" s="0" t="s">
        <v>2444</v>
      </c>
    </row>
    <row r="1599" customFormat="false" ht="15" hidden="false" customHeight="true" outlineLevel="0" collapsed="false">
      <c r="A1599" s="0" t="n">
        <v>2</v>
      </c>
      <c r="B1599" s="71" t="n">
        <v>46191</v>
      </c>
      <c r="C1599" s="0" t="n">
        <v>1</v>
      </c>
      <c r="D1599" s="0" t="s">
        <v>2442</v>
      </c>
      <c r="E1599" s="0" t="n">
        <v>1668</v>
      </c>
      <c r="F1599" s="0" t="s">
        <v>151</v>
      </c>
      <c r="I1599" s="0" t="n">
        <v>729799</v>
      </c>
      <c r="J1599" s="0" t="n">
        <v>15109</v>
      </c>
      <c r="K1599" s="0" t="n">
        <v>7898202613011</v>
      </c>
      <c r="L1599" s="0" t="s">
        <v>3439</v>
      </c>
      <c r="N1599" s="0" t="n">
        <v>5</v>
      </c>
      <c r="O1599" s="0" t="n">
        <v>24.92</v>
      </c>
      <c r="P1599" s="0" t="s">
        <v>2444</v>
      </c>
    </row>
    <row r="1600" customFormat="false" ht="15" hidden="false" customHeight="true" outlineLevel="0" collapsed="false">
      <c r="A1600" s="0" t="n">
        <v>2</v>
      </c>
      <c r="B1600" s="71" t="n">
        <v>46191</v>
      </c>
      <c r="C1600" s="0" t="n">
        <v>1</v>
      </c>
      <c r="D1600" s="0" t="s">
        <v>2442</v>
      </c>
      <c r="E1600" s="0" t="n">
        <v>1668</v>
      </c>
      <c r="F1600" s="0" t="s">
        <v>151</v>
      </c>
      <c r="I1600" s="0" t="n">
        <v>729799</v>
      </c>
      <c r="J1600" s="0" t="n">
        <v>29057</v>
      </c>
      <c r="K1600" s="0" t="n">
        <v>7908099900955</v>
      </c>
      <c r="L1600" s="0" t="s">
        <v>3440</v>
      </c>
      <c r="N1600" s="0" t="n">
        <v>100</v>
      </c>
      <c r="O1600" s="0" t="n">
        <v>356.59</v>
      </c>
      <c r="P1600" s="0" t="s">
        <v>2444</v>
      </c>
    </row>
    <row r="1601" customFormat="false" ht="15" hidden="false" customHeight="true" outlineLevel="0" collapsed="false">
      <c r="A1601" s="0" t="n">
        <v>2</v>
      </c>
      <c r="B1601" s="71" t="n">
        <v>46191</v>
      </c>
      <c r="C1601" s="0" t="n">
        <v>1</v>
      </c>
      <c r="D1601" s="0" t="s">
        <v>2442</v>
      </c>
      <c r="E1601" s="0" t="n">
        <v>1705</v>
      </c>
      <c r="F1601" s="0" t="s">
        <v>130</v>
      </c>
      <c r="I1601" s="0" t="n">
        <v>1887053</v>
      </c>
      <c r="J1601" s="0" t="n">
        <v>103145</v>
      </c>
      <c r="K1601" s="0" t="n">
        <v>7894900051513</v>
      </c>
      <c r="L1601" s="0" t="s">
        <v>2995</v>
      </c>
      <c r="N1601" s="0" t="n">
        <v>18</v>
      </c>
      <c r="O1601" s="0" t="n">
        <v>134.98</v>
      </c>
      <c r="P1601" s="0" t="s">
        <v>2444</v>
      </c>
    </row>
    <row r="1602" customFormat="false" ht="15" hidden="false" customHeight="true" outlineLevel="0" collapsed="false">
      <c r="A1602" s="0" t="n">
        <v>2</v>
      </c>
      <c r="B1602" s="71" t="n">
        <v>46191</v>
      </c>
      <c r="C1602" s="0" t="n">
        <v>1</v>
      </c>
      <c r="D1602" s="0" t="s">
        <v>2442</v>
      </c>
      <c r="E1602" s="0" t="n">
        <v>1705</v>
      </c>
      <c r="F1602" s="0" t="s">
        <v>130</v>
      </c>
      <c r="I1602" s="0" t="n">
        <v>1887053</v>
      </c>
      <c r="J1602" s="0" t="n">
        <v>103160</v>
      </c>
      <c r="K1602" s="0" t="n">
        <v>7894900030013</v>
      </c>
      <c r="L1602" s="0" t="s">
        <v>2568</v>
      </c>
      <c r="N1602" s="0" t="n">
        <v>60</v>
      </c>
      <c r="O1602" s="0" t="n">
        <v>166.06</v>
      </c>
      <c r="P1602" s="0" t="s">
        <v>2444</v>
      </c>
    </row>
    <row r="1603" customFormat="false" ht="15" hidden="false" customHeight="true" outlineLevel="0" collapsed="false">
      <c r="A1603" s="0" t="n">
        <v>2</v>
      </c>
      <c r="B1603" s="71" t="n">
        <v>46191</v>
      </c>
      <c r="C1603" s="0" t="n">
        <v>1</v>
      </c>
      <c r="D1603" s="0" t="s">
        <v>2442</v>
      </c>
      <c r="E1603" s="0" t="n">
        <v>1705</v>
      </c>
      <c r="F1603" s="0" t="s">
        <v>130</v>
      </c>
      <c r="I1603" s="0" t="n">
        <v>1887053</v>
      </c>
      <c r="J1603" s="0" t="n">
        <v>103161</v>
      </c>
      <c r="K1603" s="0" t="n">
        <v>7894900010015</v>
      </c>
      <c r="L1603" s="0" t="s">
        <v>2569</v>
      </c>
      <c r="N1603" s="0" t="n">
        <v>120</v>
      </c>
      <c r="O1603" s="0" t="n">
        <v>380.95</v>
      </c>
      <c r="P1603" s="0" t="s">
        <v>2444</v>
      </c>
    </row>
    <row r="1604" customFormat="false" ht="15" hidden="false" customHeight="true" outlineLevel="0" collapsed="false">
      <c r="A1604" s="0" t="n">
        <v>2</v>
      </c>
      <c r="B1604" s="71" t="n">
        <v>46191</v>
      </c>
      <c r="C1604" s="0" t="n">
        <v>1</v>
      </c>
      <c r="D1604" s="0" t="s">
        <v>2442</v>
      </c>
      <c r="E1604" s="0" t="n">
        <v>1705</v>
      </c>
      <c r="F1604" s="0" t="s">
        <v>130</v>
      </c>
      <c r="I1604" s="0" t="n">
        <v>1887053</v>
      </c>
      <c r="J1604" s="0" t="n">
        <v>107100</v>
      </c>
      <c r="K1604" s="0" t="n">
        <v>7894900700015</v>
      </c>
      <c r="L1604" s="0" t="s">
        <v>2572</v>
      </c>
      <c r="N1604" s="0" t="n">
        <v>120</v>
      </c>
      <c r="O1604" s="0" t="n">
        <v>371.18</v>
      </c>
      <c r="P1604" s="0" t="s">
        <v>2444</v>
      </c>
    </row>
    <row r="1605" customFormat="false" ht="15" hidden="false" customHeight="true" outlineLevel="0" collapsed="false">
      <c r="A1605" s="0" t="n">
        <v>2</v>
      </c>
      <c r="B1605" s="71" t="n">
        <v>46191</v>
      </c>
      <c r="C1605" s="0" t="n">
        <v>1</v>
      </c>
      <c r="D1605" s="0" t="s">
        <v>2442</v>
      </c>
      <c r="E1605" s="0" t="n">
        <v>1705</v>
      </c>
      <c r="F1605" s="0" t="s">
        <v>130</v>
      </c>
      <c r="I1605" s="0" t="n">
        <v>1887053</v>
      </c>
      <c r="J1605" s="0" t="n">
        <v>24662</v>
      </c>
      <c r="K1605" s="0" t="n">
        <v>7897105250019</v>
      </c>
      <c r="L1605" s="0" t="s">
        <v>3441</v>
      </c>
      <c r="N1605" s="0" t="n">
        <v>24</v>
      </c>
      <c r="O1605" s="0" t="n">
        <v>67.4</v>
      </c>
      <c r="P1605" s="0" t="s">
        <v>2444</v>
      </c>
    </row>
    <row r="1606" customFormat="false" ht="15" hidden="false" customHeight="true" outlineLevel="0" collapsed="false">
      <c r="A1606" s="0" t="n">
        <v>2</v>
      </c>
      <c r="B1606" s="71" t="n">
        <v>46191</v>
      </c>
      <c r="C1606" s="0" t="n">
        <v>1</v>
      </c>
      <c r="D1606" s="0" t="s">
        <v>2442</v>
      </c>
      <c r="E1606" s="0" t="n">
        <v>1705</v>
      </c>
      <c r="F1606" s="0" t="s">
        <v>130</v>
      </c>
      <c r="I1606" s="0" t="n">
        <v>1887053</v>
      </c>
      <c r="J1606" s="0" t="n">
        <v>28739</v>
      </c>
      <c r="K1606" s="0" t="n">
        <v>7894900027044</v>
      </c>
      <c r="L1606" s="0" t="s">
        <v>2658</v>
      </c>
      <c r="N1606" s="0" t="n">
        <v>30</v>
      </c>
      <c r="O1606" s="0" t="n">
        <v>169.72</v>
      </c>
      <c r="P1606" s="0" t="s">
        <v>2444</v>
      </c>
    </row>
    <row r="1607" customFormat="false" ht="15" hidden="false" customHeight="true" outlineLevel="0" collapsed="false">
      <c r="A1607" s="0" t="n">
        <v>2</v>
      </c>
      <c r="B1607" s="71" t="n">
        <v>46191</v>
      </c>
      <c r="C1607" s="0" t="n">
        <v>1</v>
      </c>
      <c r="D1607" s="0" t="s">
        <v>2442</v>
      </c>
      <c r="E1607" s="0" t="n">
        <v>1705</v>
      </c>
      <c r="F1607" s="0" t="s">
        <v>130</v>
      </c>
      <c r="I1607" s="0" t="n">
        <v>1887053</v>
      </c>
      <c r="J1607" s="0" t="n">
        <v>34629</v>
      </c>
      <c r="K1607" s="0" t="n">
        <v>7894900027020</v>
      </c>
      <c r="L1607" s="0" t="s">
        <v>2478</v>
      </c>
      <c r="N1607" s="0" t="n">
        <v>30</v>
      </c>
      <c r="O1607" s="0" t="n">
        <v>289.68</v>
      </c>
      <c r="P1607" s="0" t="s">
        <v>2444</v>
      </c>
    </row>
    <row r="1608" customFormat="false" ht="15" hidden="false" customHeight="true" outlineLevel="0" collapsed="false">
      <c r="A1608" s="0" t="n">
        <v>2</v>
      </c>
      <c r="B1608" s="71" t="n">
        <v>46191</v>
      </c>
      <c r="C1608" s="0" t="n">
        <v>11</v>
      </c>
      <c r="D1608" s="0" t="s">
        <v>2471</v>
      </c>
      <c r="E1608" s="0" t="n">
        <v>1705</v>
      </c>
      <c r="F1608" s="0" t="s">
        <v>130</v>
      </c>
      <c r="I1608" s="0" t="n">
        <v>1165748</v>
      </c>
      <c r="J1608" s="0" t="n">
        <v>66038</v>
      </c>
      <c r="K1608" s="0" t="n">
        <v>7898938890076</v>
      </c>
      <c r="L1608" s="0" t="s">
        <v>3442</v>
      </c>
      <c r="N1608" s="0" t="n">
        <v>12</v>
      </c>
      <c r="O1608" s="0" t="n">
        <v>101.71</v>
      </c>
      <c r="P1608" s="0" t="s">
        <v>2444</v>
      </c>
    </row>
    <row r="1609" customFormat="false" ht="15" hidden="false" customHeight="true" outlineLevel="0" collapsed="false">
      <c r="A1609" s="0" t="n">
        <v>2</v>
      </c>
      <c r="B1609" s="71" t="n">
        <v>46191</v>
      </c>
      <c r="C1609" s="0" t="n">
        <v>22</v>
      </c>
      <c r="D1609" s="0" t="s">
        <v>2479</v>
      </c>
      <c r="E1609" s="0" t="n">
        <v>48</v>
      </c>
      <c r="F1609" s="0" t="s">
        <v>153</v>
      </c>
      <c r="I1609" s="0" t="n">
        <v>2502</v>
      </c>
      <c r="J1609" s="0" t="n">
        <v>100000</v>
      </c>
      <c r="K1609" s="0" t="n">
        <v>1</v>
      </c>
      <c r="L1609" s="0" t="s">
        <v>2480</v>
      </c>
      <c r="N1609" s="0" t="n">
        <v>2.758</v>
      </c>
      <c r="O1609" s="0" t="n">
        <v>54.97</v>
      </c>
      <c r="P1609" s="0" t="s">
        <v>2444</v>
      </c>
    </row>
    <row r="1610" customFormat="false" ht="15" hidden="false" customHeight="true" outlineLevel="0" collapsed="false">
      <c r="A1610" s="0" t="n">
        <v>2</v>
      </c>
      <c r="B1610" s="71" t="n">
        <v>46191</v>
      </c>
      <c r="C1610" s="0" t="n">
        <v>22</v>
      </c>
      <c r="D1610" s="0" t="s">
        <v>2479</v>
      </c>
      <c r="E1610" s="0" t="n">
        <v>48</v>
      </c>
      <c r="F1610" s="0" t="s">
        <v>153</v>
      </c>
      <c r="I1610" s="0" t="n">
        <v>2502</v>
      </c>
      <c r="J1610" s="0" t="n">
        <v>100000</v>
      </c>
      <c r="K1610" s="0" t="n">
        <v>1</v>
      </c>
      <c r="L1610" s="0" t="s">
        <v>2480</v>
      </c>
      <c r="N1610" s="0" t="n">
        <v>3.46</v>
      </c>
      <c r="O1610" s="0" t="n">
        <v>70.36</v>
      </c>
      <c r="P1610" s="0" t="s">
        <v>2444</v>
      </c>
    </row>
    <row r="1611" customFormat="false" ht="15" hidden="false" customHeight="true" outlineLevel="0" collapsed="false">
      <c r="A1611" s="0" t="n">
        <v>2</v>
      </c>
      <c r="B1611" s="71" t="n">
        <v>46191</v>
      </c>
      <c r="C1611" s="0" t="n">
        <v>22</v>
      </c>
      <c r="D1611" s="0" t="s">
        <v>2479</v>
      </c>
      <c r="E1611" s="0" t="n">
        <v>48</v>
      </c>
      <c r="F1611" s="0" t="s">
        <v>153</v>
      </c>
      <c r="I1611" s="0" t="n">
        <v>2502</v>
      </c>
      <c r="J1611" s="0" t="n">
        <v>100001</v>
      </c>
      <c r="K1611" s="0" t="n">
        <v>2</v>
      </c>
      <c r="L1611" s="0" t="s">
        <v>2481</v>
      </c>
      <c r="N1611" s="0" t="n">
        <v>10</v>
      </c>
      <c r="O1611" s="0" t="n">
        <v>215.94</v>
      </c>
      <c r="P1611" s="0" t="s">
        <v>2444</v>
      </c>
    </row>
    <row r="1612" customFormat="false" ht="15" hidden="false" customHeight="true" outlineLevel="0" collapsed="false">
      <c r="A1612" s="0" t="n">
        <v>2</v>
      </c>
      <c r="B1612" s="71" t="n">
        <v>46191</v>
      </c>
      <c r="C1612" s="0" t="n">
        <v>22</v>
      </c>
      <c r="D1612" s="0" t="s">
        <v>2479</v>
      </c>
      <c r="E1612" s="0" t="n">
        <v>48</v>
      </c>
      <c r="F1612" s="0" t="s">
        <v>153</v>
      </c>
      <c r="I1612" s="0" t="n">
        <v>2502</v>
      </c>
      <c r="J1612" s="0" t="n">
        <v>100002</v>
      </c>
      <c r="K1612" s="0" t="n">
        <v>3</v>
      </c>
      <c r="L1612" s="0" t="s">
        <v>2482</v>
      </c>
      <c r="N1612" s="0" t="n">
        <v>23.08</v>
      </c>
      <c r="O1612" s="0" t="n">
        <v>575.1</v>
      </c>
      <c r="P1612" s="0" t="s">
        <v>2444</v>
      </c>
    </row>
    <row r="1613" customFormat="false" ht="15" hidden="false" customHeight="true" outlineLevel="0" collapsed="false">
      <c r="A1613" s="0" t="n">
        <v>2</v>
      </c>
      <c r="B1613" s="71" t="n">
        <v>46191</v>
      </c>
      <c r="C1613" s="0" t="n">
        <v>22</v>
      </c>
      <c r="D1613" s="0" t="s">
        <v>2479</v>
      </c>
      <c r="E1613" s="0" t="n">
        <v>48</v>
      </c>
      <c r="F1613" s="0" t="s">
        <v>153</v>
      </c>
      <c r="I1613" s="0" t="n">
        <v>2502</v>
      </c>
      <c r="J1613" s="0" t="n">
        <v>100003</v>
      </c>
      <c r="K1613" s="0" t="n">
        <v>4</v>
      </c>
      <c r="L1613" s="0" t="s">
        <v>2483</v>
      </c>
      <c r="N1613" s="0" t="n">
        <v>19.14</v>
      </c>
      <c r="O1613" s="0" t="n">
        <v>508.73</v>
      </c>
      <c r="P1613" s="0" t="s">
        <v>2444</v>
      </c>
    </row>
    <row r="1614" customFormat="false" ht="15" hidden="false" customHeight="true" outlineLevel="0" collapsed="false">
      <c r="A1614" s="0" t="n">
        <v>2</v>
      </c>
      <c r="B1614" s="71" t="n">
        <v>46191</v>
      </c>
      <c r="C1614" s="0" t="n">
        <v>22</v>
      </c>
      <c r="D1614" s="0" t="s">
        <v>2479</v>
      </c>
      <c r="E1614" s="0" t="n">
        <v>48</v>
      </c>
      <c r="F1614" s="0" t="s">
        <v>153</v>
      </c>
      <c r="I1614" s="0" t="n">
        <v>2502</v>
      </c>
      <c r="J1614" s="0" t="n">
        <v>100004</v>
      </c>
      <c r="K1614" s="0" t="n">
        <v>5</v>
      </c>
      <c r="L1614" s="0" t="s">
        <v>2484</v>
      </c>
      <c r="N1614" s="0" t="n">
        <v>1.334</v>
      </c>
      <c r="O1614" s="0" t="n">
        <v>31.02</v>
      </c>
      <c r="P1614" s="0" t="s">
        <v>2444</v>
      </c>
    </row>
    <row r="1615" customFormat="false" ht="15" hidden="false" customHeight="true" outlineLevel="0" collapsed="false">
      <c r="A1615" s="0" t="n">
        <v>2</v>
      </c>
      <c r="B1615" s="71" t="n">
        <v>46191</v>
      </c>
      <c r="C1615" s="0" t="n">
        <v>22</v>
      </c>
      <c r="D1615" s="0" t="s">
        <v>2479</v>
      </c>
      <c r="E1615" s="0" t="n">
        <v>48</v>
      </c>
      <c r="F1615" s="0" t="s">
        <v>153</v>
      </c>
      <c r="I1615" s="0" t="n">
        <v>2502</v>
      </c>
      <c r="J1615" s="0" t="n">
        <v>100005</v>
      </c>
      <c r="K1615" s="0" t="n">
        <v>6</v>
      </c>
      <c r="L1615" s="0" t="s">
        <v>2582</v>
      </c>
      <c r="N1615" s="0" t="n">
        <v>5.096</v>
      </c>
      <c r="O1615" s="0" t="n">
        <v>126.98</v>
      </c>
      <c r="P1615" s="0" t="s">
        <v>2444</v>
      </c>
    </row>
    <row r="1616" customFormat="false" ht="15" hidden="false" customHeight="true" outlineLevel="0" collapsed="false">
      <c r="A1616" s="0" t="n">
        <v>2</v>
      </c>
      <c r="B1616" s="71" t="n">
        <v>46191</v>
      </c>
      <c r="C1616" s="0" t="n">
        <v>22</v>
      </c>
      <c r="D1616" s="0" t="s">
        <v>2479</v>
      </c>
      <c r="E1616" s="0" t="n">
        <v>48</v>
      </c>
      <c r="F1616" s="0" t="s">
        <v>153</v>
      </c>
      <c r="I1616" s="0" t="n">
        <v>2502</v>
      </c>
      <c r="J1616" s="0" t="n">
        <v>100006</v>
      </c>
      <c r="K1616" s="0" t="n">
        <v>7</v>
      </c>
      <c r="L1616" s="0" t="s">
        <v>2485</v>
      </c>
      <c r="N1616" s="0" t="n">
        <v>2.416</v>
      </c>
      <c r="O1616" s="0" t="n">
        <v>69.61</v>
      </c>
      <c r="P1616" s="0" t="s">
        <v>2444</v>
      </c>
    </row>
    <row r="1617" customFormat="false" ht="15" hidden="false" customHeight="true" outlineLevel="0" collapsed="false">
      <c r="A1617" s="0" t="n">
        <v>2</v>
      </c>
      <c r="B1617" s="71" t="n">
        <v>46191</v>
      </c>
      <c r="C1617" s="0" t="n">
        <v>22</v>
      </c>
      <c r="D1617" s="0" t="s">
        <v>2479</v>
      </c>
      <c r="E1617" s="0" t="n">
        <v>48</v>
      </c>
      <c r="F1617" s="0" t="s">
        <v>153</v>
      </c>
      <c r="I1617" s="0" t="n">
        <v>2502</v>
      </c>
      <c r="J1617" s="0" t="n">
        <v>100007</v>
      </c>
      <c r="K1617" s="0" t="n">
        <v>8</v>
      </c>
      <c r="L1617" s="0" t="s">
        <v>2486</v>
      </c>
      <c r="N1617" s="0" t="n">
        <v>2.24</v>
      </c>
      <c r="O1617" s="0" t="n">
        <v>55.82</v>
      </c>
      <c r="P1617" s="0" t="s">
        <v>2444</v>
      </c>
    </row>
    <row r="1618" customFormat="false" ht="15" hidden="false" customHeight="true" outlineLevel="0" collapsed="false">
      <c r="A1618" s="0" t="n">
        <v>2</v>
      </c>
      <c r="B1618" s="71" t="n">
        <v>46191</v>
      </c>
      <c r="C1618" s="0" t="n">
        <v>22</v>
      </c>
      <c r="D1618" s="0" t="s">
        <v>2479</v>
      </c>
      <c r="E1618" s="0" t="n">
        <v>48</v>
      </c>
      <c r="F1618" s="0" t="s">
        <v>153</v>
      </c>
      <c r="I1618" s="0" t="n">
        <v>2502</v>
      </c>
      <c r="J1618" s="0" t="n">
        <v>100007</v>
      </c>
      <c r="K1618" s="0" t="n">
        <v>8</v>
      </c>
      <c r="L1618" s="0" t="s">
        <v>2486</v>
      </c>
      <c r="N1618" s="0" t="n">
        <v>3.409</v>
      </c>
      <c r="O1618" s="0" t="n">
        <v>86.66</v>
      </c>
      <c r="P1618" s="0" t="s">
        <v>2444</v>
      </c>
    </row>
    <row r="1619" customFormat="false" ht="15" hidden="false" customHeight="true" outlineLevel="0" collapsed="false">
      <c r="A1619" s="0" t="n">
        <v>2</v>
      </c>
      <c r="B1619" s="71" t="n">
        <v>46191</v>
      </c>
      <c r="C1619" s="0" t="n">
        <v>22</v>
      </c>
      <c r="D1619" s="0" t="s">
        <v>2479</v>
      </c>
      <c r="E1619" s="0" t="n">
        <v>48</v>
      </c>
      <c r="F1619" s="0" t="s">
        <v>153</v>
      </c>
      <c r="I1619" s="0" t="n">
        <v>2502</v>
      </c>
      <c r="J1619" s="0" t="n">
        <v>100008</v>
      </c>
      <c r="K1619" s="0" t="n">
        <v>9</v>
      </c>
      <c r="L1619" s="0" t="s">
        <v>2487</v>
      </c>
      <c r="N1619" s="0" t="n">
        <v>15.91</v>
      </c>
      <c r="O1619" s="0" t="n">
        <v>507.04</v>
      </c>
      <c r="P1619" s="0" t="s">
        <v>2444</v>
      </c>
    </row>
    <row r="1620" customFormat="false" ht="15" hidden="false" customHeight="true" outlineLevel="0" collapsed="false">
      <c r="A1620" s="0" t="n">
        <v>2</v>
      </c>
      <c r="B1620" s="71" t="n">
        <v>46191</v>
      </c>
      <c r="C1620" s="0" t="n">
        <v>22</v>
      </c>
      <c r="D1620" s="0" t="s">
        <v>2479</v>
      </c>
      <c r="E1620" s="0" t="n">
        <v>48</v>
      </c>
      <c r="F1620" s="0" t="s">
        <v>153</v>
      </c>
      <c r="I1620" s="0" t="n">
        <v>2502</v>
      </c>
      <c r="J1620" s="0" t="n">
        <v>100008</v>
      </c>
      <c r="K1620" s="0" t="n">
        <v>9</v>
      </c>
      <c r="L1620" s="0" t="s">
        <v>2487</v>
      </c>
      <c r="N1620" s="0" t="n">
        <v>19.14</v>
      </c>
      <c r="O1620" s="0" t="n">
        <v>632.55</v>
      </c>
      <c r="P1620" s="0" t="s">
        <v>2444</v>
      </c>
    </row>
    <row r="1621" customFormat="false" ht="15" hidden="false" customHeight="true" outlineLevel="0" collapsed="false">
      <c r="A1621" s="0" t="n">
        <v>2</v>
      </c>
      <c r="B1621" s="71" t="n">
        <v>46191</v>
      </c>
      <c r="C1621" s="0" t="n">
        <v>22</v>
      </c>
      <c r="D1621" s="0" t="s">
        <v>2479</v>
      </c>
      <c r="E1621" s="0" t="n">
        <v>48</v>
      </c>
      <c r="F1621" s="0" t="s">
        <v>153</v>
      </c>
      <c r="I1621" s="0" t="n">
        <v>2502</v>
      </c>
      <c r="J1621" s="0" t="n">
        <v>100011</v>
      </c>
      <c r="K1621" s="0" t="n">
        <v>12</v>
      </c>
      <c r="L1621" s="0" t="s">
        <v>2488</v>
      </c>
      <c r="N1621" s="0" t="n">
        <v>11.28</v>
      </c>
      <c r="O1621" s="0" t="n">
        <v>420.59</v>
      </c>
      <c r="P1621" s="0" t="s">
        <v>2444</v>
      </c>
    </row>
    <row r="1622" customFormat="false" ht="15" hidden="false" customHeight="true" outlineLevel="0" collapsed="false">
      <c r="A1622" s="0" t="n">
        <v>2</v>
      </c>
      <c r="B1622" s="71" t="n">
        <v>46191</v>
      </c>
      <c r="C1622" s="0" t="n">
        <v>22</v>
      </c>
      <c r="D1622" s="0" t="s">
        <v>2479</v>
      </c>
      <c r="E1622" s="0" t="n">
        <v>48</v>
      </c>
      <c r="F1622" s="0" t="s">
        <v>153</v>
      </c>
      <c r="I1622" s="0" t="n">
        <v>2502</v>
      </c>
      <c r="J1622" s="0" t="n">
        <v>100012</v>
      </c>
      <c r="K1622" s="0" t="n">
        <v>13</v>
      </c>
      <c r="L1622" s="0" t="s">
        <v>2489</v>
      </c>
      <c r="N1622" s="0" t="n">
        <v>6.01</v>
      </c>
      <c r="O1622" s="0" t="n">
        <v>254.66</v>
      </c>
      <c r="P1622" s="0" t="s">
        <v>2444</v>
      </c>
    </row>
    <row r="1623" customFormat="false" ht="15" hidden="false" customHeight="true" outlineLevel="0" collapsed="false">
      <c r="A1623" s="0" t="n">
        <v>2</v>
      </c>
      <c r="B1623" s="71" t="n">
        <v>46191</v>
      </c>
      <c r="C1623" s="0" t="n">
        <v>22</v>
      </c>
      <c r="D1623" s="0" t="s">
        <v>2479</v>
      </c>
      <c r="E1623" s="0" t="n">
        <v>48</v>
      </c>
      <c r="F1623" s="0" t="s">
        <v>153</v>
      </c>
      <c r="I1623" s="0" t="n">
        <v>2502</v>
      </c>
      <c r="J1623" s="0" t="n">
        <v>100013</v>
      </c>
      <c r="K1623" s="0" t="n">
        <v>14</v>
      </c>
      <c r="L1623" s="0" t="s">
        <v>2490</v>
      </c>
      <c r="N1623" s="0" t="n">
        <v>12.14</v>
      </c>
      <c r="O1623" s="0" t="n">
        <v>545.27</v>
      </c>
      <c r="P1623" s="0" t="s">
        <v>2444</v>
      </c>
    </row>
    <row r="1624" customFormat="false" ht="15" hidden="false" customHeight="true" outlineLevel="0" collapsed="false">
      <c r="A1624" s="0" t="n">
        <v>2</v>
      </c>
      <c r="B1624" s="71" t="n">
        <v>46191</v>
      </c>
      <c r="C1624" s="0" t="n">
        <v>22</v>
      </c>
      <c r="D1624" s="0" t="s">
        <v>2479</v>
      </c>
      <c r="E1624" s="0" t="n">
        <v>48</v>
      </c>
      <c r="F1624" s="0" t="s">
        <v>153</v>
      </c>
      <c r="I1624" s="0" t="n">
        <v>2502</v>
      </c>
      <c r="J1624" s="0" t="n">
        <v>100014</v>
      </c>
      <c r="K1624" s="0" t="n">
        <v>15</v>
      </c>
      <c r="L1624" s="0" t="s">
        <v>2491</v>
      </c>
      <c r="N1624" s="0" t="n">
        <v>4.816</v>
      </c>
      <c r="O1624" s="0" t="n">
        <v>220.39</v>
      </c>
      <c r="P1624" s="0" t="s">
        <v>2444</v>
      </c>
    </row>
    <row r="1625" customFormat="false" ht="15" hidden="false" customHeight="true" outlineLevel="0" collapsed="false">
      <c r="A1625" s="0" t="n">
        <v>2</v>
      </c>
      <c r="B1625" s="71" t="n">
        <v>46191</v>
      </c>
      <c r="C1625" s="0" t="n">
        <v>22</v>
      </c>
      <c r="D1625" s="0" t="s">
        <v>2479</v>
      </c>
      <c r="E1625" s="0" t="n">
        <v>48</v>
      </c>
      <c r="F1625" s="0" t="s">
        <v>153</v>
      </c>
      <c r="I1625" s="0" t="n">
        <v>2502</v>
      </c>
      <c r="J1625" s="0" t="n">
        <v>100015</v>
      </c>
      <c r="K1625" s="0" t="n">
        <v>16</v>
      </c>
      <c r="L1625" s="0" t="s">
        <v>2492</v>
      </c>
      <c r="N1625" s="0" t="n">
        <v>1.84</v>
      </c>
      <c r="O1625" s="0" t="n">
        <v>74.85</v>
      </c>
      <c r="P1625" s="0" t="s">
        <v>2444</v>
      </c>
    </row>
    <row r="1626" customFormat="false" ht="15" hidden="false" customHeight="true" outlineLevel="0" collapsed="false">
      <c r="A1626" s="0" t="n">
        <v>2</v>
      </c>
      <c r="B1626" s="71" t="n">
        <v>46191</v>
      </c>
      <c r="C1626" s="0" t="n">
        <v>22</v>
      </c>
      <c r="D1626" s="0" t="s">
        <v>2479</v>
      </c>
      <c r="E1626" s="0" t="n">
        <v>48</v>
      </c>
      <c r="F1626" s="0" t="s">
        <v>153</v>
      </c>
      <c r="I1626" s="0" t="n">
        <v>2502</v>
      </c>
      <c r="J1626" s="0" t="n">
        <v>100016</v>
      </c>
      <c r="K1626" s="0" t="n">
        <v>17</v>
      </c>
      <c r="L1626" s="0" t="s">
        <v>2493</v>
      </c>
      <c r="N1626" s="0" t="n">
        <v>2.51</v>
      </c>
      <c r="O1626" s="0" t="n">
        <v>123.08</v>
      </c>
      <c r="P1626" s="0" t="s">
        <v>2444</v>
      </c>
    </row>
    <row r="1627" customFormat="false" ht="15" hidden="false" customHeight="true" outlineLevel="0" collapsed="false">
      <c r="A1627" s="0" t="n">
        <v>2</v>
      </c>
      <c r="B1627" s="71" t="n">
        <v>46191</v>
      </c>
      <c r="C1627" s="0" t="n">
        <v>22</v>
      </c>
      <c r="D1627" s="0" t="s">
        <v>2479</v>
      </c>
      <c r="E1627" s="0" t="n">
        <v>48</v>
      </c>
      <c r="F1627" s="0" t="s">
        <v>153</v>
      </c>
      <c r="I1627" s="0" t="n">
        <v>2502</v>
      </c>
      <c r="J1627" s="0" t="n">
        <v>100016</v>
      </c>
      <c r="K1627" s="0" t="n">
        <v>17</v>
      </c>
      <c r="L1627" s="0" t="s">
        <v>2493</v>
      </c>
      <c r="N1627" s="0" t="n">
        <v>3.002</v>
      </c>
      <c r="O1627" s="0" t="n">
        <v>152.65</v>
      </c>
      <c r="P1627" s="0" t="s">
        <v>2444</v>
      </c>
    </row>
    <row r="1628" customFormat="false" ht="15" hidden="false" customHeight="true" outlineLevel="0" collapsed="false">
      <c r="A1628" s="0" t="n">
        <v>2</v>
      </c>
      <c r="B1628" s="71" t="n">
        <v>46191</v>
      </c>
      <c r="C1628" s="0" t="n">
        <v>22</v>
      </c>
      <c r="D1628" s="0" t="s">
        <v>2479</v>
      </c>
      <c r="E1628" s="0" t="n">
        <v>48</v>
      </c>
      <c r="F1628" s="0" t="s">
        <v>153</v>
      </c>
      <c r="I1628" s="0" t="n">
        <v>2502</v>
      </c>
      <c r="J1628" s="0" t="n">
        <v>100017</v>
      </c>
      <c r="K1628" s="0" t="n">
        <v>18</v>
      </c>
      <c r="L1628" s="0" t="s">
        <v>2494</v>
      </c>
      <c r="N1628" s="0" t="n">
        <v>1.416</v>
      </c>
      <c r="O1628" s="0" t="n">
        <v>84</v>
      </c>
      <c r="P1628" s="0" t="s">
        <v>2444</v>
      </c>
    </row>
    <row r="1629" customFormat="false" ht="15" hidden="false" customHeight="true" outlineLevel="0" collapsed="false">
      <c r="A1629" s="0" t="n">
        <v>2</v>
      </c>
      <c r="B1629" s="71" t="n">
        <v>46191</v>
      </c>
      <c r="C1629" s="0" t="n">
        <v>22</v>
      </c>
      <c r="D1629" s="0" t="s">
        <v>2479</v>
      </c>
      <c r="E1629" s="0" t="n">
        <v>48</v>
      </c>
      <c r="F1629" s="0" t="s">
        <v>153</v>
      </c>
      <c r="I1629" s="0" t="n">
        <v>2502</v>
      </c>
      <c r="J1629" s="0" t="n">
        <v>100053</v>
      </c>
      <c r="K1629" s="0" t="n">
        <v>54</v>
      </c>
      <c r="L1629" s="0" t="s">
        <v>2495</v>
      </c>
      <c r="N1629" s="0" t="n">
        <v>2.148</v>
      </c>
      <c r="O1629" s="0" t="n">
        <v>77.23</v>
      </c>
      <c r="P1629" s="0" t="s">
        <v>2444</v>
      </c>
    </row>
    <row r="1630" customFormat="false" ht="15" hidden="false" customHeight="true" outlineLevel="0" collapsed="false">
      <c r="A1630" s="0" t="n">
        <v>2</v>
      </c>
      <c r="B1630" s="71" t="n">
        <v>46191</v>
      </c>
      <c r="C1630" s="0" t="n">
        <v>22</v>
      </c>
      <c r="D1630" s="0" t="s">
        <v>2479</v>
      </c>
      <c r="E1630" s="0" t="n">
        <v>48</v>
      </c>
      <c r="F1630" s="0" t="s">
        <v>153</v>
      </c>
      <c r="I1630" s="0" t="n">
        <v>2502</v>
      </c>
      <c r="J1630" s="0" t="n">
        <v>100053</v>
      </c>
      <c r="K1630" s="0" t="n">
        <v>54</v>
      </c>
      <c r="L1630" s="0" t="s">
        <v>2495</v>
      </c>
      <c r="N1630" s="0" t="n">
        <v>2.432</v>
      </c>
      <c r="O1630" s="0" t="n">
        <v>90.68</v>
      </c>
      <c r="P1630" s="0" t="s">
        <v>2444</v>
      </c>
    </row>
    <row r="1631" customFormat="false" ht="15" hidden="false" customHeight="true" outlineLevel="0" collapsed="false">
      <c r="A1631" s="0" t="n">
        <v>2</v>
      </c>
      <c r="B1631" s="71" t="n">
        <v>46191</v>
      </c>
      <c r="C1631" s="0" t="n">
        <v>22</v>
      </c>
      <c r="D1631" s="0" t="s">
        <v>2479</v>
      </c>
      <c r="E1631" s="0" t="n">
        <v>48</v>
      </c>
      <c r="F1631" s="0" t="s">
        <v>153</v>
      </c>
      <c r="I1631" s="0" t="n">
        <v>2502</v>
      </c>
      <c r="J1631" s="0" t="n">
        <v>100638</v>
      </c>
      <c r="K1631" s="0" t="n">
        <v>508</v>
      </c>
      <c r="L1631" s="0" t="s">
        <v>2496</v>
      </c>
      <c r="N1631" s="0" t="n">
        <v>3.035</v>
      </c>
      <c r="O1631" s="0" t="n">
        <v>7.54</v>
      </c>
      <c r="P1631" s="0" t="s">
        <v>2444</v>
      </c>
    </row>
    <row r="1632" customFormat="false" ht="15" hidden="false" customHeight="true" outlineLevel="0" collapsed="false">
      <c r="A1632" s="0" t="n">
        <v>2</v>
      </c>
      <c r="B1632" s="71" t="n">
        <v>46191</v>
      </c>
      <c r="C1632" s="0" t="n">
        <v>22</v>
      </c>
      <c r="D1632" s="0" t="s">
        <v>2479</v>
      </c>
      <c r="E1632" s="0" t="n">
        <v>48</v>
      </c>
      <c r="F1632" s="0" t="s">
        <v>153</v>
      </c>
      <c r="I1632" s="0" t="n">
        <v>2502</v>
      </c>
      <c r="J1632" s="0" t="n">
        <v>100638</v>
      </c>
      <c r="K1632" s="0" t="n">
        <v>508</v>
      </c>
      <c r="L1632" s="0" t="s">
        <v>2496</v>
      </c>
      <c r="N1632" s="0" t="n">
        <v>2.5</v>
      </c>
      <c r="O1632" s="0" t="n">
        <v>6.34</v>
      </c>
      <c r="P1632" s="0" t="s">
        <v>2444</v>
      </c>
    </row>
    <row r="1633" customFormat="false" ht="15" hidden="false" customHeight="true" outlineLevel="0" collapsed="false">
      <c r="A1633" s="0" t="n">
        <v>2</v>
      </c>
      <c r="B1633" s="71" t="n">
        <v>46191</v>
      </c>
      <c r="C1633" s="0" t="n">
        <v>22</v>
      </c>
      <c r="D1633" s="0" t="s">
        <v>2479</v>
      </c>
      <c r="E1633" s="0" t="n">
        <v>48</v>
      </c>
      <c r="F1633" s="0" t="s">
        <v>153</v>
      </c>
      <c r="I1633" s="0" t="n">
        <v>2502</v>
      </c>
      <c r="J1633" s="0" t="n">
        <v>100520</v>
      </c>
      <c r="K1633" s="0" t="n">
        <v>507</v>
      </c>
      <c r="L1633" s="0" t="s">
        <v>2497</v>
      </c>
      <c r="N1633" s="0" t="n">
        <v>1.612</v>
      </c>
      <c r="O1633" s="0" t="n">
        <v>4</v>
      </c>
      <c r="P1633" s="0" t="s">
        <v>2444</v>
      </c>
    </row>
    <row r="1634" customFormat="false" ht="15" hidden="false" customHeight="true" outlineLevel="0" collapsed="false">
      <c r="A1634" s="0" t="n">
        <v>2</v>
      </c>
      <c r="B1634" s="71" t="n">
        <v>46191</v>
      </c>
      <c r="C1634" s="0" t="n">
        <v>22</v>
      </c>
      <c r="D1634" s="0" t="s">
        <v>2479</v>
      </c>
      <c r="E1634" s="0" t="n">
        <v>48</v>
      </c>
      <c r="F1634" s="0" t="s">
        <v>153</v>
      </c>
      <c r="I1634" s="0" t="n">
        <v>2502</v>
      </c>
      <c r="J1634" s="0" t="n">
        <v>100520</v>
      </c>
      <c r="K1634" s="0" t="n">
        <v>507</v>
      </c>
      <c r="L1634" s="0" t="s">
        <v>2497</v>
      </c>
      <c r="N1634" s="0" t="n">
        <v>8.725</v>
      </c>
      <c r="O1634" s="0" t="n">
        <v>22.11</v>
      </c>
      <c r="P1634" s="0" t="s">
        <v>2444</v>
      </c>
    </row>
    <row r="1635" customFormat="false" ht="15" hidden="false" customHeight="true" outlineLevel="0" collapsed="false">
      <c r="A1635" s="0" t="n">
        <v>2</v>
      </c>
      <c r="B1635" s="71" t="n">
        <v>46191</v>
      </c>
      <c r="C1635" s="0" t="n">
        <v>22</v>
      </c>
      <c r="D1635" s="0" t="s">
        <v>2479</v>
      </c>
      <c r="E1635" s="0" t="n">
        <v>48</v>
      </c>
      <c r="F1635" s="0" t="s">
        <v>153</v>
      </c>
      <c r="I1635" s="0" t="n">
        <v>2502</v>
      </c>
      <c r="J1635" s="0" t="n">
        <v>110455</v>
      </c>
      <c r="K1635" s="0" t="n">
        <v>53212</v>
      </c>
      <c r="L1635" s="0" t="s">
        <v>2498</v>
      </c>
      <c r="N1635" s="0" t="n">
        <v>0.932</v>
      </c>
      <c r="O1635" s="0" t="n">
        <v>0</v>
      </c>
      <c r="P1635" s="0" t="s">
        <v>2444</v>
      </c>
    </row>
    <row r="1636" customFormat="false" ht="15" hidden="false" customHeight="true" outlineLevel="0" collapsed="false">
      <c r="A1636" s="0" t="n">
        <v>2</v>
      </c>
      <c r="B1636" s="71" t="n">
        <v>46191</v>
      </c>
      <c r="C1636" s="0" t="n">
        <v>22</v>
      </c>
      <c r="D1636" s="0" t="s">
        <v>2479</v>
      </c>
      <c r="E1636" s="0" t="n">
        <v>48</v>
      </c>
      <c r="F1636" s="0" t="s">
        <v>153</v>
      </c>
      <c r="I1636" s="0" t="n">
        <v>2502</v>
      </c>
      <c r="J1636" s="0" t="n">
        <v>110455</v>
      </c>
      <c r="K1636" s="0" t="n">
        <v>53212</v>
      </c>
      <c r="L1636" s="0" t="s">
        <v>2498</v>
      </c>
      <c r="N1636" s="0" t="n">
        <v>0.414</v>
      </c>
      <c r="O1636" s="0" t="n">
        <v>0</v>
      </c>
      <c r="P1636" s="0" t="s">
        <v>2444</v>
      </c>
    </row>
    <row r="1637" customFormat="false" ht="15" hidden="false" customHeight="true" outlineLevel="0" collapsed="false">
      <c r="A1637" s="0" t="n">
        <v>2</v>
      </c>
      <c r="B1637" s="71" t="n">
        <v>46191</v>
      </c>
      <c r="C1637" s="0" t="n">
        <v>22</v>
      </c>
      <c r="D1637" s="0" t="s">
        <v>2479</v>
      </c>
      <c r="E1637" s="0" t="n">
        <v>48</v>
      </c>
      <c r="F1637" s="0" t="s">
        <v>153</v>
      </c>
      <c r="I1637" s="0" t="n">
        <v>2502</v>
      </c>
      <c r="J1637" s="0" t="n">
        <v>110455</v>
      </c>
      <c r="K1637" s="0" t="n">
        <v>53212</v>
      </c>
      <c r="L1637" s="0" t="s">
        <v>2498</v>
      </c>
      <c r="N1637" s="0" t="n">
        <v>0.705</v>
      </c>
      <c r="O1637" s="0" t="n">
        <v>0</v>
      </c>
      <c r="P1637" s="0" t="s">
        <v>2444</v>
      </c>
    </row>
    <row r="1638" customFormat="false" ht="15" hidden="false" customHeight="true" outlineLevel="0" collapsed="false">
      <c r="A1638" s="0" t="n">
        <v>2</v>
      </c>
      <c r="B1638" s="71" t="n">
        <v>46191</v>
      </c>
      <c r="C1638" s="0" t="n">
        <v>39</v>
      </c>
      <c r="D1638" s="0" t="s">
        <v>3298</v>
      </c>
      <c r="E1638" s="0" t="n">
        <v>10029</v>
      </c>
      <c r="F1638" s="0" t="s">
        <v>679</v>
      </c>
      <c r="I1638" s="0" t="n">
        <v>184</v>
      </c>
      <c r="J1638" s="0" t="n">
        <v>70828</v>
      </c>
      <c r="K1638" s="0" t="n">
        <v>2264738</v>
      </c>
      <c r="L1638" s="0" t="s">
        <v>3443</v>
      </c>
      <c r="N1638" s="0" t="n">
        <v>120</v>
      </c>
      <c r="O1638" s="0" t="n">
        <v>1230</v>
      </c>
      <c r="P1638" s="0" t="s">
        <v>2444</v>
      </c>
    </row>
    <row r="1639" customFormat="false" ht="15" hidden="false" customHeight="true" outlineLevel="0" collapsed="false">
      <c r="A1639" s="0" t="n">
        <v>2</v>
      </c>
      <c r="B1639" s="71" t="n">
        <v>46191</v>
      </c>
      <c r="C1639" s="0" t="n">
        <v>39</v>
      </c>
      <c r="D1639" s="0" t="s">
        <v>3298</v>
      </c>
      <c r="E1639" s="0" t="n">
        <v>10029</v>
      </c>
      <c r="F1639" s="0" t="s">
        <v>679</v>
      </c>
      <c r="I1639" s="0" t="n">
        <v>184</v>
      </c>
      <c r="J1639" s="0" t="n">
        <v>79053</v>
      </c>
      <c r="K1639" s="0" t="n">
        <v>790543</v>
      </c>
      <c r="L1639" s="0" t="s">
        <v>3444</v>
      </c>
      <c r="N1639" s="0" t="n">
        <v>100</v>
      </c>
      <c r="O1639" s="0" t="n">
        <v>610</v>
      </c>
      <c r="P1639" s="0" t="s">
        <v>2444</v>
      </c>
    </row>
    <row r="1640" customFormat="false" ht="15" hidden="false" customHeight="true" outlineLevel="0" collapsed="false">
      <c r="A1640" s="0" t="n">
        <v>2</v>
      </c>
      <c r="B1640" s="71" t="n">
        <v>46191</v>
      </c>
      <c r="C1640" s="0" t="n">
        <v>100</v>
      </c>
      <c r="D1640" s="0" t="s">
        <v>2499</v>
      </c>
      <c r="E1640" s="0" t="n">
        <v>48</v>
      </c>
      <c r="F1640" s="0" t="s">
        <v>153</v>
      </c>
      <c r="I1640" s="0" t="n">
        <v>1270060</v>
      </c>
      <c r="J1640" s="0" t="n">
        <v>100000</v>
      </c>
      <c r="K1640" s="0" t="n">
        <v>1</v>
      </c>
      <c r="L1640" s="0" t="s">
        <v>2480</v>
      </c>
      <c r="N1640" s="0" t="n">
        <v>3.46</v>
      </c>
      <c r="O1640" s="0" t="n">
        <v>70.36</v>
      </c>
      <c r="P1640" s="0" t="s">
        <v>2444</v>
      </c>
    </row>
    <row r="1641" customFormat="false" ht="15" hidden="false" customHeight="true" outlineLevel="0" collapsed="false">
      <c r="A1641" s="0" t="n">
        <v>2</v>
      </c>
      <c r="B1641" s="71" t="n">
        <v>46191</v>
      </c>
      <c r="C1641" s="0" t="n">
        <v>100</v>
      </c>
      <c r="D1641" s="0" t="s">
        <v>2499</v>
      </c>
      <c r="E1641" s="0" t="n">
        <v>48</v>
      </c>
      <c r="F1641" s="0" t="s">
        <v>153</v>
      </c>
      <c r="I1641" s="0" t="n">
        <v>1270060</v>
      </c>
      <c r="J1641" s="0" t="n">
        <v>100006</v>
      </c>
      <c r="K1641" s="0" t="n">
        <v>7</v>
      </c>
      <c r="L1641" s="0" t="s">
        <v>2485</v>
      </c>
      <c r="N1641" s="0" t="n">
        <v>2.416</v>
      </c>
      <c r="O1641" s="0" t="n">
        <v>69.61</v>
      </c>
      <c r="P1641" s="0" t="s">
        <v>2444</v>
      </c>
    </row>
    <row r="1642" customFormat="false" ht="15" hidden="false" customHeight="true" outlineLevel="0" collapsed="false">
      <c r="A1642" s="0" t="n">
        <v>2</v>
      </c>
      <c r="B1642" s="71" t="n">
        <v>46191</v>
      </c>
      <c r="C1642" s="0" t="n">
        <v>100</v>
      </c>
      <c r="D1642" s="0" t="s">
        <v>2499</v>
      </c>
      <c r="E1642" s="0" t="n">
        <v>48</v>
      </c>
      <c r="F1642" s="0" t="s">
        <v>153</v>
      </c>
      <c r="I1642" s="0" t="n">
        <v>1270060</v>
      </c>
      <c r="J1642" s="0" t="n">
        <v>100007</v>
      </c>
      <c r="K1642" s="0" t="n">
        <v>8</v>
      </c>
      <c r="L1642" s="0" t="s">
        <v>2486</v>
      </c>
      <c r="N1642" s="0" t="n">
        <v>3.409</v>
      </c>
      <c r="O1642" s="0" t="n">
        <v>86.66</v>
      </c>
      <c r="P1642" s="0" t="s">
        <v>2444</v>
      </c>
    </row>
    <row r="1643" customFormat="false" ht="15" hidden="false" customHeight="true" outlineLevel="0" collapsed="false">
      <c r="A1643" s="0" t="n">
        <v>2</v>
      </c>
      <c r="B1643" s="71" t="n">
        <v>46191</v>
      </c>
      <c r="C1643" s="0" t="n">
        <v>100</v>
      </c>
      <c r="D1643" s="0" t="s">
        <v>2499</v>
      </c>
      <c r="E1643" s="0" t="n">
        <v>48</v>
      </c>
      <c r="F1643" s="0" t="s">
        <v>153</v>
      </c>
      <c r="I1643" s="0" t="n">
        <v>1270060</v>
      </c>
      <c r="J1643" s="0" t="n">
        <v>100008</v>
      </c>
      <c r="K1643" s="0" t="n">
        <v>9</v>
      </c>
      <c r="L1643" s="0" t="s">
        <v>2487</v>
      </c>
      <c r="N1643" s="0" t="n">
        <v>19.14</v>
      </c>
      <c r="O1643" s="0" t="n">
        <v>632.55</v>
      </c>
      <c r="P1643" s="0" t="s">
        <v>2444</v>
      </c>
    </row>
    <row r="1644" customFormat="false" ht="15" hidden="false" customHeight="true" outlineLevel="0" collapsed="false">
      <c r="A1644" s="0" t="n">
        <v>2</v>
      </c>
      <c r="B1644" s="71" t="n">
        <v>46191</v>
      </c>
      <c r="C1644" s="0" t="n">
        <v>100</v>
      </c>
      <c r="D1644" s="0" t="s">
        <v>2499</v>
      </c>
      <c r="E1644" s="0" t="n">
        <v>48</v>
      </c>
      <c r="F1644" s="0" t="s">
        <v>153</v>
      </c>
      <c r="I1644" s="0" t="n">
        <v>1270060</v>
      </c>
      <c r="J1644" s="0" t="n">
        <v>100011</v>
      </c>
      <c r="K1644" s="0" t="n">
        <v>12</v>
      </c>
      <c r="L1644" s="0" t="s">
        <v>2488</v>
      </c>
      <c r="N1644" s="0" t="n">
        <v>11.28</v>
      </c>
      <c r="O1644" s="0" t="n">
        <v>420.59</v>
      </c>
      <c r="P1644" s="0" t="s">
        <v>2444</v>
      </c>
    </row>
    <row r="1645" customFormat="false" ht="15" hidden="false" customHeight="true" outlineLevel="0" collapsed="false">
      <c r="A1645" s="0" t="n">
        <v>2</v>
      </c>
      <c r="B1645" s="71" t="n">
        <v>46191</v>
      </c>
      <c r="C1645" s="0" t="n">
        <v>100</v>
      </c>
      <c r="D1645" s="0" t="s">
        <v>2499</v>
      </c>
      <c r="E1645" s="0" t="n">
        <v>48</v>
      </c>
      <c r="F1645" s="0" t="s">
        <v>153</v>
      </c>
      <c r="I1645" s="0" t="n">
        <v>1270060</v>
      </c>
      <c r="J1645" s="0" t="n">
        <v>100012</v>
      </c>
      <c r="K1645" s="0" t="n">
        <v>13</v>
      </c>
      <c r="L1645" s="0" t="s">
        <v>2489</v>
      </c>
      <c r="N1645" s="0" t="n">
        <v>6.01</v>
      </c>
      <c r="O1645" s="0" t="n">
        <v>254.66</v>
      </c>
      <c r="P1645" s="0" t="s">
        <v>2444</v>
      </c>
    </row>
    <row r="1646" customFormat="false" ht="15" hidden="false" customHeight="true" outlineLevel="0" collapsed="false">
      <c r="A1646" s="0" t="n">
        <v>2</v>
      </c>
      <c r="B1646" s="71" t="n">
        <v>46191</v>
      </c>
      <c r="C1646" s="0" t="n">
        <v>100</v>
      </c>
      <c r="D1646" s="0" t="s">
        <v>2499</v>
      </c>
      <c r="E1646" s="0" t="n">
        <v>48</v>
      </c>
      <c r="F1646" s="0" t="s">
        <v>153</v>
      </c>
      <c r="I1646" s="0" t="n">
        <v>1270060</v>
      </c>
      <c r="J1646" s="0" t="n">
        <v>100013</v>
      </c>
      <c r="K1646" s="0" t="n">
        <v>14</v>
      </c>
      <c r="L1646" s="0" t="s">
        <v>2490</v>
      </c>
      <c r="N1646" s="0" t="n">
        <v>12.14</v>
      </c>
      <c r="O1646" s="0" t="n">
        <v>545.27</v>
      </c>
      <c r="P1646" s="0" t="s">
        <v>2444</v>
      </c>
    </row>
    <row r="1647" customFormat="false" ht="15" hidden="false" customHeight="true" outlineLevel="0" collapsed="false">
      <c r="A1647" s="0" t="n">
        <v>2</v>
      </c>
      <c r="B1647" s="71" t="n">
        <v>46191</v>
      </c>
      <c r="C1647" s="0" t="n">
        <v>100</v>
      </c>
      <c r="D1647" s="0" t="s">
        <v>2499</v>
      </c>
      <c r="E1647" s="0" t="n">
        <v>48</v>
      </c>
      <c r="F1647" s="0" t="s">
        <v>153</v>
      </c>
      <c r="I1647" s="0" t="n">
        <v>1270060</v>
      </c>
      <c r="J1647" s="0" t="n">
        <v>100014</v>
      </c>
      <c r="K1647" s="0" t="n">
        <v>15</v>
      </c>
      <c r="L1647" s="0" t="s">
        <v>2491</v>
      </c>
      <c r="N1647" s="0" t="n">
        <v>4.816</v>
      </c>
      <c r="O1647" s="0" t="n">
        <v>220.39</v>
      </c>
      <c r="P1647" s="0" t="s">
        <v>2444</v>
      </c>
    </row>
    <row r="1648" customFormat="false" ht="15" hidden="false" customHeight="true" outlineLevel="0" collapsed="false">
      <c r="A1648" s="0" t="n">
        <v>2</v>
      </c>
      <c r="B1648" s="71" t="n">
        <v>46191</v>
      </c>
      <c r="C1648" s="0" t="n">
        <v>100</v>
      </c>
      <c r="D1648" s="0" t="s">
        <v>2499</v>
      </c>
      <c r="E1648" s="0" t="n">
        <v>48</v>
      </c>
      <c r="F1648" s="0" t="s">
        <v>153</v>
      </c>
      <c r="I1648" s="0" t="n">
        <v>1270060</v>
      </c>
      <c r="J1648" s="0" t="n">
        <v>100015</v>
      </c>
      <c r="K1648" s="0" t="n">
        <v>16</v>
      </c>
      <c r="L1648" s="0" t="s">
        <v>2492</v>
      </c>
      <c r="N1648" s="0" t="n">
        <v>1.84</v>
      </c>
      <c r="O1648" s="0" t="n">
        <v>74.85</v>
      </c>
      <c r="P1648" s="0" t="s">
        <v>2444</v>
      </c>
    </row>
    <row r="1649" customFormat="false" ht="15" hidden="false" customHeight="true" outlineLevel="0" collapsed="false">
      <c r="A1649" s="0" t="n">
        <v>2</v>
      </c>
      <c r="B1649" s="71" t="n">
        <v>46191</v>
      </c>
      <c r="C1649" s="0" t="n">
        <v>100</v>
      </c>
      <c r="D1649" s="0" t="s">
        <v>2499</v>
      </c>
      <c r="E1649" s="0" t="n">
        <v>48</v>
      </c>
      <c r="F1649" s="0" t="s">
        <v>153</v>
      </c>
      <c r="I1649" s="0" t="n">
        <v>1270060</v>
      </c>
      <c r="J1649" s="0" t="n">
        <v>100016</v>
      </c>
      <c r="K1649" s="0" t="n">
        <v>17</v>
      </c>
      <c r="L1649" s="0" t="s">
        <v>2493</v>
      </c>
      <c r="N1649" s="0" t="n">
        <v>3.002</v>
      </c>
      <c r="O1649" s="0" t="n">
        <v>152.65</v>
      </c>
      <c r="P1649" s="0" t="s">
        <v>2444</v>
      </c>
    </row>
    <row r="1650" customFormat="false" ht="15" hidden="false" customHeight="true" outlineLevel="0" collapsed="false">
      <c r="A1650" s="0" t="n">
        <v>2</v>
      </c>
      <c r="B1650" s="71" t="n">
        <v>46191</v>
      </c>
      <c r="C1650" s="0" t="n">
        <v>100</v>
      </c>
      <c r="D1650" s="0" t="s">
        <v>2499</v>
      </c>
      <c r="E1650" s="0" t="n">
        <v>48</v>
      </c>
      <c r="F1650" s="0" t="s">
        <v>153</v>
      </c>
      <c r="I1650" s="0" t="n">
        <v>1270060</v>
      </c>
      <c r="J1650" s="0" t="n">
        <v>100017</v>
      </c>
      <c r="K1650" s="0" t="n">
        <v>18</v>
      </c>
      <c r="L1650" s="0" t="s">
        <v>2494</v>
      </c>
      <c r="N1650" s="0" t="n">
        <v>1.416</v>
      </c>
      <c r="O1650" s="0" t="n">
        <v>84</v>
      </c>
      <c r="P1650" s="0" t="s">
        <v>2444</v>
      </c>
    </row>
    <row r="1651" customFormat="false" ht="15" hidden="false" customHeight="true" outlineLevel="0" collapsed="false">
      <c r="A1651" s="0" t="n">
        <v>2</v>
      </c>
      <c r="B1651" s="71" t="n">
        <v>46191</v>
      </c>
      <c r="C1651" s="0" t="n">
        <v>100</v>
      </c>
      <c r="D1651" s="0" t="s">
        <v>2499</v>
      </c>
      <c r="E1651" s="0" t="n">
        <v>48</v>
      </c>
      <c r="F1651" s="0" t="s">
        <v>153</v>
      </c>
      <c r="I1651" s="0" t="n">
        <v>1270060</v>
      </c>
      <c r="J1651" s="0" t="n">
        <v>100053</v>
      </c>
      <c r="K1651" s="0" t="n">
        <v>54</v>
      </c>
      <c r="L1651" s="0" t="s">
        <v>2495</v>
      </c>
      <c r="N1651" s="0" t="n">
        <v>2.432</v>
      </c>
      <c r="O1651" s="0" t="n">
        <v>90.68</v>
      </c>
      <c r="P1651" s="0" t="s">
        <v>2444</v>
      </c>
    </row>
    <row r="1652" customFormat="false" ht="15" hidden="false" customHeight="true" outlineLevel="0" collapsed="false">
      <c r="A1652" s="0" t="n">
        <v>2</v>
      </c>
      <c r="B1652" s="71" t="n">
        <v>46191</v>
      </c>
      <c r="C1652" s="0" t="n">
        <v>100</v>
      </c>
      <c r="D1652" s="0" t="s">
        <v>2499</v>
      </c>
      <c r="E1652" s="0" t="n">
        <v>48</v>
      </c>
      <c r="F1652" s="0" t="s">
        <v>153</v>
      </c>
      <c r="I1652" s="0" t="n">
        <v>1270060</v>
      </c>
      <c r="J1652" s="0" t="n">
        <v>100638</v>
      </c>
      <c r="K1652" s="0" t="n">
        <v>508</v>
      </c>
      <c r="L1652" s="0" t="s">
        <v>2496</v>
      </c>
      <c r="N1652" s="0" t="n">
        <v>2.5</v>
      </c>
      <c r="O1652" s="0" t="n">
        <v>6.34</v>
      </c>
      <c r="P1652" s="0" t="s">
        <v>2444</v>
      </c>
    </row>
    <row r="1653" customFormat="false" ht="15" hidden="false" customHeight="true" outlineLevel="0" collapsed="false">
      <c r="A1653" s="0" t="n">
        <v>2</v>
      </c>
      <c r="B1653" s="71" t="n">
        <v>46191</v>
      </c>
      <c r="C1653" s="0" t="n">
        <v>100</v>
      </c>
      <c r="D1653" s="0" t="s">
        <v>2499</v>
      </c>
      <c r="E1653" s="0" t="n">
        <v>48</v>
      </c>
      <c r="F1653" s="0" t="s">
        <v>153</v>
      </c>
      <c r="I1653" s="0" t="n">
        <v>1270060</v>
      </c>
      <c r="J1653" s="0" t="n">
        <v>100520</v>
      </c>
      <c r="K1653" s="0" t="n">
        <v>507</v>
      </c>
      <c r="L1653" s="0" t="s">
        <v>2497</v>
      </c>
      <c r="N1653" s="0" t="n">
        <v>8.725</v>
      </c>
      <c r="O1653" s="0" t="n">
        <v>22.11</v>
      </c>
      <c r="P1653" s="0" t="s">
        <v>2444</v>
      </c>
    </row>
    <row r="1654" customFormat="false" ht="15" hidden="false" customHeight="true" outlineLevel="0" collapsed="false">
      <c r="A1654" s="0" t="n">
        <v>2</v>
      </c>
      <c r="B1654" s="71" t="n">
        <v>46191</v>
      </c>
      <c r="C1654" s="0" t="n">
        <v>100</v>
      </c>
      <c r="D1654" s="0" t="s">
        <v>2499</v>
      </c>
      <c r="E1654" s="0" t="n">
        <v>48</v>
      </c>
      <c r="F1654" s="0" t="s">
        <v>153</v>
      </c>
      <c r="I1654" s="0" t="n">
        <v>1270060</v>
      </c>
      <c r="J1654" s="0" t="n">
        <v>110455</v>
      </c>
      <c r="K1654" s="0" t="n">
        <v>53212</v>
      </c>
      <c r="L1654" s="0" t="s">
        <v>2498</v>
      </c>
      <c r="N1654" s="0" t="n">
        <v>0.414</v>
      </c>
      <c r="O1654" s="0" t="n">
        <v>0</v>
      </c>
      <c r="P1654" s="0" t="s">
        <v>2444</v>
      </c>
    </row>
    <row r="1655" customFormat="false" ht="15" hidden="false" customHeight="true" outlineLevel="0" collapsed="false">
      <c r="A1655" s="0" t="n">
        <v>2</v>
      </c>
      <c r="B1655" s="71" t="n">
        <v>46191</v>
      </c>
      <c r="C1655" s="0" t="n">
        <v>100</v>
      </c>
      <c r="D1655" s="0" t="s">
        <v>2499</v>
      </c>
      <c r="E1655" s="0" t="n">
        <v>48</v>
      </c>
      <c r="F1655" s="0" t="s">
        <v>153</v>
      </c>
      <c r="I1655" s="0" t="n">
        <v>1270064</v>
      </c>
      <c r="J1655" s="0" t="n">
        <v>100008</v>
      </c>
      <c r="K1655" s="0" t="n">
        <v>9</v>
      </c>
      <c r="L1655" s="0" t="s">
        <v>2487</v>
      </c>
      <c r="N1655" s="0" t="n">
        <v>15.91</v>
      </c>
      <c r="O1655" s="0" t="n">
        <v>507.04</v>
      </c>
      <c r="P1655" s="0" t="s">
        <v>2444</v>
      </c>
    </row>
    <row r="1656" customFormat="false" ht="15" hidden="false" customHeight="true" outlineLevel="0" collapsed="false">
      <c r="A1656" s="0" t="n">
        <v>2</v>
      </c>
      <c r="B1656" s="71" t="n">
        <v>46191</v>
      </c>
      <c r="C1656" s="0" t="n">
        <v>100</v>
      </c>
      <c r="D1656" s="0" t="s">
        <v>2499</v>
      </c>
      <c r="E1656" s="0" t="n">
        <v>48</v>
      </c>
      <c r="F1656" s="0" t="s">
        <v>153</v>
      </c>
      <c r="I1656" s="0" t="n">
        <v>1270064</v>
      </c>
      <c r="J1656" s="0" t="n">
        <v>100016</v>
      </c>
      <c r="K1656" s="0" t="n">
        <v>17</v>
      </c>
      <c r="L1656" s="0" t="s">
        <v>2493</v>
      </c>
      <c r="N1656" s="0" t="n">
        <v>2.51</v>
      </c>
      <c r="O1656" s="0" t="n">
        <v>123.08</v>
      </c>
      <c r="P1656" s="0" t="s">
        <v>2444</v>
      </c>
    </row>
    <row r="1657" customFormat="false" ht="15" hidden="false" customHeight="true" outlineLevel="0" collapsed="false">
      <c r="A1657" s="0" t="n">
        <v>2</v>
      </c>
      <c r="B1657" s="71" t="n">
        <v>46191</v>
      </c>
      <c r="C1657" s="0" t="n">
        <v>100</v>
      </c>
      <c r="D1657" s="0" t="s">
        <v>2499</v>
      </c>
      <c r="E1657" s="0" t="n">
        <v>48</v>
      </c>
      <c r="F1657" s="0" t="s">
        <v>153</v>
      </c>
      <c r="I1657" s="0" t="n">
        <v>1270064</v>
      </c>
      <c r="J1657" s="0" t="n">
        <v>100053</v>
      </c>
      <c r="K1657" s="0" t="n">
        <v>54</v>
      </c>
      <c r="L1657" s="0" t="s">
        <v>2495</v>
      </c>
      <c r="N1657" s="0" t="n">
        <v>2.148</v>
      </c>
      <c r="O1657" s="0" t="n">
        <v>77.23</v>
      </c>
      <c r="P1657" s="0" t="s">
        <v>2444</v>
      </c>
    </row>
    <row r="1658" customFormat="false" ht="15" hidden="false" customHeight="true" outlineLevel="0" collapsed="false">
      <c r="A1658" s="0" t="n">
        <v>2</v>
      </c>
      <c r="B1658" s="71" t="n">
        <v>46191</v>
      </c>
      <c r="C1658" s="0" t="n">
        <v>100</v>
      </c>
      <c r="D1658" s="0" t="s">
        <v>2499</v>
      </c>
      <c r="E1658" s="0" t="n">
        <v>48</v>
      </c>
      <c r="F1658" s="0" t="s">
        <v>153</v>
      </c>
      <c r="I1658" s="0" t="n">
        <v>1270064</v>
      </c>
      <c r="J1658" s="0" t="n">
        <v>110455</v>
      </c>
      <c r="K1658" s="0" t="n">
        <v>53212</v>
      </c>
      <c r="L1658" s="0" t="s">
        <v>2498</v>
      </c>
      <c r="N1658" s="0" t="n">
        <v>0.932</v>
      </c>
      <c r="O1658" s="0" t="n">
        <v>0</v>
      </c>
      <c r="P1658" s="0" t="s">
        <v>2444</v>
      </c>
    </row>
    <row r="1659" customFormat="false" ht="15" hidden="false" customHeight="true" outlineLevel="0" collapsed="false">
      <c r="A1659" s="0" t="n">
        <v>2</v>
      </c>
      <c r="B1659" s="71" t="n">
        <v>46191</v>
      </c>
      <c r="C1659" s="0" t="n">
        <v>100</v>
      </c>
      <c r="D1659" s="0" t="s">
        <v>2499</v>
      </c>
      <c r="E1659" s="0" t="n">
        <v>48</v>
      </c>
      <c r="F1659" s="0" t="s">
        <v>153</v>
      </c>
      <c r="I1659" s="0" t="n">
        <v>1270068</v>
      </c>
      <c r="J1659" s="0" t="n">
        <v>100000</v>
      </c>
      <c r="K1659" s="0" t="n">
        <v>1</v>
      </c>
      <c r="L1659" s="0" t="s">
        <v>2480</v>
      </c>
      <c r="N1659" s="0" t="n">
        <v>2.758</v>
      </c>
      <c r="O1659" s="0" t="n">
        <v>54.97</v>
      </c>
      <c r="P1659" s="0" t="s">
        <v>2444</v>
      </c>
    </row>
    <row r="1660" customFormat="false" ht="15" hidden="false" customHeight="true" outlineLevel="0" collapsed="false">
      <c r="A1660" s="0" t="n">
        <v>2</v>
      </c>
      <c r="B1660" s="71" t="n">
        <v>46191</v>
      </c>
      <c r="C1660" s="0" t="n">
        <v>100</v>
      </c>
      <c r="D1660" s="0" t="s">
        <v>2499</v>
      </c>
      <c r="E1660" s="0" t="n">
        <v>48</v>
      </c>
      <c r="F1660" s="0" t="s">
        <v>153</v>
      </c>
      <c r="I1660" s="0" t="n">
        <v>1270068</v>
      </c>
      <c r="J1660" s="0" t="n">
        <v>100001</v>
      </c>
      <c r="K1660" s="0" t="n">
        <v>2</v>
      </c>
      <c r="L1660" s="0" t="s">
        <v>2481</v>
      </c>
      <c r="N1660" s="0" t="n">
        <v>10</v>
      </c>
      <c r="O1660" s="0" t="n">
        <v>215.94</v>
      </c>
      <c r="P1660" s="0" t="s">
        <v>2444</v>
      </c>
    </row>
    <row r="1661" customFormat="false" ht="15" hidden="false" customHeight="true" outlineLevel="0" collapsed="false">
      <c r="A1661" s="0" t="n">
        <v>2</v>
      </c>
      <c r="B1661" s="71" t="n">
        <v>46191</v>
      </c>
      <c r="C1661" s="0" t="n">
        <v>100</v>
      </c>
      <c r="D1661" s="0" t="s">
        <v>2499</v>
      </c>
      <c r="E1661" s="0" t="n">
        <v>48</v>
      </c>
      <c r="F1661" s="0" t="s">
        <v>153</v>
      </c>
      <c r="I1661" s="0" t="n">
        <v>1270068</v>
      </c>
      <c r="J1661" s="0" t="n">
        <v>100002</v>
      </c>
      <c r="K1661" s="0" t="n">
        <v>3</v>
      </c>
      <c r="L1661" s="0" t="s">
        <v>2482</v>
      </c>
      <c r="N1661" s="0" t="n">
        <v>23.08</v>
      </c>
      <c r="O1661" s="0" t="n">
        <v>575.1</v>
      </c>
      <c r="P1661" s="0" t="s">
        <v>2444</v>
      </c>
    </row>
    <row r="1662" customFormat="false" ht="15" hidden="false" customHeight="true" outlineLevel="0" collapsed="false">
      <c r="A1662" s="0" t="n">
        <v>2</v>
      </c>
      <c r="B1662" s="71" t="n">
        <v>46191</v>
      </c>
      <c r="C1662" s="0" t="n">
        <v>100</v>
      </c>
      <c r="D1662" s="0" t="s">
        <v>2499</v>
      </c>
      <c r="E1662" s="0" t="n">
        <v>48</v>
      </c>
      <c r="F1662" s="0" t="s">
        <v>153</v>
      </c>
      <c r="I1662" s="0" t="n">
        <v>1270068</v>
      </c>
      <c r="J1662" s="0" t="n">
        <v>100003</v>
      </c>
      <c r="K1662" s="0" t="n">
        <v>4</v>
      </c>
      <c r="L1662" s="0" t="s">
        <v>2483</v>
      </c>
      <c r="N1662" s="0" t="n">
        <v>19.14</v>
      </c>
      <c r="O1662" s="0" t="n">
        <v>508.73</v>
      </c>
      <c r="P1662" s="0" t="s">
        <v>2444</v>
      </c>
    </row>
    <row r="1663" customFormat="false" ht="15" hidden="false" customHeight="true" outlineLevel="0" collapsed="false">
      <c r="A1663" s="0" t="n">
        <v>2</v>
      </c>
      <c r="B1663" s="71" t="n">
        <v>46191</v>
      </c>
      <c r="C1663" s="0" t="n">
        <v>100</v>
      </c>
      <c r="D1663" s="0" t="s">
        <v>2499</v>
      </c>
      <c r="E1663" s="0" t="n">
        <v>48</v>
      </c>
      <c r="F1663" s="0" t="s">
        <v>153</v>
      </c>
      <c r="I1663" s="0" t="n">
        <v>1270068</v>
      </c>
      <c r="J1663" s="0" t="n">
        <v>100004</v>
      </c>
      <c r="K1663" s="0" t="n">
        <v>5</v>
      </c>
      <c r="L1663" s="0" t="s">
        <v>2484</v>
      </c>
      <c r="N1663" s="0" t="n">
        <v>1.334</v>
      </c>
      <c r="O1663" s="0" t="n">
        <v>31.02</v>
      </c>
      <c r="P1663" s="0" t="s">
        <v>2444</v>
      </c>
    </row>
    <row r="1664" customFormat="false" ht="15" hidden="false" customHeight="true" outlineLevel="0" collapsed="false">
      <c r="A1664" s="0" t="n">
        <v>2</v>
      </c>
      <c r="B1664" s="71" t="n">
        <v>46191</v>
      </c>
      <c r="C1664" s="0" t="n">
        <v>100</v>
      </c>
      <c r="D1664" s="0" t="s">
        <v>2499</v>
      </c>
      <c r="E1664" s="0" t="n">
        <v>48</v>
      </c>
      <c r="F1664" s="0" t="s">
        <v>153</v>
      </c>
      <c r="I1664" s="0" t="n">
        <v>1270068</v>
      </c>
      <c r="J1664" s="0" t="n">
        <v>100005</v>
      </c>
      <c r="K1664" s="0" t="n">
        <v>6</v>
      </c>
      <c r="L1664" s="0" t="s">
        <v>2582</v>
      </c>
      <c r="N1664" s="0" t="n">
        <v>5.096</v>
      </c>
      <c r="O1664" s="0" t="n">
        <v>126.98</v>
      </c>
      <c r="P1664" s="0" t="s">
        <v>2444</v>
      </c>
    </row>
    <row r="1665" customFormat="false" ht="15" hidden="false" customHeight="true" outlineLevel="0" collapsed="false">
      <c r="A1665" s="0" t="n">
        <v>2</v>
      </c>
      <c r="B1665" s="71" t="n">
        <v>46191</v>
      </c>
      <c r="C1665" s="0" t="n">
        <v>100</v>
      </c>
      <c r="D1665" s="0" t="s">
        <v>2499</v>
      </c>
      <c r="E1665" s="0" t="n">
        <v>48</v>
      </c>
      <c r="F1665" s="0" t="s">
        <v>153</v>
      </c>
      <c r="I1665" s="0" t="n">
        <v>1270068</v>
      </c>
      <c r="J1665" s="0" t="n">
        <v>100007</v>
      </c>
      <c r="K1665" s="0" t="n">
        <v>8</v>
      </c>
      <c r="L1665" s="0" t="s">
        <v>2486</v>
      </c>
      <c r="N1665" s="0" t="n">
        <v>2.24</v>
      </c>
      <c r="O1665" s="0" t="n">
        <v>55.82</v>
      </c>
      <c r="P1665" s="0" t="s">
        <v>2444</v>
      </c>
    </row>
    <row r="1666" customFormat="false" ht="15" hidden="false" customHeight="true" outlineLevel="0" collapsed="false">
      <c r="A1666" s="0" t="n">
        <v>2</v>
      </c>
      <c r="B1666" s="71" t="n">
        <v>46191</v>
      </c>
      <c r="C1666" s="0" t="n">
        <v>100</v>
      </c>
      <c r="D1666" s="0" t="s">
        <v>2499</v>
      </c>
      <c r="E1666" s="0" t="n">
        <v>48</v>
      </c>
      <c r="F1666" s="0" t="s">
        <v>153</v>
      </c>
      <c r="I1666" s="0" t="n">
        <v>1270068</v>
      </c>
      <c r="J1666" s="0" t="n">
        <v>100638</v>
      </c>
      <c r="K1666" s="0" t="n">
        <v>508</v>
      </c>
      <c r="L1666" s="0" t="s">
        <v>2496</v>
      </c>
      <c r="N1666" s="0" t="n">
        <v>3.035</v>
      </c>
      <c r="O1666" s="0" t="n">
        <v>7.54</v>
      </c>
      <c r="P1666" s="0" t="s">
        <v>2444</v>
      </c>
    </row>
    <row r="1667" customFormat="false" ht="15" hidden="false" customHeight="true" outlineLevel="0" collapsed="false">
      <c r="A1667" s="0" t="n">
        <v>2</v>
      </c>
      <c r="B1667" s="71" t="n">
        <v>46191</v>
      </c>
      <c r="C1667" s="0" t="n">
        <v>100</v>
      </c>
      <c r="D1667" s="0" t="s">
        <v>2499</v>
      </c>
      <c r="E1667" s="0" t="n">
        <v>48</v>
      </c>
      <c r="F1667" s="0" t="s">
        <v>153</v>
      </c>
      <c r="I1667" s="0" t="n">
        <v>1270068</v>
      </c>
      <c r="J1667" s="0" t="n">
        <v>100520</v>
      </c>
      <c r="K1667" s="0" t="n">
        <v>507</v>
      </c>
      <c r="L1667" s="0" t="s">
        <v>2497</v>
      </c>
      <c r="N1667" s="0" t="n">
        <v>1.612</v>
      </c>
      <c r="O1667" s="0" t="n">
        <v>4</v>
      </c>
      <c r="P1667" s="0" t="s">
        <v>2444</v>
      </c>
    </row>
    <row r="1668" customFormat="false" ht="15" hidden="false" customHeight="true" outlineLevel="0" collapsed="false">
      <c r="A1668" s="0" t="n">
        <v>2</v>
      </c>
      <c r="B1668" s="71" t="n">
        <v>46191</v>
      </c>
      <c r="C1668" s="0" t="n">
        <v>100</v>
      </c>
      <c r="D1668" s="0" t="s">
        <v>2499</v>
      </c>
      <c r="E1668" s="0" t="n">
        <v>48</v>
      </c>
      <c r="F1668" s="0" t="s">
        <v>153</v>
      </c>
      <c r="I1668" s="0" t="n">
        <v>1270068</v>
      </c>
      <c r="J1668" s="0" t="n">
        <v>110455</v>
      </c>
      <c r="K1668" s="0" t="n">
        <v>53212</v>
      </c>
      <c r="L1668" s="0" t="s">
        <v>2498</v>
      </c>
      <c r="N1668" s="0" t="n">
        <v>0.705</v>
      </c>
      <c r="O1668" s="0" t="n">
        <v>0</v>
      </c>
      <c r="P1668" s="0" t="s">
        <v>2444</v>
      </c>
    </row>
    <row r="1669" customFormat="false" ht="15" hidden="false" customHeight="true" outlineLevel="0" collapsed="false">
      <c r="A1669" s="0" t="n">
        <v>2</v>
      </c>
      <c r="B1669" s="71" t="n">
        <v>46195</v>
      </c>
      <c r="C1669" s="0" t="n">
        <v>1</v>
      </c>
      <c r="D1669" s="0" t="s">
        <v>2442</v>
      </c>
      <c r="E1669" s="0" t="n">
        <v>10018</v>
      </c>
      <c r="F1669" s="0" t="s">
        <v>216</v>
      </c>
      <c r="I1669" s="0" t="n">
        <v>313</v>
      </c>
      <c r="J1669" s="0" t="n">
        <v>101851</v>
      </c>
      <c r="K1669" s="0" t="n">
        <v>7898286200053</v>
      </c>
      <c r="L1669" s="0" t="s">
        <v>3445</v>
      </c>
      <c r="N1669" s="0" t="n">
        <v>50</v>
      </c>
      <c r="O1669" s="0" t="n">
        <v>260</v>
      </c>
      <c r="P1669" s="0" t="s">
        <v>2444</v>
      </c>
    </row>
    <row r="1670" customFormat="false" ht="15" hidden="false" customHeight="true" outlineLevel="0" collapsed="false">
      <c r="A1670" s="0" t="n">
        <v>2</v>
      </c>
      <c r="B1670" s="71" t="n">
        <v>46195</v>
      </c>
      <c r="C1670" s="0" t="n">
        <v>1</v>
      </c>
      <c r="D1670" s="0" t="s">
        <v>2442</v>
      </c>
      <c r="E1670" s="0" t="n">
        <v>10035</v>
      </c>
      <c r="F1670" s="0" t="s">
        <v>86</v>
      </c>
      <c r="I1670" s="0" t="n">
        <v>315</v>
      </c>
      <c r="J1670" s="0" t="n">
        <v>38652</v>
      </c>
      <c r="K1670" s="0" t="n">
        <v>7898994684220</v>
      </c>
      <c r="L1670" s="0" t="s">
        <v>2711</v>
      </c>
      <c r="N1670" s="0" t="n">
        <v>20</v>
      </c>
      <c r="O1670" s="0" t="n">
        <v>174</v>
      </c>
      <c r="P1670" s="0" t="s">
        <v>2444</v>
      </c>
    </row>
    <row r="1671" customFormat="false" ht="15" hidden="false" customHeight="true" outlineLevel="0" collapsed="false">
      <c r="A1671" s="0" t="n">
        <v>2</v>
      </c>
      <c r="B1671" s="71" t="n">
        <v>46195</v>
      </c>
      <c r="C1671" s="0" t="n">
        <v>1</v>
      </c>
      <c r="D1671" s="0" t="s">
        <v>2442</v>
      </c>
      <c r="E1671" s="0" t="n">
        <v>10035</v>
      </c>
      <c r="F1671" s="0" t="s">
        <v>86</v>
      </c>
      <c r="I1671" s="0" t="n">
        <v>315</v>
      </c>
      <c r="J1671" s="0" t="n">
        <v>38653</v>
      </c>
      <c r="K1671" s="0" t="n">
        <v>7898994684275</v>
      </c>
      <c r="L1671" s="0" t="s">
        <v>2712</v>
      </c>
      <c r="N1671" s="0" t="n">
        <v>20</v>
      </c>
      <c r="O1671" s="0" t="n">
        <v>90</v>
      </c>
      <c r="P1671" s="0" t="s">
        <v>2444</v>
      </c>
    </row>
    <row r="1672" customFormat="false" ht="15" hidden="false" customHeight="true" outlineLevel="0" collapsed="false">
      <c r="A1672" s="0" t="n">
        <v>2</v>
      </c>
      <c r="B1672" s="71" t="n">
        <v>46195</v>
      </c>
      <c r="C1672" s="0" t="n">
        <v>1</v>
      </c>
      <c r="D1672" s="0" t="s">
        <v>2442</v>
      </c>
      <c r="E1672" s="0" t="n">
        <v>642</v>
      </c>
      <c r="F1672" s="0" t="s">
        <v>123</v>
      </c>
      <c r="I1672" s="0" t="n">
        <v>504</v>
      </c>
      <c r="J1672" s="0" t="n">
        <v>71766</v>
      </c>
      <c r="K1672" s="0" t="n">
        <v>779180</v>
      </c>
      <c r="L1672" s="0" t="s">
        <v>2501</v>
      </c>
      <c r="N1672" s="0" t="n">
        <v>13</v>
      </c>
      <c r="O1672" s="0" t="n">
        <v>156</v>
      </c>
      <c r="P1672" s="0" t="s">
        <v>2444</v>
      </c>
    </row>
    <row r="1673" customFormat="false" ht="15" hidden="false" customHeight="true" outlineLevel="0" collapsed="false">
      <c r="A1673" s="0" t="n">
        <v>2</v>
      </c>
      <c r="B1673" s="71" t="n">
        <v>46195</v>
      </c>
      <c r="C1673" s="0" t="n">
        <v>1</v>
      </c>
      <c r="D1673" s="0" t="s">
        <v>2442</v>
      </c>
      <c r="E1673" s="0" t="n">
        <v>10084</v>
      </c>
      <c r="F1673" s="0" t="s">
        <v>588</v>
      </c>
      <c r="I1673" s="0" t="n">
        <v>721</v>
      </c>
      <c r="J1673" s="0" t="n">
        <v>81449</v>
      </c>
      <c r="K1673" s="0" t="n">
        <v>7898693150200</v>
      </c>
      <c r="L1673" s="0" t="s">
        <v>3446</v>
      </c>
      <c r="N1673" s="0" t="n">
        <v>6</v>
      </c>
      <c r="O1673" s="0" t="n">
        <v>53.94</v>
      </c>
      <c r="P1673" s="0" t="s">
        <v>2444</v>
      </c>
    </row>
    <row r="1674" customFormat="false" ht="15" hidden="false" customHeight="true" outlineLevel="0" collapsed="false">
      <c r="A1674" s="0" t="n">
        <v>2</v>
      </c>
      <c r="B1674" s="71" t="n">
        <v>46195</v>
      </c>
      <c r="C1674" s="0" t="n">
        <v>1</v>
      </c>
      <c r="D1674" s="0" t="s">
        <v>2442</v>
      </c>
      <c r="E1674" s="0" t="n">
        <v>10084</v>
      </c>
      <c r="F1674" s="0" t="s">
        <v>588</v>
      </c>
      <c r="I1674" s="0" t="n">
        <v>721</v>
      </c>
      <c r="J1674" s="0" t="n">
        <v>81450</v>
      </c>
      <c r="K1674" s="0" t="n">
        <v>7898693150217</v>
      </c>
      <c r="L1674" s="0" t="s">
        <v>3447</v>
      </c>
      <c r="N1674" s="0" t="n">
        <v>6</v>
      </c>
      <c r="O1674" s="0" t="n">
        <v>53.94</v>
      </c>
      <c r="P1674" s="0" t="s">
        <v>2444</v>
      </c>
    </row>
    <row r="1675" customFormat="false" ht="15" hidden="false" customHeight="true" outlineLevel="0" collapsed="false">
      <c r="A1675" s="0" t="n">
        <v>2</v>
      </c>
      <c r="B1675" s="71" t="n">
        <v>46195</v>
      </c>
      <c r="C1675" s="0" t="n">
        <v>1</v>
      </c>
      <c r="D1675" s="0" t="s">
        <v>2442</v>
      </c>
      <c r="E1675" s="0" t="n">
        <v>10084</v>
      </c>
      <c r="F1675" s="0" t="s">
        <v>588</v>
      </c>
      <c r="I1675" s="0" t="n">
        <v>721</v>
      </c>
      <c r="J1675" s="0" t="n">
        <v>81451</v>
      </c>
      <c r="K1675" s="0" t="n">
        <v>7898693150255</v>
      </c>
      <c r="L1675" s="0" t="s">
        <v>3448</v>
      </c>
      <c r="N1675" s="0" t="n">
        <v>6</v>
      </c>
      <c r="O1675" s="0" t="n">
        <v>53.94</v>
      </c>
      <c r="P1675" s="0" t="s">
        <v>2444</v>
      </c>
    </row>
    <row r="1676" customFormat="false" ht="15" hidden="false" customHeight="true" outlineLevel="0" collapsed="false">
      <c r="A1676" s="0" t="n">
        <v>2</v>
      </c>
      <c r="B1676" s="71" t="n">
        <v>46195</v>
      </c>
      <c r="C1676" s="0" t="n">
        <v>1</v>
      </c>
      <c r="D1676" s="0" t="s">
        <v>2442</v>
      </c>
      <c r="E1676" s="0" t="n">
        <v>10084</v>
      </c>
      <c r="F1676" s="0" t="s">
        <v>588</v>
      </c>
      <c r="I1676" s="0" t="n">
        <v>721</v>
      </c>
      <c r="J1676" s="0" t="n">
        <v>81452</v>
      </c>
      <c r="K1676" s="0" t="n">
        <v>7898693150422</v>
      </c>
      <c r="L1676" s="0" t="s">
        <v>3449</v>
      </c>
      <c r="N1676" s="0" t="n">
        <v>6</v>
      </c>
      <c r="O1676" s="0" t="n">
        <v>77.4</v>
      </c>
      <c r="P1676" s="0" t="s">
        <v>2444</v>
      </c>
    </row>
    <row r="1677" customFormat="false" ht="15" hidden="false" customHeight="true" outlineLevel="0" collapsed="false">
      <c r="A1677" s="0" t="n">
        <v>2</v>
      </c>
      <c r="B1677" s="71" t="n">
        <v>46195</v>
      </c>
      <c r="C1677" s="0" t="n">
        <v>1</v>
      </c>
      <c r="D1677" s="0" t="s">
        <v>2442</v>
      </c>
      <c r="E1677" s="0" t="n">
        <v>10084</v>
      </c>
      <c r="F1677" s="0" t="s">
        <v>588</v>
      </c>
      <c r="I1677" s="0" t="n">
        <v>721</v>
      </c>
      <c r="J1677" s="0" t="n">
        <v>81453</v>
      </c>
      <c r="K1677" s="0" t="n">
        <v>7908886505660</v>
      </c>
      <c r="L1677" s="0" t="s">
        <v>3450</v>
      </c>
      <c r="N1677" s="0" t="n">
        <v>12</v>
      </c>
      <c r="O1677" s="0" t="n">
        <v>130.8</v>
      </c>
      <c r="P1677" s="0" t="s">
        <v>2444</v>
      </c>
    </row>
    <row r="1678" customFormat="false" ht="15" hidden="false" customHeight="true" outlineLevel="0" collapsed="false">
      <c r="A1678" s="0" t="n">
        <v>2</v>
      </c>
      <c r="B1678" s="71" t="n">
        <v>46195</v>
      </c>
      <c r="C1678" s="0" t="n">
        <v>1</v>
      </c>
      <c r="D1678" s="0" t="s">
        <v>2442</v>
      </c>
      <c r="E1678" s="0" t="n">
        <v>10084</v>
      </c>
      <c r="F1678" s="0" t="s">
        <v>588</v>
      </c>
      <c r="I1678" s="0" t="n">
        <v>721</v>
      </c>
      <c r="J1678" s="0" t="n">
        <v>81454</v>
      </c>
      <c r="K1678" s="0" t="n">
        <v>7898692152946</v>
      </c>
      <c r="L1678" s="0" t="s">
        <v>3451</v>
      </c>
      <c r="N1678" s="0" t="n">
        <v>12</v>
      </c>
      <c r="O1678" s="0" t="n">
        <v>110.76</v>
      </c>
      <c r="P1678" s="0" t="s">
        <v>2444</v>
      </c>
    </row>
    <row r="1679" customFormat="false" ht="15" hidden="false" customHeight="true" outlineLevel="0" collapsed="false">
      <c r="A1679" s="0" t="n">
        <v>2</v>
      </c>
      <c r="B1679" s="71" t="n">
        <v>46195</v>
      </c>
      <c r="C1679" s="0" t="n">
        <v>1</v>
      </c>
      <c r="D1679" s="0" t="s">
        <v>2442</v>
      </c>
      <c r="E1679" s="0" t="n">
        <v>1363</v>
      </c>
      <c r="F1679" s="0" t="s">
        <v>174</v>
      </c>
      <c r="I1679" s="0" t="n">
        <v>3407</v>
      </c>
      <c r="J1679" s="0" t="n">
        <v>73511</v>
      </c>
      <c r="K1679" s="0" t="n">
        <v>609963171019</v>
      </c>
      <c r="L1679" s="0" t="s">
        <v>2585</v>
      </c>
      <c r="N1679" s="0" t="n">
        <v>3</v>
      </c>
      <c r="O1679" s="0" t="n">
        <v>18</v>
      </c>
      <c r="P1679" s="0" t="s">
        <v>2444</v>
      </c>
    </row>
    <row r="1680" customFormat="false" ht="15" hidden="false" customHeight="true" outlineLevel="0" collapsed="false">
      <c r="A1680" s="0" t="n">
        <v>2</v>
      </c>
      <c r="B1680" s="71" t="n">
        <v>46195</v>
      </c>
      <c r="C1680" s="0" t="n">
        <v>1</v>
      </c>
      <c r="D1680" s="0" t="s">
        <v>2442</v>
      </c>
      <c r="E1680" s="0" t="n">
        <v>1363</v>
      </c>
      <c r="F1680" s="0" t="s">
        <v>174</v>
      </c>
      <c r="I1680" s="0" t="n">
        <v>3407</v>
      </c>
      <c r="J1680" s="0" t="n">
        <v>65494</v>
      </c>
      <c r="K1680" s="0" t="n">
        <v>618231677535</v>
      </c>
      <c r="L1680" s="0" t="s">
        <v>2587</v>
      </c>
      <c r="N1680" s="0" t="n">
        <v>10</v>
      </c>
      <c r="O1680" s="0" t="n">
        <v>60</v>
      </c>
      <c r="P1680" s="0" t="s">
        <v>2444</v>
      </c>
    </row>
    <row r="1681" customFormat="false" ht="15" hidden="false" customHeight="true" outlineLevel="0" collapsed="false">
      <c r="A1681" s="0" t="n">
        <v>2</v>
      </c>
      <c r="B1681" s="71" t="n">
        <v>46195</v>
      </c>
      <c r="C1681" s="0" t="n">
        <v>1</v>
      </c>
      <c r="D1681" s="0" t="s">
        <v>2442</v>
      </c>
      <c r="E1681" s="0" t="n">
        <v>1363</v>
      </c>
      <c r="F1681" s="0" t="s">
        <v>174</v>
      </c>
      <c r="I1681" s="0" t="n">
        <v>3407</v>
      </c>
      <c r="J1681" s="0" t="n">
        <v>65496</v>
      </c>
      <c r="K1681" s="0" t="n">
        <v>618231677528</v>
      </c>
      <c r="L1681" s="0" t="s">
        <v>2588</v>
      </c>
      <c r="N1681" s="0" t="n">
        <v>3</v>
      </c>
      <c r="O1681" s="0" t="n">
        <v>18</v>
      </c>
      <c r="P1681" s="0" t="s">
        <v>2444</v>
      </c>
    </row>
    <row r="1682" customFormat="false" ht="15" hidden="false" customHeight="true" outlineLevel="0" collapsed="false">
      <c r="A1682" s="0" t="n">
        <v>2</v>
      </c>
      <c r="B1682" s="71" t="n">
        <v>46195</v>
      </c>
      <c r="C1682" s="0" t="n">
        <v>1</v>
      </c>
      <c r="D1682" s="0" t="s">
        <v>2442</v>
      </c>
      <c r="E1682" s="0" t="n">
        <v>1363</v>
      </c>
      <c r="F1682" s="0" t="s">
        <v>174</v>
      </c>
      <c r="I1682" s="0" t="n">
        <v>3407</v>
      </c>
      <c r="J1682" s="0" t="n">
        <v>65621</v>
      </c>
      <c r="K1682" s="0" t="n">
        <v>618231677504</v>
      </c>
      <c r="L1682" s="0" t="s">
        <v>2589</v>
      </c>
      <c r="N1682" s="0" t="n">
        <v>2</v>
      </c>
      <c r="O1682" s="0" t="n">
        <v>14</v>
      </c>
      <c r="P1682" s="0" t="s">
        <v>2444</v>
      </c>
    </row>
    <row r="1683" customFormat="false" ht="15" hidden="false" customHeight="true" outlineLevel="0" collapsed="false">
      <c r="A1683" s="0" t="n">
        <v>2</v>
      </c>
      <c r="B1683" s="71" t="n">
        <v>46195</v>
      </c>
      <c r="C1683" s="0" t="n">
        <v>1</v>
      </c>
      <c r="D1683" s="0" t="s">
        <v>2442</v>
      </c>
      <c r="E1683" s="0" t="n">
        <v>1292</v>
      </c>
      <c r="F1683" s="0" t="s">
        <v>209</v>
      </c>
      <c r="I1683" s="0" t="n">
        <v>3457</v>
      </c>
      <c r="J1683" s="0" t="n">
        <v>28574</v>
      </c>
      <c r="K1683" s="0" t="n">
        <v>7898028069009</v>
      </c>
      <c r="L1683" s="0" t="s">
        <v>2607</v>
      </c>
      <c r="N1683" s="0" t="n">
        <v>25</v>
      </c>
      <c r="O1683" s="0" t="n">
        <v>140</v>
      </c>
      <c r="P1683" s="0" t="s">
        <v>2444</v>
      </c>
    </row>
    <row r="1684" customFormat="false" ht="15" hidden="false" customHeight="true" outlineLevel="0" collapsed="false">
      <c r="A1684" s="0" t="n">
        <v>2</v>
      </c>
      <c r="B1684" s="71" t="n">
        <v>46195</v>
      </c>
      <c r="C1684" s="0" t="n">
        <v>1</v>
      </c>
      <c r="D1684" s="0" t="s">
        <v>2442</v>
      </c>
      <c r="E1684" s="0" t="n">
        <v>1292</v>
      </c>
      <c r="F1684" s="0" t="s">
        <v>209</v>
      </c>
      <c r="I1684" s="0" t="n">
        <v>3457</v>
      </c>
      <c r="J1684" s="0" t="n">
        <v>58633</v>
      </c>
      <c r="K1684" s="0" t="n">
        <v>7891164025250</v>
      </c>
      <c r="L1684" s="0" t="s">
        <v>2448</v>
      </c>
      <c r="N1684" s="0" t="n">
        <v>35</v>
      </c>
      <c r="O1684" s="0" t="n">
        <v>314.65</v>
      </c>
      <c r="P1684" s="0" t="s">
        <v>2444</v>
      </c>
    </row>
    <row r="1685" customFormat="false" ht="15" hidden="false" customHeight="true" outlineLevel="0" collapsed="false">
      <c r="A1685" s="0" t="n">
        <v>2</v>
      </c>
      <c r="B1685" s="71" t="n">
        <v>46195</v>
      </c>
      <c r="C1685" s="0" t="n">
        <v>1</v>
      </c>
      <c r="D1685" s="0" t="s">
        <v>2442</v>
      </c>
      <c r="E1685" s="0" t="n">
        <v>1609</v>
      </c>
      <c r="F1685" s="0" t="s">
        <v>84</v>
      </c>
      <c r="I1685" s="0" t="n">
        <v>5679</v>
      </c>
      <c r="J1685" s="0" t="n">
        <v>102382</v>
      </c>
      <c r="K1685" s="0" t="n">
        <v>7896981600673</v>
      </c>
      <c r="L1685" s="0" t="s">
        <v>3452</v>
      </c>
      <c r="N1685" s="0" t="n">
        <v>24</v>
      </c>
      <c r="O1685" s="0" t="n">
        <v>60</v>
      </c>
      <c r="P1685" s="0" t="s">
        <v>2444</v>
      </c>
    </row>
    <row r="1686" customFormat="false" ht="15" hidden="false" customHeight="true" outlineLevel="0" collapsed="false">
      <c r="A1686" s="0" t="n">
        <v>2</v>
      </c>
      <c r="B1686" s="71" t="n">
        <v>46195</v>
      </c>
      <c r="C1686" s="0" t="n">
        <v>1</v>
      </c>
      <c r="D1686" s="0" t="s">
        <v>2442</v>
      </c>
      <c r="E1686" s="0" t="n">
        <v>1609</v>
      </c>
      <c r="F1686" s="0" t="s">
        <v>84</v>
      </c>
      <c r="I1686" s="0" t="n">
        <v>5679</v>
      </c>
      <c r="J1686" s="0" t="n">
        <v>13225</v>
      </c>
      <c r="K1686" s="0" t="n">
        <v>7896981601151</v>
      </c>
      <c r="L1686" s="0" t="s">
        <v>3453</v>
      </c>
      <c r="N1686" s="0" t="n">
        <v>12</v>
      </c>
      <c r="O1686" s="0" t="n">
        <v>45</v>
      </c>
      <c r="P1686" s="0" t="s">
        <v>2444</v>
      </c>
    </row>
    <row r="1687" customFormat="false" ht="15" hidden="false" customHeight="true" outlineLevel="0" collapsed="false">
      <c r="A1687" s="0" t="n">
        <v>2</v>
      </c>
      <c r="B1687" s="71" t="n">
        <v>46195</v>
      </c>
      <c r="C1687" s="0" t="n">
        <v>1</v>
      </c>
      <c r="D1687" s="0" t="s">
        <v>2442</v>
      </c>
      <c r="E1687" s="0" t="n">
        <v>1609</v>
      </c>
      <c r="F1687" s="0" t="s">
        <v>84</v>
      </c>
      <c r="I1687" s="0" t="n">
        <v>5679</v>
      </c>
      <c r="J1687" s="0" t="n">
        <v>13720</v>
      </c>
      <c r="K1687" s="0" t="n">
        <v>7896981600307</v>
      </c>
      <c r="L1687" s="0" t="s">
        <v>2608</v>
      </c>
      <c r="N1687" s="0" t="n">
        <v>9</v>
      </c>
      <c r="O1687" s="0" t="n">
        <v>55</v>
      </c>
      <c r="P1687" s="0" t="s">
        <v>2444</v>
      </c>
    </row>
    <row r="1688" customFormat="false" ht="15" hidden="false" customHeight="true" outlineLevel="0" collapsed="false">
      <c r="A1688" s="0" t="n">
        <v>2</v>
      </c>
      <c r="B1688" s="71" t="n">
        <v>46195</v>
      </c>
      <c r="C1688" s="0" t="n">
        <v>1</v>
      </c>
      <c r="D1688" s="0" t="s">
        <v>2442</v>
      </c>
      <c r="E1688" s="0" t="n">
        <v>1609</v>
      </c>
      <c r="F1688" s="0" t="s">
        <v>84</v>
      </c>
      <c r="I1688" s="0" t="n">
        <v>5679</v>
      </c>
      <c r="J1688" s="0" t="n">
        <v>17163</v>
      </c>
      <c r="K1688" s="0" t="n">
        <v>7896981600567</v>
      </c>
      <c r="L1688" s="0" t="s">
        <v>2609</v>
      </c>
      <c r="N1688" s="0" t="n">
        <v>9</v>
      </c>
      <c r="O1688" s="0" t="n">
        <v>80</v>
      </c>
      <c r="P1688" s="0" t="s">
        <v>2444</v>
      </c>
    </row>
    <row r="1689" customFormat="false" ht="15" hidden="false" customHeight="true" outlineLevel="0" collapsed="false">
      <c r="A1689" s="0" t="n">
        <v>2</v>
      </c>
      <c r="B1689" s="71" t="n">
        <v>46195</v>
      </c>
      <c r="C1689" s="0" t="n">
        <v>1</v>
      </c>
      <c r="D1689" s="0" t="s">
        <v>2442</v>
      </c>
      <c r="E1689" s="0" t="n">
        <v>1609</v>
      </c>
      <c r="F1689" s="0" t="s">
        <v>84</v>
      </c>
      <c r="I1689" s="0" t="n">
        <v>5679</v>
      </c>
      <c r="J1689" s="0" t="n">
        <v>18775</v>
      </c>
      <c r="K1689" s="0" t="n">
        <v>7896878801237</v>
      </c>
      <c r="L1689" s="0" t="s">
        <v>2614</v>
      </c>
      <c r="N1689" s="0" t="n">
        <v>20</v>
      </c>
      <c r="O1689" s="0" t="n">
        <v>66</v>
      </c>
      <c r="P1689" s="0" t="s">
        <v>2444</v>
      </c>
    </row>
    <row r="1690" customFormat="false" ht="15" hidden="false" customHeight="true" outlineLevel="0" collapsed="false">
      <c r="A1690" s="0" t="n">
        <v>2</v>
      </c>
      <c r="B1690" s="71" t="n">
        <v>46195</v>
      </c>
      <c r="C1690" s="0" t="n">
        <v>1</v>
      </c>
      <c r="D1690" s="0" t="s">
        <v>2442</v>
      </c>
      <c r="E1690" s="0" t="n">
        <v>1643</v>
      </c>
      <c r="F1690" s="0" t="s">
        <v>212</v>
      </c>
      <c r="I1690" s="0" t="n">
        <v>10605</v>
      </c>
      <c r="J1690" s="0" t="n">
        <v>63172</v>
      </c>
      <c r="K1690" s="0" t="n">
        <v>7898928536526</v>
      </c>
      <c r="L1690" s="0" t="s">
        <v>3454</v>
      </c>
      <c r="N1690" s="0" t="n">
        <v>24</v>
      </c>
      <c r="O1690" s="0" t="n">
        <v>38</v>
      </c>
      <c r="P1690" s="0" t="s">
        <v>2444</v>
      </c>
    </row>
    <row r="1691" customFormat="false" ht="15" hidden="false" customHeight="true" outlineLevel="0" collapsed="false">
      <c r="A1691" s="0" t="n">
        <v>2</v>
      </c>
      <c r="B1691" s="71" t="n">
        <v>46195</v>
      </c>
      <c r="C1691" s="0" t="n">
        <v>1</v>
      </c>
      <c r="D1691" s="0" t="s">
        <v>2442</v>
      </c>
      <c r="E1691" s="0" t="n">
        <v>1643</v>
      </c>
      <c r="F1691" s="0" t="s">
        <v>212</v>
      </c>
      <c r="I1691" s="0" t="n">
        <v>10605</v>
      </c>
      <c r="J1691" s="0" t="n">
        <v>63904</v>
      </c>
      <c r="K1691" s="0" t="n">
        <v>7898928536595</v>
      </c>
      <c r="L1691" s="0" t="s">
        <v>3455</v>
      </c>
      <c r="N1691" s="0" t="n">
        <v>60</v>
      </c>
      <c r="O1691" s="0" t="n">
        <v>95</v>
      </c>
      <c r="P1691" s="0" t="s">
        <v>2444</v>
      </c>
    </row>
    <row r="1692" customFormat="false" ht="15" hidden="false" customHeight="true" outlineLevel="0" collapsed="false">
      <c r="A1692" s="0" t="n">
        <v>2</v>
      </c>
      <c r="B1692" s="71" t="n">
        <v>46195</v>
      </c>
      <c r="C1692" s="0" t="n">
        <v>1</v>
      </c>
      <c r="D1692" s="0" t="s">
        <v>2442</v>
      </c>
      <c r="E1692" s="0" t="n">
        <v>1643</v>
      </c>
      <c r="F1692" s="0" t="s">
        <v>212</v>
      </c>
      <c r="I1692" s="0" t="n">
        <v>10605</v>
      </c>
      <c r="J1692" s="0" t="n">
        <v>64175</v>
      </c>
      <c r="K1692" s="0" t="n">
        <v>7898928536533</v>
      </c>
      <c r="L1692" s="0" t="s">
        <v>3455</v>
      </c>
      <c r="N1692" s="0" t="n">
        <v>60</v>
      </c>
      <c r="O1692" s="0" t="n">
        <v>95</v>
      </c>
      <c r="P1692" s="0" t="s">
        <v>2444</v>
      </c>
    </row>
    <row r="1693" customFormat="false" ht="15" hidden="false" customHeight="true" outlineLevel="0" collapsed="false">
      <c r="A1693" s="0" t="n">
        <v>2</v>
      </c>
      <c r="B1693" s="71" t="n">
        <v>46195</v>
      </c>
      <c r="C1693" s="0" t="n">
        <v>1</v>
      </c>
      <c r="D1693" s="0" t="s">
        <v>2442</v>
      </c>
      <c r="E1693" s="0" t="n">
        <v>1631</v>
      </c>
      <c r="F1693" s="0" t="s">
        <v>299</v>
      </c>
      <c r="I1693" s="0" t="n">
        <v>15043</v>
      </c>
      <c r="J1693" s="0" t="n">
        <v>108539</v>
      </c>
      <c r="K1693" s="0" t="n">
        <v>7898185800170</v>
      </c>
      <c r="L1693" s="0" t="s">
        <v>2451</v>
      </c>
      <c r="N1693" s="0" t="n">
        <v>5</v>
      </c>
      <c r="O1693" s="0" t="n">
        <v>20.67</v>
      </c>
      <c r="P1693" s="0" t="s">
        <v>2444</v>
      </c>
    </row>
    <row r="1694" customFormat="false" ht="15" hidden="false" customHeight="true" outlineLevel="0" collapsed="false">
      <c r="A1694" s="0" t="n">
        <v>2</v>
      </c>
      <c r="B1694" s="71" t="n">
        <v>46195</v>
      </c>
      <c r="C1694" s="0" t="n">
        <v>1</v>
      </c>
      <c r="D1694" s="0" t="s">
        <v>2442</v>
      </c>
      <c r="E1694" s="0" t="n">
        <v>1631</v>
      </c>
      <c r="F1694" s="0" t="s">
        <v>299</v>
      </c>
      <c r="I1694" s="0" t="n">
        <v>15043</v>
      </c>
      <c r="J1694" s="0" t="n">
        <v>108570</v>
      </c>
      <c r="K1694" s="0" t="n">
        <v>7898185800255</v>
      </c>
      <c r="L1694" s="0" t="s">
        <v>2452</v>
      </c>
      <c r="N1694" s="0" t="n">
        <v>20</v>
      </c>
      <c r="O1694" s="0" t="n">
        <v>37.59</v>
      </c>
      <c r="P1694" s="0" t="s">
        <v>2444</v>
      </c>
    </row>
    <row r="1695" customFormat="false" ht="15" hidden="false" customHeight="true" outlineLevel="0" collapsed="false">
      <c r="A1695" s="0" t="n">
        <v>2</v>
      </c>
      <c r="B1695" s="71" t="n">
        <v>46195</v>
      </c>
      <c r="C1695" s="0" t="n">
        <v>1</v>
      </c>
      <c r="D1695" s="0" t="s">
        <v>2442</v>
      </c>
      <c r="E1695" s="0" t="n">
        <v>1631</v>
      </c>
      <c r="F1695" s="0" t="s">
        <v>299</v>
      </c>
      <c r="I1695" s="0" t="n">
        <v>15043</v>
      </c>
      <c r="J1695" s="0" t="n">
        <v>14393</v>
      </c>
      <c r="K1695" s="0" t="n">
        <v>7898185800125</v>
      </c>
      <c r="L1695" s="0" t="s">
        <v>2453</v>
      </c>
      <c r="N1695" s="0" t="n">
        <v>10</v>
      </c>
      <c r="O1695" s="0" t="n">
        <v>41.35</v>
      </c>
      <c r="P1695" s="0" t="s">
        <v>2444</v>
      </c>
    </row>
    <row r="1696" customFormat="false" ht="15" hidden="false" customHeight="true" outlineLevel="0" collapsed="false">
      <c r="A1696" s="0" t="n">
        <v>2</v>
      </c>
      <c r="B1696" s="71" t="n">
        <v>46195</v>
      </c>
      <c r="C1696" s="0" t="n">
        <v>1</v>
      </c>
      <c r="D1696" s="0" t="s">
        <v>2442</v>
      </c>
      <c r="E1696" s="0" t="n">
        <v>1631</v>
      </c>
      <c r="F1696" s="0" t="s">
        <v>299</v>
      </c>
      <c r="I1696" s="0" t="n">
        <v>15043</v>
      </c>
      <c r="J1696" s="0" t="n">
        <v>19882</v>
      </c>
      <c r="K1696" s="0" t="n">
        <v>7898185800156</v>
      </c>
      <c r="L1696" s="0" t="s">
        <v>2454</v>
      </c>
      <c r="N1696" s="0" t="n">
        <v>4</v>
      </c>
      <c r="O1696" s="0" t="n">
        <v>16.54</v>
      </c>
      <c r="P1696" s="0" t="s">
        <v>2444</v>
      </c>
    </row>
    <row r="1697" customFormat="false" ht="15" hidden="false" customHeight="true" outlineLevel="0" collapsed="false">
      <c r="A1697" s="0" t="n">
        <v>2</v>
      </c>
      <c r="B1697" s="71" t="n">
        <v>46195</v>
      </c>
      <c r="C1697" s="0" t="n">
        <v>1</v>
      </c>
      <c r="D1697" s="0" t="s">
        <v>2442</v>
      </c>
      <c r="E1697" s="0" t="n">
        <v>1631</v>
      </c>
      <c r="F1697" s="0" t="s">
        <v>299</v>
      </c>
      <c r="I1697" s="0" t="n">
        <v>15043</v>
      </c>
      <c r="J1697" s="0" t="n">
        <v>24098</v>
      </c>
      <c r="K1697" s="0" t="n">
        <v>7898185800385</v>
      </c>
      <c r="L1697" s="0" t="s">
        <v>2455</v>
      </c>
      <c r="N1697" s="0" t="n">
        <v>20</v>
      </c>
      <c r="O1697" s="0" t="n">
        <v>75.18</v>
      </c>
      <c r="P1697" s="0" t="s">
        <v>2444</v>
      </c>
    </row>
    <row r="1698" customFormat="false" ht="15" hidden="false" customHeight="true" outlineLevel="0" collapsed="false">
      <c r="A1698" s="0" t="n">
        <v>2</v>
      </c>
      <c r="B1698" s="71" t="n">
        <v>46195</v>
      </c>
      <c r="C1698" s="0" t="n">
        <v>1</v>
      </c>
      <c r="D1698" s="0" t="s">
        <v>2442</v>
      </c>
      <c r="E1698" s="0" t="n">
        <v>1631</v>
      </c>
      <c r="F1698" s="0" t="s">
        <v>299</v>
      </c>
      <c r="I1698" s="0" t="n">
        <v>15043</v>
      </c>
      <c r="J1698" s="0" t="n">
        <v>25555</v>
      </c>
      <c r="K1698" s="0" t="n">
        <v>7898185800200</v>
      </c>
      <c r="L1698" s="0" t="s">
        <v>2456</v>
      </c>
      <c r="N1698" s="0" t="n">
        <v>5</v>
      </c>
      <c r="O1698" s="0" t="n">
        <v>41.35</v>
      </c>
      <c r="P1698" s="0" t="s">
        <v>2444</v>
      </c>
    </row>
    <row r="1699" customFormat="false" ht="15" hidden="false" customHeight="true" outlineLevel="0" collapsed="false">
      <c r="A1699" s="0" t="n">
        <v>2</v>
      </c>
      <c r="B1699" s="71" t="n">
        <v>46195</v>
      </c>
      <c r="C1699" s="0" t="n">
        <v>1</v>
      </c>
      <c r="D1699" s="0" t="s">
        <v>2442</v>
      </c>
      <c r="E1699" s="0" t="n">
        <v>1631</v>
      </c>
      <c r="F1699" s="0" t="s">
        <v>299</v>
      </c>
      <c r="I1699" s="0" t="n">
        <v>15043</v>
      </c>
      <c r="J1699" s="0" t="n">
        <v>26574</v>
      </c>
      <c r="K1699" s="0" t="n">
        <v>7898185800217</v>
      </c>
      <c r="L1699" s="0" t="s">
        <v>2458</v>
      </c>
      <c r="N1699" s="0" t="n">
        <v>5</v>
      </c>
      <c r="O1699" s="0" t="n">
        <v>41.35</v>
      </c>
      <c r="P1699" s="0" t="s">
        <v>2444</v>
      </c>
    </row>
    <row r="1700" customFormat="false" ht="15" hidden="false" customHeight="true" outlineLevel="0" collapsed="false">
      <c r="A1700" s="0" t="n">
        <v>2</v>
      </c>
      <c r="B1700" s="71" t="n">
        <v>46195</v>
      </c>
      <c r="C1700" s="0" t="n">
        <v>1</v>
      </c>
      <c r="D1700" s="0" t="s">
        <v>2442</v>
      </c>
      <c r="E1700" s="0" t="n">
        <v>1631</v>
      </c>
      <c r="F1700" s="0" t="s">
        <v>299</v>
      </c>
      <c r="I1700" s="0" t="n">
        <v>15043</v>
      </c>
      <c r="J1700" s="0" t="n">
        <v>41356</v>
      </c>
      <c r="K1700" s="0" t="n">
        <v>7898185800163</v>
      </c>
      <c r="L1700" s="0" t="s">
        <v>2460</v>
      </c>
      <c r="N1700" s="0" t="n">
        <v>3</v>
      </c>
      <c r="O1700" s="0" t="n">
        <v>12.4</v>
      </c>
      <c r="P1700" s="0" t="s">
        <v>2444</v>
      </c>
    </row>
    <row r="1701" customFormat="false" ht="15" hidden="false" customHeight="true" outlineLevel="0" collapsed="false">
      <c r="A1701" s="0" t="n">
        <v>2</v>
      </c>
      <c r="B1701" s="71" t="n">
        <v>46195</v>
      </c>
      <c r="C1701" s="0" t="n">
        <v>1</v>
      </c>
      <c r="D1701" s="0" t="s">
        <v>2442</v>
      </c>
      <c r="E1701" s="0" t="n">
        <v>1631</v>
      </c>
      <c r="F1701" s="0" t="s">
        <v>299</v>
      </c>
      <c r="I1701" s="0" t="n">
        <v>15043</v>
      </c>
      <c r="J1701" s="0" t="n">
        <v>41359</v>
      </c>
      <c r="K1701" s="0" t="n">
        <v>7898185800132</v>
      </c>
      <c r="L1701" s="0" t="s">
        <v>2461</v>
      </c>
      <c r="N1701" s="0" t="n">
        <v>3</v>
      </c>
      <c r="O1701" s="0" t="n">
        <v>12.4</v>
      </c>
      <c r="P1701" s="0" t="s">
        <v>2444</v>
      </c>
    </row>
    <row r="1702" customFormat="false" ht="15" hidden="false" customHeight="true" outlineLevel="0" collapsed="false">
      <c r="A1702" s="0" t="n">
        <v>2</v>
      </c>
      <c r="B1702" s="71" t="n">
        <v>46195</v>
      </c>
      <c r="C1702" s="0" t="n">
        <v>1</v>
      </c>
      <c r="D1702" s="0" t="s">
        <v>2442</v>
      </c>
      <c r="E1702" s="0" t="n">
        <v>1695</v>
      </c>
      <c r="F1702" s="0" t="s">
        <v>390</v>
      </c>
      <c r="I1702" s="0" t="n">
        <v>18762</v>
      </c>
      <c r="J1702" s="0" t="n">
        <v>100820</v>
      </c>
      <c r="K1702" s="0" t="n">
        <v>7896013100386</v>
      </c>
      <c r="L1702" s="0" t="s">
        <v>3456</v>
      </c>
      <c r="N1702" s="0" t="n">
        <v>60</v>
      </c>
      <c r="O1702" s="0" t="n">
        <v>148.2</v>
      </c>
      <c r="P1702" s="0" t="s">
        <v>2444</v>
      </c>
    </row>
    <row r="1703" customFormat="false" ht="15" hidden="false" customHeight="true" outlineLevel="0" collapsed="false">
      <c r="A1703" s="0" t="n">
        <v>2</v>
      </c>
      <c r="B1703" s="71" t="n">
        <v>46195</v>
      </c>
      <c r="C1703" s="0" t="n">
        <v>1</v>
      </c>
      <c r="D1703" s="0" t="s">
        <v>2442</v>
      </c>
      <c r="E1703" s="0" t="n">
        <v>1695</v>
      </c>
      <c r="F1703" s="0" t="s">
        <v>390</v>
      </c>
      <c r="I1703" s="0" t="n">
        <v>18762</v>
      </c>
      <c r="J1703" s="0" t="n">
        <v>102287</v>
      </c>
      <c r="K1703" s="0" t="n">
        <v>7896593500026</v>
      </c>
      <c r="L1703" s="0" t="s">
        <v>3457</v>
      </c>
      <c r="N1703" s="0" t="n">
        <v>30</v>
      </c>
      <c r="O1703" s="0" t="n">
        <v>129.6</v>
      </c>
      <c r="P1703" s="0" t="s">
        <v>2444</v>
      </c>
    </row>
    <row r="1704" customFormat="false" ht="15" hidden="false" customHeight="true" outlineLevel="0" collapsed="false">
      <c r="A1704" s="0" t="n">
        <v>2</v>
      </c>
      <c r="B1704" s="71" t="n">
        <v>46195</v>
      </c>
      <c r="C1704" s="0" t="n">
        <v>1</v>
      </c>
      <c r="D1704" s="0" t="s">
        <v>2442</v>
      </c>
      <c r="E1704" s="0" t="n">
        <v>1695</v>
      </c>
      <c r="F1704" s="0" t="s">
        <v>390</v>
      </c>
      <c r="I1704" s="0" t="n">
        <v>18762</v>
      </c>
      <c r="J1704" s="0" t="n">
        <v>102290</v>
      </c>
      <c r="K1704" s="0" t="n">
        <v>7896593500019</v>
      </c>
      <c r="L1704" s="0" t="s">
        <v>2769</v>
      </c>
      <c r="N1704" s="0" t="n">
        <v>30</v>
      </c>
      <c r="O1704" s="0" t="n">
        <v>126.6</v>
      </c>
      <c r="P1704" s="0" t="s">
        <v>2444</v>
      </c>
    </row>
    <row r="1705" customFormat="false" ht="15" hidden="false" customHeight="true" outlineLevel="0" collapsed="false">
      <c r="A1705" s="0" t="n">
        <v>2</v>
      </c>
      <c r="B1705" s="71" t="n">
        <v>46195</v>
      </c>
      <c r="C1705" s="0" t="n">
        <v>1</v>
      </c>
      <c r="D1705" s="0" t="s">
        <v>2442</v>
      </c>
      <c r="E1705" s="0" t="n">
        <v>1695</v>
      </c>
      <c r="F1705" s="0" t="s">
        <v>390</v>
      </c>
      <c r="I1705" s="0" t="n">
        <v>18762</v>
      </c>
      <c r="J1705" s="0" t="n">
        <v>12855</v>
      </c>
      <c r="K1705" s="0" t="n">
        <v>7898910758127</v>
      </c>
      <c r="L1705" s="0" t="s">
        <v>3458</v>
      </c>
      <c r="N1705" s="0" t="n">
        <v>30</v>
      </c>
      <c r="O1705" s="0" t="n">
        <v>136.2</v>
      </c>
      <c r="P1705" s="0" t="s">
        <v>2444</v>
      </c>
    </row>
    <row r="1706" customFormat="false" ht="15" hidden="false" customHeight="true" outlineLevel="0" collapsed="false">
      <c r="A1706" s="0" t="n">
        <v>2</v>
      </c>
      <c r="B1706" s="71" t="n">
        <v>46195</v>
      </c>
      <c r="C1706" s="0" t="n">
        <v>1</v>
      </c>
      <c r="D1706" s="0" t="s">
        <v>2442</v>
      </c>
      <c r="E1706" s="0" t="n">
        <v>1695</v>
      </c>
      <c r="F1706" s="0" t="s">
        <v>390</v>
      </c>
      <c r="I1706" s="0" t="n">
        <v>18762</v>
      </c>
      <c r="J1706" s="0" t="n">
        <v>13912</v>
      </c>
      <c r="K1706" s="0" t="n">
        <v>7898910758189</v>
      </c>
      <c r="L1706" s="0" t="s">
        <v>3459</v>
      </c>
      <c r="N1706" s="0" t="n">
        <v>18</v>
      </c>
      <c r="O1706" s="0" t="n">
        <v>75.24</v>
      </c>
      <c r="P1706" s="0" t="s">
        <v>2444</v>
      </c>
    </row>
    <row r="1707" customFormat="false" ht="15" hidden="false" customHeight="true" outlineLevel="0" collapsed="false">
      <c r="A1707" s="0" t="n">
        <v>2</v>
      </c>
      <c r="B1707" s="71" t="n">
        <v>46195</v>
      </c>
      <c r="C1707" s="0" t="n">
        <v>1</v>
      </c>
      <c r="D1707" s="0" t="s">
        <v>2442</v>
      </c>
      <c r="E1707" s="0" t="n">
        <v>1695</v>
      </c>
      <c r="F1707" s="0" t="s">
        <v>390</v>
      </c>
      <c r="I1707" s="0" t="n">
        <v>18762</v>
      </c>
      <c r="J1707" s="0" t="n">
        <v>14128</v>
      </c>
      <c r="K1707" s="0" t="n">
        <v>7898080640611</v>
      </c>
      <c r="L1707" s="0" t="s">
        <v>3460</v>
      </c>
      <c r="N1707" s="0" t="n">
        <v>60</v>
      </c>
      <c r="O1707" s="0" t="n">
        <v>410.4</v>
      </c>
      <c r="P1707" s="0" t="s">
        <v>2444</v>
      </c>
    </row>
    <row r="1708" customFormat="false" ht="15" hidden="false" customHeight="true" outlineLevel="0" collapsed="false">
      <c r="A1708" s="0" t="n">
        <v>2</v>
      </c>
      <c r="B1708" s="71" t="n">
        <v>46195</v>
      </c>
      <c r="C1708" s="0" t="n">
        <v>1</v>
      </c>
      <c r="D1708" s="0" t="s">
        <v>2442</v>
      </c>
      <c r="E1708" s="0" t="n">
        <v>1695</v>
      </c>
      <c r="F1708" s="0" t="s">
        <v>390</v>
      </c>
      <c r="I1708" s="0" t="n">
        <v>18762</v>
      </c>
      <c r="J1708" s="0" t="n">
        <v>15013</v>
      </c>
      <c r="K1708" s="0" t="n">
        <v>7897395040307</v>
      </c>
      <c r="L1708" s="0" t="s">
        <v>2772</v>
      </c>
      <c r="N1708" s="0" t="n">
        <v>300</v>
      </c>
      <c r="O1708" s="0" t="n">
        <v>714</v>
      </c>
      <c r="P1708" s="0" t="s">
        <v>2444</v>
      </c>
    </row>
    <row r="1709" customFormat="false" ht="15" hidden="false" customHeight="true" outlineLevel="0" collapsed="false">
      <c r="A1709" s="0" t="n">
        <v>2</v>
      </c>
      <c r="B1709" s="71" t="n">
        <v>46195</v>
      </c>
      <c r="C1709" s="0" t="n">
        <v>1</v>
      </c>
      <c r="D1709" s="0" t="s">
        <v>2442</v>
      </c>
      <c r="E1709" s="0" t="n">
        <v>1695</v>
      </c>
      <c r="F1709" s="0" t="s">
        <v>390</v>
      </c>
      <c r="I1709" s="0" t="n">
        <v>18762</v>
      </c>
      <c r="J1709" s="0" t="n">
        <v>22930</v>
      </c>
      <c r="K1709" s="0" t="n">
        <v>7898910758516</v>
      </c>
      <c r="L1709" s="0" t="s">
        <v>3461</v>
      </c>
      <c r="N1709" s="0" t="n">
        <v>30</v>
      </c>
      <c r="O1709" s="0" t="n">
        <v>136.2</v>
      </c>
      <c r="P1709" s="0" t="s">
        <v>2444</v>
      </c>
    </row>
    <row r="1710" customFormat="false" ht="15" hidden="false" customHeight="true" outlineLevel="0" collapsed="false">
      <c r="A1710" s="0" t="n">
        <v>2</v>
      </c>
      <c r="B1710" s="71" t="n">
        <v>46195</v>
      </c>
      <c r="C1710" s="0" t="n">
        <v>1</v>
      </c>
      <c r="D1710" s="0" t="s">
        <v>2442</v>
      </c>
      <c r="E1710" s="0" t="n">
        <v>1695</v>
      </c>
      <c r="F1710" s="0" t="s">
        <v>390</v>
      </c>
      <c r="I1710" s="0" t="n">
        <v>18762</v>
      </c>
      <c r="J1710" s="0" t="n">
        <v>24651</v>
      </c>
      <c r="K1710" s="0" t="n">
        <v>78936683</v>
      </c>
      <c r="L1710" s="0" t="s">
        <v>3462</v>
      </c>
      <c r="N1710" s="0" t="n">
        <v>120</v>
      </c>
      <c r="O1710" s="0" t="n">
        <v>700.8</v>
      </c>
      <c r="P1710" s="0" t="s">
        <v>2444</v>
      </c>
    </row>
    <row r="1711" customFormat="false" ht="15" hidden="false" customHeight="true" outlineLevel="0" collapsed="false">
      <c r="A1711" s="0" t="n">
        <v>2</v>
      </c>
      <c r="B1711" s="71" t="n">
        <v>46195</v>
      </c>
      <c r="C1711" s="0" t="n">
        <v>1</v>
      </c>
      <c r="D1711" s="0" t="s">
        <v>2442</v>
      </c>
      <c r="E1711" s="0" t="n">
        <v>1695</v>
      </c>
      <c r="F1711" s="0" t="s">
        <v>390</v>
      </c>
      <c r="I1711" s="0" t="n">
        <v>18762</v>
      </c>
      <c r="J1711" s="0" t="n">
        <v>27241</v>
      </c>
      <c r="K1711" s="0" t="n">
        <v>7898910758639</v>
      </c>
      <c r="L1711" s="0" t="s">
        <v>3463</v>
      </c>
      <c r="N1711" s="0" t="n">
        <v>60</v>
      </c>
      <c r="O1711" s="0" t="n">
        <v>559.2</v>
      </c>
      <c r="P1711" s="0" t="s">
        <v>2444</v>
      </c>
    </row>
    <row r="1712" customFormat="false" ht="15" hidden="false" customHeight="true" outlineLevel="0" collapsed="false">
      <c r="A1712" s="0" t="n">
        <v>2</v>
      </c>
      <c r="B1712" s="71" t="n">
        <v>46195</v>
      </c>
      <c r="C1712" s="0" t="n">
        <v>1</v>
      </c>
      <c r="D1712" s="0" t="s">
        <v>2442</v>
      </c>
      <c r="E1712" s="0" t="n">
        <v>1695</v>
      </c>
      <c r="F1712" s="0" t="s">
        <v>390</v>
      </c>
      <c r="I1712" s="0" t="n">
        <v>18762</v>
      </c>
      <c r="J1712" s="0" t="n">
        <v>27242</v>
      </c>
      <c r="K1712" s="0" t="n">
        <v>7898910758622</v>
      </c>
      <c r="L1712" s="0" t="s">
        <v>3464</v>
      </c>
      <c r="N1712" s="0" t="n">
        <v>60</v>
      </c>
      <c r="O1712" s="0" t="n">
        <v>559.2</v>
      </c>
      <c r="P1712" s="0" t="s">
        <v>2444</v>
      </c>
    </row>
    <row r="1713" customFormat="false" ht="15" hidden="false" customHeight="true" outlineLevel="0" collapsed="false">
      <c r="A1713" s="0" t="n">
        <v>2</v>
      </c>
      <c r="B1713" s="71" t="n">
        <v>46195</v>
      </c>
      <c r="C1713" s="0" t="n">
        <v>1</v>
      </c>
      <c r="D1713" s="0" t="s">
        <v>2442</v>
      </c>
      <c r="E1713" s="0" t="n">
        <v>1695</v>
      </c>
      <c r="F1713" s="0" t="s">
        <v>390</v>
      </c>
      <c r="I1713" s="0" t="n">
        <v>18762</v>
      </c>
      <c r="J1713" s="0" t="n">
        <v>62242</v>
      </c>
      <c r="K1713" s="0" t="n">
        <v>7891000379585</v>
      </c>
      <c r="L1713" s="0" t="s">
        <v>3465</v>
      </c>
      <c r="N1713" s="0" t="n">
        <v>48</v>
      </c>
      <c r="O1713" s="0" t="n">
        <v>289.92</v>
      </c>
      <c r="P1713" s="0" t="s">
        <v>2444</v>
      </c>
    </row>
    <row r="1714" customFormat="false" ht="15" hidden="false" customHeight="true" outlineLevel="0" collapsed="false">
      <c r="A1714" s="0" t="n">
        <v>2</v>
      </c>
      <c r="B1714" s="71" t="n">
        <v>46195</v>
      </c>
      <c r="C1714" s="0" t="n">
        <v>1</v>
      </c>
      <c r="D1714" s="0" t="s">
        <v>2442</v>
      </c>
      <c r="E1714" s="0" t="n">
        <v>1695</v>
      </c>
      <c r="F1714" s="0" t="s">
        <v>390</v>
      </c>
      <c r="I1714" s="0" t="n">
        <v>18762</v>
      </c>
      <c r="J1714" s="0" t="n">
        <v>70942</v>
      </c>
      <c r="K1714" s="0" t="n">
        <v>7891000412855</v>
      </c>
      <c r="L1714" s="0" t="s">
        <v>3466</v>
      </c>
      <c r="N1714" s="0" t="n">
        <v>36</v>
      </c>
      <c r="O1714" s="0" t="n">
        <v>315.36</v>
      </c>
      <c r="P1714" s="0" t="s">
        <v>2444</v>
      </c>
    </row>
    <row r="1715" customFormat="false" ht="15" hidden="false" customHeight="true" outlineLevel="0" collapsed="false">
      <c r="A1715" s="0" t="n">
        <v>2</v>
      </c>
      <c r="B1715" s="71" t="n">
        <v>46195</v>
      </c>
      <c r="C1715" s="0" t="n">
        <v>1</v>
      </c>
      <c r="D1715" s="0" t="s">
        <v>2442</v>
      </c>
      <c r="E1715" s="0" t="n">
        <v>754</v>
      </c>
      <c r="F1715" s="0" t="s">
        <v>162</v>
      </c>
      <c r="I1715" s="0" t="n">
        <v>31246</v>
      </c>
      <c r="J1715" s="0" t="n">
        <v>110184</v>
      </c>
      <c r="K1715" s="0" t="n">
        <v>37393</v>
      </c>
      <c r="L1715" s="0" t="s">
        <v>3467</v>
      </c>
      <c r="N1715" s="0" t="n">
        <v>100</v>
      </c>
      <c r="O1715" s="0" t="n">
        <v>920</v>
      </c>
      <c r="P1715" s="0" t="s">
        <v>2444</v>
      </c>
    </row>
    <row r="1716" customFormat="false" ht="15" hidden="false" customHeight="true" outlineLevel="0" collapsed="false">
      <c r="A1716" s="0" t="n">
        <v>2</v>
      </c>
      <c r="B1716" s="71" t="n">
        <v>46195</v>
      </c>
      <c r="C1716" s="0" t="n">
        <v>1</v>
      </c>
      <c r="D1716" s="0" t="s">
        <v>2442</v>
      </c>
      <c r="E1716" s="0" t="n">
        <v>754</v>
      </c>
      <c r="F1716" s="0" t="s">
        <v>162</v>
      </c>
      <c r="I1716" s="0" t="n">
        <v>31247</v>
      </c>
      <c r="J1716" s="0" t="n">
        <v>29080</v>
      </c>
      <c r="K1716" s="0" t="n">
        <v>55516</v>
      </c>
      <c r="L1716" s="0" t="s">
        <v>2450</v>
      </c>
      <c r="N1716" s="0" t="n">
        <v>66.9</v>
      </c>
      <c r="O1716" s="0" t="n">
        <v>1538.7</v>
      </c>
      <c r="P1716" s="0" t="s">
        <v>2444</v>
      </c>
    </row>
    <row r="1717" customFormat="false" ht="15" hidden="false" customHeight="true" outlineLevel="0" collapsed="false">
      <c r="A1717" s="0" t="n">
        <v>2</v>
      </c>
      <c r="B1717" s="71" t="n">
        <v>46195</v>
      </c>
      <c r="C1717" s="0" t="n">
        <v>1</v>
      </c>
      <c r="D1717" s="0" t="s">
        <v>2442</v>
      </c>
      <c r="E1717" s="0" t="n">
        <v>1720</v>
      </c>
      <c r="F1717" s="0" t="s">
        <v>842</v>
      </c>
      <c r="I1717" s="0" t="n">
        <v>47502</v>
      </c>
      <c r="J1717" s="0" t="n">
        <v>101473</v>
      </c>
      <c r="K1717" s="0" t="n">
        <v>7897277300017</v>
      </c>
      <c r="L1717" s="0" t="s">
        <v>3468</v>
      </c>
      <c r="N1717" s="0" t="n">
        <v>24</v>
      </c>
      <c r="O1717" s="0" t="n">
        <v>88</v>
      </c>
      <c r="P1717" s="0" t="s">
        <v>2444</v>
      </c>
    </row>
    <row r="1718" customFormat="false" ht="15" hidden="false" customHeight="true" outlineLevel="0" collapsed="false">
      <c r="A1718" s="0" t="n">
        <v>2</v>
      </c>
      <c r="B1718" s="71" t="n">
        <v>46195</v>
      </c>
      <c r="C1718" s="0" t="n">
        <v>1</v>
      </c>
      <c r="D1718" s="0" t="s">
        <v>2442</v>
      </c>
      <c r="E1718" s="0" t="n">
        <v>1720</v>
      </c>
      <c r="F1718" s="0" t="s">
        <v>842</v>
      </c>
      <c r="I1718" s="0" t="n">
        <v>47502</v>
      </c>
      <c r="J1718" s="0" t="n">
        <v>101474</v>
      </c>
      <c r="K1718" s="0" t="n">
        <v>7897277300048</v>
      </c>
      <c r="L1718" s="0" t="s">
        <v>3469</v>
      </c>
      <c r="N1718" s="0" t="n">
        <v>12</v>
      </c>
      <c r="O1718" s="0" t="n">
        <v>88</v>
      </c>
      <c r="P1718" s="0" t="s">
        <v>2444</v>
      </c>
    </row>
    <row r="1719" customFormat="false" ht="15" hidden="false" customHeight="true" outlineLevel="0" collapsed="false">
      <c r="A1719" s="0" t="n">
        <v>2</v>
      </c>
      <c r="B1719" s="71" t="n">
        <v>46195</v>
      </c>
      <c r="C1719" s="0" t="n">
        <v>1</v>
      </c>
      <c r="D1719" s="0" t="s">
        <v>2442</v>
      </c>
      <c r="E1719" s="0" t="n">
        <v>1720</v>
      </c>
      <c r="F1719" s="0" t="s">
        <v>842</v>
      </c>
      <c r="I1719" s="0" t="n">
        <v>47502</v>
      </c>
      <c r="J1719" s="0" t="n">
        <v>105167</v>
      </c>
      <c r="K1719" s="0" t="n">
        <v>7897277300390</v>
      </c>
      <c r="L1719" s="0" t="s">
        <v>3470</v>
      </c>
      <c r="N1719" s="0" t="n">
        <v>24</v>
      </c>
      <c r="O1719" s="0" t="n">
        <v>83</v>
      </c>
      <c r="P1719" s="0" t="s">
        <v>2444</v>
      </c>
    </row>
    <row r="1720" customFormat="false" ht="15" hidden="false" customHeight="true" outlineLevel="0" collapsed="false">
      <c r="A1720" s="0" t="n">
        <v>2</v>
      </c>
      <c r="B1720" s="71" t="n">
        <v>46195</v>
      </c>
      <c r="C1720" s="0" t="n">
        <v>1</v>
      </c>
      <c r="D1720" s="0" t="s">
        <v>2442</v>
      </c>
      <c r="E1720" s="0" t="n">
        <v>1720</v>
      </c>
      <c r="F1720" s="0" t="s">
        <v>842</v>
      </c>
      <c r="I1720" s="0" t="n">
        <v>47502</v>
      </c>
      <c r="J1720" s="0" t="n">
        <v>108038</v>
      </c>
      <c r="K1720" s="0" t="n">
        <v>7897277300123</v>
      </c>
      <c r="L1720" s="0" t="s">
        <v>3471</v>
      </c>
      <c r="N1720" s="0" t="n">
        <v>24</v>
      </c>
      <c r="O1720" s="0" t="n">
        <v>79.5</v>
      </c>
      <c r="P1720" s="0" t="s">
        <v>2444</v>
      </c>
    </row>
    <row r="1721" customFormat="false" ht="15" hidden="false" customHeight="true" outlineLevel="0" collapsed="false">
      <c r="A1721" s="0" t="n">
        <v>2</v>
      </c>
      <c r="B1721" s="71" t="n">
        <v>46195</v>
      </c>
      <c r="C1721" s="0" t="n">
        <v>1</v>
      </c>
      <c r="D1721" s="0" t="s">
        <v>2442</v>
      </c>
      <c r="E1721" s="0" t="n">
        <v>1720</v>
      </c>
      <c r="F1721" s="0" t="s">
        <v>842</v>
      </c>
      <c r="I1721" s="0" t="n">
        <v>47502</v>
      </c>
      <c r="J1721" s="0" t="n">
        <v>21553</v>
      </c>
      <c r="K1721" s="0" t="n">
        <v>7897277300970</v>
      </c>
      <c r="L1721" s="0" t="s">
        <v>3472</v>
      </c>
      <c r="N1721" s="0" t="n">
        <v>12</v>
      </c>
      <c r="O1721" s="0" t="n">
        <v>89</v>
      </c>
      <c r="P1721" s="0" t="s">
        <v>2444</v>
      </c>
    </row>
    <row r="1722" customFormat="false" ht="15" hidden="false" customHeight="true" outlineLevel="0" collapsed="false">
      <c r="A1722" s="0" t="n">
        <v>2</v>
      </c>
      <c r="B1722" s="71" t="n">
        <v>46195</v>
      </c>
      <c r="C1722" s="0" t="n">
        <v>1</v>
      </c>
      <c r="D1722" s="0" t="s">
        <v>2442</v>
      </c>
      <c r="E1722" s="0" t="n">
        <v>1720</v>
      </c>
      <c r="F1722" s="0" t="s">
        <v>842</v>
      </c>
      <c r="I1722" s="0" t="n">
        <v>47502</v>
      </c>
      <c r="J1722" s="0" t="n">
        <v>55688</v>
      </c>
      <c r="K1722" s="0" t="n">
        <v>7897277300949</v>
      </c>
      <c r="L1722" s="0" t="s">
        <v>3473</v>
      </c>
      <c r="N1722" s="0" t="n">
        <v>12</v>
      </c>
      <c r="O1722" s="0" t="n">
        <v>88</v>
      </c>
      <c r="P1722" s="0" t="s">
        <v>2444</v>
      </c>
    </row>
    <row r="1723" customFormat="false" ht="15" hidden="false" customHeight="true" outlineLevel="0" collapsed="false">
      <c r="A1723" s="0" t="n">
        <v>2</v>
      </c>
      <c r="B1723" s="71" t="n">
        <v>46195</v>
      </c>
      <c r="C1723" s="0" t="n">
        <v>1</v>
      </c>
      <c r="D1723" s="0" t="s">
        <v>2442</v>
      </c>
      <c r="E1723" s="0" t="n">
        <v>1720</v>
      </c>
      <c r="F1723" s="0" t="s">
        <v>842</v>
      </c>
      <c r="I1723" s="0" t="n">
        <v>47502</v>
      </c>
      <c r="J1723" s="0" t="n">
        <v>55703</v>
      </c>
      <c r="K1723" s="0" t="n">
        <v>7897277300024</v>
      </c>
      <c r="L1723" s="0" t="s">
        <v>3474</v>
      </c>
      <c r="N1723" s="0" t="n">
        <v>12</v>
      </c>
      <c r="O1723" s="0" t="n">
        <v>88</v>
      </c>
      <c r="P1723" s="0" t="s">
        <v>2444</v>
      </c>
    </row>
    <row r="1724" customFormat="false" ht="15" hidden="false" customHeight="true" outlineLevel="0" collapsed="false">
      <c r="A1724" s="0" t="n">
        <v>2</v>
      </c>
      <c r="B1724" s="71" t="n">
        <v>46195</v>
      </c>
      <c r="C1724" s="0" t="n">
        <v>1</v>
      </c>
      <c r="D1724" s="0" t="s">
        <v>2442</v>
      </c>
      <c r="E1724" s="0" t="n">
        <v>1678</v>
      </c>
      <c r="F1724" s="0" t="s">
        <v>840</v>
      </c>
      <c r="I1724" s="0" t="n">
        <v>161137</v>
      </c>
      <c r="J1724" s="0" t="n">
        <v>100826</v>
      </c>
      <c r="K1724" s="0" t="n">
        <v>7897057810057</v>
      </c>
      <c r="L1724" s="0" t="s">
        <v>3475</v>
      </c>
      <c r="N1724" s="0" t="n">
        <v>24</v>
      </c>
      <c r="O1724" s="0" t="n">
        <v>63</v>
      </c>
      <c r="P1724" s="0" t="s">
        <v>2444</v>
      </c>
    </row>
    <row r="1725" customFormat="false" ht="15" hidden="false" customHeight="true" outlineLevel="0" collapsed="false">
      <c r="A1725" s="0" t="n">
        <v>2</v>
      </c>
      <c r="B1725" s="71" t="n">
        <v>46195</v>
      </c>
      <c r="C1725" s="0" t="n">
        <v>1</v>
      </c>
      <c r="D1725" s="0" t="s">
        <v>2442</v>
      </c>
      <c r="E1725" s="0" t="n">
        <v>1678</v>
      </c>
      <c r="F1725" s="0" t="s">
        <v>840</v>
      </c>
      <c r="I1725" s="0" t="n">
        <v>161137</v>
      </c>
      <c r="J1725" s="0" t="n">
        <v>101366</v>
      </c>
      <c r="K1725" s="0" t="n">
        <v>7896495000051</v>
      </c>
      <c r="L1725" s="0" t="s">
        <v>3476</v>
      </c>
      <c r="N1725" s="0" t="n">
        <v>1</v>
      </c>
      <c r="O1725" s="0" t="n">
        <v>13.5</v>
      </c>
      <c r="P1725" s="0" t="s">
        <v>2444</v>
      </c>
    </row>
    <row r="1726" customFormat="false" ht="15" hidden="false" customHeight="true" outlineLevel="0" collapsed="false">
      <c r="A1726" s="0" t="n">
        <v>2</v>
      </c>
      <c r="B1726" s="71" t="n">
        <v>46195</v>
      </c>
      <c r="C1726" s="0" t="n">
        <v>1</v>
      </c>
      <c r="D1726" s="0" t="s">
        <v>2442</v>
      </c>
      <c r="E1726" s="0" t="n">
        <v>1678</v>
      </c>
      <c r="F1726" s="0" t="s">
        <v>840</v>
      </c>
      <c r="I1726" s="0" t="n">
        <v>161137</v>
      </c>
      <c r="J1726" s="0" t="n">
        <v>101367</v>
      </c>
      <c r="K1726" s="0" t="n">
        <v>7897057800034</v>
      </c>
      <c r="L1726" s="0" t="s">
        <v>3477</v>
      </c>
      <c r="N1726" s="0" t="n">
        <v>12</v>
      </c>
      <c r="O1726" s="0" t="n">
        <v>51</v>
      </c>
      <c r="P1726" s="0" t="s">
        <v>2444</v>
      </c>
    </row>
    <row r="1727" customFormat="false" ht="15" hidden="false" customHeight="true" outlineLevel="0" collapsed="false">
      <c r="A1727" s="0" t="n">
        <v>2</v>
      </c>
      <c r="B1727" s="71" t="n">
        <v>46195</v>
      </c>
      <c r="C1727" s="0" t="n">
        <v>1</v>
      </c>
      <c r="D1727" s="0" t="s">
        <v>2442</v>
      </c>
      <c r="E1727" s="0" t="n">
        <v>1678</v>
      </c>
      <c r="F1727" s="0" t="s">
        <v>840</v>
      </c>
      <c r="I1727" s="0" t="n">
        <v>161137</v>
      </c>
      <c r="J1727" s="0" t="n">
        <v>108091</v>
      </c>
      <c r="K1727" s="0" t="n">
        <v>7896495000303</v>
      </c>
      <c r="L1727" s="0" t="s">
        <v>3478</v>
      </c>
      <c r="N1727" s="0" t="n">
        <v>12</v>
      </c>
      <c r="O1727" s="0" t="n">
        <v>81.5</v>
      </c>
      <c r="P1727" s="0" t="s">
        <v>2444</v>
      </c>
    </row>
    <row r="1728" customFormat="false" ht="15" hidden="false" customHeight="true" outlineLevel="0" collapsed="false">
      <c r="A1728" s="0" t="n">
        <v>2</v>
      </c>
      <c r="B1728" s="71" t="n">
        <v>46195</v>
      </c>
      <c r="C1728" s="0" t="n">
        <v>1</v>
      </c>
      <c r="D1728" s="0" t="s">
        <v>2442</v>
      </c>
      <c r="E1728" s="0" t="n">
        <v>1678</v>
      </c>
      <c r="F1728" s="0" t="s">
        <v>840</v>
      </c>
      <c r="I1728" s="0" t="n">
        <v>161137</v>
      </c>
      <c r="J1728" s="0" t="n">
        <v>15825</v>
      </c>
      <c r="K1728" s="0" t="n">
        <v>7896495001157</v>
      </c>
      <c r="L1728" s="0" t="s">
        <v>3479</v>
      </c>
      <c r="N1728" s="0" t="n">
        <v>1</v>
      </c>
      <c r="O1728" s="0" t="n">
        <v>13.5</v>
      </c>
      <c r="P1728" s="0" t="s">
        <v>2444</v>
      </c>
    </row>
    <row r="1729" customFormat="false" ht="15" hidden="false" customHeight="true" outlineLevel="0" collapsed="false">
      <c r="A1729" s="0" t="n">
        <v>2</v>
      </c>
      <c r="B1729" s="71" t="n">
        <v>46195</v>
      </c>
      <c r="C1729" s="0" t="n">
        <v>1</v>
      </c>
      <c r="D1729" s="0" t="s">
        <v>2442</v>
      </c>
      <c r="E1729" s="0" t="n">
        <v>1678</v>
      </c>
      <c r="F1729" s="0" t="s">
        <v>840</v>
      </c>
      <c r="I1729" s="0" t="n">
        <v>161137</v>
      </c>
      <c r="J1729" s="0" t="n">
        <v>17476</v>
      </c>
      <c r="K1729" s="0" t="n">
        <v>7896021620470</v>
      </c>
      <c r="L1729" s="0" t="s">
        <v>3480</v>
      </c>
      <c r="N1729" s="0" t="n">
        <v>60</v>
      </c>
      <c r="O1729" s="0" t="n">
        <v>130</v>
      </c>
      <c r="P1729" s="0" t="s">
        <v>2444</v>
      </c>
    </row>
    <row r="1730" customFormat="false" ht="15" hidden="false" customHeight="true" outlineLevel="0" collapsed="false">
      <c r="A1730" s="0" t="n">
        <v>2</v>
      </c>
      <c r="B1730" s="71" t="n">
        <v>46195</v>
      </c>
      <c r="C1730" s="0" t="n">
        <v>1</v>
      </c>
      <c r="D1730" s="0" t="s">
        <v>2442</v>
      </c>
      <c r="E1730" s="0" t="n">
        <v>1678</v>
      </c>
      <c r="F1730" s="0" t="s">
        <v>840</v>
      </c>
      <c r="I1730" s="0" t="n">
        <v>161137</v>
      </c>
      <c r="J1730" s="0" t="n">
        <v>24703</v>
      </c>
      <c r="K1730" s="0" t="n">
        <v>7893515611198</v>
      </c>
      <c r="L1730" s="0" t="s">
        <v>3481</v>
      </c>
      <c r="N1730" s="0" t="n">
        <v>12</v>
      </c>
      <c r="O1730" s="0" t="n">
        <v>135</v>
      </c>
      <c r="P1730" s="0" t="s">
        <v>2444</v>
      </c>
    </row>
    <row r="1731" customFormat="false" ht="15" hidden="false" customHeight="true" outlineLevel="0" collapsed="false">
      <c r="A1731" s="0" t="n">
        <v>2</v>
      </c>
      <c r="B1731" s="71" t="n">
        <v>46195</v>
      </c>
      <c r="C1731" s="0" t="n">
        <v>1</v>
      </c>
      <c r="D1731" s="0" t="s">
        <v>2442</v>
      </c>
      <c r="E1731" s="0" t="n">
        <v>1678</v>
      </c>
      <c r="F1731" s="0" t="s">
        <v>840</v>
      </c>
      <c r="I1731" s="0" t="n">
        <v>161137</v>
      </c>
      <c r="J1731" s="0" t="n">
        <v>69938</v>
      </c>
      <c r="K1731" s="0" t="n">
        <v>7898743961251</v>
      </c>
      <c r="L1731" s="0" t="s">
        <v>3482</v>
      </c>
      <c r="N1731" s="0" t="n">
        <v>50</v>
      </c>
      <c r="O1731" s="0" t="n">
        <v>105</v>
      </c>
      <c r="P1731" s="0" t="s">
        <v>2444</v>
      </c>
    </row>
    <row r="1732" customFormat="false" ht="15" hidden="false" customHeight="true" outlineLevel="0" collapsed="false">
      <c r="A1732" s="0" t="n">
        <v>2</v>
      </c>
      <c r="B1732" s="71" t="n">
        <v>46195</v>
      </c>
      <c r="C1732" s="0" t="n">
        <v>1</v>
      </c>
      <c r="D1732" s="0" t="s">
        <v>2442</v>
      </c>
      <c r="E1732" s="0" t="n">
        <v>1697</v>
      </c>
      <c r="F1732" s="0" t="s">
        <v>787</v>
      </c>
      <c r="I1732" s="0" t="n">
        <v>207912</v>
      </c>
      <c r="J1732" s="0" t="n">
        <v>14127</v>
      </c>
      <c r="K1732" s="0" t="n">
        <v>7898080640635</v>
      </c>
      <c r="L1732" s="0" t="s">
        <v>3483</v>
      </c>
      <c r="N1732" s="0" t="n">
        <v>24</v>
      </c>
      <c r="O1732" s="0" t="n">
        <v>161.32</v>
      </c>
      <c r="P1732" s="0" t="s">
        <v>2444</v>
      </c>
    </row>
    <row r="1733" customFormat="false" ht="15" hidden="false" customHeight="true" outlineLevel="0" collapsed="false">
      <c r="A1733" s="0" t="n">
        <v>2</v>
      </c>
      <c r="B1733" s="71" t="n">
        <v>46195</v>
      </c>
      <c r="C1733" s="0" t="n">
        <v>1</v>
      </c>
      <c r="D1733" s="0" t="s">
        <v>2442</v>
      </c>
      <c r="E1733" s="0" t="n">
        <v>1697</v>
      </c>
      <c r="F1733" s="0" t="s">
        <v>787</v>
      </c>
      <c r="I1733" s="0" t="n">
        <v>207912</v>
      </c>
      <c r="J1733" s="0" t="n">
        <v>14128</v>
      </c>
      <c r="K1733" s="0" t="n">
        <v>7898080640611</v>
      </c>
      <c r="L1733" s="0" t="s">
        <v>3460</v>
      </c>
      <c r="N1733" s="0" t="n">
        <v>240</v>
      </c>
      <c r="O1733" s="0" t="n">
        <v>1613.23</v>
      </c>
      <c r="P1733" s="0" t="s">
        <v>2444</v>
      </c>
    </row>
    <row r="1734" customFormat="false" ht="15" hidden="false" customHeight="true" outlineLevel="0" collapsed="false">
      <c r="A1734" s="0" t="n">
        <v>2</v>
      </c>
      <c r="B1734" s="71" t="n">
        <v>46195</v>
      </c>
      <c r="C1734" s="0" t="n">
        <v>1</v>
      </c>
      <c r="D1734" s="0" t="s">
        <v>2442</v>
      </c>
      <c r="E1734" s="0" t="n">
        <v>1107</v>
      </c>
      <c r="F1734" s="0" t="s">
        <v>254</v>
      </c>
      <c r="I1734" s="0" t="n">
        <v>419092</v>
      </c>
      <c r="J1734" s="0" t="n">
        <v>101692</v>
      </c>
      <c r="K1734" s="0" t="n">
        <v>7891962015620</v>
      </c>
      <c r="L1734" s="0" t="s">
        <v>3484</v>
      </c>
      <c r="N1734" s="0" t="n">
        <v>48</v>
      </c>
      <c r="O1734" s="0" t="n">
        <v>80.65</v>
      </c>
      <c r="P1734" s="0" t="s">
        <v>2444</v>
      </c>
    </row>
    <row r="1735" customFormat="false" ht="15" hidden="false" customHeight="true" outlineLevel="0" collapsed="false">
      <c r="A1735" s="0" t="n">
        <v>2</v>
      </c>
      <c r="B1735" s="71" t="n">
        <v>46195</v>
      </c>
      <c r="C1735" s="0" t="n">
        <v>1</v>
      </c>
      <c r="D1735" s="0" t="s">
        <v>2442</v>
      </c>
      <c r="E1735" s="0" t="n">
        <v>1107</v>
      </c>
      <c r="F1735" s="0" t="s">
        <v>254</v>
      </c>
      <c r="I1735" s="0" t="n">
        <v>419092</v>
      </c>
      <c r="J1735" s="0" t="n">
        <v>102245</v>
      </c>
      <c r="K1735" s="0" t="n">
        <v>7891048040003</v>
      </c>
      <c r="L1735" s="0" t="s">
        <v>3485</v>
      </c>
      <c r="N1735" s="0" t="n">
        <v>20</v>
      </c>
      <c r="O1735" s="0" t="n">
        <v>67.41</v>
      </c>
      <c r="P1735" s="0" t="s">
        <v>2444</v>
      </c>
    </row>
    <row r="1736" customFormat="false" ht="15" hidden="false" customHeight="true" outlineLevel="0" collapsed="false">
      <c r="A1736" s="0" t="n">
        <v>2</v>
      </c>
      <c r="B1736" s="71" t="n">
        <v>46195</v>
      </c>
      <c r="C1736" s="0" t="n">
        <v>1</v>
      </c>
      <c r="D1736" s="0" t="s">
        <v>2442</v>
      </c>
      <c r="E1736" s="0" t="n">
        <v>1107</v>
      </c>
      <c r="F1736" s="0" t="s">
        <v>254</v>
      </c>
      <c r="I1736" s="0" t="n">
        <v>419092</v>
      </c>
      <c r="J1736" s="0" t="n">
        <v>103674</v>
      </c>
      <c r="K1736" s="0" t="n">
        <v>7891962000725</v>
      </c>
      <c r="L1736" s="0" t="s">
        <v>3486</v>
      </c>
      <c r="N1736" s="0" t="n">
        <v>48</v>
      </c>
      <c r="O1736" s="0" t="n">
        <v>75.79</v>
      </c>
      <c r="P1736" s="0" t="s">
        <v>2444</v>
      </c>
    </row>
    <row r="1737" customFormat="false" ht="15" hidden="false" customHeight="true" outlineLevel="0" collapsed="false">
      <c r="A1737" s="0" t="n">
        <v>2</v>
      </c>
      <c r="B1737" s="71" t="n">
        <v>46195</v>
      </c>
      <c r="C1737" s="0" t="n">
        <v>1</v>
      </c>
      <c r="D1737" s="0" t="s">
        <v>2442</v>
      </c>
      <c r="E1737" s="0" t="n">
        <v>1107</v>
      </c>
      <c r="F1737" s="0" t="s">
        <v>254</v>
      </c>
      <c r="I1737" s="0" t="n">
        <v>419092</v>
      </c>
      <c r="J1737" s="0" t="n">
        <v>12275</v>
      </c>
      <c r="K1737" s="0" t="n">
        <v>7891962031170</v>
      </c>
      <c r="L1737" s="0" t="s">
        <v>3487</v>
      </c>
      <c r="N1737" s="0" t="n">
        <v>48</v>
      </c>
      <c r="O1737" s="0" t="n">
        <v>75.79</v>
      </c>
      <c r="P1737" s="0" t="s">
        <v>2444</v>
      </c>
    </row>
    <row r="1738" customFormat="false" ht="15" hidden="false" customHeight="true" outlineLevel="0" collapsed="false">
      <c r="A1738" s="0" t="n">
        <v>2</v>
      </c>
      <c r="B1738" s="71" t="n">
        <v>46195</v>
      </c>
      <c r="C1738" s="0" t="n">
        <v>1</v>
      </c>
      <c r="D1738" s="0" t="s">
        <v>2442</v>
      </c>
      <c r="E1738" s="0" t="n">
        <v>1107</v>
      </c>
      <c r="F1738" s="0" t="s">
        <v>254</v>
      </c>
      <c r="I1738" s="0" t="n">
        <v>419092</v>
      </c>
      <c r="J1738" s="0" t="n">
        <v>12704</v>
      </c>
      <c r="K1738" s="0" t="n">
        <v>7891048040089</v>
      </c>
      <c r="L1738" s="0" t="s">
        <v>3488</v>
      </c>
      <c r="N1738" s="0" t="n">
        <v>15</v>
      </c>
      <c r="O1738" s="0" t="n">
        <v>96.11</v>
      </c>
      <c r="P1738" s="0" t="s">
        <v>2444</v>
      </c>
    </row>
    <row r="1739" customFormat="false" ht="15" hidden="false" customHeight="true" outlineLevel="0" collapsed="false">
      <c r="A1739" s="0" t="n">
        <v>2</v>
      </c>
      <c r="B1739" s="71" t="n">
        <v>46195</v>
      </c>
      <c r="C1739" s="0" t="n">
        <v>1</v>
      </c>
      <c r="D1739" s="0" t="s">
        <v>2442</v>
      </c>
      <c r="E1739" s="0" t="n">
        <v>1107</v>
      </c>
      <c r="F1739" s="0" t="s">
        <v>254</v>
      </c>
      <c r="I1739" s="0" t="n">
        <v>419092</v>
      </c>
      <c r="J1739" s="0" t="n">
        <v>24270</v>
      </c>
      <c r="K1739" s="0" t="n">
        <v>7891962050089</v>
      </c>
      <c r="L1739" s="0" t="s">
        <v>3489</v>
      </c>
      <c r="N1739" s="0" t="n">
        <v>45</v>
      </c>
      <c r="O1739" s="0" t="n">
        <v>173.25</v>
      </c>
      <c r="P1739" s="0" t="s">
        <v>2444</v>
      </c>
    </row>
    <row r="1740" customFormat="false" ht="15" hidden="false" customHeight="true" outlineLevel="0" collapsed="false">
      <c r="A1740" s="0" t="n">
        <v>2</v>
      </c>
      <c r="B1740" s="71" t="n">
        <v>46195</v>
      </c>
      <c r="C1740" s="0" t="n">
        <v>1</v>
      </c>
      <c r="D1740" s="0" t="s">
        <v>2442</v>
      </c>
      <c r="E1740" s="0" t="n">
        <v>1107</v>
      </c>
      <c r="F1740" s="0" t="s">
        <v>254</v>
      </c>
      <c r="I1740" s="0" t="n">
        <v>419092</v>
      </c>
      <c r="J1740" s="0" t="n">
        <v>24548</v>
      </c>
      <c r="K1740" s="0" t="n">
        <v>7891962050072</v>
      </c>
      <c r="L1740" s="0" t="s">
        <v>3490</v>
      </c>
      <c r="N1740" s="0" t="n">
        <v>45</v>
      </c>
      <c r="O1740" s="0" t="n">
        <v>173.09</v>
      </c>
      <c r="P1740" s="0" t="s">
        <v>2444</v>
      </c>
    </row>
    <row r="1741" customFormat="false" ht="15" hidden="false" customHeight="true" outlineLevel="0" collapsed="false">
      <c r="A1741" s="0" t="n">
        <v>2</v>
      </c>
      <c r="B1741" s="71" t="n">
        <v>46195</v>
      </c>
      <c r="C1741" s="0" t="n">
        <v>1</v>
      </c>
      <c r="D1741" s="0" t="s">
        <v>2442</v>
      </c>
      <c r="E1741" s="0" t="n">
        <v>1107</v>
      </c>
      <c r="F1741" s="0" t="s">
        <v>254</v>
      </c>
      <c r="I1741" s="0" t="n">
        <v>419092</v>
      </c>
      <c r="J1741" s="0" t="n">
        <v>27395</v>
      </c>
      <c r="K1741" s="0" t="n">
        <v>7891962054117</v>
      </c>
      <c r="L1741" s="0" t="s">
        <v>3491</v>
      </c>
      <c r="N1741" s="0" t="n">
        <v>24</v>
      </c>
      <c r="O1741" s="0" t="n">
        <v>107.61</v>
      </c>
      <c r="P1741" s="0" t="s">
        <v>2444</v>
      </c>
    </row>
    <row r="1742" customFormat="false" ht="15" hidden="false" customHeight="true" outlineLevel="0" collapsed="false">
      <c r="A1742" s="0" t="n">
        <v>2</v>
      </c>
      <c r="B1742" s="71" t="n">
        <v>46195</v>
      </c>
      <c r="C1742" s="0" t="n">
        <v>1</v>
      </c>
      <c r="D1742" s="0" t="s">
        <v>2442</v>
      </c>
      <c r="E1742" s="0" t="n">
        <v>1107</v>
      </c>
      <c r="F1742" s="0" t="s">
        <v>254</v>
      </c>
      <c r="I1742" s="0" t="n">
        <v>419092</v>
      </c>
      <c r="J1742" s="0" t="n">
        <v>27396</v>
      </c>
      <c r="K1742" s="0" t="n">
        <v>7891962054100</v>
      </c>
      <c r="L1742" s="0" t="s">
        <v>3492</v>
      </c>
      <c r="N1742" s="0" t="n">
        <v>24</v>
      </c>
      <c r="O1742" s="0" t="n">
        <v>107.61</v>
      </c>
      <c r="P1742" s="0" t="s">
        <v>2444</v>
      </c>
    </row>
    <row r="1743" customFormat="false" ht="15" hidden="false" customHeight="true" outlineLevel="0" collapsed="false">
      <c r="A1743" s="0" t="n">
        <v>2</v>
      </c>
      <c r="B1743" s="71" t="n">
        <v>46195</v>
      </c>
      <c r="C1743" s="0" t="n">
        <v>1</v>
      </c>
      <c r="D1743" s="0" t="s">
        <v>2442</v>
      </c>
      <c r="E1743" s="0" t="n">
        <v>1107</v>
      </c>
      <c r="F1743" s="0" t="s">
        <v>254</v>
      </c>
      <c r="I1743" s="0" t="n">
        <v>419092</v>
      </c>
      <c r="J1743" s="0" t="n">
        <v>27397</v>
      </c>
      <c r="K1743" s="0" t="n">
        <v>7891962054124</v>
      </c>
      <c r="L1743" s="0" t="s">
        <v>3493</v>
      </c>
      <c r="N1743" s="0" t="n">
        <v>24</v>
      </c>
      <c r="O1743" s="0" t="n">
        <v>107.61</v>
      </c>
      <c r="P1743" s="0" t="s">
        <v>2444</v>
      </c>
    </row>
    <row r="1744" customFormat="false" ht="15" hidden="false" customHeight="true" outlineLevel="0" collapsed="false">
      <c r="A1744" s="0" t="n">
        <v>2</v>
      </c>
      <c r="B1744" s="71" t="n">
        <v>46195</v>
      </c>
      <c r="C1744" s="0" t="n">
        <v>1</v>
      </c>
      <c r="D1744" s="0" t="s">
        <v>2442</v>
      </c>
      <c r="E1744" s="0" t="n">
        <v>1107</v>
      </c>
      <c r="F1744" s="0" t="s">
        <v>254</v>
      </c>
      <c r="I1744" s="0" t="n">
        <v>419092</v>
      </c>
      <c r="J1744" s="0" t="n">
        <v>27481</v>
      </c>
      <c r="K1744" s="0" t="n">
        <v>7891962054810</v>
      </c>
      <c r="L1744" s="0" t="s">
        <v>3492</v>
      </c>
      <c r="N1744" s="0" t="n">
        <v>24</v>
      </c>
      <c r="O1744" s="0" t="n">
        <v>45.91</v>
      </c>
      <c r="P1744" s="0" t="s">
        <v>2444</v>
      </c>
    </row>
    <row r="1745" customFormat="false" ht="15" hidden="false" customHeight="true" outlineLevel="0" collapsed="false">
      <c r="A1745" s="0" t="n">
        <v>2</v>
      </c>
      <c r="B1745" s="71" t="n">
        <v>46195</v>
      </c>
      <c r="C1745" s="0" t="n">
        <v>1</v>
      </c>
      <c r="D1745" s="0" t="s">
        <v>2442</v>
      </c>
      <c r="E1745" s="0" t="n">
        <v>1107</v>
      </c>
      <c r="F1745" s="0" t="s">
        <v>254</v>
      </c>
      <c r="I1745" s="0" t="n">
        <v>419092</v>
      </c>
      <c r="J1745" s="0" t="n">
        <v>27482</v>
      </c>
      <c r="K1745" s="0" t="n">
        <v>7891962054476</v>
      </c>
      <c r="L1745" s="0" t="s">
        <v>3494</v>
      </c>
      <c r="N1745" s="0" t="n">
        <v>24</v>
      </c>
      <c r="O1745" s="0" t="n">
        <v>45.91</v>
      </c>
      <c r="P1745" s="0" t="s">
        <v>2444</v>
      </c>
    </row>
    <row r="1746" customFormat="false" ht="15" hidden="false" customHeight="true" outlineLevel="0" collapsed="false">
      <c r="A1746" s="0" t="n">
        <v>2</v>
      </c>
      <c r="B1746" s="71" t="n">
        <v>46195</v>
      </c>
      <c r="C1746" s="0" t="n">
        <v>1</v>
      </c>
      <c r="D1746" s="0" t="s">
        <v>2442</v>
      </c>
      <c r="E1746" s="0" t="n">
        <v>1107</v>
      </c>
      <c r="F1746" s="0" t="s">
        <v>254</v>
      </c>
      <c r="I1746" s="0" t="n">
        <v>419092</v>
      </c>
      <c r="J1746" s="0" t="n">
        <v>30041</v>
      </c>
      <c r="K1746" s="0" t="n">
        <v>7891962056500</v>
      </c>
      <c r="L1746" s="0" t="s">
        <v>3495</v>
      </c>
      <c r="N1746" s="0" t="n">
        <v>24</v>
      </c>
      <c r="O1746" s="0" t="n">
        <v>162.04</v>
      </c>
      <c r="P1746" s="0" t="s">
        <v>2444</v>
      </c>
    </row>
    <row r="1747" customFormat="false" ht="15" hidden="false" customHeight="true" outlineLevel="0" collapsed="false">
      <c r="A1747" s="0" t="n">
        <v>2</v>
      </c>
      <c r="B1747" s="71" t="n">
        <v>46195</v>
      </c>
      <c r="C1747" s="0" t="n">
        <v>1</v>
      </c>
      <c r="D1747" s="0" t="s">
        <v>2442</v>
      </c>
      <c r="E1747" s="0" t="n">
        <v>1107</v>
      </c>
      <c r="F1747" s="0" t="s">
        <v>254</v>
      </c>
      <c r="I1747" s="0" t="n">
        <v>419092</v>
      </c>
      <c r="J1747" s="0" t="n">
        <v>32703</v>
      </c>
      <c r="K1747" s="0" t="n">
        <v>7891962060361</v>
      </c>
      <c r="L1747" s="0" t="s">
        <v>3496</v>
      </c>
      <c r="N1747" s="0" t="n">
        <v>18</v>
      </c>
      <c r="O1747" s="0" t="n">
        <v>49.55</v>
      </c>
      <c r="P1747" s="0" t="s">
        <v>2444</v>
      </c>
    </row>
    <row r="1748" customFormat="false" ht="15" hidden="false" customHeight="true" outlineLevel="0" collapsed="false">
      <c r="A1748" s="0" t="n">
        <v>2</v>
      </c>
      <c r="B1748" s="71" t="n">
        <v>46195</v>
      </c>
      <c r="C1748" s="0" t="n">
        <v>1</v>
      </c>
      <c r="D1748" s="0" t="s">
        <v>2442</v>
      </c>
      <c r="E1748" s="0" t="n">
        <v>1107</v>
      </c>
      <c r="F1748" s="0" t="s">
        <v>254</v>
      </c>
      <c r="I1748" s="0" t="n">
        <v>419092</v>
      </c>
      <c r="J1748" s="0" t="n">
        <v>49004</v>
      </c>
      <c r="K1748" s="0" t="n">
        <v>7891962067346</v>
      </c>
      <c r="L1748" s="0" t="s">
        <v>3497</v>
      </c>
      <c r="N1748" s="0" t="n">
        <v>48</v>
      </c>
      <c r="O1748" s="0" t="n">
        <v>75.79</v>
      </c>
      <c r="P1748" s="0" t="s">
        <v>2444</v>
      </c>
    </row>
    <row r="1749" customFormat="false" ht="15" hidden="false" customHeight="true" outlineLevel="0" collapsed="false">
      <c r="A1749" s="0" t="n">
        <v>2</v>
      </c>
      <c r="B1749" s="71" t="n">
        <v>46195</v>
      </c>
      <c r="C1749" s="0" t="n">
        <v>1</v>
      </c>
      <c r="D1749" s="0" t="s">
        <v>2442</v>
      </c>
      <c r="E1749" s="0" t="n">
        <v>1107</v>
      </c>
      <c r="F1749" s="0" t="s">
        <v>254</v>
      </c>
      <c r="I1749" s="0" t="n">
        <v>419092</v>
      </c>
      <c r="J1749" s="0" t="n">
        <v>49956</v>
      </c>
      <c r="K1749" s="0" t="n">
        <v>7891962067629</v>
      </c>
      <c r="L1749" s="0" t="s">
        <v>3498</v>
      </c>
      <c r="N1749" s="0" t="n">
        <v>24</v>
      </c>
      <c r="O1749" s="0" t="n">
        <v>107.61</v>
      </c>
      <c r="P1749" s="0" t="s">
        <v>2444</v>
      </c>
    </row>
    <row r="1750" customFormat="false" ht="15" hidden="false" customHeight="true" outlineLevel="0" collapsed="false">
      <c r="A1750" s="0" t="n">
        <v>2</v>
      </c>
      <c r="B1750" s="71" t="n">
        <v>46195</v>
      </c>
      <c r="C1750" s="0" t="n">
        <v>1</v>
      </c>
      <c r="D1750" s="0" t="s">
        <v>2442</v>
      </c>
      <c r="E1750" s="0" t="n">
        <v>1107</v>
      </c>
      <c r="F1750" s="0" t="s">
        <v>254</v>
      </c>
      <c r="I1750" s="0" t="n">
        <v>419092</v>
      </c>
      <c r="J1750" s="0" t="n">
        <v>51756</v>
      </c>
      <c r="K1750" s="0" t="n">
        <v>7891962067889</v>
      </c>
      <c r="L1750" s="0" t="s">
        <v>3499</v>
      </c>
      <c r="N1750" s="0" t="n">
        <v>48</v>
      </c>
      <c r="O1750" s="0" t="n">
        <v>75.79</v>
      </c>
      <c r="P1750" s="0" t="s">
        <v>2444</v>
      </c>
    </row>
    <row r="1751" customFormat="false" ht="15" hidden="false" customHeight="true" outlineLevel="0" collapsed="false">
      <c r="A1751" s="0" t="n">
        <v>2</v>
      </c>
      <c r="B1751" s="71" t="n">
        <v>46195</v>
      </c>
      <c r="C1751" s="0" t="n">
        <v>1</v>
      </c>
      <c r="D1751" s="0" t="s">
        <v>2442</v>
      </c>
      <c r="E1751" s="0" t="n">
        <v>1107</v>
      </c>
      <c r="F1751" s="0" t="s">
        <v>254</v>
      </c>
      <c r="I1751" s="0" t="n">
        <v>419092</v>
      </c>
      <c r="J1751" s="0" t="n">
        <v>62128</v>
      </c>
      <c r="K1751" s="0" t="n">
        <v>7891962071732</v>
      </c>
      <c r="L1751" s="0" t="s">
        <v>3500</v>
      </c>
      <c r="N1751" s="0" t="n">
        <v>36</v>
      </c>
      <c r="O1751" s="0" t="n">
        <v>78.34</v>
      </c>
      <c r="P1751" s="0" t="s">
        <v>2444</v>
      </c>
    </row>
    <row r="1752" customFormat="false" ht="15" hidden="false" customHeight="true" outlineLevel="0" collapsed="false">
      <c r="A1752" s="0" t="n">
        <v>2</v>
      </c>
      <c r="B1752" s="71" t="n">
        <v>46195</v>
      </c>
      <c r="C1752" s="0" t="n">
        <v>1</v>
      </c>
      <c r="D1752" s="0" t="s">
        <v>2442</v>
      </c>
      <c r="E1752" s="0" t="n">
        <v>1107</v>
      </c>
      <c r="F1752" s="0" t="s">
        <v>254</v>
      </c>
      <c r="I1752" s="0" t="n">
        <v>419092</v>
      </c>
      <c r="J1752" s="0" t="n">
        <v>62130</v>
      </c>
      <c r="K1752" s="0" t="n">
        <v>7891962071756</v>
      </c>
      <c r="L1752" s="0" t="s">
        <v>3501</v>
      </c>
      <c r="N1752" s="0" t="n">
        <v>36</v>
      </c>
      <c r="O1752" s="0" t="n">
        <v>78.34</v>
      </c>
      <c r="P1752" s="0" t="s">
        <v>2444</v>
      </c>
    </row>
    <row r="1753" customFormat="false" ht="15" hidden="false" customHeight="true" outlineLevel="0" collapsed="false">
      <c r="A1753" s="0" t="n">
        <v>2</v>
      </c>
      <c r="B1753" s="71" t="n">
        <v>46195</v>
      </c>
      <c r="C1753" s="0" t="n">
        <v>1</v>
      </c>
      <c r="D1753" s="0" t="s">
        <v>2442</v>
      </c>
      <c r="E1753" s="0" t="n">
        <v>1107</v>
      </c>
      <c r="F1753" s="0" t="s">
        <v>254</v>
      </c>
      <c r="I1753" s="0" t="n">
        <v>419092</v>
      </c>
      <c r="J1753" s="0" t="n">
        <v>64856</v>
      </c>
      <c r="K1753" s="0" t="n">
        <v>7891962074665</v>
      </c>
      <c r="L1753" s="0" t="s">
        <v>3502</v>
      </c>
      <c r="N1753" s="0" t="n">
        <v>48</v>
      </c>
      <c r="O1753" s="0" t="n">
        <v>75.79</v>
      </c>
      <c r="P1753" s="0" t="s">
        <v>2444</v>
      </c>
    </row>
    <row r="1754" customFormat="false" ht="15" hidden="false" customHeight="true" outlineLevel="0" collapsed="false">
      <c r="A1754" s="0" t="n">
        <v>2</v>
      </c>
      <c r="B1754" s="71" t="n">
        <v>46195</v>
      </c>
      <c r="C1754" s="0" t="n">
        <v>1</v>
      </c>
      <c r="D1754" s="0" t="s">
        <v>2442</v>
      </c>
      <c r="E1754" s="0" t="n">
        <v>1642</v>
      </c>
      <c r="F1754" s="0" t="s">
        <v>228</v>
      </c>
      <c r="I1754" s="0" t="n">
        <v>1027913</v>
      </c>
      <c r="J1754" s="0" t="n">
        <v>105780</v>
      </c>
      <c r="K1754" s="0" t="n">
        <v>7896289210017</v>
      </c>
      <c r="L1754" s="0" t="s">
        <v>2511</v>
      </c>
      <c r="N1754" s="0" t="n">
        <v>10</v>
      </c>
      <c r="O1754" s="0" t="n">
        <v>106.7</v>
      </c>
      <c r="P1754" s="0" t="s">
        <v>2444</v>
      </c>
    </row>
    <row r="1755" customFormat="false" ht="15" hidden="false" customHeight="true" outlineLevel="0" collapsed="false">
      <c r="A1755" s="0" t="n">
        <v>2</v>
      </c>
      <c r="B1755" s="71" t="n">
        <v>46195</v>
      </c>
      <c r="C1755" s="0" t="n">
        <v>1</v>
      </c>
      <c r="D1755" s="0" t="s">
        <v>2442</v>
      </c>
      <c r="E1755" s="0" t="n">
        <v>1642</v>
      </c>
      <c r="F1755" s="0" t="s">
        <v>228</v>
      </c>
      <c r="I1755" s="0" t="n">
        <v>1027913</v>
      </c>
      <c r="J1755" s="0" t="n">
        <v>105782</v>
      </c>
      <c r="K1755" s="0" t="n">
        <v>7896289210352</v>
      </c>
      <c r="L1755" s="0" t="s">
        <v>2512</v>
      </c>
      <c r="N1755" s="0" t="n">
        <v>6</v>
      </c>
      <c r="O1755" s="0" t="n">
        <v>41.16</v>
      </c>
      <c r="P1755" s="0" t="s">
        <v>2444</v>
      </c>
    </row>
    <row r="1756" customFormat="false" ht="15" hidden="false" customHeight="true" outlineLevel="0" collapsed="false">
      <c r="A1756" s="0" t="n">
        <v>2</v>
      </c>
      <c r="B1756" s="71" t="n">
        <v>46195</v>
      </c>
      <c r="C1756" s="0" t="n">
        <v>1</v>
      </c>
      <c r="D1756" s="0" t="s">
        <v>2442</v>
      </c>
      <c r="E1756" s="0" t="n">
        <v>1642</v>
      </c>
      <c r="F1756" s="0" t="s">
        <v>228</v>
      </c>
      <c r="I1756" s="0" t="n">
        <v>1027913</v>
      </c>
      <c r="J1756" s="0" t="n">
        <v>106079</v>
      </c>
      <c r="K1756" s="0" t="n">
        <v>7896289210130</v>
      </c>
      <c r="L1756" s="0" t="s">
        <v>2513</v>
      </c>
      <c r="N1756" s="0" t="n">
        <v>3</v>
      </c>
      <c r="O1756" s="0" t="n">
        <v>41.1</v>
      </c>
      <c r="P1756" s="0" t="s">
        <v>2444</v>
      </c>
    </row>
    <row r="1757" customFormat="false" ht="15" hidden="false" customHeight="true" outlineLevel="0" collapsed="false">
      <c r="A1757" s="0" t="n">
        <v>2</v>
      </c>
      <c r="B1757" s="71" t="n">
        <v>46195</v>
      </c>
      <c r="C1757" s="0" t="n">
        <v>1</v>
      </c>
      <c r="D1757" s="0" t="s">
        <v>2442</v>
      </c>
      <c r="E1757" s="0" t="n">
        <v>1642</v>
      </c>
      <c r="F1757" s="0" t="s">
        <v>228</v>
      </c>
      <c r="I1757" s="0" t="n">
        <v>1027913</v>
      </c>
      <c r="J1757" s="0" t="n">
        <v>106274</v>
      </c>
      <c r="K1757" s="0" t="n">
        <v>7896289210086</v>
      </c>
      <c r="L1757" s="0" t="s">
        <v>2514</v>
      </c>
      <c r="N1757" s="0" t="n">
        <v>3</v>
      </c>
      <c r="O1757" s="0" t="n">
        <v>37.68</v>
      </c>
      <c r="P1757" s="0" t="s">
        <v>2444</v>
      </c>
    </row>
    <row r="1758" customFormat="false" ht="15" hidden="false" customHeight="true" outlineLevel="0" collapsed="false">
      <c r="A1758" s="0" t="n">
        <v>2</v>
      </c>
      <c r="B1758" s="71" t="n">
        <v>46195</v>
      </c>
      <c r="C1758" s="0" t="n">
        <v>1</v>
      </c>
      <c r="D1758" s="0" t="s">
        <v>2442</v>
      </c>
      <c r="E1758" s="0" t="n">
        <v>1642</v>
      </c>
      <c r="F1758" s="0" t="s">
        <v>228</v>
      </c>
      <c r="I1758" s="0" t="n">
        <v>1027913</v>
      </c>
      <c r="J1758" s="0" t="n">
        <v>106407</v>
      </c>
      <c r="K1758" s="0" t="n">
        <v>7896289210031</v>
      </c>
      <c r="L1758" s="0" t="s">
        <v>2516</v>
      </c>
      <c r="N1758" s="0" t="n">
        <v>5</v>
      </c>
      <c r="O1758" s="0" t="n">
        <v>58.2</v>
      </c>
      <c r="P1758" s="0" t="s">
        <v>2444</v>
      </c>
    </row>
    <row r="1759" customFormat="false" ht="15" hidden="false" customHeight="true" outlineLevel="0" collapsed="false">
      <c r="A1759" s="0" t="n">
        <v>2</v>
      </c>
      <c r="B1759" s="71" t="n">
        <v>46195</v>
      </c>
      <c r="C1759" s="0" t="n">
        <v>1</v>
      </c>
      <c r="D1759" s="0" t="s">
        <v>2442</v>
      </c>
      <c r="E1759" s="0" t="n">
        <v>1642</v>
      </c>
      <c r="F1759" s="0" t="s">
        <v>228</v>
      </c>
      <c r="I1759" s="0" t="n">
        <v>1027913</v>
      </c>
      <c r="J1759" s="0" t="n">
        <v>29706</v>
      </c>
      <c r="K1759" s="0" t="n">
        <v>7896289240205</v>
      </c>
      <c r="L1759" s="0" t="s">
        <v>2963</v>
      </c>
      <c r="N1759" s="0" t="n">
        <v>10</v>
      </c>
      <c r="O1759" s="0" t="n">
        <v>86</v>
      </c>
      <c r="P1759" s="0" t="s">
        <v>2444</v>
      </c>
    </row>
    <row r="1760" customFormat="false" ht="15" hidden="false" customHeight="true" outlineLevel="0" collapsed="false">
      <c r="A1760" s="0" t="n">
        <v>2</v>
      </c>
      <c r="B1760" s="71" t="n">
        <v>46195</v>
      </c>
      <c r="C1760" s="0" t="n">
        <v>1</v>
      </c>
      <c r="D1760" s="0" t="s">
        <v>2442</v>
      </c>
      <c r="E1760" s="0" t="n">
        <v>1705</v>
      </c>
      <c r="F1760" s="0" t="s">
        <v>130</v>
      </c>
      <c r="I1760" s="0" t="n">
        <v>1169404</v>
      </c>
      <c r="J1760" s="0" t="n">
        <v>29748</v>
      </c>
      <c r="K1760" s="0" t="n">
        <v>70847033301</v>
      </c>
      <c r="L1760" s="0" t="s">
        <v>2562</v>
      </c>
      <c r="N1760" s="0" t="n">
        <v>6</v>
      </c>
      <c r="O1760" s="0" t="n">
        <v>50.85</v>
      </c>
      <c r="P1760" s="0" t="s">
        <v>2444</v>
      </c>
    </row>
    <row r="1761" customFormat="false" ht="15" hidden="false" customHeight="true" outlineLevel="0" collapsed="false">
      <c r="A1761" s="0" t="n">
        <v>2</v>
      </c>
      <c r="B1761" s="71" t="n">
        <v>46195</v>
      </c>
      <c r="C1761" s="0" t="n">
        <v>1</v>
      </c>
      <c r="D1761" s="0" t="s">
        <v>2442</v>
      </c>
      <c r="E1761" s="0" t="n">
        <v>1705</v>
      </c>
      <c r="F1761" s="0" t="s">
        <v>130</v>
      </c>
      <c r="I1761" s="0" t="n">
        <v>1170564</v>
      </c>
      <c r="J1761" s="0" t="n">
        <v>78077</v>
      </c>
      <c r="K1761" s="0" t="n">
        <v>7894900531008</v>
      </c>
      <c r="L1761" s="0" t="s">
        <v>3503</v>
      </c>
      <c r="N1761" s="0" t="n">
        <v>12</v>
      </c>
      <c r="O1761" s="0" t="n">
        <v>22.95</v>
      </c>
      <c r="P1761" s="0" t="s">
        <v>2444</v>
      </c>
    </row>
    <row r="1762" customFormat="false" ht="15" hidden="false" customHeight="true" outlineLevel="0" collapsed="false">
      <c r="A1762" s="0" t="n">
        <v>2</v>
      </c>
      <c r="B1762" s="71" t="n">
        <v>46195</v>
      </c>
      <c r="C1762" s="0" t="n">
        <v>1</v>
      </c>
      <c r="D1762" s="0" t="s">
        <v>2442</v>
      </c>
      <c r="E1762" s="0" t="n">
        <v>1705</v>
      </c>
      <c r="F1762" s="0" t="s">
        <v>130</v>
      </c>
      <c r="I1762" s="0" t="n">
        <v>1171501</v>
      </c>
      <c r="J1762" s="0" t="n">
        <v>104576</v>
      </c>
      <c r="K1762" s="0" t="n">
        <v>7898341430111</v>
      </c>
      <c r="L1762" s="0" t="s">
        <v>2561</v>
      </c>
      <c r="N1762" s="0" t="n">
        <v>6</v>
      </c>
      <c r="O1762" s="0" t="n">
        <v>47.37</v>
      </c>
      <c r="P1762" s="0" t="s">
        <v>2444</v>
      </c>
    </row>
    <row r="1763" customFormat="false" ht="15" hidden="false" customHeight="true" outlineLevel="0" collapsed="false">
      <c r="A1763" s="0" t="n">
        <v>2</v>
      </c>
      <c r="B1763" s="71" t="n">
        <v>46195</v>
      </c>
      <c r="C1763" s="0" t="n">
        <v>1</v>
      </c>
      <c r="D1763" s="0" t="s">
        <v>2442</v>
      </c>
      <c r="E1763" s="0" t="n">
        <v>1705</v>
      </c>
      <c r="F1763" s="0" t="s">
        <v>130</v>
      </c>
      <c r="I1763" s="0" t="n">
        <v>1171501</v>
      </c>
      <c r="J1763" s="0" t="n">
        <v>24324</v>
      </c>
      <c r="K1763" s="0" t="n">
        <v>70847022015</v>
      </c>
      <c r="L1763" s="0" t="s">
        <v>2462</v>
      </c>
      <c r="N1763" s="0" t="n">
        <v>24</v>
      </c>
      <c r="O1763" s="0" t="n">
        <v>203.42</v>
      </c>
      <c r="P1763" s="0" t="s">
        <v>2444</v>
      </c>
    </row>
    <row r="1764" customFormat="false" ht="15" hidden="false" customHeight="true" outlineLevel="0" collapsed="false">
      <c r="A1764" s="0" t="n">
        <v>2</v>
      </c>
      <c r="B1764" s="71" t="n">
        <v>46195</v>
      </c>
      <c r="C1764" s="0" t="n">
        <v>1</v>
      </c>
      <c r="D1764" s="0" t="s">
        <v>2442</v>
      </c>
      <c r="E1764" s="0" t="n">
        <v>1705</v>
      </c>
      <c r="F1764" s="0" t="s">
        <v>130</v>
      </c>
      <c r="I1764" s="0" t="n">
        <v>1171501</v>
      </c>
      <c r="J1764" s="0" t="n">
        <v>24857</v>
      </c>
      <c r="K1764" s="0" t="n">
        <v>7898367980010</v>
      </c>
      <c r="L1764" s="0" t="s">
        <v>3504</v>
      </c>
      <c r="N1764" s="0" t="n">
        <v>12</v>
      </c>
      <c r="O1764" s="0" t="n">
        <v>56.04</v>
      </c>
      <c r="P1764" s="0" t="s">
        <v>2444</v>
      </c>
    </row>
    <row r="1765" customFormat="false" ht="15" hidden="false" customHeight="true" outlineLevel="0" collapsed="false">
      <c r="A1765" s="0" t="n">
        <v>2</v>
      </c>
      <c r="B1765" s="71" t="n">
        <v>46195</v>
      </c>
      <c r="C1765" s="0" t="n">
        <v>1</v>
      </c>
      <c r="D1765" s="0" t="s">
        <v>2442</v>
      </c>
      <c r="E1765" s="0" t="n">
        <v>1705</v>
      </c>
      <c r="F1765" s="0" t="s">
        <v>130</v>
      </c>
      <c r="I1765" s="0" t="n">
        <v>1171501</v>
      </c>
      <c r="J1765" s="0" t="n">
        <v>25136</v>
      </c>
      <c r="K1765" s="0" t="n">
        <v>70847022206</v>
      </c>
      <c r="L1765" s="0" t="s">
        <v>2463</v>
      </c>
      <c r="N1765" s="0" t="n">
        <v>6</v>
      </c>
      <c r="O1765" s="0" t="n">
        <v>50.85</v>
      </c>
      <c r="P1765" s="0" t="s">
        <v>2444</v>
      </c>
    </row>
    <row r="1766" customFormat="false" ht="15" hidden="false" customHeight="true" outlineLevel="0" collapsed="false">
      <c r="A1766" s="0" t="n">
        <v>2</v>
      </c>
      <c r="B1766" s="71" t="n">
        <v>46195</v>
      </c>
      <c r="C1766" s="0" t="n">
        <v>1</v>
      </c>
      <c r="D1766" s="0" t="s">
        <v>2442</v>
      </c>
      <c r="E1766" s="0" t="n">
        <v>1705</v>
      </c>
      <c r="F1766" s="0" t="s">
        <v>130</v>
      </c>
      <c r="I1766" s="0" t="n">
        <v>1171501</v>
      </c>
      <c r="J1766" s="0" t="n">
        <v>62378</v>
      </c>
      <c r="K1766" s="0" t="n">
        <v>7896045506934</v>
      </c>
      <c r="L1766" s="0" t="s">
        <v>2964</v>
      </c>
      <c r="N1766" s="0" t="n">
        <v>600</v>
      </c>
      <c r="O1766" s="0" t="n">
        <v>1879.32</v>
      </c>
      <c r="P1766" s="0" t="s">
        <v>2444</v>
      </c>
    </row>
    <row r="1767" customFormat="false" ht="15" hidden="false" customHeight="true" outlineLevel="0" collapsed="false">
      <c r="A1767" s="0" t="n">
        <v>2</v>
      </c>
      <c r="B1767" s="71" t="n">
        <v>46195</v>
      </c>
      <c r="C1767" s="0" t="n">
        <v>1</v>
      </c>
      <c r="D1767" s="0" t="s">
        <v>2442</v>
      </c>
      <c r="E1767" s="0" t="n">
        <v>1705</v>
      </c>
      <c r="F1767" s="0" t="s">
        <v>130</v>
      </c>
      <c r="I1767" s="0" t="n">
        <v>1171501</v>
      </c>
      <c r="J1767" s="0" t="n">
        <v>80105</v>
      </c>
      <c r="K1767" s="0" t="n">
        <v>7898770420042</v>
      </c>
      <c r="L1767" s="0" t="s">
        <v>3505</v>
      </c>
      <c r="N1767" s="0" t="n">
        <v>6</v>
      </c>
      <c r="O1767" s="0" t="n">
        <v>50.85</v>
      </c>
      <c r="P1767" s="0" t="s">
        <v>2444</v>
      </c>
    </row>
    <row r="1768" customFormat="false" ht="15" hidden="false" customHeight="true" outlineLevel="0" collapsed="false">
      <c r="A1768" s="0" t="n">
        <v>2</v>
      </c>
      <c r="B1768" s="71" t="n">
        <v>46195</v>
      </c>
      <c r="C1768" s="0" t="n">
        <v>1</v>
      </c>
      <c r="D1768" s="0" t="s">
        <v>2442</v>
      </c>
      <c r="E1768" s="0" t="n">
        <v>1613</v>
      </c>
      <c r="F1768" s="0" t="s">
        <v>50</v>
      </c>
      <c r="I1768" s="0" t="n">
        <v>1598763</v>
      </c>
      <c r="J1768" s="0" t="n">
        <v>103794</v>
      </c>
      <c r="K1768" s="0" t="n">
        <v>7893000488526</v>
      </c>
      <c r="L1768" s="0" t="s">
        <v>2969</v>
      </c>
      <c r="N1768" s="0" t="n">
        <v>8</v>
      </c>
      <c r="O1768" s="0" t="n">
        <v>104.15</v>
      </c>
      <c r="P1768" s="0" t="s">
        <v>2444</v>
      </c>
    </row>
    <row r="1769" customFormat="false" ht="15" hidden="false" customHeight="true" outlineLevel="0" collapsed="false">
      <c r="A1769" s="0" t="n">
        <v>2</v>
      </c>
      <c r="B1769" s="71" t="n">
        <v>46195</v>
      </c>
      <c r="C1769" s="0" t="n">
        <v>1</v>
      </c>
      <c r="D1769" s="0" t="s">
        <v>2442</v>
      </c>
      <c r="E1769" s="0" t="n">
        <v>1613</v>
      </c>
      <c r="F1769" s="0" t="s">
        <v>50</v>
      </c>
      <c r="I1769" s="0" t="n">
        <v>1598763</v>
      </c>
      <c r="J1769" s="0" t="n">
        <v>108591</v>
      </c>
      <c r="K1769" s="0" t="n">
        <v>8461</v>
      </c>
      <c r="L1769" s="0" t="s">
        <v>2974</v>
      </c>
      <c r="N1769" s="0" t="n">
        <v>15</v>
      </c>
      <c r="O1769" s="0" t="n">
        <v>231.6</v>
      </c>
      <c r="P1769" s="0" t="s">
        <v>2444</v>
      </c>
    </row>
    <row r="1770" customFormat="false" ht="15" hidden="false" customHeight="true" outlineLevel="0" collapsed="false">
      <c r="A1770" s="0" t="n">
        <v>2</v>
      </c>
      <c r="B1770" s="71" t="n">
        <v>46195</v>
      </c>
      <c r="C1770" s="0" t="n">
        <v>1</v>
      </c>
      <c r="D1770" s="0" t="s">
        <v>2442</v>
      </c>
      <c r="E1770" s="0" t="n">
        <v>1613</v>
      </c>
      <c r="F1770" s="0" t="s">
        <v>50</v>
      </c>
      <c r="I1770" s="0" t="n">
        <v>1598763</v>
      </c>
      <c r="J1770" s="0" t="n">
        <v>12714</v>
      </c>
      <c r="K1770" s="0" t="n">
        <v>7891515901066</v>
      </c>
      <c r="L1770" s="0" t="s">
        <v>3506</v>
      </c>
      <c r="N1770" s="0" t="n">
        <v>24</v>
      </c>
      <c r="O1770" s="0" t="n">
        <v>73.44</v>
      </c>
      <c r="P1770" s="0" t="s">
        <v>2444</v>
      </c>
    </row>
    <row r="1771" customFormat="false" ht="15" hidden="false" customHeight="true" outlineLevel="0" collapsed="false">
      <c r="A1771" s="0" t="n">
        <v>2</v>
      </c>
      <c r="B1771" s="71" t="n">
        <v>46195</v>
      </c>
      <c r="C1771" s="0" t="n">
        <v>1</v>
      </c>
      <c r="D1771" s="0" t="s">
        <v>2442</v>
      </c>
      <c r="E1771" s="0" t="n">
        <v>1613</v>
      </c>
      <c r="F1771" s="0" t="s">
        <v>50</v>
      </c>
      <c r="I1771" s="0" t="n">
        <v>1598763</v>
      </c>
      <c r="J1771" s="0" t="n">
        <v>14868</v>
      </c>
      <c r="K1771" s="0" t="n">
        <v>7891515901059</v>
      </c>
      <c r="L1771" s="0" t="s">
        <v>3507</v>
      </c>
      <c r="N1771" s="0" t="n">
        <v>12</v>
      </c>
      <c r="O1771" s="0" t="n">
        <v>69.72</v>
      </c>
      <c r="P1771" s="0" t="s">
        <v>2444</v>
      </c>
    </row>
    <row r="1772" customFormat="false" ht="15" hidden="false" customHeight="true" outlineLevel="0" collapsed="false">
      <c r="A1772" s="0" t="n">
        <v>2</v>
      </c>
      <c r="B1772" s="71" t="n">
        <v>46195</v>
      </c>
      <c r="C1772" s="0" t="n">
        <v>1</v>
      </c>
      <c r="D1772" s="0" t="s">
        <v>2442</v>
      </c>
      <c r="E1772" s="0" t="n">
        <v>1613</v>
      </c>
      <c r="F1772" s="0" t="s">
        <v>50</v>
      </c>
      <c r="I1772" s="0" t="n">
        <v>1598763</v>
      </c>
      <c r="J1772" s="0" t="n">
        <v>21344</v>
      </c>
      <c r="K1772" s="0" t="n">
        <v>7893000632073</v>
      </c>
      <c r="L1772" s="0" t="s">
        <v>3508</v>
      </c>
      <c r="N1772" s="0" t="n">
        <v>12</v>
      </c>
      <c r="O1772" s="0" t="n">
        <v>183.13</v>
      </c>
      <c r="P1772" s="0" t="s">
        <v>2444</v>
      </c>
    </row>
    <row r="1773" customFormat="false" ht="15" hidden="false" customHeight="true" outlineLevel="0" collapsed="false">
      <c r="A1773" s="0" t="n">
        <v>2</v>
      </c>
      <c r="B1773" s="71" t="n">
        <v>46195</v>
      </c>
      <c r="C1773" s="0" t="n">
        <v>1</v>
      </c>
      <c r="D1773" s="0" t="s">
        <v>2442</v>
      </c>
      <c r="E1773" s="0" t="n">
        <v>1613</v>
      </c>
      <c r="F1773" s="0" t="s">
        <v>50</v>
      </c>
      <c r="I1773" s="0" t="n">
        <v>1598763</v>
      </c>
      <c r="J1773" s="0" t="n">
        <v>23695</v>
      </c>
      <c r="K1773" s="0" t="n">
        <v>7891515474126</v>
      </c>
      <c r="L1773" s="0" t="s">
        <v>2979</v>
      </c>
      <c r="N1773" s="0" t="n">
        <v>45</v>
      </c>
      <c r="O1773" s="0" t="n">
        <v>69.6</v>
      </c>
      <c r="P1773" s="0" t="s">
        <v>2444</v>
      </c>
    </row>
    <row r="1774" customFormat="false" ht="15" hidden="false" customHeight="true" outlineLevel="0" collapsed="false">
      <c r="A1774" s="0" t="n">
        <v>2</v>
      </c>
      <c r="B1774" s="71" t="n">
        <v>46195</v>
      </c>
      <c r="C1774" s="0" t="n">
        <v>1</v>
      </c>
      <c r="D1774" s="0" t="s">
        <v>2442</v>
      </c>
      <c r="E1774" s="0" t="n">
        <v>1613</v>
      </c>
      <c r="F1774" s="0" t="s">
        <v>50</v>
      </c>
      <c r="I1774" s="0" t="n">
        <v>1598763</v>
      </c>
      <c r="J1774" s="0" t="n">
        <v>23782</v>
      </c>
      <c r="K1774" s="0" t="n">
        <v>7891515475703</v>
      </c>
      <c r="L1774" s="0" t="s">
        <v>3509</v>
      </c>
      <c r="N1774" s="0" t="n">
        <v>6</v>
      </c>
      <c r="O1774" s="0" t="n">
        <v>121.98</v>
      </c>
      <c r="P1774" s="0" t="s">
        <v>2444</v>
      </c>
    </row>
    <row r="1775" customFormat="false" ht="15" hidden="false" customHeight="true" outlineLevel="0" collapsed="false">
      <c r="A1775" s="0" t="n">
        <v>2</v>
      </c>
      <c r="B1775" s="71" t="n">
        <v>46195</v>
      </c>
      <c r="C1775" s="0" t="n">
        <v>1</v>
      </c>
      <c r="D1775" s="0" t="s">
        <v>2442</v>
      </c>
      <c r="E1775" s="0" t="n">
        <v>1613</v>
      </c>
      <c r="F1775" s="0" t="s">
        <v>50</v>
      </c>
      <c r="I1775" s="0" t="n">
        <v>1598763</v>
      </c>
      <c r="J1775" s="0" t="n">
        <v>30464</v>
      </c>
      <c r="K1775" s="0" t="n">
        <v>7891515474133</v>
      </c>
      <c r="L1775" s="0" t="s">
        <v>3510</v>
      </c>
      <c r="N1775" s="0" t="n">
        <v>30</v>
      </c>
      <c r="O1775" s="0" t="n">
        <v>112.17</v>
      </c>
      <c r="P1775" s="0" t="s">
        <v>2444</v>
      </c>
    </row>
    <row r="1776" customFormat="false" ht="15" hidden="false" customHeight="true" outlineLevel="0" collapsed="false">
      <c r="A1776" s="0" t="n">
        <v>2</v>
      </c>
      <c r="B1776" s="71" t="n">
        <v>46195</v>
      </c>
      <c r="C1776" s="0" t="n">
        <v>1</v>
      </c>
      <c r="D1776" s="0" t="s">
        <v>2442</v>
      </c>
      <c r="E1776" s="0" t="n">
        <v>1613</v>
      </c>
      <c r="F1776" s="0" t="s">
        <v>50</v>
      </c>
      <c r="I1776" s="0" t="n">
        <v>1598763</v>
      </c>
      <c r="J1776" s="0" t="n">
        <v>110181</v>
      </c>
      <c r="K1776" s="0" t="n">
        <v>37389</v>
      </c>
      <c r="L1776" s="0" t="s">
        <v>2981</v>
      </c>
      <c r="N1776" s="0" t="n">
        <v>15</v>
      </c>
      <c r="O1776" s="0" t="n">
        <v>167.4</v>
      </c>
      <c r="P1776" s="0" t="s">
        <v>2444</v>
      </c>
    </row>
    <row r="1777" customFormat="false" ht="15" hidden="false" customHeight="true" outlineLevel="0" collapsed="false">
      <c r="A1777" s="0" t="n">
        <v>2</v>
      </c>
      <c r="B1777" s="71" t="n">
        <v>46195</v>
      </c>
      <c r="C1777" s="0" t="n">
        <v>1</v>
      </c>
      <c r="D1777" s="0" t="s">
        <v>2442</v>
      </c>
      <c r="E1777" s="0" t="n">
        <v>1613</v>
      </c>
      <c r="F1777" s="0" t="s">
        <v>50</v>
      </c>
      <c r="I1777" s="0" t="n">
        <v>1598763</v>
      </c>
      <c r="J1777" s="0" t="n">
        <v>67343</v>
      </c>
      <c r="K1777" s="0" t="n">
        <v>7891515622633</v>
      </c>
      <c r="L1777" s="0" t="s">
        <v>3511</v>
      </c>
      <c r="N1777" s="0" t="n">
        <v>16</v>
      </c>
      <c r="O1777" s="0" t="n">
        <v>121.5</v>
      </c>
      <c r="P1777" s="0" t="s">
        <v>2444</v>
      </c>
    </row>
    <row r="1778" customFormat="false" ht="15" hidden="false" customHeight="true" outlineLevel="0" collapsed="false">
      <c r="A1778" s="0" t="n">
        <v>2</v>
      </c>
      <c r="B1778" s="71" t="n">
        <v>46195</v>
      </c>
      <c r="C1778" s="0" t="n">
        <v>1</v>
      </c>
      <c r="D1778" s="0" t="s">
        <v>2442</v>
      </c>
      <c r="E1778" s="0" t="n">
        <v>1613</v>
      </c>
      <c r="F1778" s="0" t="s">
        <v>50</v>
      </c>
      <c r="I1778" s="0" t="n">
        <v>1598763</v>
      </c>
      <c r="J1778" s="0" t="n">
        <v>73202</v>
      </c>
      <c r="K1778" s="0" t="n">
        <v>7891515605803</v>
      </c>
      <c r="L1778" s="0" t="s">
        <v>3512</v>
      </c>
      <c r="N1778" s="0" t="n">
        <v>12</v>
      </c>
      <c r="O1778" s="0" t="n">
        <v>87.62</v>
      </c>
      <c r="P1778" s="0" t="s">
        <v>2444</v>
      </c>
    </row>
    <row r="1779" customFormat="false" ht="15" hidden="false" customHeight="true" outlineLevel="0" collapsed="false">
      <c r="A1779" s="0" t="n">
        <v>2</v>
      </c>
      <c r="B1779" s="71" t="n">
        <v>46195</v>
      </c>
      <c r="C1779" s="0" t="n">
        <v>1</v>
      </c>
      <c r="D1779" s="0" t="s">
        <v>2442</v>
      </c>
      <c r="E1779" s="0" t="n">
        <v>1608</v>
      </c>
      <c r="F1779" s="0" t="s">
        <v>240</v>
      </c>
      <c r="I1779" s="0" t="n">
        <v>1676804</v>
      </c>
      <c r="J1779" s="0" t="n">
        <v>102366</v>
      </c>
      <c r="K1779" s="0" t="n">
        <v>7894321722016</v>
      </c>
      <c r="L1779" s="0" t="s">
        <v>3513</v>
      </c>
      <c r="N1779" s="0" t="n">
        <v>108</v>
      </c>
      <c r="O1779" s="0" t="n">
        <v>279.72</v>
      </c>
      <c r="P1779" s="0" t="s">
        <v>2444</v>
      </c>
    </row>
    <row r="1780" customFormat="false" ht="15" hidden="false" customHeight="true" outlineLevel="0" collapsed="false">
      <c r="A1780" s="0" t="n">
        <v>2</v>
      </c>
      <c r="B1780" s="71" t="n">
        <v>46195</v>
      </c>
      <c r="C1780" s="0" t="n">
        <v>1</v>
      </c>
      <c r="D1780" s="0" t="s">
        <v>2442</v>
      </c>
      <c r="E1780" s="0" t="n">
        <v>1608</v>
      </c>
      <c r="F1780" s="0" t="s">
        <v>240</v>
      </c>
      <c r="I1780" s="0" t="n">
        <v>1676804</v>
      </c>
      <c r="J1780" s="0" t="n">
        <v>107088</v>
      </c>
      <c r="K1780" s="0" t="n">
        <v>7896828000482</v>
      </c>
      <c r="L1780" s="0" t="s">
        <v>3514</v>
      </c>
      <c r="N1780" s="0" t="n">
        <v>12</v>
      </c>
      <c r="O1780" s="0" t="n">
        <v>64.08</v>
      </c>
      <c r="P1780" s="0" t="s">
        <v>2444</v>
      </c>
    </row>
    <row r="1781" customFormat="false" ht="15" hidden="false" customHeight="true" outlineLevel="0" collapsed="false">
      <c r="A1781" s="0" t="n">
        <v>2</v>
      </c>
      <c r="B1781" s="71" t="n">
        <v>46195</v>
      </c>
      <c r="C1781" s="0" t="n">
        <v>1</v>
      </c>
      <c r="D1781" s="0" t="s">
        <v>2442</v>
      </c>
      <c r="E1781" s="0" t="n">
        <v>1608</v>
      </c>
      <c r="F1781" s="0" t="s">
        <v>240</v>
      </c>
      <c r="I1781" s="0" t="n">
        <v>1676804</v>
      </c>
      <c r="J1781" s="0" t="n">
        <v>11626</v>
      </c>
      <c r="K1781" s="0" t="n">
        <v>7896828000239</v>
      </c>
      <c r="L1781" s="0" t="s">
        <v>3515</v>
      </c>
      <c r="N1781" s="0" t="n">
        <v>12</v>
      </c>
      <c r="O1781" s="0" t="n">
        <v>167.04</v>
      </c>
      <c r="P1781" s="0" t="s">
        <v>2444</v>
      </c>
    </row>
    <row r="1782" customFormat="false" ht="15" hidden="false" customHeight="true" outlineLevel="0" collapsed="false">
      <c r="A1782" s="0" t="n">
        <v>2</v>
      </c>
      <c r="B1782" s="71" t="n">
        <v>46195</v>
      </c>
      <c r="C1782" s="0" t="n">
        <v>1</v>
      </c>
      <c r="D1782" s="0" t="s">
        <v>2442</v>
      </c>
      <c r="E1782" s="0" t="n">
        <v>1608</v>
      </c>
      <c r="F1782" s="0" t="s">
        <v>240</v>
      </c>
      <c r="I1782" s="0" t="n">
        <v>1676804</v>
      </c>
      <c r="J1782" s="0" t="n">
        <v>29083</v>
      </c>
      <c r="K1782" s="0" t="n">
        <v>7892840818142</v>
      </c>
      <c r="L1782" s="0" t="s">
        <v>3516</v>
      </c>
      <c r="N1782" s="0" t="n">
        <v>5</v>
      </c>
      <c r="O1782" s="0" t="n">
        <v>56.95</v>
      </c>
      <c r="P1782" s="0" t="s">
        <v>2444</v>
      </c>
    </row>
    <row r="1783" customFormat="false" ht="15" hidden="false" customHeight="true" outlineLevel="0" collapsed="false">
      <c r="A1783" s="0" t="n">
        <v>2</v>
      </c>
      <c r="B1783" s="71" t="n">
        <v>46195</v>
      </c>
      <c r="C1783" s="0" t="n">
        <v>1</v>
      </c>
      <c r="D1783" s="0" t="s">
        <v>2442</v>
      </c>
      <c r="E1783" s="0" t="n">
        <v>1608</v>
      </c>
      <c r="F1783" s="0" t="s">
        <v>240</v>
      </c>
      <c r="I1783" s="0" t="n">
        <v>1676804</v>
      </c>
      <c r="J1783" s="0" t="n">
        <v>31896</v>
      </c>
      <c r="K1783" s="0" t="n">
        <v>7894321242521</v>
      </c>
      <c r="L1783" s="0" t="s">
        <v>3517</v>
      </c>
      <c r="N1783" s="0" t="n">
        <v>27</v>
      </c>
      <c r="O1783" s="0" t="n">
        <v>69.93</v>
      </c>
      <c r="P1783" s="0" t="s">
        <v>2444</v>
      </c>
    </row>
    <row r="1784" customFormat="false" ht="15" hidden="false" customHeight="true" outlineLevel="0" collapsed="false">
      <c r="A1784" s="0" t="n">
        <v>2</v>
      </c>
      <c r="B1784" s="71" t="n">
        <v>46195</v>
      </c>
      <c r="C1784" s="0" t="n">
        <v>1</v>
      </c>
      <c r="D1784" s="0" t="s">
        <v>2442</v>
      </c>
      <c r="E1784" s="0" t="n">
        <v>1608</v>
      </c>
      <c r="F1784" s="0" t="s">
        <v>240</v>
      </c>
      <c r="I1784" s="0" t="n">
        <v>1676804</v>
      </c>
      <c r="J1784" s="0" t="n">
        <v>32249</v>
      </c>
      <c r="K1784" s="0" t="n">
        <v>7892840815752</v>
      </c>
      <c r="L1784" s="0" t="s">
        <v>3518</v>
      </c>
      <c r="N1784" s="0" t="n">
        <v>14</v>
      </c>
      <c r="O1784" s="0" t="n">
        <v>59.22</v>
      </c>
      <c r="P1784" s="0" t="s">
        <v>2444</v>
      </c>
    </row>
    <row r="1785" customFormat="false" ht="15" hidden="false" customHeight="true" outlineLevel="0" collapsed="false">
      <c r="A1785" s="0" t="n">
        <v>2</v>
      </c>
      <c r="B1785" s="71" t="n">
        <v>46195</v>
      </c>
      <c r="C1785" s="0" t="n">
        <v>1</v>
      </c>
      <c r="D1785" s="0" t="s">
        <v>2442</v>
      </c>
      <c r="E1785" s="0" t="n">
        <v>1608</v>
      </c>
      <c r="F1785" s="0" t="s">
        <v>240</v>
      </c>
      <c r="I1785" s="0" t="n">
        <v>1676804</v>
      </c>
      <c r="J1785" s="0" t="n">
        <v>32648</v>
      </c>
      <c r="K1785" s="0" t="n">
        <v>7892840815769</v>
      </c>
      <c r="L1785" s="0" t="s">
        <v>3519</v>
      </c>
      <c r="N1785" s="0" t="n">
        <v>14</v>
      </c>
      <c r="O1785" s="0" t="n">
        <v>59.22</v>
      </c>
      <c r="P1785" s="0" t="s">
        <v>2444</v>
      </c>
    </row>
    <row r="1786" customFormat="false" ht="15" hidden="false" customHeight="true" outlineLevel="0" collapsed="false">
      <c r="A1786" s="0" t="n">
        <v>2</v>
      </c>
      <c r="B1786" s="71" t="n">
        <v>46195</v>
      </c>
      <c r="C1786" s="0" t="n">
        <v>1</v>
      </c>
      <c r="D1786" s="0" t="s">
        <v>2442</v>
      </c>
      <c r="E1786" s="0" t="n">
        <v>1608</v>
      </c>
      <c r="F1786" s="0" t="s">
        <v>240</v>
      </c>
      <c r="I1786" s="0" t="n">
        <v>1676804</v>
      </c>
      <c r="J1786" s="0" t="n">
        <v>36474</v>
      </c>
      <c r="K1786" s="0" t="n">
        <v>7892840815745</v>
      </c>
      <c r="L1786" s="0" t="s">
        <v>3520</v>
      </c>
      <c r="N1786" s="0" t="n">
        <v>60</v>
      </c>
      <c r="O1786" s="0" t="n">
        <v>132</v>
      </c>
      <c r="P1786" s="0" t="s">
        <v>2444</v>
      </c>
    </row>
    <row r="1787" customFormat="false" ht="15" hidden="false" customHeight="true" outlineLevel="0" collapsed="false">
      <c r="A1787" s="0" t="n">
        <v>2</v>
      </c>
      <c r="B1787" s="71" t="n">
        <v>46195</v>
      </c>
      <c r="C1787" s="0" t="n">
        <v>1</v>
      </c>
      <c r="D1787" s="0" t="s">
        <v>2442</v>
      </c>
      <c r="E1787" s="0" t="n">
        <v>1608</v>
      </c>
      <c r="F1787" s="0" t="s">
        <v>240</v>
      </c>
      <c r="I1787" s="0" t="n">
        <v>1676804</v>
      </c>
      <c r="J1787" s="0" t="n">
        <v>38353</v>
      </c>
      <c r="K1787" s="0" t="n">
        <v>7892840817978</v>
      </c>
      <c r="L1787" s="0" t="s">
        <v>3521</v>
      </c>
      <c r="N1787" s="0" t="n">
        <v>5</v>
      </c>
      <c r="O1787" s="0" t="n">
        <v>56.95</v>
      </c>
      <c r="P1787" s="0" t="s">
        <v>2444</v>
      </c>
    </row>
    <row r="1788" customFormat="false" ht="15" hidden="false" customHeight="true" outlineLevel="0" collapsed="false">
      <c r="A1788" s="0" t="n">
        <v>2</v>
      </c>
      <c r="B1788" s="71" t="n">
        <v>46195</v>
      </c>
      <c r="C1788" s="0" t="n">
        <v>1</v>
      </c>
      <c r="D1788" s="0" t="s">
        <v>2442</v>
      </c>
      <c r="E1788" s="0" t="n">
        <v>1608</v>
      </c>
      <c r="F1788" s="0" t="s">
        <v>240</v>
      </c>
      <c r="I1788" s="0" t="n">
        <v>1676804</v>
      </c>
      <c r="J1788" s="0" t="n">
        <v>38354</v>
      </c>
      <c r="K1788" s="0" t="n">
        <v>7892840818159</v>
      </c>
      <c r="L1788" s="0" t="s">
        <v>3522</v>
      </c>
      <c r="N1788" s="0" t="n">
        <v>5</v>
      </c>
      <c r="O1788" s="0" t="n">
        <v>56.95</v>
      </c>
      <c r="P1788" s="0" t="s">
        <v>2444</v>
      </c>
    </row>
    <row r="1789" customFormat="false" ht="15" hidden="false" customHeight="true" outlineLevel="0" collapsed="false">
      <c r="A1789" s="0" t="n">
        <v>2</v>
      </c>
      <c r="B1789" s="71" t="n">
        <v>46195</v>
      </c>
      <c r="C1789" s="0" t="n">
        <v>1</v>
      </c>
      <c r="D1789" s="0" t="s">
        <v>2442</v>
      </c>
      <c r="E1789" s="0" t="n">
        <v>1608</v>
      </c>
      <c r="F1789" s="0" t="s">
        <v>240</v>
      </c>
      <c r="I1789" s="0" t="n">
        <v>1676804</v>
      </c>
      <c r="J1789" s="0" t="n">
        <v>54095</v>
      </c>
      <c r="K1789" s="0" t="n">
        <v>7892840820381</v>
      </c>
      <c r="L1789" s="0" t="s">
        <v>3523</v>
      </c>
      <c r="N1789" s="0" t="n">
        <v>15</v>
      </c>
      <c r="O1789" s="0" t="n">
        <v>94.8</v>
      </c>
      <c r="P1789" s="0" t="s">
        <v>2444</v>
      </c>
    </row>
    <row r="1790" customFormat="false" ht="15" hidden="false" customHeight="true" outlineLevel="0" collapsed="false">
      <c r="A1790" s="0" t="n">
        <v>2</v>
      </c>
      <c r="B1790" s="71" t="n">
        <v>46195</v>
      </c>
      <c r="C1790" s="0" t="n">
        <v>1</v>
      </c>
      <c r="D1790" s="0" t="s">
        <v>2442</v>
      </c>
      <c r="E1790" s="0" t="n">
        <v>1608</v>
      </c>
      <c r="F1790" s="0" t="s">
        <v>240</v>
      </c>
      <c r="I1790" s="0" t="n">
        <v>1676804</v>
      </c>
      <c r="J1790" s="0" t="n">
        <v>65341</v>
      </c>
      <c r="K1790" s="0" t="n">
        <v>7892840822309</v>
      </c>
      <c r="L1790" s="0" t="s">
        <v>3524</v>
      </c>
      <c r="N1790" s="0" t="n">
        <v>32</v>
      </c>
      <c r="O1790" s="0" t="n">
        <v>103.36</v>
      </c>
      <c r="P1790" s="0" t="s">
        <v>2444</v>
      </c>
    </row>
    <row r="1791" customFormat="false" ht="15" hidden="false" customHeight="true" outlineLevel="0" collapsed="false">
      <c r="A1791" s="0" t="n">
        <v>2</v>
      </c>
      <c r="B1791" s="71" t="n">
        <v>46195</v>
      </c>
      <c r="C1791" s="0" t="n">
        <v>1</v>
      </c>
      <c r="D1791" s="0" t="s">
        <v>2442</v>
      </c>
      <c r="E1791" s="0" t="n">
        <v>1608</v>
      </c>
      <c r="F1791" s="0" t="s">
        <v>240</v>
      </c>
      <c r="I1791" s="0" t="n">
        <v>1676804</v>
      </c>
      <c r="J1791" s="0" t="n">
        <v>65342</v>
      </c>
      <c r="K1791" s="0" t="n">
        <v>7892840822446</v>
      </c>
      <c r="L1791" s="0" t="s">
        <v>3525</v>
      </c>
      <c r="N1791" s="0" t="n">
        <v>10</v>
      </c>
      <c r="O1791" s="0" t="n">
        <v>129.6</v>
      </c>
      <c r="P1791" s="0" t="s">
        <v>2444</v>
      </c>
    </row>
    <row r="1792" customFormat="false" ht="15" hidden="false" customHeight="true" outlineLevel="0" collapsed="false">
      <c r="A1792" s="0" t="n">
        <v>2</v>
      </c>
      <c r="B1792" s="71" t="n">
        <v>46195</v>
      </c>
      <c r="C1792" s="0" t="n">
        <v>1</v>
      </c>
      <c r="D1792" s="0" t="s">
        <v>2442</v>
      </c>
      <c r="E1792" s="0" t="n">
        <v>1608</v>
      </c>
      <c r="F1792" s="0" t="s">
        <v>240</v>
      </c>
      <c r="I1792" s="0" t="n">
        <v>1676804</v>
      </c>
      <c r="J1792" s="0" t="n">
        <v>65383</v>
      </c>
      <c r="K1792" s="0" t="n">
        <v>7892840822859</v>
      </c>
      <c r="L1792" s="0" t="s">
        <v>3526</v>
      </c>
      <c r="N1792" s="0" t="n">
        <v>20</v>
      </c>
      <c r="O1792" s="0" t="n">
        <v>51.4</v>
      </c>
      <c r="P1792" s="0" t="s">
        <v>2444</v>
      </c>
    </row>
    <row r="1793" customFormat="false" ht="15" hidden="false" customHeight="true" outlineLevel="0" collapsed="false">
      <c r="A1793" s="0" t="n">
        <v>2</v>
      </c>
      <c r="B1793" s="71" t="n">
        <v>46195</v>
      </c>
      <c r="C1793" s="0" t="n">
        <v>1</v>
      </c>
      <c r="D1793" s="0" t="s">
        <v>2442</v>
      </c>
      <c r="E1793" s="0" t="n">
        <v>1608</v>
      </c>
      <c r="F1793" s="0" t="s">
        <v>240</v>
      </c>
      <c r="I1793" s="0" t="n">
        <v>1676804</v>
      </c>
      <c r="J1793" s="0" t="n">
        <v>65591</v>
      </c>
      <c r="K1793" s="0" t="n">
        <v>7892840822941</v>
      </c>
      <c r="L1793" s="0" t="s">
        <v>3527</v>
      </c>
      <c r="N1793" s="0" t="n">
        <v>3</v>
      </c>
      <c r="O1793" s="0" t="n">
        <v>39.06</v>
      </c>
      <c r="P1793" s="0" t="s">
        <v>2444</v>
      </c>
    </row>
    <row r="1794" customFormat="false" ht="15" hidden="false" customHeight="true" outlineLevel="0" collapsed="false">
      <c r="A1794" s="0" t="n">
        <v>2</v>
      </c>
      <c r="B1794" s="71" t="n">
        <v>46195</v>
      </c>
      <c r="C1794" s="0" t="n">
        <v>1</v>
      </c>
      <c r="D1794" s="0" t="s">
        <v>2442</v>
      </c>
      <c r="E1794" s="0" t="n">
        <v>1608</v>
      </c>
      <c r="F1794" s="0" t="s">
        <v>240</v>
      </c>
      <c r="I1794" s="0" t="n">
        <v>1676804</v>
      </c>
      <c r="J1794" s="0" t="n">
        <v>65592</v>
      </c>
      <c r="K1794" s="0" t="n">
        <v>7892840822286</v>
      </c>
      <c r="L1794" s="0" t="s">
        <v>3528</v>
      </c>
      <c r="N1794" s="0" t="n">
        <v>28</v>
      </c>
      <c r="O1794" s="0" t="n">
        <v>90.44</v>
      </c>
      <c r="P1794" s="0" t="s">
        <v>2444</v>
      </c>
    </row>
    <row r="1795" customFormat="false" ht="15" hidden="false" customHeight="true" outlineLevel="0" collapsed="false">
      <c r="A1795" s="0" t="n">
        <v>2</v>
      </c>
      <c r="B1795" s="71" t="n">
        <v>46195</v>
      </c>
      <c r="C1795" s="0" t="n">
        <v>1</v>
      </c>
      <c r="D1795" s="0" t="s">
        <v>2442</v>
      </c>
      <c r="E1795" s="0" t="n">
        <v>1608</v>
      </c>
      <c r="F1795" s="0" t="s">
        <v>240</v>
      </c>
      <c r="I1795" s="0" t="n">
        <v>1676804</v>
      </c>
      <c r="J1795" s="0" t="n">
        <v>65597</v>
      </c>
      <c r="K1795" s="0" t="n">
        <v>7892840822736</v>
      </c>
      <c r="L1795" s="0" t="s">
        <v>3529</v>
      </c>
      <c r="N1795" s="0" t="n">
        <v>9</v>
      </c>
      <c r="O1795" s="0" t="n">
        <v>109.8</v>
      </c>
      <c r="P1795" s="0" t="s">
        <v>2444</v>
      </c>
    </row>
    <row r="1796" customFormat="false" ht="15" hidden="false" customHeight="true" outlineLevel="0" collapsed="false">
      <c r="A1796" s="0" t="n">
        <v>2</v>
      </c>
      <c r="B1796" s="71" t="n">
        <v>46195</v>
      </c>
      <c r="C1796" s="0" t="n">
        <v>1</v>
      </c>
      <c r="D1796" s="0" t="s">
        <v>2442</v>
      </c>
      <c r="E1796" s="0" t="n">
        <v>1608</v>
      </c>
      <c r="F1796" s="0" t="s">
        <v>240</v>
      </c>
      <c r="I1796" s="0" t="n">
        <v>1676804</v>
      </c>
      <c r="J1796" s="0" t="n">
        <v>65598</v>
      </c>
      <c r="K1796" s="0" t="n">
        <v>7892840822361</v>
      </c>
      <c r="L1796" s="0" t="s">
        <v>3530</v>
      </c>
      <c r="N1796" s="0" t="n">
        <v>15</v>
      </c>
      <c r="O1796" s="0" t="n">
        <v>114.3</v>
      </c>
      <c r="P1796" s="0" t="s">
        <v>2444</v>
      </c>
    </row>
    <row r="1797" customFormat="false" ht="15" hidden="false" customHeight="true" outlineLevel="0" collapsed="false">
      <c r="A1797" s="0" t="n">
        <v>2</v>
      </c>
      <c r="B1797" s="71" t="n">
        <v>46195</v>
      </c>
      <c r="C1797" s="0" t="n">
        <v>1</v>
      </c>
      <c r="D1797" s="0" t="s">
        <v>2442</v>
      </c>
      <c r="E1797" s="0" t="n">
        <v>1608</v>
      </c>
      <c r="F1797" s="0" t="s">
        <v>240</v>
      </c>
      <c r="I1797" s="0" t="n">
        <v>1676804</v>
      </c>
      <c r="J1797" s="0" t="n">
        <v>65734</v>
      </c>
      <c r="K1797" s="0" t="n">
        <v>7892840823047</v>
      </c>
      <c r="L1797" s="0" t="s">
        <v>3531</v>
      </c>
      <c r="N1797" s="0" t="n">
        <v>16</v>
      </c>
      <c r="O1797" s="0" t="n">
        <v>99.36</v>
      </c>
      <c r="P1797" s="0" t="s">
        <v>2444</v>
      </c>
    </row>
    <row r="1798" customFormat="false" ht="15" hidden="false" customHeight="true" outlineLevel="0" collapsed="false">
      <c r="A1798" s="0" t="n">
        <v>2</v>
      </c>
      <c r="B1798" s="71" t="n">
        <v>46195</v>
      </c>
      <c r="C1798" s="0" t="n">
        <v>1</v>
      </c>
      <c r="D1798" s="0" t="s">
        <v>2442</v>
      </c>
      <c r="E1798" s="0" t="n">
        <v>1608</v>
      </c>
      <c r="F1798" s="0" t="s">
        <v>240</v>
      </c>
      <c r="I1798" s="0" t="n">
        <v>1676804</v>
      </c>
      <c r="J1798" s="0" t="n">
        <v>65736</v>
      </c>
      <c r="K1798" s="0" t="n">
        <v>7892840823054</v>
      </c>
      <c r="L1798" s="0" t="s">
        <v>3532</v>
      </c>
      <c r="N1798" s="0" t="n">
        <v>20</v>
      </c>
      <c r="O1798" s="0" t="n">
        <v>124.2</v>
      </c>
      <c r="P1798" s="0" t="s">
        <v>2444</v>
      </c>
    </row>
    <row r="1799" customFormat="false" ht="15" hidden="false" customHeight="true" outlineLevel="0" collapsed="false">
      <c r="A1799" s="0" t="n">
        <v>2</v>
      </c>
      <c r="B1799" s="71" t="n">
        <v>46195</v>
      </c>
      <c r="C1799" s="0" t="n">
        <v>1</v>
      </c>
      <c r="D1799" s="0" t="s">
        <v>2442</v>
      </c>
      <c r="E1799" s="0" t="n">
        <v>1608</v>
      </c>
      <c r="F1799" s="0" t="s">
        <v>240</v>
      </c>
      <c r="I1799" s="0" t="n">
        <v>1676804</v>
      </c>
      <c r="J1799" s="0" t="n">
        <v>65799</v>
      </c>
      <c r="K1799" s="0" t="n">
        <v>7892840822385</v>
      </c>
      <c r="L1799" s="0" t="s">
        <v>3533</v>
      </c>
      <c r="N1799" s="0" t="n">
        <v>58</v>
      </c>
      <c r="O1799" s="0" t="n">
        <v>212.28</v>
      </c>
      <c r="P1799" s="0" t="s">
        <v>2444</v>
      </c>
    </row>
    <row r="1800" customFormat="false" ht="15" hidden="false" customHeight="true" outlineLevel="0" collapsed="false">
      <c r="A1800" s="0" t="n">
        <v>2</v>
      </c>
      <c r="B1800" s="71" t="n">
        <v>46195</v>
      </c>
      <c r="C1800" s="0" t="n">
        <v>1</v>
      </c>
      <c r="D1800" s="0" t="s">
        <v>2442</v>
      </c>
      <c r="E1800" s="0" t="n">
        <v>1608</v>
      </c>
      <c r="F1800" s="0" t="s">
        <v>240</v>
      </c>
      <c r="I1800" s="0" t="n">
        <v>1676804</v>
      </c>
      <c r="J1800" s="0" t="n">
        <v>65964</v>
      </c>
      <c r="K1800" s="0" t="n">
        <v>7892840822422</v>
      </c>
      <c r="L1800" s="0" t="s">
        <v>3534</v>
      </c>
      <c r="N1800" s="0" t="n">
        <v>12</v>
      </c>
      <c r="O1800" s="0" t="n">
        <v>21</v>
      </c>
      <c r="P1800" s="0" t="s">
        <v>2444</v>
      </c>
    </row>
    <row r="1801" customFormat="false" ht="15" hidden="false" customHeight="true" outlineLevel="0" collapsed="false">
      <c r="A1801" s="0" t="n">
        <v>2</v>
      </c>
      <c r="B1801" s="71" t="n">
        <v>46195</v>
      </c>
      <c r="C1801" s="0" t="n">
        <v>1</v>
      </c>
      <c r="D1801" s="0" t="s">
        <v>2442</v>
      </c>
      <c r="E1801" s="0" t="n">
        <v>1608</v>
      </c>
      <c r="F1801" s="0" t="s">
        <v>240</v>
      </c>
      <c r="I1801" s="0" t="n">
        <v>1676804</v>
      </c>
      <c r="J1801" s="0" t="n">
        <v>65965</v>
      </c>
      <c r="K1801" s="0" t="n">
        <v>7892840822507</v>
      </c>
      <c r="L1801" s="0" t="s">
        <v>3535</v>
      </c>
      <c r="N1801" s="0" t="n">
        <v>12</v>
      </c>
      <c r="O1801" s="0" t="n">
        <v>21</v>
      </c>
      <c r="P1801" s="0" t="s">
        <v>2444</v>
      </c>
    </row>
    <row r="1802" customFormat="false" ht="15" hidden="false" customHeight="true" outlineLevel="0" collapsed="false">
      <c r="A1802" s="0" t="n">
        <v>2</v>
      </c>
      <c r="B1802" s="71" t="n">
        <v>46195</v>
      </c>
      <c r="C1802" s="0" t="n">
        <v>1</v>
      </c>
      <c r="D1802" s="0" t="s">
        <v>2442</v>
      </c>
      <c r="E1802" s="0" t="n">
        <v>1608</v>
      </c>
      <c r="F1802" s="0" t="s">
        <v>240</v>
      </c>
      <c r="I1802" s="0" t="n">
        <v>1676804</v>
      </c>
      <c r="J1802" s="0" t="n">
        <v>65966</v>
      </c>
      <c r="K1802" s="0" t="n">
        <v>7892840822521</v>
      </c>
      <c r="L1802" s="0" t="s">
        <v>3536</v>
      </c>
      <c r="N1802" s="0" t="n">
        <v>12</v>
      </c>
      <c r="O1802" s="0" t="n">
        <v>21</v>
      </c>
      <c r="P1802" s="0" t="s">
        <v>2444</v>
      </c>
    </row>
    <row r="1803" customFormat="false" ht="15" hidden="false" customHeight="true" outlineLevel="0" collapsed="false">
      <c r="A1803" s="0" t="n">
        <v>2</v>
      </c>
      <c r="B1803" s="71" t="n">
        <v>46195</v>
      </c>
      <c r="C1803" s="0" t="n">
        <v>1</v>
      </c>
      <c r="D1803" s="0" t="s">
        <v>2442</v>
      </c>
      <c r="E1803" s="0" t="n">
        <v>1608</v>
      </c>
      <c r="F1803" s="0" t="s">
        <v>240</v>
      </c>
      <c r="I1803" s="0" t="n">
        <v>1676804</v>
      </c>
      <c r="J1803" s="0" t="n">
        <v>66000</v>
      </c>
      <c r="K1803" s="0" t="n">
        <v>7892840822484</v>
      </c>
      <c r="L1803" s="0" t="s">
        <v>3537</v>
      </c>
      <c r="N1803" s="0" t="n">
        <v>12</v>
      </c>
      <c r="O1803" s="0" t="n">
        <v>21</v>
      </c>
      <c r="P1803" s="0" t="s">
        <v>2444</v>
      </c>
    </row>
    <row r="1804" customFormat="false" ht="15" hidden="false" customHeight="true" outlineLevel="0" collapsed="false">
      <c r="A1804" s="0" t="n">
        <v>2</v>
      </c>
      <c r="B1804" s="71" t="n">
        <v>46195</v>
      </c>
      <c r="C1804" s="0" t="n">
        <v>1</v>
      </c>
      <c r="D1804" s="0" t="s">
        <v>2442</v>
      </c>
      <c r="E1804" s="0" t="n">
        <v>1608</v>
      </c>
      <c r="F1804" s="0" t="s">
        <v>240</v>
      </c>
      <c r="I1804" s="0" t="n">
        <v>1676804</v>
      </c>
      <c r="J1804" s="0" t="n">
        <v>66002</v>
      </c>
      <c r="K1804" s="0" t="n">
        <v>7892840823481</v>
      </c>
      <c r="L1804" s="0" t="s">
        <v>3538</v>
      </c>
      <c r="N1804" s="0" t="n">
        <v>21</v>
      </c>
      <c r="O1804" s="0" t="n">
        <v>82.74</v>
      </c>
      <c r="P1804" s="0" t="s">
        <v>2444</v>
      </c>
    </row>
    <row r="1805" customFormat="false" ht="15" hidden="false" customHeight="true" outlineLevel="0" collapsed="false">
      <c r="A1805" s="0" t="n">
        <v>2</v>
      </c>
      <c r="B1805" s="71" t="n">
        <v>46195</v>
      </c>
      <c r="C1805" s="0" t="n">
        <v>1</v>
      </c>
      <c r="D1805" s="0" t="s">
        <v>2442</v>
      </c>
      <c r="E1805" s="0" t="n">
        <v>1608</v>
      </c>
      <c r="F1805" s="0" t="s">
        <v>240</v>
      </c>
      <c r="I1805" s="0" t="n">
        <v>1676804</v>
      </c>
      <c r="J1805" s="0" t="n">
        <v>66089</v>
      </c>
      <c r="K1805" s="0" t="n">
        <v>7892840822323</v>
      </c>
      <c r="L1805" s="0" t="s">
        <v>3539</v>
      </c>
      <c r="N1805" s="0" t="n">
        <v>12</v>
      </c>
      <c r="O1805" s="0" t="n">
        <v>153.6</v>
      </c>
      <c r="P1805" s="0" t="s">
        <v>2444</v>
      </c>
    </row>
    <row r="1806" customFormat="false" ht="15" hidden="false" customHeight="true" outlineLevel="0" collapsed="false">
      <c r="A1806" s="0" t="n">
        <v>2</v>
      </c>
      <c r="B1806" s="71" t="n">
        <v>46195</v>
      </c>
      <c r="C1806" s="0" t="n">
        <v>1</v>
      </c>
      <c r="D1806" s="0" t="s">
        <v>2442</v>
      </c>
      <c r="E1806" s="0" t="n">
        <v>1608</v>
      </c>
      <c r="F1806" s="0" t="s">
        <v>240</v>
      </c>
      <c r="I1806" s="0" t="n">
        <v>1676804</v>
      </c>
      <c r="J1806" s="0" t="n">
        <v>66252</v>
      </c>
      <c r="K1806" s="0" t="n">
        <v>7892840822392</v>
      </c>
      <c r="L1806" s="0" t="s">
        <v>3540</v>
      </c>
      <c r="N1806" s="0" t="n">
        <v>26</v>
      </c>
      <c r="O1806" s="0" t="n">
        <v>86.32</v>
      </c>
      <c r="P1806" s="0" t="s">
        <v>2444</v>
      </c>
    </row>
    <row r="1807" customFormat="false" ht="15" hidden="false" customHeight="true" outlineLevel="0" collapsed="false">
      <c r="A1807" s="0" t="n">
        <v>2</v>
      </c>
      <c r="B1807" s="71" t="n">
        <v>46195</v>
      </c>
      <c r="C1807" s="0" t="n">
        <v>1</v>
      </c>
      <c r="D1807" s="0" t="s">
        <v>2442</v>
      </c>
      <c r="E1807" s="0" t="n">
        <v>1608</v>
      </c>
      <c r="F1807" s="0" t="s">
        <v>240</v>
      </c>
      <c r="I1807" s="0" t="n">
        <v>1676804</v>
      </c>
      <c r="J1807" s="0" t="n">
        <v>66584</v>
      </c>
      <c r="K1807" s="0" t="n">
        <v>7892840822453</v>
      </c>
      <c r="L1807" s="0" t="s">
        <v>3541</v>
      </c>
      <c r="N1807" s="0" t="n">
        <v>12</v>
      </c>
      <c r="O1807" s="0" t="n">
        <v>21</v>
      </c>
      <c r="P1807" s="0" t="s">
        <v>2444</v>
      </c>
    </row>
    <row r="1808" customFormat="false" ht="15" hidden="false" customHeight="true" outlineLevel="0" collapsed="false">
      <c r="A1808" s="0" t="n">
        <v>2</v>
      </c>
      <c r="B1808" s="71" t="n">
        <v>46195</v>
      </c>
      <c r="C1808" s="0" t="n">
        <v>1</v>
      </c>
      <c r="D1808" s="0" t="s">
        <v>2442</v>
      </c>
      <c r="E1808" s="0" t="n">
        <v>1608</v>
      </c>
      <c r="F1808" s="0" t="s">
        <v>240</v>
      </c>
      <c r="I1808" s="0" t="n">
        <v>1676804</v>
      </c>
      <c r="J1808" s="0" t="n">
        <v>66993</v>
      </c>
      <c r="K1808" s="0" t="n">
        <v>7892840822347</v>
      </c>
      <c r="L1808" s="0" t="s">
        <v>3525</v>
      </c>
      <c r="N1808" s="0" t="n">
        <v>20</v>
      </c>
      <c r="O1808" s="0" t="n">
        <v>167.6</v>
      </c>
      <c r="P1808" s="0" t="s">
        <v>2444</v>
      </c>
    </row>
    <row r="1809" customFormat="false" ht="15" hidden="false" customHeight="true" outlineLevel="0" collapsed="false">
      <c r="A1809" s="0" t="n">
        <v>2</v>
      </c>
      <c r="B1809" s="71" t="n">
        <v>46195</v>
      </c>
      <c r="C1809" s="0" t="n">
        <v>1</v>
      </c>
      <c r="D1809" s="0" t="s">
        <v>2442</v>
      </c>
      <c r="E1809" s="0" t="n">
        <v>1608</v>
      </c>
      <c r="F1809" s="0" t="s">
        <v>240</v>
      </c>
      <c r="I1809" s="0" t="n">
        <v>1676804</v>
      </c>
      <c r="J1809" s="0" t="n">
        <v>67604</v>
      </c>
      <c r="K1809" s="0" t="n">
        <v>7892840823467</v>
      </c>
      <c r="L1809" s="0" t="s">
        <v>2835</v>
      </c>
      <c r="N1809" s="0" t="n">
        <v>14</v>
      </c>
      <c r="O1809" s="0" t="n">
        <v>118.86</v>
      </c>
      <c r="P1809" s="0" t="s">
        <v>2444</v>
      </c>
    </row>
    <row r="1810" customFormat="false" ht="15" hidden="false" customHeight="true" outlineLevel="0" collapsed="false">
      <c r="A1810" s="0" t="n">
        <v>2</v>
      </c>
      <c r="B1810" s="71" t="n">
        <v>46195</v>
      </c>
      <c r="C1810" s="0" t="n">
        <v>1</v>
      </c>
      <c r="D1810" s="0" t="s">
        <v>2442</v>
      </c>
      <c r="E1810" s="0" t="n">
        <v>1608</v>
      </c>
      <c r="F1810" s="0" t="s">
        <v>240</v>
      </c>
      <c r="I1810" s="0" t="n">
        <v>1676804</v>
      </c>
      <c r="J1810" s="0" t="n">
        <v>67725</v>
      </c>
      <c r="K1810" s="0" t="n">
        <v>7892840822477</v>
      </c>
      <c r="L1810" s="0" t="s">
        <v>3542</v>
      </c>
      <c r="N1810" s="0" t="n">
        <v>12</v>
      </c>
      <c r="O1810" s="0" t="n">
        <v>21</v>
      </c>
      <c r="P1810" s="0" t="s">
        <v>2444</v>
      </c>
    </row>
    <row r="1811" customFormat="false" ht="15" hidden="false" customHeight="true" outlineLevel="0" collapsed="false">
      <c r="A1811" s="0" t="n">
        <v>2</v>
      </c>
      <c r="B1811" s="71" t="n">
        <v>46195</v>
      </c>
      <c r="C1811" s="0" t="n">
        <v>1</v>
      </c>
      <c r="D1811" s="0" t="s">
        <v>2442</v>
      </c>
      <c r="E1811" s="0" t="n">
        <v>1608</v>
      </c>
      <c r="F1811" s="0" t="s">
        <v>240</v>
      </c>
      <c r="I1811" s="0" t="n">
        <v>1676804</v>
      </c>
      <c r="J1811" s="0" t="n">
        <v>68927</v>
      </c>
      <c r="K1811" s="0" t="n">
        <v>7892840823030</v>
      </c>
      <c r="L1811" s="0" t="s">
        <v>3543</v>
      </c>
      <c r="N1811" s="0" t="n">
        <v>16</v>
      </c>
      <c r="O1811" s="0" t="n">
        <v>99.36</v>
      </c>
      <c r="P1811" s="0" t="s">
        <v>2444</v>
      </c>
    </row>
    <row r="1812" customFormat="false" ht="15" hidden="false" customHeight="true" outlineLevel="0" collapsed="false">
      <c r="A1812" s="0" t="n">
        <v>2</v>
      </c>
      <c r="B1812" s="71" t="n">
        <v>46195</v>
      </c>
      <c r="C1812" s="0" t="n">
        <v>1</v>
      </c>
      <c r="D1812" s="0" t="s">
        <v>2442</v>
      </c>
      <c r="E1812" s="0" t="n">
        <v>1608</v>
      </c>
      <c r="F1812" s="0" t="s">
        <v>240</v>
      </c>
      <c r="I1812" s="0" t="n">
        <v>1676804</v>
      </c>
      <c r="J1812" s="0" t="n">
        <v>69688</v>
      </c>
      <c r="K1812" s="0" t="n">
        <v>7892840822514</v>
      </c>
      <c r="L1812" s="0" t="s">
        <v>3544</v>
      </c>
      <c r="N1812" s="0" t="n">
        <v>7</v>
      </c>
      <c r="O1812" s="0" t="n">
        <v>56.49</v>
      </c>
      <c r="P1812" s="0" t="s">
        <v>2444</v>
      </c>
    </row>
    <row r="1813" customFormat="false" ht="15" hidden="false" customHeight="true" outlineLevel="0" collapsed="false">
      <c r="A1813" s="0" t="n">
        <v>2</v>
      </c>
      <c r="B1813" s="71" t="n">
        <v>46195</v>
      </c>
      <c r="C1813" s="0" t="n">
        <v>1</v>
      </c>
      <c r="D1813" s="0" t="s">
        <v>2442</v>
      </c>
      <c r="E1813" s="0" t="n">
        <v>1608</v>
      </c>
      <c r="F1813" s="0" t="s">
        <v>240</v>
      </c>
      <c r="I1813" s="0" t="n">
        <v>1676804</v>
      </c>
      <c r="J1813" s="0" t="n">
        <v>80041</v>
      </c>
      <c r="K1813" s="0" t="n">
        <v>7892840824884</v>
      </c>
      <c r="L1813" s="0" t="s">
        <v>3545</v>
      </c>
      <c r="N1813" s="0" t="n">
        <v>8</v>
      </c>
      <c r="O1813" s="0" t="n">
        <v>60.48</v>
      </c>
      <c r="P1813" s="0" t="s">
        <v>2444</v>
      </c>
    </row>
    <row r="1814" customFormat="false" ht="15" hidden="false" customHeight="true" outlineLevel="0" collapsed="false">
      <c r="A1814" s="0" t="n">
        <v>2</v>
      </c>
      <c r="B1814" s="71" t="n">
        <v>46195</v>
      </c>
      <c r="C1814" s="0" t="n">
        <v>1</v>
      </c>
      <c r="D1814" s="0" t="s">
        <v>2442</v>
      </c>
      <c r="E1814" s="0" t="n">
        <v>1608</v>
      </c>
      <c r="F1814" s="0" t="s">
        <v>240</v>
      </c>
      <c r="I1814" s="0" t="n">
        <v>1676804</v>
      </c>
      <c r="J1814" s="0" t="n">
        <v>80195</v>
      </c>
      <c r="K1814" s="0" t="n">
        <v>7892840824976</v>
      </c>
      <c r="L1814" s="0" t="s">
        <v>3546</v>
      </c>
      <c r="N1814" s="0" t="n">
        <v>28</v>
      </c>
      <c r="O1814" s="0" t="n">
        <v>90.44</v>
      </c>
      <c r="P1814" s="0" t="s">
        <v>2444</v>
      </c>
    </row>
    <row r="1815" customFormat="false" ht="15" hidden="false" customHeight="true" outlineLevel="0" collapsed="false">
      <c r="A1815" s="0" t="n">
        <v>2</v>
      </c>
      <c r="B1815" s="71" t="n">
        <v>46195</v>
      </c>
      <c r="C1815" s="0" t="n">
        <v>1</v>
      </c>
      <c r="D1815" s="0" t="s">
        <v>2442</v>
      </c>
      <c r="E1815" s="0" t="n">
        <v>1608</v>
      </c>
      <c r="F1815" s="0" t="s">
        <v>240</v>
      </c>
      <c r="I1815" s="0" t="n">
        <v>1676804</v>
      </c>
      <c r="J1815" s="0" t="n">
        <v>80196</v>
      </c>
      <c r="K1815" s="0" t="n">
        <v>7892840824662</v>
      </c>
      <c r="L1815" s="0" t="s">
        <v>3547</v>
      </c>
      <c r="N1815" s="0" t="n">
        <v>10</v>
      </c>
      <c r="O1815" s="0" t="n">
        <v>32.3</v>
      </c>
      <c r="P1815" s="0" t="s">
        <v>2444</v>
      </c>
    </row>
    <row r="1816" customFormat="false" ht="15" hidden="false" customHeight="true" outlineLevel="0" collapsed="false">
      <c r="A1816" s="0" t="n">
        <v>2</v>
      </c>
      <c r="B1816" s="71" t="n">
        <v>46195</v>
      </c>
      <c r="C1816" s="0" t="n">
        <v>1</v>
      </c>
      <c r="D1816" s="0" t="s">
        <v>2442</v>
      </c>
      <c r="E1816" s="0" t="n">
        <v>1608</v>
      </c>
      <c r="F1816" s="0" t="s">
        <v>240</v>
      </c>
      <c r="I1816" s="0" t="n">
        <v>1676804</v>
      </c>
      <c r="J1816" s="0" t="n">
        <v>80197</v>
      </c>
      <c r="K1816" s="0" t="n">
        <v>7892840824648</v>
      </c>
      <c r="L1816" s="0" t="s">
        <v>3548</v>
      </c>
      <c r="N1816" s="0" t="n">
        <v>20</v>
      </c>
      <c r="O1816" s="0" t="n">
        <v>64.6</v>
      </c>
      <c r="P1816" s="0" t="s">
        <v>2444</v>
      </c>
    </row>
    <row r="1817" customFormat="false" ht="15" hidden="false" customHeight="true" outlineLevel="0" collapsed="false">
      <c r="A1817" s="0" t="n">
        <v>2</v>
      </c>
      <c r="B1817" s="71" t="n">
        <v>46195</v>
      </c>
      <c r="C1817" s="0" t="n">
        <v>1</v>
      </c>
      <c r="D1817" s="0" t="s">
        <v>2442</v>
      </c>
      <c r="E1817" s="0" t="n">
        <v>1608</v>
      </c>
      <c r="F1817" s="0" t="s">
        <v>240</v>
      </c>
      <c r="I1817" s="0" t="n">
        <v>1676804</v>
      </c>
      <c r="J1817" s="0" t="n">
        <v>80198</v>
      </c>
      <c r="K1817" s="0" t="n">
        <v>7892840824693</v>
      </c>
      <c r="L1817" s="0" t="s">
        <v>3549</v>
      </c>
      <c r="N1817" s="0" t="n">
        <v>20</v>
      </c>
      <c r="O1817" s="0" t="n">
        <v>64.6</v>
      </c>
      <c r="P1817" s="0" t="s">
        <v>2444</v>
      </c>
    </row>
    <row r="1818" customFormat="false" ht="15" hidden="false" customHeight="true" outlineLevel="0" collapsed="false">
      <c r="A1818" s="0" t="n">
        <v>2</v>
      </c>
      <c r="B1818" s="71" t="n">
        <v>46195</v>
      </c>
      <c r="C1818" s="0" t="n">
        <v>1</v>
      </c>
      <c r="D1818" s="0" t="s">
        <v>2442</v>
      </c>
      <c r="E1818" s="0" t="n">
        <v>1608</v>
      </c>
      <c r="F1818" s="0" t="s">
        <v>240</v>
      </c>
      <c r="I1818" s="0" t="n">
        <v>1676804</v>
      </c>
      <c r="J1818" s="0" t="n">
        <v>80384</v>
      </c>
      <c r="K1818" s="0" t="n">
        <v>7892840824396</v>
      </c>
      <c r="L1818" s="0" t="s">
        <v>3550</v>
      </c>
      <c r="N1818" s="0" t="n">
        <v>10</v>
      </c>
      <c r="O1818" s="0" t="n">
        <v>90.6</v>
      </c>
      <c r="P1818" s="0" t="s">
        <v>2444</v>
      </c>
    </row>
    <row r="1819" customFormat="false" ht="15" hidden="false" customHeight="true" outlineLevel="0" collapsed="false">
      <c r="A1819" s="0" t="n">
        <v>2</v>
      </c>
      <c r="B1819" s="71" t="n">
        <v>46195</v>
      </c>
      <c r="C1819" s="0" t="n">
        <v>1</v>
      </c>
      <c r="D1819" s="0" t="s">
        <v>2442</v>
      </c>
      <c r="E1819" s="0" t="n">
        <v>1608</v>
      </c>
      <c r="F1819" s="0" t="s">
        <v>240</v>
      </c>
      <c r="I1819" s="0" t="n">
        <v>1676964</v>
      </c>
      <c r="J1819" s="0" t="n">
        <v>20522</v>
      </c>
      <c r="K1819" s="0" t="n">
        <v>7891025106067</v>
      </c>
      <c r="L1819" s="0" t="s">
        <v>2642</v>
      </c>
      <c r="N1819" s="0" t="n">
        <v>4</v>
      </c>
      <c r="O1819" s="0" t="n">
        <v>11.4</v>
      </c>
      <c r="P1819" s="0" t="s">
        <v>2444</v>
      </c>
    </row>
    <row r="1820" customFormat="false" ht="15" hidden="false" customHeight="true" outlineLevel="0" collapsed="false">
      <c r="A1820" s="0" t="n">
        <v>2</v>
      </c>
      <c r="B1820" s="71" t="n">
        <v>46195</v>
      </c>
      <c r="C1820" s="0" t="n">
        <v>1</v>
      </c>
      <c r="D1820" s="0" t="s">
        <v>2442</v>
      </c>
      <c r="E1820" s="0" t="n">
        <v>1608</v>
      </c>
      <c r="F1820" s="0" t="s">
        <v>240</v>
      </c>
      <c r="I1820" s="0" t="n">
        <v>1676964</v>
      </c>
      <c r="J1820" s="0" t="n">
        <v>22010</v>
      </c>
      <c r="K1820" s="0" t="n">
        <v>7891025107255</v>
      </c>
      <c r="L1820" s="0" t="s">
        <v>2983</v>
      </c>
      <c r="N1820" s="0" t="n">
        <v>6</v>
      </c>
      <c r="O1820" s="0" t="n">
        <v>17.1</v>
      </c>
      <c r="P1820" s="0" t="s">
        <v>2444</v>
      </c>
    </row>
    <row r="1821" customFormat="false" ht="15" hidden="false" customHeight="true" outlineLevel="0" collapsed="false">
      <c r="A1821" s="0" t="n">
        <v>2</v>
      </c>
      <c r="B1821" s="71" t="n">
        <v>46195</v>
      </c>
      <c r="C1821" s="0" t="n">
        <v>1</v>
      </c>
      <c r="D1821" s="0" t="s">
        <v>2442</v>
      </c>
      <c r="E1821" s="0" t="n">
        <v>1608</v>
      </c>
      <c r="F1821" s="0" t="s">
        <v>240</v>
      </c>
      <c r="I1821" s="0" t="n">
        <v>1676964</v>
      </c>
      <c r="J1821" s="0" t="n">
        <v>24196</v>
      </c>
      <c r="K1821" s="0" t="n">
        <v>7891025109884</v>
      </c>
      <c r="L1821" s="0" t="s">
        <v>2645</v>
      </c>
      <c r="N1821" s="0" t="n">
        <v>3</v>
      </c>
      <c r="O1821" s="0" t="n">
        <v>25.38</v>
      </c>
      <c r="P1821" s="0" t="s">
        <v>2444</v>
      </c>
    </row>
    <row r="1822" customFormat="false" ht="15" hidden="false" customHeight="true" outlineLevel="0" collapsed="false">
      <c r="A1822" s="0" t="n">
        <v>2</v>
      </c>
      <c r="B1822" s="71" t="n">
        <v>46195</v>
      </c>
      <c r="C1822" s="0" t="n">
        <v>1</v>
      </c>
      <c r="D1822" s="0" t="s">
        <v>2442</v>
      </c>
      <c r="E1822" s="0" t="n">
        <v>1608</v>
      </c>
      <c r="F1822" s="0" t="s">
        <v>240</v>
      </c>
      <c r="I1822" s="0" t="n">
        <v>1676964</v>
      </c>
      <c r="J1822" s="0" t="n">
        <v>24832</v>
      </c>
      <c r="K1822" s="0" t="n">
        <v>7891025109891</v>
      </c>
      <c r="L1822" s="0" t="s">
        <v>2646</v>
      </c>
      <c r="N1822" s="0" t="n">
        <v>6</v>
      </c>
      <c r="O1822" s="0" t="n">
        <v>50.76</v>
      </c>
      <c r="P1822" s="0" t="s">
        <v>2444</v>
      </c>
    </row>
    <row r="1823" customFormat="false" ht="15" hidden="false" customHeight="true" outlineLevel="0" collapsed="false">
      <c r="A1823" s="0" t="n">
        <v>2</v>
      </c>
      <c r="B1823" s="71" t="n">
        <v>46195</v>
      </c>
      <c r="C1823" s="0" t="n">
        <v>1</v>
      </c>
      <c r="D1823" s="0" t="s">
        <v>2442</v>
      </c>
      <c r="E1823" s="0" t="n">
        <v>1608</v>
      </c>
      <c r="F1823" s="0" t="s">
        <v>240</v>
      </c>
      <c r="I1823" s="0" t="n">
        <v>1676964</v>
      </c>
      <c r="J1823" s="0" t="n">
        <v>27141</v>
      </c>
      <c r="K1823" s="0" t="n">
        <v>7899916900329</v>
      </c>
      <c r="L1823" s="0" t="s">
        <v>2647</v>
      </c>
      <c r="N1823" s="0" t="n">
        <v>3</v>
      </c>
      <c r="O1823" s="0" t="n">
        <v>17.79</v>
      </c>
      <c r="P1823" s="0" t="s">
        <v>2444</v>
      </c>
    </row>
    <row r="1824" customFormat="false" ht="15" hidden="false" customHeight="true" outlineLevel="0" collapsed="false">
      <c r="A1824" s="0" t="n">
        <v>2</v>
      </c>
      <c r="B1824" s="71" t="n">
        <v>46195</v>
      </c>
      <c r="C1824" s="0" t="n">
        <v>1</v>
      </c>
      <c r="D1824" s="0" t="s">
        <v>2442</v>
      </c>
      <c r="E1824" s="0" t="n">
        <v>1608</v>
      </c>
      <c r="F1824" s="0" t="s">
        <v>240</v>
      </c>
      <c r="I1824" s="0" t="n">
        <v>1676964</v>
      </c>
      <c r="J1824" s="0" t="n">
        <v>32614</v>
      </c>
      <c r="K1824" s="0" t="n">
        <v>7891025119456</v>
      </c>
      <c r="L1824" s="0" t="s">
        <v>2650</v>
      </c>
      <c r="N1824" s="0" t="n">
        <v>15</v>
      </c>
      <c r="O1824" s="0" t="n">
        <v>45.45</v>
      </c>
      <c r="P1824" s="0" t="s">
        <v>2444</v>
      </c>
    </row>
    <row r="1825" customFormat="false" ht="15" hidden="false" customHeight="true" outlineLevel="0" collapsed="false">
      <c r="A1825" s="0" t="n">
        <v>2</v>
      </c>
      <c r="B1825" s="71" t="n">
        <v>46195</v>
      </c>
      <c r="C1825" s="0" t="n">
        <v>1</v>
      </c>
      <c r="D1825" s="0" t="s">
        <v>2442</v>
      </c>
      <c r="E1825" s="0" t="n">
        <v>1608</v>
      </c>
      <c r="F1825" s="0" t="s">
        <v>240</v>
      </c>
      <c r="I1825" s="0" t="n">
        <v>1676964</v>
      </c>
      <c r="J1825" s="0" t="n">
        <v>35359</v>
      </c>
      <c r="K1825" s="0" t="n">
        <v>7891025119869</v>
      </c>
      <c r="L1825" s="0" t="s">
        <v>2651</v>
      </c>
      <c r="N1825" s="0" t="n">
        <v>2</v>
      </c>
      <c r="O1825" s="0" t="n">
        <v>24.4</v>
      </c>
      <c r="P1825" s="0" t="s">
        <v>2444</v>
      </c>
    </row>
    <row r="1826" customFormat="false" ht="15" hidden="false" customHeight="true" outlineLevel="0" collapsed="false">
      <c r="A1826" s="0" t="n">
        <v>2</v>
      </c>
      <c r="B1826" s="71" t="n">
        <v>46195</v>
      </c>
      <c r="C1826" s="0" t="n">
        <v>1</v>
      </c>
      <c r="D1826" s="0" t="s">
        <v>2442</v>
      </c>
      <c r="E1826" s="0" t="n">
        <v>1608</v>
      </c>
      <c r="F1826" s="0" t="s">
        <v>240</v>
      </c>
      <c r="I1826" s="0" t="n">
        <v>1676964</v>
      </c>
      <c r="J1826" s="0" t="n">
        <v>35841</v>
      </c>
      <c r="K1826" s="0" t="n">
        <v>7891025120223</v>
      </c>
      <c r="L1826" s="0" t="s">
        <v>2988</v>
      </c>
      <c r="N1826" s="0" t="n">
        <v>4</v>
      </c>
      <c r="O1826" s="0" t="n">
        <v>14.32</v>
      </c>
      <c r="P1826" s="0" t="s">
        <v>2444</v>
      </c>
    </row>
    <row r="1827" customFormat="false" ht="15" hidden="false" customHeight="true" outlineLevel="0" collapsed="false">
      <c r="A1827" s="0" t="n">
        <v>2</v>
      </c>
      <c r="B1827" s="71" t="n">
        <v>46195</v>
      </c>
      <c r="C1827" s="0" t="n">
        <v>1</v>
      </c>
      <c r="D1827" s="0" t="s">
        <v>2442</v>
      </c>
      <c r="E1827" s="0" t="n">
        <v>1608</v>
      </c>
      <c r="F1827" s="0" t="s">
        <v>240</v>
      </c>
      <c r="I1827" s="0" t="n">
        <v>1676964</v>
      </c>
      <c r="J1827" s="0" t="n">
        <v>37024</v>
      </c>
      <c r="K1827" s="0" t="n">
        <v>7891025121251</v>
      </c>
      <c r="L1827" s="0" t="s">
        <v>2523</v>
      </c>
      <c r="N1827" s="0" t="n">
        <v>2</v>
      </c>
      <c r="O1827" s="0" t="n">
        <v>7.16</v>
      </c>
      <c r="P1827" s="0" t="s">
        <v>2444</v>
      </c>
    </row>
    <row r="1828" customFormat="false" ht="15" hidden="false" customHeight="true" outlineLevel="0" collapsed="false">
      <c r="A1828" s="0" t="n">
        <v>2</v>
      </c>
      <c r="B1828" s="71" t="n">
        <v>46195</v>
      </c>
      <c r="C1828" s="0" t="n">
        <v>1</v>
      </c>
      <c r="D1828" s="0" t="s">
        <v>2442</v>
      </c>
      <c r="E1828" s="0" t="n">
        <v>1608</v>
      </c>
      <c r="F1828" s="0" t="s">
        <v>240</v>
      </c>
      <c r="I1828" s="0" t="n">
        <v>1676964</v>
      </c>
      <c r="J1828" s="0" t="n">
        <v>37558</v>
      </c>
      <c r="K1828" s="0" t="n">
        <v>7891025101376</v>
      </c>
      <c r="L1828" s="0" t="s">
        <v>2652</v>
      </c>
      <c r="N1828" s="0" t="n">
        <v>6</v>
      </c>
      <c r="O1828" s="0" t="n">
        <v>19.26</v>
      </c>
      <c r="P1828" s="0" t="s">
        <v>2444</v>
      </c>
    </row>
    <row r="1829" customFormat="false" ht="15" hidden="false" customHeight="true" outlineLevel="0" collapsed="false">
      <c r="A1829" s="0" t="n">
        <v>2</v>
      </c>
      <c r="B1829" s="71" t="n">
        <v>46195</v>
      </c>
      <c r="C1829" s="0" t="n">
        <v>1</v>
      </c>
      <c r="D1829" s="0" t="s">
        <v>2442</v>
      </c>
      <c r="E1829" s="0" t="n">
        <v>1608</v>
      </c>
      <c r="F1829" s="0" t="s">
        <v>240</v>
      </c>
      <c r="I1829" s="0" t="n">
        <v>1676964</v>
      </c>
      <c r="J1829" s="0" t="n">
        <v>69612</v>
      </c>
      <c r="K1829" s="0" t="n">
        <v>7891025123453</v>
      </c>
      <c r="L1829" s="0" t="s">
        <v>2525</v>
      </c>
      <c r="N1829" s="0" t="n">
        <v>2</v>
      </c>
      <c r="O1829" s="0" t="n">
        <v>24.58</v>
      </c>
      <c r="P1829" s="0" t="s">
        <v>2444</v>
      </c>
    </row>
    <row r="1830" customFormat="false" ht="15" hidden="false" customHeight="true" outlineLevel="0" collapsed="false">
      <c r="A1830" s="0" t="n">
        <v>2</v>
      </c>
      <c r="B1830" s="71" t="n">
        <v>46195</v>
      </c>
      <c r="C1830" s="0" t="n">
        <v>1</v>
      </c>
      <c r="D1830" s="0" t="s">
        <v>2442</v>
      </c>
      <c r="E1830" s="0" t="n">
        <v>1608</v>
      </c>
      <c r="F1830" s="0" t="s">
        <v>240</v>
      </c>
      <c r="I1830" s="0" t="n">
        <v>1676964</v>
      </c>
      <c r="J1830" s="0" t="n">
        <v>75224</v>
      </c>
      <c r="K1830" s="0" t="n">
        <v>7891025124030</v>
      </c>
      <c r="L1830" s="0" t="s">
        <v>3551</v>
      </c>
      <c r="N1830" s="0" t="n">
        <v>1</v>
      </c>
      <c r="O1830" s="0" t="n">
        <v>13.49</v>
      </c>
      <c r="P1830" s="0" t="s">
        <v>2444</v>
      </c>
    </row>
    <row r="1831" customFormat="false" ht="15" hidden="false" customHeight="true" outlineLevel="0" collapsed="false">
      <c r="A1831" s="0" t="n">
        <v>2</v>
      </c>
      <c r="B1831" s="71" t="n">
        <v>46195</v>
      </c>
      <c r="C1831" s="0" t="n">
        <v>1</v>
      </c>
      <c r="D1831" s="0" t="s">
        <v>2442</v>
      </c>
      <c r="E1831" s="0" t="n">
        <v>1608</v>
      </c>
      <c r="F1831" s="0" t="s">
        <v>240</v>
      </c>
      <c r="I1831" s="0" t="n">
        <v>1676964</v>
      </c>
      <c r="J1831" s="0" t="n">
        <v>79069</v>
      </c>
      <c r="K1831" s="0" t="n">
        <v>7899916919901</v>
      </c>
      <c r="L1831" s="0" t="s">
        <v>2528</v>
      </c>
      <c r="N1831" s="0" t="n">
        <v>6</v>
      </c>
      <c r="O1831" s="0" t="n">
        <v>46.32</v>
      </c>
      <c r="P1831" s="0" t="s">
        <v>2444</v>
      </c>
    </row>
    <row r="1832" customFormat="false" ht="15" hidden="false" customHeight="true" outlineLevel="0" collapsed="false">
      <c r="A1832" s="0" t="n">
        <v>2</v>
      </c>
      <c r="B1832" s="71" t="n">
        <v>46195</v>
      </c>
      <c r="C1832" s="0" t="n">
        <v>1</v>
      </c>
      <c r="D1832" s="0" t="s">
        <v>2442</v>
      </c>
      <c r="E1832" s="0" t="n">
        <v>1608</v>
      </c>
      <c r="F1832" s="0" t="s">
        <v>240</v>
      </c>
      <c r="I1832" s="0" t="n">
        <v>1676964</v>
      </c>
      <c r="J1832" s="0" t="n">
        <v>80681</v>
      </c>
      <c r="K1832" s="0" t="n">
        <v>7891025125495</v>
      </c>
      <c r="L1832" s="0" t="s">
        <v>2532</v>
      </c>
      <c r="N1832" s="0" t="n">
        <v>6</v>
      </c>
      <c r="O1832" s="0" t="n">
        <v>17.04</v>
      </c>
      <c r="P1832" s="0" t="s">
        <v>2444</v>
      </c>
    </row>
    <row r="1833" customFormat="false" ht="15" hidden="false" customHeight="true" outlineLevel="0" collapsed="false">
      <c r="A1833" s="0" t="n">
        <v>2</v>
      </c>
      <c r="B1833" s="71" t="n">
        <v>46195</v>
      </c>
      <c r="C1833" s="0" t="n">
        <v>1</v>
      </c>
      <c r="D1833" s="0" t="s">
        <v>2442</v>
      </c>
      <c r="E1833" s="0" t="n">
        <v>1608</v>
      </c>
      <c r="F1833" s="0" t="s">
        <v>240</v>
      </c>
      <c r="I1833" s="0" t="n">
        <v>1678138</v>
      </c>
      <c r="J1833" s="0" t="n">
        <v>80195</v>
      </c>
      <c r="K1833" s="0" t="n">
        <v>7892840824976</v>
      </c>
      <c r="L1833" s="0" t="s">
        <v>3546</v>
      </c>
      <c r="N1833" s="0" t="n">
        <v>560</v>
      </c>
      <c r="O1833" s="0" t="n">
        <v>364</v>
      </c>
      <c r="P1833" s="0" t="s">
        <v>2444</v>
      </c>
    </row>
    <row r="1834" customFormat="false" ht="15" hidden="false" customHeight="true" outlineLevel="0" collapsed="false">
      <c r="A1834" s="0" t="n">
        <v>2</v>
      </c>
      <c r="B1834" s="71" t="n">
        <v>46195</v>
      </c>
      <c r="C1834" s="0" t="n">
        <v>1</v>
      </c>
      <c r="D1834" s="0" t="s">
        <v>2442</v>
      </c>
      <c r="E1834" s="0" t="n">
        <v>1608</v>
      </c>
      <c r="F1834" s="0" t="s">
        <v>240</v>
      </c>
      <c r="I1834" s="0" t="n">
        <v>1678138</v>
      </c>
      <c r="J1834" s="0" t="n">
        <v>80464</v>
      </c>
      <c r="K1834" s="0" t="n">
        <v>7892840825126</v>
      </c>
      <c r="L1834" s="0" t="s">
        <v>3552</v>
      </c>
      <c r="N1834" s="0" t="n">
        <v>480</v>
      </c>
      <c r="O1834" s="0" t="n">
        <v>360</v>
      </c>
      <c r="P1834" s="0" t="s">
        <v>2444</v>
      </c>
    </row>
    <row r="1835" customFormat="false" ht="15" hidden="false" customHeight="true" outlineLevel="0" collapsed="false">
      <c r="A1835" s="0" t="n">
        <v>2</v>
      </c>
      <c r="B1835" s="71" t="n">
        <v>46195</v>
      </c>
      <c r="C1835" s="0" t="n">
        <v>1</v>
      </c>
      <c r="D1835" s="0" t="s">
        <v>2442</v>
      </c>
      <c r="E1835" s="0" t="n">
        <v>1705</v>
      </c>
      <c r="F1835" s="0" t="s">
        <v>130</v>
      </c>
      <c r="I1835" s="0" t="n">
        <v>1893322</v>
      </c>
      <c r="J1835" s="0" t="n">
        <v>103159</v>
      </c>
      <c r="K1835" s="0" t="n">
        <v>7894900050011</v>
      </c>
      <c r="L1835" s="0" t="s">
        <v>2656</v>
      </c>
      <c r="N1835" s="0" t="n">
        <v>60</v>
      </c>
      <c r="O1835" s="0" t="n">
        <v>166.06</v>
      </c>
      <c r="P1835" s="0" t="s">
        <v>2444</v>
      </c>
    </row>
    <row r="1836" customFormat="false" ht="15" hidden="false" customHeight="true" outlineLevel="0" collapsed="false">
      <c r="A1836" s="0" t="n">
        <v>2</v>
      </c>
      <c r="B1836" s="71" t="n">
        <v>46195</v>
      </c>
      <c r="C1836" s="0" t="n">
        <v>1</v>
      </c>
      <c r="D1836" s="0" t="s">
        <v>2442</v>
      </c>
      <c r="E1836" s="0" t="n">
        <v>1705</v>
      </c>
      <c r="F1836" s="0" t="s">
        <v>130</v>
      </c>
      <c r="I1836" s="0" t="n">
        <v>1893322</v>
      </c>
      <c r="J1836" s="0" t="n">
        <v>104472</v>
      </c>
      <c r="K1836" s="0" t="n">
        <v>7897105200038</v>
      </c>
      <c r="L1836" s="0" t="s">
        <v>2657</v>
      </c>
      <c r="N1836" s="0" t="n">
        <v>27</v>
      </c>
      <c r="O1836" s="0" t="n">
        <v>122.53</v>
      </c>
      <c r="P1836" s="0" t="s">
        <v>2444</v>
      </c>
    </row>
    <row r="1837" customFormat="false" ht="15" hidden="false" customHeight="true" outlineLevel="0" collapsed="false">
      <c r="A1837" s="0" t="n">
        <v>2</v>
      </c>
      <c r="B1837" s="71" t="n">
        <v>46195</v>
      </c>
      <c r="C1837" s="0" t="n">
        <v>1</v>
      </c>
      <c r="D1837" s="0" t="s">
        <v>2442</v>
      </c>
      <c r="E1837" s="0" t="n">
        <v>1705</v>
      </c>
      <c r="F1837" s="0" t="s">
        <v>130</v>
      </c>
      <c r="I1837" s="0" t="n">
        <v>1893322</v>
      </c>
      <c r="J1837" s="0" t="n">
        <v>11678</v>
      </c>
      <c r="K1837" s="0" t="n">
        <v>7894900701593</v>
      </c>
      <c r="L1837" s="0" t="s">
        <v>2468</v>
      </c>
      <c r="N1837" s="0" t="n">
        <v>12</v>
      </c>
      <c r="O1837" s="0" t="n">
        <v>113.8</v>
      </c>
      <c r="P1837" s="0" t="s">
        <v>2444</v>
      </c>
    </row>
    <row r="1838" customFormat="false" ht="15" hidden="false" customHeight="true" outlineLevel="0" collapsed="false">
      <c r="A1838" s="0" t="n">
        <v>2</v>
      </c>
      <c r="B1838" s="71" t="n">
        <v>46195</v>
      </c>
      <c r="C1838" s="0" t="n">
        <v>1</v>
      </c>
      <c r="D1838" s="0" t="s">
        <v>2442</v>
      </c>
      <c r="E1838" s="0" t="n">
        <v>1705</v>
      </c>
      <c r="F1838" s="0" t="s">
        <v>130</v>
      </c>
      <c r="I1838" s="0" t="n">
        <v>1893322</v>
      </c>
      <c r="J1838" s="0" t="n">
        <v>29614</v>
      </c>
      <c r="K1838" s="0" t="n">
        <v>7894900550030</v>
      </c>
      <c r="L1838" s="0" t="s">
        <v>3553</v>
      </c>
      <c r="N1838" s="0" t="n">
        <v>6</v>
      </c>
      <c r="O1838" s="0" t="n">
        <v>29.85</v>
      </c>
      <c r="P1838" s="0" t="s">
        <v>2444</v>
      </c>
    </row>
    <row r="1839" customFormat="false" ht="15" hidden="false" customHeight="true" outlineLevel="0" collapsed="false">
      <c r="A1839" s="0" t="n">
        <v>2</v>
      </c>
      <c r="B1839" s="71" t="n">
        <v>46195</v>
      </c>
      <c r="C1839" s="0" t="n">
        <v>1</v>
      </c>
      <c r="D1839" s="0" t="s">
        <v>2442</v>
      </c>
      <c r="E1839" s="0" t="n">
        <v>1705</v>
      </c>
      <c r="F1839" s="0" t="s">
        <v>130</v>
      </c>
      <c r="I1839" s="0" t="n">
        <v>1893322</v>
      </c>
      <c r="J1839" s="0" t="n">
        <v>37279</v>
      </c>
      <c r="K1839" s="0" t="n">
        <v>7894900027013</v>
      </c>
      <c r="L1839" s="0" t="s">
        <v>2575</v>
      </c>
      <c r="N1839" s="0" t="n">
        <v>36</v>
      </c>
      <c r="O1839" s="0" t="n">
        <v>317.22</v>
      </c>
      <c r="P1839" s="0" t="s">
        <v>2444</v>
      </c>
    </row>
    <row r="1840" customFormat="false" ht="15" hidden="false" customHeight="true" outlineLevel="0" collapsed="false">
      <c r="A1840" s="0" t="n">
        <v>2</v>
      </c>
      <c r="B1840" s="71" t="n">
        <v>46195</v>
      </c>
      <c r="C1840" s="0" t="n">
        <v>1</v>
      </c>
      <c r="D1840" s="0" t="s">
        <v>2442</v>
      </c>
      <c r="E1840" s="0" t="n">
        <v>1705</v>
      </c>
      <c r="F1840" s="0" t="s">
        <v>130</v>
      </c>
      <c r="I1840" s="0" t="n">
        <v>1893322</v>
      </c>
      <c r="J1840" s="0" t="n">
        <v>38984</v>
      </c>
      <c r="K1840" s="0" t="n">
        <v>7894900027457</v>
      </c>
      <c r="L1840" s="0" t="s">
        <v>3554</v>
      </c>
      <c r="N1840" s="0" t="n">
        <v>24</v>
      </c>
      <c r="O1840" s="0" t="n">
        <v>90.6</v>
      </c>
      <c r="P1840" s="0" t="s">
        <v>2444</v>
      </c>
    </row>
    <row r="1841" customFormat="false" ht="15" hidden="false" customHeight="true" outlineLevel="0" collapsed="false">
      <c r="A1841" s="0" t="n">
        <v>2</v>
      </c>
      <c r="B1841" s="71" t="n">
        <v>46195</v>
      </c>
      <c r="C1841" s="0" t="n">
        <v>1</v>
      </c>
      <c r="D1841" s="0" t="s">
        <v>2442</v>
      </c>
      <c r="E1841" s="0" t="n">
        <v>1637</v>
      </c>
      <c r="F1841" s="0" t="s">
        <v>871</v>
      </c>
      <c r="I1841" s="0" t="n">
        <v>1894392</v>
      </c>
      <c r="J1841" s="0" t="n">
        <v>101919</v>
      </c>
      <c r="K1841" s="0" t="n">
        <v>7896264601410</v>
      </c>
      <c r="L1841" s="0" t="s">
        <v>3555</v>
      </c>
      <c r="N1841" s="0" t="n">
        <v>20</v>
      </c>
      <c r="O1841" s="0" t="n">
        <v>129.89</v>
      </c>
      <c r="P1841" s="0" t="s">
        <v>2444</v>
      </c>
    </row>
    <row r="1842" customFormat="false" ht="15" hidden="false" customHeight="true" outlineLevel="0" collapsed="false">
      <c r="A1842" s="0" t="n">
        <v>2</v>
      </c>
      <c r="B1842" s="71" t="n">
        <v>46195</v>
      </c>
      <c r="C1842" s="0" t="n">
        <v>1</v>
      </c>
      <c r="D1842" s="0" t="s">
        <v>2442</v>
      </c>
      <c r="E1842" s="0" t="n">
        <v>1637</v>
      </c>
      <c r="F1842" s="0" t="s">
        <v>871</v>
      </c>
      <c r="I1842" s="0" t="n">
        <v>1894392</v>
      </c>
      <c r="J1842" s="0" t="n">
        <v>102271</v>
      </c>
      <c r="K1842" s="0" t="n">
        <v>7898286190316</v>
      </c>
      <c r="L1842" s="0" t="s">
        <v>3556</v>
      </c>
      <c r="N1842" s="0" t="n">
        <v>48</v>
      </c>
      <c r="O1842" s="0" t="n">
        <v>123.98</v>
      </c>
      <c r="P1842" s="0" t="s">
        <v>2444</v>
      </c>
    </row>
    <row r="1843" customFormat="false" ht="15" hidden="false" customHeight="true" outlineLevel="0" collapsed="false">
      <c r="A1843" s="0" t="n">
        <v>2</v>
      </c>
      <c r="B1843" s="71" t="n">
        <v>46195</v>
      </c>
      <c r="C1843" s="0" t="n">
        <v>1</v>
      </c>
      <c r="D1843" s="0" t="s">
        <v>2442</v>
      </c>
      <c r="E1843" s="0" t="n">
        <v>1637</v>
      </c>
      <c r="F1843" s="0" t="s">
        <v>871</v>
      </c>
      <c r="I1843" s="0" t="n">
        <v>1894392</v>
      </c>
      <c r="J1843" s="0" t="n">
        <v>21733</v>
      </c>
      <c r="K1843" s="0" t="n">
        <v>7891191003733</v>
      </c>
      <c r="L1843" s="0" t="s">
        <v>3557</v>
      </c>
      <c r="N1843" s="0" t="n">
        <v>20</v>
      </c>
      <c r="O1843" s="0" t="n">
        <v>417.8</v>
      </c>
      <c r="P1843" s="0" t="s">
        <v>2444</v>
      </c>
    </row>
    <row r="1844" customFormat="false" ht="15" hidden="false" customHeight="true" outlineLevel="0" collapsed="false">
      <c r="A1844" s="0" t="n">
        <v>2</v>
      </c>
      <c r="B1844" s="71" t="n">
        <v>46195</v>
      </c>
      <c r="C1844" s="0" t="n">
        <v>1</v>
      </c>
      <c r="D1844" s="0" t="s">
        <v>2442</v>
      </c>
      <c r="E1844" s="0" t="n">
        <v>10012</v>
      </c>
      <c r="F1844" s="0" t="s">
        <v>185</v>
      </c>
      <c r="I1844" s="0" t="n">
        <v>1959276</v>
      </c>
      <c r="J1844" s="0" t="n">
        <v>101410</v>
      </c>
      <c r="K1844" s="0" t="n">
        <v>7891010035631</v>
      </c>
      <c r="L1844" s="0" t="s">
        <v>3558</v>
      </c>
      <c r="N1844" s="0" t="n">
        <v>24</v>
      </c>
      <c r="O1844" s="0" t="n">
        <v>147.6</v>
      </c>
      <c r="P1844" s="0" t="s">
        <v>2444</v>
      </c>
    </row>
    <row r="1845" customFormat="false" ht="15" hidden="false" customHeight="true" outlineLevel="0" collapsed="false">
      <c r="A1845" s="0" t="n">
        <v>2</v>
      </c>
      <c r="B1845" s="71" t="n">
        <v>46195</v>
      </c>
      <c r="C1845" s="0" t="n">
        <v>1</v>
      </c>
      <c r="D1845" s="0" t="s">
        <v>2442</v>
      </c>
      <c r="E1845" s="0" t="n">
        <v>10012</v>
      </c>
      <c r="F1845" s="0" t="s">
        <v>185</v>
      </c>
      <c r="I1845" s="0" t="n">
        <v>1959276</v>
      </c>
      <c r="J1845" s="0" t="n">
        <v>102496</v>
      </c>
      <c r="K1845" s="0" t="n">
        <v>7891032012658</v>
      </c>
      <c r="L1845" s="0" t="s">
        <v>3559</v>
      </c>
      <c r="N1845" s="0" t="n">
        <v>12</v>
      </c>
      <c r="O1845" s="0" t="n">
        <v>47.64</v>
      </c>
      <c r="P1845" s="0" t="s">
        <v>2444</v>
      </c>
    </row>
    <row r="1846" customFormat="false" ht="15" hidden="false" customHeight="true" outlineLevel="0" collapsed="false">
      <c r="A1846" s="0" t="n">
        <v>2</v>
      </c>
      <c r="B1846" s="71" t="n">
        <v>46195</v>
      </c>
      <c r="C1846" s="0" t="n">
        <v>1</v>
      </c>
      <c r="D1846" s="0" t="s">
        <v>2442</v>
      </c>
      <c r="E1846" s="0" t="n">
        <v>10012</v>
      </c>
      <c r="F1846" s="0" t="s">
        <v>185</v>
      </c>
      <c r="I1846" s="0" t="n">
        <v>1959276</v>
      </c>
      <c r="J1846" s="0" t="n">
        <v>102497</v>
      </c>
      <c r="K1846" s="0" t="n">
        <v>7891032013259</v>
      </c>
      <c r="L1846" s="0" t="s">
        <v>3560</v>
      </c>
      <c r="N1846" s="0" t="n">
        <v>12</v>
      </c>
      <c r="O1846" s="0" t="n">
        <v>43.32</v>
      </c>
      <c r="P1846" s="0" t="s">
        <v>2444</v>
      </c>
    </row>
    <row r="1847" customFormat="false" ht="15" hidden="false" customHeight="true" outlineLevel="0" collapsed="false">
      <c r="A1847" s="0" t="n">
        <v>2</v>
      </c>
      <c r="B1847" s="71" t="n">
        <v>46195</v>
      </c>
      <c r="C1847" s="0" t="n">
        <v>1</v>
      </c>
      <c r="D1847" s="0" t="s">
        <v>2442</v>
      </c>
      <c r="E1847" s="0" t="n">
        <v>10012</v>
      </c>
      <c r="F1847" s="0" t="s">
        <v>185</v>
      </c>
      <c r="I1847" s="0" t="n">
        <v>1959276</v>
      </c>
      <c r="J1847" s="0" t="n">
        <v>102543</v>
      </c>
      <c r="K1847" s="0" t="n">
        <v>7891032016908</v>
      </c>
      <c r="L1847" s="0" t="s">
        <v>3561</v>
      </c>
      <c r="N1847" s="0" t="n">
        <v>12</v>
      </c>
      <c r="O1847" s="0" t="n">
        <v>62.88</v>
      </c>
      <c r="P1847" s="0" t="s">
        <v>2444</v>
      </c>
    </row>
    <row r="1848" customFormat="false" ht="15" hidden="false" customHeight="true" outlineLevel="0" collapsed="false">
      <c r="A1848" s="0" t="n">
        <v>2</v>
      </c>
      <c r="B1848" s="71" t="n">
        <v>46195</v>
      </c>
      <c r="C1848" s="0" t="n">
        <v>1</v>
      </c>
      <c r="D1848" s="0" t="s">
        <v>2442</v>
      </c>
      <c r="E1848" s="0" t="n">
        <v>10012</v>
      </c>
      <c r="F1848" s="0" t="s">
        <v>185</v>
      </c>
      <c r="I1848" s="0" t="n">
        <v>1959276</v>
      </c>
      <c r="J1848" s="0" t="n">
        <v>107744</v>
      </c>
      <c r="K1848" s="0" t="n">
        <v>7891032018452</v>
      </c>
      <c r="L1848" s="0" t="s">
        <v>3562</v>
      </c>
      <c r="N1848" s="0" t="n">
        <v>12</v>
      </c>
      <c r="O1848" s="0" t="n">
        <v>137.76</v>
      </c>
      <c r="P1848" s="0" t="s">
        <v>2444</v>
      </c>
    </row>
    <row r="1849" customFormat="false" ht="15" hidden="false" customHeight="true" outlineLevel="0" collapsed="false">
      <c r="A1849" s="0" t="n">
        <v>2</v>
      </c>
      <c r="B1849" s="71" t="n">
        <v>46195</v>
      </c>
      <c r="C1849" s="0" t="n">
        <v>1</v>
      </c>
      <c r="D1849" s="0" t="s">
        <v>2442</v>
      </c>
      <c r="E1849" s="0" t="n">
        <v>10012</v>
      </c>
      <c r="F1849" s="0" t="s">
        <v>185</v>
      </c>
      <c r="I1849" s="0" t="n">
        <v>1959276</v>
      </c>
      <c r="J1849" s="0" t="n">
        <v>13716</v>
      </c>
      <c r="K1849" s="0" t="n">
        <v>7891032014256</v>
      </c>
      <c r="L1849" s="0" t="s">
        <v>3563</v>
      </c>
      <c r="N1849" s="0" t="n">
        <v>12</v>
      </c>
      <c r="O1849" s="0" t="n">
        <v>60.12</v>
      </c>
      <c r="P1849" s="0" t="s">
        <v>2444</v>
      </c>
    </row>
    <row r="1850" customFormat="false" ht="15" hidden="false" customHeight="true" outlineLevel="0" collapsed="false">
      <c r="A1850" s="0" t="n">
        <v>2</v>
      </c>
      <c r="B1850" s="71" t="n">
        <v>46195</v>
      </c>
      <c r="C1850" s="0" t="n">
        <v>1</v>
      </c>
      <c r="D1850" s="0" t="s">
        <v>2442</v>
      </c>
      <c r="E1850" s="0" t="n">
        <v>10012</v>
      </c>
      <c r="F1850" s="0" t="s">
        <v>185</v>
      </c>
      <c r="I1850" s="0" t="n">
        <v>1959276</v>
      </c>
      <c r="J1850" s="0" t="n">
        <v>15394</v>
      </c>
      <c r="K1850" s="0" t="n">
        <v>7897161340259</v>
      </c>
      <c r="L1850" s="0" t="s">
        <v>3564</v>
      </c>
      <c r="N1850" s="0" t="n">
        <v>6</v>
      </c>
      <c r="O1850" s="0" t="n">
        <v>41.58</v>
      </c>
      <c r="P1850" s="0" t="s">
        <v>2444</v>
      </c>
    </row>
    <row r="1851" customFormat="false" ht="15" hidden="false" customHeight="true" outlineLevel="0" collapsed="false">
      <c r="A1851" s="0" t="n">
        <v>2</v>
      </c>
      <c r="B1851" s="71" t="n">
        <v>46195</v>
      </c>
      <c r="C1851" s="0" t="n">
        <v>1</v>
      </c>
      <c r="D1851" s="0" t="s">
        <v>2442</v>
      </c>
      <c r="E1851" s="0" t="n">
        <v>10012</v>
      </c>
      <c r="F1851" s="0" t="s">
        <v>185</v>
      </c>
      <c r="I1851" s="0" t="n">
        <v>1959276</v>
      </c>
      <c r="J1851" s="0" t="n">
        <v>15784</v>
      </c>
      <c r="K1851" s="0" t="n">
        <v>7891032015994</v>
      </c>
      <c r="L1851" s="0" t="s">
        <v>3565</v>
      </c>
      <c r="N1851" s="0" t="n">
        <v>24</v>
      </c>
      <c r="O1851" s="0" t="n">
        <v>74.16</v>
      </c>
      <c r="P1851" s="0" t="s">
        <v>2444</v>
      </c>
    </row>
    <row r="1852" customFormat="false" ht="15" hidden="false" customHeight="true" outlineLevel="0" collapsed="false">
      <c r="A1852" s="0" t="n">
        <v>2</v>
      </c>
      <c r="B1852" s="71" t="n">
        <v>46195</v>
      </c>
      <c r="C1852" s="0" t="n">
        <v>1</v>
      </c>
      <c r="D1852" s="0" t="s">
        <v>2442</v>
      </c>
      <c r="E1852" s="0" t="n">
        <v>10012</v>
      </c>
      <c r="F1852" s="0" t="s">
        <v>185</v>
      </c>
      <c r="I1852" s="0" t="n">
        <v>1959276</v>
      </c>
      <c r="J1852" s="0" t="n">
        <v>18439</v>
      </c>
      <c r="K1852" s="0" t="n">
        <v>7896512907493</v>
      </c>
      <c r="L1852" s="0" t="s">
        <v>3566</v>
      </c>
      <c r="N1852" s="0" t="n">
        <v>3</v>
      </c>
      <c r="O1852" s="0" t="n">
        <v>42.12</v>
      </c>
      <c r="P1852" s="0" t="s">
        <v>2444</v>
      </c>
    </row>
    <row r="1853" customFormat="false" ht="15" hidden="false" customHeight="true" outlineLevel="0" collapsed="false">
      <c r="A1853" s="0" t="n">
        <v>2</v>
      </c>
      <c r="B1853" s="71" t="n">
        <v>46195</v>
      </c>
      <c r="C1853" s="0" t="n">
        <v>1</v>
      </c>
      <c r="D1853" s="0" t="s">
        <v>2442</v>
      </c>
      <c r="E1853" s="0" t="n">
        <v>10012</v>
      </c>
      <c r="F1853" s="0" t="s">
        <v>185</v>
      </c>
      <c r="I1853" s="0" t="n">
        <v>1959276</v>
      </c>
      <c r="J1853" s="0" t="n">
        <v>24076</v>
      </c>
      <c r="K1853" s="0" t="n">
        <v>7891032014249</v>
      </c>
      <c r="L1853" s="0" t="s">
        <v>3567</v>
      </c>
      <c r="N1853" s="0" t="n">
        <v>36</v>
      </c>
      <c r="O1853" s="0" t="n">
        <v>115.56</v>
      </c>
      <c r="P1853" s="0" t="s">
        <v>2444</v>
      </c>
    </row>
    <row r="1854" customFormat="false" ht="15" hidden="false" customHeight="true" outlineLevel="0" collapsed="false">
      <c r="A1854" s="0" t="n">
        <v>2</v>
      </c>
      <c r="B1854" s="71" t="n">
        <v>46195</v>
      </c>
      <c r="C1854" s="0" t="n">
        <v>1</v>
      </c>
      <c r="D1854" s="0" t="s">
        <v>2442</v>
      </c>
      <c r="E1854" s="0" t="n">
        <v>10012</v>
      </c>
      <c r="F1854" s="0" t="s">
        <v>185</v>
      </c>
      <c r="I1854" s="0" t="n">
        <v>1959276</v>
      </c>
      <c r="J1854" s="0" t="n">
        <v>27006</v>
      </c>
      <c r="K1854" s="0" t="n">
        <v>7896512922373</v>
      </c>
      <c r="L1854" s="0" t="s">
        <v>3568</v>
      </c>
      <c r="N1854" s="0" t="n">
        <v>6</v>
      </c>
      <c r="O1854" s="0" t="n">
        <v>96.42</v>
      </c>
      <c r="P1854" s="0" t="s">
        <v>2444</v>
      </c>
    </row>
    <row r="1855" customFormat="false" ht="15" hidden="false" customHeight="true" outlineLevel="0" collapsed="false">
      <c r="A1855" s="0" t="n">
        <v>2</v>
      </c>
      <c r="B1855" s="71" t="n">
        <v>46195</v>
      </c>
      <c r="C1855" s="0" t="n">
        <v>1</v>
      </c>
      <c r="D1855" s="0" t="s">
        <v>2442</v>
      </c>
      <c r="E1855" s="0" t="n">
        <v>10012</v>
      </c>
      <c r="F1855" s="0" t="s">
        <v>185</v>
      </c>
      <c r="I1855" s="0" t="n">
        <v>1959276</v>
      </c>
      <c r="J1855" s="0" t="n">
        <v>28241</v>
      </c>
      <c r="K1855" s="0" t="n">
        <v>7896049528505</v>
      </c>
      <c r="L1855" s="0" t="s">
        <v>3569</v>
      </c>
      <c r="N1855" s="0" t="n">
        <v>12</v>
      </c>
      <c r="O1855" s="0" t="n">
        <v>57.48</v>
      </c>
      <c r="P1855" s="0" t="s">
        <v>2444</v>
      </c>
    </row>
    <row r="1856" customFormat="false" ht="15" hidden="false" customHeight="true" outlineLevel="0" collapsed="false">
      <c r="A1856" s="0" t="n">
        <v>2</v>
      </c>
      <c r="B1856" s="71" t="n">
        <v>46195</v>
      </c>
      <c r="C1856" s="0" t="n">
        <v>1</v>
      </c>
      <c r="D1856" s="0" t="s">
        <v>2442</v>
      </c>
      <c r="E1856" s="0" t="n">
        <v>10012</v>
      </c>
      <c r="F1856" s="0" t="s">
        <v>185</v>
      </c>
      <c r="I1856" s="0" t="n">
        <v>1959276</v>
      </c>
      <c r="J1856" s="0" t="n">
        <v>28242</v>
      </c>
      <c r="K1856" s="0" t="n">
        <v>7896049528604</v>
      </c>
      <c r="L1856" s="0" t="s">
        <v>3570</v>
      </c>
      <c r="N1856" s="0" t="n">
        <v>12</v>
      </c>
      <c r="O1856" s="0" t="n">
        <v>57.48</v>
      </c>
      <c r="P1856" s="0" t="s">
        <v>2444</v>
      </c>
    </row>
    <row r="1857" customFormat="false" ht="15" hidden="false" customHeight="true" outlineLevel="0" collapsed="false">
      <c r="A1857" s="0" t="n">
        <v>2</v>
      </c>
      <c r="B1857" s="71" t="n">
        <v>46195</v>
      </c>
      <c r="C1857" s="0" t="n">
        <v>1</v>
      </c>
      <c r="D1857" s="0" t="s">
        <v>2442</v>
      </c>
      <c r="E1857" s="0" t="n">
        <v>10012</v>
      </c>
      <c r="F1857" s="0" t="s">
        <v>185</v>
      </c>
      <c r="I1857" s="0" t="n">
        <v>1959276</v>
      </c>
      <c r="J1857" s="0" t="n">
        <v>28243</v>
      </c>
      <c r="K1857" s="0" t="n">
        <v>7896049528512</v>
      </c>
      <c r="L1857" s="0" t="s">
        <v>3571</v>
      </c>
      <c r="N1857" s="0" t="n">
        <v>12</v>
      </c>
      <c r="O1857" s="0" t="n">
        <v>57.48</v>
      </c>
      <c r="P1857" s="0" t="s">
        <v>2444</v>
      </c>
    </row>
    <row r="1858" customFormat="false" ht="15" hidden="false" customHeight="true" outlineLevel="0" collapsed="false">
      <c r="A1858" s="0" t="n">
        <v>2</v>
      </c>
      <c r="B1858" s="71" t="n">
        <v>46195</v>
      </c>
      <c r="C1858" s="0" t="n">
        <v>1</v>
      </c>
      <c r="D1858" s="0" t="s">
        <v>2442</v>
      </c>
      <c r="E1858" s="0" t="n">
        <v>10012</v>
      </c>
      <c r="F1858" s="0" t="s">
        <v>185</v>
      </c>
      <c r="I1858" s="0" t="n">
        <v>1959276</v>
      </c>
      <c r="J1858" s="0" t="n">
        <v>40515</v>
      </c>
      <c r="K1858" s="0" t="n">
        <v>7891010254155</v>
      </c>
      <c r="L1858" s="0" t="s">
        <v>3572</v>
      </c>
      <c r="N1858" s="0" t="n">
        <v>12</v>
      </c>
      <c r="O1858" s="0" t="n">
        <v>126</v>
      </c>
      <c r="P1858" s="0" t="s">
        <v>2444</v>
      </c>
    </row>
    <row r="1859" customFormat="false" ht="15" hidden="false" customHeight="true" outlineLevel="0" collapsed="false">
      <c r="A1859" s="0" t="n">
        <v>2</v>
      </c>
      <c r="B1859" s="71" t="n">
        <v>46195</v>
      </c>
      <c r="C1859" s="0" t="n">
        <v>1</v>
      </c>
      <c r="D1859" s="0" t="s">
        <v>2442</v>
      </c>
      <c r="E1859" s="0" t="n">
        <v>10012</v>
      </c>
      <c r="F1859" s="0" t="s">
        <v>185</v>
      </c>
      <c r="I1859" s="0" t="n">
        <v>1959276</v>
      </c>
      <c r="J1859" s="0" t="n">
        <v>46225</v>
      </c>
      <c r="K1859" s="0" t="n">
        <v>7891032014706</v>
      </c>
      <c r="L1859" s="0" t="s">
        <v>3573</v>
      </c>
      <c r="N1859" s="0" t="n">
        <v>32</v>
      </c>
      <c r="O1859" s="0" t="n">
        <v>93.12</v>
      </c>
      <c r="P1859" s="0" t="s">
        <v>2444</v>
      </c>
    </row>
    <row r="1860" customFormat="false" ht="15" hidden="false" customHeight="true" outlineLevel="0" collapsed="false">
      <c r="A1860" s="0" t="n">
        <v>2</v>
      </c>
      <c r="B1860" s="71" t="n">
        <v>46195</v>
      </c>
      <c r="C1860" s="0" t="n">
        <v>1</v>
      </c>
      <c r="D1860" s="0" t="s">
        <v>2442</v>
      </c>
      <c r="E1860" s="0" t="n">
        <v>10012</v>
      </c>
      <c r="F1860" s="0" t="s">
        <v>185</v>
      </c>
      <c r="I1860" s="0" t="n">
        <v>1959276</v>
      </c>
      <c r="J1860" s="0" t="n">
        <v>46637</v>
      </c>
      <c r="K1860" s="0" t="n">
        <v>7896049528567</v>
      </c>
      <c r="L1860" s="0" t="s">
        <v>3574</v>
      </c>
      <c r="N1860" s="0" t="n">
        <v>12</v>
      </c>
      <c r="O1860" s="0" t="n">
        <v>57.48</v>
      </c>
      <c r="P1860" s="0" t="s">
        <v>2444</v>
      </c>
    </row>
    <row r="1861" customFormat="false" ht="15" hidden="false" customHeight="true" outlineLevel="0" collapsed="false">
      <c r="A1861" s="0" t="n">
        <v>2</v>
      </c>
      <c r="B1861" s="71" t="n">
        <v>46195</v>
      </c>
      <c r="C1861" s="0" t="n">
        <v>1</v>
      </c>
      <c r="D1861" s="0" t="s">
        <v>2442</v>
      </c>
      <c r="E1861" s="0" t="n">
        <v>10012</v>
      </c>
      <c r="F1861" s="0" t="s">
        <v>185</v>
      </c>
      <c r="I1861" s="0" t="n">
        <v>1959276</v>
      </c>
      <c r="J1861" s="0" t="n">
        <v>49754</v>
      </c>
      <c r="K1861" s="0" t="n">
        <v>7896049528536</v>
      </c>
      <c r="L1861" s="0" t="s">
        <v>3575</v>
      </c>
      <c r="N1861" s="0" t="n">
        <v>12</v>
      </c>
      <c r="O1861" s="0" t="n">
        <v>57.48</v>
      </c>
      <c r="P1861" s="0" t="s">
        <v>2444</v>
      </c>
    </row>
    <row r="1862" customFormat="false" ht="15" hidden="false" customHeight="true" outlineLevel="0" collapsed="false">
      <c r="A1862" s="0" t="n">
        <v>2</v>
      </c>
      <c r="B1862" s="71" t="n">
        <v>46195</v>
      </c>
      <c r="C1862" s="0" t="n">
        <v>1</v>
      </c>
      <c r="D1862" s="0" t="s">
        <v>2442</v>
      </c>
      <c r="E1862" s="0" t="n">
        <v>10012</v>
      </c>
      <c r="F1862" s="0" t="s">
        <v>185</v>
      </c>
      <c r="I1862" s="0" t="n">
        <v>1959276</v>
      </c>
      <c r="J1862" s="0" t="n">
        <v>49757</v>
      </c>
      <c r="K1862" s="0" t="n">
        <v>7896049528598</v>
      </c>
      <c r="L1862" s="0" t="s">
        <v>3575</v>
      </c>
      <c r="N1862" s="0" t="n">
        <v>12</v>
      </c>
      <c r="O1862" s="0" t="n">
        <v>57.48</v>
      </c>
      <c r="P1862" s="0" t="s">
        <v>2444</v>
      </c>
    </row>
    <row r="1863" customFormat="false" ht="15" hidden="false" customHeight="true" outlineLevel="0" collapsed="false">
      <c r="A1863" s="0" t="n">
        <v>2</v>
      </c>
      <c r="B1863" s="71" t="n">
        <v>46195</v>
      </c>
      <c r="C1863" s="0" t="n">
        <v>1</v>
      </c>
      <c r="D1863" s="0" t="s">
        <v>2442</v>
      </c>
      <c r="E1863" s="0" t="n">
        <v>10012</v>
      </c>
      <c r="F1863" s="0" t="s">
        <v>185</v>
      </c>
      <c r="I1863" s="0" t="n">
        <v>1959276</v>
      </c>
      <c r="J1863" s="0" t="n">
        <v>54801</v>
      </c>
      <c r="K1863" s="0" t="n">
        <v>7896049525726</v>
      </c>
      <c r="L1863" s="0" t="s">
        <v>3576</v>
      </c>
      <c r="N1863" s="0" t="n">
        <v>12</v>
      </c>
      <c r="O1863" s="0" t="n">
        <v>57.48</v>
      </c>
      <c r="P1863" s="0" t="s">
        <v>2444</v>
      </c>
    </row>
    <row r="1864" customFormat="false" ht="15" hidden="false" customHeight="true" outlineLevel="0" collapsed="false">
      <c r="A1864" s="0" t="n">
        <v>2</v>
      </c>
      <c r="B1864" s="71" t="n">
        <v>46195</v>
      </c>
      <c r="C1864" s="0" t="n">
        <v>1</v>
      </c>
      <c r="D1864" s="0" t="s">
        <v>2442</v>
      </c>
      <c r="E1864" s="0" t="n">
        <v>10012</v>
      </c>
      <c r="F1864" s="0" t="s">
        <v>185</v>
      </c>
      <c r="I1864" s="0" t="n">
        <v>1959276</v>
      </c>
      <c r="J1864" s="0" t="n">
        <v>54807</v>
      </c>
      <c r="K1864" s="0" t="n">
        <v>7891032018124</v>
      </c>
      <c r="L1864" s="0" t="s">
        <v>3577</v>
      </c>
      <c r="N1864" s="0" t="n">
        <v>24</v>
      </c>
      <c r="O1864" s="0" t="n">
        <v>84.96</v>
      </c>
      <c r="P1864" s="0" t="s">
        <v>2444</v>
      </c>
    </row>
    <row r="1865" customFormat="false" ht="15" hidden="false" customHeight="true" outlineLevel="0" collapsed="false">
      <c r="A1865" s="0" t="n">
        <v>2</v>
      </c>
      <c r="B1865" s="71" t="n">
        <v>46195</v>
      </c>
      <c r="C1865" s="0" t="n">
        <v>1</v>
      </c>
      <c r="D1865" s="0" t="s">
        <v>2442</v>
      </c>
      <c r="E1865" s="0" t="n">
        <v>10012</v>
      </c>
      <c r="F1865" s="0" t="s">
        <v>185</v>
      </c>
      <c r="I1865" s="0" t="n">
        <v>1959276</v>
      </c>
      <c r="J1865" s="0" t="n">
        <v>59784</v>
      </c>
      <c r="K1865" s="0" t="n">
        <v>7891032014287</v>
      </c>
      <c r="L1865" s="0" t="s">
        <v>3578</v>
      </c>
      <c r="N1865" s="0" t="n">
        <v>36</v>
      </c>
      <c r="O1865" s="0" t="n">
        <v>193.68</v>
      </c>
      <c r="P1865" s="0" t="s">
        <v>2444</v>
      </c>
    </row>
    <row r="1866" customFormat="false" ht="15" hidden="false" customHeight="true" outlineLevel="0" collapsed="false">
      <c r="A1866" s="0" t="n">
        <v>2</v>
      </c>
      <c r="B1866" s="71" t="n">
        <v>46195</v>
      </c>
      <c r="C1866" s="0" t="n">
        <v>1</v>
      </c>
      <c r="D1866" s="0" t="s">
        <v>2442</v>
      </c>
      <c r="E1866" s="0" t="n">
        <v>10012</v>
      </c>
      <c r="F1866" s="0" t="s">
        <v>185</v>
      </c>
      <c r="I1866" s="0" t="n">
        <v>1959276</v>
      </c>
      <c r="J1866" s="0" t="n">
        <v>59788</v>
      </c>
      <c r="K1866" s="0" t="n">
        <v>7891032014324</v>
      </c>
      <c r="L1866" s="0" t="s">
        <v>3579</v>
      </c>
      <c r="N1866" s="0" t="n">
        <v>36</v>
      </c>
      <c r="O1866" s="0" t="n">
        <v>191.88</v>
      </c>
      <c r="P1866" s="0" t="s">
        <v>2444</v>
      </c>
    </row>
    <row r="1867" customFormat="false" ht="15" hidden="false" customHeight="true" outlineLevel="0" collapsed="false">
      <c r="A1867" s="0" t="n">
        <v>2</v>
      </c>
      <c r="B1867" s="71" t="n">
        <v>46195</v>
      </c>
      <c r="C1867" s="0" t="n">
        <v>2</v>
      </c>
      <c r="D1867" s="0" t="s">
        <v>2533</v>
      </c>
      <c r="E1867" s="0" t="n">
        <v>48</v>
      </c>
      <c r="F1867" s="0" t="s">
        <v>153</v>
      </c>
      <c r="I1867" s="0" t="n">
        <v>22626</v>
      </c>
      <c r="J1867" s="0" t="n">
        <v>42564</v>
      </c>
      <c r="K1867" s="0" t="n">
        <v>574</v>
      </c>
      <c r="L1867" s="0" t="s">
        <v>2534</v>
      </c>
      <c r="N1867" s="0" t="n">
        <v>15</v>
      </c>
      <c r="O1867" s="0" t="n">
        <v>210</v>
      </c>
      <c r="P1867" s="0" t="s">
        <v>2444</v>
      </c>
    </row>
    <row r="1868" customFormat="false" ht="15" hidden="false" customHeight="true" outlineLevel="0" collapsed="false">
      <c r="A1868" s="0" t="n">
        <v>2</v>
      </c>
      <c r="B1868" s="71" t="n">
        <v>46195</v>
      </c>
      <c r="C1868" s="0" t="n">
        <v>2</v>
      </c>
      <c r="D1868" s="0" t="s">
        <v>2533</v>
      </c>
      <c r="E1868" s="0" t="n">
        <v>48</v>
      </c>
      <c r="F1868" s="0" t="s">
        <v>153</v>
      </c>
      <c r="I1868" s="0" t="n">
        <v>2262026</v>
      </c>
      <c r="J1868" s="0" t="n">
        <v>100109</v>
      </c>
      <c r="K1868" s="0" t="n">
        <v>110</v>
      </c>
      <c r="L1868" s="0" t="s">
        <v>2537</v>
      </c>
      <c r="N1868" s="0" t="n">
        <v>20</v>
      </c>
      <c r="O1868" s="0" t="n">
        <v>100</v>
      </c>
      <c r="P1868" s="0" t="s">
        <v>2444</v>
      </c>
    </row>
    <row r="1869" customFormat="false" ht="15" hidden="false" customHeight="true" outlineLevel="0" collapsed="false">
      <c r="A1869" s="0" t="n">
        <v>2</v>
      </c>
      <c r="B1869" s="71" t="n">
        <v>46195</v>
      </c>
      <c r="C1869" s="0" t="n">
        <v>2</v>
      </c>
      <c r="D1869" s="0" t="s">
        <v>2533</v>
      </c>
      <c r="E1869" s="0" t="n">
        <v>48</v>
      </c>
      <c r="F1869" s="0" t="s">
        <v>153</v>
      </c>
      <c r="I1869" s="0" t="n">
        <v>2262026</v>
      </c>
      <c r="J1869" s="0" t="n">
        <v>100116</v>
      </c>
      <c r="K1869" s="0" t="n">
        <v>117</v>
      </c>
      <c r="L1869" s="0" t="s">
        <v>2540</v>
      </c>
      <c r="N1869" s="0" t="n">
        <v>2</v>
      </c>
      <c r="O1869" s="0" t="n">
        <v>30</v>
      </c>
      <c r="P1869" s="0" t="s">
        <v>2444</v>
      </c>
    </row>
    <row r="1870" customFormat="false" ht="15" hidden="false" customHeight="true" outlineLevel="0" collapsed="false">
      <c r="A1870" s="0" t="n">
        <v>2</v>
      </c>
      <c r="B1870" s="71" t="n">
        <v>46195</v>
      </c>
      <c r="C1870" s="0" t="n">
        <v>2</v>
      </c>
      <c r="D1870" s="0" t="s">
        <v>2533</v>
      </c>
      <c r="E1870" s="0" t="n">
        <v>48</v>
      </c>
      <c r="F1870" s="0" t="s">
        <v>153</v>
      </c>
      <c r="I1870" s="0" t="n">
        <v>2262026</v>
      </c>
      <c r="J1870" s="0" t="n">
        <v>100121</v>
      </c>
      <c r="K1870" s="0" t="n">
        <v>122</v>
      </c>
      <c r="L1870" s="0" t="s">
        <v>2542</v>
      </c>
      <c r="N1870" s="0" t="n">
        <v>3</v>
      </c>
      <c r="O1870" s="0" t="n">
        <v>90</v>
      </c>
      <c r="P1870" s="0" t="s">
        <v>2444</v>
      </c>
    </row>
    <row r="1871" customFormat="false" ht="15" hidden="false" customHeight="true" outlineLevel="0" collapsed="false">
      <c r="A1871" s="0" t="n">
        <v>2</v>
      </c>
      <c r="B1871" s="71" t="n">
        <v>46195</v>
      </c>
      <c r="C1871" s="0" t="n">
        <v>2</v>
      </c>
      <c r="D1871" s="0" t="s">
        <v>2533</v>
      </c>
      <c r="E1871" s="0" t="n">
        <v>48</v>
      </c>
      <c r="F1871" s="0" t="s">
        <v>153</v>
      </c>
      <c r="I1871" s="0" t="n">
        <v>2262026</v>
      </c>
      <c r="J1871" s="0" t="n">
        <v>100122</v>
      </c>
      <c r="K1871" s="0" t="n">
        <v>123</v>
      </c>
      <c r="L1871" s="0" t="s">
        <v>2543</v>
      </c>
      <c r="N1871" s="0" t="n">
        <v>3</v>
      </c>
      <c r="O1871" s="0" t="n">
        <v>45</v>
      </c>
      <c r="P1871" s="0" t="s">
        <v>2444</v>
      </c>
    </row>
    <row r="1872" customFormat="false" ht="15" hidden="false" customHeight="true" outlineLevel="0" collapsed="false">
      <c r="A1872" s="0" t="n">
        <v>2</v>
      </c>
      <c r="B1872" s="71" t="n">
        <v>46195</v>
      </c>
      <c r="C1872" s="0" t="n">
        <v>2</v>
      </c>
      <c r="D1872" s="0" t="s">
        <v>2533</v>
      </c>
      <c r="E1872" s="0" t="n">
        <v>48</v>
      </c>
      <c r="F1872" s="0" t="s">
        <v>153</v>
      </c>
      <c r="I1872" s="0" t="n">
        <v>2262026</v>
      </c>
      <c r="J1872" s="0" t="n">
        <v>100124</v>
      </c>
      <c r="K1872" s="0" t="n">
        <v>125</v>
      </c>
      <c r="L1872" s="0" t="s">
        <v>2695</v>
      </c>
      <c r="N1872" s="0" t="n">
        <v>5</v>
      </c>
      <c r="O1872" s="0" t="n">
        <v>55</v>
      </c>
      <c r="P1872" s="0" t="s">
        <v>2444</v>
      </c>
    </row>
    <row r="1873" customFormat="false" ht="15" hidden="false" customHeight="true" outlineLevel="0" collapsed="false">
      <c r="A1873" s="0" t="n">
        <v>2</v>
      </c>
      <c r="B1873" s="71" t="n">
        <v>46195</v>
      </c>
      <c r="C1873" s="0" t="n">
        <v>2</v>
      </c>
      <c r="D1873" s="0" t="s">
        <v>2533</v>
      </c>
      <c r="E1873" s="0" t="n">
        <v>48</v>
      </c>
      <c r="F1873" s="0" t="s">
        <v>153</v>
      </c>
      <c r="I1873" s="0" t="n">
        <v>2262026</v>
      </c>
      <c r="J1873" s="0" t="n">
        <v>100125</v>
      </c>
      <c r="K1873" s="0" t="n">
        <v>126</v>
      </c>
      <c r="L1873" s="0" t="s">
        <v>2597</v>
      </c>
      <c r="N1873" s="0" t="n">
        <v>20</v>
      </c>
      <c r="O1873" s="0" t="n">
        <v>170</v>
      </c>
      <c r="P1873" s="0" t="s">
        <v>2444</v>
      </c>
    </row>
    <row r="1874" customFormat="false" ht="15" hidden="false" customHeight="true" outlineLevel="0" collapsed="false">
      <c r="A1874" s="0" t="n">
        <v>2</v>
      </c>
      <c r="B1874" s="71" t="n">
        <v>46195</v>
      </c>
      <c r="C1874" s="0" t="n">
        <v>2</v>
      </c>
      <c r="D1874" s="0" t="s">
        <v>2533</v>
      </c>
      <c r="E1874" s="0" t="n">
        <v>48</v>
      </c>
      <c r="F1874" s="0" t="s">
        <v>153</v>
      </c>
      <c r="I1874" s="0" t="n">
        <v>2262026</v>
      </c>
      <c r="J1874" s="0" t="n">
        <v>100132</v>
      </c>
      <c r="K1874" s="0" t="n">
        <v>133</v>
      </c>
      <c r="L1874" s="0" t="s">
        <v>2546</v>
      </c>
      <c r="N1874" s="0" t="n">
        <v>32</v>
      </c>
      <c r="O1874" s="0" t="n">
        <v>114</v>
      </c>
      <c r="P1874" s="0" t="s">
        <v>2444</v>
      </c>
    </row>
    <row r="1875" customFormat="false" ht="15" hidden="false" customHeight="true" outlineLevel="0" collapsed="false">
      <c r="A1875" s="0" t="n">
        <v>2</v>
      </c>
      <c r="B1875" s="71" t="n">
        <v>46195</v>
      </c>
      <c r="C1875" s="0" t="n">
        <v>2</v>
      </c>
      <c r="D1875" s="0" t="s">
        <v>2533</v>
      </c>
      <c r="E1875" s="0" t="n">
        <v>48</v>
      </c>
      <c r="F1875" s="0" t="s">
        <v>153</v>
      </c>
      <c r="I1875" s="0" t="n">
        <v>2262026</v>
      </c>
      <c r="J1875" s="0" t="n">
        <v>100133</v>
      </c>
      <c r="K1875" s="0" t="n">
        <v>134</v>
      </c>
      <c r="L1875" s="0" t="s">
        <v>2547</v>
      </c>
      <c r="N1875" s="0" t="n">
        <v>15</v>
      </c>
      <c r="O1875" s="0" t="n">
        <v>52.5</v>
      </c>
      <c r="P1875" s="0" t="s">
        <v>2444</v>
      </c>
    </row>
    <row r="1876" customFormat="false" ht="15" hidden="false" customHeight="true" outlineLevel="0" collapsed="false">
      <c r="A1876" s="0" t="n">
        <v>2</v>
      </c>
      <c r="B1876" s="71" t="n">
        <v>46195</v>
      </c>
      <c r="C1876" s="0" t="n">
        <v>2</v>
      </c>
      <c r="D1876" s="0" t="s">
        <v>2533</v>
      </c>
      <c r="E1876" s="0" t="n">
        <v>48</v>
      </c>
      <c r="F1876" s="0" t="s">
        <v>153</v>
      </c>
      <c r="I1876" s="0" t="n">
        <v>2262026</v>
      </c>
      <c r="J1876" s="0" t="n">
        <v>100227</v>
      </c>
      <c r="K1876" s="0" t="n">
        <v>40538</v>
      </c>
      <c r="L1876" s="0" t="s">
        <v>2548</v>
      </c>
      <c r="N1876" s="0" t="n">
        <v>15</v>
      </c>
      <c r="O1876" s="0" t="n">
        <v>67.5</v>
      </c>
      <c r="P1876" s="0" t="s">
        <v>2444</v>
      </c>
    </row>
    <row r="1877" customFormat="false" ht="15" hidden="false" customHeight="true" outlineLevel="0" collapsed="false">
      <c r="A1877" s="0" t="n">
        <v>2</v>
      </c>
      <c r="B1877" s="71" t="n">
        <v>46195</v>
      </c>
      <c r="C1877" s="0" t="n">
        <v>2</v>
      </c>
      <c r="D1877" s="0" t="s">
        <v>2533</v>
      </c>
      <c r="E1877" s="0" t="n">
        <v>48</v>
      </c>
      <c r="F1877" s="0" t="s">
        <v>153</v>
      </c>
      <c r="I1877" s="0" t="n">
        <v>2262026</v>
      </c>
      <c r="J1877" s="0" t="n">
        <v>110142</v>
      </c>
      <c r="K1877" s="0" t="n">
        <v>16699</v>
      </c>
      <c r="L1877" s="0" t="s">
        <v>2549</v>
      </c>
      <c r="N1877" s="0" t="n">
        <v>40</v>
      </c>
      <c r="O1877" s="0" t="n">
        <v>240</v>
      </c>
      <c r="P1877" s="0" t="s">
        <v>2444</v>
      </c>
    </row>
    <row r="1878" customFormat="false" ht="15" hidden="false" customHeight="true" outlineLevel="0" collapsed="false">
      <c r="A1878" s="0" t="n">
        <v>2</v>
      </c>
      <c r="B1878" s="71" t="n">
        <v>46195</v>
      </c>
      <c r="C1878" s="0" t="n">
        <v>2</v>
      </c>
      <c r="D1878" s="0" t="s">
        <v>2533</v>
      </c>
      <c r="E1878" s="0" t="n">
        <v>48</v>
      </c>
      <c r="F1878" s="0" t="s">
        <v>153</v>
      </c>
      <c r="I1878" s="0" t="n">
        <v>2262026</v>
      </c>
      <c r="J1878" s="0" t="n">
        <v>110489</v>
      </c>
      <c r="K1878" s="0" t="n">
        <v>54743</v>
      </c>
      <c r="L1878" s="0" t="s">
        <v>2550</v>
      </c>
      <c r="N1878" s="0" t="n">
        <v>40</v>
      </c>
      <c r="O1878" s="0" t="n">
        <v>240</v>
      </c>
      <c r="P1878" s="0" t="s">
        <v>2444</v>
      </c>
    </row>
    <row r="1879" customFormat="false" ht="15" hidden="false" customHeight="true" outlineLevel="0" collapsed="false">
      <c r="A1879" s="0" t="n">
        <v>2</v>
      </c>
      <c r="B1879" s="71" t="n">
        <v>46195</v>
      </c>
      <c r="C1879" s="0" t="n">
        <v>2</v>
      </c>
      <c r="D1879" s="0" t="s">
        <v>2533</v>
      </c>
      <c r="E1879" s="0" t="n">
        <v>48</v>
      </c>
      <c r="F1879" s="0" t="s">
        <v>153</v>
      </c>
      <c r="I1879" s="0" t="n">
        <v>2262026</v>
      </c>
      <c r="J1879" s="0" t="n">
        <v>74674</v>
      </c>
      <c r="K1879" s="0" t="n">
        <v>741</v>
      </c>
      <c r="L1879" s="0" t="s">
        <v>2738</v>
      </c>
      <c r="N1879" s="0" t="n">
        <v>20</v>
      </c>
      <c r="O1879" s="0" t="n">
        <v>220</v>
      </c>
      <c r="P1879" s="0" t="s">
        <v>2444</v>
      </c>
    </row>
    <row r="1880" customFormat="false" ht="15" hidden="false" customHeight="true" outlineLevel="0" collapsed="false">
      <c r="A1880" s="0" t="n">
        <v>2</v>
      </c>
      <c r="B1880" s="71" t="n">
        <v>46195</v>
      </c>
      <c r="C1880" s="0" t="n">
        <v>2</v>
      </c>
      <c r="D1880" s="0" t="s">
        <v>2533</v>
      </c>
      <c r="E1880" s="0" t="n">
        <v>48</v>
      </c>
      <c r="F1880" s="0" t="s">
        <v>153</v>
      </c>
      <c r="I1880" s="0" t="n">
        <v>2262026</v>
      </c>
      <c r="J1880" s="0" t="n">
        <v>80078</v>
      </c>
      <c r="K1880" s="0" t="n">
        <v>710</v>
      </c>
      <c r="L1880" s="0" t="s">
        <v>2551</v>
      </c>
      <c r="N1880" s="0" t="n">
        <v>10</v>
      </c>
      <c r="O1880" s="0" t="n">
        <v>30</v>
      </c>
      <c r="P1880" s="0" t="s">
        <v>2444</v>
      </c>
    </row>
    <row r="1881" customFormat="false" ht="15" hidden="false" customHeight="true" outlineLevel="0" collapsed="false">
      <c r="A1881" s="0" t="n">
        <v>2</v>
      </c>
      <c r="B1881" s="71" t="n">
        <v>46195</v>
      </c>
      <c r="C1881" s="0" t="n">
        <v>6</v>
      </c>
      <c r="D1881" s="0" t="s">
        <v>2553</v>
      </c>
      <c r="E1881" s="0" t="n">
        <v>48</v>
      </c>
      <c r="F1881" s="0" t="s">
        <v>153</v>
      </c>
      <c r="I1881" s="0" t="n">
        <v>2503</v>
      </c>
      <c r="J1881" s="0" t="n">
        <v>42564</v>
      </c>
      <c r="K1881" s="0" t="n">
        <v>574</v>
      </c>
      <c r="L1881" s="0" t="s">
        <v>2534</v>
      </c>
      <c r="N1881" s="0" t="n">
        <v>15</v>
      </c>
      <c r="O1881" s="0" t="n">
        <v>210</v>
      </c>
      <c r="P1881" s="0" t="s">
        <v>2444</v>
      </c>
    </row>
    <row r="1882" customFormat="false" ht="15" hidden="false" customHeight="true" outlineLevel="0" collapsed="false">
      <c r="A1882" s="0" t="n">
        <v>2</v>
      </c>
      <c r="B1882" s="71" t="n">
        <v>46195</v>
      </c>
      <c r="C1882" s="0" t="n">
        <v>6</v>
      </c>
      <c r="D1882" s="0" t="s">
        <v>2553</v>
      </c>
      <c r="E1882" s="0" t="n">
        <v>48</v>
      </c>
      <c r="F1882" s="0" t="s">
        <v>153</v>
      </c>
      <c r="I1882" s="0" t="n">
        <v>2504</v>
      </c>
      <c r="J1882" s="0" t="n">
        <v>100109</v>
      </c>
      <c r="K1882" s="0" t="n">
        <v>110</v>
      </c>
      <c r="L1882" s="0" t="s">
        <v>2537</v>
      </c>
      <c r="N1882" s="0" t="n">
        <v>20</v>
      </c>
      <c r="O1882" s="0" t="n">
        <v>100</v>
      </c>
      <c r="P1882" s="0" t="s">
        <v>2444</v>
      </c>
    </row>
    <row r="1883" customFormat="false" ht="15" hidden="false" customHeight="true" outlineLevel="0" collapsed="false">
      <c r="A1883" s="0" t="n">
        <v>2</v>
      </c>
      <c r="B1883" s="71" t="n">
        <v>46195</v>
      </c>
      <c r="C1883" s="0" t="n">
        <v>6</v>
      </c>
      <c r="D1883" s="0" t="s">
        <v>2553</v>
      </c>
      <c r="E1883" s="0" t="n">
        <v>48</v>
      </c>
      <c r="F1883" s="0" t="s">
        <v>153</v>
      </c>
      <c r="I1883" s="0" t="n">
        <v>2504</v>
      </c>
      <c r="J1883" s="0" t="n">
        <v>100116</v>
      </c>
      <c r="K1883" s="0" t="n">
        <v>117</v>
      </c>
      <c r="L1883" s="0" t="s">
        <v>2540</v>
      </c>
      <c r="N1883" s="0" t="n">
        <v>2</v>
      </c>
      <c r="O1883" s="0" t="n">
        <v>30</v>
      </c>
      <c r="P1883" s="0" t="s">
        <v>2444</v>
      </c>
    </row>
    <row r="1884" customFormat="false" ht="15" hidden="false" customHeight="true" outlineLevel="0" collapsed="false">
      <c r="A1884" s="0" t="n">
        <v>2</v>
      </c>
      <c r="B1884" s="71" t="n">
        <v>46195</v>
      </c>
      <c r="C1884" s="0" t="n">
        <v>6</v>
      </c>
      <c r="D1884" s="0" t="s">
        <v>2553</v>
      </c>
      <c r="E1884" s="0" t="n">
        <v>48</v>
      </c>
      <c r="F1884" s="0" t="s">
        <v>153</v>
      </c>
      <c r="I1884" s="0" t="n">
        <v>2504</v>
      </c>
      <c r="J1884" s="0" t="n">
        <v>100121</v>
      </c>
      <c r="K1884" s="0" t="n">
        <v>122</v>
      </c>
      <c r="L1884" s="0" t="s">
        <v>2542</v>
      </c>
      <c r="N1884" s="0" t="n">
        <v>3</v>
      </c>
      <c r="O1884" s="0" t="n">
        <v>90</v>
      </c>
      <c r="P1884" s="0" t="s">
        <v>2444</v>
      </c>
    </row>
    <row r="1885" customFormat="false" ht="15" hidden="false" customHeight="true" outlineLevel="0" collapsed="false">
      <c r="A1885" s="0" t="n">
        <v>2</v>
      </c>
      <c r="B1885" s="71" t="n">
        <v>46195</v>
      </c>
      <c r="C1885" s="0" t="n">
        <v>6</v>
      </c>
      <c r="D1885" s="0" t="s">
        <v>2553</v>
      </c>
      <c r="E1885" s="0" t="n">
        <v>48</v>
      </c>
      <c r="F1885" s="0" t="s">
        <v>153</v>
      </c>
      <c r="I1885" s="0" t="n">
        <v>2504</v>
      </c>
      <c r="J1885" s="0" t="n">
        <v>100122</v>
      </c>
      <c r="K1885" s="0" t="n">
        <v>123</v>
      </c>
      <c r="L1885" s="0" t="s">
        <v>2543</v>
      </c>
      <c r="N1885" s="0" t="n">
        <v>3</v>
      </c>
      <c r="O1885" s="0" t="n">
        <v>45</v>
      </c>
      <c r="P1885" s="0" t="s">
        <v>2444</v>
      </c>
    </row>
    <row r="1886" customFormat="false" ht="15" hidden="false" customHeight="true" outlineLevel="0" collapsed="false">
      <c r="A1886" s="0" t="n">
        <v>2</v>
      </c>
      <c r="B1886" s="71" t="n">
        <v>46195</v>
      </c>
      <c r="C1886" s="0" t="n">
        <v>6</v>
      </c>
      <c r="D1886" s="0" t="s">
        <v>2553</v>
      </c>
      <c r="E1886" s="0" t="n">
        <v>48</v>
      </c>
      <c r="F1886" s="0" t="s">
        <v>153</v>
      </c>
      <c r="I1886" s="0" t="n">
        <v>2504</v>
      </c>
      <c r="J1886" s="0" t="n">
        <v>100124</v>
      </c>
      <c r="K1886" s="0" t="n">
        <v>125</v>
      </c>
      <c r="L1886" s="0" t="s">
        <v>2695</v>
      </c>
      <c r="N1886" s="0" t="n">
        <v>5</v>
      </c>
      <c r="O1886" s="0" t="n">
        <v>55</v>
      </c>
      <c r="P1886" s="0" t="s">
        <v>2444</v>
      </c>
    </row>
    <row r="1887" customFormat="false" ht="15" hidden="false" customHeight="true" outlineLevel="0" collapsed="false">
      <c r="A1887" s="0" t="n">
        <v>2</v>
      </c>
      <c r="B1887" s="71" t="n">
        <v>46195</v>
      </c>
      <c r="C1887" s="0" t="n">
        <v>6</v>
      </c>
      <c r="D1887" s="0" t="s">
        <v>2553</v>
      </c>
      <c r="E1887" s="0" t="n">
        <v>48</v>
      </c>
      <c r="F1887" s="0" t="s">
        <v>153</v>
      </c>
      <c r="I1887" s="0" t="n">
        <v>2504</v>
      </c>
      <c r="J1887" s="0" t="n">
        <v>100125</v>
      </c>
      <c r="K1887" s="0" t="n">
        <v>126</v>
      </c>
      <c r="L1887" s="0" t="s">
        <v>2597</v>
      </c>
      <c r="N1887" s="0" t="n">
        <v>20</v>
      </c>
      <c r="O1887" s="0" t="n">
        <v>170</v>
      </c>
      <c r="P1887" s="0" t="s">
        <v>2444</v>
      </c>
    </row>
    <row r="1888" customFormat="false" ht="15" hidden="false" customHeight="true" outlineLevel="0" collapsed="false">
      <c r="A1888" s="0" t="n">
        <v>2</v>
      </c>
      <c r="B1888" s="71" t="n">
        <v>46195</v>
      </c>
      <c r="C1888" s="0" t="n">
        <v>6</v>
      </c>
      <c r="D1888" s="0" t="s">
        <v>2553</v>
      </c>
      <c r="E1888" s="0" t="n">
        <v>48</v>
      </c>
      <c r="F1888" s="0" t="s">
        <v>153</v>
      </c>
      <c r="I1888" s="0" t="n">
        <v>2504</v>
      </c>
      <c r="J1888" s="0" t="n">
        <v>100132</v>
      </c>
      <c r="K1888" s="0" t="n">
        <v>133</v>
      </c>
      <c r="L1888" s="0" t="s">
        <v>2546</v>
      </c>
      <c r="N1888" s="0" t="n">
        <v>32</v>
      </c>
      <c r="O1888" s="0" t="n">
        <v>114</v>
      </c>
      <c r="P1888" s="0" t="s">
        <v>2444</v>
      </c>
    </row>
    <row r="1889" customFormat="false" ht="15" hidden="false" customHeight="true" outlineLevel="0" collapsed="false">
      <c r="A1889" s="0" t="n">
        <v>2</v>
      </c>
      <c r="B1889" s="71" t="n">
        <v>46195</v>
      </c>
      <c r="C1889" s="0" t="n">
        <v>6</v>
      </c>
      <c r="D1889" s="0" t="s">
        <v>2553</v>
      </c>
      <c r="E1889" s="0" t="n">
        <v>48</v>
      </c>
      <c r="F1889" s="0" t="s">
        <v>153</v>
      </c>
      <c r="I1889" s="0" t="n">
        <v>2504</v>
      </c>
      <c r="J1889" s="0" t="n">
        <v>100133</v>
      </c>
      <c r="K1889" s="0" t="n">
        <v>134</v>
      </c>
      <c r="L1889" s="0" t="s">
        <v>2547</v>
      </c>
      <c r="N1889" s="0" t="n">
        <v>15</v>
      </c>
      <c r="O1889" s="0" t="n">
        <v>52.5</v>
      </c>
      <c r="P1889" s="0" t="s">
        <v>2444</v>
      </c>
    </row>
    <row r="1890" customFormat="false" ht="15" hidden="false" customHeight="true" outlineLevel="0" collapsed="false">
      <c r="A1890" s="0" t="n">
        <v>2</v>
      </c>
      <c r="B1890" s="71" t="n">
        <v>46195</v>
      </c>
      <c r="C1890" s="0" t="n">
        <v>6</v>
      </c>
      <c r="D1890" s="0" t="s">
        <v>2553</v>
      </c>
      <c r="E1890" s="0" t="n">
        <v>48</v>
      </c>
      <c r="F1890" s="0" t="s">
        <v>153</v>
      </c>
      <c r="I1890" s="0" t="n">
        <v>2504</v>
      </c>
      <c r="J1890" s="0" t="n">
        <v>100227</v>
      </c>
      <c r="K1890" s="0" t="n">
        <v>40538</v>
      </c>
      <c r="L1890" s="0" t="s">
        <v>2548</v>
      </c>
      <c r="N1890" s="0" t="n">
        <v>15</v>
      </c>
      <c r="O1890" s="0" t="n">
        <v>67.5</v>
      </c>
      <c r="P1890" s="0" t="s">
        <v>2444</v>
      </c>
    </row>
    <row r="1891" customFormat="false" ht="15" hidden="false" customHeight="true" outlineLevel="0" collapsed="false">
      <c r="A1891" s="0" t="n">
        <v>2</v>
      </c>
      <c r="B1891" s="71" t="n">
        <v>46195</v>
      </c>
      <c r="C1891" s="0" t="n">
        <v>6</v>
      </c>
      <c r="D1891" s="0" t="s">
        <v>2553</v>
      </c>
      <c r="E1891" s="0" t="n">
        <v>48</v>
      </c>
      <c r="F1891" s="0" t="s">
        <v>153</v>
      </c>
      <c r="I1891" s="0" t="n">
        <v>2504</v>
      </c>
      <c r="J1891" s="0" t="n">
        <v>110142</v>
      </c>
      <c r="K1891" s="0" t="n">
        <v>16699</v>
      </c>
      <c r="L1891" s="0" t="s">
        <v>2549</v>
      </c>
      <c r="N1891" s="0" t="n">
        <v>40</v>
      </c>
      <c r="O1891" s="0" t="n">
        <v>240</v>
      </c>
      <c r="P1891" s="0" t="s">
        <v>2444</v>
      </c>
    </row>
    <row r="1892" customFormat="false" ht="15" hidden="false" customHeight="true" outlineLevel="0" collapsed="false">
      <c r="A1892" s="0" t="n">
        <v>2</v>
      </c>
      <c r="B1892" s="71" t="n">
        <v>46195</v>
      </c>
      <c r="C1892" s="0" t="n">
        <v>6</v>
      </c>
      <c r="D1892" s="0" t="s">
        <v>2553</v>
      </c>
      <c r="E1892" s="0" t="n">
        <v>48</v>
      </c>
      <c r="F1892" s="0" t="s">
        <v>153</v>
      </c>
      <c r="I1892" s="0" t="n">
        <v>2504</v>
      </c>
      <c r="J1892" s="0" t="n">
        <v>110489</v>
      </c>
      <c r="K1892" s="0" t="n">
        <v>54743</v>
      </c>
      <c r="L1892" s="0" t="s">
        <v>2550</v>
      </c>
      <c r="N1892" s="0" t="n">
        <v>40</v>
      </c>
      <c r="O1892" s="0" t="n">
        <v>240</v>
      </c>
      <c r="P1892" s="0" t="s">
        <v>2444</v>
      </c>
    </row>
    <row r="1893" customFormat="false" ht="15" hidden="false" customHeight="true" outlineLevel="0" collapsed="false">
      <c r="A1893" s="0" t="n">
        <v>2</v>
      </c>
      <c r="B1893" s="71" t="n">
        <v>46195</v>
      </c>
      <c r="C1893" s="0" t="n">
        <v>6</v>
      </c>
      <c r="D1893" s="0" t="s">
        <v>2553</v>
      </c>
      <c r="E1893" s="0" t="n">
        <v>48</v>
      </c>
      <c r="F1893" s="0" t="s">
        <v>153</v>
      </c>
      <c r="I1893" s="0" t="n">
        <v>2504</v>
      </c>
      <c r="J1893" s="0" t="n">
        <v>74674</v>
      </c>
      <c r="K1893" s="0" t="n">
        <v>741</v>
      </c>
      <c r="L1893" s="0" t="s">
        <v>2738</v>
      </c>
      <c r="N1893" s="0" t="n">
        <v>20</v>
      </c>
      <c r="O1893" s="0" t="n">
        <v>220</v>
      </c>
      <c r="P1893" s="0" t="s">
        <v>2444</v>
      </c>
    </row>
    <row r="1894" customFormat="false" ht="15" hidden="false" customHeight="true" outlineLevel="0" collapsed="false">
      <c r="A1894" s="0" t="n">
        <v>2</v>
      </c>
      <c r="B1894" s="71" t="n">
        <v>46195</v>
      </c>
      <c r="C1894" s="0" t="n">
        <v>6</v>
      </c>
      <c r="D1894" s="0" t="s">
        <v>2553</v>
      </c>
      <c r="E1894" s="0" t="n">
        <v>48</v>
      </c>
      <c r="F1894" s="0" t="s">
        <v>153</v>
      </c>
      <c r="I1894" s="0" t="n">
        <v>2504</v>
      </c>
      <c r="J1894" s="0" t="n">
        <v>80078</v>
      </c>
      <c r="K1894" s="0" t="n">
        <v>710</v>
      </c>
      <c r="L1894" s="0" t="s">
        <v>2551</v>
      </c>
      <c r="N1894" s="0" t="n">
        <v>10</v>
      </c>
      <c r="O1894" s="0" t="n">
        <v>30</v>
      </c>
      <c r="P1894" s="0" t="s">
        <v>2444</v>
      </c>
    </row>
    <row r="1895" customFormat="false" ht="15" hidden="false" customHeight="true" outlineLevel="0" collapsed="false">
      <c r="A1895" s="0" t="n">
        <v>2</v>
      </c>
      <c r="B1895" s="71" t="n">
        <v>46195</v>
      </c>
      <c r="C1895" s="0" t="n">
        <v>11</v>
      </c>
      <c r="D1895" s="0" t="s">
        <v>2471</v>
      </c>
      <c r="E1895" s="0" t="n">
        <v>1626</v>
      </c>
      <c r="F1895" s="0" t="s">
        <v>77</v>
      </c>
      <c r="I1895" s="0" t="n">
        <v>310316</v>
      </c>
      <c r="J1895" s="0" t="n">
        <v>100058</v>
      </c>
      <c r="K1895" s="0" t="n">
        <v>59</v>
      </c>
      <c r="L1895" s="0" t="s">
        <v>3580</v>
      </c>
      <c r="N1895" s="0" t="n">
        <v>45</v>
      </c>
      <c r="O1895" s="0" t="n">
        <v>854.55</v>
      </c>
      <c r="P1895" s="0" t="s">
        <v>2444</v>
      </c>
    </row>
    <row r="1896" customFormat="false" ht="15" hidden="false" customHeight="true" outlineLevel="0" collapsed="false">
      <c r="A1896" s="0" t="n">
        <v>2</v>
      </c>
      <c r="B1896" s="71" t="n">
        <v>46195</v>
      </c>
      <c r="C1896" s="0" t="n">
        <v>11</v>
      </c>
      <c r="D1896" s="0" t="s">
        <v>2471</v>
      </c>
      <c r="E1896" s="0" t="n">
        <v>1626</v>
      </c>
      <c r="F1896" s="0" t="s">
        <v>77</v>
      </c>
      <c r="I1896" s="0" t="n">
        <v>310316</v>
      </c>
      <c r="J1896" s="0" t="n">
        <v>16681</v>
      </c>
      <c r="K1896" s="0" t="n">
        <v>7894904082704</v>
      </c>
      <c r="L1896" s="0" t="s">
        <v>3581</v>
      </c>
      <c r="N1896" s="0" t="n">
        <v>10</v>
      </c>
      <c r="O1896" s="0" t="n">
        <v>150.58</v>
      </c>
      <c r="P1896" s="0" t="s">
        <v>2444</v>
      </c>
    </row>
    <row r="1897" customFormat="false" ht="15" hidden="false" customHeight="true" outlineLevel="0" collapsed="false">
      <c r="A1897" s="0" t="n">
        <v>2</v>
      </c>
      <c r="B1897" s="71" t="n">
        <v>46195</v>
      </c>
      <c r="C1897" s="0" t="n">
        <v>11</v>
      </c>
      <c r="D1897" s="0" t="s">
        <v>2471</v>
      </c>
      <c r="E1897" s="0" t="n">
        <v>1626</v>
      </c>
      <c r="F1897" s="0" t="s">
        <v>77</v>
      </c>
      <c r="I1897" s="0" t="n">
        <v>310316</v>
      </c>
      <c r="J1897" s="0" t="n">
        <v>16832</v>
      </c>
      <c r="K1897" s="0" t="n">
        <v>7894904500116</v>
      </c>
      <c r="L1897" s="0" t="s">
        <v>2601</v>
      </c>
      <c r="N1897" s="0" t="n">
        <v>16</v>
      </c>
      <c r="O1897" s="0" t="n">
        <v>120.55</v>
      </c>
      <c r="P1897" s="0" t="s">
        <v>2444</v>
      </c>
    </row>
    <row r="1898" customFormat="false" ht="15" hidden="false" customHeight="true" outlineLevel="0" collapsed="false">
      <c r="A1898" s="0" t="n">
        <v>2</v>
      </c>
      <c r="B1898" s="71" t="n">
        <v>46195</v>
      </c>
      <c r="C1898" s="0" t="n">
        <v>11</v>
      </c>
      <c r="D1898" s="0" t="s">
        <v>2471</v>
      </c>
      <c r="E1898" s="0" t="n">
        <v>1626</v>
      </c>
      <c r="F1898" s="0" t="s">
        <v>77</v>
      </c>
      <c r="I1898" s="0" t="n">
        <v>310316</v>
      </c>
      <c r="J1898" s="0" t="n">
        <v>21292</v>
      </c>
      <c r="K1898" s="0" t="n">
        <v>7891143017887</v>
      </c>
      <c r="L1898" s="0" t="s">
        <v>2603</v>
      </c>
      <c r="N1898" s="0" t="n">
        <v>72</v>
      </c>
      <c r="O1898" s="0" t="n">
        <v>74.2</v>
      </c>
      <c r="P1898" s="0" t="s">
        <v>2444</v>
      </c>
    </row>
    <row r="1899" customFormat="false" ht="15" hidden="false" customHeight="true" outlineLevel="0" collapsed="false">
      <c r="A1899" s="0" t="n">
        <v>2</v>
      </c>
      <c r="B1899" s="71" t="n">
        <v>46195</v>
      </c>
      <c r="C1899" s="0" t="n">
        <v>11</v>
      </c>
      <c r="D1899" s="0" t="s">
        <v>2471</v>
      </c>
      <c r="E1899" s="0" t="n">
        <v>1626</v>
      </c>
      <c r="F1899" s="0" t="s">
        <v>77</v>
      </c>
      <c r="I1899" s="0" t="n">
        <v>310316</v>
      </c>
      <c r="J1899" s="0" t="n">
        <v>21348</v>
      </c>
      <c r="K1899" s="0" t="n">
        <v>7891143013193</v>
      </c>
      <c r="L1899" s="0" t="s">
        <v>3582</v>
      </c>
      <c r="N1899" s="0" t="n">
        <v>6</v>
      </c>
      <c r="O1899" s="0" t="n">
        <v>46.16</v>
      </c>
      <c r="P1899" s="0" t="s">
        <v>2444</v>
      </c>
    </row>
    <row r="1900" customFormat="false" ht="15" hidden="false" customHeight="true" outlineLevel="0" collapsed="false">
      <c r="A1900" s="0" t="n">
        <v>2</v>
      </c>
      <c r="B1900" s="71" t="n">
        <v>46195</v>
      </c>
      <c r="C1900" s="0" t="n">
        <v>11</v>
      </c>
      <c r="D1900" s="0" t="s">
        <v>2471</v>
      </c>
      <c r="E1900" s="0" t="n">
        <v>1626</v>
      </c>
      <c r="F1900" s="0" t="s">
        <v>77</v>
      </c>
      <c r="I1900" s="0" t="n">
        <v>310316</v>
      </c>
      <c r="J1900" s="0" t="n">
        <v>31331</v>
      </c>
      <c r="K1900" s="0" t="n">
        <v>7894904577897</v>
      </c>
      <c r="L1900" s="0" t="s">
        <v>3583</v>
      </c>
      <c r="N1900" s="0" t="n">
        <v>16</v>
      </c>
      <c r="O1900" s="0" t="n">
        <v>120.55</v>
      </c>
      <c r="P1900" s="0" t="s">
        <v>2444</v>
      </c>
    </row>
    <row r="1901" customFormat="false" ht="15" hidden="false" customHeight="true" outlineLevel="0" collapsed="false">
      <c r="A1901" s="0" t="n">
        <v>2</v>
      </c>
      <c r="B1901" s="71" t="n">
        <v>46195</v>
      </c>
      <c r="C1901" s="0" t="n">
        <v>11</v>
      </c>
      <c r="D1901" s="0" t="s">
        <v>2471</v>
      </c>
      <c r="E1901" s="0" t="n">
        <v>1626</v>
      </c>
      <c r="F1901" s="0" t="s">
        <v>77</v>
      </c>
      <c r="I1901" s="0" t="n">
        <v>310316</v>
      </c>
      <c r="J1901" s="0" t="n">
        <v>31353</v>
      </c>
      <c r="K1901" s="0" t="n">
        <v>7894904571956</v>
      </c>
      <c r="L1901" s="0" t="s">
        <v>3584</v>
      </c>
      <c r="N1901" s="0" t="n">
        <v>12</v>
      </c>
      <c r="O1901" s="0" t="n">
        <v>81.04</v>
      </c>
      <c r="P1901" s="0" t="s">
        <v>2444</v>
      </c>
    </row>
    <row r="1902" customFormat="false" ht="15" hidden="false" customHeight="true" outlineLevel="0" collapsed="false">
      <c r="A1902" s="0" t="n">
        <v>2</v>
      </c>
      <c r="B1902" s="71" t="n">
        <v>46195</v>
      </c>
      <c r="C1902" s="0" t="n">
        <v>11</v>
      </c>
      <c r="D1902" s="0" t="s">
        <v>2471</v>
      </c>
      <c r="E1902" s="0" t="n">
        <v>1626</v>
      </c>
      <c r="F1902" s="0" t="s">
        <v>77</v>
      </c>
      <c r="I1902" s="0" t="n">
        <v>310316</v>
      </c>
      <c r="J1902" s="0" t="n">
        <v>37747</v>
      </c>
      <c r="K1902" s="0" t="n">
        <v>7898968009004</v>
      </c>
      <c r="L1902" s="0" t="s">
        <v>2604</v>
      </c>
      <c r="N1902" s="0" t="n">
        <v>32</v>
      </c>
      <c r="O1902" s="0" t="n">
        <v>252.94</v>
      </c>
      <c r="P1902" s="0" t="s">
        <v>2444</v>
      </c>
    </row>
    <row r="1903" customFormat="false" ht="15" hidden="false" customHeight="true" outlineLevel="0" collapsed="false">
      <c r="A1903" s="0" t="n">
        <v>2</v>
      </c>
      <c r="B1903" s="71" t="n">
        <v>46195</v>
      </c>
      <c r="C1903" s="0" t="n">
        <v>11</v>
      </c>
      <c r="D1903" s="0" t="s">
        <v>2471</v>
      </c>
      <c r="E1903" s="0" t="n">
        <v>1626</v>
      </c>
      <c r="F1903" s="0" t="s">
        <v>77</v>
      </c>
      <c r="I1903" s="0" t="n">
        <v>310316</v>
      </c>
      <c r="J1903" s="0" t="n">
        <v>38003</v>
      </c>
      <c r="K1903" s="0" t="n">
        <v>7898968009066</v>
      </c>
      <c r="L1903" s="0" t="s">
        <v>3585</v>
      </c>
      <c r="N1903" s="0" t="n">
        <v>32</v>
      </c>
      <c r="O1903" s="0" t="n">
        <v>139.27</v>
      </c>
      <c r="P1903" s="0" t="s">
        <v>2444</v>
      </c>
    </row>
    <row r="1904" customFormat="false" ht="15" hidden="false" customHeight="true" outlineLevel="0" collapsed="false">
      <c r="A1904" s="0" t="n">
        <v>2</v>
      </c>
      <c r="B1904" s="71" t="n">
        <v>46195</v>
      </c>
      <c r="C1904" s="0" t="n">
        <v>11</v>
      </c>
      <c r="D1904" s="0" t="s">
        <v>2471</v>
      </c>
      <c r="E1904" s="0" t="n">
        <v>1626</v>
      </c>
      <c r="F1904" s="0" t="s">
        <v>77</v>
      </c>
      <c r="I1904" s="0" t="n">
        <v>310316</v>
      </c>
      <c r="J1904" s="0" t="n">
        <v>47538</v>
      </c>
      <c r="K1904" s="0" t="n">
        <v>7898921567077</v>
      </c>
      <c r="L1904" s="0" t="s">
        <v>3586</v>
      </c>
      <c r="N1904" s="0" t="n">
        <v>12</v>
      </c>
      <c r="O1904" s="0" t="n">
        <v>75.64</v>
      </c>
      <c r="P1904" s="0" t="s">
        <v>2444</v>
      </c>
    </row>
    <row r="1905" customFormat="false" ht="15" hidden="false" customHeight="true" outlineLevel="0" collapsed="false">
      <c r="A1905" s="0" t="n">
        <v>2</v>
      </c>
      <c r="B1905" s="71" t="n">
        <v>46195</v>
      </c>
      <c r="C1905" s="0" t="n">
        <v>11</v>
      </c>
      <c r="D1905" s="0" t="s">
        <v>2471</v>
      </c>
      <c r="E1905" s="0" t="n">
        <v>1626</v>
      </c>
      <c r="F1905" s="0" t="s">
        <v>77</v>
      </c>
      <c r="I1905" s="0" t="n">
        <v>310316</v>
      </c>
      <c r="J1905" s="0" t="n">
        <v>56951</v>
      </c>
      <c r="K1905" s="0" t="n">
        <v>7894904280001</v>
      </c>
      <c r="L1905" s="0" t="s">
        <v>3587</v>
      </c>
      <c r="N1905" s="0" t="n">
        <v>25</v>
      </c>
      <c r="O1905" s="0" t="n">
        <v>103.06</v>
      </c>
      <c r="P1905" s="0" t="s">
        <v>2444</v>
      </c>
    </row>
    <row r="1906" customFormat="false" ht="15" hidden="false" customHeight="true" outlineLevel="0" collapsed="false">
      <c r="A1906" s="0" t="n">
        <v>2</v>
      </c>
      <c r="B1906" s="71" t="n">
        <v>46195</v>
      </c>
      <c r="C1906" s="0" t="n">
        <v>11</v>
      </c>
      <c r="D1906" s="0" t="s">
        <v>2471</v>
      </c>
      <c r="E1906" s="0" t="n">
        <v>1705</v>
      </c>
      <c r="F1906" s="0" t="s">
        <v>130</v>
      </c>
      <c r="I1906" s="0" t="n">
        <v>1890993</v>
      </c>
      <c r="J1906" s="0" t="n">
        <v>21425</v>
      </c>
      <c r="K1906" s="0" t="n">
        <v>7894900034219</v>
      </c>
      <c r="L1906" s="0" t="s">
        <v>2469</v>
      </c>
      <c r="N1906" s="0" t="n">
        <v>9</v>
      </c>
      <c r="O1906" s="0" t="n">
        <v>52.11</v>
      </c>
      <c r="P1906" s="0" t="s">
        <v>2444</v>
      </c>
    </row>
    <row r="1907" customFormat="false" ht="15" hidden="false" customHeight="true" outlineLevel="0" collapsed="false">
      <c r="A1907" s="0" t="n">
        <v>2</v>
      </c>
      <c r="B1907" s="71" t="n">
        <v>46195</v>
      </c>
      <c r="C1907" s="0" t="n">
        <v>11</v>
      </c>
      <c r="D1907" s="0" t="s">
        <v>2471</v>
      </c>
      <c r="E1907" s="0" t="n">
        <v>1705</v>
      </c>
      <c r="F1907" s="0" t="s">
        <v>130</v>
      </c>
      <c r="I1907" s="0" t="n">
        <v>1890993</v>
      </c>
      <c r="J1907" s="0" t="n">
        <v>21426</v>
      </c>
      <c r="K1907" s="0" t="n">
        <v>7894900014211</v>
      </c>
      <c r="L1907" s="0" t="s">
        <v>2470</v>
      </c>
      <c r="N1907" s="0" t="n">
        <v>54</v>
      </c>
      <c r="O1907" s="0" t="n">
        <v>359.34</v>
      </c>
      <c r="P1907" s="0" t="s">
        <v>2444</v>
      </c>
    </row>
    <row r="1908" customFormat="false" ht="15" hidden="false" customHeight="true" outlineLevel="0" collapsed="false">
      <c r="A1908" s="0" t="n">
        <v>2</v>
      </c>
      <c r="B1908" s="71" t="n">
        <v>46195</v>
      </c>
      <c r="C1908" s="0" t="n">
        <v>11</v>
      </c>
      <c r="D1908" s="0" t="s">
        <v>2471</v>
      </c>
      <c r="E1908" s="0" t="n">
        <v>1705</v>
      </c>
      <c r="F1908" s="0" t="s">
        <v>130</v>
      </c>
      <c r="I1908" s="0" t="n">
        <v>1890993</v>
      </c>
      <c r="J1908" s="0" t="n">
        <v>30085</v>
      </c>
      <c r="K1908" s="0" t="n">
        <v>7894900054217</v>
      </c>
      <c r="L1908" s="0" t="s">
        <v>3588</v>
      </c>
      <c r="N1908" s="0" t="n">
        <v>9</v>
      </c>
      <c r="O1908" s="0" t="n">
        <v>52.11</v>
      </c>
      <c r="P1908" s="0" t="s">
        <v>2444</v>
      </c>
    </row>
    <row r="1909" customFormat="false" ht="15" hidden="false" customHeight="true" outlineLevel="0" collapsed="false">
      <c r="A1909" s="0" t="n">
        <v>2</v>
      </c>
      <c r="B1909" s="71" t="n">
        <v>46195</v>
      </c>
      <c r="C1909" s="0" t="n">
        <v>11</v>
      </c>
      <c r="D1909" s="0" t="s">
        <v>2471</v>
      </c>
      <c r="E1909" s="0" t="n">
        <v>1705</v>
      </c>
      <c r="F1909" s="0" t="s">
        <v>130</v>
      </c>
      <c r="I1909" s="0" t="n">
        <v>1892638</v>
      </c>
      <c r="J1909" s="0" t="n">
        <v>103155</v>
      </c>
      <c r="K1909" s="0" t="n">
        <v>7894900033564</v>
      </c>
      <c r="L1909" s="0" t="s">
        <v>2567</v>
      </c>
      <c r="N1909" s="0" t="n">
        <v>12</v>
      </c>
      <c r="O1909" s="0" t="n">
        <v>39.07</v>
      </c>
      <c r="P1909" s="0" t="s">
        <v>2444</v>
      </c>
    </row>
    <row r="1910" customFormat="false" ht="15" hidden="false" customHeight="true" outlineLevel="0" collapsed="false">
      <c r="A1910" s="0" t="n">
        <v>2</v>
      </c>
      <c r="B1910" s="71" t="n">
        <v>46195</v>
      </c>
      <c r="C1910" s="0" t="n">
        <v>11</v>
      </c>
      <c r="D1910" s="0" t="s">
        <v>2471</v>
      </c>
      <c r="E1910" s="0" t="n">
        <v>1705</v>
      </c>
      <c r="F1910" s="0" t="s">
        <v>130</v>
      </c>
      <c r="I1910" s="0" t="n">
        <v>1892638</v>
      </c>
      <c r="J1910" s="0" t="n">
        <v>103158</v>
      </c>
      <c r="K1910" s="0" t="n">
        <v>7894900060010</v>
      </c>
      <c r="L1910" s="0" t="s">
        <v>2559</v>
      </c>
      <c r="N1910" s="0" t="n">
        <v>6</v>
      </c>
      <c r="O1910" s="0" t="n">
        <v>15.63</v>
      </c>
      <c r="P1910" s="0" t="s">
        <v>2444</v>
      </c>
    </row>
    <row r="1911" customFormat="false" ht="15" hidden="false" customHeight="true" outlineLevel="0" collapsed="false">
      <c r="A1911" s="0" t="n">
        <v>2</v>
      </c>
      <c r="B1911" s="71" t="n">
        <v>46195</v>
      </c>
      <c r="C1911" s="0" t="n">
        <v>11</v>
      </c>
      <c r="D1911" s="0" t="s">
        <v>2471</v>
      </c>
      <c r="E1911" s="0" t="n">
        <v>1705</v>
      </c>
      <c r="F1911" s="0" t="s">
        <v>130</v>
      </c>
      <c r="I1911" s="0" t="n">
        <v>1892638</v>
      </c>
      <c r="J1911" s="0" t="n">
        <v>30017</v>
      </c>
      <c r="K1911" s="0" t="n">
        <v>7894900680508</v>
      </c>
      <c r="L1911" s="0" t="s">
        <v>3589</v>
      </c>
      <c r="N1911" s="0" t="n">
        <v>12</v>
      </c>
      <c r="O1911" s="0" t="n">
        <v>39.07</v>
      </c>
      <c r="P1911" s="0" t="s">
        <v>2444</v>
      </c>
    </row>
    <row r="1912" customFormat="false" ht="15" hidden="false" customHeight="true" outlineLevel="0" collapsed="false">
      <c r="A1912" s="0" t="n">
        <v>2</v>
      </c>
      <c r="B1912" s="71" t="n">
        <v>46195</v>
      </c>
      <c r="C1912" s="0" t="n">
        <v>22</v>
      </c>
      <c r="D1912" s="0" t="s">
        <v>2479</v>
      </c>
      <c r="E1912" s="0" t="n">
        <v>48</v>
      </c>
      <c r="F1912" s="0" t="s">
        <v>153</v>
      </c>
      <c r="I1912" s="0" t="n">
        <v>2506</v>
      </c>
      <c r="J1912" s="0" t="n">
        <v>100000</v>
      </c>
      <c r="K1912" s="0" t="n">
        <v>1</v>
      </c>
      <c r="L1912" s="0" t="s">
        <v>2480</v>
      </c>
      <c r="N1912" s="0" t="n">
        <v>3.232</v>
      </c>
      <c r="O1912" s="0" t="n">
        <v>64.18</v>
      </c>
      <c r="P1912" s="0" t="s">
        <v>2444</v>
      </c>
    </row>
    <row r="1913" customFormat="false" ht="15" hidden="false" customHeight="true" outlineLevel="0" collapsed="false">
      <c r="A1913" s="0" t="n">
        <v>2</v>
      </c>
      <c r="B1913" s="71" t="n">
        <v>46195</v>
      </c>
      <c r="C1913" s="0" t="n">
        <v>22</v>
      </c>
      <c r="D1913" s="0" t="s">
        <v>2479</v>
      </c>
      <c r="E1913" s="0" t="n">
        <v>48</v>
      </c>
      <c r="F1913" s="0" t="s">
        <v>153</v>
      </c>
      <c r="I1913" s="0" t="n">
        <v>2506</v>
      </c>
      <c r="J1913" s="0" t="n">
        <v>100001</v>
      </c>
      <c r="K1913" s="0" t="n">
        <v>2</v>
      </c>
      <c r="L1913" s="0" t="s">
        <v>2481</v>
      </c>
      <c r="N1913" s="0" t="n">
        <v>9.22</v>
      </c>
      <c r="O1913" s="0" t="n">
        <v>198.35</v>
      </c>
      <c r="P1913" s="0" t="s">
        <v>2444</v>
      </c>
    </row>
    <row r="1914" customFormat="false" ht="15" hidden="false" customHeight="true" outlineLevel="0" collapsed="false">
      <c r="A1914" s="0" t="n">
        <v>2</v>
      </c>
      <c r="B1914" s="71" t="n">
        <v>46195</v>
      </c>
      <c r="C1914" s="0" t="n">
        <v>22</v>
      </c>
      <c r="D1914" s="0" t="s">
        <v>2479</v>
      </c>
      <c r="E1914" s="0" t="n">
        <v>48</v>
      </c>
      <c r="F1914" s="0" t="s">
        <v>153</v>
      </c>
      <c r="I1914" s="0" t="n">
        <v>2506</v>
      </c>
      <c r="J1914" s="0" t="n">
        <v>100002</v>
      </c>
      <c r="K1914" s="0" t="n">
        <v>3</v>
      </c>
      <c r="L1914" s="0" t="s">
        <v>2482</v>
      </c>
      <c r="N1914" s="0" t="n">
        <v>22.22</v>
      </c>
      <c r="O1914" s="0" t="n">
        <v>551.58</v>
      </c>
      <c r="P1914" s="0" t="s">
        <v>2444</v>
      </c>
    </row>
    <row r="1915" customFormat="false" ht="15" hidden="false" customHeight="true" outlineLevel="0" collapsed="false">
      <c r="A1915" s="0" t="n">
        <v>2</v>
      </c>
      <c r="B1915" s="71" t="n">
        <v>46195</v>
      </c>
      <c r="C1915" s="0" t="n">
        <v>22</v>
      </c>
      <c r="D1915" s="0" t="s">
        <v>2479</v>
      </c>
      <c r="E1915" s="0" t="n">
        <v>48</v>
      </c>
      <c r="F1915" s="0" t="s">
        <v>153</v>
      </c>
      <c r="I1915" s="0" t="n">
        <v>2506</v>
      </c>
      <c r="J1915" s="0" t="n">
        <v>100003</v>
      </c>
      <c r="K1915" s="0" t="n">
        <v>4</v>
      </c>
      <c r="L1915" s="0" t="s">
        <v>2483</v>
      </c>
      <c r="N1915" s="0" t="n">
        <v>20.02</v>
      </c>
      <c r="O1915" s="0" t="n">
        <v>530.11</v>
      </c>
      <c r="P1915" s="0" t="s">
        <v>2444</v>
      </c>
    </row>
    <row r="1916" customFormat="false" ht="15" hidden="false" customHeight="true" outlineLevel="0" collapsed="false">
      <c r="A1916" s="0" t="n">
        <v>2</v>
      </c>
      <c r="B1916" s="71" t="n">
        <v>46195</v>
      </c>
      <c r="C1916" s="0" t="n">
        <v>22</v>
      </c>
      <c r="D1916" s="0" t="s">
        <v>2479</v>
      </c>
      <c r="E1916" s="0" t="n">
        <v>48</v>
      </c>
      <c r="F1916" s="0" t="s">
        <v>153</v>
      </c>
      <c r="I1916" s="0" t="n">
        <v>2506</v>
      </c>
      <c r="J1916" s="0" t="n">
        <v>100004</v>
      </c>
      <c r="K1916" s="0" t="n">
        <v>5</v>
      </c>
      <c r="L1916" s="0" t="s">
        <v>2484</v>
      </c>
      <c r="N1916" s="0" t="n">
        <v>1.5</v>
      </c>
      <c r="O1916" s="0" t="n">
        <v>34.75</v>
      </c>
      <c r="P1916" s="0" t="s">
        <v>2444</v>
      </c>
    </row>
    <row r="1917" customFormat="false" ht="15" hidden="false" customHeight="true" outlineLevel="0" collapsed="false">
      <c r="A1917" s="0" t="n">
        <v>2</v>
      </c>
      <c r="B1917" s="71" t="n">
        <v>46195</v>
      </c>
      <c r="C1917" s="0" t="n">
        <v>22</v>
      </c>
      <c r="D1917" s="0" t="s">
        <v>2479</v>
      </c>
      <c r="E1917" s="0" t="n">
        <v>48</v>
      </c>
      <c r="F1917" s="0" t="s">
        <v>153</v>
      </c>
      <c r="I1917" s="0" t="n">
        <v>2506</v>
      </c>
      <c r="J1917" s="0" t="n">
        <v>100005</v>
      </c>
      <c r="K1917" s="0" t="n">
        <v>6</v>
      </c>
      <c r="L1917" s="0" t="s">
        <v>2582</v>
      </c>
      <c r="N1917" s="0" t="n">
        <v>2.172</v>
      </c>
      <c r="O1917" s="0" t="n">
        <v>53.92</v>
      </c>
      <c r="P1917" s="0" t="s">
        <v>2444</v>
      </c>
    </row>
    <row r="1918" customFormat="false" ht="15" hidden="false" customHeight="true" outlineLevel="0" collapsed="false">
      <c r="A1918" s="0" t="n">
        <v>2</v>
      </c>
      <c r="B1918" s="71" t="n">
        <v>46195</v>
      </c>
      <c r="C1918" s="0" t="n">
        <v>22</v>
      </c>
      <c r="D1918" s="0" t="s">
        <v>2479</v>
      </c>
      <c r="E1918" s="0" t="n">
        <v>48</v>
      </c>
      <c r="F1918" s="0" t="s">
        <v>153</v>
      </c>
      <c r="I1918" s="0" t="n">
        <v>2506</v>
      </c>
      <c r="J1918" s="0" t="n">
        <v>100007</v>
      </c>
      <c r="K1918" s="0" t="n">
        <v>8</v>
      </c>
      <c r="L1918" s="0" t="s">
        <v>2486</v>
      </c>
      <c r="N1918" s="0" t="n">
        <v>2.224</v>
      </c>
      <c r="O1918" s="0" t="n">
        <v>55.21</v>
      </c>
      <c r="P1918" s="0" t="s">
        <v>2444</v>
      </c>
    </row>
    <row r="1919" customFormat="false" ht="15" hidden="false" customHeight="true" outlineLevel="0" collapsed="false">
      <c r="A1919" s="0" t="n">
        <v>2</v>
      </c>
      <c r="B1919" s="71" t="n">
        <v>46195</v>
      </c>
      <c r="C1919" s="0" t="n">
        <v>22</v>
      </c>
      <c r="D1919" s="0" t="s">
        <v>2479</v>
      </c>
      <c r="E1919" s="0" t="n">
        <v>48</v>
      </c>
      <c r="F1919" s="0" t="s">
        <v>153</v>
      </c>
      <c r="I1919" s="0" t="n">
        <v>2506</v>
      </c>
      <c r="J1919" s="0" t="n">
        <v>100040</v>
      </c>
      <c r="K1919" s="0" t="n">
        <v>41</v>
      </c>
      <c r="L1919" s="0" t="s">
        <v>2583</v>
      </c>
      <c r="N1919" s="0" t="n">
        <v>1.556</v>
      </c>
      <c r="O1919" s="0" t="n">
        <v>41.2</v>
      </c>
      <c r="P1919" s="0" t="s">
        <v>2444</v>
      </c>
    </row>
    <row r="1920" customFormat="false" ht="15" hidden="false" customHeight="true" outlineLevel="0" collapsed="false">
      <c r="A1920" s="0" t="n">
        <v>2</v>
      </c>
      <c r="B1920" s="71" t="n">
        <v>46195</v>
      </c>
      <c r="C1920" s="0" t="n">
        <v>22</v>
      </c>
      <c r="D1920" s="0" t="s">
        <v>2479</v>
      </c>
      <c r="E1920" s="0" t="n">
        <v>48</v>
      </c>
      <c r="F1920" s="0" t="s">
        <v>153</v>
      </c>
      <c r="I1920" s="0" t="n">
        <v>2506</v>
      </c>
      <c r="J1920" s="0" t="n">
        <v>100638</v>
      </c>
      <c r="K1920" s="0" t="n">
        <v>508</v>
      </c>
      <c r="L1920" s="0" t="s">
        <v>2496</v>
      </c>
      <c r="N1920" s="0" t="n">
        <v>2.434</v>
      </c>
      <c r="O1920" s="0" t="n">
        <v>6.02</v>
      </c>
      <c r="P1920" s="0" t="s">
        <v>2444</v>
      </c>
    </row>
    <row r="1921" customFormat="false" ht="15" hidden="false" customHeight="true" outlineLevel="0" collapsed="false">
      <c r="A1921" s="0" t="n">
        <v>2</v>
      </c>
      <c r="B1921" s="71" t="n">
        <v>46195</v>
      </c>
      <c r="C1921" s="0" t="n">
        <v>22</v>
      </c>
      <c r="D1921" s="0" t="s">
        <v>2479</v>
      </c>
      <c r="E1921" s="0" t="n">
        <v>48</v>
      </c>
      <c r="F1921" s="0" t="s">
        <v>153</v>
      </c>
      <c r="I1921" s="0" t="n">
        <v>2506</v>
      </c>
      <c r="J1921" s="0" t="n">
        <v>100520</v>
      </c>
      <c r="K1921" s="0" t="n">
        <v>507</v>
      </c>
      <c r="L1921" s="0" t="s">
        <v>2497</v>
      </c>
      <c r="N1921" s="0" t="n">
        <v>1.362</v>
      </c>
      <c r="O1921" s="0" t="n">
        <v>3.37</v>
      </c>
      <c r="P1921" s="0" t="s">
        <v>2444</v>
      </c>
    </row>
    <row r="1922" customFormat="false" ht="15" hidden="false" customHeight="true" outlineLevel="0" collapsed="false">
      <c r="A1922" s="0" t="n">
        <v>2</v>
      </c>
      <c r="B1922" s="71" t="n">
        <v>46195</v>
      </c>
      <c r="C1922" s="0" t="n">
        <v>22</v>
      </c>
      <c r="D1922" s="0" t="s">
        <v>2479</v>
      </c>
      <c r="E1922" s="0" t="n">
        <v>48</v>
      </c>
      <c r="F1922" s="0" t="s">
        <v>153</v>
      </c>
      <c r="I1922" s="0" t="n">
        <v>2506</v>
      </c>
      <c r="J1922" s="0" t="n">
        <v>110455</v>
      </c>
      <c r="K1922" s="0" t="n">
        <v>53212</v>
      </c>
      <c r="L1922" s="0" t="s">
        <v>2498</v>
      </c>
      <c r="N1922" s="0" t="n">
        <v>0.96</v>
      </c>
      <c r="O1922" s="0" t="n">
        <v>0.01</v>
      </c>
      <c r="P1922" s="0" t="s">
        <v>2444</v>
      </c>
    </row>
    <row r="1923" customFormat="false" ht="15" hidden="false" customHeight="true" outlineLevel="0" collapsed="false">
      <c r="A1923" s="0" t="n">
        <v>2</v>
      </c>
      <c r="B1923" s="71" t="n">
        <v>46195</v>
      </c>
      <c r="C1923" s="0" t="n">
        <v>100</v>
      </c>
      <c r="D1923" s="0" t="s">
        <v>2499</v>
      </c>
      <c r="E1923" s="0" t="n">
        <v>48</v>
      </c>
      <c r="F1923" s="0" t="s">
        <v>153</v>
      </c>
      <c r="I1923" s="0" t="n">
        <v>1290348</v>
      </c>
      <c r="J1923" s="0" t="n">
        <v>100000</v>
      </c>
      <c r="K1923" s="0" t="n">
        <v>1</v>
      </c>
      <c r="L1923" s="0" t="s">
        <v>2480</v>
      </c>
      <c r="N1923" s="0" t="n">
        <v>3.232</v>
      </c>
      <c r="O1923" s="0" t="n">
        <v>64.18</v>
      </c>
      <c r="P1923" s="0" t="s">
        <v>2444</v>
      </c>
    </row>
    <row r="1924" customFormat="false" ht="15" hidden="false" customHeight="true" outlineLevel="0" collapsed="false">
      <c r="A1924" s="0" t="n">
        <v>2</v>
      </c>
      <c r="B1924" s="71" t="n">
        <v>46195</v>
      </c>
      <c r="C1924" s="0" t="n">
        <v>100</v>
      </c>
      <c r="D1924" s="0" t="s">
        <v>2499</v>
      </c>
      <c r="E1924" s="0" t="n">
        <v>48</v>
      </c>
      <c r="F1924" s="0" t="s">
        <v>153</v>
      </c>
      <c r="I1924" s="0" t="n">
        <v>1290348</v>
      </c>
      <c r="J1924" s="0" t="n">
        <v>100001</v>
      </c>
      <c r="K1924" s="0" t="n">
        <v>2</v>
      </c>
      <c r="L1924" s="0" t="s">
        <v>2481</v>
      </c>
      <c r="N1924" s="0" t="n">
        <v>9.22</v>
      </c>
      <c r="O1924" s="0" t="n">
        <v>198.35</v>
      </c>
      <c r="P1924" s="0" t="s">
        <v>2444</v>
      </c>
    </row>
    <row r="1925" customFormat="false" ht="15" hidden="false" customHeight="true" outlineLevel="0" collapsed="false">
      <c r="A1925" s="0" t="n">
        <v>2</v>
      </c>
      <c r="B1925" s="71" t="n">
        <v>46195</v>
      </c>
      <c r="C1925" s="0" t="n">
        <v>100</v>
      </c>
      <c r="D1925" s="0" t="s">
        <v>2499</v>
      </c>
      <c r="E1925" s="0" t="n">
        <v>48</v>
      </c>
      <c r="F1925" s="0" t="s">
        <v>153</v>
      </c>
      <c r="I1925" s="0" t="n">
        <v>1290348</v>
      </c>
      <c r="J1925" s="0" t="n">
        <v>100002</v>
      </c>
      <c r="K1925" s="0" t="n">
        <v>3</v>
      </c>
      <c r="L1925" s="0" t="s">
        <v>2482</v>
      </c>
      <c r="N1925" s="0" t="n">
        <v>22.22</v>
      </c>
      <c r="O1925" s="0" t="n">
        <v>551.58</v>
      </c>
      <c r="P1925" s="0" t="s">
        <v>2444</v>
      </c>
    </row>
    <row r="1926" customFormat="false" ht="15" hidden="false" customHeight="true" outlineLevel="0" collapsed="false">
      <c r="A1926" s="0" t="n">
        <v>2</v>
      </c>
      <c r="B1926" s="71" t="n">
        <v>46195</v>
      </c>
      <c r="C1926" s="0" t="n">
        <v>100</v>
      </c>
      <c r="D1926" s="0" t="s">
        <v>2499</v>
      </c>
      <c r="E1926" s="0" t="n">
        <v>48</v>
      </c>
      <c r="F1926" s="0" t="s">
        <v>153</v>
      </c>
      <c r="I1926" s="0" t="n">
        <v>1290348</v>
      </c>
      <c r="J1926" s="0" t="n">
        <v>100003</v>
      </c>
      <c r="K1926" s="0" t="n">
        <v>4</v>
      </c>
      <c r="L1926" s="0" t="s">
        <v>2483</v>
      </c>
      <c r="N1926" s="0" t="n">
        <v>20.02</v>
      </c>
      <c r="O1926" s="0" t="n">
        <v>530.11</v>
      </c>
      <c r="P1926" s="0" t="s">
        <v>2444</v>
      </c>
    </row>
    <row r="1927" customFormat="false" ht="15" hidden="false" customHeight="true" outlineLevel="0" collapsed="false">
      <c r="A1927" s="0" t="n">
        <v>2</v>
      </c>
      <c r="B1927" s="71" t="n">
        <v>46195</v>
      </c>
      <c r="C1927" s="0" t="n">
        <v>100</v>
      </c>
      <c r="D1927" s="0" t="s">
        <v>2499</v>
      </c>
      <c r="E1927" s="0" t="n">
        <v>48</v>
      </c>
      <c r="F1927" s="0" t="s">
        <v>153</v>
      </c>
      <c r="I1927" s="0" t="n">
        <v>1290348</v>
      </c>
      <c r="J1927" s="0" t="n">
        <v>100004</v>
      </c>
      <c r="K1927" s="0" t="n">
        <v>5</v>
      </c>
      <c r="L1927" s="0" t="s">
        <v>2484</v>
      </c>
      <c r="N1927" s="0" t="n">
        <v>1.5</v>
      </c>
      <c r="O1927" s="0" t="n">
        <v>34.75</v>
      </c>
      <c r="P1927" s="0" t="s">
        <v>2444</v>
      </c>
    </row>
    <row r="1928" customFormat="false" ht="15" hidden="false" customHeight="true" outlineLevel="0" collapsed="false">
      <c r="A1928" s="0" t="n">
        <v>2</v>
      </c>
      <c r="B1928" s="71" t="n">
        <v>46195</v>
      </c>
      <c r="C1928" s="0" t="n">
        <v>100</v>
      </c>
      <c r="D1928" s="0" t="s">
        <v>2499</v>
      </c>
      <c r="E1928" s="0" t="n">
        <v>48</v>
      </c>
      <c r="F1928" s="0" t="s">
        <v>153</v>
      </c>
      <c r="I1928" s="0" t="n">
        <v>1290348</v>
      </c>
      <c r="J1928" s="0" t="n">
        <v>100005</v>
      </c>
      <c r="K1928" s="0" t="n">
        <v>6</v>
      </c>
      <c r="L1928" s="0" t="s">
        <v>2582</v>
      </c>
      <c r="N1928" s="0" t="n">
        <v>2.172</v>
      </c>
      <c r="O1928" s="0" t="n">
        <v>53.92</v>
      </c>
      <c r="P1928" s="0" t="s">
        <v>2444</v>
      </c>
    </row>
    <row r="1929" customFormat="false" ht="15" hidden="false" customHeight="true" outlineLevel="0" collapsed="false">
      <c r="A1929" s="0" t="n">
        <v>2</v>
      </c>
      <c r="B1929" s="71" t="n">
        <v>46195</v>
      </c>
      <c r="C1929" s="0" t="n">
        <v>100</v>
      </c>
      <c r="D1929" s="0" t="s">
        <v>2499</v>
      </c>
      <c r="E1929" s="0" t="n">
        <v>48</v>
      </c>
      <c r="F1929" s="0" t="s">
        <v>153</v>
      </c>
      <c r="I1929" s="0" t="n">
        <v>1290348</v>
      </c>
      <c r="J1929" s="0" t="n">
        <v>100007</v>
      </c>
      <c r="K1929" s="0" t="n">
        <v>8</v>
      </c>
      <c r="L1929" s="0" t="s">
        <v>2486</v>
      </c>
      <c r="N1929" s="0" t="n">
        <v>2.224</v>
      </c>
      <c r="O1929" s="0" t="n">
        <v>55.21</v>
      </c>
      <c r="P1929" s="0" t="s">
        <v>2444</v>
      </c>
    </row>
    <row r="1930" customFormat="false" ht="15" hidden="false" customHeight="true" outlineLevel="0" collapsed="false">
      <c r="A1930" s="0" t="n">
        <v>2</v>
      </c>
      <c r="B1930" s="71" t="n">
        <v>46195</v>
      </c>
      <c r="C1930" s="0" t="n">
        <v>100</v>
      </c>
      <c r="D1930" s="0" t="s">
        <v>2499</v>
      </c>
      <c r="E1930" s="0" t="n">
        <v>48</v>
      </c>
      <c r="F1930" s="0" t="s">
        <v>153</v>
      </c>
      <c r="I1930" s="0" t="n">
        <v>1290348</v>
      </c>
      <c r="J1930" s="0" t="n">
        <v>100040</v>
      </c>
      <c r="K1930" s="0" t="n">
        <v>41</v>
      </c>
      <c r="L1930" s="0" t="s">
        <v>2583</v>
      </c>
      <c r="N1930" s="0" t="n">
        <v>1.556</v>
      </c>
      <c r="O1930" s="0" t="n">
        <v>41.2</v>
      </c>
      <c r="P1930" s="0" t="s">
        <v>2444</v>
      </c>
    </row>
    <row r="1931" customFormat="false" ht="15" hidden="false" customHeight="true" outlineLevel="0" collapsed="false">
      <c r="A1931" s="0" t="n">
        <v>2</v>
      </c>
      <c r="B1931" s="71" t="n">
        <v>46195</v>
      </c>
      <c r="C1931" s="0" t="n">
        <v>100</v>
      </c>
      <c r="D1931" s="0" t="s">
        <v>2499</v>
      </c>
      <c r="E1931" s="0" t="n">
        <v>48</v>
      </c>
      <c r="F1931" s="0" t="s">
        <v>153</v>
      </c>
      <c r="I1931" s="0" t="n">
        <v>1290348</v>
      </c>
      <c r="J1931" s="0" t="n">
        <v>100638</v>
      </c>
      <c r="K1931" s="0" t="n">
        <v>508</v>
      </c>
      <c r="L1931" s="0" t="s">
        <v>2496</v>
      </c>
      <c r="N1931" s="0" t="n">
        <v>2.434</v>
      </c>
      <c r="O1931" s="0" t="n">
        <v>6.02</v>
      </c>
      <c r="P1931" s="0" t="s">
        <v>2444</v>
      </c>
    </row>
    <row r="1932" customFormat="false" ht="15" hidden="false" customHeight="true" outlineLevel="0" collapsed="false">
      <c r="A1932" s="0" t="n">
        <v>2</v>
      </c>
      <c r="B1932" s="71" t="n">
        <v>46195</v>
      </c>
      <c r="C1932" s="0" t="n">
        <v>100</v>
      </c>
      <c r="D1932" s="0" t="s">
        <v>2499</v>
      </c>
      <c r="E1932" s="0" t="n">
        <v>48</v>
      </c>
      <c r="F1932" s="0" t="s">
        <v>153</v>
      </c>
      <c r="I1932" s="0" t="n">
        <v>1290348</v>
      </c>
      <c r="J1932" s="0" t="n">
        <v>100520</v>
      </c>
      <c r="K1932" s="0" t="n">
        <v>507</v>
      </c>
      <c r="L1932" s="0" t="s">
        <v>2497</v>
      </c>
      <c r="N1932" s="0" t="n">
        <v>1.362</v>
      </c>
      <c r="O1932" s="0" t="n">
        <v>3.37</v>
      </c>
      <c r="P1932" s="0" t="s">
        <v>2444</v>
      </c>
    </row>
    <row r="1933" customFormat="false" ht="15" hidden="false" customHeight="true" outlineLevel="0" collapsed="false">
      <c r="A1933" s="0" t="n">
        <v>2</v>
      </c>
      <c r="B1933" s="71" t="n">
        <v>46195</v>
      </c>
      <c r="C1933" s="0" t="n">
        <v>100</v>
      </c>
      <c r="D1933" s="0" t="s">
        <v>2499</v>
      </c>
      <c r="E1933" s="0" t="n">
        <v>48</v>
      </c>
      <c r="F1933" s="0" t="s">
        <v>153</v>
      </c>
      <c r="I1933" s="0" t="n">
        <v>1290348</v>
      </c>
      <c r="J1933" s="0" t="n">
        <v>110455</v>
      </c>
      <c r="K1933" s="0" t="n">
        <v>53212</v>
      </c>
      <c r="L1933" s="0" t="s">
        <v>2498</v>
      </c>
      <c r="N1933" s="0" t="n">
        <v>0.96</v>
      </c>
      <c r="O1933" s="0" t="n">
        <v>0.01</v>
      </c>
      <c r="P1933" s="0" t="s">
        <v>2444</v>
      </c>
    </row>
    <row r="1934" customFormat="false" ht="15" hidden="false" customHeight="true" outlineLevel="0" collapsed="false">
      <c r="A1934" s="0" t="n">
        <v>2</v>
      </c>
      <c r="B1934" s="71" t="n">
        <v>46196</v>
      </c>
      <c r="C1934" s="0" t="n">
        <v>1</v>
      </c>
      <c r="D1934" s="0" t="s">
        <v>2442</v>
      </c>
      <c r="E1934" s="0" t="n">
        <v>642</v>
      </c>
      <c r="F1934" s="0" t="s">
        <v>123</v>
      </c>
      <c r="I1934" s="0" t="n">
        <v>509</v>
      </c>
      <c r="J1934" s="0" t="n">
        <v>71766</v>
      </c>
      <c r="K1934" s="0" t="n">
        <v>779180</v>
      </c>
      <c r="L1934" s="0" t="s">
        <v>2501</v>
      </c>
      <c r="N1934" s="0" t="n">
        <v>15</v>
      </c>
      <c r="O1934" s="0" t="n">
        <v>180</v>
      </c>
      <c r="P1934" s="0" t="s">
        <v>2444</v>
      </c>
    </row>
    <row r="1935" customFormat="false" ht="15" hidden="false" customHeight="true" outlineLevel="0" collapsed="false">
      <c r="A1935" s="0" t="n">
        <v>2</v>
      </c>
      <c r="B1935" s="71" t="n">
        <v>46196</v>
      </c>
      <c r="C1935" s="0" t="n">
        <v>1</v>
      </c>
      <c r="D1935" s="0" t="s">
        <v>2442</v>
      </c>
      <c r="E1935" s="0" t="n">
        <v>1328</v>
      </c>
      <c r="F1935" s="0" t="s">
        <v>95</v>
      </c>
      <c r="I1935" s="0" t="n">
        <v>3858</v>
      </c>
      <c r="J1935" s="0" t="n">
        <v>50310</v>
      </c>
      <c r="K1935" s="0" t="n">
        <v>7898588380101</v>
      </c>
      <c r="L1935" s="0" t="s">
        <v>2502</v>
      </c>
      <c r="N1935" s="0" t="n">
        <v>2</v>
      </c>
      <c r="O1935" s="0" t="n">
        <v>15.4</v>
      </c>
      <c r="P1935" s="0" t="s">
        <v>2444</v>
      </c>
    </row>
    <row r="1936" customFormat="false" ht="15" hidden="false" customHeight="true" outlineLevel="0" collapsed="false">
      <c r="A1936" s="0" t="n">
        <v>2</v>
      </c>
      <c r="B1936" s="71" t="n">
        <v>46196</v>
      </c>
      <c r="C1936" s="0" t="n">
        <v>1</v>
      </c>
      <c r="D1936" s="0" t="s">
        <v>2442</v>
      </c>
      <c r="E1936" s="0" t="n">
        <v>1328</v>
      </c>
      <c r="F1936" s="0" t="s">
        <v>95</v>
      </c>
      <c r="I1936" s="0" t="n">
        <v>3858</v>
      </c>
      <c r="J1936" s="0" t="n">
        <v>21045</v>
      </c>
      <c r="K1936" s="0" t="n">
        <v>7898588380255</v>
      </c>
      <c r="L1936" s="0" t="s">
        <v>2503</v>
      </c>
      <c r="N1936" s="0" t="n">
        <v>3</v>
      </c>
      <c r="O1936" s="0" t="n">
        <v>17.16</v>
      </c>
      <c r="P1936" s="0" t="s">
        <v>2444</v>
      </c>
    </row>
    <row r="1937" customFormat="false" ht="15" hidden="false" customHeight="true" outlineLevel="0" collapsed="false">
      <c r="A1937" s="0" t="n">
        <v>2</v>
      </c>
      <c r="B1937" s="71" t="n">
        <v>46196</v>
      </c>
      <c r="C1937" s="0" t="n">
        <v>1</v>
      </c>
      <c r="D1937" s="0" t="s">
        <v>2442</v>
      </c>
      <c r="E1937" s="0" t="n">
        <v>1328</v>
      </c>
      <c r="F1937" s="0" t="s">
        <v>95</v>
      </c>
      <c r="I1937" s="0" t="n">
        <v>3858</v>
      </c>
      <c r="J1937" s="0" t="n">
        <v>21060</v>
      </c>
      <c r="K1937" s="0" t="n">
        <v>7898588380118</v>
      </c>
      <c r="L1937" s="0" t="s">
        <v>2504</v>
      </c>
      <c r="N1937" s="0" t="n">
        <v>8</v>
      </c>
      <c r="O1937" s="0" t="n">
        <v>56</v>
      </c>
      <c r="P1937" s="0" t="s">
        <v>2444</v>
      </c>
    </row>
    <row r="1938" customFormat="false" ht="15" hidden="false" customHeight="true" outlineLevel="0" collapsed="false">
      <c r="A1938" s="0" t="n">
        <v>2</v>
      </c>
      <c r="B1938" s="71" t="n">
        <v>46196</v>
      </c>
      <c r="C1938" s="0" t="n">
        <v>1</v>
      </c>
      <c r="D1938" s="0" t="s">
        <v>2442</v>
      </c>
      <c r="E1938" s="0" t="n">
        <v>1328</v>
      </c>
      <c r="F1938" s="0" t="s">
        <v>95</v>
      </c>
      <c r="I1938" s="0" t="n">
        <v>3858</v>
      </c>
      <c r="J1938" s="0" t="n">
        <v>31789</v>
      </c>
      <c r="K1938" s="0" t="n">
        <v>7898588380149</v>
      </c>
      <c r="L1938" s="0" t="s">
        <v>2446</v>
      </c>
      <c r="N1938" s="0" t="n">
        <v>1</v>
      </c>
      <c r="O1938" s="0" t="n">
        <v>5.72</v>
      </c>
      <c r="P1938" s="0" t="s">
        <v>2444</v>
      </c>
    </row>
    <row r="1939" customFormat="false" ht="15" hidden="false" customHeight="true" outlineLevel="0" collapsed="false">
      <c r="A1939" s="0" t="n">
        <v>2</v>
      </c>
      <c r="B1939" s="71" t="n">
        <v>46196</v>
      </c>
      <c r="C1939" s="0" t="n">
        <v>1</v>
      </c>
      <c r="D1939" s="0" t="s">
        <v>2442</v>
      </c>
      <c r="E1939" s="0" t="n">
        <v>1328</v>
      </c>
      <c r="F1939" s="0" t="s">
        <v>95</v>
      </c>
      <c r="I1939" s="0" t="n">
        <v>3858</v>
      </c>
      <c r="J1939" s="0" t="n">
        <v>31782</v>
      </c>
      <c r="K1939" s="0" t="n">
        <v>7898588380132</v>
      </c>
      <c r="L1939" s="0" t="s">
        <v>2505</v>
      </c>
      <c r="N1939" s="0" t="n">
        <v>4</v>
      </c>
      <c r="O1939" s="0" t="n">
        <v>22.88</v>
      </c>
      <c r="P1939" s="0" t="s">
        <v>2444</v>
      </c>
    </row>
    <row r="1940" customFormat="false" ht="15" hidden="false" customHeight="true" outlineLevel="0" collapsed="false">
      <c r="A1940" s="0" t="n">
        <v>2</v>
      </c>
      <c r="B1940" s="71" t="n">
        <v>46196</v>
      </c>
      <c r="C1940" s="0" t="n">
        <v>1</v>
      </c>
      <c r="D1940" s="0" t="s">
        <v>2442</v>
      </c>
      <c r="E1940" s="0" t="n">
        <v>1328</v>
      </c>
      <c r="F1940" s="0" t="s">
        <v>95</v>
      </c>
      <c r="I1940" s="0" t="n">
        <v>3858</v>
      </c>
      <c r="J1940" s="0" t="n">
        <v>31784</v>
      </c>
      <c r="K1940" s="0" t="n">
        <v>7898588380545</v>
      </c>
      <c r="L1940" s="0" t="s">
        <v>2590</v>
      </c>
      <c r="N1940" s="0" t="n">
        <v>2</v>
      </c>
      <c r="O1940" s="0" t="n">
        <v>11.44</v>
      </c>
      <c r="P1940" s="0" t="s">
        <v>2444</v>
      </c>
    </row>
    <row r="1941" customFormat="false" ht="15" hidden="false" customHeight="true" outlineLevel="0" collapsed="false">
      <c r="A1941" s="0" t="n">
        <v>2</v>
      </c>
      <c r="B1941" s="71" t="n">
        <v>46196</v>
      </c>
      <c r="C1941" s="0" t="n">
        <v>1</v>
      </c>
      <c r="D1941" s="0" t="s">
        <v>2442</v>
      </c>
      <c r="E1941" s="0" t="n">
        <v>1328</v>
      </c>
      <c r="F1941" s="0" t="s">
        <v>95</v>
      </c>
      <c r="I1941" s="0" t="n">
        <v>3858</v>
      </c>
      <c r="J1941" s="0" t="n">
        <v>31786</v>
      </c>
      <c r="K1941" s="0" t="n">
        <v>7898588380187</v>
      </c>
      <c r="L1941" s="0" t="s">
        <v>2506</v>
      </c>
      <c r="N1941" s="0" t="n">
        <v>1</v>
      </c>
      <c r="O1941" s="0" t="n">
        <v>5.72</v>
      </c>
      <c r="P1941" s="0" t="s">
        <v>2444</v>
      </c>
    </row>
    <row r="1942" customFormat="false" ht="15" hidden="false" customHeight="true" outlineLevel="0" collapsed="false">
      <c r="A1942" s="0" t="n">
        <v>2</v>
      </c>
      <c r="B1942" s="71" t="n">
        <v>46196</v>
      </c>
      <c r="C1942" s="0" t="n">
        <v>1</v>
      </c>
      <c r="D1942" s="0" t="s">
        <v>2442</v>
      </c>
      <c r="E1942" s="0" t="n">
        <v>1328</v>
      </c>
      <c r="F1942" s="0" t="s">
        <v>95</v>
      </c>
      <c r="I1942" s="0" t="n">
        <v>3858</v>
      </c>
      <c r="J1942" s="0" t="n">
        <v>31787</v>
      </c>
      <c r="K1942" s="0" t="n">
        <v>7898588380125</v>
      </c>
      <c r="L1942" s="0" t="s">
        <v>2507</v>
      </c>
      <c r="N1942" s="0" t="n">
        <v>2</v>
      </c>
      <c r="O1942" s="0" t="n">
        <v>16.8</v>
      </c>
      <c r="P1942" s="0" t="s">
        <v>2444</v>
      </c>
    </row>
    <row r="1943" customFormat="false" ht="15" hidden="false" customHeight="true" outlineLevel="0" collapsed="false">
      <c r="A1943" s="0" t="n">
        <v>2</v>
      </c>
      <c r="B1943" s="71" t="n">
        <v>46196</v>
      </c>
      <c r="C1943" s="0" t="n">
        <v>1</v>
      </c>
      <c r="D1943" s="0" t="s">
        <v>2442</v>
      </c>
      <c r="E1943" s="0" t="n">
        <v>1328</v>
      </c>
      <c r="F1943" s="0" t="s">
        <v>95</v>
      </c>
      <c r="I1943" s="0" t="n">
        <v>3858</v>
      </c>
      <c r="J1943" s="0" t="n">
        <v>31790</v>
      </c>
      <c r="K1943" s="0" t="n">
        <v>7898588380231</v>
      </c>
      <c r="L1943" s="0" t="s">
        <v>2508</v>
      </c>
      <c r="N1943" s="0" t="n">
        <v>2</v>
      </c>
      <c r="O1943" s="0" t="n">
        <v>11.44</v>
      </c>
      <c r="P1943" s="0" t="s">
        <v>2444</v>
      </c>
    </row>
    <row r="1944" customFormat="false" ht="15" hidden="false" customHeight="true" outlineLevel="0" collapsed="false">
      <c r="A1944" s="0" t="n">
        <v>2</v>
      </c>
      <c r="B1944" s="71" t="n">
        <v>46196</v>
      </c>
      <c r="C1944" s="0" t="n">
        <v>1</v>
      </c>
      <c r="D1944" s="0" t="s">
        <v>2442</v>
      </c>
      <c r="E1944" s="0" t="n">
        <v>1616</v>
      </c>
      <c r="F1944" s="0" t="s">
        <v>64</v>
      </c>
      <c r="I1944" s="0" t="n">
        <v>646732</v>
      </c>
      <c r="J1944" s="0" t="n">
        <v>26648</v>
      </c>
      <c r="K1944" s="0" t="n">
        <v>7896058257670</v>
      </c>
      <c r="L1944" s="0" t="s">
        <v>3590</v>
      </c>
      <c r="N1944" s="0" t="n">
        <v>65</v>
      </c>
      <c r="O1944" s="0" t="n">
        <v>110.5</v>
      </c>
      <c r="P1944" s="0" t="s">
        <v>2444</v>
      </c>
    </row>
    <row r="1945" customFormat="false" ht="15" hidden="false" customHeight="true" outlineLevel="0" collapsed="false">
      <c r="A1945" s="0" t="n">
        <v>2</v>
      </c>
      <c r="B1945" s="71" t="n">
        <v>46196</v>
      </c>
      <c r="C1945" s="0" t="n">
        <v>1</v>
      </c>
      <c r="D1945" s="0" t="s">
        <v>2442</v>
      </c>
      <c r="E1945" s="0" t="n">
        <v>1616</v>
      </c>
      <c r="F1945" s="0" t="s">
        <v>64</v>
      </c>
      <c r="I1945" s="0" t="n">
        <v>646732</v>
      </c>
      <c r="J1945" s="0" t="n">
        <v>26649</v>
      </c>
      <c r="K1945" s="0" t="n">
        <v>7896058257656</v>
      </c>
      <c r="L1945" s="0" t="s">
        <v>3591</v>
      </c>
      <c r="N1945" s="0" t="n">
        <v>65</v>
      </c>
      <c r="O1945" s="0" t="n">
        <v>110.5</v>
      </c>
      <c r="P1945" s="0" t="s">
        <v>2444</v>
      </c>
    </row>
    <row r="1946" customFormat="false" ht="15" hidden="false" customHeight="true" outlineLevel="0" collapsed="false">
      <c r="A1946" s="0" t="n">
        <v>2</v>
      </c>
      <c r="B1946" s="71" t="n">
        <v>46196</v>
      </c>
      <c r="C1946" s="0" t="n">
        <v>1</v>
      </c>
      <c r="D1946" s="0" t="s">
        <v>2442</v>
      </c>
      <c r="E1946" s="0" t="n">
        <v>1616</v>
      </c>
      <c r="F1946" s="0" t="s">
        <v>64</v>
      </c>
      <c r="I1946" s="0" t="n">
        <v>646732</v>
      </c>
      <c r="J1946" s="0" t="n">
        <v>27322</v>
      </c>
      <c r="K1946" s="0" t="n">
        <v>7896058257663</v>
      </c>
      <c r="L1946" s="0" t="s">
        <v>3592</v>
      </c>
      <c r="N1946" s="0" t="n">
        <v>65</v>
      </c>
      <c r="O1946" s="0" t="n">
        <v>110.5</v>
      </c>
      <c r="P1946" s="0" t="s">
        <v>2444</v>
      </c>
    </row>
    <row r="1947" customFormat="false" ht="15" hidden="false" customHeight="true" outlineLevel="0" collapsed="false">
      <c r="A1947" s="0" t="n">
        <v>2</v>
      </c>
      <c r="B1947" s="71" t="n">
        <v>46196</v>
      </c>
      <c r="C1947" s="0" t="n">
        <v>1</v>
      </c>
      <c r="D1947" s="0" t="s">
        <v>2442</v>
      </c>
      <c r="E1947" s="0" t="n">
        <v>1616</v>
      </c>
      <c r="F1947" s="0" t="s">
        <v>64</v>
      </c>
      <c r="I1947" s="0" t="n">
        <v>646732</v>
      </c>
      <c r="J1947" s="0" t="n">
        <v>27325</v>
      </c>
      <c r="K1947" s="0" t="n">
        <v>7896058257236</v>
      </c>
      <c r="L1947" s="0" t="s">
        <v>3593</v>
      </c>
      <c r="N1947" s="0" t="n">
        <v>20</v>
      </c>
      <c r="O1947" s="0" t="n">
        <v>57</v>
      </c>
      <c r="P1947" s="0" t="s">
        <v>2444</v>
      </c>
    </row>
    <row r="1948" customFormat="false" ht="15" hidden="false" customHeight="true" outlineLevel="0" collapsed="false">
      <c r="A1948" s="0" t="n">
        <v>2</v>
      </c>
      <c r="B1948" s="71" t="n">
        <v>46196</v>
      </c>
      <c r="C1948" s="0" t="n">
        <v>1</v>
      </c>
      <c r="D1948" s="0" t="s">
        <v>2442</v>
      </c>
      <c r="E1948" s="0" t="n">
        <v>1616</v>
      </c>
      <c r="F1948" s="0" t="s">
        <v>64</v>
      </c>
      <c r="I1948" s="0" t="n">
        <v>646732</v>
      </c>
      <c r="J1948" s="0" t="n">
        <v>27434</v>
      </c>
      <c r="K1948" s="0" t="n">
        <v>7896058257243</v>
      </c>
      <c r="L1948" s="0" t="s">
        <v>3594</v>
      </c>
      <c r="N1948" s="0" t="n">
        <v>20</v>
      </c>
      <c r="O1948" s="0" t="n">
        <v>57</v>
      </c>
      <c r="P1948" s="0" t="s">
        <v>2444</v>
      </c>
    </row>
    <row r="1949" customFormat="false" ht="15" hidden="false" customHeight="true" outlineLevel="0" collapsed="false">
      <c r="A1949" s="0" t="n">
        <v>2</v>
      </c>
      <c r="B1949" s="71" t="n">
        <v>46196</v>
      </c>
      <c r="C1949" s="0" t="n">
        <v>1</v>
      </c>
      <c r="D1949" s="0" t="s">
        <v>2442</v>
      </c>
      <c r="E1949" s="0" t="n">
        <v>1616</v>
      </c>
      <c r="F1949" s="0" t="s">
        <v>64</v>
      </c>
      <c r="I1949" s="0" t="n">
        <v>646732</v>
      </c>
      <c r="J1949" s="0" t="n">
        <v>27435</v>
      </c>
      <c r="K1949" s="0" t="n">
        <v>7896058257250</v>
      </c>
      <c r="L1949" s="0" t="s">
        <v>3595</v>
      </c>
      <c r="N1949" s="0" t="n">
        <v>20</v>
      </c>
      <c r="O1949" s="0" t="n">
        <v>57</v>
      </c>
      <c r="P1949" s="0" t="s">
        <v>2444</v>
      </c>
    </row>
    <row r="1950" customFormat="false" ht="15" hidden="false" customHeight="true" outlineLevel="0" collapsed="false">
      <c r="A1950" s="0" t="n">
        <v>2</v>
      </c>
      <c r="B1950" s="71" t="n">
        <v>46196</v>
      </c>
      <c r="C1950" s="0" t="n">
        <v>1</v>
      </c>
      <c r="D1950" s="0" t="s">
        <v>2442</v>
      </c>
      <c r="E1950" s="0" t="n">
        <v>1616</v>
      </c>
      <c r="F1950" s="0" t="s">
        <v>64</v>
      </c>
      <c r="I1950" s="0" t="n">
        <v>646732</v>
      </c>
      <c r="J1950" s="0" t="n">
        <v>31628</v>
      </c>
      <c r="K1950" s="0" t="n">
        <v>7898142863774</v>
      </c>
      <c r="L1950" s="0" t="s">
        <v>3596</v>
      </c>
      <c r="N1950" s="0" t="n">
        <v>15</v>
      </c>
      <c r="O1950" s="0" t="n">
        <v>134.85</v>
      </c>
      <c r="P1950" s="0" t="s">
        <v>2444</v>
      </c>
    </row>
    <row r="1951" customFormat="false" ht="15" hidden="false" customHeight="true" outlineLevel="0" collapsed="false">
      <c r="A1951" s="0" t="n">
        <v>2</v>
      </c>
      <c r="B1951" s="71" t="n">
        <v>46196</v>
      </c>
      <c r="C1951" s="0" t="n">
        <v>1</v>
      </c>
      <c r="D1951" s="0" t="s">
        <v>2442</v>
      </c>
      <c r="E1951" s="0" t="n">
        <v>1616</v>
      </c>
      <c r="F1951" s="0" t="s">
        <v>64</v>
      </c>
      <c r="I1951" s="0" t="n">
        <v>646732</v>
      </c>
      <c r="J1951" s="0" t="n">
        <v>55058</v>
      </c>
      <c r="K1951" s="0" t="n">
        <v>7896058259193</v>
      </c>
      <c r="L1951" s="0" t="s">
        <v>3597</v>
      </c>
      <c r="N1951" s="0" t="n">
        <v>20</v>
      </c>
      <c r="O1951" s="0" t="n">
        <v>57</v>
      </c>
      <c r="P1951" s="0" t="s">
        <v>2444</v>
      </c>
    </row>
    <row r="1952" customFormat="false" ht="15" hidden="false" customHeight="true" outlineLevel="0" collapsed="false">
      <c r="A1952" s="0" t="n">
        <v>2</v>
      </c>
      <c r="B1952" s="71" t="n">
        <v>46196</v>
      </c>
      <c r="C1952" s="0" t="n">
        <v>1</v>
      </c>
      <c r="D1952" s="0" t="s">
        <v>2442</v>
      </c>
      <c r="E1952" s="0" t="n">
        <v>1621</v>
      </c>
      <c r="F1952" s="0" t="s">
        <v>232</v>
      </c>
      <c r="I1952" s="0" t="n">
        <v>869753</v>
      </c>
      <c r="J1952" s="0" t="n">
        <v>103124</v>
      </c>
      <c r="K1952" s="0" t="n">
        <v>7891991000796</v>
      </c>
      <c r="L1952" s="0" t="s">
        <v>3598</v>
      </c>
      <c r="N1952" s="0" t="n">
        <v>12</v>
      </c>
      <c r="O1952" s="0" t="n">
        <v>37.709948</v>
      </c>
      <c r="P1952" s="0" t="s">
        <v>2444</v>
      </c>
    </row>
    <row r="1953" customFormat="false" ht="15" hidden="false" customHeight="true" outlineLevel="0" collapsed="false">
      <c r="A1953" s="0" t="n">
        <v>2</v>
      </c>
      <c r="B1953" s="71" t="n">
        <v>46196</v>
      </c>
      <c r="C1953" s="0" t="n">
        <v>1</v>
      </c>
      <c r="D1953" s="0" t="s">
        <v>2442</v>
      </c>
      <c r="E1953" s="0" t="n">
        <v>1621</v>
      </c>
      <c r="F1953" s="0" t="s">
        <v>232</v>
      </c>
      <c r="I1953" s="0" t="n">
        <v>869753</v>
      </c>
      <c r="J1953" s="0" t="n">
        <v>103124</v>
      </c>
      <c r="K1953" s="0" t="n">
        <v>7891991000796</v>
      </c>
      <c r="L1953" s="0" t="s">
        <v>3598</v>
      </c>
      <c r="N1953" s="0" t="n">
        <v>60</v>
      </c>
      <c r="O1953" s="0" t="n">
        <v>193.55</v>
      </c>
      <c r="P1953" s="0" t="s">
        <v>2444</v>
      </c>
    </row>
    <row r="1954" customFormat="false" ht="15" hidden="false" customHeight="true" outlineLevel="0" collapsed="false">
      <c r="A1954" s="0" t="n">
        <v>2</v>
      </c>
      <c r="B1954" s="71" t="n">
        <v>46196</v>
      </c>
      <c r="C1954" s="0" t="n">
        <v>1</v>
      </c>
      <c r="D1954" s="0" t="s">
        <v>2442</v>
      </c>
      <c r="E1954" s="0" t="n">
        <v>1621</v>
      </c>
      <c r="F1954" s="0" t="s">
        <v>232</v>
      </c>
      <c r="I1954" s="0" t="n">
        <v>869753</v>
      </c>
      <c r="J1954" s="0" t="n">
        <v>103792</v>
      </c>
      <c r="K1954" s="0" t="n">
        <v>7891149010509</v>
      </c>
      <c r="L1954" s="0" t="s">
        <v>3599</v>
      </c>
      <c r="N1954" s="0" t="n">
        <v>108</v>
      </c>
      <c r="O1954" s="0" t="n">
        <v>329.980043</v>
      </c>
      <c r="P1954" s="0" t="s">
        <v>2444</v>
      </c>
    </row>
    <row r="1955" customFormat="false" ht="15" hidden="false" customHeight="true" outlineLevel="0" collapsed="false">
      <c r="A1955" s="0" t="n">
        <v>2</v>
      </c>
      <c r="B1955" s="71" t="n">
        <v>46196</v>
      </c>
      <c r="C1955" s="0" t="n">
        <v>1</v>
      </c>
      <c r="D1955" s="0" t="s">
        <v>2442</v>
      </c>
      <c r="E1955" s="0" t="n">
        <v>1621</v>
      </c>
      <c r="F1955" s="0" t="s">
        <v>232</v>
      </c>
      <c r="I1955" s="0" t="n">
        <v>869753</v>
      </c>
      <c r="J1955" s="0" t="n">
        <v>103792</v>
      </c>
      <c r="K1955" s="0" t="n">
        <v>7891149010509</v>
      </c>
      <c r="L1955" s="0" t="s">
        <v>3599</v>
      </c>
      <c r="N1955" s="0" t="n">
        <v>12</v>
      </c>
      <c r="O1955" s="0" t="n">
        <v>35.659929</v>
      </c>
      <c r="P1955" s="0" t="s">
        <v>2444</v>
      </c>
    </row>
    <row r="1956" customFormat="false" ht="15" hidden="false" customHeight="true" outlineLevel="0" collapsed="false">
      <c r="A1956" s="0" t="n">
        <v>2</v>
      </c>
      <c r="B1956" s="71" t="n">
        <v>46196</v>
      </c>
      <c r="C1956" s="0" t="n">
        <v>1</v>
      </c>
      <c r="D1956" s="0" t="s">
        <v>2442</v>
      </c>
      <c r="E1956" s="0" t="n">
        <v>1621</v>
      </c>
      <c r="F1956" s="0" t="s">
        <v>232</v>
      </c>
      <c r="I1956" s="0" t="n">
        <v>869753</v>
      </c>
      <c r="J1956" s="0" t="n">
        <v>78063</v>
      </c>
      <c r="K1956" s="0" t="n">
        <v>7891149108718</v>
      </c>
      <c r="L1956" s="0" t="s">
        <v>3600</v>
      </c>
      <c r="N1956" s="0" t="n">
        <v>24</v>
      </c>
      <c r="O1956" s="0" t="n">
        <v>152.120048</v>
      </c>
      <c r="P1956" s="0" t="s">
        <v>2444</v>
      </c>
    </row>
    <row r="1957" customFormat="false" ht="15" hidden="false" customHeight="true" outlineLevel="0" collapsed="false">
      <c r="A1957" s="0" t="n">
        <v>2</v>
      </c>
      <c r="B1957" s="71" t="n">
        <v>46196</v>
      </c>
      <c r="C1957" s="0" t="n">
        <v>1</v>
      </c>
      <c r="D1957" s="0" t="s">
        <v>2442</v>
      </c>
      <c r="E1957" s="0" t="n">
        <v>1621</v>
      </c>
      <c r="F1957" s="0" t="s">
        <v>232</v>
      </c>
      <c r="I1957" s="0" t="n">
        <v>869753</v>
      </c>
      <c r="J1957" s="0" t="n">
        <v>78063</v>
      </c>
      <c r="K1957" s="0" t="n">
        <v>7891149108718</v>
      </c>
      <c r="L1957" s="0" t="s">
        <v>3600</v>
      </c>
      <c r="N1957" s="0" t="n">
        <v>48</v>
      </c>
      <c r="O1957" s="0" t="n">
        <v>313.369976</v>
      </c>
      <c r="P1957" s="0" t="s">
        <v>2444</v>
      </c>
    </row>
    <row r="1958" customFormat="false" ht="15" hidden="false" customHeight="true" outlineLevel="0" collapsed="false">
      <c r="A1958" s="0" t="n">
        <v>2</v>
      </c>
      <c r="B1958" s="71" t="n">
        <v>46196</v>
      </c>
      <c r="C1958" s="0" t="n">
        <v>1</v>
      </c>
      <c r="D1958" s="0" t="s">
        <v>2442</v>
      </c>
      <c r="E1958" s="0" t="n">
        <v>1683</v>
      </c>
      <c r="F1958" s="0" t="s">
        <v>406</v>
      </c>
      <c r="I1958" s="0" t="n">
        <v>1635973</v>
      </c>
      <c r="J1958" s="0" t="n">
        <v>109791</v>
      </c>
      <c r="K1958" s="0" t="n">
        <v>9667</v>
      </c>
      <c r="L1958" s="0" t="s">
        <v>2465</v>
      </c>
      <c r="N1958" s="0" t="n">
        <v>10</v>
      </c>
      <c r="O1958" s="0" t="n">
        <v>15</v>
      </c>
      <c r="P1958" s="0" t="s">
        <v>2444</v>
      </c>
    </row>
    <row r="1959" customFormat="false" ht="15" hidden="false" customHeight="true" outlineLevel="0" collapsed="false">
      <c r="A1959" s="0" t="n">
        <v>2</v>
      </c>
      <c r="B1959" s="71" t="n">
        <v>46196</v>
      </c>
      <c r="C1959" s="0" t="n">
        <v>1</v>
      </c>
      <c r="D1959" s="0" t="s">
        <v>2442</v>
      </c>
      <c r="E1959" s="0" t="n">
        <v>1683</v>
      </c>
      <c r="F1959" s="0" t="s">
        <v>406</v>
      </c>
      <c r="I1959" s="0" t="n">
        <v>1635973</v>
      </c>
      <c r="J1959" s="0" t="n">
        <v>37359</v>
      </c>
      <c r="K1959" s="0" t="n">
        <v>55526</v>
      </c>
      <c r="L1959" s="0" t="s">
        <v>2466</v>
      </c>
      <c r="N1959" s="0" t="n">
        <v>7</v>
      </c>
      <c r="O1959" s="0" t="n">
        <v>28</v>
      </c>
      <c r="P1959" s="0" t="s">
        <v>2444</v>
      </c>
    </row>
    <row r="1960" customFormat="false" ht="15" hidden="false" customHeight="true" outlineLevel="0" collapsed="false">
      <c r="A1960" s="0" t="n">
        <v>2</v>
      </c>
      <c r="B1960" s="71" t="n">
        <v>46196</v>
      </c>
      <c r="C1960" s="0" t="n">
        <v>1</v>
      </c>
      <c r="D1960" s="0" t="s">
        <v>2442</v>
      </c>
      <c r="E1960" s="0" t="n">
        <v>1683</v>
      </c>
      <c r="F1960" s="0" t="s">
        <v>406</v>
      </c>
      <c r="I1960" s="0" t="n">
        <v>1635973</v>
      </c>
      <c r="J1960" s="0" t="n">
        <v>37361</v>
      </c>
      <c r="K1960" s="0" t="n">
        <v>2240817</v>
      </c>
      <c r="L1960" s="0" t="s">
        <v>2467</v>
      </c>
      <c r="N1960" s="0" t="n">
        <v>30</v>
      </c>
      <c r="O1960" s="0" t="n">
        <v>54</v>
      </c>
      <c r="P1960" s="0" t="s">
        <v>2444</v>
      </c>
    </row>
    <row r="1961" customFormat="false" ht="15" hidden="false" customHeight="true" outlineLevel="0" collapsed="false">
      <c r="A1961" s="0" t="n">
        <v>2</v>
      </c>
      <c r="B1961" s="71" t="n">
        <v>46196</v>
      </c>
      <c r="C1961" s="0" t="n">
        <v>1</v>
      </c>
      <c r="D1961" s="0" t="s">
        <v>2442</v>
      </c>
      <c r="E1961" s="0" t="n">
        <v>1683</v>
      </c>
      <c r="F1961" s="0" t="s">
        <v>406</v>
      </c>
      <c r="I1961" s="0" t="n">
        <v>1635976</v>
      </c>
      <c r="J1961" s="0" t="n">
        <v>109791</v>
      </c>
      <c r="K1961" s="0" t="n">
        <v>9667</v>
      </c>
      <c r="L1961" s="0" t="s">
        <v>2465</v>
      </c>
      <c r="N1961" s="0" t="n">
        <v>10</v>
      </c>
      <c r="O1961" s="0" t="n">
        <v>15</v>
      </c>
      <c r="P1961" s="0" t="s">
        <v>2444</v>
      </c>
    </row>
    <row r="1962" customFormat="false" ht="15" hidden="false" customHeight="true" outlineLevel="0" collapsed="false">
      <c r="A1962" s="0" t="n">
        <v>2</v>
      </c>
      <c r="B1962" s="71" t="n">
        <v>46196</v>
      </c>
      <c r="C1962" s="0" t="n">
        <v>1</v>
      </c>
      <c r="D1962" s="0" t="s">
        <v>2442</v>
      </c>
      <c r="E1962" s="0" t="n">
        <v>1683</v>
      </c>
      <c r="F1962" s="0" t="s">
        <v>406</v>
      </c>
      <c r="I1962" s="0" t="n">
        <v>1635976</v>
      </c>
      <c r="J1962" s="0" t="n">
        <v>37361</v>
      </c>
      <c r="K1962" s="0" t="n">
        <v>2240817</v>
      </c>
      <c r="L1962" s="0" t="s">
        <v>2467</v>
      </c>
      <c r="N1962" s="0" t="n">
        <v>50</v>
      </c>
      <c r="O1962" s="0" t="n">
        <v>90</v>
      </c>
      <c r="P1962" s="0" t="s">
        <v>2444</v>
      </c>
    </row>
    <row r="1963" customFormat="false" ht="15" hidden="false" customHeight="true" outlineLevel="0" collapsed="false">
      <c r="A1963" s="0" t="n">
        <v>2</v>
      </c>
      <c r="B1963" s="71" t="n">
        <v>46196</v>
      </c>
      <c r="C1963" s="0" t="n">
        <v>1</v>
      </c>
      <c r="D1963" s="0" t="s">
        <v>2442</v>
      </c>
      <c r="E1963" s="0" t="n">
        <v>1683</v>
      </c>
      <c r="F1963" s="0" t="s">
        <v>406</v>
      </c>
      <c r="I1963" s="0" t="n">
        <v>1635978</v>
      </c>
      <c r="J1963" s="0" t="n">
        <v>109791</v>
      </c>
      <c r="K1963" s="0" t="n">
        <v>9667</v>
      </c>
      <c r="L1963" s="0" t="s">
        <v>2465</v>
      </c>
      <c r="N1963" s="0" t="n">
        <v>10</v>
      </c>
      <c r="O1963" s="0" t="n">
        <v>15</v>
      </c>
      <c r="P1963" s="0" t="s">
        <v>2444</v>
      </c>
    </row>
    <row r="1964" customFormat="false" ht="15" hidden="false" customHeight="true" outlineLevel="0" collapsed="false">
      <c r="A1964" s="0" t="n">
        <v>2</v>
      </c>
      <c r="B1964" s="71" t="n">
        <v>46196</v>
      </c>
      <c r="C1964" s="0" t="n">
        <v>1</v>
      </c>
      <c r="D1964" s="0" t="s">
        <v>2442</v>
      </c>
      <c r="E1964" s="0" t="n">
        <v>1683</v>
      </c>
      <c r="F1964" s="0" t="s">
        <v>406</v>
      </c>
      <c r="I1964" s="0" t="n">
        <v>1635978</v>
      </c>
      <c r="J1964" s="0" t="n">
        <v>37359</v>
      </c>
      <c r="K1964" s="0" t="n">
        <v>55526</v>
      </c>
      <c r="L1964" s="0" t="s">
        <v>2466</v>
      </c>
      <c r="N1964" s="0" t="n">
        <v>15</v>
      </c>
      <c r="O1964" s="0" t="n">
        <v>60</v>
      </c>
      <c r="P1964" s="0" t="s">
        <v>2444</v>
      </c>
    </row>
    <row r="1965" customFormat="false" ht="15" hidden="false" customHeight="true" outlineLevel="0" collapsed="false">
      <c r="A1965" s="0" t="n">
        <v>2</v>
      </c>
      <c r="B1965" s="71" t="n">
        <v>46196</v>
      </c>
      <c r="C1965" s="0" t="n">
        <v>1</v>
      </c>
      <c r="D1965" s="0" t="s">
        <v>2442</v>
      </c>
      <c r="E1965" s="0" t="n">
        <v>1683</v>
      </c>
      <c r="F1965" s="0" t="s">
        <v>406</v>
      </c>
      <c r="I1965" s="0" t="n">
        <v>1635978</v>
      </c>
      <c r="J1965" s="0" t="n">
        <v>37361</v>
      </c>
      <c r="K1965" s="0" t="n">
        <v>2240817</v>
      </c>
      <c r="L1965" s="0" t="s">
        <v>2467</v>
      </c>
      <c r="N1965" s="0" t="n">
        <v>60</v>
      </c>
      <c r="O1965" s="0" t="n">
        <v>108</v>
      </c>
      <c r="P1965" s="0" t="s">
        <v>2444</v>
      </c>
    </row>
    <row r="1966" customFormat="false" ht="15" hidden="false" customHeight="true" outlineLevel="0" collapsed="false">
      <c r="A1966" s="0" t="n">
        <v>2</v>
      </c>
      <c r="B1966" s="71" t="n">
        <v>46196</v>
      </c>
      <c r="C1966" s="0" t="n">
        <v>2</v>
      </c>
      <c r="D1966" s="0" t="s">
        <v>2533</v>
      </c>
      <c r="E1966" s="0" t="n">
        <v>48</v>
      </c>
      <c r="F1966" s="0" t="s">
        <v>153</v>
      </c>
      <c r="I1966" s="0" t="n">
        <v>23626</v>
      </c>
      <c r="J1966" s="0" t="n">
        <v>100062</v>
      </c>
      <c r="K1966" s="0" t="n">
        <v>63</v>
      </c>
      <c r="L1966" s="0" t="s">
        <v>2535</v>
      </c>
      <c r="N1966" s="0" t="n">
        <v>18</v>
      </c>
      <c r="O1966" s="0" t="n">
        <v>130</v>
      </c>
      <c r="P1966" s="0" t="s">
        <v>2444</v>
      </c>
    </row>
    <row r="1967" customFormat="false" ht="15" hidden="false" customHeight="true" outlineLevel="0" collapsed="false">
      <c r="A1967" s="0" t="n">
        <v>2</v>
      </c>
      <c r="B1967" s="71" t="n">
        <v>46196</v>
      </c>
      <c r="C1967" s="0" t="n">
        <v>2</v>
      </c>
      <c r="D1967" s="0" t="s">
        <v>2533</v>
      </c>
      <c r="E1967" s="0" t="n">
        <v>48</v>
      </c>
      <c r="F1967" s="0" t="s">
        <v>153</v>
      </c>
      <c r="I1967" s="0" t="n">
        <v>23626</v>
      </c>
      <c r="J1967" s="0" t="n">
        <v>100105</v>
      </c>
      <c r="K1967" s="0" t="n">
        <v>106</v>
      </c>
      <c r="L1967" s="0" t="s">
        <v>2536</v>
      </c>
      <c r="N1967" s="0" t="n">
        <v>48</v>
      </c>
      <c r="O1967" s="0" t="n">
        <v>340</v>
      </c>
      <c r="P1967" s="0" t="s">
        <v>2444</v>
      </c>
    </row>
    <row r="1968" customFormat="false" ht="15" hidden="false" customHeight="true" outlineLevel="0" collapsed="false">
      <c r="A1968" s="0" t="n">
        <v>2</v>
      </c>
      <c r="B1968" s="71" t="n">
        <v>46196</v>
      </c>
      <c r="C1968" s="0" t="n">
        <v>2</v>
      </c>
      <c r="D1968" s="0" t="s">
        <v>2533</v>
      </c>
      <c r="E1968" s="0" t="n">
        <v>48</v>
      </c>
      <c r="F1968" s="0" t="s">
        <v>153</v>
      </c>
      <c r="I1968" s="0" t="n">
        <v>23626</v>
      </c>
      <c r="J1968" s="0" t="n">
        <v>100109</v>
      </c>
      <c r="K1968" s="0" t="n">
        <v>110</v>
      </c>
      <c r="L1968" s="0" t="s">
        <v>2537</v>
      </c>
      <c r="N1968" s="0" t="n">
        <v>40</v>
      </c>
      <c r="O1968" s="0" t="n">
        <v>240</v>
      </c>
      <c r="P1968" s="0" t="s">
        <v>2444</v>
      </c>
    </row>
    <row r="1969" customFormat="false" ht="15" hidden="false" customHeight="true" outlineLevel="0" collapsed="false">
      <c r="A1969" s="0" t="n">
        <v>2</v>
      </c>
      <c r="B1969" s="71" t="n">
        <v>46196</v>
      </c>
      <c r="C1969" s="0" t="n">
        <v>2</v>
      </c>
      <c r="D1969" s="0" t="s">
        <v>2533</v>
      </c>
      <c r="E1969" s="0" t="n">
        <v>48</v>
      </c>
      <c r="F1969" s="0" t="s">
        <v>153</v>
      </c>
      <c r="I1969" s="0" t="n">
        <v>23626</v>
      </c>
      <c r="J1969" s="0" t="n">
        <v>100110</v>
      </c>
      <c r="K1969" s="0" t="n">
        <v>111</v>
      </c>
      <c r="L1969" s="0" t="s">
        <v>2997</v>
      </c>
      <c r="N1969" s="0" t="n">
        <v>20</v>
      </c>
      <c r="O1969" s="0" t="n">
        <v>190</v>
      </c>
      <c r="P1969" s="0" t="s">
        <v>2444</v>
      </c>
    </row>
    <row r="1970" customFormat="false" ht="15" hidden="false" customHeight="true" outlineLevel="0" collapsed="false">
      <c r="A1970" s="0" t="n">
        <v>2</v>
      </c>
      <c r="B1970" s="71" t="n">
        <v>46196</v>
      </c>
      <c r="C1970" s="0" t="n">
        <v>2</v>
      </c>
      <c r="D1970" s="0" t="s">
        <v>2533</v>
      </c>
      <c r="E1970" s="0" t="n">
        <v>48</v>
      </c>
      <c r="F1970" s="0" t="s">
        <v>153</v>
      </c>
      <c r="I1970" s="0" t="n">
        <v>23626</v>
      </c>
      <c r="J1970" s="0" t="n">
        <v>100113</v>
      </c>
      <c r="K1970" s="0" t="n">
        <v>114</v>
      </c>
      <c r="L1970" s="0" t="s">
        <v>2539</v>
      </c>
      <c r="N1970" s="0" t="n">
        <v>20</v>
      </c>
      <c r="O1970" s="0" t="n">
        <v>40</v>
      </c>
      <c r="P1970" s="0" t="s">
        <v>2444</v>
      </c>
    </row>
    <row r="1971" customFormat="false" ht="15" hidden="false" customHeight="true" outlineLevel="0" collapsed="false">
      <c r="A1971" s="0" t="n">
        <v>2</v>
      </c>
      <c r="B1971" s="71" t="n">
        <v>46196</v>
      </c>
      <c r="C1971" s="0" t="n">
        <v>2</v>
      </c>
      <c r="D1971" s="0" t="s">
        <v>2533</v>
      </c>
      <c r="E1971" s="0" t="n">
        <v>48</v>
      </c>
      <c r="F1971" s="0" t="s">
        <v>153</v>
      </c>
      <c r="I1971" s="0" t="n">
        <v>23626</v>
      </c>
      <c r="J1971" s="0" t="n">
        <v>100116</v>
      </c>
      <c r="K1971" s="0" t="n">
        <v>117</v>
      </c>
      <c r="L1971" s="0" t="s">
        <v>2540</v>
      </c>
      <c r="N1971" s="0" t="n">
        <v>2</v>
      </c>
      <c r="O1971" s="0" t="n">
        <v>26</v>
      </c>
      <c r="P1971" s="0" t="s">
        <v>2444</v>
      </c>
    </row>
    <row r="1972" customFormat="false" ht="15" hidden="false" customHeight="true" outlineLevel="0" collapsed="false">
      <c r="A1972" s="0" t="n">
        <v>2</v>
      </c>
      <c r="B1972" s="71" t="n">
        <v>46196</v>
      </c>
      <c r="C1972" s="0" t="n">
        <v>2</v>
      </c>
      <c r="D1972" s="0" t="s">
        <v>2533</v>
      </c>
      <c r="E1972" s="0" t="n">
        <v>48</v>
      </c>
      <c r="F1972" s="0" t="s">
        <v>153</v>
      </c>
      <c r="I1972" s="0" t="n">
        <v>23626</v>
      </c>
      <c r="J1972" s="0" t="n">
        <v>100118</v>
      </c>
      <c r="K1972" s="0" t="n">
        <v>119</v>
      </c>
      <c r="L1972" s="0" t="s">
        <v>2541</v>
      </c>
      <c r="N1972" s="0" t="n">
        <v>6</v>
      </c>
      <c r="O1972" s="0" t="n">
        <v>24</v>
      </c>
      <c r="P1972" s="0" t="s">
        <v>2444</v>
      </c>
    </row>
    <row r="1973" customFormat="false" ht="15" hidden="false" customHeight="true" outlineLevel="0" collapsed="false">
      <c r="A1973" s="0" t="n">
        <v>2</v>
      </c>
      <c r="B1973" s="71" t="n">
        <v>46196</v>
      </c>
      <c r="C1973" s="0" t="n">
        <v>2</v>
      </c>
      <c r="D1973" s="0" t="s">
        <v>2533</v>
      </c>
      <c r="E1973" s="0" t="n">
        <v>48</v>
      </c>
      <c r="F1973" s="0" t="s">
        <v>153</v>
      </c>
      <c r="I1973" s="0" t="n">
        <v>23626</v>
      </c>
      <c r="J1973" s="0" t="n">
        <v>100121</v>
      </c>
      <c r="K1973" s="0" t="n">
        <v>122</v>
      </c>
      <c r="L1973" s="0" t="s">
        <v>2542</v>
      </c>
      <c r="N1973" s="0" t="n">
        <v>3</v>
      </c>
      <c r="O1973" s="0" t="n">
        <v>60</v>
      </c>
      <c r="P1973" s="0" t="s">
        <v>2444</v>
      </c>
    </row>
    <row r="1974" customFormat="false" ht="15" hidden="false" customHeight="true" outlineLevel="0" collapsed="false">
      <c r="A1974" s="0" t="n">
        <v>2</v>
      </c>
      <c r="B1974" s="71" t="n">
        <v>46196</v>
      </c>
      <c r="C1974" s="0" t="n">
        <v>2</v>
      </c>
      <c r="D1974" s="0" t="s">
        <v>2533</v>
      </c>
      <c r="E1974" s="0" t="n">
        <v>48</v>
      </c>
      <c r="F1974" s="0" t="s">
        <v>153</v>
      </c>
      <c r="I1974" s="0" t="n">
        <v>23626</v>
      </c>
      <c r="J1974" s="0" t="n">
        <v>100122</v>
      </c>
      <c r="K1974" s="0" t="n">
        <v>123</v>
      </c>
      <c r="L1974" s="0" t="s">
        <v>2543</v>
      </c>
      <c r="N1974" s="0" t="n">
        <v>3</v>
      </c>
      <c r="O1974" s="0" t="n">
        <v>54</v>
      </c>
      <c r="P1974" s="0" t="s">
        <v>2444</v>
      </c>
    </row>
    <row r="1975" customFormat="false" ht="15" hidden="false" customHeight="true" outlineLevel="0" collapsed="false">
      <c r="A1975" s="0" t="n">
        <v>2</v>
      </c>
      <c r="B1975" s="71" t="n">
        <v>46196</v>
      </c>
      <c r="C1975" s="0" t="n">
        <v>2</v>
      </c>
      <c r="D1975" s="0" t="s">
        <v>2533</v>
      </c>
      <c r="E1975" s="0" t="n">
        <v>48</v>
      </c>
      <c r="F1975" s="0" t="s">
        <v>153</v>
      </c>
      <c r="I1975" s="0" t="n">
        <v>23626</v>
      </c>
      <c r="J1975" s="0" t="n">
        <v>100123</v>
      </c>
      <c r="K1975" s="0" t="n">
        <v>124</v>
      </c>
      <c r="L1975" s="0" t="s">
        <v>2544</v>
      </c>
      <c r="N1975" s="0" t="n">
        <v>2</v>
      </c>
      <c r="O1975" s="0" t="n">
        <v>24</v>
      </c>
      <c r="P1975" s="0" t="s">
        <v>2444</v>
      </c>
    </row>
    <row r="1976" customFormat="false" ht="15" hidden="false" customHeight="true" outlineLevel="0" collapsed="false">
      <c r="A1976" s="0" t="n">
        <v>2</v>
      </c>
      <c r="B1976" s="71" t="n">
        <v>46196</v>
      </c>
      <c r="C1976" s="0" t="n">
        <v>2</v>
      </c>
      <c r="D1976" s="0" t="s">
        <v>2533</v>
      </c>
      <c r="E1976" s="0" t="n">
        <v>48</v>
      </c>
      <c r="F1976" s="0" t="s">
        <v>153</v>
      </c>
      <c r="I1976" s="0" t="n">
        <v>23626</v>
      </c>
      <c r="J1976" s="0" t="n">
        <v>100125</v>
      </c>
      <c r="K1976" s="0" t="n">
        <v>126</v>
      </c>
      <c r="L1976" s="0" t="s">
        <v>2597</v>
      </c>
      <c r="N1976" s="0" t="n">
        <v>20</v>
      </c>
      <c r="O1976" s="0" t="n">
        <v>160</v>
      </c>
      <c r="P1976" s="0" t="s">
        <v>2444</v>
      </c>
    </row>
    <row r="1977" customFormat="false" ht="15" hidden="false" customHeight="true" outlineLevel="0" collapsed="false">
      <c r="A1977" s="0" t="n">
        <v>2</v>
      </c>
      <c r="B1977" s="71" t="n">
        <v>46196</v>
      </c>
      <c r="C1977" s="0" t="n">
        <v>2</v>
      </c>
      <c r="D1977" s="0" t="s">
        <v>2533</v>
      </c>
      <c r="E1977" s="0" t="n">
        <v>48</v>
      </c>
      <c r="F1977" s="0" t="s">
        <v>153</v>
      </c>
      <c r="I1977" s="0" t="n">
        <v>23626</v>
      </c>
      <c r="J1977" s="0" t="n">
        <v>100130</v>
      </c>
      <c r="K1977" s="0" t="n">
        <v>131</v>
      </c>
      <c r="L1977" s="0" t="s">
        <v>2545</v>
      </c>
      <c r="N1977" s="0" t="n">
        <v>4</v>
      </c>
      <c r="O1977" s="0" t="n">
        <v>28</v>
      </c>
      <c r="P1977" s="0" t="s">
        <v>2444</v>
      </c>
    </row>
    <row r="1978" customFormat="false" ht="15" hidden="false" customHeight="true" outlineLevel="0" collapsed="false">
      <c r="A1978" s="0" t="n">
        <v>2</v>
      </c>
      <c r="B1978" s="71" t="n">
        <v>46196</v>
      </c>
      <c r="C1978" s="0" t="n">
        <v>2</v>
      </c>
      <c r="D1978" s="0" t="s">
        <v>2533</v>
      </c>
      <c r="E1978" s="0" t="n">
        <v>48</v>
      </c>
      <c r="F1978" s="0" t="s">
        <v>153</v>
      </c>
      <c r="I1978" s="0" t="n">
        <v>23626</v>
      </c>
      <c r="J1978" s="0" t="n">
        <v>100132</v>
      </c>
      <c r="K1978" s="0" t="n">
        <v>133</v>
      </c>
      <c r="L1978" s="0" t="s">
        <v>2546</v>
      </c>
      <c r="N1978" s="0" t="n">
        <v>30</v>
      </c>
      <c r="O1978" s="0" t="n">
        <v>90</v>
      </c>
      <c r="P1978" s="0" t="s">
        <v>2444</v>
      </c>
    </row>
    <row r="1979" customFormat="false" ht="15" hidden="false" customHeight="true" outlineLevel="0" collapsed="false">
      <c r="A1979" s="0" t="n">
        <v>2</v>
      </c>
      <c r="B1979" s="71" t="n">
        <v>46196</v>
      </c>
      <c r="C1979" s="0" t="n">
        <v>2</v>
      </c>
      <c r="D1979" s="0" t="s">
        <v>2533</v>
      </c>
      <c r="E1979" s="0" t="n">
        <v>48</v>
      </c>
      <c r="F1979" s="0" t="s">
        <v>153</v>
      </c>
      <c r="I1979" s="0" t="n">
        <v>23626</v>
      </c>
      <c r="J1979" s="0" t="n">
        <v>100133</v>
      </c>
      <c r="K1979" s="0" t="n">
        <v>134</v>
      </c>
      <c r="L1979" s="0" t="s">
        <v>2547</v>
      </c>
      <c r="N1979" s="0" t="n">
        <v>14</v>
      </c>
      <c r="O1979" s="0" t="n">
        <v>49</v>
      </c>
      <c r="P1979" s="0" t="s">
        <v>2444</v>
      </c>
    </row>
    <row r="1980" customFormat="false" ht="15" hidden="false" customHeight="true" outlineLevel="0" collapsed="false">
      <c r="A1980" s="0" t="n">
        <v>2</v>
      </c>
      <c r="B1980" s="71" t="n">
        <v>46196</v>
      </c>
      <c r="C1980" s="0" t="n">
        <v>2</v>
      </c>
      <c r="D1980" s="0" t="s">
        <v>2533</v>
      </c>
      <c r="E1980" s="0" t="n">
        <v>48</v>
      </c>
      <c r="F1980" s="0" t="s">
        <v>153</v>
      </c>
      <c r="I1980" s="0" t="n">
        <v>23626</v>
      </c>
      <c r="J1980" s="0" t="n">
        <v>100135</v>
      </c>
      <c r="K1980" s="0" t="n">
        <v>136</v>
      </c>
      <c r="L1980" s="0" t="s">
        <v>2599</v>
      </c>
      <c r="N1980" s="0" t="n">
        <v>13</v>
      </c>
      <c r="O1980" s="0" t="n">
        <v>115.44</v>
      </c>
      <c r="P1980" s="0" t="s">
        <v>2444</v>
      </c>
    </row>
    <row r="1981" customFormat="false" ht="15" hidden="false" customHeight="true" outlineLevel="0" collapsed="false">
      <c r="A1981" s="0" t="n">
        <v>2</v>
      </c>
      <c r="B1981" s="71" t="n">
        <v>46196</v>
      </c>
      <c r="C1981" s="0" t="n">
        <v>2</v>
      </c>
      <c r="D1981" s="0" t="s">
        <v>2533</v>
      </c>
      <c r="E1981" s="0" t="n">
        <v>48</v>
      </c>
      <c r="F1981" s="0" t="s">
        <v>153</v>
      </c>
      <c r="I1981" s="0" t="n">
        <v>23626</v>
      </c>
      <c r="J1981" s="0" t="n">
        <v>100148</v>
      </c>
      <c r="K1981" s="0" t="n">
        <v>149</v>
      </c>
      <c r="L1981" s="0" t="s">
        <v>2600</v>
      </c>
      <c r="N1981" s="0" t="n">
        <v>6</v>
      </c>
      <c r="O1981" s="0" t="n">
        <v>60</v>
      </c>
      <c r="P1981" s="0" t="s">
        <v>2444</v>
      </c>
    </row>
    <row r="1982" customFormat="false" ht="15" hidden="false" customHeight="true" outlineLevel="0" collapsed="false">
      <c r="A1982" s="0" t="n">
        <v>2</v>
      </c>
      <c r="B1982" s="71" t="n">
        <v>46196</v>
      </c>
      <c r="C1982" s="0" t="n">
        <v>2</v>
      </c>
      <c r="D1982" s="0" t="s">
        <v>2533</v>
      </c>
      <c r="E1982" s="0" t="n">
        <v>48</v>
      </c>
      <c r="F1982" s="0" t="s">
        <v>153</v>
      </c>
      <c r="I1982" s="0" t="n">
        <v>23626</v>
      </c>
      <c r="J1982" s="0" t="n">
        <v>110142</v>
      </c>
      <c r="K1982" s="0" t="n">
        <v>16699</v>
      </c>
      <c r="L1982" s="0" t="s">
        <v>2549</v>
      </c>
      <c r="N1982" s="0" t="n">
        <v>40</v>
      </c>
      <c r="O1982" s="0" t="n">
        <v>240</v>
      </c>
      <c r="P1982" s="0" t="s">
        <v>2444</v>
      </c>
    </row>
    <row r="1983" customFormat="false" ht="15" hidden="false" customHeight="true" outlineLevel="0" collapsed="false">
      <c r="A1983" s="0" t="n">
        <v>2</v>
      </c>
      <c r="B1983" s="71" t="n">
        <v>46196</v>
      </c>
      <c r="C1983" s="0" t="n">
        <v>2</v>
      </c>
      <c r="D1983" s="0" t="s">
        <v>2533</v>
      </c>
      <c r="E1983" s="0" t="n">
        <v>48</v>
      </c>
      <c r="F1983" s="0" t="s">
        <v>153</v>
      </c>
      <c r="I1983" s="0" t="n">
        <v>23626</v>
      </c>
      <c r="J1983" s="0" t="n">
        <v>110489</v>
      </c>
      <c r="K1983" s="0" t="n">
        <v>54743</v>
      </c>
      <c r="L1983" s="0" t="s">
        <v>2550</v>
      </c>
      <c r="N1983" s="0" t="n">
        <v>40</v>
      </c>
      <c r="O1983" s="0" t="n">
        <v>240</v>
      </c>
      <c r="P1983" s="0" t="s">
        <v>2444</v>
      </c>
    </row>
    <row r="1984" customFormat="false" ht="15" hidden="false" customHeight="true" outlineLevel="0" collapsed="false">
      <c r="A1984" s="0" t="n">
        <v>2</v>
      </c>
      <c r="B1984" s="71" t="n">
        <v>46196</v>
      </c>
      <c r="C1984" s="0" t="n">
        <v>2</v>
      </c>
      <c r="D1984" s="0" t="s">
        <v>2533</v>
      </c>
      <c r="E1984" s="0" t="n">
        <v>48</v>
      </c>
      <c r="F1984" s="0" t="s">
        <v>153</v>
      </c>
      <c r="I1984" s="0" t="n">
        <v>23626</v>
      </c>
      <c r="J1984" s="0" t="n">
        <v>80078</v>
      </c>
      <c r="K1984" s="0" t="n">
        <v>710</v>
      </c>
      <c r="L1984" s="0" t="s">
        <v>2551</v>
      </c>
      <c r="N1984" s="0" t="n">
        <v>10</v>
      </c>
      <c r="O1984" s="0" t="n">
        <v>30</v>
      </c>
      <c r="P1984" s="0" t="s">
        <v>2444</v>
      </c>
    </row>
    <row r="1985" customFormat="false" ht="15" hidden="false" customHeight="true" outlineLevel="0" collapsed="false">
      <c r="A1985" s="0" t="n">
        <v>2</v>
      </c>
      <c r="B1985" s="71" t="n">
        <v>46196</v>
      </c>
      <c r="C1985" s="0" t="n">
        <v>6</v>
      </c>
      <c r="D1985" s="0" t="s">
        <v>2553</v>
      </c>
      <c r="E1985" s="0" t="n">
        <v>48</v>
      </c>
      <c r="F1985" s="0" t="s">
        <v>153</v>
      </c>
      <c r="I1985" s="0" t="n">
        <v>2507</v>
      </c>
      <c r="J1985" s="0" t="n">
        <v>100062</v>
      </c>
      <c r="K1985" s="0" t="n">
        <v>63</v>
      </c>
      <c r="L1985" s="0" t="s">
        <v>2535</v>
      </c>
      <c r="N1985" s="0" t="n">
        <v>18</v>
      </c>
      <c r="O1985" s="0" t="n">
        <v>130</v>
      </c>
      <c r="P1985" s="0" t="s">
        <v>2444</v>
      </c>
    </row>
    <row r="1986" customFormat="false" ht="15" hidden="false" customHeight="true" outlineLevel="0" collapsed="false">
      <c r="A1986" s="0" t="n">
        <v>2</v>
      </c>
      <c r="B1986" s="71" t="n">
        <v>46196</v>
      </c>
      <c r="C1986" s="0" t="n">
        <v>6</v>
      </c>
      <c r="D1986" s="0" t="s">
        <v>2553</v>
      </c>
      <c r="E1986" s="0" t="n">
        <v>48</v>
      </c>
      <c r="F1986" s="0" t="s">
        <v>153</v>
      </c>
      <c r="I1986" s="0" t="n">
        <v>2507</v>
      </c>
      <c r="J1986" s="0" t="n">
        <v>100105</v>
      </c>
      <c r="K1986" s="0" t="n">
        <v>106</v>
      </c>
      <c r="L1986" s="0" t="s">
        <v>2536</v>
      </c>
      <c r="N1986" s="0" t="n">
        <v>48</v>
      </c>
      <c r="O1986" s="0" t="n">
        <v>340</v>
      </c>
      <c r="P1986" s="0" t="s">
        <v>2444</v>
      </c>
    </row>
    <row r="1987" customFormat="false" ht="15" hidden="false" customHeight="true" outlineLevel="0" collapsed="false">
      <c r="A1987" s="0" t="n">
        <v>2</v>
      </c>
      <c r="B1987" s="71" t="n">
        <v>46196</v>
      </c>
      <c r="C1987" s="0" t="n">
        <v>6</v>
      </c>
      <c r="D1987" s="0" t="s">
        <v>2553</v>
      </c>
      <c r="E1987" s="0" t="n">
        <v>48</v>
      </c>
      <c r="F1987" s="0" t="s">
        <v>153</v>
      </c>
      <c r="I1987" s="0" t="n">
        <v>2507</v>
      </c>
      <c r="J1987" s="0" t="n">
        <v>100109</v>
      </c>
      <c r="K1987" s="0" t="n">
        <v>110</v>
      </c>
      <c r="L1987" s="0" t="s">
        <v>2537</v>
      </c>
      <c r="N1987" s="0" t="n">
        <v>40</v>
      </c>
      <c r="O1987" s="0" t="n">
        <v>240</v>
      </c>
      <c r="P1987" s="0" t="s">
        <v>2444</v>
      </c>
    </row>
    <row r="1988" customFormat="false" ht="15" hidden="false" customHeight="true" outlineLevel="0" collapsed="false">
      <c r="A1988" s="0" t="n">
        <v>2</v>
      </c>
      <c r="B1988" s="71" t="n">
        <v>46196</v>
      </c>
      <c r="C1988" s="0" t="n">
        <v>6</v>
      </c>
      <c r="D1988" s="0" t="s">
        <v>2553</v>
      </c>
      <c r="E1988" s="0" t="n">
        <v>48</v>
      </c>
      <c r="F1988" s="0" t="s">
        <v>153</v>
      </c>
      <c r="I1988" s="0" t="n">
        <v>2507</v>
      </c>
      <c r="J1988" s="0" t="n">
        <v>100110</v>
      </c>
      <c r="K1988" s="0" t="n">
        <v>111</v>
      </c>
      <c r="L1988" s="0" t="s">
        <v>2997</v>
      </c>
      <c r="N1988" s="0" t="n">
        <v>20</v>
      </c>
      <c r="O1988" s="0" t="n">
        <v>190</v>
      </c>
      <c r="P1988" s="0" t="s">
        <v>2444</v>
      </c>
    </row>
    <row r="1989" customFormat="false" ht="15" hidden="false" customHeight="true" outlineLevel="0" collapsed="false">
      <c r="A1989" s="0" t="n">
        <v>2</v>
      </c>
      <c r="B1989" s="71" t="n">
        <v>46196</v>
      </c>
      <c r="C1989" s="0" t="n">
        <v>6</v>
      </c>
      <c r="D1989" s="0" t="s">
        <v>2553</v>
      </c>
      <c r="E1989" s="0" t="n">
        <v>48</v>
      </c>
      <c r="F1989" s="0" t="s">
        <v>153</v>
      </c>
      <c r="I1989" s="0" t="n">
        <v>2507</v>
      </c>
      <c r="J1989" s="0" t="n">
        <v>100113</v>
      </c>
      <c r="K1989" s="0" t="n">
        <v>114</v>
      </c>
      <c r="L1989" s="0" t="s">
        <v>2539</v>
      </c>
      <c r="N1989" s="0" t="n">
        <v>20</v>
      </c>
      <c r="O1989" s="0" t="n">
        <v>40</v>
      </c>
      <c r="P1989" s="0" t="s">
        <v>2444</v>
      </c>
    </row>
    <row r="1990" customFormat="false" ht="15" hidden="false" customHeight="true" outlineLevel="0" collapsed="false">
      <c r="A1990" s="0" t="n">
        <v>2</v>
      </c>
      <c r="B1990" s="71" t="n">
        <v>46196</v>
      </c>
      <c r="C1990" s="0" t="n">
        <v>6</v>
      </c>
      <c r="D1990" s="0" t="s">
        <v>2553</v>
      </c>
      <c r="E1990" s="0" t="n">
        <v>48</v>
      </c>
      <c r="F1990" s="0" t="s">
        <v>153</v>
      </c>
      <c r="I1990" s="0" t="n">
        <v>2507</v>
      </c>
      <c r="J1990" s="0" t="n">
        <v>100116</v>
      </c>
      <c r="K1990" s="0" t="n">
        <v>117</v>
      </c>
      <c r="L1990" s="0" t="s">
        <v>2540</v>
      </c>
      <c r="N1990" s="0" t="n">
        <v>2</v>
      </c>
      <c r="O1990" s="0" t="n">
        <v>26</v>
      </c>
      <c r="P1990" s="0" t="s">
        <v>2444</v>
      </c>
    </row>
    <row r="1991" customFormat="false" ht="15" hidden="false" customHeight="true" outlineLevel="0" collapsed="false">
      <c r="A1991" s="0" t="n">
        <v>2</v>
      </c>
      <c r="B1991" s="71" t="n">
        <v>46196</v>
      </c>
      <c r="C1991" s="0" t="n">
        <v>6</v>
      </c>
      <c r="D1991" s="0" t="s">
        <v>2553</v>
      </c>
      <c r="E1991" s="0" t="n">
        <v>48</v>
      </c>
      <c r="F1991" s="0" t="s">
        <v>153</v>
      </c>
      <c r="I1991" s="0" t="n">
        <v>2507</v>
      </c>
      <c r="J1991" s="0" t="n">
        <v>100118</v>
      </c>
      <c r="K1991" s="0" t="n">
        <v>119</v>
      </c>
      <c r="L1991" s="0" t="s">
        <v>2541</v>
      </c>
      <c r="N1991" s="0" t="n">
        <v>6</v>
      </c>
      <c r="O1991" s="0" t="n">
        <v>24</v>
      </c>
      <c r="P1991" s="0" t="s">
        <v>2444</v>
      </c>
    </row>
    <row r="1992" customFormat="false" ht="15" hidden="false" customHeight="true" outlineLevel="0" collapsed="false">
      <c r="A1992" s="0" t="n">
        <v>2</v>
      </c>
      <c r="B1992" s="71" t="n">
        <v>46196</v>
      </c>
      <c r="C1992" s="0" t="n">
        <v>6</v>
      </c>
      <c r="D1992" s="0" t="s">
        <v>2553</v>
      </c>
      <c r="E1992" s="0" t="n">
        <v>48</v>
      </c>
      <c r="F1992" s="0" t="s">
        <v>153</v>
      </c>
      <c r="I1992" s="0" t="n">
        <v>2507</v>
      </c>
      <c r="J1992" s="0" t="n">
        <v>100121</v>
      </c>
      <c r="K1992" s="0" t="n">
        <v>122</v>
      </c>
      <c r="L1992" s="0" t="s">
        <v>2542</v>
      </c>
      <c r="N1992" s="0" t="n">
        <v>3</v>
      </c>
      <c r="O1992" s="0" t="n">
        <v>60</v>
      </c>
      <c r="P1992" s="0" t="s">
        <v>2444</v>
      </c>
    </row>
    <row r="1993" customFormat="false" ht="15" hidden="false" customHeight="true" outlineLevel="0" collapsed="false">
      <c r="A1993" s="0" t="n">
        <v>2</v>
      </c>
      <c r="B1993" s="71" t="n">
        <v>46196</v>
      </c>
      <c r="C1993" s="0" t="n">
        <v>6</v>
      </c>
      <c r="D1993" s="0" t="s">
        <v>2553</v>
      </c>
      <c r="E1993" s="0" t="n">
        <v>48</v>
      </c>
      <c r="F1993" s="0" t="s">
        <v>153</v>
      </c>
      <c r="I1993" s="0" t="n">
        <v>2507</v>
      </c>
      <c r="J1993" s="0" t="n">
        <v>100122</v>
      </c>
      <c r="K1993" s="0" t="n">
        <v>123</v>
      </c>
      <c r="L1993" s="0" t="s">
        <v>2543</v>
      </c>
      <c r="N1993" s="0" t="n">
        <v>3</v>
      </c>
      <c r="O1993" s="0" t="n">
        <v>54</v>
      </c>
      <c r="P1993" s="0" t="s">
        <v>2444</v>
      </c>
    </row>
    <row r="1994" customFormat="false" ht="15" hidden="false" customHeight="true" outlineLevel="0" collapsed="false">
      <c r="A1994" s="0" t="n">
        <v>2</v>
      </c>
      <c r="B1994" s="71" t="n">
        <v>46196</v>
      </c>
      <c r="C1994" s="0" t="n">
        <v>6</v>
      </c>
      <c r="D1994" s="0" t="s">
        <v>2553</v>
      </c>
      <c r="E1994" s="0" t="n">
        <v>48</v>
      </c>
      <c r="F1994" s="0" t="s">
        <v>153</v>
      </c>
      <c r="I1994" s="0" t="n">
        <v>2507</v>
      </c>
      <c r="J1994" s="0" t="n">
        <v>100123</v>
      </c>
      <c r="K1994" s="0" t="n">
        <v>124</v>
      </c>
      <c r="L1994" s="0" t="s">
        <v>2544</v>
      </c>
      <c r="N1994" s="0" t="n">
        <v>2</v>
      </c>
      <c r="O1994" s="0" t="n">
        <v>24</v>
      </c>
      <c r="P1994" s="0" t="s">
        <v>2444</v>
      </c>
    </row>
    <row r="1995" customFormat="false" ht="15" hidden="false" customHeight="true" outlineLevel="0" collapsed="false">
      <c r="A1995" s="0" t="n">
        <v>2</v>
      </c>
      <c r="B1995" s="71" t="n">
        <v>46196</v>
      </c>
      <c r="C1995" s="0" t="n">
        <v>6</v>
      </c>
      <c r="D1995" s="0" t="s">
        <v>2553</v>
      </c>
      <c r="E1995" s="0" t="n">
        <v>48</v>
      </c>
      <c r="F1995" s="0" t="s">
        <v>153</v>
      </c>
      <c r="I1995" s="0" t="n">
        <v>2507</v>
      </c>
      <c r="J1995" s="0" t="n">
        <v>100125</v>
      </c>
      <c r="K1995" s="0" t="n">
        <v>126</v>
      </c>
      <c r="L1995" s="0" t="s">
        <v>2597</v>
      </c>
      <c r="N1995" s="0" t="n">
        <v>20</v>
      </c>
      <c r="O1995" s="0" t="n">
        <v>160</v>
      </c>
      <c r="P1995" s="0" t="s">
        <v>2444</v>
      </c>
    </row>
    <row r="1996" customFormat="false" ht="15" hidden="false" customHeight="true" outlineLevel="0" collapsed="false">
      <c r="A1996" s="0" t="n">
        <v>2</v>
      </c>
      <c r="B1996" s="71" t="n">
        <v>46196</v>
      </c>
      <c r="C1996" s="0" t="n">
        <v>6</v>
      </c>
      <c r="D1996" s="0" t="s">
        <v>2553</v>
      </c>
      <c r="E1996" s="0" t="n">
        <v>48</v>
      </c>
      <c r="F1996" s="0" t="s">
        <v>153</v>
      </c>
      <c r="I1996" s="0" t="n">
        <v>2507</v>
      </c>
      <c r="J1996" s="0" t="n">
        <v>100130</v>
      </c>
      <c r="K1996" s="0" t="n">
        <v>131</v>
      </c>
      <c r="L1996" s="0" t="s">
        <v>2545</v>
      </c>
      <c r="N1996" s="0" t="n">
        <v>4</v>
      </c>
      <c r="O1996" s="0" t="n">
        <v>28</v>
      </c>
      <c r="P1996" s="0" t="s">
        <v>2444</v>
      </c>
    </row>
    <row r="1997" customFormat="false" ht="15" hidden="false" customHeight="true" outlineLevel="0" collapsed="false">
      <c r="A1997" s="0" t="n">
        <v>2</v>
      </c>
      <c r="B1997" s="71" t="n">
        <v>46196</v>
      </c>
      <c r="C1997" s="0" t="n">
        <v>6</v>
      </c>
      <c r="D1997" s="0" t="s">
        <v>2553</v>
      </c>
      <c r="E1997" s="0" t="n">
        <v>48</v>
      </c>
      <c r="F1997" s="0" t="s">
        <v>153</v>
      </c>
      <c r="I1997" s="0" t="n">
        <v>2507</v>
      </c>
      <c r="J1997" s="0" t="n">
        <v>100132</v>
      </c>
      <c r="K1997" s="0" t="n">
        <v>133</v>
      </c>
      <c r="L1997" s="0" t="s">
        <v>2546</v>
      </c>
      <c r="N1997" s="0" t="n">
        <v>30</v>
      </c>
      <c r="O1997" s="0" t="n">
        <v>90</v>
      </c>
      <c r="P1997" s="0" t="s">
        <v>2444</v>
      </c>
    </row>
    <row r="1998" customFormat="false" ht="15" hidden="false" customHeight="true" outlineLevel="0" collapsed="false">
      <c r="A1998" s="0" t="n">
        <v>2</v>
      </c>
      <c r="B1998" s="71" t="n">
        <v>46196</v>
      </c>
      <c r="C1998" s="0" t="n">
        <v>6</v>
      </c>
      <c r="D1998" s="0" t="s">
        <v>2553</v>
      </c>
      <c r="E1998" s="0" t="n">
        <v>48</v>
      </c>
      <c r="F1998" s="0" t="s">
        <v>153</v>
      </c>
      <c r="I1998" s="0" t="n">
        <v>2507</v>
      </c>
      <c r="J1998" s="0" t="n">
        <v>100133</v>
      </c>
      <c r="K1998" s="0" t="n">
        <v>134</v>
      </c>
      <c r="L1998" s="0" t="s">
        <v>2547</v>
      </c>
      <c r="N1998" s="0" t="n">
        <v>14</v>
      </c>
      <c r="O1998" s="0" t="n">
        <v>49</v>
      </c>
      <c r="P1998" s="0" t="s">
        <v>2444</v>
      </c>
    </row>
    <row r="1999" customFormat="false" ht="15" hidden="false" customHeight="true" outlineLevel="0" collapsed="false">
      <c r="A1999" s="0" t="n">
        <v>2</v>
      </c>
      <c r="B1999" s="71" t="n">
        <v>46196</v>
      </c>
      <c r="C1999" s="0" t="n">
        <v>6</v>
      </c>
      <c r="D1999" s="0" t="s">
        <v>2553</v>
      </c>
      <c r="E1999" s="0" t="n">
        <v>48</v>
      </c>
      <c r="F1999" s="0" t="s">
        <v>153</v>
      </c>
      <c r="I1999" s="0" t="n">
        <v>2507</v>
      </c>
      <c r="J1999" s="0" t="n">
        <v>100135</v>
      </c>
      <c r="K1999" s="0" t="n">
        <v>136</v>
      </c>
      <c r="L1999" s="0" t="s">
        <v>2599</v>
      </c>
      <c r="N1999" s="0" t="n">
        <v>13</v>
      </c>
      <c r="O1999" s="0" t="n">
        <v>115.44</v>
      </c>
      <c r="P1999" s="0" t="s">
        <v>2444</v>
      </c>
    </row>
    <row r="2000" customFormat="false" ht="15" hidden="false" customHeight="true" outlineLevel="0" collapsed="false">
      <c r="A2000" s="0" t="n">
        <v>2</v>
      </c>
      <c r="B2000" s="71" t="n">
        <v>46196</v>
      </c>
      <c r="C2000" s="0" t="n">
        <v>6</v>
      </c>
      <c r="D2000" s="0" t="s">
        <v>2553</v>
      </c>
      <c r="E2000" s="0" t="n">
        <v>48</v>
      </c>
      <c r="F2000" s="0" t="s">
        <v>153</v>
      </c>
      <c r="I2000" s="0" t="n">
        <v>2507</v>
      </c>
      <c r="J2000" s="0" t="n">
        <v>100148</v>
      </c>
      <c r="K2000" s="0" t="n">
        <v>149</v>
      </c>
      <c r="L2000" s="0" t="s">
        <v>2600</v>
      </c>
      <c r="N2000" s="0" t="n">
        <v>6</v>
      </c>
      <c r="O2000" s="0" t="n">
        <v>60</v>
      </c>
      <c r="P2000" s="0" t="s">
        <v>2444</v>
      </c>
    </row>
    <row r="2001" customFormat="false" ht="15" hidden="false" customHeight="true" outlineLevel="0" collapsed="false">
      <c r="A2001" s="0" t="n">
        <v>2</v>
      </c>
      <c r="B2001" s="71" t="n">
        <v>46196</v>
      </c>
      <c r="C2001" s="0" t="n">
        <v>6</v>
      </c>
      <c r="D2001" s="0" t="s">
        <v>2553</v>
      </c>
      <c r="E2001" s="0" t="n">
        <v>48</v>
      </c>
      <c r="F2001" s="0" t="s">
        <v>153</v>
      </c>
      <c r="I2001" s="0" t="n">
        <v>2507</v>
      </c>
      <c r="J2001" s="0" t="n">
        <v>110142</v>
      </c>
      <c r="K2001" s="0" t="n">
        <v>16699</v>
      </c>
      <c r="L2001" s="0" t="s">
        <v>2549</v>
      </c>
      <c r="N2001" s="0" t="n">
        <v>40</v>
      </c>
      <c r="O2001" s="0" t="n">
        <v>240</v>
      </c>
      <c r="P2001" s="0" t="s">
        <v>2444</v>
      </c>
    </row>
    <row r="2002" customFormat="false" ht="15" hidden="false" customHeight="true" outlineLevel="0" collapsed="false">
      <c r="A2002" s="0" t="n">
        <v>2</v>
      </c>
      <c r="B2002" s="71" t="n">
        <v>46196</v>
      </c>
      <c r="C2002" s="0" t="n">
        <v>6</v>
      </c>
      <c r="D2002" s="0" t="s">
        <v>2553</v>
      </c>
      <c r="E2002" s="0" t="n">
        <v>48</v>
      </c>
      <c r="F2002" s="0" t="s">
        <v>153</v>
      </c>
      <c r="I2002" s="0" t="n">
        <v>2507</v>
      </c>
      <c r="J2002" s="0" t="n">
        <v>110489</v>
      </c>
      <c r="K2002" s="0" t="n">
        <v>54743</v>
      </c>
      <c r="L2002" s="0" t="s">
        <v>2550</v>
      </c>
      <c r="N2002" s="0" t="n">
        <v>40</v>
      </c>
      <c r="O2002" s="0" t="n">
        <v>240</v>
      </c>
      <c r="P2002" s="0" t="s">
        <v>2444</v>
      </c>
    </row>
    <row r="2003" customFormat="false" ht="15" hidden="false" customHeight="true" outlineLevel="0" collapsed="false">
      <c r="A2003" s="0" t="n">
        <v>2</v>
      </c>
      <c r="B2003" s="71" t="n">
        <v>46196</v>
      </c>
      <c r="C2003" s="0" t="n">
        <v>6</v>
      </c>
      <c r="D2003" s="0" t="s">
        <v>2553</v>
      </c>
      <c r="E2003" s="0" t="n">
        <v>48</v>
      </c>
      <c r="F2003" s="0" t="s">
        <v>153</v>
      </c>
      <c r="I2003" s="0" t="n">
        <v>2507</v>
      </c>
      <c r="J2003" s="0" t="n">
        <v>80078</v>
      </c>
      <c r="K2003" s="0" t="n">
        <v>710</v>
      </c>
      <c r="L2003" s="0" t="s">
        <v>2551</v>
      </c>
      <c r="N2003" s="0" t="n">
        <v>10</v>
      </c>
      <c r="O2003" s="0" t="n">
        <v>30</v>
      </c>
      <c r="P2003" s="0" t="s">
        <v>2444</v>
      </c>
    </row>
    <row r="2004" customFormat="false" ht="15" hidden="false" customHeight="true" outlineLevel="0" collapsed="false">
      <c r="A2004" s="0" t="n">
        <v>2</v>
      </c>
      <c r="B2004" s="71" t="n">
        <v>46196</v>
      </c>
      <c r="C2004" s="0" t="n">
        <v>20</v>
      </c>
      <c r="D2004" s="0" t="s">
        <v>3601</v>
      </c>
      <c r="E2004" s="0" t="n">
        <v>1621</v>
      </c>
      <c r="F2004" s="0" t="s">
        <v>232</v>
      </c>
      <c r="I2004" s="0" t="n">
        <v>866116</v>
      </c>
      <c r="J2004" s="0" t="n">
        <v>76772</v>
      </c>
      <c r="K2004" s="0" t="n">
        <v>2269955</v>
      </c>
      <c r="L2004" s="0" t="s">
        <v>3602</v>
      </c>
      <c r="N2004" s="0" t="n">
        <v>1</v>
      </c>
      <c r="O2004" s="0" t="n">
        <v>1657</v>
      </c>
      <c r="P2004" s="0" t="s">
        <v>2444</v>
      </c>
    </row>
    <row r="2005" customFormat="false" ht="15" hidden="false" customHeight="true" outlineLevel="0" collapsed="false">
      <c r="A2005" s="0" t="n">
        <v>2</v>
      </c>
      <c r="B2005" s="71" t="n">
        <v>46196</v>
      </c>
      <c r="C2005" s="0" t="n">
        <v>39</v>
      </c>
      <c r="D2005" s="0" t="s">
        <v>3298</v>
      </c>
      <c r="E2005" s="0" t="n">
        <v>1266</v>
      </c>
      <c r="F2005" s="0" t="s">
        <v>804</v>
      </c>
      <c r="I2005" s="0" t="n">
        <v>2453</v>
      </c>
      <c r="J2005" s="0" t="n">
        <v>56731</v>
      </c>
      <c r="K2005" s="0" t="n">
        <v>7898546006357</v>
      </c>
      <c r="L2005" s="0" t="s">
        <v>3603</v>
      </c>
      <c r="N2005" s="0" t="n">
        <v>10</v>
      </c>
      <c r="O2005" s="0" t="n">
        <v>309.4</v>
      </c>
      <c r="P2005" s="0" t="s">
        <v>2444</v>
      </c>
    </row>
    <row r="2006" customFormat="false" ht="15" hidden="false" customHeight="true" outlineLevel="0" collapsed="false">
      <c r="A2006" s="0" t="n">
        <v>2</v>
      </c>
      <c r="B2006" s="71" t="n">
        <v>46196</v>
      </c>
      <c r="C2006" s="0" t="n">
        <v>39</v>
      </c>
      <c r="D2006" s="0" t="s">
        <v>3298</v>
      </c>
      <c r="E2006" s="0" t="n">
        <v>1266</v>
      </c>
      <c r="F2006" s="0" t="s">
        <v>804</v>
      </c>
      <c r="I2006" s="0" t="n">
        <v>2453</v>
      </c>
      <c r="J2006" s="0" t="n">
        <v>79796</v>
      </c>
      <c r="K2006" s="0" t="n">
        <v>7898948000380</v>
      </c>
      <c r="L2006" s="0" t="s">
        <v>3604</v>
      </c>
      <c r="N2006" s="0" t="n">
        <v>2</v>
      </c>
      <c r="O2006" s="0" t="n">
        <v>325.92</v>
      </c>
      <c r="P2006" s="0" t="s">
        <v>2444</v>
      </c>
    </row>
    <row r="2007" customFormat="false" ht="15" hidden="false" customHeight="true" outlineLevel="0" collapsed="false">
      <c r="A2007" s="0" t="n">
        <v>2</v>
      </c>
      <c r="B2007" s="71" t="n">
        <v>46196</v>
      </c>
      <c r="C2007" s="0" t="n">
        <v>39</v>
      </c>
      <c r="D2007" s="0" t="s">
        <v>3298</v>
      </c>
      <c r="E2007" s="0" t="n">
        <v>794</v>
      </c>
      <c r="F2007" s="0" t="s">
        <v>335</v>
      </c>
      <c r="I2007" s="0" t="n">
        <v>8155</v>
      </c>
      <c r="J2007" s="0" t="n">
        <v>65699</v>
      </c>
      <c r="K2007" s="0" t="n">
        <v>618231873159</v>
      </c>
      <c r="L2007" s="0" t="s">
        <v>3605</v>
      </c>
      <c r="N2007" s="0" t="n">
        <v>5</v>
      </c>
      <c r="O2007" s="0" t="n">
        <v>160</v>
      </c>
      <c r="P2007" s="0" t="s">
        <v>2444</v>
      </c>
    </row>
    <row r="2008" customFormat="false" ht="15" hidden="false" customHeight="true" outlineLevel="0" collapsed="false">
      <c r="A2008" s="0" t="n">
        <v>2</v>
      </c>
      <c r="B2008" s="71" t="n">
        <v>46196</v>
      </c>
      <c r="C2008" s="0" t="n">
        <v>39</v>
      </c>
      <c r="D2008" s="0" t="s">
        <v>3298</v>
      </c>
      <c r="E2008" s="0" t="n">
        <v>794</v>
      </c>
      <c r="F2008" s="0" t="s">
        <v>335</v>
      </c>
      <c r="I2008" s="0" t="n">
        <v>8155</v>
      </c>
      <c r="J2008" s="0" t="n">
        <v>67465</v>
      </c>
      <c r="K2008" s="0" t="n">
        <v>7898560800184</v>
      </c>
      <c r="L2008" s="0" t="s">
        <v>3606</v>
      </c>
      <c r="N2008" s="0" t="n">
        <v>50</v>
      </c>
      <c r="O2008" s="0" t="n">
        <v>264.9</v>
      </c>
      <c r="P2008" s="0" t="s">
        <v>2444</v>
      </c>
    </row>
    <row r="2009" customFormat="false" ht="15" hidden="false" customHeight="true" outlineLevel="0" collapsed="false">
      <c r="A2009" s="0" t="n">
        <v>2</v>
      </c>
      <c r="B2009" s="71" t="n">
        <v>46196</v>
      </c>
      <c r="C2009" s="0" t="n">
        <v>39</v>
      </c>
      <c r="D2009" s="0" t="s">
        <v>3298</v>
      </c>
      <c r="E2009" s="0" t="n">
        <v>794</v>
      </c>
      <c r="F2009" s="0" t="s">
        <v>335</v>
      </c>
      <c r="I2009" s="0" t="n">
        <v>8155</v>
      </c>
      <c r="J2009" s="0" t="n">
        <v>67471</v>
      </c>
      <c r="K2009" s="0" t="n">
        <v>7898560800177</v>
      </c>
      <c r="L2009" s="0" t="s">
        <v>3607</v>
      </c>
      <c r="N2009" s="0" t="n">
        <v>120</v>
      </c>
      <c r="O2009" s="0" t="n">
        <v>954.6</v>
      </c>
      <c r="P2009" s="0" t="s">
        <v>2444</v>
      </c>
    </row>
    <row r="2010" customFormat="false" ht="15" hidden="false" customHeight="true" outlineLevel="0" collapsed="false">
      <c r="A2010" s="0" t="n">
        <v>2</v>
      </c>
      <c r="B2010" s="71" t="n">
        <v>46196</v>
      </c>
      <c r="C2010" s="0" t="n">
        <v>39</v>
      </c>
      <c r="D2010" s="0" t="s">
        <v>3298</v>
      </c>
      <c r="E2010" s="0" t="n">
        <v>794</v>
      </c>
      <c r="F2010" s="0" t="s">
        <v>335</v>
      </c>
      <c r="I2010" s="0" t="n">
        <v>8155</v>
      </c>
      <c r="J2010" s="0" t="n">
        <v>67472</v>
      </c>
      <c r="K2010" s="0" t="n">
        <v>7898560800214</v>
      </c>
      <c r="L2010" s="0" t="s">
        <v>3608</v>
      </c>
      <c r="N2010" s="0" t="n">
        <v>60</v>
      </c>
      <c r="O2010" s="0" t="n">
        <v>832.8</v>
      </c>
      <c r="P2010" s="0" t="s">
        <v>2444</v>
      </c>
    </row>
    <row r="2011" customFormat="false" ht="15" hidden="false" customHeight="true" outlineLevel="0" collapsed="false">
      <c r="A2011" s="0" t="n">
        <v>2</v>
      </c>
      <c r="B2011" s="71" t="n">
        <v>46197</v>
      </c>
      <c r="C2011" s="0" t="n">
        <v>1</v>
      </c>
      <c r="D2011" s="0" t="s">
        <v>2442</v>
      </c>
      <c r="E2011" s="0" t="n">
        <v>10086</v>
      </c>
      <c r="F2011" s="0" t="s">
        <v>502</v>
      </c>
      <c r="I2011" s="0" t="n">
        <v>10</v>
      </c>
      <c r="J2011" s="0" t="n">
        <v>61580</v>
      </c>
      <c r="K2011" s="0" t="n">
        <v>2258157</v>
      </c>
      <c r="L2011" s="0" t="s">
        <v>2509</v>
      </c>
      <c r="N2011" s="0" t="n">
        <v>10</v>
      </c>
      <c r="O2011" s="0" t="n">
        <v>120</v>
      </c>
      <c r="P2011" s="0" t="s">
        <v>2444</v>
      </c>
    </row>
    <row r="2012" customFormat="false" ht="15" hidden="false" customHeight="true" outlineLevel="0" collapsed="false">
      <c r="A2012" s="0" t="n">
        <v>2</v>
      </c>
      <c r="B2012" s="71" t="n">
        <v>46197</v>
      </c>
      <c r="C2012" s="0" t="n">
        <v>1</v>
      </c>
      <c r="D2012" s="0" t="s">
        <v>2442</v>
      </c>
      <c r="E2012" s="0" t="n">
        <v>10086</v>
      </c>
      <c r="F2012" s="0" t="s">
        <v>502</v>
      </c>
      <c r="I2012" s="0" t="n">
        <v>10</v>
      </c>
      <c r="J2012" s="0" t="n">
        <v>61597</v>
      </c>
      <c r="K2012" s="0" t="n">
        <v>2258188</v>
      </c>
      <c r="L2012" s="0" t="s">
        <v>2510</v>
      </c>
      <c r="N2012" s="0" t="n">
        <v>5</v>
      </c>
      <c r="O2012" s="0" t="n">
        <v>20</v>
      </c>
      <c r="P2012" s="0" t="s">
        <v>2444</v>
      </c>
    </row>
    <row r="2013" customFormat="false" ht="15" hidden="false" customHeight="true" outlineLevel="0" collapsed="false">
      <c r="A2013" s="0" t="n">
        <v>2</v>
      </c>
      <c r="B2013" s="71" t="n">
        <v>46197</v>
      </c>
      <c r="C2013" s="0" t="n">
        <v>1</v>
      </c>
      <c r="D2013" s="0" t="s">
        <v>2442</v>
      </c>
      <c r="E2013" s="0" t="n">
        <v>10086</v>
      </c>
      <c r="F2013" s="0" t="s">
        <v>502</v>
      </c>
      <c r="I2013" s="0" t="n">
        <v>11</v>
      </c>
      <c r="J2013" s="0" t="n">
        <v>61580</v>
      </c>
      <c r="K2013" s="0" t="n">
        <v>2258157</v>
      </c>
      <c r="L2013" s="0" t="s">
        <v>2509</v>
      </c>
      <c r="N2013" s="0" t="n">
        <v>10</v>
      </c>
      <c r="O2013" s="0" t="n">
        <v>120</v>
      </c>
      <c r="P2013" s="0" t="s">
        <v>2444</v>
      </c>
    </row>
    <row r="2014" customFormat="false" ht="15" hidden="false" customHeight="true" outlineLevel="0" collapsed="false">
      <c r="A2014" s="0" t="n">
        <v>2</v>
      </c>
      <c r="B2014" s="71" t="n">
        <v>46197</v>
      </c>
      <c r="C2014" s="0" t="n">
        <v>1</v>
      </c>
      <c r="D2014" s="0" t="s">
        <v>2442</v>
      </c>
      <c r="E2014" s="0" t="n">
        <v>10086</v>
      </c>
      <c r="F2014" s="0" t="s">
        <v>502</v>
      </c>
      <c r="I2014" s="0" t="n">
        <v>11</v>
      </c>
      <c r="J2014" s="0" t="n">
        <v>61597</v>
      </c>
      <c r="K2014" s="0" t="n">
        <v>2258188</v>
      </c>
      <c r="L2014" s="0" t="s">
        <v>2510</v>
      </c>
      <c r="N2014" s="0" t="n">
        <v>5</v>
      </c>
      <c r="O2014" s="0" t="n">
        <v>20</v>
      </c>
      <c r="P2014" s="0" t="s">
        <v>2444</v>
      </c>
    </row>
    <row r="2015" customFormat="false" ht="15" hidden="false" customHeight="true" outlineLevel="0" collapsed="false">
      <c r="A2015" s="0" t="n">
        <v>2</v>
      </c>
      <c r="B2015" s="71" t="n">
        <v>46197</v>
      </c>
      <c r="C2015" s="0" t="n">
        <v>1</v>
      </c>
      <c r="D2015" s="0" t="s">
        <v>2442</v>
      </c>
      <c r="E2015" s="0" t="n">
        <v>10086</v>
      </c>
      <c r="F2015" s="0" t="s">
        <v>502</v>
      </c>
      <c r="I2015" s="0" t="n">
        <v>12</v>
      </c>
      <c r="J2015" s="0" t="n">
        <v>61580</v>
      </c>
      <c r="K2015" s="0" t="n">
        <v>2258157</v>
      </c>
      <c r="L2015" s="0" t="s">
        <v>2509</v>
      </c>
      <c r="N2015" s="0" t="n">
        <v>15</v>
      </c>
      <c r="O2015" s="0" t="n">
        <v>180</v>
      </c>
      <c r="P2015" s="0" t="s">
        <v>2444</v>
      </c>
    </row>
    <row r="2016" customFormat="false" ht="15" hidden="false" customHeight="true" outlineLevel="0" collapsed="false">
      <c r="A2016" s="0" t="n">
        <v>2</v>
      </c>
      <c r="B2016" s="71" t="n">
        <v>46197</v>
      </c>
      <c r="C2016" s="0" t="n">
        <v>1</v>
      </c>
      <c r="D2016" s="0" t="s">
        <v>2442</v>
      </c>
      <c r="E2016" s="0" t="n">
        <v>10086</v>
      </c>
      <c r="F2016" s="0" t="s">
        <v>502</v>
      </c>
      <c r="I2016" s="0" t="n">
        <v>12</v>
      </c>
      <c r="J2016" s="0" t="n">
        <v>61597</v>
      </c>
      <c r="K2016" s="0" t="n">
        <v>2258188</v>
      </c>
      <c r="L2016" s="0" t="s">
        <v>2510</v>
      </c>
      <c r="N2016" s="0" t="n">
        <v>5</v>
      </c>
      <c r="O2016" s="0" t="n">
        <v>20</v>
      </c>
      <c r="P2016" s="0" t="s">
        <v>2444</v>
      </c>
    </row>
    <row r="2017" customFormat="false" ht="15" hidden="false" customHeight="true" outlineLevel="0" collapsed="false">
      <c r="A2017" s="0" t="n">
        <v>2</v>
      </c>
      <c r="B2017" s="71" t="n">
        <v>46197</v>
      </c>
      <c r="C2017" s="0" t="n">
        <v>1</v>
      </c>
      <c r="D2017" s="0" t="s">
        <v>2442</v>
      </c>
      <c r="E2017" s="0" t="n">
        <v>10086</v>
      </c>
      <c r="F2017" s="0" t="s">
        <v>502</v>
      </c>
      <c r="I2017" s="0" t="n">
        <v>37</v>
      </c>
      <c r="J2017" s="0" t="n">
        <v>61580</v>
      </c>
      <c r="K2017" s="0" t="n">
        <v>2258157</v>
      </c>
      <c r="L2017" s="0" t="s">
        <v>2509</v>
      </c>
      <c r="N2017" s="0" t="n">
        <v>10</v>
      </c>
      <c r="O2017" s="0" t="n">
        <v>120</v>
      </c>
      <c r="P2017" s="0" t="s">
        <v>2444</v>
      </c>
    </row>
    <row r="2018" customFormat="false" ht="15" hidden="false" customHeight="true" outlineLevel="0" collapsed="false">
      <c r="A2018" s="0" t="n">
        <v>2</v>
      </c>
      <c r="B2018" s="71" t="n">
        <v>46197</v>
      </c>
      <c r="C2018" s="0" t="n">
        <v>1</v>
      </c>
      <c r="D2018" s="0" t="s">
        <v>2442</v>
      </c>
      <c r="E2018" s="0" t="n">
        <v>1152</v>
      </c>
      <c r="F2018" s="0" t="s">
        <v>812</v>
      </c>
      <c r="I2018" s="0" t="n">
        <v>253</v>
      </c>
      <c r="J2018" s="0" t="n">
        <v>108486</v>
      </c>
      <c r="K2018" s="0" t="n">
        <v>7898316970055</v>
      </c>
      <c r="L2018" s="0" t="s">
        <v>3609</v>
      </c>
      <c r="N2018" s="0" t="n">
        <v>25</v>
      </c>
      <c r="O2018" s="0" t="n">
        <v>110</v>
      </c>
      <c r="P2018" s="0" t="s">
        <v>2444</v>
      </c>
    </row>
    <row r="2019" customFormat="false" ht="15" hidden="false" customHeight="true" outlineLevel="0" collapsed="false">
      <c r="A2019" s="0" t="n">
        <v>2</v>
      </c>
      <c r="B2019" s="71" t="n">
        <v>46197</v>
      </c>
      <c r="C2019" s="0" t="n">
        <v>1</v>
      </c>
      <c r="D2019" s="0" t="s">
        <v>2442</v>
      </c>
      <c r="E2019" s="0" t="n">
        <v>1152</v>
      </c>
      <c r="F2019" s="0" t="s">
        <v>812</v>
      </c>
      <c r="I2019" s="0" t="n">
        <v>253</v>
      </c>
      <c r="J2019" s="0" t="n">
        <v>108487</v>
      </c>
      <c r="K2019" s="0" t="n">
        <v>7898316970017</v>
      </c>
      <c r="L2019" s="0" t="s">
        <v>3610</v>
      </c>
      <c r="N2019" s="0" t="n">
        <v>75</v>
      </c>
      <c r="O2019" s="0" t="n">
        <v>735</v>
      </c>
      <c r="P2019" s="0" t="s">
        <v>2444</v>
      </c>
    </row>
    <row r="2020" customFormat="false" ht="15" hidden="false" customHeight="true" outlineLevel="0" collapsed="false">
      <c r="A2020" s="0" t="n">
        <v>2</v>
      </c>
      <c r="B2020" s="71" t="n">
        <v>46197</v>
      </c>
      <c r="C2020" s="0" t="n">
        <v>1</v>
      </c>
      <c r="D2020" s="0" t="s">
        <v>2442</v>
      </c>
      <c r="E2020" s="0" t="n">
        <v>1899</v>
      </c>
      <c r="F2020" s="0" t="s">
        <v>204</v>
      </c>
      <c r="I2020" s="0" t="n">
        <v>678</v>
      </c>
      <c r="J2020" s="0" t="n">
        <v>44588</v>
      </c>
      <c r="K2020" s="0" t="n">
        <v>7898904331091</v>
      </c>
      <c r="L2020" s="0" t="s">
        <v>2443</v>
      </c>
      <c r="N2020" s="0" t="n">
        <v>10</v>
      </c>
      <c r="O2020" s="0" t="n">
        <v>49.9</v>
      </c>
      <c r="P2020" s="0" t="s">
        <v>2444</v>
      </c>
    </row>
    <row r="2021" customFormat="false" ht="15" hidden="false" customHeight="true" outlineLevel="0" collapsed="false">
      <c r="A2021" s="0" t="n">
        <v>2</v>
      </c>
      <c r="B2021" s="71" t="n">
        <v>46197</v>
      </c>
      <c r="C2021" s="0" t="n">
        <v>1</v>
      </c>
      <c r="D2021" s="0" t="s">
        <v>2442</v>
      </c>
      <c r="E2021" s="0" t="n">
        <v>1899</v>
      </c>
      <c r="F2021" s="0" t="s">
        <v>204</v>
      </c>
      <c r="I2021" s="0" t="n">
        <v>678</v>
      </c>
      <c r="J2021" s="0" t="n">
        <v>77463</v>
      </c>
      <c r="K2021" s="0" t="n">
        <v>774642</v>
      </c>
      <c r="L2021" s="0" t="s">
        <v>2445</v>
      </c>
      <c r="N2021" s="0" t="n">
        <v>20</v>
      </c>
      <c r="O2021" s="0" t="n">
        <v>90</v>
      </c>
      <c r="P2021" s="0" t="s">
        <v>2444</v>
      </c>
    </row>
    <row r="2022" customFormat="false" ht="15" hidden="false" customHeight="true" outlineLevel="0" collapsed="false">
      <c r="A2022" s="0" t="n">
        <v>2</v>
      </c>
      <c r="B2022" s="71" t="n">
        <v>46197</v>
      </c>
      <c r="C2022" s="0" t="n">
        <v>1</v>
      </c>
      <c r="D2022" s="0" t="s">
        <v>2442</v>
      </c>
      <c r="E2022" s="0" t="n">
        <v>1899</v>
      </c>
      <c r="F2022" s="0" t="s">
        <v>204</v>
      </c>
      <c r="I2022" s="0" t="n">
        <v>678</v>
      </c>
      <c r="J2022" s="0" t="n">
        <v>77903</v>
      </c>
      <c r="K2022" s="0" t="n">
        <v>779043</v>
      </c>
      <c r="L2022" s="0" t="s">
        <v>2945</v>
      </c>
      <c r="N2022" s="0" t="n">
        <v>5</v>
      </c>
      <c r="O2022" s="0" t="n">
        <v>22.5</v>
      </c>
      <c r="P2022" s="0" t="s">
        <v>2444</v>
      </c>
    </row>
    <row r="2023" customFormat="false" ht="15" hidden="false" customHeight="true" outlineLevel="0" collapsed="false">
      <c r="A2023" s="0" t="n">
        <v>2</v>
      </c>
      <c r="B2023" s="71" t="n">
        <v>46197</v>
      </c>
      <c r="C2023" s="0" t="n">
        <v>1</v>
      </c>
      <c r="D2023" s="0" t="s">
        <v>2442</v>
      </c>
      <c r="E2023" s="0" t="n">
        <v>1899</v>
      </c>
      <c r="F2023" s="0" t="s">
        <v>204</v>
      </c>
      <c r="I2023" s="0" t="n">
        <v>678</v>
      </c>
      <c r="J2023" s="0" t="n">
        <v>78013</v>
      </c>
      <c r="K2023" s="0" t="n">
        <v>780148</v>
      </c>
      <c r="L2023" s="0" t="s">
        <v>2584</v>
      </c>
      <c r="N2023" s="0" t="n">
        <v>5</v>
      </c>
      <c r="O2023" s="0" t="n">
        <v>22.5</v>
      </c>
      <c r="P2023" s="0" t="s">
        <v>2444</v>
      </c>
    </row>
    <row r="2024" customFormat="false" ht="15" hidden="false" customHeight="true" outlineLevel="0" collapsed="false">
      <c r="A2024" s="0" t="n">
        <v>2</v>
      </c>
      <c r="B2024" s="71" t="n">
        <v>46197</v>
      </c>
      <c r="C2024" s="0" t="n">
        <v>1</v>
      </c>
      <c r="D2024" s="0" t="s">
        <v>2442</v>
      </c>
      <c r="E2024" s="0" t="n">
        <v>1899</v>
      </c>
      <c r="F2024" s="0" t="s">
        <v>204</v>
      </c>
      <c r="I2024" s="0" t="n">
        <v>678</v>
      </c>
      <c r="J2024" s="0" t="n">
        <v>78015</v>
      </c>
      <c r="K2024" s="0" t="n">
        <v>780162</v>
      </c>
      <c r="L2024" s="0" t="s">
        <v>2447</v>
      </c>
      <c r="N2024" s="0" t="n">
        <v>10</v>
      </c>
      <c r="O2024" s="0" t="n">
        <v>49.9</v>
      </c>
      <c r="P2024" s="0" t="s">
        <v>2444</v>
      </c>
    </row>
    <row r="2025" customFormat="false" ht="15" hidden="false" customHeight="true" outlineLevel="0" collapsed="false">
      <c r="A2025" s="0" t="n">
        <v>2</v>
      </c>
      <c r="B2025" s="71" t="n">
        <v>46197</v>
      </c>
      <c r="C2025" s="0" t="n">
        <v>1</v>
      </c>
      <c r="D2025" s="0" t="s">
        <v>2442</v>
      </c>
      <c r="E2025" s="0" t="n">
        <v>1899</v>
      </c>
      <c r="F2025" s="0" t="s">
        <v>204</v>
      </c>
      <c r="I2025" s="0" t="n">
        <v>679</v>
      </c>
      <c r="J2025" s="0" t="n">
        <v>44588</v>
      </c>
      <c r="K2025" s="0" t="n">
        <v>7898904331091</v>
      </c>
      <c r="L2025" s="0" t="s">
        <v>2443</v>
      </c>
      <c r="N2025" s="0" t="n">
        <v>15</v>
      </c>
      <c r="O2025" s="0" t="n">
        <v>74.85</v>
      </c>
      <c r="P2025" s="0" t="s">
        <v>2444</v>
      </c>
    </row>
    <row r="2026" customFormat="false" ht="15" hidden="false" customHeight="true" outlineLevel="0" collapsed="false">
      <c r="A2026" s="0" t="n">
        <v>2</v>
      </c>
      <c r="B2026" s="71" t="n">
        <v>46197</v>
      </c>
      <c r="C2026" s="0" t="n">
        <v>1</v>
      </c>
      <c r="D2026" s="0" t="s">
        <v>2442</v>
      </c>
      <c r="E2026" s="0" t="n">
        <v>1899</v>
      </c>
      <c r="F2026" s="0" t="s">
        <v>204</v>
      </c>
      <c r="I2026" s="0" t="n">
        <v>679</v>
      </c>
      <c r="J2026" s="0" t="n">
        <v>77463</v>
      </c>
      <c r="K2026" s="0" t="n">
        <v>774642</v>
      </c>
      <c r="L2026" s="0" t="s">
        <v>2445</v>
      </c>
      <c r="N2026" s="0" t="n">
        <v>30</v>
      </c>
      <c r="O2026" s="0" t="n">
        <v>135</v>
      </c>
      <c r="P2026" s="0" t="s">
        <v>2444</v>
      </c>
    </row>
    <row r="2027" customFormat="false" ht="15" hidden="false" customHeight="true" outlineLevel="0" collapsed="false">
      <c r="A2027" s="0" t="n">
        <v>2</v>
      </c>
      <c r="B2027" s="71" t="n">
        <v>46197</v>
      </c>
      <c r="C2027" s="0" t="n">
        <v>1</v>
      </c>
      <c r="D2027" s="0" t="s">
        <v>2442</v>
      </c>
      <c r="E2027" s="0" t="n">
        <v>1899</v>
      </c>
      <c r="F2027" s="0" t="s">
        <v>204</v>
      </c>
      <c r="I2027" s="0" t="n">
        <v>679</v>
      </c>
      <c r="J2027" s="0" t="n">
        <v>77465</v>
      </c>
      <c r="K2027" s="0" t="n">
        <v>774666</v>
      </c>
      <c r="L2027" s="0" t="s">
        <v>2446</v>
      </c>
      <c r="N2027" s="0" t="n">
        <v>7</v>
      </c>
      <c r="O2027" s="0" t="n">
        <v>34.93</v>
      </c>
      <c r="P2027" s="0" t="s">
        <v>2444</v>
      </c>
    </row>
    <row r="2028" customFormat="false" ht="15" hidden="false" customHeight="true" outlineLevel="0" collapsed="false">
      <c r="A2028" s="0" t="n">
        <v>2</v>
      </c>
      <c r="B2028" s="71" t="n">
        <v>46197</v>
      </c>
      <c r="C2028" s="0" t="n">
        <v>1</v>
      </c>
      <c r="D2028" s="0" t="s">
        <v>2442</v>
      </c>
      <c r="E2028" s="0" t="n">
        <v>1899</v>
      </c>
      <c r="F2028" s="0" t="s">
        <v>204</v>
      </c>
      <c r="I2028" s="0" t="n">
        <v>679</v>
      </c>
      <c r="J2028" s="0" t="n">
        <v>77903</v>
      </c>
      <c r="K2028" s="0" t="n">
        <v>779043</v>
      </c>
      <c r="L2028" s="0" t="s">
        <v>2945</v>
      </c>
      <c r="N2028" s="0" t="n">
        <v>5</v>
      </c>
      <c r="O2028" s="0" t="n">
        <v>22.5</v>
      </c>
      <c r="P2028" s="0" t="s">
        <v>2444</v>
      </c>
    </row>
    <row r="2029" customFormat="false" ht="15" hidden="false" customHeight="true" outlineLevel="0" collapsed="false">
      <c r="A2029" s="0" t="n">
        <v>2</v>
      </c>
      <c r="B2029" s="71" t="n">
        <v>46197</v>
      </c>
      <c r="C2029" s="0" t="n">
        <v>1</v>
      </c>
      <c r="D2029" s="0" t="s">
        <v>2442</v>
      </c>
      <c r="E2029" s="0" t="n">
        <v>1899</v>
      </c>
      <c r="F2029" s="0" t="s">
        <v>204</v>
      </c>
      <c r="I2029" s="0" t="n">
        <v>679</v>
      </c>
      <c r="J2029" s="0" t="n">
        <v>78015</v>
      </c>
      <c r="K2029" s="0" t="n">
        <v>780162</v>
      </c>
      <c r="L2029" s="0" t="s">
        <v>2447</v>
      </c>
      <c r="N2029" s="0" t="n">
        <v>8</v>
      </c>
      <c r="O2029" s="0" t="n">
        <v>39.92</v>
      </c>
      <c r="P2029" s="0" t="s">
        <v>2444</v>
      </c>
    </row>
    <row r="2030" customFormat="false" ht="15" hidden="false" customHeight="true" outlineLevel="0" collapsed="false">
      <c r="A2030" s="0" t="n">
        <v>2</v>
      </c>
      <c r="B2030" s="71" t="n">
        <v>46197</v>
      </c>
      <c r="C2030" s="0" t="n">
        <v>1</v>
      </c>
      <c r="D2030" s="0" t="s">
        <v>2442</v>
      </c>
      <c r="E2030" s="0" t="n">
        <v>607</v>
      </c>
      <c r="F2030" s="0" t="s">
        <v>281</v>
      </c>
      <c r="I2030" s="0" t="n">
        <v>10860</v>
      </c>
      <c r="J2030" s="0" t="n">
        <v>33191</v>
      </c>
      <c r="K2030" s="0" t="n">
        <v>7898904523724</v>
      </c>
      <c r="L2030" s="0" t="s">
        <v>3611</v>
      </c>
      <c r="N2030" s="0" t="n">
        <v>3</v>
      </c>
      <c r="O2030" s="0" t="n">
        <v>557.16</v>
      </c>
      <c r="P2030" s="0" t="s">
        <v>2444</v>
      </c>
    </row>
    <row r="2031" customFormat="false" ht="15" hidden="false" customHeight="true" outlineLevel="0" collapsed="false">
      <c r="A2031" s="0" t="n">
        <v>2</v>
      </c>
      <c r="B2031" s="71" t="n">
        <v>46197</v>
      </c>
      <c r="C2031" s="0" t="n">
        <v>1</v>
      </c>
      <c r="D2031" s="0" t="s">
        <v>2442</v>
      </c>
      <c r="E2031" s="0" t="n">
        <v>607</v>
      </c>
      <c r="F2031" s="0" t="s">
        <v>281</v>
      </c>
      <c r="I2031" s="0" t="n">
        <v>10860</v>
      </c>
      <c r="J2031" s="0" t="n">
        <v>110429</v>
      </c>
      <c r="K2031" s="0" t="n">
        <v>51748</v>
      </c>
      <c r="L2031" s="0" t="s">
        <v>3612</v>
      </c>
      <c r="N2031" s="0" t="n">
        <v>151.5</v>
      </c>
      <c r="O2031" s="0" t="n">
        <v>1117.05</v>
      </c>
      <c r="P2031" s="0" t="s">
        <v>2444</v>
      </c>
    </row>
    <row r="2032" customFormat="false" ht="15" hidden="false" customHeight="true" outlineLevel="0" collapsed="false">
      <c r="A2032" s="0" t="n">
        <v>2</v>
      </c>
      <c r="B2032" s="71" t="n">
        <v>46197</v>
      </c>
      <c r="C2032" s="0" t="n">
        <v>1</v>
      </c>
      <c r="D2032" s="0" t="s">
        <v>2442</v>
      </c>
      <c r="E2032" s="0" t="n">
        <v>607</v>
      </c>
      <c r="F2032" s="0" t="s">
        <v>281</v>
      </c>
      <c r="I2032" s="0" t="n">
        <v>10860</v>
      </c>
      <c r="J2032" s="0" t="n">
        <v>110524</v>
      </c>
      <c r="K2032" s="0" t="n">
        <v>57100</v>
      </c>
      <c r="L2032" s="0" t="s">
        <v>3613</v>
      </c>
      <c r="N2032" s="0" t="n">
        <v>151.5</v>
      </c>
      <c r="O2032" s="0" t="n">
        <v>1003.2</v>
      </c>
      <c r="P2032" s="0" t="s">
        <v>2444</v>
      </c>
    </row>
    <row r="2033" customFormat="false" ht="15" hidden="false" customHeight="true" outlineLevel="0" collapsed="false">
      <c r="A2033" s="0" t="n">
        <v>2</v>
      </c>
      <c r="B2033" s="71" t="n">
        <v>46197</v>
      </c>
      <c r="C2033" s="0" t="n">
        <v>1</v>
      </c>
      <c r="D2033" s="0" t="s">
        <v>2442</v>
      </c>
      <c r="E2033" s="0" t="n">
        <v>607</v>
      </c>
      <c r="F2033" s="0" t="s">
        <v>281</v>
      </c>
      <c r="I2033" s="0" t="n">
        <v>10860</v>
      </c>
      <c r="J2033" s="0" t="n">
        <v>110547</v>
      </c>
      <c r="K2033" s="0" t="n">
        <v>59436</v>
      </c>
      <c r="L2033" s="0" t="s">
        <v>3614</v>
      </c>
      <c r="N2033" s="0" t="n">
        <v>101</v>
      </c>
      <c r="O2033" s="0" t="n">
        <v>730.7</v>
      </c>
      <c r="P2033" s="0" t="s">
        <v>2444</v>
      </c>
    </row>
    <row r="2034" customFormat="false" ht="15" hidden="false" customHeight="true" outlineLevel="0" collapsed="false">
      <c r="A2034" s="0" t="n">
        <v>2</v>
      </c>
      <c r="B2034" s="71" t="n">
        <v>46197</v>
      </c>
      <c r="C2034" s="0" t="n">
        <v>1</v>
      </c>
      <c r="D2034" s="0" t="s">
        <v>2442</v>
      </c>
      <c r="E2034" s="0" t="n">
        <v>607</v>
      </c>
      <c r="F2034" s="0" t="s">
        <v>281</v>
      </c>
      <c r="I2034" s="0" t="n">
        <v>10860</v>
      </c>
      <c r="J2034" s="0" t="n">
        <v>64094</v>
      </c>
      <c r="K2034" s="0" t="n">
        <v>7898945813969</v>
      </c>
      <c r="L2034" s="0" t="s">
        <v>3615</v>
      </c>
      <c r="N2034" s="0" t="n">
        <v>5</v>
      </c>
      <c r="O2034" s="0" t="n">
        <v>452.4</v>
      </c>
      <c r="P2034" s="0" t="s">
        <v>2444</v>
      </c>
    </row>
    <row r="2035" customFormat="false" ht="15" hidden="false" customHeight="true" outlineLevel="0" collapsed="false">
      <c r="A2035" s="0" t="n">
        <v>2</v>
      </c>
      <c r="B2035" s="71" t="n">
        <v>46197</v>
      </c>
      <c r="C2035" s="0" t="n">
        <v>1</v>
      </c>
      <c r="D2035" s="0" t="s">
        <v>2442</v>
      </c>
      <c r="E2035" s="0" t="n">
        <v>607</v>
      </c>
      <c r="F2035" s="0" t="s">
        <v>281</v>
      </c>
      <c r="I2035" s="0" t="n">
        <v>10860</v>
      </c>
      <c r="J2035" s="0" t="n">
        <v>110857</v>
      </c>
      <c r="K2035" s="0" t="n">
        <v>76016</v>
      </c>
      <c r="L2035" s="0" t="s">
        <v>3616</v>
      </c>
      <c r="N2035" s="0" t="n">
        <v>101</v>
      </c>
      <c r="O2035" s="0" t="n">
        <v>754.6</v>
      </c>
      <c r="P2035" s="0" t="s">
        <v>2444</v>
      </c>
    </row>
    <row r="2036" customFormat="false" ht="15" hidden="false" customHeight="true" outlineLevel="0" collapsed="false">
      <c r="A2036" s="0" t="n">
        <v>2</v>
      </c>
      <c r="B2036" s="71" t="n">
        <v>46197</v>
      </c>
      <c r="C2036" s="0" t="n">
        <v>1</v>
      </c>
      <c r="D2036" s="0" t="s">
        <v>2442</v>
      </c>
      <c r="E2036" s="0" t="n">
        <v>607</v>
      </c>
      <c r="F2036" s="0" t="s">
        <v>281</v>
      </c>
      <c r="I2036" s="0" t="n">
        <v>10860</v>
      </c>
      <c r="J2036" s="0" t="n">
        <v>77116</v>
      </c>
      <c r="K2036" s="0" t="n">
        <v>822176</v>
      </c>
      <c r="L2036" s="0" t="s">
        <v>3617</v>
      </c>
      <c r="N2036" s="0" t="n">
        <v>8</v>
      </c>
      <c r="O2036" s="0" t="n">
        <v>1793.04</v>
      </c>
      <c r="P2036" s="0" t="s">
        <v>2444</v>
      </c>
    </row>
    <row r="2037" customFormat="false" ht="15" hidden="false" customHeight="true" outlineLevel="0" collapsed="false">
      <c r="A2037" s="0" t="n">
        <v>2</v>
      </c>
      <c r="B2037" s="71" t="n">
        <v>46197</v>
      </c>
      <c r="C2037" s="0" t="n">
        <v>1</v>
      </c>
      <c r="D2037" s="0" t="s">
        <v>2442</v>
      </c>
      <c r="E2037" s="0" t="n">
        <v>607</v>
      </c>
      <c r="F2037" s="0" t="s">
        <v>281</v>
      </c>
      <c r="I2037" s="0" t="n">
        <v>10860</v>
      </c>
      <c r="J2037" s="0" t="n">
        <v>77117</v>
      </c>
      <c r="K2037" s="0" t="n">
        <v>822206</v>
      </c>
      <c r="L2037" s="0" t="s">
        <v>3618</v>
      </c>
      <c r="N2037" s="0" t="n">
        <v>2</v>
      </c>
      <c r="O2037" s="0" t="n">
        <v>400.9</v>
      </c>
      <c r="P2037" s="0" t="s">
        <v>2444</v>
      </c>
    </row>
    <row r="2038" customFormat="false" ht="15" hidden="false" customHeight="true" outlineLevel="0" collapsed="false">
      <c r="A2038" s="0" t="n">
        <v>2</v>
      </c>
      <c r="B2038" s="71" t="n">
        <v>46197</v>
      </c>
      <c r="C2038" s="0" t="n">
        <v>1</v>
      </c>
      <c r="D2038" s="0" t="s">
        <v>2442</v>
      </c>
      <c r="E2038" s="0" t="n">
        <v>10011</v>
      </c>
      <c r="F2038" s="0" t="s">
        <v>349</v>
      </c>
      <c r="I2038" s="0" t="n">
        <v>34213</v>
      </c>
      <c r="J2038" s="0" t="n">
        <v>28693</v>
      </c>
      <c r="K2038" s="0" t="n">
        <v>7896048917676</v>
      </c>
      <c r="L2038" s="0" t="s">
        <v>3619</v>
      </c>
      <c r="N2038" s="0" t="n">
        <v>10</v>
      </c>
      <c r="O2038" s="0" t="n">
        <v>1185.3</v>
      </c>
      <c r="P2038" s="0" t="s">
        <v>2444</v>
      </c>
    </row>
    <row r="2039" customFormat="false" ht="15" hidden="false" customHeight="true" outlineLevel="0" collapsed="false">
      <c r="A2039" s="0" t="n">
        <v>2</v>
      </c>
      <c r="B2039" s="71" t="n">
        <v>46197</v>
      </c>
      <c r="C2039" s="0" t="n">
        <v>1</v>
      </c>
      <c r="D2039" s="0" t="s">
        <v>2442</v>
      </c>
      <c r="E2039" s="0" t="n">
        <v>616</v>
      </c>
      <c r="F2039" s="0" t="s">
        <v>941</v>
      </c>
      <c r="I2039" s="0" t="n">
        <v>316130</v>
      </c>
      <c r="J2039" s="0" t="n">
        <v>101297</v>
      </c>
      <c r="K2039" s="0" t="n">
        <v>7897568400365</v>
      </c>
      <c r="L2039" s="0" t="s">
        <v>3620</v>
      </c>
      <c r="N2039" s="0" t="n">
        <v>12</v>
      </c>
      <c r="O2039" s="0" t="n">
        <v>39</v>
      </c>
      <c r="P2039" s="0" t="s">
        <v>2444</v>
      </c>
    </row>
    <row r="2040" customFormat="false" ht="15" hidden="false" customHeight="true" outlineLevel="0" collapsed="false">
      <c r="A2040" s="0" t="n">
        <v>2</v>
      </c>
      <c r="B2040" s="71" t="n">
        <v>46197</v>
      </c>
      <c r="C2040" s="0" t="n">
        <v>1</v>
      </c>
      <c r="D2040" s="0" t="s">
        <v>2442</v>
      </c>
      <c r="E2040" s="0" t="n">
        <v>616</v>
      </c>
      <c r="F2040" s="0" t="s">
        <v>941</v>
      </c>
      <c r="I2040" s="0" t="n">
        <v>316130</v>
      </c>
      <c r="J2040" s="0" t="n">
        <v>106321</v>
      </c>
      <c r="K2040" s="0" t="n">
        <v>7891153020310</v>
      </c>
      <c r="L2040" s="0" t="s">
        <v>3621</v>
      </c>
      <c r="N2040" s="0" t="n">
        <v>12</v>
      </c>
      <c r="O2040" s="0" t="n">
        <v>52.8</v>
      </c>
      <c r="P2040" s="0" t="s">
        <v>2444</v>
      </c>
    </row>
    <row r="2041" customFormat="false" ht="15" hidden="false" customHeight="true" outlineLevel="0" collapsed="false">
      <c r="A2041" s="0" t="n">
        <v>2</v>
      </c>
      <c r="B2041" s="71" t="n">
        <v>46197</v>
      </c>
      <c r="C2041" s="0" t="n">
        <v>1</v>
      </c>
      <c r="D2041" s="0" t="s">
        <v>2442</v>
      </c>
      <c r="E2041" s="0" t="n">
        <v>616</v>
      </c>
      <c r="F2041" s="0" t="s">
        <v>941</v>
      </c>
      <c r="I2041" s="0" t="n">
        <v>316130</v>
      </c>
      <c r="J2041" s="0" t="n">
        <v>108107</v>
      </c>
      <c r="K2041" s="0" t="n">
        <v>7896454300024</v>
      </c>
      <c r="L2041" s="0" t="s">
        <v>3622</v>
      </c>
      <c r="N2041" s="0" t="n">
        <v>12</v>
      </c>
      <c r="O2041" s="0" t="n">
        <v>70.8</v>
      </c>
      <c r="P2041" s="0" t="s">
        <v>2444</v>
      </c>
    </row>
    <row r="2042" customFormat="false" ht="15" hidden="false" customHeight="true" outlineLevel="0" collapsed="false">
      <c r="A2042" s="0" t="n">
        <v>2</v>
      </c>
      <c r="B2042" s="71" t="n">
        <v>46197</v>
      </c>
      <c r="C2042" s="0" t="n">
        <v>1</v>
      </c>
      <c r="D2042" s="0" t="s">
        <v>2442</v>
      </c>
      <c r="E2042" s="0" t="n">
        <v>616</v>
      </c>
      <c r="F2042" s="0" t="s">
        <v>941</v>
      </c>
      <c r="I2042" s="0" t="n">
        <v>316130</v>
      </c>
      <c r="J2042" s="0" t="n">
        <v>108118</v>
      </c>
      <c r="K2042" s="0" t="n">
        <v>7898293080020</v>
      </c>
      <c r="L2042" s="0" t="s">
        <v>3623</v>
      </c>
      <c r="N2042" s="0" t="n">
        <v>12</v>
      </c>
      <c r="O2042" s="0" t="n">
        <v>115.2</v>
      </c>
      <c r="P2042" s="0" t="s">
        <v>2444</v>
      </c>
    </row>
    <row r="2043" customFormat="false" ht="15" hidden="false" customHeight="true" outlineLevel="0" collapsed="false">
      <c r="A2043" s="0" t="n">
        <v>2</v>
      </c>
      <c r="B2043" s="71" t="n">
        <v>46197</v>
      </c>
      <c r="C2043" s="0" t="n">
        <v>1</v>
      </c>
      <c r="D2043" s="0" t="s">
        <v>2442</v>
      </c>
      <c r="E2043" s="0" t="n">
        <v>616</v>
      </c>
      <c r="F2043" s="0" t="s">
        <v>941</v>
      </c>
      <c r="I2043" s="0" t="n">
        <v>316130</v>
      </c>
      <c r="J2043" s="0" t="n">
        <v>12112</v>
      </c>
      <c r="K2043" s="0" t="n">
        <v>7891175031530</v>
      </c>
      <c r="L2043" s="0" t="s">
        <v>3624</v>
      </c>
      <c r="N2043" s="0" t="n">
        <v>30</v>
      </c>
      <c r="O2043" s="0" t="n">
        <v>69</v>
      </c>
      <c r="P2043" s="0" t="s">
        <v>2444</v>
      </c>
    </row>
    <row r="2044" customFormat="false" ht="15" hidden="false" customHeight="true" outlineLevel="0" collapsed="false">
      <c r="A2044" s="0" t="n">
        <v>2</v>
      </c>
      <c r="B2044" s="71" t="n">
        <v>46197</v>
      </c>
      <c r="C2044" s="0" t="n">
        <v>1</v>
      </c>
      <c r="D2044" s="0" t="s">
        <v>2442</v>
      </c>
      <c r="E2044" s="0" t="n">
        <v>616</v>
      </c>
      <c r="F2044" s="0" t="s">
        <v>941</v>
      </c>
      <c r="I2044" s="0" t="n">
        <v>316130</v>
      </c>
      <c r="J2044" s="0" t="n">
        <v>15662</v>
      </c>
      <c r="K2044" s="0" t="n">
        <v>7896454300017</v>
      </c>
      <c r="L2044" s="0" t="s">
        <v>3625</v>
      </c>
      <c r="N2044" s="0" t="n">
        <v>12</v>
      </c>
      <c r="O2044" s="0" t="n">
        <v>126</v>
      </c>
      <c r="P2044" s="0" t="s">
        <v>2444</v>
      </c>
    </row>
    <row r="2045" customFormat="false" ht="15" hidden="false" customHeight="true" outlineLevel="0" collapsed="false">
      <c r="A2045" s="0" t="n">
        <v>2</v>
      </c>
      <c r="B2045" s="71" t="n">
        <v>46197</v>
      </c>
      <c r="C2045" s="0" t="n">
        <v>1</v>
      </c>
      <c r="D2045" s="0" t="s">
        <v>2442</v>
      </c>
      <c r="E2045" s="0" t="n">
        <v>616</v>
      </c>
      <c r="F2045" s="0" t="s">
        <v>941</v>
      </c>
      <c r="I2045" s="0" t="n">
        <v>316130</v>
      </c>
      <c r="J2045" s="0" t="n">
        <v>24042</v>
      </c>
      <c r="K2045" s="0" t="n">
        <v>7891153073217</v>
      </c>
      <c r="L2045" s="0" t="s">
        <v>3626</v>
      </c>
      <c r="N2045" s="0" t="n">
        <v>24</v>
      </c>
      <c r="O2045" s="0" t="n">
        <v>57.6</v>
      </c>
      <c r="P2045" s="0" t="s">
        <v>2444</v>
      </c>
    </row>
    <row r="2046" customFormat="false" ht="15" hidden="false" customHeight="true" outlineLevel="0" collapsed="false">
      <c r="A2046" s="0" t="n">
        <v>2</v>
      </c>
      <c r="B2046" s="71" t="n">
        <v>46197</v>
      </c>
      <c r="C2046" s="0" t="n">
        <v>1</v>
      </c>
      <c r="D2046" s="0" t="s">
        <v>2442</v>
      </c>
      <c r="E2046" s="0" t="n">
        <v>616</v>
      </c>
      <c r="F2046" s="0" t="s">
        <v>941</v>
      </c>
      <c r="I2046" s="0" t="n">
        <v>316130</v>
      </c>
      <c r="J2046" s="0" t="n">
        <v>24243</v>
      </c>
      <c r="K2046" s="0" t="n">
        <v>7897256220015</v>
      </c>
      <c r="L2046" s="0" t="s">
        <v>3627</v>
      </c>
      <c r="N2046" s="0" t="n">
        <v>12</v>
      </c>
      <c r="O2046" s="0" t="n">
        <v>15</v>
      </c>
      <c r="P2046" s="0" t="s">
        <v>2444</v>
      </c>
    </row>
    <row r="2047" customFormat="false" ht="15" hidden="false" customHeight="true" outlineLevel="0" collapsed="false">
      <c r="A2047" s="0" t="n">
        <v>2</v>
      </c>
      <c r="B2047" s="71" t="n">
        <v>46197</v>
      </c>
      <c r="C2047" s="0" t="n">
        <v>1</v>
      </c>
      <c r="D2047" s="0" t="s">
        <v>2442</v>
      </c>
      <c r="E2047" s="0" t="n">
        <v>616</v>
      </c>
      <c r="F2047" s="0" t="s">
        <v>941</v>
      </c>
      <c r="I2047" s="0" t="n">
        <v>316130</v>
      </c>
      <c r="J2047" s="0" t="n">
        <v>37122</v>
      </c>
      <c r="K2047" s="0" t="n">
        <v>7896454300031</v>
      </c>
      <c r="L2047" s="0" t="s">
        <v>3628</v>
      </c>
      <c r="N2047" s="0" t="n">
        <v>24</v>
      </c>
      <c r="O2047" s="0" t="n">
        <v>201.6</v>
      </c>
      <c r="P2047" s="0" t="s">
        <v>2444</v>
      </c>
    </row>
    <row r="2048" customFormat="false" ht="15" hidden="false" customHeight="true" outlineLevel="0" collapsed="false">
      <c r="A2048" s="0" t="n">
        <v>2</v>
      </c>
      <c r="B2048" s="71" t="n">
        <v>46197</v>
      </c>
      <c r="C2048" s="0" t="n">
        <v>1</v>
      </c>
      <c r="D2048" s="0" t="s">
        <v>2442</v>
      </c>
      <c r="E2048" s="0" t="n">
        <v>616</v>
      </c>
      <c r="F2048" s="0" t="s">
        <v>941</v>
      </c>
      <c r="I2048" s="0" t="n">
        <v>316130</v>
      </c>
      <c r="J2048" s="0" t="n">
        <v>37123</v>
      </c>
      <c r="K2048" s="0" t="n">
        <v>7896454300048</v>
      </c>
      <c r="L2048" s="0" t="s">
        <v>3629</v>
      </c>
      <c r="N2048" s="0" t="n">
        <v>24</v>
      </c>
      <c r="O2048" s="0" t="n">
        <v>110.4</v>
      </c>
      <c r="P2048" s="0" t="s">
        <v>2444</v>
      </c>
    </row>
    <row r="2049" customFormat="false" ht="15" hidden="false" customHeight="true" outlineLevel="0" collapsed="false">
      <c r="A2049" s="0" t="n">
        <v>2</v>
      </c>
      <c r="B2049" s="71" t="n">
        <v>46197</v>
      </c>
      <c r="C2049" s="0" t="n">
        <v>1</v>
      </c>
      <c r="D2049" s="0" t="s">
        <v>2442</v>
      </c>
      <c r="E2049" s="0" t="n">
        <v>616</v>
      </c>
      <c r="F2049" s="0" t="s">
        <v>941</v>
      </c>
      <c r="I2049" s="0" t="n">
        <v>316130</v>
      </c>
      <c r="J2049" s="0" t="n">
        <v>38847</v>
      </c>
      <c r="K2049" s="0" t="n">
        <v>7891153073224</v>
      </c>
      <c r="L2049" s="0" t="s">
        <v>3630</v>
      </c>
      <c r="N2049" s="0" t="n">
        <v>24</v>
      </c>
      <c r="O2049" s="0" t="n">
        <v>100.8</v>
      </c>
      <c r="P2049" s="0" t="s">
        <v>2444</v>
      </c>
    </row>
    <row r="2050" customFormat="false" ht="15" hidden="false" customHeight="true" outlineLevel="0" collapsed="false">
      <c r="A2050" s="0" t="n">
        <v>2</v>
      </c>
      <c r="B2050" s="71" t="n">
        <v>46197</v>
      </c>
      <c r="C2050" s="0" t="n">
        <v>1</v>
      </c>
      <c r="D2050" s="0" t="s">
        <v>2442</v>
      </c>
      <c r="E2050" s="0" t="n">
        <v>616</v>
      </c>
      <c r="F2050" s="0" t="s">
        <v>941</v>
      </c>
      <c r="I2050" s="0" t="n">
        <v>316130</v>
      </c>
      <c r="J2050" s="0" t="n">
        <v>39490</v>
      </c>
      <c r="K2050" s="0" t="n">
        <v>7897571960016</v>
      </c>
      <c r="L2050" s="0" t="s">
        <v>3631</v>
      </c>
      <c r="N2050" s="0" t="n">
        <v>15</v>
      </c>
      <c r="O2050" s="0" t="n">
        <v>45</v>
      </c>
      <c r="P2050" s="0" t="s">
        <v>2444</v>
      </c>
    </row>
    <row r="2051" customFormat="false" ht="15" hidden="false" customHeight="true" outlineLevel="0" collapsed="false">
      <c r="A2051" s="0" t="n">
        <v>2</v>
      </c>
      <c r="B2051" s="71" t="n">
        <v>46197</v>
      </c>
      <c r="C2051" s="0" t="n">
        <v>1</v>
      </c>
      <c r="D2051" s="0" t="s">
        <v>2442</v>
      </c>
      <c r="E2051" s="0" t="n">
        <v>616</v>
      </c>
      <c r="F2051" s="0" t="s">
        <v>941</v>
      </c>
      <c r="I2051" s="0" t="n">
        <v>316130</v>
      </c>
      <c r="J2051" s="0" t="n">
        <v>39563</v>
      </c>
      <c r="K2051" s="0" t="n">
        <v>7897256245445</v>
      </c>
      <c r="L2051" s="0" t="s">
        <v>3632</v>
      </c>
      <c r="N2051" s="0" t="n">
        <v>12</v>
      </c>
      <c r="O2051" s="0" t="n">
        <v>19.2</v>
      </c>
      <c r="P2051" s="0" t="s">
        <v>2444</v>
      </c>
    </row>
    <row r="2052" customFormat="false" ht="15" hidden="false" customHeight="true" outlineLevel="0" collapsed="false">
      <c r="A2052" s="0" t="n">
        <v>2</v>
      </c>
      <c r="B2052" s="71" t="n">
        <v>46197</v>
      </c>
      <c r="C2052" s="0" t="n">
        <v>1</v>
      </c>
      <c r="D2052" s="0" t="s">
        <v>2442</v>
      </c>
      <c r="E2052" s="0" t="n">
        <v>616</v>
      </c>
      <c r="F2052" s="0" t="s">
        <v>941</v>
      </c>
      <c r="I2052" s="0" t="n">
        <v>316130</v>
      </c>
      <c r="J2052" s="0" t="n">
        <v>39620</v>
      </c>
      <c r="K2052" s="0" t="n">
        <v>7898543380634</v>
      </c>
      <c r="L2052" s="0" t="s">
        <v>3633</v>
      </c>
      <c r="N2052" s="0" t="n">
        <v>10</v>
      </c>
      <c r="O2052" s="0" t="n">
        <v>77</v>
      </c>
      <c r="P2052" s="0" t="s">
        <v>2444</v>
      </c>
    </row>
    <row r="2053" customFormat="false" ht="15" hidden="false" customHeight="true" outlineLevel="0" collapsed="false">
      <c r="A2053" s="0" t="n">
        <v>2</v>
      </c>
      <c r="B2053" s="71" t="n">
        <v>46197</v>
      </c>
      <c r="C2053" s="0" t="n">
        <v>1</v>
      </c>
      <c r="D2053" s="0" t="s">
        <v>2442</v>
      </c>
      <c r="E2053" s="0" t="n">
        <v>616</v>
      </c>
      <c r="F2053" s="0" t="s">
        <v>941</v>
      </c>
      <c r="I2053" s="0" t="n">
        <v>316130</v>
      </c>
      <c r="J2053" s="0" t="n">
        <v>40271</v>
      </c>
      <c r="K2053" s="0" t="n">
        <v>7898573160534</v>
      </c>
      <c r="L2053" s="0" t="s">
        <v>3634</v>
      </c>
      <c r="N2053" s="0" t="n">
        <v>10</v>
      </c>
      <c r="O2053" s="0" t="n">
        <v>36</v>
      </c>
      <c r="P2053" s="0" t="s">
        <v>2444</v>
      </c>
    </row>
    <row r="2054" customFormat="false" ht="15" hidden="false" customHeight="true" outlineLevel="0" collapsed="false">
      <c r="A2054" s="0" t="n">
        <v>2</v>
      </c>
      <c r="B2054" s="71" t="n">
        <v>46197</v>
      </c>
      <c r="C2054" s="0" t="n">
        <v>1</v>
      </c>
      <c r="D2054" s="0" t="s">
        <v>2442</v>
      </c>
      <c r="E2054" s="0" t="n">
        <v>616</v>
      </c>
      <c r="F2054" s="0" t="s">
        <v>941</v>
      </c>
      <c r="I2054" s="0" t="n">
        <v>316130</v>
      </c>
      <c r="J2054" s="0" t="n">
        <v>40294</v>
      </c>
      <c r="K2054" s="0" t="n">
        <v>7898573160268</v>
      </c>
      <c r="L2054" s="0" t="s">
        <v>3635</v>
      </c>
      <c r="N2054" s="0" t="n">
        <v>20</v>
      </c>
      <c r="O2054" s="0" t="n">
        <v>86</v>
      </c>
      <c r="P2054" s="0" t="s">
        <v>2444</v>
      </c>
    </row>
    <row r="2055" customFormat="false" ht="15" hidden="false" customHeight="true" outlineLevel="0" collapsed="false">
      <c r="A2055" s="0" t="n">
        <v>2</v>
      </c>
      <c r="B2055" s="71" t="n">
        <v>46197</v>
      </c>
      <c r="C2055" s="0" t="n">
        <v>1</v>
      </c>
      <c r="D2055" s="0" t="s">
        <v>2442</v>
      </c>
      <c r="E2055" s="0" t="n">
        <v>616</v>
      </c>
      <c r="F2055" s="0" t="s">
        <v>941</v>
      </c>
      <c r="I2055" s="0" t="n">
        <v>316130</v>
      </c>
      <c r="J2055" s="0" t="n">
        <v>40809</v>
      </c>
      <c r="K2055" s="0" t="n">
        <v>7898543380610</v>
      </c>
      <c r="L2055" s="0" t="s">
        <v>3636</v>
      </c>
      <c r="N2055" s="0" t="n">
        <v>10</v>
      </c>
      <c r="O2055" s="0" t="n">
        <v>77</v>
      </c>
      <c r="P2055" s="0" t="s">
        <v>2444</v>
      </c>
    </row>
    <row r="2056" customFormat="false" ht="15" hidden="false" customHeight="true" outlineLevel="0" collapsed="false">
      <c r="A2056" s="0" t="n">
        <v>2</v>
      </c>
      <c r="B2056" s="71" t="n">
        <v>46197</v>
      </c>
      <c r="C2056" s="0" t="n">
        <v>1</v>
      </c>
      <c r="D2056" s="0" t="s">
        <v>2442</v>
      </c>
      <c r="E2056" s="0" t="n">
        <v>616</v>
      </c>
      <c r="F2056" s="0" t="s">
        <v>941</v>
      </c>
      <c r="I2056" s="0" t="n">
        <v>316130</v>
      </c>
      <c r="J2056" s="0" t="n">
        <v>41770</v>
      </c>
      <c r="K2056" s="0" t="n">
        <v>7898904869815</v>
      </c>
      <c r="L2056" s="0" t="s">
        <v>3637</v>
      </c>
      <c r="N2056" s="0" t="n">
        <v>10</v>
      </c>
      <c r="O2056" s="0" t="n">
        <v>87</v>
      </c>
      <c r="P2056" s="0" t="s">
        <v>2444</v>
      </c>
    </row>
    <row r="2057" customFormat="false" ht="15" hidden="false" customHeight="true" outlineLevel="0" collapsed="false">
      <c r="A2057" s="0" t="n">
        <v>2</v>
      </c>
      <c r="B2057" s="71" t="n">
        <v>46197</v>
      </c>
      <c r="C2057" s="0" t="n">
        <v>1</v>
      </c>
      <c r="D2057" s="0" t="s">
        <v>2442</v>
      </c>
      <c r="E2057" s="0" t="n">
        <v>616</v>
      </c>
      <c r="F2057" s="0" t="s">
        <v>941</v>
      </c>
      <c r="I2057" s="0" t="n">
        <v>316130</v>
      </c>
      <c r="J2057" s="0" t="n">
        <v>44447</v>
      </c>
      <c r="K2057" s="0" t="n">
        <v>7894494666056</v>
      </c>
      <c r="L2057" s="0" t="s">
        <v>3638</v>
      </c>
      <c r="N2057" s="0" t="n">
        <v>15</v>
      </c>
      <c r="O2057" s="0" t="n">
        <v>39</v>
      </c>
      <c r="P2057" s="0" t="s">
        <v>2444</v>
      </c>
    </row>
    <row r="2058" customFormat="false" ht="15" hidden="false" customHeight="true" outlineLevel="0" collapsed="false">
      <c r="A2058" s="0" t="n">
        <v>2</v>
      </c>
      <c r="B2058" s="71" t="n">
        <v>46197</v>
      </c>
      <c r="C2058" s="0" t="n">
        <v>1</v>
      </c>
      <c r="D2058" s="0" t="s">
        <v>2442</v>
      </c>
      <c r="E2058" s="0" t="n">
        <v>616</v>
      </c>
      <c r="F2058" s="0" t="s">
        <v>941</v>
      </c>
      <c r="I2058" s="0" t="n">
        <v>316130</v>
      </c>
      <c r="J2058" s="0" t="n">
        <v>48202</v>
      </c>
      <c r="K2058" s="0" t="n">
        <v>7898543380597</v>
      </c>
      <c r="L2058" s="0" t="s">
        <v>3639</v>
      </c>
      <c r="N2058" s="0" t="n">
        <v>10</v>
      </c>
      <c r="O2058" s="0" t="n">
        <v>77</v>
      </c>
      <c r="P2058" s="0" t="s">
        <v>2444</v>
      </c>
    </row>
    <row r="2059" customFormat="false" ht="15" hidden="false" customHeight="true" outlineLevel="0" collapsed="false">
      <c r="A2059" s="0" t="n">
        <v>2</v>
      </c>
      <c r="B2059" s="71" t="n">
        <v>46197</v>
      </c>
      <c r="C2059" s="0" t="n">
        <v>1</v>
      </c>
      <c r="D2059" s="0" t="s">
        <v>2442</v>
      </c>
      <c r="E2059" s="0" t="n">
        <v>616</v>
      </c>
      <c r="F2059" s="0" t="s">
        <v>941</v>
      </c>
      <c r="I2059" s="0" t="n">
        <v>316130</v>
      </c>
      <c r="J2059" s="0" t="n">
        <v>54695</v>
      </c>
      <c r="K2059" s="0" t="n">
        <v>9198316000034</v>
      </c>
      <c r="L2059" s="0" t="s">
        <v>3640</v>
      </c>
      <c r="N2059" s="0" t="n">
        <v>10</v>
      </c>
      <c r="O2059" s="0" t="n">
        <v>39</v>
      </c>
      <c r="P2059" s="0" t="s">
        <v>2444</v>
      </c>
    </row>
    <row r="2060" customFormat="false" ht="15" hidden="false" customHeight="true" outlineLevel="0" collapsed="false">
      <c r="A2060" s="0" t="n">
        <v>2</v>
      </c>
      <c r="B2060" s="71" t="n">
        <v>46197</v>
      </c>
      <c r="C2060" s="0" t="n">
        <v>1</v>
      </c>
      <c r="D2060" s="0" t="s">
        <v>2442</v>
      </c>
      <c r="E2060" s="0" t="n">
        <v>616</v>
      </c>
      <c r="F2060" s="0" t="s">
        <v>941</v>
      </c>
      <c r="I2060" s="0" t="n">
        <v>316130</v>
      </c>
      <c r="J2060" s="0" t="n">
        <v>57064</v>
      </c>
      <c r="K2060" s="0" t="n">
        <v>7896454320022</v>
      </c>
      <c r="L2060" s="0" t="s">
        <v>3641</v>
      </c>
      <c r="N2060" s="0" t="n">
        <v>12</v>
      </c>
      <c r="O2060" s="0" t="n">
        <v>91.2</v>
      </c>
      <c r="P2060" s="0" t="s">
        <v>2444</v>
      </c>
    </row>
    <row r="2061" customFormat="false" ht="15" hidden="false" customHeight="true" outlineLevel="0" collapsed="false">
      <c r="A2061" s="0" t="n">
        <v>2</v>
      </c>
      <c r="B2061" s="71" t="n">
        <v>46197</v>
      </c>
      <c r="C2061" s="0" t="n">
        <v>1</v>
      </c>
      <c r="D2061" s="0" t="s">
        <v>2442</v>
      </c>
      <c r="E2061" s="0" t="n">
        <v>616</v>
      </c>
      <c r="F2061" s="0" t="s">
        <v>941</v>
      </c>
      <c r="I2061" s="0" t="n">
        <v>316130</v>
      </c>
      <c r="J2061" s="0" t="n">
        <v>71472</v>
      </c>
      <c r="K2061" s="0" t="n">
        <v>7899320373412</v>
      </c>
      <c r="L2061" s="0" t="s">
        <v>3642</v>
      </c>
      <c r="N2061" s="0" t="n">
        <v>9</v>
      </c>
      <c r="O2061" s="0" t="n">
        <v>39.6</v>
      </c>
      <c r="P2061" s="0" t="s">
        <v>2444</v>
      </c>
    </row>
    <row r="2062" customFormat="false" ht="15" hidden="false" customHeight="true" outlineLevel="0" collapsed="false">
      <c r="A2062" s="0" t="n">
        <v>2</v>
      </c>
      <c r="B2062" s="71" t="n">
        <v>46197</v>
      </c>
      <c r="C2062" s="0" t="n">
        <v>1</v>
      </c>
      <c r="D2062" s="0" t="s">
        <v>2442</v>
      </c>
      <c r="E2062" s="0" t="n">
        <v>616</v>
      </c>
      <c r="F2062" s="0" t="s">
        <v>941</v>
      </c>
      <c r="I2062" s="0" t="n">
        <v>316130</v>
      </c>
      <c r="J2062" s="0" t="n">
        <v>71474</v>
      </c>
      <c r="K2062" s="0" t="n">
        <v>7899320355197</v>
      </c>
      <c r="L2062" s="0" t="s">
        <v>3643</v>
      </c>
      <c r="N2062" s="0" t="n">
        <v>10</v>
      </c>
      <c r="O2062" s="0" t="n">
        <v>14</v>
      </c>
      <c r="P2062" s="0" t="s">
        <v>2444</v>
      </c>
    </row>
    <row r="2063" customFormat="false" ht="15" hidden="false" customHeight="true" outlineLevel="0" collapsed="false">
      <c r="A2063" s="0" t="n">
        <v>2</v>
      </c>
      <c r="B2063" s="71" t="n">
        <v>46197</v>
      </c>
      <c r="C2063" s="0" t="n">
        <v>1</v>
      </c>
      <c r="D2063" s="0" t="s">
        <v>2442</v>
      </c>
      <c r="E2063" s="0" t="n">
        <v>616</v>
      </c>
      <c r="F2063" s="0" t="s">
        <v>941</v>
      </c>
      <c r="I2063" s="0" t="n">
        <v>316130</v>
      </c>
      <c r="J2063" s="0" t="n">
        <v>79191</v>
      </c>
      <c r="K2063" s="0" t="n">
        <v>7898573161012</v>
      </c>
      <c r="L2063" s="0" t="s">
        <v>3644</v>
      </c>
      <c r="N2063" s="0" t="n">
        <v>8</v>
      </c>
      <c r="O2063" s="0" t="n">
        <v>48</v>
      </c>
      <c r="P2063" s="0" t="s">
        <v>2444</v>
      </c>
    </row>
    <row r="2064" customFormat="false" ht="15" hidden="false" customHeight="true" outlineLevel="0" collapsed="false">
      <c r="A2064" s="0" t="n">
        <v>2</v>
      </c>
      <c r="B2064" s="71" t="n">
        <v>46197</v>
      </c>
      <c r="C2064" s="0" t="n">
        <v>1</v>
      </c>
      <c r="D2064" s="0" t="s">
        <v>2442</v>
      </c>
      <c r="E2064" s="0" t="n">
        <v>616</v>
      </c>
      <c r="F2064" s="0" t="s">
        <v>941</v>
      </c>
      <c r="I2064" s="0" t="n">
        <v>316130</v>
      </c>
      <c r="J2064" s="0" t="n">
        <v>79950</v>
      </c>
      <c r="K2064" s="0" t="n">
        <v>815147</v>
      </c>
      <c r="L2064" s="0" t="s">
        <v>3645</v>
      </c>
      <c r="N2064" s="0" t="n">
        <v>10</v>
      </c>
      <c r="O2064" s="0" t="n">
        <v>39</v>
      </c>
      <c r="P2064" s="0" t="s">
        <v>2444</v>
      </c>
    </row>
    <row r="2065" customFormat="false" ht="15" hidden="false" customHeight="true" outlineLevel="0" collapsed="false">
      <c r="A2065" s="0" t="n">
        <v>2</v>
      </c>
      <c r="B2065" s="71" t="n">
        <v>46197</v>
      </c>
      <c r="C2065" s="0" t="n">
        <v>1</v>
      </c>
      <c r="D2065" s="0" t="s">
        <v>2442</v>
      </c>
      <c r="E2065" s="0" t="n">
        <v>616</v>
      </c>
      <c r="F2065" s="0" t="s">
        <v>941</v>
      </c>
      <c r="I2065" s="0" t="n">
        <v>316130</v>
      </c>
      <c r="J2065" s="0" t="n">
        <v>81474</v>
      </c>
      <c r="K2065" s="0" t="n">
        <v>7908985802394</v>
      </c>
      <c r="L2065" s="0" t="s">
        <v>3646</v>
      </c>
      <c r="N2065" s="0" t="n">
        <v>10</v>
      </c>
      <c r="O2065" s="0" t="n">
        <v>39</v>
      </c>
      <c r="P2065" s="0" t="s">
        <v>2444</v>
      </c>
    </row>
    <row r="2066" customFormat="false" ht="15" hidden="false" customHeight="true" outlineLevel="0" collapsed="false">
      <c r="A2066" s="0" t="n">
        <v>2</v>
      </c>
      <c r="B2066" s="71" t="n">
        <v>46197</v>
      </c>
      <c r="C2066" s="0" t="n">
        <v>1</v>
      </c>
      <c r="D2066" s="0" t="s">
        <v>2442</v>
      </c>
      <c r="E2066" s="0" t="n">
        <v>616</v>
      </c>
      <c r="F2066" s="0" t="s">
        <v>941</v>
      </c>
      <c r="I2066" s="0" t="n">
        <v>316130</v>
      </c>
      <c r="J2066" s="0" t="n">
        <v>81479</v>
      </c>
      <c r="K2066" s="0" t="n">
        <v>7908985802349</v>
      </c>
      <c r="L2066" s="0" t="s">
        <v>3647</v>
      </c>
      <c r="N2066" s="0" t="n">
        <v>10</v>
      </c>
      <c r="O2066" s="0" t="n">
        <v>39</v>
      </c>
      <c r="P2066" s="0" t="s">
        <v>2444</v>
      </c>
    </row>
    <row r="2067" customFormat="false" ht="15" hidden="false" customHeight="true" outlineLevel="0" collapsed="false">
      <c r="A2067" s="0" t="n">
        <v>2</v>
      </c>
      <c r="B2067" s="71" t="n">
        <v>46197</v>
      </c>
      <c r="C2067" s="0" t="n">
        <v>1</v>
      </c>
      <c r="D2067" s="0" t="s">
        <v>2442</v>
      </c>
      <c r="E2067" s="0" t="n">
        <v>616</v>
      </c>
      <c r="F2067" s="0" t="s">
        <v>941</v>
      </c>
      <c r="I2067" s="0" t="n">
        <v>316130</v>
      </c>
      <c r="J2067" s="0" t="n">
        <v>81480</v>
      </c>
      <c r="K2067" s="0" t="n">
        <v>7908985802356</v>
      </c>
      <c r="L2067" s="0" t="s">
        <v>3648</v>
      </c>
      <c r="N2067" s="0" t="n">
        <v>10</v>
      </c>
      <c r="O2067" s="0" t="n">
        <v>39</v>
      </c>
      <c r="P2067" s="0" t="s">
        <v>2444</v>
      </c>
    </row>
    <row r="2068" customFormat="false" ht="15" hidden="false" customHeight="true" outlineLevel="0" collapsed="false">
      <c r="A2068" s="0" t="n">
        <v>2</v>
      </c>
      <c r="B2068" s="71" t="n">
        <v>46197</v>
      </c>
      <c r="C2068" s="0" t="n">
        <v>1</v>
      </c>
      <c r="D2068" s="0" t="s">
        <v>2442</v>
      </c>
      <c r="E2068" s="0" t="n">
        <v>616</v>
      </c>
      <c r="F2068" s="0" t="s">
        <v>941</v>
      </c>
      <c r="I2068" s="0" t="n">
        <v>316130</v>
      </c>
      <c r="J2068" s="0" t="n">
        <v>81481</v>
      </c>
      <c r="K2068" s="0" t="n">
        <v>7908985802387</v>
      </c>
      <c r="L2068" s="0" t="s">
        <v>3649</v>
      </c>
      <c r="N2068" s="0" t="n">
        <v>10</v>
      </c>
      <c r="O2068" s="0" t="n">
        <v>39</v>
      </c>
      <c r="P2068" s="0" t="s">
        <v>2444</v>
      </c>
    </row>
    <row r="2069" customFormat="false" ht="15" hidden="false" customHeight="true" outlineLevel="0" collapsed="false">
      <c r="A2069" s="0" t="n">
        <v>2</v>
      </c>
      <c r="B2069" s="71" t="n">
        <v>46197</v>
      </c>
      <c r="C2069" s="0" t="n">
        <v>1</v>
      </c>
      <c r="D2069" s="0" t="s">
        <v>2442</v>
      </c>
      <c r="E2069" s="0" t="n">
        <v>616</v>
      </c>
      <c r="F2069" s="0" t="s">
        <v>941</v>
      </c>
      <c r="I2069" s="0" t="n">
        <v>316130</v>
      </c>
      <c r="J2069" s="0" t="n">
        <v>81482</v>
      </c>
      <c r="K2069" s="0" t="n">
        <v>7898573161432</v>
      </c>
      <c r="L2069" s="0" t="s">
        <v>3650</v>
      </c>
      <c r="N2069" s="0" t="n">
        <v>20</v>
      </c>
      <c r="O2069" s="0" t="n">
        <v>68</v>
      </c>
      <c r="P2069" s="0" t="s">
        <v>2444</v>
      </c>
    </row>
    <row r="2070" customFormat="false" ht="15" hidden="false" customHeight="true" outlineLevel="0" collapsed="false">
      <c r="A2070" s="0" t="n">
        <v>2</v>
      </c>
      <c r="B2070" s="71" t="n">
        <v>46197</v>
      </c>
      <c r="C2070" s="0" t="n">
        <v>1</v>
      </c>
      <c r="D2070" s="0" t="s">
        <v>2442</v>
      </c>
      <c r="E2070" s="0" t="n">
        <v>1815</v>
      </c>
      <c r="F2070" s="0" t="s">
        <v>172</v>
      </c>
      <c r="I2070" s="0" t="n">
        <v>388857</v>
      </c>
      <c r="J2070" s="0" t="n">
        <v>100029</v>
      </c>
      <c r="K2070" s="0" t="n">
        <v>30</v>
      </c>
      <c r="L2070" s="0" t="s">
        <v>3651</v>
      </c>
      <c r="N2070" s="0" t="n">
        <v>39.522</v>
      </c>
      <c r="O2070" s="0" t="n">
        <v>494.03</v>
      </c>
      <c r="P2070" s="0" t="s">
        <v>2444</v>
      </c>
    </row>
    <row r="2071" customFormat="false" ht="15" hidden="false" customHeight="true" outlineLevel="0" collapsed="false">
      <c r="A2071" s="0" t="n">
        <v>2</v>
      </c>
      <c r="B2071" s="71" t="n">
        <v>46197</v>
      </c>
      <c r="C2071" s="0" t="n">
        <v>1</v>
      </c>
      <c r="D2071" s="0" t="s">
        <v>2442</v>
      </c>
      <c r="E2071" s="0" t="n">
        <v>1815</v>
      </c>
      <c r="F2071" s="0" t="s">
        <v>172</v>
      </c>
      <c r="I2071" s="0" t="n">
        <v>388857</v>
      </c>
      <c r="J2071" s="0" t="n">
        <v>110778</v>
      </c>
      <c r="K2071" s="0" t="n">
        <v>71976</v>
      </c>
      <c r="L2071" s="0" t="s">
        <v>3396</v>
      </c>
      <c r="N2071" s="0" t="n">
        <v>15</v>
      </c>
      <c r="O2071" s="0" t="n">
        <v>134.85</v>
      </c>
      <c r="P2071" s="0" t="s">
        <v>2444</v>
      </c>
    </row>
    <row r="2072" customFormat="false" ht="15" hidden="false" customHeight="true" outlineLevel="0" collapsed="false">
      <c r="A2072" s="0" t="n">
        <v>2</v>
      </c>
      <c r="B2072" s="71" t="n">
        <v>46197</v>
      </c>
      <c r="C2072" s="0" t="n">
        <v>1</v>
      </c>
      <c r="D2072" s="0" t="s">
        <v>2442</v>
      </c>
      <c r="E2072" s="0" t="n">
        <v>1635</v>
      </c>
      <c r="F2072" s="0" t="s">
        <v>128</v>
      </c>
      <c r="I2072" s="0" t="n">
        <v>519349</v>
      </c>
      <c r="J2072" s="0" t="n">
        <v>31383</v>
      </c>
      <c r="K2072" s="0" t="n">
        <v>7896328210039</v>
      </c>
      <c r="L2072" s="0" t="s">
        <v>3652</v>
      </c>
      <c r="N2072" s="0" t="n">
        <v>10</v>
      </c>
      <c r="O2072" s="0" t="n">
        <v>34.45</v>
      </c>
      <c r="P2072" s="0" t="s">
        <v>2444</v>
      </c>
    </row>
    <row r="2073" customFormat="false" ht="15" hidden="false" customHeight="true" outlineLevel="0" collapsed="false">
      <c r="A2073" s="0" t="n">
        <v>2</v>
      </c>
      <c r="B2073" s="71" t="n">
        <v>46197</v>
      </c>
      <c r="C2073" s="0" t="n">
        <v>1</v>
      </c>
      <c r="D2073" s="0" t="s">
        <v>2442</v>
      </c>
      <c r="E2073" s="0" t="n">
        <v>1635</v>
      </c>
      <c r="F2073" s="0" t="s">
        <v>128</v>
      </c>
      <c r="I2073" s="0" t="n">
        <v>519349</v>
      </c>
      <c r="J2073" s="0" t="n">
        <v>35043</v>
      </c>
      <c r="K2073" s="0" t="n">
        <v>5410376726544</v>
      </c>
      <c r="L2073" s="0" t="s">
        <v>3653</v>
      </c>
      <c r="N2073" s="0" t="n">
        <v>20</v>
      </c>
      <c r="O2073" s="0" t="n">
        <v>270</v>
      </c>
      <c r="P2073" s="0" t="s">
        <v>2444</v>
      </c>
    </row>
    <row r="2074" customFormat="false" ht="15" hidden="false" customHeight="true" outlineLevel="0" collapsed="false">
      <c r="A2074" s="0" t="n">
        <v>2</v>
      </c>
      <c r="B2074" s="71" t="n">
        <v>46197</v>
      </c>
      <c r="C2074" s="0" t="n">
        <v>1</v>
      </c>
      <c r="D2074" s="0" t="s">
        <v>2442</v>
      </c>
      <c r="E2074" s="0" t="n">
        <v>1672</v>
      </c>
      <c r="F2074" s="0" t="s">
        <v>343</v>
      </c>
      <c r="I2074" s="0" t="n">
        <v>1378386</v>
      </c>
      <c r="J2074" s="0" t="n">
        <v>103165</v>
      </c>
      <c r="K2074" s="0" t="n">
        <v>7896579310106</v>
      </c>
      <c r="L2074" s="0" t="s">
        <v>3654</v>
      </c>
      <c r="N2074" s="0" t="n">
        <v>18</v>
      </c>
      <c r="O2074" s="0" t="n">
        <v>73.8</v>
      </c>
      <c r="P2074" s="0" t="s">
        <v>2444</v>
      </c>
    </row>
    <row r="2075" customFormat="false" ht="15" hidden="false" customHeight="true" outlineLevel="0" collapsed="false">
      <c r="A2075" s="0" t="n">
        <v>2</v>
      </c>
      <c r="B2075" s="71" t="n">
        <v>46197</v>
      </c>
      <c r="C2075" s="0" t="n">
        <v>1</v>
      </c>
      <c r="D2075" s="0" t="s">
        <v>2442</v>
      </c>
      <c r="E2075" s="0" t="n">
        <v>1672</v>
      </c>
      <c r="F2075" s="0" t="s">
        <v>343</v>
      </c>
      <c r="I2075" s="0" t="n">
        <v>1378386</v>
      </c>
      <c r="J2075" s="0" t="n">
        <v>103941</v>
      </c>
      <c r="K2075" s="0" t="n">
        <v>7896579330036</v>
      </c>
      <c r="L2075" s="0" t="s">
        <v>3655</v>
      </c>
      <c r="N2075" s="0" t="n">
        <v>120</v>
      </c>
      <c r="O2075" s="0" t="n">
        <v>144</v>
      </c>
      <c r="P2075" s="0" t="s">
        <v>2444</v>
      </c>
    </row>
    <row r="2076" customFormat="false" ht="15" hidden="false" customHeight="true" outlineLevel="0" collapsed="false">
      <c r="A2076" s="0" t="n">
        <v>2</v>
      </c>
      <c r="B2076" s="71" t="n">
        <v>46197</v>
      </c>
      <c r="C2076" s="0" t="n">
        <v>1</v>
      </c>
      <c r="D2076" s="0" t="s">
        <v>2442</v>
      </c>
      <c r="E2076" s="0" t="n">
        <v>1672</v>
      </c>
      <c r="F2076" s="0" t="s">
        <v>343</v>
      </c>
      <c r="I2076" s="0" t="n">
        <v>1378386</v>
      </c>
      <c r="J2076" s="0" t="n">
        <v>104355</v>
      </c>
      <c r="K2076" s="0" t="n">
        <v>7896579380116</v>
      </c>
      <c r="L2076" s="0" t="s">
        <v>3656</v>
      </c>
      <c r="N2076" s="0" t="n">
        <v>45</v>
      </c>
      <c r="O2076" s="0" t="n">
        <v>184.5</v>
      </c>
      <c r="P2076" s="0" t="s">
        <v>2444</v>
      </c>
    </row>
    <row r="2077" customFormat="false" ht="15" hidden="false" customHeight="true" outlineLevel="0" collapsed="false">
      <c r="A2077" s="0" t="n">
        <v>2</v>
      </c>
      <c r="B2077" s="71" t="n">
        <v>46197</v>
      </c>
      <c r="C2077" s="0" t="n">
        <v>1</v>
      </c>
      <c r="D2077" s="0" t="s">
        <v>2442</v>
      </c>
      <c r="E2077" s="0" t="n">
        <v>1672</v>
      </c>
      <c r="F2077" s="0" t="s">
        <v>343</v>
      </c>
      <c r="I2077" s="0" t="n">
        <v>1378386</v>
      </c>
      <c r="J2077" s="0" t="n">
        <v>104360</v>
      </c>
      <c r="K2077" s="0" t="n">
        <v>7896579330074</v>
      </c>
      <c r="L2077" s="0" t="s">
        <v>2720</v>
      </c>
      <c r="N2077" s="0" t="n">
        <v>36</v>
      </c>
      <c r="O2077" s="0" t="n">
        <v>46.8</v>
      </c>
      <c r="P2077" s="0" t="s">
        <v>2444</v>
      </c>
    </row>
    <row r="2078" customFormat="false" ht="15" hidden="false" customHeight="true" outlineLevel="0" collapsed="false">
      <c r="A2078" s="0" t="n">
        <v>2</v>
      </c>
      <c r="B2078" s="71" t="n">
        <v>46197</v>
      </c>
      <c r="C2078" s="0" t="n">
        <v>1</v>
      </c>
      <c r="D2078" s="0" t="s">
        <v>2442</v>
      </c>
      <c r="E2078" s="0" t="n">
        <v>1672</v>
      </c>
      <c r="F2078" s="0" t="s">
        <v>343</v>
      </c>
      <c r="I2078" s="0" t="n">
        <v>1378386</v>
      </c>
      <c r="J2078" s="0" t="n">
        <v>106239</v>
      </c>
      <c r="K2078" s="0" t="n">
        <v>7896579390016</v>
      </c>
      <c r="L2078" s="0" t="s">
        <v>2721</v>
      </c>
      <c r="N2078" s="0" t="n">
        <v>36</v>
      </c>
      <c r="O2078" s="0" t="n">
        <v>72</v>
      </c>
      <c r="P2078" s="0" t="s">
        <v>2444</v>
      </c>
    </row>
    <row r="2079" customFormat="false" ht="15" hidden="false" customHeight="true" outlineLevel="0" collapsed="false">
      <c r="A2079" s="0" t="n">
        <v>2</v>
      </c>
      <c r="B2079" s="71" t="n">
        <v>46197</v>
      </c>
      <c r="C2079" s="0" t="n">
        <v>1</v>
      </c>
      <c r="D2079" s="0" t="s">
        <v>2442</v>
      </c>
      <c r="E2079" s="0" t="n">
        <v>1672</v>
      </c>
      <c r="F2079" s="0" t="s">
        <v>343</v>
      </c>
      <c r="I2079" s="0" t="n">
        <v>1378386</v>
      </c>
      <c r="J2079" s="0" t="n">
        <v>13184</v>
      </c>
      <c r="K2079" s="0" t="n">
        <v>7896579310113</v>
      </c>
      <c r="L2079" s="0" t="s">
        <v>2722</v>
      </c>
      <c r="N2079" s="0" t="n">
        <v>27</v>
      </c>
      <c r="O2079" s="0" t="n">
        <v>81</v>
      </c>
      <c r="P2079" s="0" t="s">
        <v>2444</v>
      </c>
    </row>
    <row r="2080" customFormat="false" ht="15" hidden="false" customHeight="true" outlineLevel="0" collapsed="false">
      <c r="A2080" s="0" t="n">
        <v>2</v>
      </c>
      <c r="B2080" s="71" t="n">
        <v>46197</v>
      </c>
      <c r="C2080" s="0" t="n">
        <v>1</v>
      </c>
      <c r="D2080" s="0" t="s">
        <v>2442</v>
      </c>
      <c r="E2080" s="0" t="n">
        <v>1672</v>
      </c>
      <c r="F2080" s="0" t="s">
        <v>343</v>
      </c>
      <c r="I2080" s="0" t="n">
        <v>1378386</v>
      </c>
      <c r="J2080" s="0" t="n">
        <v>18293</v>
      </c>
      <c r="K2080" s="0" t="n">
        <v>7896520027206</v>
      </c>
      <c r="L2080" s="0" t="s">
        <v>2724</v>
      </c>
      <c r="N2080" s="0" t="n">
        <v>12</v>
      </c>
      <c r="O2080" s="0" t="n">
        <v>81.6</v>
      </c>
      <c r="P2080" s="0" t="s">
        <v>2444</v>
      </c>
    </row>
    <row r="2081" customFormat="false" ht="15" hidden="false" customHeight="true" outlineLevel="0" collapsed="false">
      <c r="A2081" s="0" t="n">
        <v>2</v>
      </c>
      <c r="B2081" s="71" t="n">
        <v>46197</v>
      </c>
      <c r="C2081" s="0" t="n">
        <v>1</v>
      </c>
      <c r="D2081" s="0" t="s">
        <v>2442</v>
      </c>
      <c r="E2081" s="0" t="n">
        <v>1672</v>
      </c>
      <c r="F2081" s="0" t="s">
        <v>343</v>
      </c>
      <c r="I2081" s="0" t="n">
        <v>1378386</v>
      </c>
      <c r="J2081" s="0" t="n">
        <v>23258</v>
      </c>
      <c r="K2081" s="0" t="n">
        <v>7899465200505</v>
      </c>
      <c r="L2081" s="0" t="s">
        <v>3657</v>
      </c>
      <c r="N2081" s="0" t="n">
        <v>18</v>
      </c>
      <c r="O2081" s="0" t="n">
        <v>46.8</v>
      </c>
      <c r="P2081" s="0" t="s">
        <v>2444</v>
      </c>
    </row>
    <row r="2082" customFormat="false" ht="15" hidden="false" customHeight="true" outlineLevel="0" collapsed="false">
      <c r="A2082" s="0" t="n">
        <v>2</v>
      </c>
      <c r="B2082" s="71" t="n">
        <v>46197</v>
      </c>
      <c r="C2082" s="0" t="n">
        <v>1</v>
      </c>
      <c r="D2082" s="0" t="s">
        <v>2442</v>
      </c>
      <c r="E2082" s="0" t="n">
        <v>1672</v>
      </c>
      <c r="F2082" s="0" t="s">
        <v>343</v>
      </c>
      <c r="I2082" s="0" t="n">
        <v>1378386</v>
      </c>
      <c r="J2082" s="0" t="n">
        <v>26411</v>
      </c>
      <c r="K2082" s="0" t="n">
        <v>7899465200819</v>
      </c>
      <c r="L2082" s="0" t="s">
        <v>3658</v>
      </c>
      <c r="N2082" s="0" t="n">
        <v>18</v>
      </c>
      <c r="O2082" s="0" t="n">
        <v>43.2</v>
      </c>
      <c r="P2082" s="0" t="s">
        <v>2444</v>
      </c>
    </row>
    <row r="2083" customFormat="false" ht="15" hidden="false" customHeight="true" outlineLevel="0" collapsed="false">
      <c r="A2083" s="0" t="n">
        <v>2</v>
      </c>
      <c r="B2083" s="71" t="n">
        <v>46197</v>
      </c>
      <c r="C2083" s="0" t="n">
        <v>1</v>
      </c>
      <c r="D2083" s="0" t="s">
        <v>2442</v>
      </c>
      <c r="E2083" s="0" t="n">
        <v>1672</v>
      </c>
      <c r="F2083" s="0" t="s">
        <v>343</v>
      </c>
      <c r="I2083" s="0" t="n">
        <v>1378386</v>
      </c>
      <c r="J2083" s="0" t="n">
        <v>37044</v>
      </c>
      <c r="K2083" s="0" t="n">
        <v>7896579320211</v>
      </c>
      <c r="L2083" s="0" t="s">
        <v>3659</v>
      </c>
      <c r="N2083" s="0" t="n">
        <v>60</v>
      </c>
      <c r="O2083" s="0" t="n">
        <v>66</v>
      </c>
      <c r="P2083" s="0" t="s">
        <v>2444</v>
      </c>
    </row>
    <row r="2084" customFormat="false" ht="15" hidden="false" customHeight="true" outlineLevel="0" collapsed="false">
      <c r="A2084" s="0" t="n">
        <v>2</v>
      </c>
      <c r="B2084" s="71" t="n">
        <v>46197</v>
      </c>
      <c r="C2084" s="0" t="n">
        <v>1</v>
      </c>
      <c r="D2084" s="0" t="s">
        <v>2442</v>
      </c>
      <c r="E2084" s="0" t="n">
        <v>1672</v>
      </c>
      <c r="F2084" s="0" t="s">
        <v>343</v>
      </c>
      <c r="I2084" s="0" t="n">
        <v>1378386</v>
      </c>
      <c r="J2084" s="0" t="n">
        <v>37154</v>
      </c>
      <c r="K2084" s="0" t="n">
        <v>7896579310601</v>
      </c>
      <c r="L2084" s="0" t="s">
        <v>3660</v>
      </c>
      <c r="N2084" s="0" t="n">
        <v>36</v>
      </c>
      <c r="O2084" s="0" t="n">
        <v>162</v>
      </c>
      <c r="P2084" s="0" t="s">
        <v>2444</v>
      </c>
    </row>
    <row r="2085" customFormat="false" ht="15" hidden="false" customHeight="true" outlineLevel="0" collapsed="false">
      <c r="A2085" s="0" t="n">
        <v>2</v>
      </c>
      <c r="B2085" s="71" t="n">
        <v>46197</v>
      </c>
      <c r="C2085" s="0" t="n">
        <v>1</v>
      </c>
      <c r="D2085" s="0" t="s">
        <v>2442</v>
      </c>
      <c r="E2085" s="0" t="n">
        <v>1672</v>
      </c>
      <c r="F2085" s="0" t="s">
        <v>343</v>
      </c>
      <c r="I2085" s="0" t="n">
        <v>1378386</v>
      </c>
      <c r="J2085" s="0" t="n">
        <v>38315</v>
      </c>
      <c r="K2085" s="0" t="n">
        <v>7896579320242</v>
      </c>
      <c r="L2085" s="0" t="s">
        <v>2727</v>
      </c>
      <c r="N2085" s="0" t="n">
        <v>54</v>
      </c>
      <c r="O2085" s="0" t="n">
        <v>162</v>
      </c>
      <c r="P2085" s="0" t="s">
        <v>2444</v>
      </c>
    </row>
    <row r="2086" customFormat="false" ht="15" hidden="false" customHeight="true" outlineLevel="0" collapsed="false">
      <c r="A2086" s="0" t="n">
        <v>2</v>
      </c>
      <c r="B2086" s="71" t="n">
        <v>46197</v>
      </c>
      <c r="C2086" s="0" t="n">
        <v>1</v>
      </c>
      <c r="D2086" s="0" t="s">
        <v>2442</v>
      </c>
      <c r="E2086" s="0" t="n">
        <v>1672</v>
      </c>
      <c r="F2086" s="0" t="s">
        <v>343</v>
      </c>
      <c r="I2086" s="0" t="n">
        <v>1378386</v>
      </c>
      <c r="J2086" s="0" t="n">
        <v>38539</v>
      </c>
      <c r="K2086" s="0" t="n">
        <v>7896579320235</v>
      </c>
      <c r="L2086" s="0" t="s">
        <v>2728</v>
      </c>
      <c r="N2086" s="0" t="n">
        <v>27</v>
      </c>
      <c r="O2086" s="0" t="n">
        <v>110.7</v>
      </c>
      <c r="P2086" s="0" t="s">
        <v>2444</v>
      </c>
    </row>
    <row r="2087" customFormat="false" ht="15" hidden="false" customHeight="true" outlineLevel="0" collapsed="false">
      <c r="A2087" s="0" t="n">
        <v>2</v>
      </c>
      <c r="B2087" s="71" t="n">
        <v>46197</v>
      </c>
      <c r="C2087" s="0" t="n">
        <v>1</v>
      </c>
      <c r="D2087" s="0" t="s">
        <v>2442</v>
      </c>
      <c r="E2087" s="0" t="n">
        <v>1672</v>
      </c>
      <c r="F2087" s="0" t="s">
        <v>343</v>
      </c>
      <c r="I2087" s="0" t="n">
        <v>1378386</v>
      </c>
      <c r="J2087" s="0" t="n">
        <v>39425</v>
      </c>
      <c r="K2087" s="0" t="n">
        <v>7896579310632</v>
      </c>
      <c r="L2087" s="0" t="s">
        <v>3661</v>
      </c>
      <c r="N2087" s="0" t="n">
        <v>60</v>
      </c>
      <c r="O2087" s="0" t="n">
        <v>66</v>
      </c>
      <c r="P2087" s="0" t="s">
        <v>2444</v>
      </c>
    </row>
    <row r="2088" customFormat="false" ht="15" hidden="false" customHeight="true" outlineLevel="0" collapsed="false">
      <c r="A2088" s="0" t="n">
        <v>2</v>
      </c>
      <c r="B2088" s="71" t="n">
        <v>46197</v>
      </c>
      <c r="C2088" s="0" t="n">
        <v>1</v>
      </c>
      <c r="D2088" s="0" t="s">
        <v>2442</v>
      </c>
      <c r="E2088" s="0" t="n">
        <v>1672</v>
      </c>
      <c r="F2088" s="0" t="s">
        <v>343</v>
      </c>
      <c r="I2088" s="0" t="n">
        <v>1378386</v>
      </c>
      <c r="J2088" s="0" t="n">
        <v>43140</v>
      </c>
      <c r="K2088" s="0" t="n">
        <v>7896579310847</v>
      </c>
      <c r="L2088" s="0" t="s">
        <v>2729</v>
      </c>
      <c r="N2088" s="0" t="n">
        <v>45</v>
      </c>
      <c r="O2088" s="0" t="n">
        <v>108</v>
      </c>
      <c r="P2088" s="0" t="s">
        <v>2444</v>
      </c>
    </row>
    <row r="2089" customFormat="false" ht="15" hidden="false" customHeight="true" outlineLevel="0" collapsed="false">
      <c r="A2089" s="0" t="n">
        <v>2</v>
      </c>
      <c r="B2089" s="71" t="n">
        <v>46197</v>
      </c>
      <c r="C2089" s="0" t="n">
        <v>1</v>
      </c>
      <c r="D2089" s="0" t="s">
        <v>2442</v>
      </c>
      <c r="E2089" s="0" t="n">
        <v>1672</v>
      </c>
      <c r="F2089" s="0" t="s">
        <v>343</v>
      </c>
      <c r="I2089" s="0" t="n">
        <v>1378386</v>
      </c>
      <c r="J2089" s="0" t="n">
        <v>53441</v>
      </c>
      <c r="K2089" s="0" t="n">
        <v>7896579340165</v>
      </c>
      <c r="L2089" s="0" t="s">
        <v>3662</v>
      </c>
      <c r="N2089" s="0" t="n">
        <v>36</v>
      </c>
      <c r="O2089" s="0" t="n">
        <v>93.6</v>
      </c>
      <c r="P2089" s="0" t="s">
        <v>2444</v>
      </c>
    </row>
    <row r="2090" customFormat="false" ht="15" hidden="false" customHeight="true" outlineLevel="0" collapsed="false">
      <c r="A2090" s="0" t="n">
        <v>2</v>
      </c>
      <c r="B2090" s="71" t="n">
        <v>46197</v>
      </c>
      <c r="C2090" s="0" t="n">
        <v>1</v>
      </c>
      <c r="D2090" s="0" t="s">
        <v>2442</v>
      </c>
      <c r="E2090" s="0" t="n">
        <v>1672</v>
      </c>
      <c r="F2090" s="0" t="s">
        <v>343</v>
      </c>
      <c r="I2090" s="0" t="n">
        <v>1378386</v>
      </c>
      <c r="J2090" s="0" t="n">
        <v>61503</v>
      </c>
      <c r="K2090" s="0" t="n">
        <v>7896579310915</v>
      </c>
      <c r="L2090" s="0" t="s">
        <v>2731</v>
      </c>
      <c r="N2090" s="0" t="n">
        <v>5</v>
      </c>
      <c r="O2090" s="0" t="n">
        <v>40</v>
      </c>
      <c r="P2090" s="0" t="s">
        <v>2444</v>
      </c>
    </row>
    <row r="2091" customFormat="false" ht="15" hidden="false" customHeight="true" outlineLevel="0" collapsed="false">
      <c r="A2091" s="0" t="n">
        <v>2</v>
      </c>
      <c r="B2091" s="71" t="n">
        <v>46197</v>
      </c>
      <c r="C2091" s="0" t="n">
        <v>1</v>
      </c>
      <c r="D2091" s="0" t="s">
        <v>2442</v>
      </c>
      <c r="E2091" s="0" t="n">
        <v>1672</v>
      </c>
      <c r="F2091" s="0" t="s">
        <v>343</v>
      </c>
      <c r="I2091" s="0" t="n">
        <v>1378386</v>
      </c>
      <c r="J2091" s="0" t="n">
        <v>79952</v>
      </c>
      <c r="K2091" s="0" t="n">
        <v>7896579390085</v>
      </c>
      <c r="L2091" s="0" t="s">
        <v>2733</v>
      </c>
      <c r="N2091" s="0" t="n">
        <v>36</v>
      </c>
      <c r="O2091" s="0" t="n">
        <v>93.6</v>
      </c>
      <c r="P2091" s="0" t="s">
        <v>2444</v>
      </c>
    </row>
    <row r="2092" customFormat="false" ht="15" hidden="false" customHeight="true" outlineLevel="0" collapsed="false">
      <c r="A2092" s="0" t="n">
        <v>2</v>
      </c>
      <c r="B2092" s="71" t="n">
        <v>46197</v>
      </c>
      <c r="C2092" s="0" t="n">
        <v>1</v>
      </c>
      <c r="D2092" s="0" t="s">
        <v>2442</v>
      </c>
      <c r="E2092" s="0" t="n">
        <v>1672</v>
      </c>
      <c r="F2092" s="0" t="s">
        <v>343</v>
      </c>
      <c r="I2092" s="0" t="n">
        <v>1378386</v>
      </c>
      <c r="J2092" s="0" t="n">
        <v>80062</v>
      </c>
      <c r="K2092" s="0" t="n">
        <v>7896579390092</v>
      </c>
      <c r="L2092" s="0" t="s">
        <v>2734</v>
      </c>
      <c r="N2092" s="0" t="n">
        <v>60</v>
      </c>
      <c r="O2092" s="0" t="n">
        <v>156</v>
      </c>
      <c r="P2092" s="0" t="s">
        <v>2444</v>
      </c>
    </row>
    <row r="2093" customFormat="false" ht="15" hidden="false" customHeight="true" outlineLevel="0" collapsed="false">
      <c r="A2093" s="0" t="n">
        <v>2</v>
      </c>
      <c r="B2093" s="71" t="n">
        <v>46198</v>
      </c>
      <c r="C2093" s="0" t="n">
        <v>1</v>
      </c>
      <c r="D2093" s="0" t="s">
        <v>2442</v>
      </c>
      <c r="E2093" s="0" t="n">
        <v>10086</v>
      </c>
      <c r="F2093" s="0" t="s">
        <v>502</v>
      </c>
      <c r="I2093" s="0" t="n">
        <v>44</v>
      </c>
      <c r="J2093" s="0" t="n">
        <v>61580</v>
      </c>
      <c r="K2093" s="0" t="n">
        <v>2258157</v>
      </c>
      <c r="L2093" s="0" t="s">
        <v>2509</v>
      </c>
      <c r="N2093" s="0" t="n">
        <v>15</v>
      </c>
      <c r="O2093" s="0" t="n">
        <v>180</v>
      </c>
      <c r="P2093" s="0" t="s">
        <v>2444</v>
      </c>
    </row>
    <row r="2094" customFormat="false" ht="15" hidden="false" customHeight="true" outlineLevel="0" collapsed="false">
      <c r="A2094" s="0" t="n">
        <v>2</v>
      </c>
      <c r="B2094" s="71" t="n">
        <v>46198</v>
      </c>
      <c r="C2094" s="0" t="n">
        <v>1</v>
      </c>
      <c r="D2094" s="0" t="s">
        <v>2442</v>
      </c>
      <c r="E2094" s="0" t="n">
        <v>1263</v>
      </c>
      <c r="F2094" s="0" t="s">
        <v>666</v>
      </c>
      <c r="I2094" s="0" t="n">
        <v>847</v>
      </c>
      <c r="J2094" s="0" t="n">
        <v>10400</v>
      </c>
      <c r="K2094" s="0" t="n">
        <v>7891040106370</v>
      </c>
      <c r="L2094" s="0" t="s">
        <v>3663</v>
      </c>
      <c r="N2094" s="0" t="n">
        <v>90</v>
      </c>
      <c r="O2094" s="0" t="n">
        <v>105.3</v>
      </c>
      <c r="P2094" s="0" t="s">
        <v>2444</v>
      </c>
    </row>
    <row r="2095" customFormat="false" ht="15" hidden="false" customHeight="true" outlineLevel="0" collapsed="false">
      <c r="A2095" s="0" t="n">
        <v>2</v>
      </c>
      <c r="B2095" s="71" t="n">
        <v>46198</v>
      </c>
      <c r="C2095" s="0" t="n">
        <v>1</v>
      </c>
      <c r="D2095" s="0" t="s">
        <v>2442</v>
      </c>
      <c r="E2095" s="0" t="n">
        <v>1263</v>
      </c>
      <c r="F2095" s="0" t="s">
        <v>666</v>
      </c>
      <c r="I2095" s="0" t="n">
        <v>847</v>
      </c>
      <c r="J2095" s="0" t="n">
        <v>81493</v>
      </c>
      <c r="K2095" s="0" t="n">
        <v>7898975535343</v>
      </c>
      <c r="L2095" s="0" t="s">
        <v>3664</v>
      </c>
      <c r="N2095" s="0" t="n">
        <v>12</v>
      </c>
      <c r="O2095" s="0" t="n">
        <v>202.8</v>
      </c>
      <c r="P2095" s="0" t="s">
        <v>2444</v>
      </c>
    </row>
    <row r="2096" customFormat="false" ht="15" hidden="false" customHeight="true" outlineLevel="0" collapsed="false">
      <c r="A2096" s="0" t="n">
        <v>2</v>
      </c>
      <c r="B2096" s="71" t="n">
        <v>46198</v>
      </c>
      <c r="C2096" s="0" t="n">
        <v>1</v>
      </c>
      <c r="D2096" s="0" t="s">
        <v>2442</v>
      </c>
      <c r="E2096" s="0" t="n">
        <v>1263</v>
      </c>
      <c r="F2096" s="0" t="s">
        <v>666</v>
      </c>
      <c r="I2096" s="0" t="n">
        <v>847</v>
      </c>
      <c r="J2096" s="0" t="n">
        <v>81494</v>
      </c>
      <c r="K2096" s="0" t="n">
        <v>814959</v>
      </c>
      <c r="L2096" s="0" t="s">
        <v>3665</v>
      </c>
      <c r="N2096" s="0" t="n">
        <v>50</v>
      </c>
      <c r="O2096" s="0" t="n">
        <v>30.69</v>
      </c>
      <c r="P2096" s="0" t="s">
        <v>2444</v>
      </c>
    </row>
    <row r="2097" customFormat="false" ht="15" hidden="false" customHeight="true" outlineLevel="0" collapsed="false">
      <c r="A2097" s="0" t="n">
        <v>2</v>
      </c>
      <c r="B2097" s="71" t="n">
        <v>46198</v>
      </c>
      <c r="C2097" s="0" t="n">
        <v>1</v>
      </c>
      <c r="D2097" s="0" t="s">
        <v>2442</v>
      </c>
      <c r="E2097" s="0" t="n">
        <v>1749</v>
      </c>
      <c r="F2097" s="0" t="s">
        <v>585</v>
      </c>
      <c r="I2097" s="0" t="n">
        <v>1996</v>
      </c>
      <c r="J2097" s="0" t="n">
        <v>102300</v>
      </c>
      <c r="K2097" s="0" t="n">
        <v>7898062920014</v>
      </c>
      <c r="L2097" s="0" t="s">
        <v>2631</v>
      </c>
      <c r="N2097" s="0" t="n">
        <v>150</v>
      </c>
      <c r="O2097" s="0" t="n">
        <v>649.5</v>
      </c>
      <c r="P2097" s="0" t="s">
        <v>2444</v>
      </c>
    </row>
    <row r="2098" customFormat="false" ht="15" hidden="false" customHeight="true" outlineLevel="0" collapsed="false">
      <c r="A2098" s="0" t="n">
        <v>2</v>
      </c>
      <c r="B2098" s="71" t="n">
        <v>46198</v>
      </c>
      <c r="C2098" s="0" t="n">
        <v>1</v>
      </c>
      <c r="D2098" s="0" t="s">
        <v>2442</v>
      </c>
      <c r="E2098" s="0" t="n">
        <v>1749</v>
      </c>
      <c r="F2098" s="0" t="s">
        <v>585</v>
      </c>
      <c r="I2098" s="0" t="n">
        <v>1996</v>
      </c>
      <c r="J2098" s="0" t="n">
        <v>107288</v>
      </c>
      <c r="K2098" s="0" t="n">
        <v>7898124300013</v>
      </c>
      <c r="L2098" s="0" t="s">
        <v>3666</v>
      </c>
      <c r="N2098" s="0" t="n">
        <v>150</v>
      </c>
      <c r="O2098" s="0" t="n">
        <v>164.5</v>
      </c>
      <c r="P2098" s="0" t="s">
        <v>2444</v>
      </c>
    </row>
    <row r="2099" customFormat="false" ht="15" hidden="false" customHeight="true" outlineLevel="0" collapsed="false">
      <c r="A2099" s="0" t="n">
        <v>2</v>
      </c>
      <c r="B2099" s="71" t="n">
        <v>46198</v>
      </c>
      <c r="C2099" s="0" t="n">
        <v>1</v>
      </c>
      <c r="D2099" s="0" t="s">
        <v>2442</v>
      </c>
      <c r="E2099" s="0" t="n">
        <v>1749</v>
      </c>
      <c r="F2099" s="0" t="s">
        <v>585</v>
      </c>
      <c r="I2099" s="0" t="n">
        <v>1996</v>
      </c>
      <c r="J2099" s="0" t="n">
        <v>31860</v>
      </c>
      <c r="K2099" s="0" t="n">
        <v>7898018160082</v>
      </c>
      <c r="L2099" s="0" t="s">
        <v>3667</v>
      </c>
      <c r="N2099" s="0" t="n">
        <v>60</v>
      </c>
      <c r="O2099" s="0" t="n">
        <v>225.8</v>
      </c>
      <c r="P2099" s="0" t="s">
        <v>2444</v>
      </c>
    </row>
    <row r="2100" customFormat="false" ht="15" hidden="false" customHeight="true" outlineLevel="0" collapsed="false">
      <c r="A2100" s="0" t="n">
        <v>2</v>
      </c>
      <c r="B2100" s="71" t="n">
        <v>46198</v>
      </c>
      <c r="C2100" s="0" t="n">
        <v>1</v>
      </c>
      <c r="D2100" s="0" t="s">
        <v>2442</v>
      </c>
      <c r="E2100" s="0" t="n">
        <v>1749</v>
      </c>
      <c r="F2100" s="0" t="s">
        <v>585</v>
      </c>
      <c r="I2100" s="0" t="n">
        <v>1996</v>
      </c>
      <c r="J2100" s="0" t="n">
        <v>33377</v>
      </c>
      <c r="K2100" s="0" t="n">
        <v>7897312402874</v>
      </c>
      <c r="L2100" s="0" t="s">
        <v>3668</v>
      </c>
      <c r="N2100" s="0" t="n">
        <v>24</v>
      </c>
      <c r="O2100" s="0" t="n">
        <v>39.9</v>
      </c>
      <c r="P2100" s="0" t="s">
        <v>2444</v>
      </c>
    </row>
    <row r="2101" customFormat="false" ht="15" hidden="false" customHeight="true" outlineLevel="0" collapsed="false">
      <c r="A2101" s="0" t="n">
        <v>2</v>
      </c>
      <c r="B2101" s="71" t="n">
        <v>46198</v>
      </c>
      <c r="C2101" s="0" t="n">
        <v>1</v>
      </c>
      <c r="D2101" s="0" t="s">
        <v>2442</v>
      </c>
      <c r="E2101" s="0" t="n">
        <v>1749</v>
      </c>
      <c r="F2101" s="0" t="s">
        <v>585</v>
      </c>
      <c r="I2101" s="0" t="n">
        <v>1996</v>
      </c>
      <c r="J2101" s="0" t="n">
        <v>33379</v>
      </c>
      <c r="K2101" s="0" t="n">
        <v>7897312402881</v>
      </c>
      <c r="L2101" s="0" t="s">
        <v>3669</v>
      </c>
      <c r="N2101" s="0" t="n">
        <v>24</v>
      </c>
      <c r="O2101" s="0" t="n">
        <v>39.9</v>
      </c>
      <c r="P2101" s="0" t="s">
        <v>2444</v>
      </c>
    </row>
    <row r="2102" customFormat="false" ht="15" hidden="false" customHeight="true" outlineLevel="0" collapsed="false">
      <c r="A2102" s="0" t="n">
        <v>2</v>
      </c>
      <c r="B2102" s="71" t="n">
        <v>46198</v>
      </c>
      <c r="C2102" s="0" t="n">
        <v>1</v>
      </c>
      <c r="D2102" s="0" t="s">
        <v>2442</v>
      </c>
      <c r="E2102" s="0" t="n">
        <v>1749</v>
      </c>
      <c r="F2102" s="0" t="s">
        <v>585</v>
      </c>
      <c r="I2102" s="0" t="n">
        <v>1996</v>
      </c>
      <c r="J2102" s="0" t="n">
        <v>34895</v>
      </c>
      <c r="K2102" s="0" t="n">
        <v>7897312402898</v>
      </c>
      <c r="L2102" s="0" t="s">
        <v>3120</v>
      </c>
      <c r="N2102" s="0" t="n">
        <v>24</v>
      </c>
      <c r="O2102" s="0" t="n">
        <v>39.9</v>
      </c>
      <c r="P2102" s="0" t="s">
        <v>2444</v>
      </c>
    </row>
    <row r="2103" customFormat="false" ht="15" hidden="false" customHeight="true" outlineLevel="0" collapsed="false">
      <c r="A2103" s="0" t="n">
        <v>2</v>
      </c>
      <c r="B2103" s="71" t="n">
        <v>46198</v>
      </c>
      <c r="C2103" s="0" t="n">
        <v>1</v>
      </c>
      <c r="D2103" s="0" t="s">
        <v>2442</v>
      </c>
      <c r="E2103" s="0" t="n">
        <v>1218</v>
      </c>
      <c r="F2103" s="0" t="s">
        <v>659</v>
      </c>
      <c r="I2103" s="0" t="n">
        <v>9495</v>
      </c>
      <c r="J2103" s="0" t="n">
        <v>47279</v>
      </c>
      <c r="K2103" s="0" t="n">
        <v>7898567700944</v>
      </c>
      <c r="L2103" s="0" t="s">
        <v>3670</v>
      </c>
      <c r="N2103" s="0" t="n">
        <v>12</v>
      </c>
      <c r="O2103" s="0" t="n">
        <v>67.32</v>
      </c>
      <c r="P2103" s="0" t="s">
        <v>2444</v>
      </c>
    </row>
    <row r="2104" customFormat="false" ht="15" hidden="false" customHeight="true" outlineLevel="0" collapsed="false">
      <c r="A2104" s="0" t="n">
        <v>2</v>
      </c>
      <c r="B2104" s="71" t="n">
        <v>46198</v>
      </c>
      <c r="C2104" s="0" t="n">
        <v>1</v>
      </c>
      <c r="D2104" s="0" t="s">
        <v>2442</v>
      </c>
      <c r="E2104" s="0" t="n">
        <v>1218</v>
      </c>
      <c r="F2104" s="0" t="s">
        <v>659</v>
      </c>
      <c r="I2104" s="0" t="n">
        <v>9495</v>
      </c>
      <c r="J2104" s="0" t="n">
        <v>48224</v>
      </c>
      <c r="K2104" s="0" t="n">
        <v>7897013586231</v>
      </c>
      <c r="L2104" s="0" t="s">
        <v>3671</v>
      </c>
      <c r="N2104" s="0" t="n">
        <v>50</v>
      </c>
      <c r="O2104" s="0" t="n">
        <v>99.5</v>
      </c>
      <c r="P2104" s="0" t="s">
        <v>2444</v>
      </c>
    </row>
    <row r="2105" customFormat="false" ht="15" hidden="false" customHeight="true" outlineLevel="0" collapsed="false">
      <c r="A2105" s="0" t="n">
        <v>2</v>
      </c>
      <c r="B2105" s="71" t="n">
        <v>46198</v>
      </c>
      <c r="C2105" s="0" t="n">
        <v>1</v>
      </c>
      <c r="D2105" s="0" t="s">
        <v>2442</v>
      </c>
      <c r="E2105" s="0" t="n">
        <v>1218</v>
      </c>
      <c r="F2105" s="0" t="s">
        <v>659</v>
      </c>
      <c r="I2105" s="0" t="n">
        <v>9495</v>
      </c>
      <c r="J2105" s="0" t="n">
        <v>48225</v>
      </c>
      <c r="K2105" s="0" t="n">
        <v>7897013586255</v>
      </c>
      <c r="L2105" s="0" t="s">
        <v>3672</v>
      </c>
      <c r="N2105" s="0" t="n">
        <v>50</v>
      </c>
      <c r="O2105" s="0" t="n">
        <v>144.5</v>
      </c>
      <c r="P2105" s="0" t="s">
        <v>2444</v>
      </c>
    </row>
    <row r="2106" customFormat="false" ht="15" hidden="false" customHeight="true" outlineLevel="0" collapsed="false">
      <c r="A2106" s="0" t="n">
        <v>2</v>
      </c>
      <c r="B2106" s="71" t="n">
        <v>46198</v>
      </c>
      <c r="C2106" s="0" t="n">
        <v>1</v>
      </c>
      <c r="D2106" s="0" t="s">
        <v>2442</v>
      </c>
      <c r="E2106" s="0" t="n">
        <v>1218</v>
      </c>
      <c r="F2106" s="0" t="s">
        <v>659</v>
      </c>
      <c r="I2106" s="0" t="n">
        <v>9495</v>
      </c>
      <c r="J2106" s="0" t="n">
        <v>48722</v>
      </c>
      <c r="K2106" s="0" t="n">
        <v>7897013586194</v>
      </c>
      <c r="L2106" s="0" t="s">
        <v>3673</v>
      </c>
      <c r="N2106" s="0" t="n">
        <v>50</v>
      </c>
      <c r="O2106" s="0" t="n">
        <v>79.5</v>
      </c>
      <c r="P2106" s="0" t="s">
        <v>2444</v>
      </c>
    </row>
    <row r="2107" customFormat="false" ht="15" hidden="false" customHeight="true" outlineLevel="0" collapsed="false">
      <c r="A2107" s="0" t="n">
        <v>2</v>
      </c>
      <c r="B2107" s="71" t="n">
        <v>46198</v>
      </c>
      <c r="C2107" s="0" t="n">
        <v>1</v>
      </c>
      <c r="D2107" s="0" t="s">
        <v>2442</v>
      </c>
      <c r="E2107" s="0" t="n">
        <v>1218</v>
      </c>
      <c r="F2107" s="0" t="s">
        <v>659</v>
      </c>
      <c r="I2107" s="0" t="n">
        <v>9495</v>
      </c>
      <c r="J2107" s="0" t="n">
        <v>48887</v>
      </c>
      <c r="K2107" s="0" t="n">
        <v>7897013585678</v>
      </c>
      <c r="L2107" s="0" t="s">
        <v>3674</v>
      </c>
      <c r="N2107" s="0" t="n">
        <v>20</v>
      </c>
      <c r="O2107" s="0" t="n">
        <v>222.2</v>
      </c>
      <c r="P2107" s="0" t="s">
        <v>2444</v>
      </c>
    </row>
    <row r="2108" customFormat="false" ht="15" hidden="false" customHeight="true" outlineLevel="0" collapsed="false">
      <c r="A2108" s="0" t="n">
        <v>2</v>
      </c>
      <c r="B2108" s="71" t="n">
        <v>46198</v>
      </c>
      <c r="C2108" s="0" t="n">
        <v>1</v>
      </c>
      <c r="D2108" s="0" t="s">
        <v>2442</v>
      </c>
      <c r="E2108" s="0" t="n">
        <v>1218</v>
      </c>
      <c r="F2108" s="0" t="s">
        <v>659</v>
      </c>
      <c r="I2108" s="0" t="n">
        <v>9495</v>
      </c>
      <c r="J2108" s="0" t="n">
        <v>48895</v>
      </c>
      <c r="K2108" s="0" t="n">
        <v>7897013585654</v>
      </c>
      <c r="L2108" s="0" t="s">
        <v>3675</v>
      </c>
      <c r="N2108" s="0" t="n">
        <v>20</v>
      </c>
      <c r="O2108" s="0" t="n">
        <v>91.4</v>
      </c>
      <c r="P2108" s="0" t="s">
        <v>2444</v>
      </c>
    </row>
    <row r="2109" customFormat="false" ht="15" hidden="false" customHeight="true" outlineLevel="0" collapsed="false">
      <c r="A2109" s="0" t="n">
        <v>2</v>
      </c>
      <c r="B2109" s="71" t="n">
        <v>46198</v>
      </c>
      <c r="C2109" s="0" t="n">
        <v>1</v>
      </c>
      <c r="D2109" s="0" t="s">
        <v>2442</v>
      </c>
      <c r="E2109" s="0" t="n">
        <v>1218</v>
      </c>
      <c r="F2109" s="0" t="s">
        <v>659</v>
      </c>
      <c r="I2109" s="0" t="n">
        <v>9495</v>
      </c>
      <c r="J2109" s="0" t="n">
        <v>53840</v>
      </c>
      <c r="K2109" s="0" t="n">
        <v>7897013585661</v>
      </c>
      <c r="L2109" s="0" t="s">
        <v>3676</v>
      </c>
      <c r="N2109" s="0" t="n">
        <v>20</v>
      </c>
      <c r="O2109" s="0" t="n">
        <v>157.8</v>
      </c>
      <c r="P2109" s="0" t="s">
        <v>2444</v>
      </c>
    </row>
    <row r="2110" customFormat="false" ht="15" hidden="false" customHeight="true" outlineLevel="0" collapsed="false">
      <c r="A2110" s="0" t="n">
        <v>2</v>
      </c>
      <c r="B2110" s="71" t="n">
        <v>46198</v>
      </c>
      <c r="C2110" s="0" t="n">
        <v>1</v>
      </c>
      <c r="D2110" s="0" t="s">
        <v>2442</v>
      </c>
      <c r="E2110" s="0" t="n">
        <v>1218</v>
      </c>
      <c r="F2110" s="0" t="s">
        <v>659</v>
      </c>
      <c r="I2110" s="0" t="n">
        <v>9495</v>
      </c>
      <c r="J2110" s="0" t="n">
        <v>63251</v>
      </c>
      <c r="K2110" s="0" t="n">
        <v>7897013585685</v>
      </c>
      <c r="L2110" s="0" t="s">
        <v>3677</v>
      </c>
      <c r="N2110" s="0" t="n">
        <v>20</v>
      </c>
      <c r="O2110" s="0" t="n">
        <v>225</v>
      </c>
      <c r="P2110" s="0" t="s">
        <v>2444</v>
      </c>
    </row>
    <row r="2111" customFormat="false" ht="15" hidden="false" customHeight="true" outlineLevel="0" collapsed="false">
      <c r="A2111" s="0" t="n">
        <v>2</v>
      </c>
      <c r="B2111" s="71" t="n">
        <v>46198</v>
      </c>
      <c r="C2111" s="0" t="n">
        <v>1</v>
      </c>
      <c r="D2111" s="0" t="s">
        <v>2442</v>
      </c>
      <c r="E2111" s="0" t="n">
        <v>1218</v>
      </c>
      <c r="F2111" s="0" t="s">
        <v>659</v>
      </c>
      <c r="I2111" s="0" t="n">
        <v>9495</v>
      </c>
      <c r="J2111" s="0" t="n">
        <v>69747</v>
      </c>
      <c r="K2111" s="0" t="n">
        <v>7908412511936</v>
      </c>
      <c r="L2111" s="0" t="s">
        <v>3678</v>
      </c>
      <c r="N2111" s="0" t="n">
        <v>6</v>
      </c>
      <c r="O2111" s="0" t="n">
        <v>82.74</v>
      </c>
      <c r="P2111" s="0" t="s">
        <v>2444</v>
      </c>
    </row>
    <row r="2112" customFormat="false" ht="15" hidden="false" customHeight="true" outlineLevel="0" collapsed="false">
      <c r="A2112" s="0" t="n">
        <v>2</v>
      </c>
      <c r="B2112" s="71" t="n">
        <v>46198</v>
      </c>
      <c r="C2112" s="0" t="n">
        <v>1</v>
      </c>
      <c r="D2112" s="0" t="s">
        <v>2442</v>
      </c>
      <c r="E2112" s="0" t="n">
        <v>1218</v>
      </c>
      <c r="F2112" s="0" t="s">
        <v>659</v>
      </c>
      <c r="I2112" s="0" t="n">
        <v>9495</v>
      </c>
      <c r="J2112" s="0" t="n">
        <v>69749</v>
      </c>
      <c r="K2112" s="0" t="n">
        <v>7908412511899</v>
      </c>
      <c r="L2112" s="0" t="s">
        <v>3679</v>
      </c>
      <c r="N2112" s="0" t="n">
        <v>6</v>
      </c>
      <c r="O2112" s="0" t="n">
        <v>82.74</v>
      </c>
      <c r="P2112" s="0" t="s">
        <v>2444</v>
      </c>
    </row>
    <row r="2113" customFormat="false" ht="15" hidden="false" customHeight="true" outlineLevel="0" collapsed="false">
      <c r="A2113" s="0" t="n">
        <v>2</v>
      </c>
      <c r="B2113" s="71" t="n">
        <v>46198</v>
      </c>
      <c r="C2113" s="0" t="n">
        <v>1</v>
      </c>
      <c r="D2113" s="0" t="s">
        <v>2442</v>
      </c>
      <c r="E2113" s="0" t="n">
        <v>1218</v>
      </c>
      <c r="F2113" s="0" t="s">
        <v>659</v>
      </c>
      <c r="I2113" s="0" t="n">
        <v>9495</v>
      </c>
      <c r="J2113" s="0" t="n">
        <v>69750</v>
      </c>
      <c r="K2113" s="0" t="n">
        <v>7908412511929</v>
      </c>
      <c r="L2113" s="0" t="s">
        <v>3680</v>
      </c>
      <c r="N2113" s="0" t="n">
        <v>6</v>
      </c>
      <c r="O2113" s="0" t="n">
        <v>82.74</v>
      </c>
      <c r="P2113" s="0" t="s">
        <v>2444</v>
      </c>
    </row>
    <row r="2114" customFormat="false" ht="15" hidden="false" customHeight="true" outlineLevel="0" collapsed="false">
      <c r="A2114" s="0" t="n">
        <v>2</v>
      </c>
      <c r="B2114" s="71" t="n">
        <v>46198</v>
      </c>
      <c r="C2114" s="0" t="n">
        <v>1</v>
      </c>
      <c r="D2114" s="0" t="s">
        <v>2442</v>
      </c>
      <c r="E2114" s="0" t="n">
        <v>1218</v>
      </c>
      <c r="F2114" s="0" t="s">
        <v>659</v>
      </c>
      <c r="I2114" s="0" t="n">
        <v>9495</v>
      </c>
      <c r="J2114" s="0" t="n">
        <v>69751</v>
      </c>
      <c r="K2114" s="0" t="n">
        <v>7908412511967</v>
      </c>
      <c r="L2114" s="0" t="s">
        <v>3681</v>
      </c>
      <c r="N2114" s="0" t="n">
        <v>6</v>
      </c>
      <c r="O2114" s="0" t="n">
        <v>82.74</v>
      </c>
      <c r="P2114" s="0" t="s">
        <v>2444</v>
      </c>
    </row>
    <row r="2115" customFormat="false" ht="15" hidden="false" customHeight="true" outlineLevel="0" collapsed="false">
      <c r="A2115" s="0" t="n">
        <v>2</v>
      </c>
      <c r="B2115" s="71" t="n">
        <v>46198</v>
      </c>
      <c r="C2115" s="0" t="n">
        <v>1</v>
      </c>
      <c r="D2115" s="0" t="s">
        <v>2442</v>
      </c>
      <c r="E2115" s="0" t="n">
        <v>1218</v>
      </c>
      <c r="F2115" s="0" t="s">
        <v>659</v>
      </c>
      <c r="I2115" s="0" t="n">
        <v>9495</v>
      </c>
      <c r="J2115" s="0" t="n">
        <v>73971</v>
      </c>
      <c r="K2115" s="0" t="n">
        <v>7908412511943</v>
      </c>
      <c r="L2115" s="0" t="s">
        <v>3682</v>
      </c>
      <c r="N2115" s="0" t="n">
        <v>6</v>
      </c>
      <c r="O2115" s="0" t="n">
        <v>82.74</v>
      </c>
      <c r="P2115" s="0" t="s">
        <v>2444</v>
      </c>
    </row>
    <row r="2116" customFormat="false" ht="15" hidden="false" customHeight="true" outlineLevel="0" collapsed="false">
      <c r="A2116" s="0" t="n">
        <v>2</v>
      </c>
      <c r="B2116" s="71" t="n">
        <v>46198</v>
      </c>
      <c r="C2116" s="0" t="n">
        <v>1</v>
      </c>
      <c r="D2116" s="0" t="s">
        <v>2442</v>
      </c>
      <c r="E2116" s="0" t="n">
        <v>1218</v>
      </c>
      <c r="F2116" s="0" t="s">
        <v>659</v>
      </c>
      <c r="I2116" s="0" t="n">
        <v>9495</v>
      </c>
      <c r="J2116" s="0" t="n">
        <v>74046</v>
      </c>
      <c r="K2116" s="0" t="n">
        <v>4059952524764</v>
      </c>
      <c r="L2116" s="0" t="s">
        <v>3683</v>
      </c>
      <c r="N2116" s="0" t="n">
        <v>50</v>
      </c>
      <c r="O2116" s="0" t="n">
        <v>82.5</v>
      </c>
      <c r="P2116" s="0" t="s">
        <v>2444</v>
      </c>
    </row>
    <row r="2117" customFormat="false" ht="15" hidden="false" customHeight="true" outlineLevel="0" collapsed="false">
      <c r="A2117" s="0" t="n">
        <v>2</v>
      </c>
      <c r="B2117" s="71" t="n">
        <v>46198</v>
      </c>
      <c r="C2117" s="0" t="n">
        <v>1</v>
      </c>
      <c r="D2117" s="0" t="s">
        <v>2442</v>
      </c>
      <c r="E2117" s="0" t="n">
        <v>1218</v>
      </c>
      <c r="F2117" s="0" t="s">
        <v>659</v>
      </c>
      <c r="I2117" s="0" t="n">
        <v>9495</v>
      </c>
      <c r="J2117" s="0" t="n">
        <v>81496</v>
      </c>
      <c r="K2117" s="0" t="n">
        <v>7908412539619</v>
      </c>
      <c r="L2117" s="0" t="s">
        <v>3684</v>
      </c>
      <c r="N2117" s="0" t="n">
        <v>6</v>
      </c>
      <c r="O2117" s="0" t="n">
        <v>77.4</v>
      </c>
      <c r="P2117" s="0" t="s">
        <v>2444</v>
      </c>
    </row>
    <row r="2118" customFormat="false" ht="15" hidden="false" customHeight="true" outlineLevel="0" collapsed="false">
      <c r="A2118" s="0" t="n">
        <v>2</v>
      </c>
      <c r="B2118" s="71" t="n">
        <v>46198</v>
      </c>
      <c r="C2118" s="0" t="n">
        <v>1</v>
      </c>
      <c r="D2118" s="0" t="s">
        <v>2442</v>
      </c>
      <c r="E2118" s="0" t="n">
        <v>1218</v>
      </c>
      <c r="F2118" s="0" t="s">
        <v>659</v>
      </c>
      <c r="I2118" s="0" t="n">
        <v>9495</v>
      </c>
      <c r="J2118" s="0" t="n">
        <v>81497</v>
      </c>
      <c r="K2118" s="0" t="n">
        <v>7908412539381</v>
      </c>
      <c r="L2118" s="0" t="s">
        <v>3685</v>
      </c>
      <c r="N2118" s="0" t="n">
        <v>6</v>
      </c>
      <c r="O2118" s="0" t="n">
        <v>77.4</v>
      </c>
      <c r="P2118" s="0" t="s">
        <v>2444</v>
      </c>
    </row>
    <row r="2119" customFormat="false" ht="15" hidden="false" customHeight="true" outlineLevel="0" collapsed="false">
      <c r="A2119" s="0" t="n">
        <v>2</v>
      </c>
      <c r="B2119" s="71" t="n">
        <v>46198</v>
      </c>
      <c r="C2119" s="0" t="n">
        <v>1</v>
      </c>
      <c r="D2119" s="0" t="s">
        <v>2442</v>
      </c>
      <c r="E2119" s="0" t="n">
        <v>1218</v>
      </c>
      <c r="F2119" s="0" t="s">
        <v>659</v>
      </c>
      <c r="I2119" s="0" t="n">
        <v>9495</v>
      </c>
      <c r="J2119" s="0" t="n">
        <v>81498</v>
      </c>
      <c r="K2119" s="0" t="n">
        <v>7908412539886</v>
      </c>
      <c r="L2119" s="0" t="s">
        <v>3686</v>
      </c>
      <c r="N2119" s="0" t="n">
        <v>6</v>
      </c>
      <c r="O2119" s="0" t="n">
        <v>107.4</v>
      </c>
      <c r="P2119" s="0" t="s">
        <v>2444</v>
      </c>
    </row>
    <row r="2120" customFormat="false" ht="15" hidden="false" customHeight="true" outlineLevel="0" collapsed="false">
      <c r="A2120" s="0" t="n">
        <v>2</v>
      </c>
      <c r="B2120" s="71" t="n">
        <v>46198</v>
      </c>
      <c r="C2120" s="0" t="n">
        <v>1</v>
      </c>
      <c r="D2120" s="0" t="s">
        <v>2442</v>
      </c>
      <c r="E2120" s="0" t="n">
        <v>1218</v>
      </c>
      <c r="F2120" s="0" t="s">
        <v>659</v>
      </c>
      <c r="I2120" s="0" t="n">
        <v>9495</v>
      </c>
      <c r="J2120" s="0" t="n">
        <v>81499</v>
      </c>
      <c r="K2120" s="0" t="n">
        <v>7892000002046</v>
      </c>
      <c r="L2120" s="0" t="s">
        <v>3687</v>
      </c>
      <c r="N2120" s="0" t="n">
        <v>24</v>
      </c>
      <c r="O2120" s="0" t="n">
        <v>74.4</v>
      </c>
      <c r="P2120" s="0" t="s">
        <v>2444</v>
      </c>
    </row>
    <row r="2121" customFormat="false" ht="15" hidden="false" customHeight="true" outlineLevel="0" collapsed="false">
      <c r="A2121" s="0" t="n">
        <v>2</v>
      </c>
      <c r="B2121" s="71" t="n">
        <v>46198</v>
      </c>
      <c r="C2121" s="0" t="n">
        <v>1</v>
      </c>
      <c r="D2121" s="0" t="s">
        <v>2442</v>
      </c>
      <c r="E2121" s="0" t="n">
        <v>1218</v>
      </c>
      <c r="F2121" s="0" t="s">
        <v>659</v>
      </c>
      <c r="I2121" s="0" t="n">
        <v>9495</v>
      </c>
      <c r="J2121" s="0" t="n">
        <v>81500</v>
      </c>
      <c r="K2121" s="0" t="n">
        <v>7892183000891</v>
      </c>
      <c r="L2121" s="0" t="s">
        <v>3688</v>
      </c>
      <c r="N2121" s="0" t="n">
        <v>100</v>
      </c>
      <c r="O2121" s="0" t="n">
        <v>49.21</v>
      </c>
      <c r="P2121" s="0" t="s">
        <v>2444</v>
      </c>
    </row>
    <row r="2122" customFormat="false" ht="15" hidden="false" customHeight="true" outlineLevel="0" collapsed="false">
      <c r="A2122" s="0" t="n">
        <v>2</v>
      </c>
      <c r="B2122" s="71" t="n">
        <v>46198</v>
      </c>
      <c r="C2122" s="0" t="n">
        <v>1</v>
      </c>
      <c r="D2122" s="0" t="s">
        <v>2442</v>
      </c>
      <c r="E2122" s="0" t="n">
        <v>1218</v>
      </c>
      <c r="F2122" s="0" t="s">
        <v>659</v>
      </c>
      <c r="I2122" s="0" t="n">
        <v>9495</v>
      </c>
      <c r="J2122" s="0" t="n">
        <v>81501</v>
      </c>
      <c r="K2122" s="0" t="n">
        <v>7892183001065</v>
      </c>
      <c r="L2122" s="0" t="s">
        <v>3689</v>
      </c>
      <c r="N2122" s="0" t="n">
        <v>100</v>
      </c>
      <c r="O2122" s="0" t="n">
        <v>21.15</v>
      </c>
      <c r="P2122" s="0" t="s">
        <v>2444</v>
      </c>
    </row>
    <row r="2123" customFormat="false" ht="15" hidden="false" customHeight="true" outlineLevel="0" collapsed="false">
      <c r="A2123" s="0" t="n">
        <v>2</v>
      </c>
      <c r="B2123" s="71" t="n">
        <v>46198</v>
      </c>
      <c r="C2123" s="0" t="n">
        <v>1</v>
      </c>
      <c r="D2123" s="0" t="s">
        <v>2442</v>
      </c>
      <c r="E2123" s="0" t="n">
        <v>1218</v>
      </c>
      <c r="F2123" s="0" t="s">
        <v>659</v>
      </c>
      <c r="I2123" s="0" t="n">
        <v>9495</v>
      </c>
      <c r="J2123" s="0" t="n">
        <v>81502</v>
      </c>
      <c r="K2123" s="0" t="n">
        <v>7892183001096</v>
      </c>
      <c r="L2123" s="0" t="s">
        <v>3690</v>
      </c>
      <c r="N2123" s="0" t="n">
        <v>100</v>
      </c>
      <c r="O2123" s="0" t="n">
        <v>35.14</v>
      </c>
      <c r="P2123" s="0" t="s">
        <v>2444</v>
      </c>
    </row>
    <row r="2124" customFormat="false" ht="15" hidden="false" customHeight="true" outlineLevel="0" collapsed="false">
      <c r="A2124" s="0" t="n">
        <v>2</v>
      </c>
      <c r="B2124" s="71" t="n">
        <v>46198</v>
      </c>
      <c r="C2124" s="0" t="n">
        <v>1</v>
      </c>
      <c r="D2124" s="0" t="s">
        <v>2442</v>
      </c>
      <c r="E2124" s="0" t="n">
        <v>1218</v>
      </c>
      <c r="F2124" s="0" t="s">
        <v>659</v>
      </c>
      <c r="I2124" s="0" t="n">
        <v>9495</v>
      </c>
      <c r="J2124" s="0" t="n">
        <v>81503</v>
      </c>
      <c r="K2124" s="0" t="n">
        <v>7892000030117</v>
      </c>
      <c r="L2124" s="0" t="s">
        <v>3691</v>
      </c>
      <c r="N2124" s="0" t="n">
        <v>12</v>
      </c>
      <c r="O2124" s="0" t="n">
        <v>75.6</v>
      </c>
      <c r="P2124" s="0" t="s">
        <v>2444</v>
      </c>
    </row>
    <row r="2125" customFormat="false" ht="15" hidden="false" customHeight="true" outlineLevel="0" collapsed="false">
      <c r="A2125" s="0" t="n">
        <v>2</v>
      </c>
      <c r="B2125" s="71" t="n">
        <v>46198</v>
      </c>
      <c r="C2125" s="0" t="n">
        <v>1</v>
      </c>
      <c r="D2125" s="0" t="s">
        <v>2442</v>
      </c>
      <c r="E2125" s="0" t="n">
        <v>1218</v>
      </c>
      <c r="F2125" s="0" t="s">
        <v>659</v>
      </c>
      <c r="I2125" s="0" t="n">
        <v>9495</v>
      </c>
      <c r="J2125" s="0" t="n">
        <v>81504</v>
      </c>
      <c r="K2125" s="0" t="n">
        <v>7898515550188</v>
      </c>
      <c r="L2125" s="0" t="s">
        <v>3692</v>
      </c>
      <c r="N2125" s="0" t="n">
        <v>12</v>
      </c>
      <c r="O2125" s="0" t="n">
        <v>109.8</v>
      </c>
      <c r="P2125" s="0" t="s">
        <v>2444</v>
      </c>
    </row>
    <row r="2126" customFormat="false" ht="15" hidden="false" customHeight="true" outlineLevel="0" collapsed="false">
      <c r="A2126" s="0" t="n">
        <v>2</v>
      </c>
      <c r="B2126" s="71" t="n">
        <v>46198</v>
      </c>
      <c r="C2126" s="0" t="n">
        <v>1</v>
      </c>
      <c r="D2126" s="0" t="s">
        <v>2442</v>
      </c>
      <c r="E2126" s="0" t="n">
        <v>1218</v>
      </c>
      <c r="F2126" s="0" t="s">
        <v>659</v>
      </c>
      <c r="I2126" s="0" t="n">
        <v>9495</v>
      </c>
      <c r="J2126" s="0" t="n">
        <v>81506</v>
      </c>
      <c r="K2126" s="0" t="n">
        <v>7908642003157</v>
      </c>
      <c r="L2126" s="0" t="s">
        <v>3693</v>
      </c>
      <c r="N2126" s="0" t="n">
        <v>30</v>
      </c>
      <c r="O2126" s="0" t="n">
        <v>56.4</v>
      </c>
      <c r="P2126" s="0" t="s">
        <v>2444</v>
      </c>
    </row>
    <row r="2127" customFormat="false" ht="15" hidden="false" customHeight="true" outlineLevel="0" collapsed="false">
      <c r="A2127" s="0" t="n">
        <v>2</v>
      </c>
      <c r="B2127" s="71" t="n">
        <v>46198</v>
      </c>
      <c r="C2127" s="0" t="n">
        <v>1</v>
      </c>
      <c r="D2127" s="0" t="s">
        <v>2442</v>
      </c>
      <c r="E2127" s="0" t="n">
        <v>1218</v>
      </c>
      <c r="F2127" s="0" t="s">
        <v>659</v>
      </c>
      <c r="I2127" s="0" t="n">
        <v>9495</v>
      </c>
      <c r="J2127" s="0" t="n">
        <v>81507</v>
      </c>
      <c r="K2127" s="0" t="n">
        <v>7892183069690</v>
      </c>
      <c r="L2127" s="0" t="s">
        <v>3694</v>
      </c>
      <c r="N2127" s="0" t="n">
        <v>1000</v>
      </c>
      <c r="O2127" s="0" t="n">
        <v>67</v>
      </c>
      <c r="P2127" s="0" t="s">
        <v>2444</v>
      </c>
    </row>
    <row r="2128" customFormat="false" ht="15" hidden="false" customHeight="true" outlineLevel="0" collapsed="false">
      <c r="A2128" s="0" t="n">
        <v>2</v>
      </c>
      <c r="B2128" s="71" t="n">
        <v>46198</v>
      </c>
      <c r="C2128" s="0" t="n">
        <v>1</v>
      </c>
      <c r="D2128" s="0" t="s">
        <v>2442</v>
      </c>
      <c r="E2128" s="0" t="n">
        <v>1218</v>
      </c>
      <c r="F2128" s="0" t="s">
        <v>659</v>
      </c>
      <c r="I2128" s="0" t="n">
        <v>9495</v>
      </c>
      <c r="J2128" s="0" t="n">
        <v>81508</v>
      </c>
      <c r="K2128" s="0" t="n">
        <v>7892183608042</v>
      </c>
      <c r="L2128" s="0" t="s">
        <v>3695</v>
      </c>
      <c r="N2128" s="0" t="n">
        <v>1000</v>
      </c>
      <c r="O2128" s="0" t="n">
        <v>69</v>
      </c>
      <c r="P2128" s="0" t="s">
        <v>2444</v>
      </c>
    </row>
    <row r="2129" customFormat="false" ht="15" hidden="false" customHeight="true" outlineLevel="0" collapsed="false">
      <c r="A2129" s="0" t="n">
        <v>2</v>
      </c>
      <c r="B2129" s="71" t="n">
        <v>46198</v>
      </c>
      <c r="C2129" s="0" t="n">
        <v>1</v>
      </c>
      <c r="D2129" s="0" t="s">
        <v>2442</v>
      </c>
      <c r="E2129" s="0" t="n">
        <v>1218</v>
      </c>
      <c r="F2129" s="0" t="s">
        <v>659</v>
      </c>
      <c r="I2129" s="0" t="n">
        <v>9495</v>
      </c>
      <c r="J2129" s="0" t="n">
        <v>81509</v>
      </c>
      <c r="K2129" s="0" t="n">
        <v>7892183606161</v>
      </c>
      <c r="L2129" s="0" t="s">
        <v>3696</v>
      </c>
      <c r="N2129" s="0" t="n">
        <v>1000</v>
      </c>
      <c r="O2129" s="0" t="n">
        <v>83</v>
      </c>
      <c r="P2129" s="0" t="s">
        <v>2444</v>
      </c>
    </row>
    <row r="2130" customFormat="false" ht="15" hidden="false" customHeight="true" outlineLevel="0" collapsed="false">
      <c r="A2130" s="0" t="n">
        <v>2</v>
      </c>
      <c r="B2130" s="71" t="n">
        <v>46198</v>
      </c>
      <c r="C2130" s="0" t="n">
        <v>1</v>
      </c>
      <c r="D2130" s="0" t="s">
        <v>2442</v>
      </c>
      <c r="E2130" s="0" t="n">
        <v>1218</v>
      </c>
      <c r="F2130" s="0" t="s">
        <v>659</v>
      </c>
      <c r="I2130" s="0" t="n">
        <v>9495</v>
      </c>
      <c r="J2130" s="0" t="n">
        <v>81510</v>
      </c>
      <c r="K2130" s="0" t="n">
        <v>815116</v>
      </c>
      <c r="L2130" s="0" t="s">
        <v>3697</v>
      </c>
      <c r="N2130" s="0" t="n">
        <v>1000</v>
      </c>
      <c r="O2130" s="0" t="n">
        <v>91</v>
      </c>
      <c r="P2130" s="0" t="s">
        <v>2444</v>
      </c>
    </row>
    <row r="2131" customFormat="false" ht="15" hidden="false" customHeight="true" outlineLevel="0" collapsed="false">
      <c r="A2131" s="0" t="n">
        <v>2</v>
      </c>
      <c r="B2131" s="71" t="n">
        <v>46198</v>
      </c>
      <c r="C2131" s="0" t="n">
        <v>1</v>
      </c>
      <c r="D2131" s="0" t="s">
        <v>2442</v>
      </c>
      <c r="E2131" s="0" t="n">
        <v>1218</v>
      </c>
      <c r="F2131" s="0" t="s">
        <v>659</v>
      </c>
      <c r="I2131" s="0" t="n">
        <v>9495</v>
      </c>
      <c r="J2131" s="0" t="n">
        <v>81516</v>
      </c>
      <c r="K2131" s="0" t="n">
        <v>7897013558870</v>
      </c>
      <c r="L2131" s="0" t="s">
        <v>3698</v>
      </c>
      <c r="N2131" s="0" t="n">
        <v>6</v>
      </c>
      <c r="O2131" s="0" t="n">
        <v>78.6</v>
      </c>
      <c r="P2131" s="0" t="s">
        <v>2444</v>
      </c>
    </row>
    <row r="2132" customFormat="false" ht="15" hidden="false" customHeight="true" outlineLevel="0" collapsed="false">
      <c r="A2132" s="0" t="n">
        <v>2</v>
      </c>
      <c r="B2132" s="71" t="n">
        <v>46198</v>
      </c>
      <c r="C2132" s="0" t="n">
        <v>1</v>
      </c>
      <c r="D2132" s="0" t="s">
        <v>2442</v>
      </c>
      <c r="E2132" s="0" t="n">
        <v>1723</v>
      </c>
      <c r="F2132" s="0" t="s">
        <v>371</v>
      </c>
      <c r="I2132" s="0" t="n">
        <v>172089</v>
      </c>
      <c r="J2132" s="0" t="n">
        <v>29079</v>
      </c>
      <c r="K2132" s="0" t="n">
        <v>55515</v>
      </c>
      <c r="L2132" s="0" t="s">
        <v>2449</v>
      </c>
      <c r="N2132" s="0" t="n">
        <v>72.6</v>
      </c>
      <c r="O2132" s="0" t="n">
        <v>2323.2</v>
      </c>
      <c r="P2132" s="0" t="s">
        <v>2444</v>
      </c>
    </row>
    <row r="2133" customFormat="false" ht="15" hidden="false" customHeight="true" outlineLevel="0" collapsed="false">
      <c r="A2133" s="0" t="n">
        <v>2</v>
      </c>
      <c r="B2133" s="71" t="n">
        <v>46198</v>
      </c>
      <c r="C2133" s="0" t="n">
        <v>1</v>
      </c>
      <c r="D2133" s="0" t="s">
        <v>2442</v>
      </c>
      <c r="E2133" s="0" t="n">
        <v>1723</v>
      </c>
      <c r="F2133" s="0" t="s">
        <v>371</v>
      </c>
      <c r="I2133" s="0" t="n">
        <v>172089</v>
      </c>
      <c r="J2133" s="0" t="n">
        <v>29080</v>
      </c>
      <c r="K2133" s="0" t="n">
        <v>55516</v>
      </c>
      <c r="L2133" s="0" t="s">
        <v>2450</v>
      </c>
      <c r="N2133" s="0" t="n">
        <v>54</v>
      </c>
      <c r="O2133" s="0" t="n">
        <v>1188</v>
      </c>
      <c r="P2133" s="0" t="s">
        <v>2444</v>
      </c>
    </row>
    <row r="2134" customFormat="false" ht="15" hidden="false" customHeight="true" outlineLevel="0" collapsed="false">
      <c r="A2134" s="0" t="n">
        <v>2</v>
      </c>
      <c r="B2134" s="71" t="n">
        <v>46198</v>
      </c>
      <c r="C2134" s="0" t="n">
        <v>1</v>
      </c>
      <c r="D2134" s="0" t="s">
        <v>2442</v>
      </c>
      <c r="E2134" s="0" t="n">
        <v>1723</v>
      </c>
      <c r="F2134" s="0" t="s">
        <v>371</v>
      </c>
      <c r="I2134" s="0" t="n">
        <v>172089</v>
      </c>
      <c r="J2134" s="0" t="n">
        <v>77455</v>
      </c>
      <c r="K2134" s="0" t="n">
        <v>774567</v>
      </c>
      <c r="L2134" s="0" t="s">
        <v>2624</v>
      </c>
      <c r="N2134" s="0" t="n">
        <v>15.8</v>
      </c>
      <c r="O2134" s="0" t="n">
        <v>489.8</v>
      </c>
      <c r="P2134" s="0" t="s">
        <v>2444</v>
      </c>
    </row>
    <row r="2135" customFormat="false" ht="15" hidden="false" customHeight="true" outlineLevel="0" collapsed="false">
      <c r="A2135" s="0" t="n">
        <v>2</v>
      </c>
      <c r="B2135" s="71" t="n">
        <v>46198</v>
      </c>
      <c r="C2135" s="0" t="n">
        <v>1</v>
      </c>
      <c r="D2135" s="0" t="s">
        <v>2442</v>
      </c>
      <c r="E2135" s="0" t="n">
        <v>1024</v>
      </c>
      <c r="F2135" s="0" t="s">
        <v>471</v>
      </c>
      <c r="I2135" s="0" t="n">
        <v>590547</v>
      </c>
      <c r="J2135" s="0" t="n">
        <v>30387</v>
      </c>
      <c r="K2135" s="0" t="n">
        <v>7898654710092</v>
      </c>
      <c r="L2135" s="0" t="s">
        <v>3699</v>
      </c>
      <c r="N2135" s="0" t="n">
        <v>60</v>
      </c>
      <c r="O2135" s="0" t="n">
        <v>70</v>
      </c>
      <c r="P2135" s="0" t="s">
        <v>2444</v>
      </c>
    </row>
    <row r="2136" customFormat="false" ht="15" hidden="false" customHeight="true" outlineLevel="0" collapsed="false">
      <c r="A2136" s="0" t="n">
        <v>2</v>
      </c>
      <c r="B2136" s="71" t="n">
        <v>46198</v>
      </c>
      <c r="C2136" s="0" t="n">
        <v>1</v>
      </c>
      <c r="D2136" s="0" t="s">
        <v>2442</v>
      </c>
      <c r="E2136" s="0" t="n">
        <v>1024</v>
      </c>
      <c r="F2136" s="0" t="s">
        <v>471</v>
      </c>
      <c r="I2136" s="0" t="n">
        <v>590547</v>
      </c>
      <c r="J2136" s="0" t="n">
        <v>25749</v>
      </c>
      <c r="K2136" s="0" t="n">
        <v>7898919635955</v>
      </c>
      <c r="L2136" s="0" t="s">
        <v>2790</v>
      </c>
      <c r="N2136" s="0" t="n">
        <v>24</v>
      </c>
      <c r="O2136" s="0" t="n">
        <v>52</v>
      </c>
      <c r="P2136" s="0" t="s">
        <v>2444</v>
      </c>
    </row>
    <row r="2137" customFormat="false" ht="15" hidden="false" customHeight="true" outlineLevel="0" collapsed="false">
      <c r="A2137" s="0" t="n">
        <v>2</v>
      </c>
      <c r="B2137" s="71" t="n">
        <v>46198</v>
      </c>
      <c r="C2137" s="0" t="n">
        <v>1</v>
      </c>
      <c r="D2137" s="0" t="s">
        <v>2442</v>
      </c>
      <c r="E2137" s="0" t="n">
        <v>1024</v>
      </c>
      <c r="F2137" s="0" t="s">
        <v>471</v>
      </c>
      <c r="I2137" s="0" t="n">
        <v>590547</v>
      </c>
      <c r="J2137" s="0" t="n">
        <v>28733</v>
      </c>
      <c r="K2137" s="0" t="n">
        <v>7898654710108</v>
      </c>
      <c r="L2137" s="0" t="s">
        <v>2791</v>
      </c>
      <c r="N2137" s="0" t="n">
        <v>24</v>
      </c>
      <c r="O2137" s="0" t="n">
        <v>28</v>
      </c>
      <c r="P2137" s="0" t="s">
        <v>2444</v>
      </c>
    </row>
    <row r="2138" customFormat="false" ht="15" hidden="false" customHeight="true" outlineLevel="0" collapsed="false">
      <c r="A2138" s="0" t="n">
        <v>2</v>
      </c>
      <c r="B2138" s="71" t="n">
        <v>46198</v>
      </c>
      <c r="C2138" s="0" t="n">
        <v>1</v>
      </c>
      <c r="D2138" s="0" t="s">
        <v>2442</v>
      </c>
      <c r="E2138" s="0" t="n">
        <v>1024</v>
      </c>
      <c r="F2138" s="0" t="s">
        <v>471</v>
      </c>
      <c r="I2138" s="0" t="n">
        <v>590547</v>
      </c>
      <c r="J2138" s="0" t="n">
        <v>32856</v>
      </c>
      <c r="K2138" s="0" t="n">
        <v>7898654710115</v>
      </c>
      <c r="L2138" s="0" t="s">
        <v>3700</v>
      </c>
      <c r="N2138" s="0" t="n">
        <v>36</v>
      </c>
      <c r="O2138" s="0" t="n">
        <v>42</v>
      </c>
      <c r="P2138" s="0" t="s">
        <v>2444</v>
      </c>
    </row>
    <row r="2139" customFormat="false" ht="15" hidden="false" customHeight="true" outlineLevel="0" collapsed="false">
      <c r="A2139" s="0" t="n">
        <v>2</v>
      </c>
      <c r="B2139" s="71" t="n">
        <v>46198</v>
      </c>
      <c r="C2139" s="0" t="n">
        <v>1</v>
      </c>
      <c r="D2139" s="0" t="s">
        <v>2442</v>
      </c>
      <c r="E2139" s="0" t="n">
        <v>1024</v>
      </c>
      <c r="F2139" s="0" t="s">
        <v>471</v>
      </c>
      <c r="I2139" s="0" t="n">
        <v>590547</v>
      </c>
      <c r="J2139" s="0" t="n">
        <v>34695</v>
      </c>
      <c r="K2139" s="0" t="n">
        <v>7898654710085</v>
      </c>
      <c r="L2139" s="0" t="s">
        <v>3701</v>
      </c>
      <c r="N2139" s="0" t="n">
        <v>60</v>
      </c>
      <c r="O2139" s="0" t="n">
        <v>70</v>
      </c>
      <c r="P2139" s="0" t="s">
        <v>2444</v>
      </c>
    </row>
    <row r="2140" customFormat="false" ht="15" hidden="false" customHeight="true" outlineLevel="0" collapsed="false">
      <c r="A2140" s="0" t="n">
        <v>2</v>
      </c>
      <c r="B2140" s="71" t="n">
        <v>46198</v>
      </c>
      <c r="C2140" s="0" t="n">
        <v>1</v>
      </c>
      <c r="D2140" s="0" t="s">
        <v>2442</v>
      </c>
      <c r="E2140" s="0" t="n">
        <v>1683</v>
      </c>
      <c r="F2140" s="0" t="s">
        <v>406</v>
      </c>
      <c r="I2140" s="0" t="n">
        <v>1637144</v>
      </c>
      <c r="J2140" s="0" t="n">
        <v>109791</v>
      </c>
      <c r="K2140" s="0" t="n">
        <v>9667</v>
      </c>
      <c r="L2140" s="0" t="s">
        <v>2465</v>
      </c>
      <c r="N2140" s="0" t="n">
        <v>10</v>
      </c>
      <c r="O2140" s="0" t="n">
        <v>15</v>
      </c>
      <c r="P2140" s="0" t="s">
        <v>2444</v>
      </c>
    </row>
    <row r="2141" customFormat="false" ht="15" hidden="false" customHeight="true" outlineLevel="0" collapsed="false">
      <c r="A2141" s="0" t="n">
        <v>2</v>
      </c>
      <c r="B2141" s="71" t="n">
        <v>46198</v>
      </c>
      <c r="C2141" s="0" t="n">
        <v>1</v>
      </c>
      <c r="D2141" s="0" t="s">
        <v>2442</v>
      </c>
      <c r="E2141" s="0" t="n">
        <v>1683</v>
      </c>
      <c r="F2141" s="0" t="s">
        <v>406</v>
      </c>
      <c r="I2141" s="0" t="n">
        <v>1637144</v>
      </c>
      <c r="J2141" s="0" t="n">
        <v>37361</v>
      </c>
      <c r="K2141" s="0" t="n">
        <v>2240817</v>
      </c>
      <c r="L2141" s="0" t="s">
        <v>2467</v>
      </c>
      <c r="N2141" s="0" t="n">
        <v>70</v>
      </c>
      <c r="O2141" s="0" t="n">
        <v>126</v>
      </c>
      <c r="P2141" s="0" t="s">
        <v>2444</v>
      </c>
    </row>
    <row r="2142" customFormat="false" ht="15" hidden="false" customHeight="true" outlineLevel="0" collapsed="false">
      <c r="A2142" s="0" t="n">
        <v>2</v>
      </c>
      <c r="B2142" s="71" t="n">
        <v>46198</v>
      </c>
      <c r="C2142" s="0" t="n">
        <v>1</v>
      </c>
      <c r="D2142" s="0" t="s">
        <v>2442</v>
      </c>
      <c r="E2142" s="0" t="n">
        <v>1608</v>
      </c>
      <c r="F2142" s="0" t="s">
        <v>240</v>
      </c>
      <c r="I2142" s="0" t="n">
        <v>1680694</v>
      </c>
      <c r="J2142" s="0" t="n">
        <v>101892</v>
      </c>
      <c r="K2142" s="0" t="n">
        <v>7891098000187</v>
      </c>
      <c r="L2142" s="0" t="s">
        <v>3702</v>
      </c>
      <c r="N2142" s="0" t="n">
        <v>6</v>
      </c>
      <c r="O2142" s="0" t="n">
        <v>29.04</v>
      </c>
      <c r="P2142" s="0" t="s">
        <v>2444</v>
      </c>
    </row>
    <row r="2143" customFormat="false" ht="15" hidden="false" customHeight="true" outlineLevel="0" collapsed="false">
      <c r="A2143" s="0" t="n">
        <v>2</v>
      </c>
      <c r="B2143" s="71" t="n">
        <v>46198</v>
      </c>
      <c r="C2143" s="0" t="n">
        <v>1</v>
      </c>
      <c r="D2143" s="0" t="s">
        <v>2442</v>
      </c>
      <c r="E2143" s="0" t="n">
        <v>1608</v>
      </c>
      <c r="F2143" s="0" t="s">
        <v>240</v>
      </c>
      <c r="I2143" s="0" t="n">
        <v>1680694</v>
      </c>
      <c r="J2143" s="0" t="n">
        <v>101947</v>
      </c>
      <c r="K2143" s="0" t="n">
        <v>7891079001028</v>
      </c>
      <c r="L2143" s="0" t="s">
        <v>3703</v>
      </c>
      <c r="N2143" s="0" t="n">
        <v>50</v>
      </c>
      <c r="O2143" s="0" t="n">
        <v>110</v>
      </c>
      <c r="P2143" s="0" t="s">
        <v>2444</v>
      </c>
    </row>
    <row r="2144" customFormat="false" ht="15" hidden="false" customHeight="true" outlineLevel="0" collapsed="false">
      <c r="A2144" s="0" t="n">
        <v>2</v>
      </c>
      <c r="B2144" s="71" t="n">
        <v>46198</v>
      </c>
      <c r="C2144" s="0" t="n">
        <v>1</v>
      </c>
      <c r="D2144" s="0" t="s">
        <v>2442</v>
      </c>
      <c r="E2144" s="0" t="n">
        <v>1608</v>
      </c>
      <c r="F2144" s="0" t="s">
        <v>240</v>
      </c>
      <c r="I2144" s="0" t="n">
        <v>1680694</v>
      </c>
      <c r="J2144" s="0" t="n">
        <v>101948</v>
      </c>
      <c r="K2144" s="0" t="n">
        <v>7891079001011</v>
      </c>
      <c r="L2144" s="0" t="s">
        <v>3704</v>
      </c>
      <c r="N2144" s="0" t="n">
        <v>50</v>
      </c>
      <c r="O2144" s="0" t="n">
        <v>110</v>
      </c>
      <c r="P2144" s="0" t="s">
        <v>2444</v>
      </c>
    </row>
    <row r="2145" customFormat="false" ht="15" hidden="false" customHeight="true" outlineLevel="0" collapsed="false">
      <c r="A2145" s="0" t="n">
        <v>2</v>
      </c>
      <c r="B2145" s="71" t="n">
        <v>46198</v>
      </c>
      <c r="C2145" s="0" t="n">
        <v>1</v>
      </c>
      <c r="D2145" s="0" t="s">
        <v>2442</v>
      </c>
      <c r="E2145" s="0" t="n">
        <v>1608</v>
      </c>
      <c r="F2145" s="0" t="s">
        <v>240</v>
      </c>
      <c r="I2145" s="0" t="n">
        <v>1680694</v>
      </c>
      <c r="J2145" s="0" t="n">
        <v>101949</v>
      </c>
      <c r="K2145" s="0" t="n">
        <v>7891079001004</v>
      </c>
      <c r="L2145" s="0" t="s">
        <v>3705</v>
      </c>
      <c r="N2145" s="0" t="n">
        <v>25</v>
      </c>
      <c r="O2145" s="0" t="n">
        <v>55</v>
      </c>
      <c r="P2145" s="0" t="s">
        <v>2444</v>
      </c>
    </row>
    <row r="2146" customFormat="false" ht="15" hidden="false" customHeight="true" outlineLevel="0" collapsed="false">
      <c r="A2146" s="0" t="n">
        <v>2</v>
      </c>
      <c r="B2146" s="71" t="n">
        <v>46198</v>
      </c>
      <c r="C2146" s="0" t="n">
        <v>1</v>
      </c>
      <c r="D2146" s="0" t="s">
        <v>2442</v>
      </c>
      <c r="E2146" s="0" t="n">
        <v>1608</v>
      </c>
      <c r="F2146" s="0" t="s">
        <v>240</v>
      </c>
      <c r="I2146" s="0" t="n">
        <v>1680694</v>
      </c>
      <c r="J2146" s="0" t="n">
        <v>101953</v>
      </c>
      <c r="K2146" s="0" t="n">
        <v>7891079000229</v>
      </c>
      <c r="L2146" s="0" t="s">
        <v>3706</v>
      </c>
      <c r="N2146" s="0" t="n">
        <v>50</v>
      </c>
      <c r="O2146" s="0" t="n">
        <v>106</v>
      </c>
      <c r="P2146" s="0" t="s">
        <v>2444</v>
      </c>
    </row>
    <row r="2147" customFormat="false" ht="15" hidden="false" customHeight="true" outlineLevel="0" collapsed="false">
      <c r="A2147" s="0" t="n">
        <v>2</v>
      </c>
      <c r="B2147" s="71" t="n">
        <v>46198</v>
      </c>
      <c r="C2147" s="0" t="n">
        <v>1</v>
      </c>
      <c r="D2147" s="0" t="s">
        <v>2442</v>
      </c>
      <c r="E2147" s="0" t="n">
        <v>1608</v>
      </c>
      <c r="F2147" s="0" t="s">
        <v>240</v>
      </c>
      <c r="I2147" s="0" t="n">
        <v>1680694</v>
      </c>
      <c r="J2147" s="0" t="n">
        <v>101957</v>
      </c>
      <c r="K2147" s="0" t="n">
        <v>7891079000205</v>
      </c>
      <c r="L2147" s="0" t="s">
        <v>3707</v>
      </c>
      <c r="N2147" s="0" t="n">
        <v>50</v>
      </c>
      <c r="O2147" s="0" t="n">
        <v>106</v>
      </c>
      <c r="P2147" s="0" t="s">
        <v>2444</v>
      </c>
    </row>
    <row r="2148" customFormat="false" ht="15" hidden="false" customHeight="true" outlineLevel="0" collapsed="false">
      <c r="A2148" s="0" t="n">
        <v>2</v>
      </c>
      <c r="B2148" s="71" t="n">
        <v>46198</v>
      </c>
      <c r="C2148" s="0" t="n">
        <v>1</v>
      </c>
      <c r="D2148" s="0" t="s">
        <v>2442</v>
      </c>
      <c r="E2148" s="0" t="n">
        <v>1608</v>
      </c>
      <c r="F2148" s="0" t="s">
        <v>240</v>
      </c>
      <c r="I2148" s="0" t="n">
        <v>1680694</v>
      </c>
      <c r="J2148" s="0" t="n">
        <v>104131</v>
      </c>
      <c r="K2148" s="0" t="n">
        <v>7891098000163</v>
      </c>
      <c r="L2148" s="0" t="s">
        <v>3708</v>
      </c>
      <c r="N2148" s="0" t="n">
        <v>6</v>
      </c>
      <c r="O2148" s="0" t="n">
        <v>27.24</v>
      </c>
      <c r="P2148" s="0" t="s">
        <v>2444</v>
      </c>
    </row>
    <row r="2149" customFormat="false" ht="15" hidden="false" customHeight="true" outlineLevel="0" collapsed="false">
      <c r="A2149" s="0" t="n">
        <v>2</v>
      </c>
      <c r="B2149" s="71" t="n">
        <v>46198</v>
      </c>
      <c r="C2149" s="0" t="n">
        <v>1</v>
      </c>
      <c r="D2149" s="0" t="s">
        <v>2442</v>
      </c>
      <c r="E2149" s="0" t="n">
        <v>1608</v>
      </c>
      <c r="F2149" s="0" t="s">
        <v>240</v>
      </c>
      <c r="I2149" s="0" t="n">
        <v>1680694</v>
      </c>
      <c r="J2149" s="0" t="n">
        <v>104192</v>
      </c>
      <c r="K2149" s="0" t="n">
        <v>7891079011515</v>
      </c>
      <c r="L2149" s="0" t="s">
        <v>3709</v>
      </c>
      <c r="N2149" s="0" t="n">
        <v>2</v>
      </c>
      <c r="O2149" s="0" t="n">
        <v>14.38</v>
      </c>
      <c r="P2149" s="0" t="s">
        <v>2444</v>
      </c>
    </row>
    <row r="2150" customFormat="false" ht="15" hidden="false" customHeight="true" outlineLevel="0" collapsed="false">
      <c r="A2150" s="0" t="n">
        <v>2</v>
      </c>
      <c r="B2150" s="71" t="n">
        <v>46198</v>
      </c>
      <c r="C2150" s="0" t="n">
        <v>1</v>
      </c>
      <c r="D2150" s="0" t="s">
        <v>2442</v>
      </c>
      <c r="E2150" s="0" t="n">
        <v>1608</v>
      </c>
      <c r="F2150" s="0" t="s">
        <v>240</v>
      </c>
      <c r="I2150" s="0" t="n">
        <v>1680694</v>
      </c>
      <c r="J2150" s="0" t="n">
        <v>107876</v>
      </c>
      <c r="K2150" s="0" t="n">
        <v>7891079006009</v>
      </c>
      <c r="L2150" s="0" t="s">
        <v>3710</v>
      </c>
      <c r="N2150" s="0" t="n">
        <v>2</v>
      </c>
      <c r="O2150" s="0" t="n">
        <v>13.92</v>
      </c>
      <c r="P2150" s="0" t="s">
        <v>2444</v>
      </c>
    </row>
    <row r="2151" customFormat="false" ht="15" hidden="false" customHeight="true" outlineLevel="0" collapsed="false">
      <c r="A2151" s="0" t="n">
        <v>2</v>
      </c>
      <c r="B2151" s="71" t="n">
        <v>46198</v>
      </c>
      <c r="C2151" s="0" t="n">
        <v>1</v>
      </c>
      <c r="D2151" s="0" t="s">
        <v>2442</v>
      </c>
      <c r="E2151" s="0" t="n">
        <v>1608</v>
      </c>
      <c r="F2151" s="0" t="s">
        <v>240</v>
      </c>
      <c r="I2151" s="0" t="n">
        <v>1680694</v>
      </c>
      <c r="J2151" s="0" t="n">
        <v>19594</v>
      </c>
      <c r="K2151" s="0" t="n">
        <v>7891079000434</v>
      </c>
      <c r="L2151" s="0" t="s">
        <v>3711</v>
      </c>
      <c r="N2151" s="0" t="n">
        <v>15</v>
      </c>
      <c r="O2151" s="0" t="n">
        <v>43.2</v>
      </c>
      <c r="P2151" s="0" t="s">
        <v>2444</v>
      </c>
    </row>
    <row r="2152" customFormat="false" ht="15" hidden="false" customHeight="true" outlineLevel="0" collapsed="false">
      <c r="A2152" s="0" t="n">
        <v>2</v>
      </c>
      <c r="B2152" s="71" t="n">
        <v>46198</v>
      </c>
      <c r="C2152" s="0" t="n">
        <v>1</v>
      </c>
      <c r="D2152" s="0" t="s">
        <v>2442</v>
      </c>
      <c r="E2152" s="0" t="n">
        <v>1608</v>
      </c>
      <c r="F2152" s="0" t="s">
        <v>240</v>
      </c>
      <c r="I2152" s="0" t="n">
        <v>1680694</v>
      </c>
      <c r="J2152" s="0" t="n">
        <v>19595</v>
      </c>
      <c r="K2152" s="0" t="n">
        <v>7891079000410</v>
      </c>
      <c r="L2152" s="0" t="s">
        <v>3712</v>
      </c>
      <c r="N2152" s="0" t="n">
        <v>15</v>
      </c>
      <c r="O2152" s="0" t="n">
        <v>43.2</v>
      </c>
      <c r="P2152" s="0" t="s">
        <v>2444</v>
      </c>
    </row>
    <row r="2153" customFormat="false" ht="15" hidden="false" customHeight="true" outlineLevel="0" collapsed="false">
      <c r="A2153" s="0" t="n">
        <v>2</v>
      </c>
      <c r="B2153" s="71" t="n">
        <v>46198</v>
      </c>
      <c r="C2153" s="0" t="n">
        <v>1</v>
      </c>
      <c r="D2153" s="0" t="s">
        <v>2442</v>
      </c>
      <c r="E2153" s="0" t="n">
        <v>1608</v>
      </c>
      <c r="F2153" s="0" t="s">
        <v>240</v>
      </c>
      <c r="I2153" s="0" t="n">
        <v>1680694</v>
      </c>
      <c r="J2153" s="0" t="n">
        <v>24305</v>
      </c>
      <c r="K2153" s="0" t="n">
        <v>7891079000427</v>
      </c>
      <c r="L2153" s="0" t="s">
        <v>3713</v>
      </c>
      <c r="N2153" s="0" t="n">
        <v>15</v>
      </c>
      <c r="O2153" s="0" t="n">
        <v>43.2</v>
      </c>
      <c r="P2153" s="0" t="s">
        <v>2444</v>
      </c>
    </row>
    <row r="2154" customFormat="false" ht="15" hidden="false" customHeight="true" outlineLevel="0" collapsed="false">
      <c r="A2154" s="0" t="n">
        <v>2</v>
      </c>
      <c r="B2154" s="71" t="n">
        <v>46198</v>
      </c>
      <c r="C2154" s="0" t="n">
        <v>1</v>
      </c>
      <c r="D2154" s="0" t="s">
        <v>2442</v>
      </c>
      <c r="E2154" s="0" t="n">
        <v>1608</v>
      </c>
      <c r="F2154" s="0" t="s">
        <v>240</v>
      </c>
      <c r="I2154" s="0" t="n">
        <v>1680694</v>
      </c>
      <c r="J2154" s="0" t="n">
        <v>27996</v>
      </c>
      <c r="K2154" s="0" t="n">
        <v>7891079013083</v>
      </c>
      <c r="L2154" s="0" t="s">
        <v>3714</v>
      </c>
      <c r="N2154" s="0" t="n">
        <v>12</v>
      </c>
      <c r="O2154" s="0" t="n">
        <v>51</v>
      </c>
      <c r="P2154" s="0" t="s">
        <v>2444</v>
      </c>
    </row>
    <row r="2155" customFormat="false" ht="15" hidden="false" customHeight="true" outlineLevel="0" collapsed="false">
      <c r="A2155" s="0" t="n">
        <v>2</v>
      </c>
      <c r="B2155" s="71" t="n">
        <v>46198</v>
      </c>
      <c r="C2155" s="0" t="n">
        <v>1</v>
      </c>
      <c r="D2155" s="0" t="s">
        <v>2442</v>
      </c>
      <c r="E2155" s="0" t="n">
        <v>1608</v>
      </c>
      <c r="F2155" s="0" t="s">
        <v>240</v>
      </c>
      <c r="I2155" s="0" t="n">
        <v>1680694</v>
      </c>
      <c r="J2155" s="0" t="n">
        <v>27997</v>
      </c>
      <c r="K2155" s="0" t="n">
        <v>7891079013106</v>
      </c>
      <c r="L2155" s="0" t="s">
        <v>3715</v>
      </c>
      <c r="N2155" s="0" t="n">
        <v>12</v>
      </c>
      <c r="O2155" s="0" t="n">
        <v>51</v>
      </c>
      <c r="P2155" s="0" t="s">
        <v>2444</v>
      </c>
    </row>
    <row r="2156" customFormat="false" ht="15" hidden="false" customHeight="true" outlineLevel="0" collapsed="false">
      <c r="A2156" s="0" t="n">
        <v>2</v>
      </c>
      <c r="B2156" s="71" t="n">
        <v>46198</v>
      </c>
      <c r="C2156" s="0" t="n">
        <v>1</v>
      </c>
      <c r="D2156" s="0" t="s">
        <v>2442</v>
      </c>
      <c r="E2156" s="0" t="n">
        <v>1608</v>
      </c>
      <c r="F2156" s="0" t="s">
        <v>240</v>
      </c>
      <c r="I2156" s="0" t="n">
        <v>1680694</v>
      </c>
      <c r="J2156" s="0" t="n">
        <v>28032</v>
      </c>
      <c r="K2156" s="0" t="n">
        <v>7891079013038</v>
      </c>
      <c r="L2156" s="0" t="s">
        <v>3716</v>
      </c>
      <c r="N2156" s="0" t="n">
        <v>48</v>
      </c>
      <c r="O2156" s="0" t="n">
        <v>204</v>
      </c>
      <c r="P2156" s="0" t="s">
        <v>2444</v>
      </c>
    </row>
    <row r="2157" customFormat="false" ht="15" hidden="false" customHeight="true" outlineLevel="0" collapsed="false">
      <c r="A2157" s="0" t="n">
        <v>2</v>
      </c>
      <c r="B2157" s="71" t="n">
        <v>46198</v>
      </c>
      <c r="C2157" s="0" t="n">
        <v>1</v>
      </c>
      <c r="D2157" s="0" t="s">
        <v>2442</v>
      </c>
      <c r="E2157" s="0" t="n">
        <v>1608</v>
      </c>
      <c r="F2157" s="0" t="s">
        <v>240</v>
      </c>
      <c r="I2157" s="0" t="n">
        <v>1680694</v>
      </c>
      <c r="J2157" s="0" t="n">
        <v>28033</v>
      </c>
      <c r="K2157" s="0" t="n">
        <v>7891079013120</v>
      </c>
      <c r="L2157" s="0" t="s">
        <v>3717</v>
      </c>
      <c r="N2157" s="0" t="n">
        <v>12</v>
      </c>
      <c r="O2157" s="0" t="n">
        <v>51</v>
      </c>
      <c r="P2157" s="0" t="s">
        <v>2444</v>
      </c>
    </row>
    <row r="2158" customFormat="false" ht="15" hidden="false" customHeight="true" outlineLevel="0" collapsed="false">
      <c r="A2158" s="0" t="n">
        <v>2</v>
      </c>
      <c r="B2158" s="71" t="n">
        <v>46198</v>
      </c>
      <c r="C2158" s="0" t="n">
        <v>1</v>
      </c>
      <c r="D2158" s="0" t="s">
        <v>2442</v>
      </c>
      <c r="E2158" s="0" t="n">
        <v>1608</v>
      </c>
      <c r="F2158" s="0" t="s">
        <v>240</v>
      </c>
      <c r="I2158" s="0" t="n">
        <v>1680694</v>
      </c>
      <c r="J2158" s="0" t="n">
        <v>28034</v>
      </c>
      <c r="K2158" s="0" t="n">
        <v>7891079013069</v>
      </c>
      <c r="L2158" s="0" t="s">
        <v>3718</v>
      </c>
      <c r="N2158" s="0" t="n">
        <v>12</v>
      </c>
      <c r="O2158" s="0" t="n">
        <v>51</v>
      </c>
      <c r="P2158" s="0" t="s">
        <v>2444</v>
      </c>
    </row>
    <row r="2159" customFormat="false" ht="15" hidden="false" customHeight="true" outlineLevel="0" collapsed="false">
      <c r="A2159" s="0" t="n">
        <v>2</v>
      </c>
      <c r="B2159" s="71" t="n">
        <v>46198</v>
      </c>
      <c r="C2159" s="0" t="n">
        <v>1</v>
      </c>
      <c r="D2159" s="0" t="s">
        <v>2442</v>
      </c>
      <c r="E2159" s="0" t="n">
        <v>1608</v>
      </c>
      <c r="F2159" s="0" t="s">
        <v>240</v>
      </c>
      <c r="I2159" s="0" t="n">
        <v>1680694</v>
      </c>
      <c r="J2159" s="0" t="n">
        <v>28035</v>
      </c>
      <c r="K2159" s="0" t="n">
        <v>7891079013052</v>
      </c>
      <c r="L2159" s="0" t="s">
        <v>3719</v>
      </c>
      <c r="N2159" s="0" t="n">
        <v>24</v>
      </c>
      <c r="O2159" s="0" t="n">
        <v>102</v>
      </c>
      <c r="P2159" s="0" t="s">
        <v>2444</v>
      </c>
    </row>
    <row r="2160" customFormat="false" ht="15" hidden="false" customHeight="true" outlineLevel="0" collapsed="false">
      <c r="A2160" s="0" t="n">
        <v>2</v>
      </c>
      <c r="B2160" s="71" t="n">
        <v>46198</v>
      </c>
      <c r="C2160" s="0" t="n">
        <v>1</v>
      </c>
      <c r="D2160" s="0" t="s">
        <v>2442</v>
      </c>
      <c r="E2160" s="0" t="n">
        <v>1608</v>
      </c>
      <c r="F2160" s="0" t="s">
        <v>240</v>
      </c>
      <c r="I2160" s="0" t="n">
        <v>1680694</v>
      </c>
      <c r="J2160" s="0" t="n">
        <v>32164</v>
      </c>
      <c r="K2160" s="0" t="n">
        <v>7891910020065</v>
      </c>
      <c r="L2160" s="0" t="s">
        <v>3720</v>
      </c>
      <c r="N2160" s="0" t="n">
        <v>10</v>
      </c>
      <c r="O2160" s="0" t="n">
        <v>75.9</v>
      </c>
      <c r="P2160" s="0" t="s">
        <v>2444</v>
      </c>
    </row>
    <row r="2161" customFormat="false" ht="15" hidden="false" customHeight="true" outlineLevel="0" collapsed="false">
      <c r="A2161" s="0" t="n">
        <v>2</v>
      </c>
      <c r="B2161" s="71" t="n">
        <v>46198</v>
      </c>
      <c r="C2161" s="0" t="n">
        <v>1</v>
      </c>
      <c r="D2161" s="0" t="s">
        <v>2442</v>
      </c>
      <c r="E2161" s="0" t="n">
        <v>1608</v>
      </c>
      <c r="F2161" s="0" t="s">
        <v>240</v>
      </c>
      <c r="I2161" s="0" t="n">
        <v>1680694</v>
      </c>
      <c r="J2161" s="0" t="n">
        <v>66635</v>
      </c>
      <c r="K2161" s="0" t="n">
        <v>7891910030330</v>
      </c>
      <c r="L2161" s="0" t="s">
        <v>3721</v>
      </c>
      <c r="N2161" s="0" t="n">
        <v>10</v>
      </c>
      <c r="O2161" s="0" t="n">
        <v>82</v>
      </c>
      <c r="P2161" s="0" t="s">
        <v>2444</v>
      </c>
    </row>
    <row r="2162" customFormat="false" ht="15" hidden="false" customHeight="true" outlineLevel="0" collapsed="false">
      <c r="A2162" s="0" t="n">
        <v>2</v>
      </c>
      <c r="B2162" s="71" t="n">
        <v>46198</v>
      </c>
      <c r="C2162" s="0" t="n">
        <v>1</v>
      </c>
      <c r="D2162" s="0" t="s">
        <v>2442</v>
      </c>
      <c r="E2162" s="0" t="n">
        <v>1608</v>
      </c>
      <c r="F2162" s="0" t="s">
        <v>240</v>
      </c>
      <c r="I2162" s="0" t="n">
        <v>1680694</v>
      </c>
      <c r="J2162" s="0" t="n">
        <v>80052</v>
      </c>
      <c r="K2162" s="0" t="n">
        <v>7891079006016</v>
      </c>
      <c r="L2162" s="0" t="s">
        <v>3722</v>
      </c>
      <c r="N2162" s="0" t="n">
        <v>2</v>
      </c>
      <c r="O2162" s="0" t="n">
        <v>13.92</v>
      </c>
      <c r="P2162" s="0" t="s">
        <v>2444</v>
      </c>
    </row>
    <row r="2163" customFormat="false" ht="15" hidden="false" customHeight="true" outlineLevel="0" collapsed="false">
      <c r="A2163" s="0" t="n">
        <v>2</v>
      </c>
      <c r="B2163" s="71" t="n">
        <v>46198</v>
      </c>
      <c r="C2163" s="0" t="n">
        <v>1</v>
      </c>
      <c r="D2163" s="0" t="s">
        <v>2442</v>
      </c>
      <c r="E2163" s="0" t="n">
        <v>1705</v>
      </c>
      <c r="F2163" s="0" t="s">
        <v>130</v>
      </c>
      <c r="I2163" s="0" t="n">
        <v>1899276</v>
      </c>
      <c r="J2163" s="0" t="n">
        <v>103140</v>
      </c>
      <c r="K2163" s="0" t="n">
        <v>7894900031751</v>
      </c>
      <c r="L2163" s="0" t="s">
        <v>2655</v>
      </c>
      <c r="N2163" s="0" t="n">
        <v>18</v>
      </c>
      <c r="O2163" s="0" t="n">
        <v>93.77</v>
      </c>
      <c r="P2163" s="0" t="s">
        <v>2444</v>
      </c>
    </row>
    <row r="2164" customFormat="false" ht="15" hidden="false" customHeight="true" outlineLevel="0" collapsed="false">
      <c r="A2164" s="0" t="n">
        <v>2</v>
      </c>
      <c r="B2164" s="71" t="n">
        <v>46198</v>
      </c>
      <c r="C2164" s="0" t="n">
        <v>1</v>
      </c>
      <c r="D2164" s="0" t="s">
        <v>2442</v>
      </c>
      <c r="E2164" s="0" t="n">
        <v>1705</v>
      </c>
      <c r="F2164" s="0" t="s">
        <v>130</v>
      </c>
      <c r="I2164" s="0" t="n">
        <v>1899276</v>
      </c>
      <c r="J2164" s="0" t="n">
        <v>103142</v>
      </c>
      <c r="K2164" s="0" t="n">
        <v>7894900011753</v>
      </c>
      <c r="L2164" s="0" t="s">
        <v>2581</v>
      </c>
      <c r="N2164" s="0" t="n">
        <v>60</v>
      </c>
      <c r="O2164" s="0" t="n">
        <v>365.08</v>
      </c>
      <c r="P2164" s="0" t="s">
        <v>2444</v>
      </c>
    </row>
    <row r="2165" customFormat="false" ht="15" hidden="false" customHeight="true" outlineLevel="0" collapsed="false">
      <c r="A2165" s="0" t="n">
        <v>2</v>
      </c>
      <c r="B2165" s="71" t="n">
        <v>46198</v>
      </c>
      <c r="C2165" s="0" t="n">
        <v>1</v>
      </c>
      <c r="D2165" s="0" t="s">
        <v>2442</v>
      </c>
      <c r="E2165" s="0" t="n">
        <v>1705</v>
      </c>
      <c r="F2165" s="0" t="s">
        <v>130</v>
      </c>
      <c r="I2165" s="0" t="n">
        <v>1899276</v>
      </c>
      <c r="J2165" s="0" t="n">
        <v>103146</v>
      </c>
      <c r="K2165" s="0" t="n">
        <v>7894900031515</v>
      </c>
      <c r="L2165" s="0" t="s">
        <v>2567</v>
      </c>
      <c r="N2165" s="0" t="n">
        <v>18</v>
      </c>
      <c r="O2165" s="0" t="n">
        <v>134.98</v>
      </c>
      <c r="P2165" s="0" t="s">
        <v>2444</v>
      </c>
    </row>
    <row r="2166" customFormat="false" ht="15" hidden="false" customHeight="true" outlineLevel="0" collapsed="false">
      <c r="A2166" s="0" t="n">
        <v>2</v>
      </c>
      <c r="B2166" s="71" t="n">
        <v>46198</v>
      </c>
      <c r="C2166" s="0" t="n">
        <v>1</v>
      </c>
      <c r="D2166" s="0" t="s">
        <v>2442</v>
      </c>
      <c r="E2166" s="0" t="n">
        <v>1705</v>
      </c>
      <c r="F2166" s="0" t="s">
        <v>130</v>
      </c>
      <c r="I2166" s="0" t="n">
        <v>1899276</v>
      </c>
      <c r="J2166" s="0" t="n">
        <v>105323</v>
      </c>
      <c r="K2166" s="0" t="n">
        <v>7894900701753</v>
      </c>
      <c r="L2166" s="0" t="s">
        <v>2570</v>
      </c>
      <c r="N2166" s="0" t="n">
        <v>12</v>
      </c>
      <c r="O2166" s="0" t="n">
        <v>70.94</v>
      </c>
      <c r="P2166" s="0" t="s">
        <v>2444</v>
      </c>
    </row>
    <row r="2167" customFormat="false" ht="15" hidden="false" customHeight="true" outlineLevel="0" collapsed="false">
      <c r="A2167" s="0" t="n">
        <v>2</v>
      </c>
      <c r="B2167" s="71" t="n">
        <v>46198</v>
      </c>
      <c r="C2167" s="0" t="n">
        <v>1</v>
      </c>
      <c r="D2167" s="0" t="s">
        <v>2442</v>
      </c>
      <c r="E2167" s="0" t="n">
        <v>1705</v>
      </c>
      <c r="F2167" s="0" t="s">
        <v>130</v>
      </c>
      <c r="I2167" s="0" t="n">
        <v>1899276</v>
      </c>
      <c r="J2167" s="0" t="n">
        <v>10830</v>
      </c>
      <c r="K2167" s="0" t="n">
        <v>7894900701517</v>
      </c>
      <c r="L2167" s="0" t="s">
        <v>2573</v>
      </c>
      <c r="N2167" s="0" t="n">
        <v>18</v>
      </c>
      <c r="O2167" s="0" t="n">
        <v>153.85</v>
      </c>
      <c r="P2167" s="0" t="s">
        <v>2444</v>
      </c>
    </row>
    <row r="2168" customFormat="false" ht="15" hidden="false" customHeight="true" outlineLevel="0" collapsed="false">
      <c r="A2168" s="0" t="n">
        <v>2</v>
      </c>
      <c r="B2168" s="71" t="n">
        <v>46198</v>
      </c>
      <c r="C2168" s="0" t="n">
        <v>1</v>
      </c>
      <c r="D2168" s="0" t="s">
        <v>2442</v>
      </c>
      <c r="E2168" s="0" t="n">
        <v>1705</v>
      </c>
      <c r="F2168" s="0" t="s">
        <v>130</v>
      </c>
      <c r="I2168" s="0" t="n">
        <v>1899276</v>
      </c>
      <c r="J2168" s="0" t="n">
        <v>21426</v>
      </c>
      <c r="K2168" s="0" t="n">
        <v>7894900014211</v>
      </c>
      <c r="L2168" s="0" t="s">
        <v>2470</v>
      </c>
      <c r="N2168" s="0" t="n">
        <v>36</v>
      </c>
      <c r="O2168" s="0" t="n">
        <v>239.56</v>
      </c>
      <c r="P2168" s="0" t="s">
        <v>2444</v>
      </c>
    </row>
    <row r="2169" customFormat="false" ht="15" hidden="false" customHeight="true" outlineLevel="0" collapsed="false">
      <c r="A2169" s="0" t="n">
        <v>2</v>
      </c>
      <c r="B2169" s="71" t="n">
        <v>46198</v>
      </c>
      <c r="C2169" s="0" t="n">
        <v>1</v>
      </c>
      <c r="D2169" s="0" t="s">
        <v>2442</v>
      </c>
      <c r="E2169" s="0" t="n">
        <v>1705</v>
      </c>
      <c r="F2169" s="0" t="s">
        <v>130</v>
      </c>
      <c r="I2169" s="0" t="n">
        <v>1899276</v>
      </c>
      <c r="J2169" s="0" t="n">
        <v>32339</v>
      </c>
      <c r="K2169" s="0" t="n">
        <v>7894900681000</v>
      </c>
      <c r="L2169" s="0" t="s">
        <v>2996</v>
      </c>
      <c r="N2169" s="0" t="n">
        <v>12</v>
      </c>
      <c r="O2169" s="0" t="n">
        <v>89.99</v>
      </c>
      <c r="P2169" s="0" t="s">
        <v>2444</v>
      </c>
    </row>
    <row r="2170" customFormat="false" ht="15" hidden="false" customHeight="true" outlineLevel="0" collapsed="false">
      <c r="A2170" s="0" t="n">
        <v>2</v>
      </c>
      <c r="B2170" s="71" t="n">
        <v>46198</v>
      </c>
      <c r="C2170" s="0" t="n">
        <v>1</v>
      </c>
      <c r="D2170" s="0" t="s">
        <v>2442</v>
      </c>
      <c r="E2170" s="0" t="n">
        <v>1705</v>
      </c>
      <c r="F2170" s="0" t="s">
        <v>130</v>
      </c>
      <c r="I2170" s="0" t="n">
        <v>1899276</v>
      </c>
      <c r="J2170" s="0" t="n">
        <v>37279</v>
      </c>
      <c r="K2170" s="0" t="n">
        <v>7894900027013</v>
      </c>
      <c r="L2170" s="0" t="s">
        <v>2575</v>
      </c>
      <c r="N2170" s="0" t="n">
        <v>36</v>
      </c>
      <c r="O2170" s="0" t="n">
        <v>317.22</v>
      </c>
      <c r="P2170" s="0" t="s">
        <v>2444</v>
      </c>
    </row>
    <row r="2171" customFormat="false" ht="15" hidden="false" customHeight="true" outlineLevel="0" collapsed="false">
      <c r="A2171" s="0" t="n">
        <v>2</v>
      </c>
      <c r="B2171" s="71" t="n">
        <v>46198</v>
      </c>
      <c r="C2171" s="0" t="n">
        <v>1</v>
      </c>
      <c r="D2171" s="0" t="s">
        <v>2442</v>
      </c>
      <c r="E2171" s="0" t="n">
        <v>1705</v>
      </c>
      <c r="F2171" s="0" t="s">
        <v>130</v>
      </c>
      <c r="I2171" s="0" t="n">
        <v>1899276</v>
      </c>
      <c r="J2171" s="0" t="n">
        <v>38060</v>
      </c>
      <c r="K2171" s="0" t="n">
        <v>7894900701609</v>
      </c>
      <c r="L2171" s="0" t="s">
        <v>2576</v>
      </c>
      <c r="N2171" s="0" t="n">
        <v>24</v>
      </c>
      <c r="O2171" s="0" t="n">
        <v>82.05</v>
      </c>
      <c r="P2171" s="0" t="s">
        <v>2444</v>
      </c>
    </row>
    <row r="2172" customFormat="false" ht="15" hidden="false" customHeight="true" outlineLevel="0" collapsed="false">
      <c r="A2172" s="0" t="n">
        <v>2</v>
      </c>
      <c r="B2172" s="71" t="n">
        <v>46198</v>
      </c>
      <c r="C2172" s="0" t="n">
        <v>11</v>
      </c>
      <c r="D2172" s="0" t="s">
        <v>2471</v>
      </c>
      <c r="E2172" s="0" t="n">
        <v>943</v>
      </c>
      <c r="F2172" s="0" t="s">
        <v>694</v>
      </c>
      <c r="I2172" s="0" t="n">
        <v>596</v>
      </c>
      <c r="J2172" s="0" t="n">
        <v>60144</v>
      </c>
      <c r="K2172" s="0" t="n">
        <v>7899085148621</v>
      </c>
      <c r="L2172" s="0" t="s">
        <v>3723</v>
      </c>
      <c r="N2172" s="0" t="n">
        <v>3</v>
      </c>
      <c r="O2172" s="0" t="n">
        <v>48</v>
      </c>
      <c r="P2172" s="0" t="s">
        <v>2444</v>
      </c>
    </row>
    <row r="2173" customFormat="false" ht="15" hidden="false" customHeight="true" outlineLevel="0" collapsed="false">
      <c r="A2173" s="0" t="n">
        <v>2</v>
      </c>
      <c r="B2173" s="71" t="n">
        <v>46198</v>
      </c>
      <c r="C2173" s="0" t="n">
        <v>11</v>
      </c>
      <c r="D2173" s="0" t="s">
        <v>2471</v>
      </c>
      <c r="E2173" s="0" t="n">
        <v>943</v>
      </c>
      <c r="F2173" s="0" t="s">
        <v>694</v>
      </c>
      <c r="I2173" s="0" t="n">
        <v>596</v>
      </c>
      <c r="J2173" s="0" t="n">
        <v>75295</v>
      </c>
      <c r="K2173" s="0" t="n">
        <v>7899896209481</v>
      </c>
      <c r="L2173" s="0" t="s">
        <v>3724</v>
      </c>
      <c r="N2173" s="0" t="n">
        <v>12</v>
      </c>
      <c r="O2173" s="0" t="n">
        <v>300</v>
      </c>
      <c r="P2173" s="0" t="s">
        <v>2444</v>
      </c>
    </row>
    <row r="2174" customFormat="false" ht="15" hidden="false" customHeight="true" outlineLevel="0" collapsed="false">
      <c r="A2174" s="0" t="n">
        <v>2</v>
      </c>
      <c r="B2174" s="71" t="n">
        <v>46198</v>
      </c>
      <c r="C2174" s="0" t="n">
        <v>11</v>
      </c>
      <c r="D2174" s="0" t="s">
        <v>2471</v>
      </c>
      <c r="E2174" s="0" t="n">
        <v>943</v>
      </c>
      <c r="F2174" s="0" t="s">
        <v>694</v>
      </c>
      <c r="I2174" s="0" t="n">
        <v>596</v>
      </c>
      <c r="J2174" s="0" t="n">
        <v>77518</v>
      </c>
      <c r="K2174" s="0" t="n">
        <v>7898624604864</v>
      </c>
      <c r="L2174" s="0" t="s">
        <v>3725</v>
      </c>
      <c r="N2174" s="0" t="n">
        <v>4</v>
      </c>
      <c r="O2174" s="0" t="n">
        <v>40</v>
      </c>
      <c r="P2174" s="0" t="s">
        <v>2444</v>
      </c>
    </row>
    <row r="2175" customFormat="false" ht="15" hidden="false" customHeight="true" outlineLevel="0" collapsed="false">
      <c r="A2175" s="0" t="n">
        <v>2</v>
      </c>
      <c r="B2175" s="71" t="n">
        <v>46198</v>
      </c>
      <c r="C2175" s="0" t="n">
        <v>11</v>
      </c>
      <c r="D2175" s="0" t="s">
        <v>2471</v>
      </c>
      <c r="E2175" s="0" t="n">
        <v>943</v>
      </c>
      <c r="F2175" s="0" t="s">
        <v>694</v>
      </c>
      <c r="I2175" s="0" t="n">
        <v>596</v>
      </c>
      <c r="J2175" s="0" t="n">
        <v>77534</v>
      </c>
      <c r="K2175" s="0" t="n">
        <v>3000100000952</v>
      </c>
      <c r="L2175" s="0" t="s">
        <v>3726</v>
      </c>
      <c r="N2175" s="0" t="n">
        <v>2</v>
      </c>
      <c r="O2175" s="0" t="n">
        <v>30</v>
      </c>
      <c r="P2175" s="0" t="s">
        <v>2444</v>
      </c>
    </row>
    <row r="2176" customFormat="false" ht="15" hidden="false" customHeight="true" outlineLevel="0" collapsed="false">
      <c r="A2176" s="0" t="n">
        <v>2</v>
      </c>
      <c r="B2176" s="71" t="n">
        <v>46198</v>
      </c>
      <c r="C2176" s="0" t="n">
        <v>11</v>
      </c>
      <c r="D2176" s="0" t="s">
        <v>2471</v>
      </c>
      <c r="E2176" s="0" t="n">
        <v>943</v>
      </c>
      <c r="F2176" s="0" t="s">
        <v>694</v>
      </c>
      <c r="I2176" s="0" t="n">
        <v>596</v>
      </c>
      <c r="J2176" s="0" t="n">
        <v>81201</v>
      </c>
      <c r="K2176" s="0" t="n">
        <v>7899899922486</v>
      </c>
      <c r="L2176" s="0" t="s">
        <v>3727</v>
      </c>
      <c r="N2176" s="0" t="n">
        <v>12</v>
      </c>
      <c r="O2176" s="0" t="n">
        <v>240</v>
      </c>
      <c r="P2176" s="0" t="s">
        <v>2444</v>
      </c>
    </row>
    <row r="2177" customFormat="false" ht="15" hidden="false" customHeight="true" outlineLevel="0" collapsed="false">
      <c r="A2177" s="0" t="n">
        <v>2</v>
      </c>
      <c r="B2177" s="71" t="n">
        <v>46198</v>
      </c>
      <c r="C2177" s="0" t="n">
        <v>11</v>
      </c>
      <c r="D2177" s="0" t="s">
        <v>2471</v>
      </c>
      <c r="E2177" s="0" t="n">
        <v>943</v>
      </c>
      <c r="F2177" s="0" t="s">
        <v>694</v>
      </c>
      <c r="I2177" s="0" t="n">
        <v>596</v>
      </c>
      <c r="J2177" s="0" t="n">
        <v>81202</v>
      </c>
      <c r="K2177" s="0" t="n">
        <v>7899111237572</v>
      </c>
      <c r="L2177" s="0" t="s">
        <v>3728</v>
      </c>
      <c r="N2177" s="0" t="n">
        <v>8</v>
      </c>
      <c r="O2177" s="0" t="n">
        <v>160</v>
      </c>
      <c r="P2177" s="0" t="s">
        <v>2444</v>
      </c>
    </row>
    <row r="2178" customFormat="false" ht="15" hidden="false" customHeight="true" outlineLevel="0" collapsed="false">
      <c r="A2178" s="0" t="n">
        <v>2</v>
      </c>
      <c r="B2178" s="71" t="n">
        <v>46198</v>
      </c>
      <c r="C2178" s="0" t="n">
        <v>11</v>
      </c>
      <c r="D2178" s="0" t="s">
        <v>2471</v>
      </c>
      <c r="E2178" s="0" t="n">
        <v>943</v>
      </c>
      <c r="F2178" s="0" t="s">
        <v>694</v>
      </c>
      <c r="I2178" s="0" t="n">
        <v>596</v>
      </c>
      <c r="J2178" s="0" t="n">
        <v>81203</v>
      </c>
      <c r="K2178" s="0" t="n">
        <v>7899899939491</v>
      </c>
      <c r="L2178" s="0" t="s">
        <v>3729</v>
      </c>
      <c r="N2178" s="0" t="n">
        <v>12</v>
      </c>
      <c r="O2178" s="0" t="n">
        <v>300</v>
      </c>
      <c r="P2178" s="0" t="s">
        <v>2444</v>
      </c>
    </row>
    <row r="2179" customFormat="false" ht="15" hidden="false" customHeight="true" outlineLevel="0" collapsed="false">
      <c r="A2179" s="0" t="n">
        <v>2</v>
      </c>
      <c r="B2179" s="71" t="n">
        <v>46198</v>
      </c>
      <c r="C2179" s="0" t="n">
        <v>11</v>
      </c>
      <c r="D2179" s="0" t="s">
        <v>2471</v>
      </c>
      <c r="E2179" s="0" t="n">
        <v>943</v>
      </c>
      <c r="F2179" s="0" t="s">
        <v>694</v>
      </c>
      <c r="I2179" s="0" t="n">
        <v>596</v>
      </c>
      <c r="J2179" s="0" t="n">
        <v>81204</v>
      </c>
      <c r="K2179" s="0" t="n">
        <v>7908694100255</v>
      </c>
      <c r="L2179" s="0" t="s">
        <v>3730</v>
      </c>
      <c r="N2179" s="0" t="n">
        <v>3</v>
      </c>
      <c r="O2179" s="0" t="n">
        <v>66</v>
      </c>
      <c r="P2179" s="0" t="s">
        <v>2444</v>
      </c>
    </row>
    <row r="2180" customFormat="false" ht="15" hidden="false" customHeight="true" outlineLevel="0" collapsed="false">
      <c r="A2180" s="0" t="n">
        <v>2</v>
      </c>
      <c r="B2180" s="71" t="n">
        <v>46198</v>
      </c>
      <c r="C2180" s="0" t="n">
        <v>11</v>
      </c>
      <c r="D2180" s="0" t="s">
        <v>2471</v>
      </c>
      <c r="E2180" s="0" t="n">
        <v>943</v>
      </c>
      <c r="F2180" s="0" t="s">
        <v>694</v>
      </c>
      <c r="I2180" s="0" t="n">
        <v>596</v>
      </c>
      <c r="J2180" s="0" t="n">
        <v>81205</v>
      </c>
      <c r="K2180" s="0" t="n">
        <v>7899899739091</v>
      </c>
      <c r="L2180" s="0" t="s">
        <v>3731</v>
      </c>
      <c r="N2180" s="0" t="n">
        <v>14</v>
      </c>
      <c r="O2180" s="0" t="n">
        <v>252</v>
      </c>
      <c r="P2180" s="0" t="s">
        <v>2444</v>
      </c>
    </row>
    <row r="2181" customFormat="false" ht="15" hidden="false" customHeight="true" outlineLevel="0" collapsed="false">
      <c r="A2181" s="0" t="n">
        <v>2</v>
      </c>
      <c r="B2181" s="71" t="n">
        <v>46198</v>
      </c>
      <c r="C2181" s="0" t="n">
        <v>11</v>
      </c>
      <c r="D2181" s="0" t="s">
        <v>2471</v>
      </c>
      <c r="E2181" s="0" t="n">
        <v>943</v>
      </c>
      <c r="F2181" s="0" t="s">
        <v>694</v>
      </c>
      <c r="I2181" s="0" t="n">
        <v>596</v>
      </c>
      <c r="J2181" s="0" t="n">
        <v>81206</v>
      </c>
      <c r="K2181" s="0" t="n">
        <v>7899899989939</v>
      </c>
      <c r="L2181" s="0" t="s">
        <v>3732</v>
      </c>
      <c r="N2181" s="0" t="n">
        <v>2</v>
      </c>
      <c r="O2181" s="0" t="n">
        <v>80</v>
      </c>
      <c r="P2181" s="0" t="s">
        <v>2444</v>
      </c>
    </row>
    <row r="2182" customFormat="false" ht="15" hidden="false" customHeight="true" outlineLevel="0" collapsed="false">
      <c r="A2182" s="0" t="n">
        <v>2</v>
      </c>
      <c r="B2182" s="71" t="n">
        <v>46198</v>
      </c>
      <c r="C2182" s="0" t="n">
        <v>11</v>
      </c>
      <c r="D2182" s="0" t="s">
        <v>2471</v>
      </c>
      <c r="E2182" s="0" t="n">
        <v>943</v>
      </c>
      <c r="F2182" s="0" t="s">
        <v>694</v>
      </c>
      <c r="I2182" s="0" t="n">
        <v>596</v>
      </c>
      <c r="J2182" s="0" t="n">
        <v>81431</v>
      </c>
      <c r="K2182" s="0" t="n">
        <v>7899899720129</v>
      </c>
      <c r="L2182" s="0" t="s">
        <v>3733</v>
      </c>
      <c r="N2182" s="0" t="n">
        <v>40</v>
      </c>
      <c r="O2182" s="0" t="n">
        <v>800</v>
      </c>
      <c r="P2182" s="0" t="s">
        <v>2444</v>
      </c>
    </row>
    <row r="2183" customFormat="false" ht="15" hidden="false" customHeight="true" outlineLevel="0" collapsed="false">
      <c r="A2183" s="0" t="n">
        <v>2</v>
      </c>
      <c r="B2183" s="71" t="n">
        <v>46198</v>
      </c>
      <c r="C2183" s="0" t="n">
        <v>11</v>
      </c>
      <c r="D2183" s="0" t="s">
        <v>2471</v>
      </c>
      <c r="E2183" s="0" t="n">
        <v>943</v>
      </c>
      <c r="F2183" s="0" t="s">
        <v>694</v>
      </c>
      <c r="I2183" s="0" t="n">
        <v>596</v>
      </c>
      <c r="J2183" s="0" t="n">
        <v>81517</v>
      </c>
      <c r="K2183" s="0" t="n">
        <v>815185</v>
      </c>
      <c r="L2183" s="0" t="s">
        <v>3734</v>
      </c>
      <c r="N2183" s="0" t="n">
        <v>12</v>
      </c>
      <c r="O2183" s="0" t="n">
        <v>156</v>
      </c>
      <c r="P2183" s="0" t="s">
        <v>2444</v>
      </c>
    </row>
    <row r="2184" customFormat="false" ht="15" hidden="false" customHeight="true" outlineLevel="0" collapsed="false">
      <c r="A2184" s="0" t="n">
        <v>2</v>
      </c>
      <c r="B2184" s="71" t="n">
        <v>46198</v>
      </c>
      <c r="C2184" s="0" t="n">
        <v>11</v>
      </c>
      <c r="D2184" s="0" t="s">
        <v>2471</v>
      </c>
      <c r="E2184" s="0" t="n">
        <v>943</v>
      </c>
      <c r="F2184" s="0" t="s">
        <v>694</v>
      </c>
      <c r="I2184" s="0" t="n">
        <v>596</v>
      </c>
      <c r="J2184" s="0" t="n">
        <v>81519</v>
      </c>
      <c r="K2184" s="0" t="n">
        <v>7898624606998</v>
      </c>
      <c r="L2184" s="0" t="s">
        <v>3735</v>
      </c>
      <c r="N2184" s="0" t="n">
        <v>7</v>
      </c>
      <c r="O2184" s="0" t="n">
        <v>91</v>
      </c>
      <c r="P2184" s="0" t="s">
        <v>2444</v>
      </c>
    </row>
    <row r="2185" customFormat="false" ht="15" hidden="false" customHeight="true" outlineLevel="0" collapsed="false">
      <c r="A2185" s="0" t="n">
        <v>2</v>
      </c>
      <c r="B2185" s="71" t="n">
        <v>46198</v>
      </c>
      <c r="C2185" s="0" t="n">
        <v>11</v>
      </c>
      <c r="D2185" s="0" t="s">
        <v>2471</v>
      </c>
      <c r="E2185" s="0" t="n">
        <v>943</v>
      </c>
      <c r="F2185" s="0" t="s">
        <v>694</v>
      </c>
      <c r="I2185" s="0" t="n">
        <v>596</v>
      </c>
      <c r="J2185" s="0" t="n">
        <v>81520</v>
      </c>
      <c r="K2185" s="0" t="n">
        <v>7899895726453</v>
      </c>
      <c r="L2185" s="0" t="s">
        <v>3736</v>
      </c>
      <c r="N2185" s="0" t="n">
        <v>2</v>
      </c>
      <c r="O2185" s="0" t="n">
        <v>50</v>
      </c>
      <c r="P2185" s="0" t="s">
        <v>2444</v>
      </c>
    </row>
    <row r="2186" customFormat="false" ht="15" hidden="false" customHeight="true" outlineLevel="0" collapsed="false">
      <c r="A2186" s="0" t="n">
        <v>2</v>
      </c>
      <c r="B2186" s="71" t="n">
        <v>46198</v>
      </c>
      <c r="C2186" s="0" t="n">
        <v>11</v>
      </c>
      <c r="D2186" s="0" t="s">
        <v>2471</v>
      </c>
      <c r="E2186" s="0" t="n">
        <v>943</v>
      </c>
      <c r="F2186" s="0" t="s">
        <v>694</v>
      </c>
      <c r="I2186" s="0" t="n">
        <v>596</v>
      </c>
      <c r="J2186" s="0" t="n">
        <v>81524</v>
      </c>
      <c r="K2186" s="0" t="n">
        <v>815253</v>
      </c>
      <c r="L2186" s="0" t="s">
        <v>3737</v>
      </c>
      <c r="N2186" s="0" t="n">
        <v>12</v>
      </c>
      <c r="O2186" s="0" t="n">
        <v>180</v>
      </c>
      <c r="P2186" s="0" t="s">
        <v>2444</v>
      </c>
    </row>
    <row r="2187" customFormat="false" ht="15" hidden="false" customHeight="true" outlineLevel="0" collapsed="false">
      <c r="A2187" s="0" t="n">
        <v>2</v>
      </c>
      <c r="B2187" s="71" t="n">
        <v>46198</v>
      </c>
      <c r="C2187" s="0" t="n">
        <v>11</v>
      </c>
      <c r="D2187" s="0" t="s">
        <v>2471</v>
      </c>
      <c r="E2187" s="0" t="n">
        <v>943</v>
      </c>
      <c r="F2187" s="0" t="s">
        <v>694</v>
      </c>
      <c r="I2187" s="0" t="n">
        <v>596</v>
      </c>
      <c r="J2187" s="0" t="n">
        <v>81526</v>
      </c>
      <c r="K2187" s="0" t="n">
        <v>7899899822779</v>
      </c>
      <c r="L2187" s="0" t="s">
        <v>3738</v>
      </c>
      <c r="N2187" s="0" t="n">
        <v>3</v>
      </c>
      <c r="O2187" s="0" t="n">
        <v>36</v>
      </c>
      <c r="P2187" s="0" t="s">
        <v>2444</v>
      </c>
    </row>
    <row r="2188" customFormat="false" ht="15" hidden="false" customHeight="true" outlineLevel="0" collapsed="false">
      <c r="A2188" s="0" t="n">
        <v>2</v>
      </c>
      <c r="B2188" s="71" t="n">
        <v>46198</v>
      </c>
      <c r="C2188" s="0" t="n">
        <v>11</v>
      </c>
      <c r="D2188" s="0" t="s">
        <v>2471</v>
      </c>
      <c r="E2188" s="0" t="n">
        <v>1705</v>
      </c>
      <c r="F2188" s="0" t="s">
        <v>130</v>
      </c>
      <c r="I2188" s="0" t="n">
        <v>1175404</v>
      </c>
      <c r="J2188" s="0" t="n">
        <v>102360</v>
      </c>
      <c r="K2188" s="0" t="n">
        <v>7894900593709</v>
      </c>
      <c r="L2188" s="0" t="s">
        <v>2557</v>
      </c>
      <c r="N2188" s="0" t="n">
        <v>60</v>
      </c>
      <c r="O2188" s="0" t="n">
        <v>120.27</v>
      </c>
      <c r="P2188" s="0" t="s">
        <v>2444</v>
      </c>
    </row>
    <row r="2189" customFormat="false" ht="15" hidden="false" customHeight="true" outlineLevel="0" collapsed="false">
      <c r="A2189" s="0" t="n">
        <v>2</v>
      </c>
      <c r="B2189" s="71" t="n">
        <v>46198</v>
      </c>
      <c r="C2189" s="0" t="n">
        <v>22</v>
      </c>
      <c r="D2189" s="0" t="s">
        <v>2479</v>
      </c>
      <c r="E2189" s="0" t="n">
        <v>48</v>
      </c>
      <c r="F2189" s="0" t="s">
        <v>153</v>
      </c>
      <c r="I2189" s="0" t="n">
        <v>2509</v>
      </c>
      <c r="J2189" s="0" t="n">
        <v>100000</v>
      </c>
      <c r="K2189" s="0" t="n">
        <v>1</v>
      </c>
      <c r="L2189" s="0" t="s">
        <v>2480</v>
      </c>
      <c r="N2189" s="0" t="n">
        <v>2.176</v>
      </c>
      <c r="O2189" s="0" t="n">
        <v>42.18</v>
      </c>
      <c r="P2189" s="0" t="s">
        <v>2444</v>
      </c>
    </row>
    <row r="2190" customFormat="false" ht="15" hidden="false" customHeight="true" outlineLevel="0" collapsed="false">
      <c r="A2190" s="0" t="n">
        <v>2</v>
      </c>
      <c r="B2190" s="71" t="n">
        <v>46198</v>
      </c>
      <c r="C2190" s="0" t="n">
        <v>22</v>
      </c>
      <c r="D2190" s="0" t="s">
        <v>2479</v>
      </c>
      <c r="E2190" s="0" t="n">
        <v>48</v>
      </c>
      <c r="F2190" s="0" t="s">
        <v>153</v>
      </c>
      <c r="I2190" s="0" t="n">
        <v>2509</v>
      </c>
      <c r="J2190" s="0" t="n">
        <v>100000</v>
      </c>
      <c r="K2190" s="0" t="n">
        <v>1</v>
      </c>
      <c r="L2190" s="0" t="s">
        <v>2480</v>
      </c>
      <c r="N2190" s="0" t="n">
        <v>3.152</v>
      </c>
      <c r="O2190" s="0" t="n">
        <v>62.88</v>
      </c>
      <c r="P2190" s="0" t="s">
        <v>2444</v>
      </c>
    </row>
    <row r="2191" customFormat="false" ht="15" hidden="false" customHeight="true" outlineLevel="0" collapsed="false">
      <c r="A2191" s="0" t="n">
        <v>2</v>
      </c>
      <c r="B2191" s="71" t="n">
        <v>46198</v>
      </c>
      <c r="C2191" s="0" t="n">
        <v>22</v>
      </c>
      <c r="D2191" s="0" t="s">
        <v>2479</v>
      </c>
      <c r="E2191" s="0" t="n">
        <v>48</v>
      </c>
      <c r="F2191" s="0" t="s">
        <v>153</v>
      </c>
      <c r="I2191" s="0" t="n">
        <v>2509</v>
      </c>
      <c r="J2191" s="0" t="n">
        <v>100001</v>
      </c>
      <c r="K2191" s="0" t="n">
        <v>2</v>
      </c>
      <c r="L2191" s="0" t="s">
        <v>2481</v>
      </c>
      <c r="N2191" s="0" t="n">
        <v>7.46</v>
      </c>
      <c r="O2191" s="0" t="n">
        <v>156.66</v>
      </c>
      <c r="P2191" s="0" t="s">
        <v>2444</v>
      </c>
    </row>
    <row r="2192" customFormat="false" ht="15" hidden="false" customHeight="true" outlineLevel="0" collapsed="false">
      <c r="A2192" s="0" t="n">
        <v>2</v>
      </c>
      <c r="B2192" s="71" t="n">
        <v>46198</v>
      </c>
      <c r="C2192" s="0" t="n">
        <v>22</v>
      </c>
      <c r="D2192" s="0" t="s">
        <v>2479</v>
      </c>
      <c r="E2192" s="0" t="n">
        <v>48</v>
      </c>
      <c r="F2192" s="0" t="s">
        <v>153</v>
      </c>
      <c r="I2192" s="0" t="n">
        <v>2509</v>
      </c>
      <c r="J2192" s="0" t="n">
        <v>100002</v>
      </c>
      <c r="K2192" s="0" t="n">
        <v>3</v>
      </c>
      <c r="L2192" s="0" t="s">
        <v>2482</v>
      </c>
      <c r="N2192" s="0" t="n">
        <v>16.62</v>
      </c>
      <c r="O2192" s="0" t="n">
        <v>402.75</v>
      </c>
      <c r="P2192" s="0" t="s">
        <v>2444</v>
      </c>
    </row>
    <row r="2193" customFormat="false" ht="15" hidden="false" customHeight="true" outlineLevel="0" collapsed="false">
      <c r="A2193" s="0" t="n">
        <v>2</v>
      </c>
      <c r="B2193" s="71" t="n">
        <v>46198</v>
      </c>
      <c r="C2193" s="0" t="n">
        <v>22</v>
      </c>
      <c r="D2193" s="0" t="s">
        <v>2479</v>
      </c>
      <c r="E2193" s="0" t="n">
        <v>48</v>
      </c>
      <c r="F2193" s="0" t="s">
        <v>153</v>
      </c>
      <c r="I2193" s="0" t="n">
        <v>2509</v>
      </c>
      <c r="J2193" s="0" t="n">
        <v>100003</v>
      </c>
      <c r="K2193" s="0" t="n">
        <v>4</v>
      </c>
      <c r="L2193" s="0" t="s">
        <v>2483</v>
      </c>
      <c r="N2193" s="0" t="n">
        <v>14.49</v>
      </c>
      <c r="O2193" s="0" t="n">
        <v>374.55</v>
      </c>
      <c r="P2193" s="0" t="s">
        <v>2444</v>
      </c>
    </row>
    <row r="2194" customFormat="false" ht="15" hidden="false" customHeight="true" outlineLevel="0" collapsed="false">
      <c r="A2194" s="0" t="n">
        <v>2</v>
      </c>
      <c r="B2194" s="71" t="n">
        <v>46198</v>
      </c>
      <c r="C2194" s="0" t="n">
        <v>22</v>
      </c>
      <c r="D2194" s="0" t="s">
        <v>2479</v>
      </c>
      <c r="E2194" s="0" t="n">
        <v>48</v>
      </c>
      <c r="F2194" s="0" t="s">
        <v>153</v>
      </c>
      <c r="I2194" s="0" t="n">
        <v>2509</v>
      </c>
      <c r="J2194" s="0" t="n">
        <v>100004</v>
      </c>
      <c r="K2194" s="0" t="n">
        <v>5</v>
      </c>
      <c r="L2194" s="0" t="s">
        <v>2484</v>
      </c>
      <c r="N2194" s="0" t="n">
        <v>1.192</v>
      </c>
      <c r="O2194" s="0" t="n">
        <v>26.96</v>
      </c>
      <c r="P2194" s="0" t="s">
        <v>2444</v>
      </c>
    </row>
    <row r="2195" customFormat="false" ht="15" hidden="false" customHeight="true" outlineLevel="0" collapsed="false">
      <c r="A2195" s="0" t="n">
        <v>2</v>
      </c>
      <c r="B2195" s="71" t="n">
        <v>46198</v>
      </c>
      <c r="C2195" s="0" t="n">
        <v>22</v>
      </c>
      <c r="D2195" s="0" t="s">
        <v>2479</v>
      </c>
      <c r="E2195" s="0" t="n">
        <v>48</v>
      </c>
      <c r="F2195" s="0" t="s">
        <v>153</v>
      </c>
      <c r="I2195" s="0" t="n">
        <v>2509</v>
      </c>
      <c r="J2195" s="0" t="n">
        <v>100005</v>
      </c>
      <c r="K2195" s="0" t="n">
        <v>6</v>
      </c>
      <c r="L2195" s="0" t="s">
        <v>2582</v>
      </c>
      <c r="N2195" s="0" t="n">
        <v>3.056</v>
      </c>
      <c r="O2195" s="0" t="n">
        <v>74.06</v>
      </c>
      <c r="P2195" s="0" t="s">
        <v>2444</v>
      </c>
    </row>
    <row r="2196" customFormat="false" ht="15" hidden="false" customHeight="true" outlineLevel="0" collapsed="false">
      <c r="A2196" s="0" t="n">
        <v>2</v>
      </c>
      <c r="B2196" s="71" t="n">
        <v>46198</v>
      </c>
      <c r="C2196" s="0" t="n">
        <v>22</v>
      </c>
      <c r="D2196" s="0" t="s">
        <v>2479</v>
      </c>
      <c r="E2196" s="0" t="n">
        <v>48</v>
      </c>
      <c r="F2196" s="0" t="s">
        <v>153</v>
      </c>
      <c r="I2196" s="0" t="n">
        <v>2509</v>
      </c>
      <c r="J2196" s="0" t="n">
        <v>100006</v>
      </c>
      <c r="K2196" s="0" t="n">
        <v>7</v>
      </c>
      <c r="L2196" s="0" t="s">
        <v>2485</v>
      </c>
      <c r="N2196" s="0" t="n">
        <v>2.414</v>
      </c>
      <c r="O2196" s="0" t="n">
        <v>68.24</v>
      </c>
      <c r="P2196" s="0" t="s">
        <v>2444</v>
      </c>
    </row>
    <row r="2197" customFormat="false" ht="15" hidden="false" customHeight="true" outlineLevel="0" collapsed="false">
      <c r="A2197" s="0" t="n">
        <v>2</v>
      </c>
      <c r="B2197" s="71" t="n">
        <v>46198</v>
      </c>
      <c r="C2197" s="0" t="n">
        <v>22</v>
      </c>
      <c r="D2197" s="0" t="s">
        <v>2479</v>
      </c>
      <c r="E2197" s="0" t="n">
        <v>48</v>
      </c>
      <c r="F2197" s="0" t="s">
        <v>153</v>
      </c>
      <c r="I2197" s="0" t="n">
        <v>2509</v>
      </c>
      <c r="J2197" s="0" t="n">
        <v>100007</v>
      </c>
      <c r="K2197" s="0" t="n">
        <v>8</v>
      </c>
      <c r="L2197" s="0" t="s">
        <v>2486</v>
      </c>
      <c r="N2197" s="0" t="n">
        <v>4.182</v>
      </c>
      <c r="O2197" s="0" t="n">
        <v>101.34</v>
      </c>
      <c r="P2197" s="0" t="s">
        <v>2444</v>
      </c>
    </row>
    <row r="2198" customFormat="false" ht="15" hidden="false" customHeight="true" outlineLevel="0" collapsed="false">
      <c r="A2198" s="0" t="n">
        <v>2</v>
      </c>
      <c r="B2198" s="71" t="n">
        <v>46198</v>
      </c>
      <c r="C2198" s="0" t="n">
        <v>22</v>
      </c>
      <c r="D2198" s="0" t="s">
        <v>2479</v>
      </c>
      <c r="E2198" s="0" t="n">
        <v>48</v>
      </c>
      <c r="F2198" s="0" t="s">
        <v>153</v>
      </c>
      <c r="I2198" s="0" t="n">
        <v>2509</v>
      </c>
      <c r="J2198" s="0" t="n">
        <v>100007</v>
      </c>
      <c r="K2198" s="0" t="n">
        <v>8</v>
      </c>
      <c r="L2198" s="0" t="s">
        <v>2486</v>
      </c>
      <c r="N2198" s="0" t="n">
        <v>2.144</v>
      </c>
      <c r="O2198" s="0" t="n">
        <v>53.47</v>
      </c>
      <c r="P2198" s="0" t="s">
        <v>2444</v>
      </c>
    </row>
    <row r="2199" customFormat="false" ht="15" hidden="false" customHeight="true" outlineLevel="0" collapsed="false">
      <c r="A2199" s="0" t="n">
        <v>2</v>
      </c>
      <c r="B2199" s="71" t="n">
        <v>46198</v>
      </c>
      <c r="C2199" s="0" t="n">
        <v>22</v>
      </c>
      <c r="D2199" s="0" t="s">
        <v>2479</v>
      </c>
      <c r="E2199" s="0" t="n">
        <v>48</v>
      </c>
      <c r="F2199" s="0" t="s">
        <v>153</v>
      </c>
      <c r="I2199" s="0" t="n">
        <v>2509</v>
      </c>
      <c r="J2199" s="0" t="n">
        <v>100008</v>
      </c>
      <c r="K2199" s="0" t="n">
        <v>9</v>
      </c>
      <c r="L2199" s="0" t="s">
        <v>2487</v>
      </c>
      <c r="N2199" s="0" t="n">
        <v>13.425</v>
      </c>
      <c r="O2199" s="0" t="n">
        <v>435.3</v>
      </c>
      <c r="P2199" s="0" t="s">
        <v>2444</v>
      </c>
    </row>
    <row r="2200" customFormat="false" ht="15" hidden="false" customHeight="true" outlineLevel="0" collapsed="false">
      <c r="A2200" s="0" t="n">
        <v>2</v>
      </c>
      <c r="B2200" s="71" t="n">
        <v>46198</v>
      </c>
      <c r="C2200" s="0" t="n">
        <v>22</v>
      </c>
      <c r="D2200" s="0" t="s">
        <v>2479</v>
      </c>
      <c r="E2200" s="0" t="n">
        <v>48</v>
      </c>
      <c r="F2200" s="0" t="s">
        <v>153</v>
      </c>
      <c r="I2200" s="0" t="n">
        <v>2509</v>
      </c>
      <c r="J2200" s="0" t="n">
        <v>100008</v>
      </c>
      <c r="K2200" s="0" t="n">
        <v>9</v>
      </c>
      <c r="L2200" s="0" t="s">
        <v>2487</v>
      </c>
      <c r="N2200" s="0" t="n">
        <v>14.245</v>
      </c>
      <c r="O2200" s="0" t="n">
        <v>436.09</v>
      </c>
      <c r="P2200" s="0" t="s">
        <v>2444</v>
      </c>
    </row>
    <row r="2201" customFormat="false" ht="15" hidden="false" customHeight="true" outlineLevel="0" collapsed="false">
      <c r="A2201" s="0" t="n">
        <v>2</v>
      </c>
      <c r="B2201" s="71" t="n">
        <v>46198</v>
      </c>
      <c r="C2201" s="0" t="n">
        <v>22</v>
      </c>
      <c r="D2201" s="0" t="s">
        <v>2479</v>
      </c>
      <c r="E2201" s="0" t="n">
        <v>48</v>
      </c>
      <c r="F2201" s="0" t="s">
        <v>153</v>
      </c>
      <c r="I2201" s="0" t="n">
        <v>2509</v>
      </c>
      <c r="J2201" s="0" t="n">
        <v>100011</v>
      </c>
      <c r="K2201" s="0" t="n">
        <v>12</v>
      </c>
      <c r="L2201" s="0" t="s">
        <v>2488</v>
      </c>
      <c r="N2201" s="0" t="n">
        <v>8.865</v>
      </c>
      <c r="O2201" s="0" t="n">
        <v>324.31</v>
      </c>
      <c r="P2201" s="0" t="s">
        <v>2444</v>
      </c>
    </row>
    <row r="2202" customFormat="false" ht="15" hidden="false" customHeight="true" outlineLevel="0" collapsed="false">
      <c r="A2202" s="0" t="n">
        <v>2</v>
      </c>
      <c r="B2202" s="71" t="n">
        <v>46198</v>
      </c>
      <c r="C2202" s="0" t="n">
        <v>22</v>
      </c>
      <c r="D2202" s="0" t="s">
        <v>2479</v>
      </c>
      <c r="E2202" s="0" t="n">
        <v>48</v>
      </c>
      <c r="F2202" s="0" t="s">
        <v>153</v>
      </c>
      <c r="I2202" s="0" t="n">
        <v>2509</v>
      </c>
      <c r="J2202" s="0" t="n">
        <v>100012</v>
      </c>
      <c r="K2202" s="0" t="n">
        <v>13</v>
      </c>
      <c r="L2202" s="0" t="s">
        <v>2489</v>
      </c>
      <c r="N2202" s="0" t="n">
        <v>5.402</v>
      </c>
      <c r="O2202" s="0" t="n">
        <v>224.57</v>
      </c>
      <c r="P2202" s="0" t="s">
        <v>2444</v>
      </c>
    </row>
    <row r="2203" customFormat="false" ht="15" hidden="false" customHeight="true" outlineLevel="0" collapsed="false">
      <c r="A2203" s="0" t="n">
        <v>2</v>
      </c>
      <c r="B2203" s="71" t="n">
        <v>46198</v>
      </c>
      <c r="C2203" s="0" t="n">
        <v>22</v>
      </c>
      <c r="D2203" s="0" t="s">
        <v>2479</v>
      </c>
      <c r="E2203" s="0" t="n">
        <v>48</v>
      </c>
      <c r="F2203" s="0" t="s">
        <v>153</v>
      </c>
      <c r="I2203" s="0" t="n">
        <v>2509</v>
      </c>
      <c r="J2203" s="0" t="n">
        <v>100013</v>
      </c>
      <c r="K2203" s="0" t="n">
        <v>14</v>
      </c>
      <c r="L2203" s="0" t="s">
        <v>2490</v>
      </c>
      <c r="N2203" s="0" t="n">
        <v>10.935</v>
      </c>
      <c r="O2203" s="0" t="n">
        <v>481.88</v>
      </c>
      <c r="P2203" s="0" t="s">
        <v>2444</v>
      </c>
    </row>
    <row r="2204" customFormat="false" ht="15" hidden="false" customHeight="true" outlineLevel="0" collapsed="false">
      <c r="A2204" s="0" t="n">
        <v>2</v>
      </c>
      <c r="B2204" s="71" t="n">
        <v>46198</v>
      </c>
      <c r="C2204" s="0" t="n">
        <v>22</v>
      </c>
      <c r="D2204" s="0" t="s">
        <v>2479</v>
      </c>
      <c r="E2204" s="0" t="n">
        <v>48</v>
      </c>
      <c r="F2204" s="0" t="s">
        <v>153</v>
      </c>
      <c r="I2204" s="0" t="n">
        <v>2509</v>
      </c>
      <c r="J2204" s="0" t="n">
        <v>100014</v>
      </c>
      <c r="K2204" s="0" t="n">
        <v>15</v>
      </c>
      <c r="L2204" s="0" t="s">
        <v>2491</v>
      </c>
      <c r="N2204" s="0" t="n">
        <v>4.096</v>
      </c>
      <c r="O2204" s="0" t="n">
        <v>183.91</v>
      </c>
      <c r="P2204" s="0" t="s">
        <v>2444</v>
      </c>
    </row>
    <row r="2205" customFormat="false" ht="15" hidden="false" customHeight="true" outlineLevel="0" collapsed="false">
      <c r="A2205" s="0" t="n">
        <v>2</v>
      </c>
      <c r="B2205" s="71" t="n">
        <v>46198</v>
      </c>
      <c r="C2205" s="0" t="n">
        <v>22</v>
      </c>
      <c r="D2205" s="0" t="s">
        <v>2479</v>
      </c>
      <c r="E2205" s="0" t="n">
        <v>48</v>
      </c>
      <c r="F2205" s="0" t="s">
        <v>153</v>
      </c>
      <c r="I2205" s="0" t="n">
        <v>2509</v>
      </c>
      <c r="J2205" s="0" t="n">
        <v>100015</v>
      </c>
      <c r="K2205" s="0" t="n">
        <v>16</v>
      </c>
      <c r="L2205" s="0" t="s">
        <v>2492</v>
      </c>
      <c r="N2205" s="0" t="n">
        <v>2.16</v>
      </c>
      <c r="O2205" s="0" t="n">
        <v>86.2</v>
      </c>
      <c r="P2205" s="0" t="s">
        <v>2444</v>
      </c>
    </row>
    <row r="2206" customFormat="false" ht="15" hidden="false" customHeight="true" outlineLevel="0" collapsed="false">
      <c r="A2206" s="0" t="n">
        <v>2</v>
      </c>
      <c r="B2206" s="71" t="n">
        <v>46198</v>
      </c>
      <c r="C2206" s="0" t="n">
        <v>22</v>
      </c>
      <c r="D2206" s="0" t="s">
        <v>2479</v>
      </c>
      <c r="E2206" s="0" t="n">
        <v>48</v>
      </c>
      <c r="F2206" s="0" t="s">
        <v>153</v>
      </c>
      <c r="I2206" s="0" t="n">
        <v>2509</v>
      </c>
      <c r="J2206" s="0" t="n">
        <v>100016</v>
      </c>
      <c r="K2206" s="0" t="n">
        <v>17</v>
      </c>
      <c r="L2206" s="0" t="s">
        <v>2493</v>
      </c>
      <c r="N2206" s="0" t="n">
        <v>2.378</v>
      </c>
      <c r="O2206" s="0" t="n">
        <v>138.41</v>
      </c>
      <c r="P2206" s="0" t="s">
        <v>2444</v>
      </c>
    </row>
    <row r="2207" customFormat="false" ht="15" hidden="false" customHeight="true" outlineLevel="0" collapsed="false">
      <c r="A2207" s="0" t="n">
        <v>2</v>
      </c>
      <c r="B2207" s="71" t="n">
        <v>46198</v>
      </c>
      <c r="C2207" s="0" t="n">
        <v>22</v>
      </c>
      <c r="D2207" s="0" t="s">
        <v>2479</v>
      </c>
      <c r="E2207" s="0" t="n">
        <v>48</v>
      </c>
      <c r="F2207" s="0" t="s">
        <v>153</v>
      </c>
      <c r="I2207" s="0" t="n">
        <v>2509</v>
      </c>
      <c r="J2207" s="0" t="n">
        <v>100017</v>
      </c>
      <c r="K2207" s="0" t="n">
        <v>18</v>
      </c>
      <c r="L2207" s="0" t="s">
        <v>2494</v>
      </c>
      <c r="N2207" s="0" t="n">
        <v>1.516</v>
      </c>
      <c r="O2207" s="0" t="n">
        <v>88.24</v>
      </c>
      <c r="P2207" s="0" t="s">
        <v>2444</v>
      </c>
    </row>
    <row r="2208" customFormat="false" ht="15" hidden="false" customHeight="true" outlineLevel="0" collapsed="false">
      <c r="A2208" s="0" t="n">
        <v>2</v>
      </c>
      <c r="B2208" s="71" t="n">
        <v>46198</v>
      </c>
      <c r="C2208" s="0" t="n">
        <v>22</v>
      </c>
      <c r="D2208" s="0" t="s">
        <v>2479</v>
      </c>
      <c r="E2208" s="0" t="n">
        <v>48</v>
      </c>
      <c r="F2208" s="0" t="s">
        <v>153</v>
      </c>
      <c r="I2208" s="0" t="n">
        <v>2509</v>
      </c>
      <c r="J2208" s="0" t="n">
        <v>100053</v>
      </c>
      <c r="K2208" s="0" t="n">
        <v>54</v>
      </c>
      <c r="L2208" s="0" t="s">
        <v>2495</v>
      </c>
      <c r="N2208" s="0" t="n">
        <v>1.606</v>
      </c>
      <c r="O2208" s="0" t="n">
        <v>58.75</v>
      </c>
      <c r="P2208" s="0" t="s">
        <v>2444</v>
      </c>
    </row>
    <row r="2209" customFormat="false" ht="15" hidden="false" customHeight="true" outlineLevel="0" collapsed="false">
      <c r="A2209" s="0" t="n">
        <v>2</v>
      </c>
      <c r="B2209" s="71" t="n">
        <v>46198</v>
      </c>
      <c r="C2209" s="0" t="n">
        <v>22</v>
      </c>
      <c r="D2209" s="0" t="s">
        <v>2479</v>
      </c>
      <c r="E2209" s="0" t="n">
        <v>48</v>
      </c>
      <c r="F2209" s="0" t="s">
        <v>153</v>
      </c>
      <c r="I2209" s="0" t="n">
        <v>2509</v>
      </c>
      <c r="J2209" s="0" t="n">
        <v>100053</v>
      </c>
      <c r="K2209" s="0" t="n">
        <v>54</v>
      </c>
      <c r="L2209" s="0" t="s">
        <v>2495</v>
      </c>
      <c r="N2209" s="0" t="n">
        <v>1.555</v>
      </c>
      <c r="O2209" s="0" t="n">
        <v>53.71</v>
      </c>
      <c r="P2209" s="0" t="s">
        <v>2444</v>
      </c>
    </row>
    <row r="2210" customFormat="false" ht="15" hidden="false" customHeight="true" outlineLevel="0" collapsed="false">
      <c r="A2210" s="0" t="n">
        <v>2</v>
      </c>
      <c r="B2210" s="71" t="n">
        <v>46198</v>
      </c>
      <c r="C2210" s="0" t="n">
        <v>22</v>
      </c>
      <c r="D2210" s="0" t="s">
        <v>2479</v>
      </c>
      <c r="E2210" s="0" t="n">
        <v>48</v>
      </c>
      <c r="F2210" s="0" t="s">
        <v>153</v>
      </c>
      <c r="I2210" s="0" t="n">
        <v>2509</v>
      </c>
      <c r="J2210" s="0" t="n">
        <v>100638</v>
      </c>
      <c r="K2210" s="0" t="n">
        <v>508</v>
      </c>
      <c r="L2210" s="0" t="s">
        <v>2496</v>
      </c>
      <c r="N2210" s="0" t="n">
        <v>1.438</v>
      </c>
      <c r="O2210" s="0" t="n">
        <v>3.58</v>
      </c>
      <c r="P2210" s="0" t="s">
        <v>2444</v>
      </c>
    </row>
    <row r="2211" customFormat="false" ht="15" hidden="false" customHeight="true" outlineLevel="0" collapsed="false">
      <c r="A2211" s="0" t="n">
        <v>2</v>
      </c>
      <c r="B2211" s="71" t="n">
        <v>46198</v>
      </c>
      <c r="C2211" s="0" t="n">
        <v>22</v>
      </c>
      <c r="D2211" s="0" t="s">
        <v>2479</v>
      </c>
      <c r="E2211" s="0" t="n">
        <v>48</v>
      </c>
      <c r="F2211" s="0" t="s">
        <v>153</v>
      </c>
      <c r="I2211" s="0" t="n">
        <v>2509</v>
      </c>
      <c r="J2211" s="0" t="n">
        <v>100638</v>
      </c>
      <c r="K2211" s="0" t="n">
        <v>508</v>
      </c>
      <c r="L2211" s="0" t="s">
        <v>2496</v>
      </c>
      <c r="N2211" s="0" t="n">
        <v>2.248</v>
      </c>
      <c r="O2211" s="0" t="n">
        <v>5.43</v>
      </c>
      <c r="P2211" s="0" t="s">
        <v>2444</v>
      </c>
    </row>
    <row r="2212" customFormat="false" ht="15" hidden="false" customHeight="true" outlineLevel="0" collapsed="false">
      <c r="A2212" s="0" t="n">
        <v>2</v>
      </c>
      <c r="B2212" s="71" t="n">
        <v>46198</v>
      </c>
      <c r="C2212" s="0" t="n">
        <v>22</v>
      </c>
      <c r="D2212" s="0" t="s">
        <v>2479</v>
      </c>
      <c r="E2212" s="0" t="n">
        <v>48</v>
      </c>
      <c r="F2212" s="0" t="s">
        <v>153</v>
      </c>
      <c r="I2212" s="0" t="n">
        <v>2509</v>
      </c>
      <c r="J2212" s="0" t="n">
        <v>100520</v>
      </c>
      <c r="K2212" s="0" t="n">
        <v>507</v>
      </c>
      <c r="L2212" s="0" t="s">
        <v>2497</v>
      </c>
      <c r="N2212" s="0" t="n">
        <v>9.9</v>
      </c>
      <c r="O2212" s="0" t="n">
        <v>24.62</v>
      </c>
      <c r="P2212" s="0" t="s">
        <v>2444</v>
      </c>
    </row>
    <row r="2213" customFormat="false" ht="15" hidden="false" customHeight="true" outlineLevel="0" collapsed="false">
      <c r="A2213" s="0" t="n">
        <v>2</v>
      </c>
      <c r="B2213" s="71" t="n">
        <v>46198</v>
      </c>
      <c r="C2213" s="0" t="n">
        <v>22</v>
      </c>
      <c r="D2213" s="0" t="s">
        <v>2479</v>
      </c>
      <c r="E2213" s="0" t="n">
        <v>48</v>
      </c>
      <c r="F2213" s="0" t="s">
        <v>153</v>
      </c>
      <c r="I2213" s="0" t="n">
        <v>2509</v>
      </c>
      <c r="J2213" s="0" t="n">
        <v>100520</v>
      </c>
      <c r="K2213" s="0" t="n">
        <v>507</v>
      </c>
      <c r="L2213" s="0" t="s">
        <v>2497</v>
      </c>
      <c r="N2213" s="0" t="n">
        <v>1.684</v>
      </c>
      <c r="O2213" s="0" t="n">
        <v>4.07</v>
      </c>
      <c r="P2213" s="0" t="s">
        <v>2444</v>
      </c>
    </row>
    <row r="2214" customFormat="false" ht="15" hidden="false" customHeight="true" outlineLevel="0" collapsed="false">
      <c r="A2214" s="0" t="n">
        <v>2</v>
      </c>
      <c r="B2214" s="71" t="n">
        <v>46198</v>
      </c>
      <c r="C2214" s="0" t="n">
        <v>22</v>
      </c>
      <c r="D2214" s="0" t="s">
        <v>2479</v>
      </c>
      <c r="E2214" s="0" t="n">
        <v>48</v>
      </c>
      <c r="F2214" s="0" t="s">
        <v>153</v>
      </c>
      <c r="I2214" s="0" t="n">
        <v>2509</v>
      </c>
      <c r="J2214" s="0" t="n">
        <v>110455</v>
      </c>
      <c r="K2214" s="0" t="n">
        <v>53212</v>
      </c>
      <c r="L2214" s="0" t="s">
        <v>2498</v>
      </c>
      <c r="N2214" s="0" t="n">
        <v>0.892</v>
      </c>
      <c r="O2214" s="0" t="n">
        <v>0</v>
      </c>
      <c r="P2214" s="0" t="s">
        <v>2444</v>
      </c>
    </row>
    <row r="2215" customFormat="false" ht="15" hidden="false" customHeight="true" outlineLevel="0" collapsed="false">
      <c r="A2215" s="0" t="n">
        <v>2</v>
      </c>
      <c r="B2215" s="71" t="n">
        <v>46198</v>
      </c>
      <c r="C2215" s="0" t="n">
        <v>22</v>
      </c>
      <c r="D2215" s="0" t="s">
        <v>2479</v>
      </c>
      <c r="E2215" s="0" t="n">
        <v>48</v>
      </c>
      <c r="F2215" s="0" t="s">
        <v>153</v>
      </c>
      <c r="I2215" s="0" t="n">
        <v>2509</v>
      </c>
      <c r="J2215" s="0" t="n">
        <v>110455</v>
      </c>
      <c r="K2215" s="0" t="n">
        <v>53212</v>
      </c>
      <c r="L2215" s="0" t="s">
        <v>2498</v>
      </c>
      <c r="N2215" s="0" t="n">
        <v>0.429</v>
      </c>
      <c r="O2215" s="0" t="n">
        <v>0</v>
      </c>
      <c r="P2215" s="0" t="s">
        <v>2444</v>
      </c>
    </row>
    <row r="2216" customFormat="false" ht="15" hidden="false" customHeight="true" outlineLevel="0" collapsed="false">
      <c r="A2216" s="0" t="n">
        <v>2</v>
      </c>
      <c r="B2216" s="71" t="n">
        <v>46198</v>
      </c>
      <c r="C2216" s="0" t="n">
        <v>22</v>
      </c>
      <c r="D2216" s="0" t="s">
        <v>2479</v>
      </c>
      <c r="E2216" s="0" t="n">
        <v>48</v>
      </c>
      <c r="F2216" s="0" t="s">
        <v>153</v>
      </c>
      <c r="I2216" s="0" t="n">
        <v>2509</v>
      </c>
      <c r="J2216" s="0" t="n">
        <v>110487</v>
      </c>
      <c r="K2216" s="0" t="n">
        <v>54688</v>
      </c>
      <c r="L2216" s="0" t="s">
        <v>2663</v>
      </c>
      <c r="N2216" s="0" t="n">
        <v>2.74</v>
      </c>
      <c r="O2216" s="0" t="n">
        <v>88.84</v>
      </c>
      <c r="P2216" s="0" t="s">
        <v>2444</v>
      </c>
    </row>
    <row r="2217" customFormat="false" ht="15" hidden="false" customHeight="true" outlineLevel="0" collapsed="false">
      <c r="A2217" s="0" t="n">
        <v>2</v>
      </c>
      <c r="B2217" s="71" t="n">
        <v>46198</v>
      </c>
      <c r="C2217" s="0" t="n">
        <v>100</v>
      </c>
      <c r="D2217" s="0" t="s">
        <v>2499</v>
      </c>
      <c r="E2217" s="0" t="n">
        <v>48</v>
      </c>
      <c r="F2217" s="0" t="s">
        <v>153</v>
      </c>
      <c r="I2217" s="0" t="n">
        <v>1305210</v>
      </c>
      <c r="J2217" s="0" t="n">
        <v>100008</v>
      </c>
      <c r="K2217" s="0" t="n">
        <v>9</v>
      </c>
      <c r="L2217" s="0" t="s">
        <v>2487</v>
      </c>
      <c r="N2217" s="0" t="n">
        <v>14.245</v>
      </c>
      <c r="O2217" s="0" t="n">
        <v>436.09</v>
      </c>
      <c r="P2217" s="0" t="s">
        <v>2444</v>
      </c>
    </row>
    <row r="2218" customFormat="false" ht="15" hidden="false" customHeight="true" outlineLevel="0" collapsed="false">
      <c r="A2218" s="0" t="n">
        <v>2</v>
      </c>
      <c r="B2218" s="71" t="n">
        <v>46198</v>
      </c>
      <c r="C2218" s="0" t="n">
        <v>100</v>
      </c>
      <c r="D2218" s="0" t="s">
        <v>2499</v>
      </c>
      <c r="E2218" s="0" t="n">
        <v>48</v>
      </c>
      <c r="F2218" s="0" t="s">
        <v>153</v>
      </c>
      <c r="I2218" s="0" t="n">
        <v>1305210</v>
      </c>
      <c r="J2218" s="0" t="n">
        <v>100053</v>
      </c>
      <c r="K2218" s="0" t="n">
        <v>54</v>
      </c>
      <c r="L2218" s="0" t="s">
        <v>2495</v>
      </c>
      <c r="N2218" s="0" t="n">
        <v>1.555</v>
      </c>
      <c r="O2218" s="0" t="n">
        <v>53.71</v>
      </c>
      <c r="P2218" s="0" t="s">
        <v>2444</v>
      </c>
    </row>
    <row r="2219" customFormat="false" ht="15" hidden="false" customHeight="true" outlineLevel="0" collapsed="false">
      <c r="A2219" s="0" t="n">
        <v>2</v>
      </c>
      <c r="B2219" s="71" t="n">
        <v>46198</v>
      </c>
      <c r="C2219" s="0" t="n">
        <v>100</v>
      </c>
      <c r="D2219" s="0" t="s">
        <v>2499</v>
      </c>
      <c r="E2219" s="0" t="n">
        <v>48</v>
      </c>
      <c r="F2219" s="0" t="s">
        <v>153</v>
      </c>
      <c r="I2219" s="0" t="n">
        <v>1305217</v>
      </c>
      <c r="J2219" s="0" t="n">
        <v>100000</v>
      </c>
      <c r="K2219" s="0" t="n">
        <v>1</v>
      </c>
      <c r="L2219" s="0" t="s">
        <v>2480</v>
      </c>
      <c r="N2219" s="0" t="n">
        <v>2.176</v>
      </c>
      <c r="O2219" s="0" t="n">
        <v>42.18</v>
      </c>
      <c r="P2219" s="0" t="s">
        <v>2444</v>
      </c>
    </row>
    <row r="2220" customFormat="false" ht="15" hidden="false" customHeight="true" outlineLevel="0" collapsed="false">
      <c r="A2220" s="0" t="n">
        <v>2</v>
      </c>
      <c r="B2220" s="71" t="n">
        <v>46198</v>
      </c>
      <c r="C2220" s="0" t="n">
        <v>100</v>
      </c>
      <c r="D2220" s="0" t="s">
        <v>2499</v>
      </c>
      <c r="E2220" s="0" t="n">
        <v>48</v>
      </c>
      <c r="F2220" s="0" t="s">
        <v>153</v>
      </c>
      <c r="I2220" s="0" t="n">
        <v>1305217</v>
      </c>
      <c r="J2220" s="0" t="n">
        <v>100001</v>
      </c>
      <c r="K2220" s="0" t="n">
        <v>2</v>
      </c>
      <c r="L2220" s="0" t="s">
        <v>2481</v>
      </c>
      <c r="N2220" s="0" t="n">
        <v>7.46</v>
      </c>
      <c r="O2220" s="0" t="n">
        <v>156.66</v>
      </c>
      <c r="P2220" s="0" t="s">
        <v>2444</v>
      </c>
    </row>
    <row r="2221" customFormat="false" ht="15" hidden="false" customHeight="true" outlineLevel="0" collapsed="false">
      <c r="A2221" s="0" t="n">
        <v>2</v>
      </c>
      <c r="B2221" s="71" t="n">
        <v>46198</v>
      </c>
      <c r="C2221" s="0" t="n">
        <v>100</v>
      </c>
      <c r="D2221" s="0" t="s">
        <v>2499</v>
      </c>
      <c r="E2221" s="0" t="n">
        <v>48</v>
      </c>
      <c r="F2221" s="0" t="s">
        <v>153</v>
      </c>
      <c r="I2221" s="0" t="n">
        <v>1305217</v>
      </c>
      <c r="J2221" s="0" t="n">
        <v>100002</v>
      </c>
      <c r="K2221" s="0" t="n">
        <v>3</v>
      </c>
      <c r="L2221" s="0" t="s">
        <v>2482</v>
      </c>
      <c r="N2221" s="0" t="n">
        <v>16.62</v>
      </c>
      <c r="O2221" s="0" t="n">
        <v>402.75</v>
      </c>
      <c r="P2221" s="0" t="s">
        <v>2444</v>
      </c>
    </row>
    <row r="2222" customFormat="false" ht="15" hidden="false" customHeight="true" outlineLevel="0" collapsed="false">
      <c r="A2222" s="0" t="n">
        <v>2</v>
      </c>
      <c r="B2222" s="71" t="n">
        <v>46198</v>
      </c>
      <c r="C2222" s="0" t="n">
        <v>100</v>
      </c>
      <c r="D2222" s="0" t="s">
        <v>2499</v>
      </c>
      <c r="E2222" s="0" t="n">
        <v>48</v>
      </c>
      <c r="F2222" s="0" t="s">
        <v>153</v>
      </c>
      <c r="I2222" s="0" t="n">
        <v>1305217</v>
      </c>
      <c r="J2222" s="0" t="n">
        <v>100003</v>
      </c>
      <c r="K2222" s="0" t="n">
        <v>4</v>
      </c>
      <c r="L2222" s="0" t="s">
        <v>2483</v>
      </c>
      <c r="N2222" s="0" t="n">
        <v>14.49</v>
      </c>
      <c r="O2222" s="0" t="n">
        <v>374.55</v>
      </c>
      <c r="P2222" s="0" t="s">
        <v>2444</v>
      </c>
    </row>
    <row r="2223" customFormat="false" ht="15" hidden="false" customHeight="true" outlineLevel="0" collapsed="false">
      <c r="A2223" s="0" t="n">
        <v>2</v>
      </c>
      <c r="B2223" s="71" t="n">
        <v>46198</v>
      </c>
      <c r="C2223" s="0" t="n">
        <v>100</v>
      </c>
      <c r="D2223" s="0" t="s">
        <v>2499</v>
      </c>
      <c r="E2223" s="0" t="n">
        <v>48</v>
      </c>
      <c r="F2223" s="0" t="s">
        <v>153</v>
      </c>
      <c r="I2223" s="0" t="n">
        <v>1305217</v>
      </c>
      <c r="J2223" s="0" t="n">
        <v>100004</v>
      </c>
      <c r="K2223" s="0" t="n">
        <v>5</v>
      </c>
      <c r="L2223" s="0" t="s">
        <v>2484</v>
      </c>
      <c r="N2223" s="0" t="n">
        <v>1.192</v>
      </c>
      <c r="O2223" s="0" t="n">
        <v>26.96</v>
      </c>
      <c r="P2223" s="0" t="s">
        <v>2444</v>
      </c>
    </row>
    <row r="2224" customFormat="false" ht="15" hidden="false" customHeight="true" outlineLevel="0" collapsed="false">
      <c r="A2224" s="0" t="n">
        <v>2</v>
      </c>
      <c r="B2224" s="71" t="n">
        <v>46198</v>
      </c>
      <c r="C2224" s="0" t="n">
        <v>100</v>
      </c>
      <c r="D2224" s="0" t="s">
        <v>2499</v>
      </c>
      <c r="E2224" s="0" t="n">
        <v>48</v>
      </c>
      <c r="F2224" s="0" t="s">
        <v>153</v>
      </c>
      <c r="I2224" s="0" t="n">
        <v>1305217</v>
      </c>
      <c r="J2224" s="0" t="n">
        <v>100005</v>
      </c>
      <c r="K2224" s="0" t="n">
        <v>6</v>
      </c>
      <c r="L2224" s="0" t="s">
        <v>2582</v>
      </c>
      <c r="N2224" s="0" t="n">
        <v>3.056</v>
      </c>
      <c r="O2224" s="0" t="n">
        <v>74.06</v>
      </c>
      <c r="P2224" s="0" t="s">
        <v>2444</v>
      </c>
    </row>
    <row r="2225" customFormat="false" ht="15" hidden="false" customHeight="true" outlineLevel="0" collapsed="false">
      <c r="A2225" s="0" t="n">
        <v>2</v>
      </c>
      <c r="B2225" s="71" t="n">
        <v>46198</v>
      </c>
      <c r="C2225" s="0" t="n">
        <v>100</v>
      </c>
      <c r="D2225" s="0" t="s">
        <v>2499</v>
      </c>
      <c r="E2225" s="0" t="n">
        <v>48</v>
      </c>
      <c r="F2225" s="0" t="s">
        <v>153</v>
      </c>
      <c r="I2225" s="0" t="n">
        <v>1305217</v>
      </c>
      <c r="J2225" s="0" t="n">
        <v>100007</v>
      </c>
      <c r="K2225" s="0" t="n">
        <v>8</v>
      </c>
      <c r="L2225" s="0" t="s">
        <v>2486</v>
      </c>
      <c r="N2225" s="0" t="n">
        <v>4.182</v>
      </c>
      <c r="O2225" s="0" t="n">
        <v>101.34</v>
      </c>
      <c r="P2225" s="0" t="s">
        <v>2444</v>
      </c>
    </row>
    <row r="2226" customFormat="false" ht="15" hidden="false" customHeight="true" outlineLevel="0" collapsed="false">
      <c r="A2226" s="0" t="n">
        <v>2</v>
      </c>
      <c r="B2226" s="71" t="n">
        <v>46198</v>
      </c>
      <c r="C2226" s="0" t="n">
        <v>100</v>
      </c>
      <c r="D2226" s="0" t="s">
        <v>2499</v>
      </c>
      <c r="E2226" s="0" t="n">
        <v>48</v>
      </c>
      <c r="F2226" s="0" t="s">
        <v>153</v>
      </c>
      <c r="I2226" s="0" t="n">
        <v>1305217</v>
      </c>
      <c r="J2226" s="0" t="n">
        <v>100638</v>
      </c>
      <c r="K2226" s="0" t="n">
        <v>508</v>
      </c>
      <c r="L2226" s="0" t="s">
        <v>2496</v>
      </c>
      <c r="N2226" s="0" t="n">
        <v>2.248</v>
      </c>
      <c r="O2226" s="0" t="n">
        <v>5.43</v>
      </c>
      <c r="P2226" s="0" t="s">
        <v>2444</v>
      </c>
    </row>
    <row r="2227" customFormat="false" ht="15" hidden="false" customHeight="true" outlineLevel="0" collapsed="false">
      <c r="A2227" s="0" t="n">
        <v>2</v>
      </c>
      <c r="B2227" s="71" t="n">
        <v>46198</v>
      </c>
      <c r="C2227" s="0" t="n">
        <v>100</v>
      </c>
      <c r="D2227" s="0" t="s">
        <v>2499</v>
      </c>
      <c r="E2227" s="0" t="n">
        <v>48</v>
      </c>
      <c r="F2227" s="0" t="s">
        <v>153</v>
      </c>
      <c r="I2227" s="0" t="n">
        <v>1305217</v>
      </c>
      <c r="J2227" s="0" t="n">
        <v>100520</v>
      </c>
      <c r="K2227" s="0" t="n">
        <v>507</v>
      </c>
      <c r="L2227" s="0" t="s">
        <v>2497</v>
      </c>
      <c r="N2227" s="0" t="n">
        <v>1.684</v>
      </c>
      <c r="O2227" s="0" t="n">
        <v>4.07</v>
      </c>
      <c r="P2227" s="0" t="s">
        <v>2444</v>
      </c>
    </row>
    <row r="2228" customFormat="false" ht="15" hidden="false" customHeight="true" outlineLevel="0" collapsed="false">
      <c r="A2228" s="0" t="n">
        <v>2</v>
      </c>
      <c r="B2228" s="71" t="n">
        <v>46198</v>
      </c>
      <c r="C2228" s="0" t="n">
        <v>100</v>
      </c>
      <c r="D2228" s="0" t="s">
        <v>2499</v>
      </c>
      <c r="E2228" s="0" t="n">
        <v>48</v>
      </c>
      <c r="F2228" s="0" t="s">
        <v>153</v>
      </c>
      <c r="I2228" s="0" t="n">
        <v>1305217</v>
      </c>
      <c r="J2228" s="0" t="n">
        <v>110455</v>
      </c>
      <c r="K2228" s="0" t="n">
        <v>53212</v>
      </c>
      <c r="L2228" s="0" t="s">
        <v>2498</v>
      </c>
      <c r="N2228" s="0" t="n">
        <v>0.892</v>
      </c>
      <c r="O2228" s="0" t="n">
        <v>0</v>
      </c>
      <c r="P2228" s="0" t="s">
        <v>2444</v>
      </c>
    </row>
    <row r="2229" customFormat="false" ht="15" hidden="false" customHeight="true" outlineLevel="0" collapsed="false">
      <c r="A2229" s="0" t="n">
        <v>2</v>
      </c>
      <c r="B2229" s="71" t="n">
        <v>46198</v>
      </c>
      <c r="C2229" s="0" t="n">
        <v>100</v>
      </c>
      <c r="D2229" s="0" t="s">
        <v>2499</v>
      </c>
      <c r="E2229" s="0" t="n">
        <v>48</v>
      </c>
      <c r="F2229" s="0" t="s">
        <v>153</v>
      </c>
      <c r="I2229" s="0" t="n">
        <v>1305220</v>
      </c>
      <c r="J2229" s="0" t="n">
        <v>100000</v>
      </c>
      <c r="K2229" s="0" t="n">
        <v>1</v>
      </c>
      <c r="L2229" s="0" t="s">
        <v>2480</v>
      </c>
      <c r="N2229" s="0" t="n">
        <v>3.152</v>
      </c>
      <c r="O2229" s="0" t="n">
        <v>62.88</v>
      </c>
      <c r="P2229" s="0" t="s">
        <v>2444</v>
      </c>
    </row>
    <row r="2230" customFormat="false" ht="15" hidden="false" customHeight="true" outlineLevel="0" collapsed="false">
      <c r="A2230" s="0" t="n">
        <v>2</v>
      </c>
      <c r="B2230" s="71" t="n">
        <v>46198</v>
      </c>
      <c r="C2230" s="0" t="n">
        <v>100</v>
      </c>
      <c r="D2230" s="0" t="s">
        <v>2499</v>
      </c>
      <c r="E2230" s="0" t="n">
        <v>48</v>
      </c>
      <c r="F2230" s="0" t="s">
        <v>153</v>
      </c>
      <c r="I2230" s="0" t="n">
        <v>1305220</v>
      </c>
      <c r="J2230" s="0" t="n">
        <v>100006</v>
      </c>
      <c r="K2230" s="0" t="n">
        <v>7</v>
      </c>
      <c r="L2230" s="0" t="s">
        <v>2485</v>
      </c>
      <c r="N2230" s="0" t="n">
        <v>2.414</v>
      </c>
      <c r="O2230" s="0" t="n">
        <v>68.24</v>
      </c>
      <c r="P2230" s="0" t="s">
        <v>2444</v>
      </c>
    </row>
    <row r="2231" customFormat="false" ht="15" hidden="false" customHeight="true" outlineLevel="0" collapsed="false">
      <c r="A2231" s="0" t="n">
        <v>2</v>
      </c>
      <c r="B2231" s="71" t="n">
        <v>46198</v>
      </c>
      <c r="C2231" s="0" t="n">
        <v>100</v>
      </c>
      <c r="D2231" s="0" t="s">
        <v>2499</v>
      </c>
      <c r="E2231" s="0" t="n">
        <v>48</v>
      </c>
      <c r="F2231" s="0" t="s">
        <v>153</v>
      </c>
      <c r="I2231" s="0" t="n">
        <v>1305220</v>
      </c>
      <c r="J2231" s="0" t="n">
        <v>100007</v>
      </c>
      <c r="K2231" s="0" t="n">
        <v>8</v>
      </c>
      <c r="L2231" s="0" t="s">
        <v>2486</v>
      </c>
      <c r="N2231" s="0" t="n">
        <v>2.144</v>
      </c>
      <c r="O2231" s="0" t="n">
        <v>53.47</v>
      </c>
      <c r="P2231" s="0" t="s">
        <v>2444</v>
      </c>
    </row>
    <row r="2232" customFormat="false" ht="15" hidden="false" customHeight="true" outlineLevel="0" collapsed="false">
      <c r="A2232" s="0" t="n">
        <v>2</v>
      </c>
      <c r="B2232" s="71" t="n">
        <v>46198</v>
      </c>
      <c r="C2232" s="0" t="n">
        <v>100</v>
      </c>
      <c r="D2232" s="0" t="s">
        <v>2499</v>
      </c>
      <c r="E2232" s="0" t="n">
        <v>48</v>
      </c>
      <c r="F2232" s="0" t="s">
        <v>153</v>
      </c>
      <c r="I2232" s="0" t="n">
        <v>1305220</v>
      </c>
      <c r="J2232" s="0" t="n">
        <v>100008</v>
      </c>
      <c r="K2232" s="0" t="n">
        <v>9</v>
      </c>
      <c r="L2232" s="0" t="s">
        <v>2487</v>
      </c>
      <c r="N2232" s="0" t="n">
        <v>13.425</v>
      </c>
      <c r="O2232" s="0" t="n">
        <v>435.3</v>
      </c>
      <c r="P2232" s="0" t="s">
        <v>2444</v>
      </c>
    </row>
    <row r="2233" customFormat="false" ht="15" hidden="false" customHeight="true" outlineLevel="0" collapsed="false">
      <c r="A2233" s="0" t="n">
        <v>2</v>
      </c>
      <c r="B2233" s="71" t="n">
        <v>46198</v>
      </c>
      <c r="C2233" s="0" t="n">
        <v>100</v>
      </c>
      <c r="D2233" s="0" t="s">
        <v>2499</v>
      </c>
      <c r="E2233" s="0" t="n">
        <v>48</v>
      </c>
      <c r="F2233" s="0" t="s">
        <v>153</v>
      </c>
      <c r="I2233" s="0" t="n">
        <v>1305220</v>
      </c>
      <c r="J2233" s="0" t="n">
        <v>100011</v>
      </c>
      <c r="K2233" s="0" t="n">
        <v>12</v>
      </c>
      <c r="L2233" s="0" t="s">
        <v>2488</v>
      </c>
      <c r="N2233" s="0" t="n">
        <v>8.865</v>
      </c>
      <c r="O2233" s="0" t="n">
        <v>324.31</v>
      </c>
      <c r="P2233" s="0" t="s">
        <v>2444</v>
      </c>
    </row>
    <row r="2234" customFormat="false" ht="15" hidden="false" customHeight="true" outlineLevel="0" collapsed="false">
      <c r="A2234" s="0" t="n">
        <v>2</v>
      </c>
      <c r="B2234" s="71" t="n">
        <v>46198</v>
      </c>
      <c r="C2234" s="0" t="n">
        <v>100</v>
      </c>
      <c r="D2234" s="0" t="s">
        <v>2499</v>
      </c>
      <c r="E2234" s="0" t="n">
        <v>48</v>
      </c>
      <c r="F2234" s="0" t="s">
        <v>153</v>
      </c>
      <c r="I2234" s="0" t="n">
        <v>1305220</v>
      </c>
      <c r="J2234" s="0" t="n">
        <v>100012</v>
      </c>
      <c r="K2234" s="0" t="n">
        <v>13</v>
      </c>
      <c r="L2234" s="0" t="s">
        <v>2489</v>
      </c>
      <c r="N2234" s="0" t="n">
        <v>5.402</v>
      </c>
      <c r="O2234" s="0" t="n">
        <v>224.57</v>
      </c>
      <c r="P2234" s="0" t="s">
        <v>2444</v>
      </c>
    </row>
    <row r="2235" customFormat="false" ht="15" hidden="false" customHeight="true" outlineLevel="0" collapsed="false">
      <c r="A2235" s="0" t="n">
        <v>2</v>
      </c>
      <c r="B2235" s="71" t="n">
        <v>46198</v>
      </c>
      <c r="C2235" s="0" t="n">
        <v>100</v>
      </c>
      <c r="D2235" s="0" t="s">
        <v>2499</v>
      </c>
      <c r="E2235" s="0" t="n">
        <v>48</v>
      </c>
      <c r="F2235" s="0" t="s">
        <v>153</v>
      </c>
      <c r="I2235" s="0" t="n">
        <v>1305220</v>
      </c>
      <c r="J2235" s="0" t="n">
        <v>100013</v>
      </c>
      <c r="K2235" s="0" t="n">
        <v>14</v>
      </c>
      <c r="L2235" s="0" t="s">
        <v>2490</v>
      </c>
      <c r="N2235" s="0" t="n">
        <v>10.935</v>
      </c>
      <c r="O2235" s="0" t="n">
        <v>481.88</v>
      </c>
      <c r="P2235" s="0" t="s">
        <v>2444</v>
      </c>
    </row>
    <row r="2236" customFormat="false" ht="15" hidden="false" customHeight="true" outlineLevel="0" collapsed="false">
      <c r="A2236" s="0" t="n">
        <v>2</v>
      </c>
      <c r="B2236" s="71" t="n">
        <v>46198</v>
      </c>
      <c r="C2236" s="0" t="n">
        <v>100</v>
      </c>
      <c r="D2236" s="0" t="s">
        <v>2499</v>
      </c>
      <c r="E2236" s="0" t="n">
        <v>48</v>
      </c>
      <c r="F2236" s="0" t="s">
        <v>153</v>
      </c>
      <c r="I2236" s="0" t="n">
        <v>1305220</v>
      </c>
      <c r="J2236" s="0" t="n">
        <v>100014</v>
      </c>
      <c r="K2236" s="0" t="n">
        <v>15</v>
      </c>
      <c r="L2236" s="0" t="s">
        <v>2491</v>
      </c>
      <c r="N2236" s="0" t="n">
        <v>4.096</v>
      </c>
      <c r="O2236" s="0" t="n">
        <v>183.91</v>
      </c>
      <c r="P2236" s="0" t="s">
        <v>2444</v>
      </c>
    </row>
    <row r="2237" customFormat="false" ht="15" hidden="false" customHeight="true" outlineLevel="0" collapsed="false">
      <c r="A2237" s="0" t="n">
        <v>2</v>
      </c>
      <c r="B2237" s="71" t="n">
        <v>46198</v>
      </c>
      <c r="C2237" s="0" t="n">
        <v>100</v>
      </c>
      <c r="D2237" s="0" t="s">
        <v>2499</v>
      </c>
      <c r="E2237" s="0" t="n">
        <v>48</v>
      </c>
      <c r="F2237" s="0" t="s">
        <v>153</v>
      </c>
      <c r="I2237" s="0" t="n">
        <v>1305220</v>
      </c>
      <c r="J2237" s="0" t="n">
        <v>100015</v>
      </c>
      <c r="K2237" s="0" t="n">
        <v>16</v>
      </c>
      <c r="L2237" s="0" t="s">
        <v>2492</v>
      </c>
      <c r="N2237" s="0" t="n">
        <v>2.16</v>
      </c>
      <c r="O2237" s="0" t="n">
        <v>86.2</v>
      </c>
      <c r="P2237" s="0" t="s">
        <v>2444</v>
      </c>
    </row>
    <row r="2238" customFormat="false" ht="15" hidden="false" customHeight="true" outlineLevel="0" collapsed="false">
      <c r="A2238" s="0" t="n">
        <v>2</v>
      </c>
      <c r="B2238" s="71" t="n">
        <v>46198</v>
      </c>
      <c r="C2238" s="0" t="n">
        <v>100</v>
      </c>
      <c r="D2238" s="0" t="s">
        <v>2499</v>
      </c>
      <c r="E2238" s="0" t="n">
        <v>48</v>
      </c>
      <c r="F2238" s="0" t="s">
        <v>153</v>
      </c>
      <c r="I2238" s="0" t="n">
        <v>1305220</v>
      </c>
      <c r="J2238" s="0" t="n">
        <v>100016</v>
      </c>
      <c r="K2238" s="0" t="n">
        <v>17</v>
      </c>
      <c r="L2238" s="0" t="s">
        <v>2493</v>
      </c>
      <c r="N2238" s="0" t="n">
        <v>2.378</v>
      </c>
      <c r="O2238" s="0" t="n">
        <v>138.41</v>
      </c>
      <c r="P2238" s="0" t="s">
        <v>2444</v>
      </c>
    </row>
    <row r="2239" customFormat="false" ht="15" hidden="false" customHeight="true" outlineLevel="0" collapsed="false">
      <c r="A2239" s="0" t="n">
        <v>2</v>
      </c>
      <c r="B2239" s="71" t="n">
        <v>46198</v>
      </c>
      <c r="C2239" s="0" t="n">
        <v>100</v>
      </c>
      <c r="D2239" s="0" t="s">
        <v>2499</v>
      </c>
      <c r="E2239" s="0" t="n">
        <v>48</v>
      </c>
      <c r="F2239" s="0" t="s">
        <v>153</v>
      </c>
      <c r="I2239" s="0" t="n">
        <v>1305220</v>
      </c>
      <c r="J2239" s="0" t="n">
        <v>100017</v>
      </c>
      <c r="K2239" s="0" t="n">
        <v>18</v>
      </c>
      <c r="L2239" s="0" t="s">
        <v>2494</v>
      </c>
      <c r="N2239" s="0" t="n">
        <v>1.516</v>
      </c>
      <c r="O2239" s="0" t="n">
        <v>88.24</v>
      </c>
      <c r="P2239" s="0" t="s">
        <v>2444</v>
      </c>
    </row>
    <row r="2240" customFormat="false" ht="15" hidden="false" customHeight="true" outlineLevel="0" collapsed="false">
      <c r="A2240" s="0" t="n">
        <v>2</v>
      </c>
      <c r="B2240" s="71" t="n">
        <v>46198</v>
      </c>
      <c r="C2240" s="0" t="n">
        <v>100</v>
      </c>
      <c r="D2240" s="0" t="s">
        <v>2499</v>
      </c>
      <c r="E2240" s="0" t="n">
        <v>48</v>
      </c>
      <c r="F2240" s="0" t="s">
        <v>153</v>
      </c>
      <c r="I2240" s="0" t="n">
        <v>1305220</v>
      </c>
      <c r="J2240" s="0" t="n">
        <v>100053</v>
      </c>
      <c r="K2240" s="0" t="n">
        <v>54</v>
      </c>
      <c r="L2240" s="0" t="s">
        <v>2495</v>
      </c>
      <c r="N2240" s="0" t="n">
        <v>1.606</v>
      </c>
      <c r="O2240" s="0" t="n">
        <v>58.75</v>
      </c>
      <c r="P2240" s="0" t="s">
        <v>2444</v>
      </c>
    </row>
    <row r="2241" customFormat="false" ht="15" hidden="false" customHeight="true" outlineLevel="0" collapsed="false">
      <c r="A2241" s="0" t="n">
        <v>2</v>
      </c>
      <c r="B2241" s="71" t="n">
        <v>46198</v>
      </c>
      <c r="C2241" s="0" t="n">
        <v>100</v>
      </c>
      <c r="D2241" s="0" t="s">
        <v>2499</v>
      </c>
      <c r="E2241" s="0" t="n">
        <v>48</v>
      </c>
      <c r="F2241" s="0" t="s">
        <v>153</v>
      </c>
      <c r="I2241" s="0" t="n">
        <v>1305220</v>
      </c>
      <c r="J2241" s="0" t="n">
        <v>100638</v>
      </c>
      <c r="K2241" s="0" t="n">
        <v>508</v>
      </c>
      <c r="L2241" s="0" t="s">
        <v>2496</v>
      </c>
      <c r="N2241" s="0" t="n">
        <v>1.438</v>
      </c>
      <c r="O2241" s="0" t="n">
        <v>3.58</v>
      </c>
      <c r="P2241" s="0" t="s">
        <v>2444</v>
      </c>
    </row>
    <row r="2242" customFormat="false" ht="15" hidden="false" customHeight="true" outlineLevel="0" collapsed="false">
      <c r="A2242" s="0" t="n">
        <v>2</v>
      </c>
      <c r="B2242" s="71" t="n">
        <v>46198</v>
      </c>
      <c r="C2242" s="0" t="n">
        <v>100</v>
      </c>
      <c r="D2242" s="0" t="s">
        <v>2499</v>
      </c>
      <c r="E2242" s="0" t="n">
        <v>48</v>
      </c>
      <c r="F2242" s="0" t="s">
        <v>153</v>
      </c>
      <c r="I2242" s="0" t="n">
        <v>1305220</v>
      </c>
      <c r="J2242" s="0" t="n">
        <v>100520</v>
      </c>
      <c r="K2242" s="0" t="n">
        <v>507</v>
      </c>
      <c r="L2242" s="0" t="s">
        <v>2497</v>
      </c>
      <c r="N2242" s="0" t="n">
        <v>9.9</v>
      </c>
      <c r="O2242" s="0" t="n">
        <v>24.62</v>
      </c>
      <c r="P2242" s="0" t="s">
        <v>2444</v>
      </c>
    </row>
    <row r="2243" customFormat="false" ht="15" hidden="false" customHeight="true" outlineLevel="0" collapsed="false">
      <c r="A2243" s="0" t="n">
        <v>2</v>
      </c>
      <c r="B2243" s="71" t="n">
        <v>46198</v>
      </c>
      <c r="C2243" s="0" t="n">
        <v>100</v>
      </c>
      <c r="D2243" s="0" t="s">
        <v>2499</v>
      </c>
      <c r="E2243" s="0" t="n">
        <v>48</v>
      </c>
      <c r="F2243" s="0" t="s">
        <v>153</v>
      </c>
      <c r="I2243" s="0" t="n">
        <v>1305220</v>
      </c>
      <c r="J2243" s="0" t="n">
        <v>110455</v>
      </c>
      <c r="K2243" s="0" t="n">
        <v>53212</v>
      </c>
      <c r="L2243" s="0" t="s">
        <v>2498</v>
      </c>
      <c r="N2243" s="0" t="n">
        <v>0.429</v>
      </c>
      <c r="O2243" s="0" t="n">
        <v>0</v>
      </c>
      <c r="P2243" s="0" t="s">
        <v>2444</v>
      </c>
    </row>
    <row r="2244" customFormat="false" ht="15" hidden="false" customHeight="true" outlineLevel="0" collapsed="false">
      <c r="A2244" s="0" t="n">
        <v>2</v>
      </c>
      <c r="B2244" s="71" t="n">
        <v>46198</v>
      </c>
      <c r="C2244" s="0" t="n">
        <v>100</v>
      </c>
      <c r="D2244" s="0" t="s">
        <v>2499</v>
      </c>
      <c r="E2244" s="0" t="n">
        <v>48</v>
      </c>
      <c r="F2244" s="0" t="s">
        <v>153</v>
      </c>
      <c r="I2244" s="0" t="n">
        <v>1305220</v>
      </c>
      <c r="J2244" s="0" t="n">
        <v>110487</v>
      </c>
      <c r="K2244" s="0" t="n">
        <v>54688</v>
      </c>
      <c r="L2244" s="0" t="s">
        <v>2663</v>
      </c>
      <c r="N2244" s="0" t="n">
        <v>2.74</v>
      </c>
      <c r="O2244" s="0" t="n">
        <v>88.84</v>
      </c>
      <c r="P2244" s="0" t="s">
        <v>2444</v>
      </c>
    </row>
    <row r="2245" customFormat="false" ht="15" hidden="false" customHeight="true" outlineLevel="0" collapsed="false">
      <c r="A2245" s="0" t="n">
        <v>2</v>
      </c>
      <c r="B2245" s="71" t="n">
        <v>46199</v>
      </c>
      <c r="C2245" s="0" t="n">
        <v>1</v>
      </c>
      <c r="D2245" s="0" t="s">
        <v>2442</v>
      </c>
      <c r="E2245" s="0" t="n">
        <v>1899</v>
      </c>
      <c r="F2245" s="0" t="s">
        <v>204</v>
      </c>
      <c r="I2245" s="0" t="n">
        <v>685</v>
      </c>
      <c r="J2245" s="0" t="n">
        <v>44588</v>
      </c>
      <c r="K2245" s="0" t="n">
        <v>7898904331091</v>
      </c>
      <c r="L2245" s="0" t="s">
        <v>2443</v>
      </c>
      <c r="N2245" s="0" t="n">
        <v>15</v>
      </c>
      <c r="O2245" s="0" t="n">
        <v>74.85</v>
      </c>
      <c r="P2245" s="0" t="s">
        <v>2444</v>
      </c>
    </row>
    <row r="2246" customFormat="false" ht="15" hidden="false" customHeight="true" outlineLevel="0" collapsed="false">
      <c r="A2246" s="0" t="n">
        <v>2</v>
      </c>
      <c r="B2246" s="71" t="n">
        <v>46199</v>
      </c>
      <c r="C2246" s="0" t="n">
        <v>1</v>
      </c>
      <c r="D2246" s="0" t="s">
        <v>2442</v>
      </c>
      <c r="E2246" s="0" t="n">
        <v>1899</v>
      </c>
      <c r="F2246" s="0" t="s">
        <v>204</v>
      </c>
      <c r="I2246" s="0" t="n">
        <v>685</v>
      </c>
      <c r="J2246" s="0" t="n">
        <v>77463</v>
      </c>
      <c r="K2246" s="0" t="n">
        <v>774642</v>
      </c>
      <c r="L2246" s="0" t="s">
        <v>2445</v>
      </c>
      <c r="N2246" s="0" t="n">
        <v>28</v>
      </c>
      <c r="O2246" s="0" t="n">
        <v>126</v>
      </c>
      <c r="P2246" s="0" t="s">
        <v>2444</v>
      </c>
    </row>
    <row r="2247" customFormat="false" ht="15" hidden="false" customHeight="true" outlineLevel="0" collapsed="false">
      <c r="A2247" s="0" t="n">
        <v>2</v>
      </c>
      <c r="B2247" s="71" t="n">
        <v>46199</v>
      </c>
      <c r="C2247" s="0" t="n">
        <v>1</v>
      </c>
      <c r="D2247" s="0" t="s">
        <v>2442</v>
      </c>
      <c r="E2247" s="0" t="n">
        <v>1899</v>
      </c>
      <c r="F2247" s="0" t="s">
        <v>204</v>
      </c>
      <c r="I2247" s="0" t="n">
        <v>685</v>
      </c>
      <c r="J2247" s="0" t="n">
        <v>77465</v>
      </c>
      <c r="K2247" s="0" t="n">
        <v>774666</v>
      </c>
      <c r="L2247" s="0" t="s">
        <v>2446</v>
      </c>
      <c r="N2247" s="0" t="n">
        <v>10</v>
      </c>
      <c r="O2247" s="0" t="n">
        <v>49.9</v>
      </c>
      <c r="P2247" s="0" t="s">
        <v>2444</v>
      </c>
    </row>
    <row r="2248" customFormat="false" ht="15" hidden="false" customHeight="true" outlineLevel="0" collapsed="false">
      <c r="A2248" s="0" t="n">
        <v>2</v>
      </c>
      <c r="B2248" s="71" t="n">
        <v>46199</v>
      </c>
      <c r="C2248" s="0" t="n">
        <v>1</v>
      </c>
      <c r="D2248" s="0" t="s">
        <v>2442</v>
      </c>
      <c r="E2248" s="0" t="n">
        <v>1899</v>
      </c>
      <c r="F2248" s="0" t="s">
        <v>204</v>
      </c>
      <c r="I2248" s="0" t="n">
        <v>685</v>
      </c>
      <c r="J2248" s="0" t="n">
        <v>77903</v>
      </c>
      <c r="K2248" s="0" t="n">
        <v>779043</v>
      </c>
      <c r="L2248" s="0" t="s">
        <v>2945</v>
      </c>
      <c r="N2248" s="0" t="n">
        <v>5</v>
      </c>
      <c r="O2248" s="0" t="n">
        <v>22.5</v>
      </c>
      <c r="P2248" s="0" t="s">
        <v>2444</v>
      </c>
    </row>
    <row r="2249" customFormat="false" ht="15" hidden="false" customHeight="true" outlineLevel="0" collapsed="false">
      <c r="A2249" s="0" t="n">
        <v>2</v>
      </c>
      <c r="B2249" s="71" t="n">
        <v>46199</v>
      </c>
      <c r="C2249" s="0" t="n">
        <v>1</v>
      </c>
      <c r="D2249" s="0" t="s">
        <v>2442</v>
      </c>
      <c r="E2249" s="0" t="n">
        <v>1899</v>
      </c>
      <c r="F2249" s="0" t="s">
        <v>204</v>
      </c>
      <c r="I2249" s="0" t="n">
        <v>685</v>
      </c>
      <c r="J2249" s="0" t="n">
        <v>78013</v>
      </c>
      <c r="K2249" s="0" t="n">
        <v>780148</v>
      </c>
      <c r="L2249" s="0" t="s">
        <v>2584</v>
      </c>
      <c r="N2249" s="0" t="n">
        <v>5</v>
      </c>
      <c r="O2249" s="0" t="n">
        <v>22.5</v>
      </c>
      <c r="P2249" s="0" t="s">
        <v>2444</v>
      </c>
    </row>
    <row r="2250" customFormat="false" ht="15" hidden="false" customHeight="true" outlineLevel="0" collapsed="false">
      <c r="A2250" s="0" t="n">
        <v>2</v>
      </c>
      <c r="B2250" s="71" t="n">
        <v>46199</v>
      </c>
      <c r="C2250" s="0" t="n">
        <v>1</v>
      </c>
      <c r="D2250" s="0" t="s">
        <v>2442</v>
      </c>
      <c r="E2250" s="0" t="n">
        <v>1899</v>
      </c>
      <c r="F2250" s="0" t="s">
        <v>204</v>
      </c>
      <c r="I2250" s="0" t="n">
        <v>685</v>
      </c>
      <c r="J2250" s="0" t="n">
        <v>78015</v>
      </c>
      <c r="K2250" s="0" t="n">
        <v>780162</v>
      </c>
      <c r="L2250" s="0" t="s">
        <v>2447</v>
      </c>
      <c r="N2250" s="0" t="n">
        <v>10</v>
      </c>
      <c r="O2250" s="0" t="n">
        <v>49.9</v>
      </c>
      <c r="P2250" s="0" t="s">
        <v>2444</v>
      </c>
    </row>
    <row r="2251" customFormat="false" ht="15" hidden="false" customHeight="true" outlineLevel="0" collapsed="false">
      <c r="A2251" s="0" t="n">
        <v>2</v>
      </c>
      <c r="B2251" s="71" t="n">
        <v>46199</v>
      </c>
      <c r="C2251" s="0" t="n">
        <v>1</v>
      </c>
      <c r="D2251" s="0" t="s">
        <v>2442</v>
      </c>
      <c r="E2251" s="0" t="n">
        <v>581</v>
      </c>
      <c r="F2251" s="0" t="s">
        <v>147</v>
      </c>
      <c r="I2251" s="0" t="n">
        <v>31144</v>
      </c>
      <c r="J2251" s="0" t="n">
        <v>48008</v>
      </c>
      <c r="K2251" s="0" t="n">
        <v>798190027999</v>
      </c>
      <c r="L2251" s="0" t="s">
        <v>2579</v>
      </c>
      <c r="N2251" s="0" t="n">
        <v>20</v>
      </c>
      <c r="O2251" s="0" t="n">
        <v>130</v>
      </c>
      <c r="P2251" s="0" t="s">
        <v>2444</v>
      </c>
    </row>
    <row r="2252" customFormat="false" ht="15" hidden="false" customHeight="true" outlineLevel="0" collapsed="false">
      <c r="A2252" s="0" t="n">
        <v>2</v>
      </c>
      <c r="B2252" s="71" t="n">
        <v>46199</v>
      </c>
      <c r="C2252" s="0" t="n">
        <v>1</v>
      </c>
      <c r="D2252" s="0" t="s">
        <v>2442</v>
      </c>
      <c r="E2252" s="0" t="n">
        <v>581</v>
      </c>
      <c r="F2252" s="0" t="s">
        <v>147</v>
      </c>
      <c r="I2252" s="0" t="n">
        <v>31144</v>
      </c>
      <c r="J2252" s="0" t="n">
        <v>48009</v>
      </c>
      <c r="K2252" s="0" t="n">
        <v>798190028002</v>
      </c>
      <c r="L2252" s="0" t="s">
        <v>2580</v>
      </c>
      <c r="N2252" s="0" t="n">
        <v>20</v>
      </c>
      <c r="O2252" s="0" t="n">
        <v>69</v>
      </c>
      <c r="P2252" s="0" t="s">
        <v>2444</v>
      </c>
    </row>
    <row r="2253" customFormat="false" ht="15" hidden="false" customHeight="true" outlineLevel="0" collapsed="false">
      <c r="A2253" s="0" t="n">
        <v>2</v>
      </c>
      <c r="B2253" s="71" t="n">
        <v>46199</v>
      </c>
      <c r="C2253" s="0" t="n">
        <v>1</v>
      </c>
      <c r="D2253" s="0" t="s">
        <v>2442</v>
      </c>
      <c r="E2253" s="0" t="n">
        <v>1699</v>
      </c>
      <c r="F2253" s="0" t="s">
        <v>248</v>
      </c>
      <c r="I2253" s="0" t="n">
        <v>305929</v>
      </c>
      <c r="J2253" s="0" t="n">
        <v>100073</v>
      </c>
      <c r="K2253" s="0" t="n">
        <v>74</v>
      </c>
      <c r="L2253" s="0" t="s">
        <v>2626</v>
      </c>
      <c r="N2253" s="0" t="n">
        <v>50</v>
      </c>
      <c r="O2253" s="0" t="n">
        <v>1085</v>
      </c>
      <c r="P2253" s="0" t="s">
        <v>2444</v>
      </c>
    </row>
    <row r="2254" customFormat="false" ht="15" hidden="false" customHeight="true" outlineLevel="0" collapsed="false">
      <c r="A2254" s="0" t="n">
        <v>2</v>
      </c>
      <c r="B2254" s="71" t="n">
        <v>46199</v>
      </c>
      <c r="C2254" s="0" t="n">
        <v>1</v>
      </c>
      <c r="D2254" s="0" t="s">
        <v>2442</v>
      </c>
      <c r="E2254" s="0" t="n">
        <v>1699</v>
      </c>
      <c r="F2254" s="0" t="s">
        <v>248</v>
      </c>
      <c r="I2254" s="0" t="n">
        <v>305929</v>
      </c>
      <c r="J2254" s="0" t="n">
        <v>20427</v>
      </c>
      <c r="K2254" s="0" t="n">
        <v>7791293022567</v>
      </c>
      <c r="L2254" s="0" t="s">
        <v>3739</v>
      </c>
      <c r="N2254" s="0" t="n">
        <v>12</v>
      </c>
      <c r="O2254" s="0" t="n">
        <v>159.9</v>
      </c>
      <c r="P2254" s="0" t="s">
        <v>2444</v>
      </c>
    </row>
    <row r="2255" customFormat="false" ht="15" hidden="false" customHeight="true" outlineLevel="0" collapsed="false">
      <c r="A2255" s="0" t="n">
        <v>2</v>
      </c>
      <c r="B2255" s="71" t="n">
        <v>46199</v>
      </c>
      <c r="C2255" s="0" t="n">
        <v>1</v>
      </c>
      <c r="D2255" s="0" t="s">
        <v>2442</v>
      </c>
      <c r="E2255" s="0" t="n">
        <v>1699</v>
      </c>
      <c r="F2255" s="0" t="s">
        <v>248</v>
      </c>
      <c r="I2255" s="0" t="n">
        <v>305929</v>
      </c>
      <c r="J2255" s="0" t="n">
        <v>20428</v>
      </c>
      <c r="K2255" s="0" t="n">
        <v>7791293022581</v>
      </c>
      <c r="L2255" s="0" t="s">
        <v>3740</v>
      </c>
      <c r="N2255" s="0" t="n">
        <v>12</v>
      </c>
      <c r="O2255" s="0" t="n">
        <v>159.9</v>
      </c>
      <c r="P2255" s="0" t="s">
        <v>2444</v>
      </c>
    </row>
    <row r="2256" customFormat="false" ht="15" hidden="false" customHeight="true" outlineLevel="0" collapsed="false">
      <c r="A2256" s="0" t="n">
        <v>2</v>
      </c>
      <c r="B2256" s="71" t="n">
        <v>46199</v>
      </c>
      <c r="C2256" s="0" t="n">
        <v>1</v>
      </c>
      <c r="D2256" s="0" t="s">
        <v>2442</v>
      </c>
      <c r="E2256" s="0" t="n">
        <v>1699</v>
      </c>
      <c r="F2256" s="0" t="s">
        <v>248</v>
      </c>
      <c r="I2256" s="0" t="n">
        <v>305929</v>
      </c>
      <c r="J2256" s="0" t="n">
        <v>23249</v>
      </c>
      <c r="K2256" s="0" t="n">
        <v>7791293022598</v>
      </c>
      <c r="L2256" s="0" t="s">
        <v>3741</v>
      </c>
      <c r="N2256" s="0" t="n">
        <v>12</v>
      </c>
      <c r="O2256" s="0" t="n">
        <v>159.9</v>
      </c>
      <c r="P2256" s="0" t="s">
        <v>2444</v>
      </c>
    </row>
    <row r="2257" customFormat="false" ht="15" hidden="false" customHeight="true" outlineLevel="0" collapsed="false">
      <c r="A2257" s="0" t="n">
        <v>2</v>
      </c>
      <c r="B2257" s="71" t="n">
        <v>46199</v>
      </c>
      <c r="C2257" s="0" t="n">
        <v>1</v>
      </c>
      <c r="D2257" s="0" t="s">
        <v>2442</v>
      </c>
      <c r="E2257" s="0" t="n">
        <v>1699</v>
      </c>
      <c r="F2257" s="0" t="s">
        <v>248</v>
      </c>
      <c r="I2257" s="0" t="n">
        <v>305929</v>
      </c>
      <c r="J2257" s="0" t="n">
        <v>24514</v>
      </c>
      <c r="K2257" s="0" t="n">
        <v>7791293032436</v>
      </c>
      <c r="L2257" s="0" t="s">
        <v>3742</v>
      </c>
      <c r="N2257" s="0" t="n">
        <v>12</v>
      </c>
      <c r="O2257" s="0" t="n">
        <v>159.9</v>
      </c>
      <c r="P2257" s="0" t="s">
        <v>2444</v>
      </c>
    </row>
    <row r="2258" customFormat="false" ht="15" hidden="false" customHeight="true" outlineLevel="0" collapsed="false">
      <c r="A2258" s="0" t="n">
        <v>2</v>
      </c>
      <c r="B2258" s="71" t="n">
        <v>46199</v>
      </c>
      <c r="C2258" s="0" t="n">
        <v>1</v>
      </c>
      <c r="D2258" s="0" t="s">
        <v>2442</v>
      </c>
      <c r="E2258" s="0" t="n">
        <v>1699</v>
      </c>
      <c r="F2258" s="0" t="s">
        <v>248</v>
      </c>
      <c r="I2258" s="0" t="n">
        <v>305929</v>
      </c>
      <c r="J2258" s="0" t="n">
        <v>24516</v>
      </c>
      <c r="K2258" s="0" t="n">
        <v>7791293032443</v>
      </c>
      <c r="L2258" s="0" t="s">
        <v>3743</v>
      </c>
      <c r="N2258" s="0" t="n">
        <v>12</v>
      </c>
      <c r="O2258" s="0" t="n">
        <v>159.9</v>
      </c>
      <c r="P2258" s="0" t="s">
        <v>2444</v>
      </c>
    </row>
    <row r="2259" customFormat="false" ht="15" hidden="false" customHeight="true" outlineLevel="0" collapsed="false">
      <c r="A2259" s="0" t="n">
        <v>2</v>
      </c>
      <c r="B2259" s="71" t="n">
        <v>46199</v>
      </c>
      <c r="C2259" s="0" t="n">
        <v>1</v>
      </c>
      <c r="D2259" s="0" t="s">
        <v>2442</v>
      </c>
      <c r="E2259" s="0" t="n">
        <v>1699</v>
      </c>
      <c r="F2259" s="0" t="s">
        <v>248</v>
      </c>
      <c r="I2259" s="0" t="n">
        <v>305929</v>
      </c>
      <c r="J2259" s="0" t="n">
        <v>25361</v>
      </c>
      <c r="K2259" s="0" t="n">
        <v>7898919411900</v>
      </c>
      <c r="L2259" s="0" t="s">
        <v>3744</v>
      </c>
      <c r="N2259" s="0" t="n">
        <v>12</v>
      </c>
      <c r="O2259" s="0" t="n">
        <v>89.9</v>
      </c>
      <c r="P2259" s="0" t="s">
        <v>2444</v>
      </c>
    </row>
    <row r="2260" customFormat="false" ht="15" hidden="false" customHeight="true" outlineLevel="0" collapsed="false">
      <c r="A2260" s="0" t="n">
        <v>2</v>
      </c>
      <c r="B2260" s="71" t="n">
        <v>46199</v>
      </c>
      <c r="C2260" s="0" t="n">
        <v>1</v>
      </c>
      <c r="D2260" s="0" t="s">
        <v>2442</v>
      </c>
      <c r="E2260" s="0" t="n">
        <v>1699</v>
      </c>
      <c r="F2260" s="0" t="s">
        <v>248</v>
      </c>
      <c r="I2260" s="0" t="n">
        <v>305929</v>
      </c>
      <c r="J2260" s="0" t="n">
        <v>25579</v>
      </c>
      <c r="K2260" s="0" t="n">
        <v>7506306241183</v>
      </c>
      <c r="L2260" s="0" t="s">
        <v>3745</v>
      </c>
      <c r="N2260" s="0" t="n">
        <v>36</v>
      </c>
      <c r="O2260" s="0" t="n">
        <v>488.7</v>
      </c>
      <c r="P2260" s="0" t="s">
        <v>2444</v>
      </c>
    </row>
    <row r="2261" customFormat="false" ht="15" hidden="false" customHeight="true" outlineLevel="0" collapsed="false">
      <c r="A2261" s="0" t="n">
        <v>2</v>
      </c>
      <c r="B2261" s="71" t="n">
        <v>46199</v>
      </c>
      <c r="C2261" s="0" t="n">
        <v>1</v>
      </c>
      <c r="D2261" s="0" t="s">
        <v>2442</v>
      </c>
      <c r="E2261" s="0" t="n">
        <v>1699</v>
      </c>
      <c r="F2261" s="0" t="s">
        <v>248</v>
      </c>
      <c r="I2261" s="0" t="n">
        <v>305929</v>
      </c>
      <c r="J2261" s="0" t="n">
        <v>27793</v>
      </c>
      <c r="K2261" s="0" t="n">
        <v>7791293032498</v>
      </c>
      <c r="L2261" s="0" t="s">
        <v>3746</v>
      </c>
      <c r="N2261" s="0" t="n">
        <v>12</v>
      </c>
      <c r="O2261" s="0" t="n">
        <v>159.9</v>
      </c>
      <c r="P2261" s="0" t="s">
        <v>2444</v>
      </c>
    </row>
    <row r="2262" customFormat="false" ht="15" hidden="false" customHeight="true" outlineLevel="0" collapsed="false">
      <c r="A2262" s="0" t="n">
        <v>2</v>
      </c>
      <c r="B2262" s="71" t="n">
        <v>46199</v>
      </c>
      <c r="C2262" s="0" t="n">
        <v>1</v>
      </c>
      <c r="D2262" s="0" t="s">
        <v>2442</v>
      </c>
      <c r="E2262" s="0" t="n">
        <v>1699</v>
      </c>
      <c r="F2262" s="0" t="s">
        <v>248</v>
      </c>
      <c r="I2262" s="0" t="n">
        <v>305929</v>
      </c>
      <c r="J2262" s="0" t="n">
        <v>29441</v>
      </c>
      <c r="K2262" s="0" t="n">
        <v>7891350034622</v>
      </c>
      <c r="L2262" s="0" t="s">
        <v>3747</v>
      </c>
      <c r="N2262" s="0" t="n">
        <v>12</v>
      </c>
      <c r="O2262" s="0" t="n">
        <v>89.9</v>
      </c>
      <c r="P2262" s="0" t="s">
        <v>2444</v>
      </c>
    </row>
    <row r="2263" customFormat="false" ht="15" hidden="false" customHeight="true" outlineLevel="0" collapsed="false">
      <c r="A2263" s="0" t="n">
        <v>2</v>
      </c>
      <c r="B2263" s="71" t="n">
        <v>46199</v>
      </c>
      <c r="C2263" s="0" t="n">
        <v>1</v>
      </c>
      <c r="D2263" s="0" t="s">
        <v>2442</v>
      </c>
      <c r="E2263" s="0" t="n">
        <v>1699</v>
      </c>
      <c r="F2263" s="0" t="s">
        <v>248</v>
      </c>
      <c r="I2263" s="0" t="n">
        <v>305929</v>
      </c>
      <c r="J2263" s="0" t="n">
        <v>29442</v>
      </c>
      <c r="K2263" s="0" t="n">
        <v>7891350034639</v>
      </c>
      <c r="L2263" s="0" t="s">
        <v>3748</v>
      </c>
      <c r="N2263" s="0" t="n">
        <v>12</v>
      </c>
      <c r="O2263" s="0" t="n">
        <v>89.9</v>
      </c>
      <c r="P2263" s="0" t="s">
        <v>2444</v>
      </c>
    </row>
    <row r="2264" customFormat="false" ht="15" hidden="false" customHeight="true" outlineLevel="0" collapsed="false">
      <c r="A2264" s="0" t="n">
        <v>2</v>
      </c>
      <c r="B2264" s="71" t="n">
        <v>46199</v>
      </c>
      <c r="C2264" s="0" t="n">
        <v>1</v>
      </c>
      <c r="D2264" s="0" t="s">
        <v>2442</v>
      </c>
      <c r="E2264" s="0" t="n">
        <v>1699</v>
      </c>
      <c r="F2264" s="0" t="s">
        <v>248</v>
      </c>
      <c r="I2264" s="0" t="n">
        <v>305929</v>
      </c>
      <c r="J2264" s="0" t="n">
        <v>29443</v>
      </c>
      <c r="K2264" s="0" t="n">
        <v>7891350034646</v>
      </c>
      <c r="L2264" s="0" t="s">
        <v>3749</v>
      </c>
      <c r="N2264" s="0" t="n">
        <v>12</v>
      </c>
      <c r="O2264" s="0" t="n">
        <v>89.9</v>
      </c>
      <c r="P2264" s="0" t="s">
        <v>2444</v>
      </c>
    </row>
    <row r="2265" customFormat="false" ht="15" hidden="false" customHeight="true" outlineLevel="0" collapsed="false">
      <c r="A2265" s="0" t="n">
        <v>2</v>
      </c>
      <c r="B2265" s="71" t="n">
        <v>46199</v>
      </c>
      <c r="C2265" s="0" t="n">
        <v>1</v>
      </c>
      <c r="D2265" s="0" t="s">
        <v>2442</v>
      </c>
      <c r="E2265" s="0" t="n">
        <v>1699</v>
      </c>
      <c r="F2265" s="0" t="s">
        <v>248</v>
      </c>
      <c r="I2265" s="0" t="n">
        <v>305929</v>
      </c>
      <c r="J2265" s="0" t="n">
        <v>35388</v>
      </c>
      <c r="K2265" s="0" t="n">
        <v>7896235353911</v>
      </c>
      <c r="L2265" s="0" t="s">
        <v>3750</v>
      </c>
      <c r="N2265" s="0" t="n">
        <v>12</v>
      </c>
      <c r="O2265" s="0" t="n">
        <v>89.9</v>
      </c>
      <c r="P2265" s="0" t="s">
        <v>2444</v>
      </c>
    </row>
    <row r="2266" customFormat="false" ht="15" hidden="false" customHeight="true" outlineLevel="0" collapsed="false">
      <c r="A2266" s="0" t="n">
        <v>2</v>
      </c>
      <c r="B2266" s="71" t="n">
        <v>46199</v>
      </c>
      <c r="C2266" s="0" t="n">
        <v>1</v>
      </c>
      <c r="D2266" s="0" t="s">
        <v>2442</v>
      </c>
      <c r="E2266" s="0" t="n">
        <v>1699</v>
      </c>
      <c r="F2266" s="0" t="s">
        <v>248</v>
      </c>
      <c r="I2266" s="0" t="n">
        <v>305929</v>
      </c>
      <c r="J2266" s="0" t="n">
        <v>36025</v>
      </c>
      <c r="K2266" s="0" t="n">
        <v>7891150054653</v>
      </c>
      <c r="L2266" s="0" t="s">
        <v>3751</v>
      </c>
      <c r="N2266" s="0" t="n">
        <v>12</v>
      </c>
      <c r="O2266" s="0" t="n">
        <v>159.9</v>
      </c>
      <c r="P2266" s="0" t="s">
        <v>2444</v>
      </c>
    </row>
    <row r="2267" customFormat="false" ht="15" hidden="false" customHeight="true" outlineLevel="0" collapsed="false">
      <c r="A2267" s="0" t="n">
        <v>2</v>
      </c>
      <c r="B2267" s="71" t="n">
        <v>46199</v>
      </c>
      <c r="C2267" s="0" t="n">
        <v>1</v>
      </c>
      <c r="D2267" s="0" t="s">
        <v>2442</v>
      </c>
      <c r="E2267" s="0" t="n">
        <v>1699</v>
      </c>
      <c r="F2267" s="0" t="s">
        <v>248</v>
      </c>
      <c r="I2267" s="0" t="n">
        <v>305929</v>
      </c>
      <c r="J2267" s="0" t="n">
        <v>36606</v>
      </c>
      <c r="K2267" s="0" t="n">
        <v>7891150055872</v>
      </c>
      <c r="L2267" s="0" t="s">
        <v>3752</v>
      </c>
      <c r="N2267" s="0" t="n">
        <v>12</v>
      </c>
      <c r="O2267" s="0" t="n">
        <v>159.9</v>
      </c>
      <c r="P2267" s="0" t="s">
        <v>2444</v>
      </c>
    </row>
    <row r="2268" customFormat="false" ht="15" hidden="false" customHeight="true" outlineLevel="0" collapsed="false">
      <c r="A2268" s="0" t="n">
        <v>2</v>
      </c>
      <c r="B2268" s="71" t="n">
        <v>46199</v>
      </c>
      <c r="C2268" s="0" t="n">
        <v>1</v>
      </c>
      <c r="D2268" s="0" t="s">
        <v>2442</v>
      </c>
      <c r="E2268" s="0" t="n">
        <v>1699</v>
      </c>
      <c r="F2268" s="0" t="s">
        <v>248</v>
      </c>
      <c r="I2268" s="0" t="n">
        <v>305929</v>
      </c>
      <c r="J2268" s="0" t="n">
        <v>48334</v>
      </c>
      <c r="K2268" s="0" t="n">
        <v>7891150064737</v>
      </c>
      <c r="L2268" s="0" t="s">
        <v>3753</v>
      </c>
      <c r="N2268" s="0" t="n">
        <v>12</v>
      </c>
      <c r="O2268" s="0" t="n">
        <v>159.9</v>
      </c>
      <c r="P2268" s="0" t="s">
        <v>2444</v>
      </c>
    </row>
    <row r="2269" customFormat="false" ht="15" hidden="false" customHeight="true" outlineLevel="0" collapsed="false">
      <c r="A2269" s="0" t="n">
        <v>2</v>
      </c>
      <c r="B2269" s="71" t="n">
        <v>46199</v>
      </c>
      <c r="C2269" s="0" t="n">
        <v>1</v>
      </c>
      <c r="D2269" s="0" t="s">
        <v>2442</v>
      </c>
      <c r="E2269" s="0" t="n">
        <v>1699</v>
      </c>
      <c r="F2269" s="0" t="s">
        <v>248</v>
      </c>
      <c r="I2269" s="0" t="n">
        <v>305929</v>
      </c>
      <c r="J2269" s="0" t="n">
        <v>64946</v>
      </c>
      <c r="K2269" s="0" t="n">
        <v>7896235354208</v>
      </c>
      <c r="L2269" s="0" t="s">
        <v>3754</v>
      </c>
      <c r="N2269" s="0" t="n">
        <v>12</v>
      </c>
      <c r="O2269" s="0" t="n">
        <v>89.9</v>
      </c>
      <c r="P2269" s="0" t="s">
        <v>2444</v>
      </c>
    </row>
    <row r="2270" customFormat="false" ht="15" hidden="false" customHeight="true" outlineLevel="0" collapsed="false">
      <c r="A2270" s="0" t="n">
        <v>2</v>
      </c>
      <c r="B2270" s="71" t="n">
        <v>46199</v>
      </c>
      <c r="C2270" s="0" t="n">
        <v>1</v>
      </c>
      <c r="D2270" s="0" t="s">
        <v>2442</v>
      </c>
      <c r="E2270" s="0" t="n">
        <v>1642</v>
      </c>
      <c r="F2270" s="0" t="s">
        <v>228</v>
      </c>
      <c r="I2270" s="0" t="n">
        <v>1029069</v>
      </c>
      <c r="J2270" s="0" t="n">
        <v>105780</v>
      </c>
      <c r="K2270" s="0" t="n">
        <v>7896289210017</v>
      </c>
      <c r="L2270" s="0" t="s">
        <v>2511</v>
      </c>
      <c r="N2270" s="0" t="n">
        <v>10</v>
      </c>
      <c r="O2270" s="0" t="n">
        <v>106.7</v>
      </c>
      <c r="P2270" s="0" t="s">
        <v>2444</v>
      </c>
    </row>
    <row r="2271" customFormat="false" ht="15" hidden="false" customHeight="true" outlineLevel="0" collapsed="false">
      <c r="A2271" s="0" t="n">
        <v>2</v>
      </c>
      <c r="B2271" s="71" t="n">
        <v>46199</v>
      </c>
      <c r="C2271" s="0" t="n">
        <v>1</v>
      </c>
      <c r="D2271" s="0" t="s">
        <v>2442</v>
      </c>
      <c r="E2271" s="0" t="n">
        <v>1642</v>
      </c>
      <c r="F2271" s="0" t="s">
        <v>228</v>
      </c>
      <c r="I2271" s="0" t="n">
        <v>1029069</v>
      </c>
      <c r="J2271" s="0" t="n">
        <v>105782</v>
      </c>
      <c r="K2271" s="0" t="n">
        <v>7896289210352</v>
      </c>
      <c r="L2271" s="0" t="s">
        <v>2512</v>
      </c>
      <c r="N2271" s="0" t="n">
        <v>5</v>
      </c>
      <c r="O2271" s="0" t="n">
        <v>34.3</v>
      </c>
      <c r="P2271" s="0" t="s">
        <v>2444</v>
      </c>
    </row>
    <row r="2272" customFormat="false" ht="15" hidden="false" customHeight="true" outlineLevel="0" collapsed="false">
      <c r="A2272" s="0" t="n">
        <v>2</v>
      </c>
      <c r="B2272" s="71" t="n">
        <v>46199</v>
      </c>
      <c r="C2272" s="0" t="n">
        <v>1</v>
      </c>
      <c r="D2272" s="0" t="s">
        <v>2442</v>
      </c>
      <c r="E2272" s="0" t="n">
        <v>1642</v>
      </c>
      <c r="F2272" s="0" t="s">
        <v>228</v>
      </c>
      <c r="I2272" s="0" t="n">
        <v>1029069</v>
      </c>
      <c r="J2272" s="0" t="n">
        <v>106079</v>
      </c>
      <c r="K2272" s="0" t="n">
        <v>7896289210130</v>
      </c>
      <c r="L2272" s="0" t="s">
        <v>2513</v>
      </c>
      <c r="N2272" s="0" t="n">
        <v>5</v>
      </c>
      <c r="O2272" s="0" t="n">
        <v>68.5</v>
      </c>
      <c r="P2272" s="0" t="s">
        <v>2444</v>
      </c>
    </row>
    <row r="2273" customFormat="false" ht="15" hidden="false" customHeight="true" outlineLevel="0" collapsed="false">
      <c r="A2273" s="0" t="n">
        <v>2</v>
      </c>
      <c r="B2273" s="71" t="n">
        <v>46199</v>
      </c>
      <c r="C2273" s="0" t="n">
        <v>1</v>
      </c>
      <c r="D2273" s="0" t="s">
        <v>2442</v>
      </c>
      <c r="E2273" s="0" t="n">
        <v>1642</v>
      </c>
      <c r="F2273" s="0" t="s">
        <v>228</v>
      </c>
      <c r="I2273" s="0" t="n">
        <v>1029069</v>
      </c>
      <c r="J2273" s="0" t="n">
        <v>106280</v>
      </c>
      <c r="K2273" s="0" t="n">
        <v>7896289210062</v>
      </c>
      <c r="L2273" s="0" t="s">
        <v>2515</v>
      </c>
      <c r="N2273" s="0" t="n">
        <v>3</v>
      </c>
      <c r="O2273" s="0" t="n">
        <v>37.68</v>
      </c>
      <c r="P2273" s="0" t="s">
        <v>2444</v>
      </c>
    </row>
    <row r="2274" customFormat="false" ht="15" hidden="false" customHeight="true" outlineLevel="0" collapsed="false">
      <c r="A2274" s="0" t="n">
        <v>2</v>
      </c>
      <c r="B2274" s="71" t="n">
        <v>46199</v>
      </c>
      <c r="C2274" s="0" t="n">
        <v>1</v>
      </c>
      <c r="D2274" s="0" t="s">
        <v>2442</v>
      </c>
      <c r="E2274" s="0" t="n">
        <v>1642</v>
      </c>
      <c r="F2274" s="0" t="s">
        <v>228</v>
      </c>
      <c r="I2274" s="0" t="n">
        <v>1029069</v>
      </c>
      <c r="J2274" s="0" t="n">
        <v>106407</v>
      </c>
      <c r="K2274" s="0" t="n">
        <v>7896289210031</v>
      </c>
      <c r="L2274" s="0" t="s">
        <v>2516</v>
      </c>
      <c r="N2274" s="0" t="n">
        <v>5</v>
      </c>
      <c r="O2274" s="0" t="n">
        <v>58.2</v>
      </c>
      <c r="P2274" s="0" t="s">
        <v>2444</v>
      </c>
    </row>
    <row r="2275" customFormat="false" ht="15" hidden="false" customHeight="true" outlineLevel="0" collapsed="false">
      <c r="A2275" s="0" t="n">
        <v>2</v>
      </c>
      <c r="B2275" s="71" t="n">
        <v>46199</v>
      </c>
      <c r="C2275" s="0" t="n">
        <v>1</v>
      </c>
      <c r="D2275" s="0" t="s">
        <v>2442</v>
      </c>
      <c r="E2275" s="0" t="n">
        <v>10009</v>
      </c>
      <c r="F2275" s="0" t="s">
        <v>464</v>
      </c>
      <c r="I2275" s="0" t="n">
        <v>1420058</v>
      </c>
      <c r="J2275" s="0" t="n">
        <v>47560</v>
      </c>
      <c r="K2275" s="0" t="n">
        <v>7891000319505</v>
      </c>
      <c r="L2275" s="0" t="s">
        <v>3755</v>
      </c>
      <c r="N2275" s="0" t="n">
        <v>24</v>
      </c>
      <c r="O2275" s="0" t="n">
        <v>139.61</v>
      </c>
      <c r="P2275" s="0" t="s">
        <v>2444</v>
      </c>
    </row>
    <row r="2276" customFormat="false" ht="15" hidden="false" customHeight="true" outlineLevel="0" collapsed="false">
      <c r="A2276" s="0" t="n">
        <v>2</v>
      </c>
      <c r="B2276" s="71" t="n">
        <v>46199</v>
      </c>
      <c r="C2276" s="0" t="n">
        <v>1</v>
      </c>
      <c r="D2276" s="0" t="s">
        <v>2442</v>
      </c>
      <c r="E2276" s="0" t="n">
        <v>10009</v>
      </c>
      <c r="F2276" s="0" t="s">
        <v>464</v>
      </c>
      <c r="I2276" s="0" t="n">
        <v>1420058</v>
      </c>
      <c r="J2276" s="0" t="n">
        <v>47563</v>
      </c>
      <c r="K2276" s="0" t="n">
        <v>7891000319543</v>
      </c>
      <c r="L2276" s="0" t="s">
        <v>3756</v>
      </c>
      <c r="N2276" s="0" t="n">
        <v>24</v>
      </c>
      <c r="O2276" s="0" t="n">
        <v>139.61</v>
      </c>
      <c r="P2276" s="0" t="s">
        <v>2444</v>
      </c>
    </row>
    <row r="2277" customFormat="false" ht="15" hidden="false" customHeight="true" outlineLevel="0" collapsed="false">
      <c r="A2277" s="0" t="n">
        <v>2</v>
      </c>
      <c r="B2277" s="71" t="n">
        <v>46199</v>
      </c>
      <c r="C2277" s="0" t="n">
        <v>1</v>
      </c>
      <c r="D2277" s="0" t="s">
        <v>2442</v>
      </c>
      <c r="E2277" s="0" t="n">
        <v>10009</v>
      </c>
      <c r="F2277" s="0" t="s">
        <v>464</v>
      </c>
      <c r="I2277" s="0" t="n">
        <v>1420058</v>
      </c>
      <c r="J2277" s="0" t="n">
        <v>47564</v>
      </c>
      <c r="K2277" s="0" t="n">
        <v>7891000319628</v>
      </c>
      <c r="L2277" s="0" t="s">
        <v>3757</v>
      </c>
      <c r="N2277" s="0" t="n">
        <v>24</v>
      </c>
      <c r="O2277" s="0" t="n">
        <v>139.61</v>
      </c>
      <c r="P2277" s="0" t="s">
        <v>2444</v>
      </c>
    </row>
    <row r="2278" customFormat="false" ht="15" hidden="false" customHeight="true" outlineLevel="0" collapsed="false">
      <c r="A2278" s="0" t="n">
        <v>2</v>
      </c>
      <c r="B2278" s="71" t="n">
        <v>46199</v>
      </c>
      <c r="C2278" s="0" t="n">
        <v>1</v>
      </c>
      <c r="D2278" s="0" t="s">
        <v>2442</v>
      </c>
      <c r="E2278" s="0" t="n">
        <v>1613</v>
      </c>
      <c r="F2278" s="0" t="s">
        <v>50</v>
      </c>
      <c r="I2278" s="0" t="n">
        <v>1600681</v>
      </c>
      <c r="J2278" s="0" t="n">
        <v>100045</v>
      </c>
      <c r="K2278" s="0" t="n">
        <v>46</v>
      </c>
      <c r="L2278" s="0" t="s">
        <v>2625</v>
      </c>
      <c r="N2278" s="0" t="n">
        <v>60</v>
      </c>
      <c r="O2278" s="0" t="n">
        <v>695.4</v>
      </c>
      <c r="P2278" s="0" t="s">
        <v>2444</v>
      </c>
    </row>
    <row r="2279" customFormat="false" ht="15" hidden="false" customHeight="true" outlineLevel="0" collapsed="false">
      <c r="A2279" s="0" t="n">
        <v>2</v>
      </c>
      <c r="B2279" s="71" t="n">
        <v>46199</v>
      </c>
      <c r="C2279" s="0" t="n">
        <v>1</v>
      </c>
      <c r="D2279" s="0" t="s">
        <v>2442</v>
      </c>
      <c r="E2279" s="0" t="n">
        <v>1613</v>
      </c>
      <c r="F2279" s="0" t="s">
        <v>50</v>
      </c>
      <c r="I2279" s="0" t="n">
        <v>1600681</v>
      </c>
      <c r="J2279" s="0" t="n">
        <v>100073</v>
      </c>
      <c r="K2279" s="0" t="n">
        <v>74</v>
      </c>
      <c r="L2279" s="0" t="s">
        <v>2626</v>
      </c>
      <c r="N2279" s="0" t="n">
        <v>90</v>
      </c>
      <c r="O2279" s="0" t="n">
        <v>1945.8</v>
      </c>
      <c r="P2279" s="0" t="s">
        <v>2444</v>
      </c>
    </row>
    <row r="2280" customFormat="false" ht="15" hidden="false" customHeight="true" outlineLevel="0" collapsed="false">
      <c r="A2280" s="0" t="n">
        <v>2</v>
      </c>
      <c r="B2280" s="71" t="n">
        <v>46199</v>
      </c>
      <c r="C2280" s="0" t="n">
        <v>1</v>
      </c>
      <c r="D2280" s="0" t="s">
        <v>2442</v>
      </c>
      <c r="E2280" s="0" t="n">
        <v>1613</v>
      </c>
      <c r="F2280" s="0" t="s">
        <v>50</v>
      </c>
      <c r="I2280" s="0" t="n">
        <v>1600681</v>
      </c>
      <c r="J2280" s="0" t="n">
        <v>102407</v>
      </c>
      <c r="K2280" s="0" t="n">
        <v>7893000394117</v>
      </c>
      <c r="L2280" s="0" t="s">
        <v>3758</v>
      </c>
      <c r="N2280" s="0" t="n">
        <v>24</v>
      </c>
      <c r="O2280" s="0" t="n">
        <v>120.06</v>
      </c>
      <c r="P2280" s="0" t="s">
        <v>2444</v>
      </c>
    </row>
    <row r="2281" customFormat="false" ht="15" hidden="false" customHeight="true" outlineLevel="0" collapsed="false">
      <c r="A2281" s="0" t="n">
        <v>2</v>
      </c>
      <c r="B2281" s="71" t="n">
        <v>46199</v>
      </c>
      <c r="C2281" s="0" t="n">
        <v>1</v>
      </c>
      <c r="D2281" s="0" t="s">
        <v>2442</v>
      </c>
      <c r="E2281" s="0" t="n">
        <v>1613</v>
      </c>
      <c r="F2281" s="0" t="s">
        <v>50</v>
      </c>
      <c r="I2281" s="0" t="n">
        <v>1600681</v>
      </c>
      <c r="J2281" s="0" t="n">
        <v>103848</v>
      </c>
      <c r="K2281" s="0" t="n">
        <v>7893000488878</v>
      </c>
      <c r="L2281" s="0" t="s">
        <v>2972</v>
      </c>
      <c r="N2281" s="0" t="n">
        <v>8</v>
      </c>
      <c r="O2281" s="0" t="n">
        <v>101.84</v>
      </c>
      <c r="P2281" s="0" t="s">
        <v>2444</v>
      </c>
    </row>
    <row r="2282" customFormat="false" ht="15" hidden="false" customHeight="true" outlineLevel="0" collapsed="false">
      <c r="A2282" s="0" t="n">
        <v>2</v>
      </c>
      <c r="B2282" s="71" t="n">
        <v>46199</v>
      </c>
      <c r="C2282" s="0" t="n">
        <v>1</v>
      </c>
      <c r="D2282" s="0" t="s">
        <v>2442</v>
      </c>
      <c r="E2282" s="0" t="n">
        <v>1613</v>
      </c>
      <c r="F2282" s="0" t="s">
        <v>50</v>
      </c>
      <c r="I2282" s="0" t="n">
        <v>1600681</v>
      </c>
      <c r="J2282" s="0" t="n">
        <v>103851</v>
      </c>
      <c r="K2282" s="0" t="n">
        <v>7893000482401</v>
      </c>
      <c r="L2282" s="0" t="s">
        <v>3759</v>
      </c>
      <c r="N2282" s="0" t="n">
        <v>12</v>
      </c>
      <c r="O2282" s="0" t="n">
        <v>203.16</v>
      </c>
      <c r="P2282" s="0" t="s">
        <v>2444</v>
      </c>
    </row>
    <row r="2283" customFormat="false" ht="15" hidden="false" customHeight="true" outlineLevel="0" collapsed="false">
      <c r="A2283" s="0" t="n">
        <v>2</v>
      </c>
      <c r="B2283" s="71" t="n">
        <v>46199</v>
      </c>
      <c r="C2283" s="0" t="n">
        <v>1</v>
      </c>
      <c r="D2283" s="0" t="s">
        <v>2442</v>
      </c>
      <c r="E2283" s="0" t="n">
        <v>1613</v>
      </c>
      <c r="F2283" s="0" t="s">
        <v>50</v>
      </c>
      <c r="I2283" s="0" t="n">
        <v>1600681</v>
      </c>
      <c r="J2283" s="0" t="n">
        <v>105663</v>
      </c>
      <c r="K2283" s="0" t="n">
        <v>7893000980006</v>
      </c>
      <c r="L2283" s="0" t="s">
        <v>3760</v>
      </c>
      <c r="N2283" s="0" t="n">
        <v>24</v>
      </c>
      <c r="O2283" s="0" t="n">
        <v>150.8</v>
      </c>
      <c r="P2283" s="0" t="s">
        <v>2444</v>
      </c>
    </row>
    <row r="2284" customFormat="false" ht="15" hidden="false" customHeight="true" outlineLevel="0" collapsed="false">
      <c r="A2284" s="0" t="n">
        <v>2</v>
      </c>
      <c r="B2284" s="71" t="n">
        <v>46199</v>
      </c>
      <c r="C2284" s="0" t="n">
        <v>1</v>
      </c>
      <c r="D2284" s="0" t="s">
        <v>2442</v>
      </c>
      <c r="E2284" s="0" t="n">
        <v>1613</v>
      </c>
      <c r="F2284" s="0" t="s">
        <v>50</v>
      </c>
      <c r="I2284" s="0" t="n">
        <v>1600681</v>
      </c>
      <c r="J2284" s="0" t="n">
        <v>108550</v>
      </c>
      <c r="K2284" s="0" t="n">
        <v>7893000674233</v>
      </c>
      <c r="L2284" s="0" t="s">
        <v>3761</v>
      </c>
      <c r="N2284" s="0" t="n">
        <v>12</v>
      </c>
      <c r="O2284" s="0" t="n">
        <v>137.43</v>
      </c>
      <c r="P2284" s="0" t="s">
        <v>2444</v>
      </c>
    </row>
    <row r="2285" customFormat="false" ht="15" hidden="false" customHeight="true" outlineLevel="0" collapsed="false">
      <c r="A2285" s="0" t="n">
        <v>2</v>
      </c>
      <c r="B2285" s="71" t="n">
        <v>46199</v>
      </c>
      <c r="C2285" s="0" t="n">
        <v>1</v>
      </c>
      <c r="D2285" s="0" t="s">
        <v>2442</v>
      </c>
      <c r="E2285" s="0" t="n">
        <v>1613</v>
      </c>
      <c r="F2285" s="0" t="s">
        <v>50</v>
      </c>
      <c r="I2285" s="0" t="n">
        <v>1600681</v>
      </c>
      <c r="J2285" s="0" t="n">
        <v>23694</v>
      </c>
      <c r="K2285" s="0" t="n">
        <v>7891515474737</v>
      </c>
      <c r="L2285" s="0" t="s">
        <v>2978</v>
      </c>
      <c r="N2285" s="0" t="n">
        <v>45</v>
      </c>
      <c r="O2285" s="0" t="n">
        <v>77.82</v>
      </c>
      <c r="P2285" s="0" t="s">
        <v>2444</v>
      </c>
    </row>
    <row r="2286" customFormat="false" ht="15" hidden="false" customHeight="true" outlineLevel="0" collapsed="false">
      <c r="A2286" s="0" t="n">
        <v>2</v>
      </c>
      <c r="B2286" s="71" t="n">
        <v>46199</v>
      </c>
      <c r="C2286" s="0" t="n">
        <v>1</v>
      </c>
      <c r="D2286" s="0" t="s">
        <v>2442</v>
      </c>
      <c r="E2286" s="0" t="n">
        <v>1613</v>
      </c>
      <c r="F2286" s="0" t="s">
        <v>50</v>
      </c>
      <c r="I2286" s="0" t="n">
        <v>1600681</v>
      </c>
      <c r="J2286" s="0" t="n">
        <v>24510</v>
      </c>
      <c r="K2286" s="0" t="n">
        <v>7891515431587</v>
      </c>
      <c r="L2286" s="0" t="s">
        <v>3762</v>
      </c>
      <c r="N2286" s="0" t="n">
        <v>21</v>
      </c>
      <c r="O2286" s="0" t="n">
        <v>139.73</v>
      </c>
      <c r="P2286" s="0" t="s">
        <v>2444</v>
      </c>
    </row>
    <row r="2287" customFormat="false" ht="15" hidden="false" customHeight="true" outlineLevel="0" collapsed="false">
      <c r="A2287" s="0" t="n">
        <v>2</v>
      </c>
      <c r="B2287" s="71" t="n">
        <v>46199</v>
      </c>
      <c r="C2287" s="0" t="n">
        <v>1</v>
      </c>
      <c r="D2287" s="0" t="s">
        <v>2442</v>
      </c>
      <c r="E2287" s="0" t="n">
        <v>1613</v>
      </c>
      <c r="F2287" s="0" t="s">
        <v>50</v>
      </c>
      <c r="I2287" s="0" t="n">
        <v>1600681</v>
      </c>
      <c r="J2287" s="0" t="n">
        <v>61624</v>
      </c>
      <c r="K2287" s="0" t="n">
        <v>7891515557454</v>
      </c>
      <c r="L2287" s="0" t="s">
        <v>3763</v>
      </c>
      <c r="N2287" s="0" t="n">
        <v>24</v>
      </c>
      <c r="O2287" s="0" t="n">
        <v>190.89</v>
      </c>
      <c r="P2287" s="0" t="s">
        <v>2444</v>
      </c>
    </row>
    <row r="2288" customFormat="false" ht="15" hidden="false" customHeight="true" outlineLevel="0" collapsed="false">
      <c r="A2288" s="0" t="n">
        <v>2</v>
      </c>
      <c r="B2288" s="71" t="n">
        <v>46199</v>
      </c>
      <c r="C2288" s="0" t="n">
        <v>2</v>
      </c>
      <c r="D2288" s="0" t="s">
        <v>2533</v>
      </c>
      <c r="E2288" s="0" t="n">
        <v>48</v>
      </c>
      <c r="F2288" s="0" t="s">
        <v>153</v>
      </c>
      <c r="I2288" s="0" t="n">
        <v>26626</v>
      </c>
      <c r="J2288" s="0" t="n">
        <v>42564</v>
      </c>
      <c r="K2288" s="0" t="n">
        <v>574</v>
      </c>
      <c r="L2288" s="0" t="s">
        <v>2534</v>
      </c>
      <c r="N2288" s="0" t="n">
        <v>15</v>
      </c>
      <c r="O2288" s="0" t="n">
        <v>210</v>
      </c>
      <c r="P2288" s="0" t="s">
        <v>2444</v>
      </c>
    </row>
    <row r="2289" customFormat="false" ht="15" hidden="false" customHeight="true" outlineLevel="0" collapsed="false">
      <c r="A2289" s="0" t="n">
        <v>2</v>
      </c>
      <c r="B2289" s="71" t="n">
        <v>46199</v>
      </c>
      <c r="C2289" s="0" t="n">
        <v>2</v>
      </c>
      <c r="D2289" s="0" t="s">
        <v>2533</v>
      </c>
      <c r="E2289" s="0" t="n">
        <v>48</v>
      </c>
      <c r="F2289" s="0" t="s">
        <v>153</v>
      </c>
      <c r="I2289" s="0" t="n">
        <v>2662026</v>
      </c>
      <c r="J2289" s="0" t="n">
        <v>100100</v>
      </c>
      <c r="K2289" s="0" t="n">
        <v>101</v>
      </c>
      <c r="L2289" s="0" t="s">
        <v>2693</v>
      </c>
      <c r="N2289" s="0" t="n">
        <v>5</v>
      </c>
      <c r="O2289" s="0" t="n">
        <v>25</v>
      </c>
      <c r="P2289" s="0" t="s">
        <v>2444</v>
      </c>
    </row>
    <row r="2290" customFormat="false" ht="15" hidden="false" customHeight="true" outlineLevel="0" collapsed="false">
      <c r="A2290" s="0" t="n">
        <v>2</v>
      </c>
      <c r="B2290" s="71" t="n">
        <v>46199</v>
      </c>
      <c r="C2290" s="0" t="n">
        <v>2</v>
      </c>
      <c r="D2290" s="0" t="s">
        <v>2533</v>
      </c>
      <c r="E2290" s="0" t="n">
        <v>48</v>
      </c>
      <c r="F2290" s="0" t="s">
        <v>153</v>
      </c>
      <c r="I2290" s="0" t="n">
        <v>2662026</v>
      </c>
      <c r="J2290" s="0" t="n">
        <v>100107</v>
      </c>
      <c r="K2290" s="0" t="n">
        <v>108</v>
      </c>
      <c r="L2290" s="0" t="s">
        <v>3259</v>
      </c>
      <c r="N2290" s="0" t="n">
        <v>3</v>
      </c>
      <c r="O2290" s="0" t="n">
        <v>33</v>
      </c>
      <c r="P2290" s="0" t="s">
        <v>2444</v>
      </c>
    </row>
    <row r="2291" customFormat="false" ht="15" hidden="false" customHeight="true" outlineLevel="0" collapsed="false">
      <c r="A2291" s="0" t="n">
        <v>2</v>
      </c>
      <c r="B2291" s="71" t="n">
        <v>46199</v>
      </c>
      <c r="C2291" s="0" t="n">
        <v>2</v>
      </c>
      <c r="D2291" s="0" t="s">
        <v>2533</v>
      </c>
      <c r="E2291" s="0" t="n">
        <v>48</v>
      </c>
      <c r="F2291" s="0" t="s">
        <v>153</v>
      </c>
      <c r="I2291" s="0" t="n">
        <v>2662026</v>
      </c>
      <c r="J2291" s="0" t="n">
        <v>100113</v>
      </c>
      <c r="K2291" s="0" t="n">
        <v>114</v>
      </c>
      <c r="L2291" s="0" t="s">
        <v>2539</v>
      </c>
      <c r="N2291" s="0" t="n">
        <v>20</v>
      </c>
      <c r="O2291" s="0" t="n">
        <v>40</v>
      </c>
      <c r="P2291" s="0" t="s">
        <v>2444</v>
      </c>
    </row>
    <row r="2292" customFormat="false" ht="15" hidden="false" customHeight="true" outlineLevel="0" collapsed="false">
      <c r="A2292" s="0" t="n">
        <v>2</v>
      </c>
      <c r="B2292" s="71" t="n">
        <v>46199</v>
      </c>
      <c r="C2292" s="0" t="n">
        <v>2</v>
      </c>
      <c r="D2292" s="0" t="s">
        <v>2533</v>
      </c>
      <c r="E2292" s="0" t="n">
        <v>48</v>
      </c>
      <c r="F2292" s="0" t="s">
        <v>153</v>
      </c>
      <c r="I2292" s="0" t="n">
        <v>2662026</v>
      </c>
      <c r="J2292" s="0" t="n">
        <v>100115</v>
      </c>
      <c r="K2292" s="0" t="n">
        <v>116</v>
      </c>
      <c r="L2292" s="0" t="s">
        <v>2694</v>
      </c>
      <c r="N2292" s="0" t="n">
        <v>15</v>
      </c>
      <c r="O2292" s="0" t="n">
        <v>60</v>
      </c>
      <c r="P2292" s="0" t="s">
        <v>2444</v>
      </c>
    </row>
    <row r="2293" customFormat="false" ht="15" hidden="false" customHeight="true" outlineLevel="0" collapsed="false">
      <c r="A2293" s="0" t="n">
        <v>2</v>
      </c>
      <c r="B2293" s="71" t="n">
        <v>46199</v>
      </c>
      <c r="C2293" s="0" t="n">
        <v>2</v>
      </c>
      <c r="D2293" s="0" t="s">
        <v>2533</v>
      </c>
      <c r="E2293" s="0" t="n">
        <v>48</v>
      </c>
      <c r="F2293" s="0" t="s">
        <v>153</v>
      </c>
      <c r="I2293" s="0" t="n">
        <v>2662026</v>
      </c>
      <c r="J2293" s="0" t="n">
        <v>100118</v>
      </c>
      <c r="K2293" s="0" t="n">
        <v>119</v>
      </c>
      <c r="L2293" s="0" t="s">
        <v>2541</v>
      </c>
      <c r="N2293" s="0" t="n">
        <v>6</v>
      </c>
      <c r="O2293" s="0" t="n">
        <v>15</v>
      </c>
      <c r="P2293" s="0" t="s">
        <v>2444</v>
      </c>
    </row>
    <row r="2294" customFormat="false" ht="15" hidden="false" customHeight="true" outlineLevel="0" collapsed="false">
      <c r="A2294" s="0" t="n">
        <v>2</v>
      </c>
      <c r="B2294" s="71" t="n">
        <v>46199</v>
      </c>
      <c r="C2294" s="0" t="n">
        <v>2</v>
      </c>
      <c r="D2294" s="0" t="s">
        <v>2533</v>
      </c>
      <c r="E2294" s="0" t="n">
        <v>48</v>
      </c>
      <c r="F2294" s="0" t="s">
        <v>153</v>
      </c>
      <c r="I2294" s="0" t="n">
        <v>2662026</v>
      </c>
      <c r="J2294" s="0" t="n">
        <v>100121</v>
      </c>
      <c r="K2294" s="0" t="n">
        <v>122</v>
      </c>
      <c r="L2294" s="0" t="s">
        <v>2542</v>
      </c>
      <c r="N2294" s="0" t="n">
        <v>5</v>
      </c>
      <c r="O2294" s="0" t="n">
        <v>100</v>
      </c>
      <c r="P2294" s="0" t="s">
        <v>2444</v>
      </c>
    </row>
    <row r="2295" customFormat="false" ht="15" hidden="false" customHeight="true" outlineLevel="0" collapsed="false">
      <c r="A2295" s="0" t="n">
        <v>2</v>
      </c>
      <c r="B2295" s="71" t="n">
        <v>46199</v>
      </c>
      <c r="C2295" s="0" t="n">
        <v>2</v>
      </c>
      <c r="D2295" s="0" t="s">
        <v>2533</v>
      </c>
      <c r="E2295" s="0" t="n">
        <v>48</v>
      </c>
      <c r="F2295" s="0" t="s">
        <v>153</v>
      </c>
      <c r="I2295" s="0" t="n">
        <v>2662026</v>
      </c>
      <c r="J2295" s="0" t="n">
        <v>100122</v>
      </c>
      <c r="K2295" s="0" t="n">
        <v>123</v>
      </c>
      <c r="L2295" s="0" t="s">
        <v>2543</v>
      </c>
      <c r="N2295" s="0" t="n">
        <v>5</v>
      </c>
      <c r="O2295" s="0" t="n">
        <v>75</v>
      </c>
      <c r="P2295" s="0" t="s">
        <v>2444</v>
      </c>
    </row>
    <row r="2296" customFormat="false" ht="15" hidden="false" customHeight="true" outlineLevel="0" collapsed="false">
      <c r="A2296" s="0" t="n">
        <v>2</v>
      </c>
      <c r="B2296" s="71" t="n">
        <v>46199</v>
      </c>
      <c r="C2296" s="0" t="n">
        <v>2</v>
      </c>
      <c r="D2296" s="0" t="s">
        <v>2533</v>
      </c>
      <c r="E2296" s="0" t="n">
        <v>48</v>
      </c>
      <c r="F2296" s="0" t="s">
        <v>153</v>
      </c>
      <c r="I2296" s="0" t="n">
        <v>2662026</v>
      </c>
      <c r="J2296" s="0" t="n">
        <v>100129</v>
      </c>
      <c r="K2296" s="0" t="n">
        <v>130</v>
      </c>
      <c r="L2296" s="0" t="s">
        <v>2598</v>
      </c>
      <c r="N2296" s="0" t="n">
        <v>8</v>
      </c>
      <c r="O2296" s="0" t="n">
        <v>36.88</v>
      </c>
      <c r="P2296" s="0" t="s">
        <v>2444</v>
      </c>
    </row>
    <row r="2297" customFormat="false" ht="15" hidden="false" customHeight="true" outlineLevel="0" collapsed="false">
      <c r="A2297" s="0" t="n">
        <v>2</v>
      </c>
      <c r="B2297" s="71" t="n">
        <v>46199</v>
      </c>
      <c r="C2297" s="0" t="n">
        <v>2</v>
      </c>
      <c r="D2297" s="0" t="s">
        <v>2533</v>
      </c>
      <c r="E2297" s="0" t="n">
        <v>48</v>
      </c>
      <c r="F2297" s="0" t="s">
        <v>153</v>
      </c>
      <c r="I2297" s="0" t="n">
        <v>2662026</v>
      </c>
      <c r="J2297" s="0" t="n">
        <v>100130</v>
      </c>
      <c r="K2297" s="0" t="n">
        <v>131</v>
      </c>
      <c r="L2297" s="0" t="s">
        <v>2545</v>
      </c>
      <c r="N2297" s="0" t="n">
        <v>30</v>
      </c>
      <c r="O2297" s="0" t="n">
        <v>195</v>
      </c>
      <c r="P2297" s="0" t="s">
        <v>2444</v>
      </c>
    </row>
    <row r="2298" customFormat="false" ht="15" hidden="false" customHeight="true" outlineLevel="0" collapsed="false">
      <c r="A2298" s="0" t="n">
        <v>2</v>
      </c>
      <c r="B2298" s="71" t="n">
        <v>46199</v>
      </c>
      <c r="C2298" s="0" t="n">
        <v>2</v>
      </c>
      <c r="D2298" s="0" t="s">
        <v>2533</v>
      </c>
      <c r="E2298" s="0" t="n">
        <v>48</v>
      </c>
      <c r="F2298" s="0" t="s">
        <v>153</v>
      </c>
      <c r="I2298" s="0" t="n">
        <v>2662026</v>
      </c>
      <c r="J2298" s="0" t="n">
        <v>100132</v>
      </c>
      <c r="K2298" s="0" t="n">
        <v>133</v>
      </c>
      <c r="L2298" s="0" t="s">
        <v>2546</v>
      </c>
      <c r="N2298" s="0" t="n">
        <v>36.855</v>
      </c>
      <c r="O2298" s="0" t="n">
        <v>114</v>
      </c>
      <c r="P2298" s="0" t="s">
        <v>2444</v>
      </c>
    </row>
    <row r="2299" customFormat="false" ht="15" hidden="false" customHeight="true" outlineLevel="0" collapsed="false">
      <c r="A2299" s="0" t="n">
        <v>2</v>
      </c>
      <c r="B2299" s="71" t="n">
        <v>46199</v>
      </c>
      <c r="C2299" s="0" t="n">
        <v>2</v>
      </c>
      <c r="D2299" s="0" t="s">
        <v>2533</v>
      </c>
      <c r="E2299" s="0" t="n">
        <v>48</v>
      </c>
      <c r="F2299" s="0" t="s">
        <v>153</v>
      </c>
      <c r="I2299" s="0" t="n">
        <v>2662026</v>
      </c>
      <c r="J2299" s="0" t="n">
        <v>100133</v>
      </c>
      <c r="K2299" s="0" t="n">
        <v>134</v>
      </c>
      <c r="L2299" s="0" t="s">
        <v>2547</v>
      </c>
      <c r="N2299" s="0" t="n">
        <v>15</v>
      </c>
      <c r="O2299" s="0" t="n">
        <v>30</v>
      </c>
      <c r="P2299" s="0" t="s">
        <v>2444</v>
      </c>
    </row>
    <row r="2300" customFormat="false" ht="15" hidden="false" customHeight="true" outlineLevel="0" collapsed="false">
      <c r="A2300" s="0" t="n">
        <v>2</v>
      </c>
      <c r="B2300" s="71" t="n">
        <v>46199</v>
      </c>
      <c r="C2300" s="0" t="n">
        <v>2</v>
      </c>
      <c r="D2300" s="0" t="s">
        <v>2533</v>
      </c>
      <c r="E2300" s="0" t="n">
        <v>48</v>
      </c>
      <c r="F2300" s="0" t="s">
        <v>153</v>
      </c>
      <c r="I2300" s="0" t="n">
        <v>2662026</v>
      </c>
      <c r="J2300" s="0" t="n">
        <v>100148</v>
      </c>
      <c r="K2300" s="0" t="n">
        <v>149</v>
      </c>
      <c r="L2300" s="0" t="s">
        <v>2600</v>
      </c>
      <c r="N2300" s="0" t="n">
        <v>13</v>
      </c>
      <c r="O2300" s="0" t="n">
        <v>115.44</v>
      </c>
      <c r="P2300" s="0" t="s">
        <v>2444</v>
      </c>
    </row>
    <row r="2301" customFormat="false" ht="15" hidden="false" customHeight="true" outlineLevel="0" collapsed="false">
      <c r="A2301" s="0" t="n">
        <v>2</v>
      </c>
      <c r="B2301" s="71" t="n">
        <v>46199</v>
      </c>
      <c r="C2301" s="0" t="n">
        <v>2</v>
      </c>
      <c r="D2301" s="0" t="s">
        <v>2533</v>
      </c>
      <c r="E2301" s="0" t="n">
        <v>48</v>
      </c>
      <c r="F2301" s="0" t="s">
        <v>153</v>
      </c>
      <c r="I2301" s="0" t="n">
        <v>2662026</v>
      </c>
      <c r="J2301" s="0" t="n">
        <v>100227</v>
      </c>
      <c r="K2301" s="0" t="n">
        <v>40538</v>
      </c>
      <c r="L2301" s="0" t="s">
        <v>2548</v>
      </c>
      <c r="N2301" s="0" t="n">
        <v>15</v>
      </c>
      <c r="O2301" s="0" t="n">
        <v>37.5</v>
      </c>
      <c r="P2301" s="0" t="s">
        <v>2444</v>
      </c>
    </row>
    <row r="2302" customFormat="false" ht="15" hidden="false" customHeight="true" outlineLevel="0" collapsed="false">
      <c r="A2302" s="0" t="n">
        <v>2</v>
      </c>
      <c r="B2302" s="71" t="n">
        <v>46199</v>
      </c>
      <c r="C2302" s="0" t="n">
        <v>2</v>
      </c>
      <c r="D2302" s="0" t="s">
        <v>2533</v>
      </c>
      <c r="E2302" s="0" t="n">
        <v>48</v>
      </c>
      <c r="F2302" s="0" t="s">
        <v>153</v>
      </c>
      <c r="I2302" s="0" t="n">
        <v>2662026</v>
      </c>
      <c r="J2302" s="0" t="n">
        <v>110142</v>
      </c>
      <c r="K2302" s="0" t="n">
        <v>16699</v>
      </c>
      <c r="L2302" s="0" t="s">
        <v>2549</v>
      </c>
      <c r="N2302" s="0" t="n">
        <v>40</v>
      </c>
      <c r="O2302" s="0" t="n">
        <v>240</v>
      </c>
      <c r="P2302" s="0" t="s">
        <v>2444</v>
      </c>
    </row>
    <row r="2303" customFormat="false" ht="15" hidden="false" customHeight="true" outlineLevel="0" collapsed="false">
      <c r="A2303" s="0" t="n">
        <v>2</v>
      </c>
      <c r="B2303" s="71" t="n">
        <v>46199</v>
      </c>
      <c r="C2303" s="0" t="n">
        <v>2</v>
      </c>
      <c r="D2303" s="0" t="s">
        <v>2533</v>
      </c>
      <c r="E2303" s="0" t="n">
        <v>48</v>
      </c>
      <c r="F2303" s="0" t="s">
        <v>153</v>
      </c>
      <c r="I2303" s="0" t="n">
        <v>2662026</v>
      </c>
      <c r="J2303" s="0" t="n">
        <v>110489</v>
      </c>
      <c r="K2303" s="0" t="n">
        <v>54743</v>
      </c>
      <c r="L2303" s="0" t="s">
        <v>2550</v>
      </c>
      <c r="N2303" s="0" t="n">
        <v>40</v>
      </c>
      <c r="O2303" s="0" t="n">
        <v>240</v>
      </c>
      <c r="P2303" s="0" t="s">
        <v>2444</v>
      </c>
    </row>
    <row r="2304" customFormat="false" ht="15" hidden="false" customHeight="true" outlineLevel="0" collapsed="false">
      <c r="A2304" s="0" t="n">
        <v>2</v>
      </c>
      <c r="B2304" s="71" t="n">
        <v>46199</v>
      </c>
      <c r="C2304" s="0" t="n">
        <v>2</v>
      </c>
      <c r="D2304" s="0" t="s">
        <v>2533</v>
      </c>
      <c r="E2304" s="0" t="n">
        <v>48</v>
      </c>
      <c r="F2304" s="0" t="s">
        <v>153</v>
      </c>
      <c r="I2304" s="0" t="n">
        <v>2662026</v>
      </c>
      <c r="J2304" s="0" t="n">
        <v>80078</v>
      </c>
      <c r="K2304" s="0" t="n">
        <v>710</v>
      </c>
      <c r="L2304" s="0" t="s">
        <v>2551</v>
      </c>
      <c r="N2304" s="0" t="n">
        <v>15</v>
      </c>
      <c r="O2304" s="0" t="n">
        <v>45</v>
      </c>
      <c r="P2304" s="0" t="s">
        <v>2444</v>
      </c>
    </row>
    <row r="2305" customFormat="false" ht="15" hidden="false" customHeight="true" outlineLevel="0" collapsed="false">
      <c r="A2305" s="0" t="n">
        <v>2</v>
      </c>
      <c r="B2305" s="71" t="n">
        <v>46199</v>
      </c>
      <c r="C2305" s="0" t="n">
        <v>6</v>
      </c>
      <c r="D2305" s="0" t="s">
        <v>2553</v>
      </c>
      <c r="E2305" s="0" t="n">
        <v>48</v>
      </c>
      <c r="F2305" s="0" t="s">
        <v>153</v>
      </c>
      <c r="I2305" s="0" t="n">
        <v>2510</v>
      </c>
      <c r="J2305" s="0" t="n">
        <v>42564</v>
      </c>
      <c r="K2305" s="0" t="n">
        <v>574</v>
      </c>
      <c r="L2305" s="0" t="s">
        <v>2534</v>
      </c>
      <c r="N2305" s="0" t="n">
        <v>15</v>
      </c>
      <c r="O2305" s="0" t="n">
        <v>210</v>
      </c>
      <c r="P2305" s="0" t="s">
        <v>2444</v>
      </c>
    </row>
    <row r="2306" customFormat="false" ht="15" hidden="false" customHeight="true" outlineLevel="0" collapsed="false">
      <c r="A2306" s="0" t="n">
        <v>2</v>
      </c>
      <c r="B2306" s="71" t="n">
        <v>46199</v>
      </c>
      <c r="C2306" s="0" t="n">
        <v>6</v>
      </c>
      <c r="D2306" s="0" t="s">
        <v>2553</v>
      </c>
      <c r="E2306" s="0" t="n">
        <v>48</v>
      </c>
      <c r="F2306" s="0" t="s">
        <v>153</v>
      </c>
      <c r="I2306" s="0" t="n">
        <v>2511</v>
      </c>
      <c r="J2306" s="0" t="n">
        <v>100100</v>
      </c>
      <c r="K2306" s="0" t="n">
        <v>101</v>
      </c>
      <c r="L2306" s="0" t="s">
        <v>2693</v>
      </c>
      <c r="N2306" s="0" t="n">
        <v>5</v>
      </c>
      <c r="O2306" s="0" t="n">
        <v>25</v>
      </c>
      <c r="P2306" s="0" t="s">
        <v>2444</v>
      </c>
    </row>
    <row r="2307" customFormat="false" ht="15" hidden="false" customHeight="true" outlineLevel="0" collapsed="false">
      <c r="A2307" s="0" t="n">
        <v>2</v>
      </c>
      <c r="B2307" s="71" t="n">
        <v>46199</v>
      </c>
      <c r="C2307" s="0" t="n">
        <v>6</v>
      </c>
      <c r="D2307" s="0" t="s">
        <v>2553</v>
      </c>
      <c r="E2307" s="0" t="n">
        <v>48</v>
      </c>
      <c r="F2307" s="0" t="s">
        <v>153</v>
      </c>
      <c r="I2307" s="0" t="n">
        <v>2511</v>
      </c>
      <c r="J2307" s="0" t="n">
        <v>100107</v>
      </c>
      <c r="K2307" s="0" t="n">
        <v>108</v>
      </c>
      <c r="L2307" s="0" t="s">
        <v>3259</v>
      </c>
      <c r="N2307" s="0" t="n">
        <v>3</v>
      </c>
      <c r="O2307" s="0" t="n">
        <v>33</v>
      </c>
      <c r="P2307" s="0" t="s">
        <v>2444</v>
      </c>
    </row>
    <row r="2308" customFormat="false" ht="15" hidden="false" customHeight="true" outlineLevel="0" collapsed="false">
      <c r="A2308" s="0" t="n">
        <v>2</v>
      </c>
      <c r="B2308" s="71" t="n">
        <v>46199</v>
      </c>
      <c r="C2308" s="0" t="n">
        <v>6</v>
      </c>
      <c r="D2308" s="0" t="s">
        <v>2553</v>
      </c>
      <c r="E2308" s="0" t="n">
        <v>48</v>
      </c>
      <c r="F2308" s="0" t="s">
        <v>153</v>
      </c>
      <c r="I2308" s="0" t="n">
        <v>2511</v>
      </c>
      <c r="J2308" s="0" t="n">
        <v>100113</v>
      </c>
      <c r="K2308" s="0" t="n">
        <v>114</v>
      </c>
      <c r="L2308" s="0" t="s">
        <v>2539</v>
      </c>
      <c r="N2308" s="0" t="n">
        <v>20</v>
      </c>
      <c r="O2308" s="0" t="n">
        <v>40</v>
      </c>
      <c r="P2308" s="0" t="s">
        <v>2444</v>
      </c>
    </row>
    <row r="2309" customFormat="false" ht="15" hidden="false" customHeight="true" outlineLevel="0" collapsed="false">
      <c r="A2309" s="0" t="n">
        <v>2</v>
      </c>
      <c r="B2309" s="71" t="n">
        <v>46199</v>
      </c>
      <c r="C2309" s="0" t="n">
        <v>6</v>
      </c>
      <c r="D2309" s="0" t="s">
        <v>2553</v>
      </c>
      <c r="E2309" s="0" t="n">
        <v>48</v>
      </c>
      <c r="F2309" s="0" t="s">
        <v>153</v>
      </c>
      <c r="I2309" s="0" t="n">
        <v>2511</v>
      </c>
      <c r="J2309" s="0" t="n">
        <v>100115</v>
      </c>
      <c r="K2309" s="0" t="n">
        <v>116</v>
      </c>
      <c r="L2309" s="0" t="s">
        <v>2694</v>
      </c>
      <c r="N2309" s="0" t="n">
        <v>15</v>
      </c>
      <c r="O2309" s="0" t="n">
        <v>60</v>
      </c>
      <c r="P2309" s="0" t="s">
        <v>2444</v>
      </c>
    </row>
    <row r="2310" customFormat="false" ht="15" hidden="false" customHeight="true" outlineLevel="0" collapsed="false">
      <c r="A2310" s="0" t="n">
        <v>2</v>
      </c>
      <c r="B2310" s="71" t="n">
        <v>46199</v>
      </c>
      <c r="C2310" s="0" t="n">
        <v>6</v>
      </c>
      <c r="D2310" s="0" t="s">
        <v>2553</v>
      </c>
      <c r="E2310" s="0" t="n">
        <v>48</v>
      </c>
      <c r="F2310" s="0" t="s">
        <v>153</v>
      </c>
      <c r="I2310" s="0" t="n">
        <v>2511</v>
      </c>
      <c r="J2310" s="0" t="n">
        <v>100118</v>
      </c>
      <c r="K2310" s="0" t="n">
        <v>119</v>
      </c>
      <c r="L2310" s="0" t="s">
        <v>2541</v>
      </c>
      <c r="N2310" s="0" t="n">
        <v>6</v>
      </c>
      <c r="O2310" s="0" t="n">
        <v>15</v>
      </c>
      <c r="P2310" s="0" t="s">
        <v>2444</v>
      </c>
    </row>
    <row r="2311" customFormat="false" ht="15" hidden="false" customHeight="true" outlineLevel="0" collapsed="false">
      <c r="A2311" s="0" t="n">
        <v>2</v>
      </c>
      <c r="B2311" s="71" t="n">
        <v>46199</v>
      </c>
      <c r="C2311" s="0" t="n">
        <v>6</v>
      </c>
      <c r="D2311" s="0" t="s">
        <v>2553</v>
      </c>
      <c r="E2311" s="0" t="n">
        <v>48</v>
      </c>
      <c r="F2311" s="0" t="s">
        <v>153</v>
      </c>
      <c r="I2311" s="0" t="n">
        <v>2511</v>
      </c>
      <c r="J2311" s="0" t="n">
        <v>100121</v>
      </c>
      <c r="K2311" s="0" t="n">
        <v>122</v>
      </c>
      <c r="L2311" s="0" t="s">
        <v>2542</v>
      </c>
      <c r="N2311" s="0" t="n">
        <v>5</v>
      </c>
      <c r="O2311" s="0" t="n">
        <v>100</v>
      </c>
      <c r="P2311" s="0" t="s">
        <v>2444</v>
      </c>
    </row>
    <row r="2312" customFormat="false" ht="15" hidden="false" customHeight="true" outlineLevel="0" collapsed="false">
      <c r="A2312" s="0" t="n">
        <v>2</v>
      </c>
      <c r="B2312" s="71" t="n">
        <v>46199</v>
      </c>
      <c r="C2312" s="0" t="n">
        <v>6</v>
      </c>
      <c r="D2312" s="0" t="s">
        <v>2553</v>
      </c>
      <c r="E2312" s="0" t="n">
        <v>48</v>
      </c>
      <c r="F2312" s="0" t="s">
        <v>153</v>
      </c>
      <c r="I2312" s="0" t="n">
        <v>2511</v>
      </c>
      <c r="J2312" s="0" t="n">
        <v>100122</v>
      </c>
      <c r="K2312" s="0" t="n">
        <v>123</v>
      </c>
      <c r="L2312" s="0" t="s">
        <v>2543</v>
      </c>
      <c r="N2312" s="0" t="n">
        <v>5</v>
      </c>
      <c r="O2312" s="0" t="n">
        <v>75</v>
      </c>
      <c r="P2312" s="0" t="s">
        <v>2444</v>
      </c>
    </row>
    <row r="2313" customFormat="false" ht="15" hidden="false" customHeight="true" outlineLevel="0" collapsed="false">
      <c r="A2313" s="0" t="n">
        <v>2</v>
      </c>
      <c r="B2313" s="71" t="n">
        <v>46199</v>
      </c>
      <c r="C2313" s="0" t="n">
        <v>6</v>
      </c>
      <c r="D2313" s="0" t="s">
        <v>2553</v>
      </c>
      <c r="E2313" s="0" t="n">
        <v>48</v>
      </c>
      <c r="F2313" s="0" t="s">
        <v>153</v>
      </c>
      <c r="I2313" s="0" t="n">
        <v>2511</v>
      </c>
      <c r="J2313" s="0" t="n">
        <v>100129</v>
      </c>
      <c r="K2313" s="0" t="n">
        <v>130</v>
      </c>
      <c r="L2313" s="0" t="s">
        <v>2598</v>
      </c>
      <c r="N2313" s="0" t="n">
        <v>8</v>
      </c>
      <c r="O2313" s="0" t="n">
        <v>36.88</v>
      </c>
      <c r="P2313" s="0" t="s">
        <v>2444</v>
      </c>
    </row>
    <row r="2314" customFormat="false" ht="15" hidden="false" customHeight="true" outlineLevel="0" collapsed="false">
      <c r="A2314" s="0" t="n">
        <v>2</v>
      </c>
      <c r="B2314" s="71" t="n">
        <v>46199</v>
      </c>
      <c r="C2314" s="0" t="n">
        <v>6</v>
      </c>
      <c r="D2314" s="0" t="s">
        <v>2553</v>
      </c>
      <c r="E2314" s="0" t="n">
        <v>48</v>
      </c>
      <c r="F2314" s="0" t="s">
        <v>153</v>
      </c>
      <c r="I2314" s="0" t="n">
        <v>2511</v>
      </c>
      <c r="J2314" s="0" t="n">
        <v>100130</v>
      </c>
      <c r="K2314" s="0" t="n">
        <v>131</v>
      </c>
      <c r="L2314" s="0" t="s">
        <v>2545</v>
      </c>
      <c r="N2314" s="0" t="n">
        <v>30</v>
      </c>
      <c r="O2314" s="0" t="n">
        <v>195</v>
      </c>
      <c r="P2314" s="0" t="s">
        <v>2444</v>
      </c>
    </row>
    <row r="2315" customFormat="false" ht="15" hidden="false" customHeight="true" outlineLevel="0" collapsed="false">
      <c r="A2315" s="0" t="n">
        <v>2</v>
      </c>
      <c r="B2315" s="71" t="n">
        <v>46199</v>
      </c>
      <c r="C2315" s="0" t="n">
        <v>6</v>
      </c>
      <c r="D2315" s="0" t="s">
        <v>2553</v>
      </c>
      <c r="E2315" s="0" t="n">
        <v>48</v>
      </c>
      <c r="F2315" s="0" t="s">
        <v>153</v>
      </c>
      <c r="I2315" s="0" t="n">
        <v>2511</v>
      </c>
      <c r="J2315" s="0" t="n">
        <v>100132</v>
      </c>
      <c r="K2315" s="0" t="n">
        <v>133</v>
      </c>
      <c r="L2315" s="0" t="s">
        <v>2546</v>
      </c>
      <c r="N2315" s="0" t="n">
        <v>36.855</v>
      </c>
      <c r="O2315" s="0" t="n">
        <v>114</v>
      </c>
      <c r="P2315" s="0" t="s">
        <v>2444</v>
      </c>
    </row>
    <row r="2316" customFormat="false" ht="15" hidden="false" customHeight="true" outlineLevel="0" collapsed="false">
      <c r="A2316" s="0" t="n">
        <v>2</v>
      </c>
      <c r="B2316" s="71" t="n">
        <v>46199</v>
      </c>
      <c r="C2316" s="0" t="n">
        <v>6</v>
      </c>
      <c r="D2316" s="0" t="s">
        <v>2553</v>
      </c>
      <c r="E2316" s="0" t="n">
        <v>48</v>
      </c>
      <c r="F2316" s="0" t="s">
        <v>153</v>
      </c>
      <c r="I2316" s="0" t="n">
        <v>2511</v>
      </c>
      <c r="J2316" s="0" t="n">
        <v>100133</v>
      </c>
      <c r="K2316" s="0" t="n">
        <v>134</v>
      </c>
      <c r="L2316" s="0" t="s">
        <v>2547</v>
      </c>
      <c r="N2316" s="0" t="n">
        <v>15</v>
      </c>
      <c r="O2316" s="0" t="n">
        <v>30</v>
      </c>
      <c r="P2316" s="0" t="s">
        <v>2444</v>
      </c>
    </row>
    <row r="2317" customFormat="false" ht="15" hidden="false" customHeight="true" outlineLevel="0" collapsed="false">
      <c r="A2317" s="0" t="n">
        <v>2</v>
      </c>
      <c r="B2317" s="71" t="n">
        <v>46199</v>
      </c>
      <c r="C2317" s="0" t="n">
        <v>6</v>
      </c>
      <c r="D2317" s="0" t="s">
        <v>2553</v>
      </c>
      <c r="E2317" s="0" t="n">
        <v>48</v>
      </c>
      <c r="F2317" s="0" t="s">
        <v>153</v>
      </c>
      <c r="I2317" s="0" t="n">
        <v>2511</v>
      </c>
      <c r="J2317" s="0" t="n">
        <v>100148</v>
      </c>
      <c r="K2317" s="0" t="n">
        <v>149</v>
      </c>
      <c r="L2317" s="0" t="s">
        <v>2600</v>
      </c>
      <c r="N2317" s="0" t="n">
        <v>13</v>
      </c>
      <c r="O2317" s="0" t="n">
        <v>115.44</v>
      </c>
      <c r="P2317" s="0" t="s">
        <v>2444</v>
      </c>
    </row>
    <row r="2318" customFormat="false" ht="15" hidden="false" customHeight="true" outlineLevel="0" collapsed="false">
      <c r="A2318" s="0" t="n">
        <v>2</v>
      </c>
      <c r="B2318" s="71" t="n">
        <v>46199</v>
      </c>
      <c r="C2318" s="0" t="n">
        <v>6</v>
      </c>
      <c r="D2318" s="0" t="s">
        <v>2553</v>
      </c>
      <c r="E2318" s="0" t="n">
        <v>48</v>
      </c>
      <c r="F2318" s="0" t="s">
        <v>153</v>
      </c>
      <c r="I2318" s="0" t="n">
        <v>2511</v>
      </c>
      <c r="J2318" s="0" t="n">
        <v>100227</v>
      </c>
      <c r="K2318" s="0" t="n">
        <v>40538</v>
      </c>
      <c r="L2318" s="0" t="s">
        <v>2548</v>
      </c>
      <c r="N2318" s="0" t="n">
        <v>15</v>
      </c>
      <c r="O2318" s="0" t="n">
        <v>37.5</v>
      </c>
      <c r="P2318" s="0" t="s">
        <v>2444</v>
      </c>
    </row>
    <row r="2319" customFormat="false" ht="15" hidden="false" customHeight="true" outlineLevel="0" collapsed="false">
      <c r="A2319" s="0" t="n">
        <v>2</v>
      </c>
      <c r="B2319" s="71" t="n">
        <v>46199</v>
      </c>
      <c r="C2319" s="0" t="n">
        <v>6</v>
      </c>
      <c r="D2319" s="0" t="s">
        <v>2553</v>
      </c>
      <c r="E2319" s="0" t="n">
        <v>48</v>
      </c>
      <c r="F2319" s="0" t="s">
        <v>153</v>
      </c>
      <c r="I2319" s="0" t="n">
        <v>2511</v>
      </c>
      <c r="J2319" s="0" t="n">
        <v>110142</v>
      </c>
      <c r="K2319" s="0" t="n">
        <v>16699</v>
      </c>
      <c r="L2319" s="0" t="s">
        <v>2549</v>
      </c>
      <c r="N2319" s="0" t="n">
        <v>40</v>
      </c>
      <c r="O2319" s="0" t="n">
        <v>240</v>
      </c>
      <c r="P2319" s="0" t="s">
        <v>2444</v>
      </c>
    </row>
    <row r="2320" customFormat="false" ht="15" hidden="false" customHeight="true" outlineLevel="0" collapsed="false">
      <c r="A2320" s="0" t="n">
        <v>2</v>
      </c>
      <c r="B2320" s="71" t="n">
        <v>46199</v>
      </c>
      <c r="C2320" s="0" t="n">
        <v>6</v>
      </c>
      <c r="D2320" s="0" t="s">
        <v>2553</v>
      </c>
      <c r="E2320" s="0" t="n">
        <v>48</v>
      </c>
      <c r="F2320" s="0" t="s">
        <v>153</v>
      </c>
      <c r="I2320" s="0" t="n">
        <v>2511</v>
      </c>
      <c r="J2320" s="0" t="n">
        <v>110489</v>
      </c>
      <c r="K2320" s="0" t="n">
        <v>54743</v>
      </c>
      <c r="L2320" s="0" t="s">
        <v>2550</v>
      </c>
      <c r="N2320" s="0" t="n">
        <v>40</v>
      </c>
      <c r="O2320" s="0" t="n">
        <v>240</v>
      </c>
      <c r="P2320" s="0" t="s">
        <v>2444</v>
      </c>
    </row>
    <row r="2321" customFormat="false" ht="15" hidden="false" customHeight="true" outlineLevel="0" collapsed="false">
      <c r="A2321" s="0" t="n">
        <v>2</v>
      </c>
      <c r="B2321" s="71" t="n">
        <v>46199</v>
      </c>
      <c r="C2321" s="0" t="n">
        <v>6</v>
      </c>
      <c r="D2321" s="0" t="s">
        <v>2553</v>
      </c>
      <c r="E2321" s="0" t="n">
        <v>48</v>
      </c>
      <c r="F2321" s="0" t="s">
        <v>153</v>
      </c>
      <c r="I2321" s="0" t="n">
        <v>2511</v>
      </c>
      <c r="J2321" s="0" t="n">
        <v>80078</v>
      </c>
      <c r="K2321" s="0" t="n">
        <v>710</v>
      </c>
      <c r="L2321" s="0" t="s">
        <v>2551</v>
      </c>
      <c r="N2321" s="0" t="n">
        <v>15</v>
      </c>
      <c r="O2321" s="0" t="n">
        <v>45</v>
      </c>
      <c r="P2321" s="0" t="s">
        <v>2444</v>
      </c>
    </row>
    <row r="2322" customFormat="false" ht="15" hidden="false" customHeight="true" outlineLevel="0" collapsed="false">
      <c r="A2322" s="0" t="n">
        <v>2</v>
      </c>
      <c r="B2322" s="71" t="n">
        <v>46199</v>
      </c>
      <c r="C2322" s="0" t="n">
        <v>11</v>
      </c>
      <c r="D2322" s="0" t="s">
        <v>2471</v>
      </c>
      <c r="E2322" s="0" t="n">
        <v>10009</v>
      </c>
      <c r="F2322" s="0" t="s">
        <v>464</v>
      </c>
      <c r="I2322" s="0" t="n">
        <v>1420059</v>
      </c>
      <c r="J2322" s="0" t="n">
        <v>81383</v>
      </c>
      <c r="K2322" s="0" t="n">
        <v>7891000456941</v>
      </c>
      <c r="L2322" s="0" t="s">
        <v>3221</v>
      </c>
      <c r="N2322" s="0" t="n">
        <v>3</v>
      </c>
      <c r="O2322" s="0" t="n">
        <v>20.3</v>
      </c>
      <c r="P2322" s="0" t="s">
        <v>2444</v>
      </c>
    </row>
    <row r="2323" customFormat="false" ht="15" hidden="false" customHeight="true" outlineLevel="0" collapsed="false">
      <c r="A2323" s="0" t="n">
        <v>2</v>
      </c>
      <c r="B2323" s="71" t="n">
        <v>46200</v>
      </c>
      <c r="C2323" s="0" t="n">
        <v>1</v>
      </c>
      <c r="D2323" s="0" t="s">
        <v>2442</v>
      </c>
      <c r="E2323" s="0" t="n">
        <v>10035</v>
      </c>
      <c r="F2323" s="0" t="s">
        <v>86</v>
      </c>
      <c r="I2323" s="0" t="n">
        <v>305</v>
      </c>
      <c r="J2323" s="0" t="n">
        <v>38652</v>
      </c>
      <c r="K2323" s="0" t="n">
        <v>7898994684220</v>
      </c>
      <c r="L2323" s="0" t="s">
        <v>2711</v>
      </c>
      <c r="N2323" s="0" t="n">
        <v>20</v>
      </c>
      <c r="O2323" s="0" t="n">
        <v>170</v>
      </c>
      <c r="P2323" s="0" t="s">
        <v>2444</v>
      </c>
    </row>
    <row r="2324" customFormat="false" ht="15" hidden="false" customHeight="true" outlineLevel="0" collapsed="false">
      <c r="A2324" s="0" t="n">
        <v>2</v>
      </c>
      <c r="B2324" s="71" t="n">
        <v>46200</v>
      </c>
      <c r="C2324" s="0" t="n">
        <v>1</v>
      </c>
      <c r="D2324" s="0" t="s">
        <v>2442</v>
      </c>
      <c r="E2324" s="0" t="n">
        <v>10035</v>
      </c>
      <c r="F2324" s="0" t="s">
        <v>86</v>
      </c>
      <c r="I2324" s="0" t="n">
        <v>305</v>
      </c>
      <c r="J2324" s="0" t="n">
        <v>38653</v>
      </c>
      <c r="K2324" s="0" t="n">
        <v>7898994684275</v>
      </c>
      <c r="L2324" s="0" t="s">
        <v>2712</v>
      </c>
      <c r="N2324" s="0" t="n">
        <v>10</v>
      </c>
      <c r="O2324" s="0" t="n">
        <v>42</v>
      </c>
      <c r="P2324" s="0" t="s">
        <v>2444</v>
      </c>
    </row>
    <row r="2325" customFormat="false" ht="15" hidden="false" customHeight="true" outlineLevel="0" collapsed="false">
      <c r="A2325" s="0" t="n">
        <v>2</v>
      </c>
      <c r="B2325" s="71" t="n">
        <v>46200</v>
      </c>
      <c r="C2325" s="0" t="n">
        <v>1</v>
      </c>
      <c r="D2325" s="0" t="s">
        <v>2442</v>
      </c>
      <c r="E2325" s="0" t="n">
        <v>10018</v>
      </c>
      <c r="F2325" s="0" t="s">
        <v>216</v>
      </c>
      <c r="I2325" s="0" t="n">
        <v>316</v>
      </c>
      <c r="J2325" s="0" t="n">
        <v>100933</v>
      </c>
      <c r="K2325" s="0" t="n">
        <v>7896982100059</v>
      </c>
      <c r="L2325" s="0" t="s">
        <v>2500</v>
      </c>
      <c r="N2325" s="0" t="n">
        <v>1800</v>
      </c>
      <c r="O2325" s="0" t="n">
        <v>899.95</v>
      </c>
      <c r="P2325" s="0" t="s">
        <v>2444</v>
      </c>
    </row>
    <row r="2326" customFormat="false" ht="15" hidden="false" customHeight="true" outlineLevel="0" collapsed="false">
      <c r="A2326" s="0" t="n">
        <v>2</v>
      </c>
      <c r="B2326" s="71" t="n">
        <v>46200</v>
      </c>
      <c r="C2326" s="0" t="n">
        <v>1</v>
      </c>
      <c r="D2326" s="0" t="s">
        <v>2442</v>
      </c>
      <c r="E2326" s="0" t="n">
        <v>10035</v>
      </c>
      <c r="F2326" s="0" t="s">
        <v>86</v>
      </c>
      <c r="I2326" s="0" t="n">
        <v>325</v>
      </c>
      <c r="J2326" s="0" t="n">
        <v>38652</v>
      </c>
      <c r="K2326" s="0" t="n">
        <v>7898994684220</v>
      </c>
      <c r="L2326" s="0" t="s">
        <v>2711</v>
      </c>
      <c r="N2326" s="0" t="n">
        <v>25</v>
      </c>
      <c r="O2326" s="0" t="n">
        <v>220</v>
      </c>
      <c r="P2326" s="0" t="s">
        <v>2444</v>
      </c>
    </row>
    <row r="2327" customFormat="false" ht="15" hidden="false" customHeight="true" outlineLevel="0" collapsed="false">
      <c r="A2327" s="0" t="n">
        <v>2</v>
      </c>
      <c r="B2327" s="71" t="n">
        <v>46200</v>
      </c>
      <c r="C2327" s="0" t="n">
        <v>1</v>
      </c>
      <c r="D2327" s="0" t="s">
        <v>2442</v>
      </c>
      <c r="E2327" s="0" t="n">
        <v>10035</v>
      </c>
      <c r="F2327" s="0" t="s">
        <v>86</v>
      </c>
      <c r="I2327" s="0" t="n">
        <v>325</v>
      </c>
      <c r="J2327" s="0" t="n">
        <v>38653</v>
      </c>
      <c r="K2327" s="0" t="n">
        <v>7898994684275</v>
      </c>
      <c r="L2327" s="0" t="s">
        <v>2712</v>
      </c>
      <c r="N2327" s="0" t="n">
        <v>20</v>
      </c>
      <c r="O2327" s="0" t="n">
        <v>90</v>
      </c>
      <c r="P2327" s="0" t="s">
        <v>2444</v>
      </c>
    </row>
    <row r="2328" customFormat="false" ht="15" hidden="false" customHeight="true" outlineLevel="0" collapsed="false">
      <c r="A2328" s="0" t="n">
        <v>2</v>
      </c>
      <c r="B2328" s="71" t="n">
        <v>46200</v>
      </c>
      <c r="C2328" s="0" t="n">
        <v>1</v>
      </c>
      <c r="D2328" s="0" t="s">
        <v>2442</v>
      </c>
      <c r="E2328" s="0" t="n">
        <v>1609</v>
      </c>
      <c r="F2328" s="0" t="s">
        <v>84</v>
      </c>
      <c r="I2328" s="0" t="n">
        <v>5720</v>
      </c>
      <c r="J2328" s="0" t="n">
        <v>17163</v>
      </c>
      <c r="K2328" s="0" t="n">
        <v>7896981600567</v>
      </c>
      <c r="L2328" s="0" t="s">
        <v>2609</v>
      </c>
      <c r="N2328" s="0" t="n">
        <v>9</v>
      </c>
      <c r="O2328" s="0" t="n">
        <v>80</v>
      </c>
      <c r="P2328" s="0" t="s">
        <v>2444</v>
      </c>
    </row>
    <row r="2329" customFormat="false" ht="15" hidden="false" customHeight="true" outlineLevel="0" collapsed="false">
      <c r="A2329" s="0" t="n">
        <v>2</v>
      </c>
      <c r="B2329" s="71" t="n">
        <v>46200</v>
      </c>
      <c r="C2329" s="0" t="n">
        <v>1</v>
      </c>
      <c r="D2329" s="0" t="s">
        <v>2442</v>
      </c>
      <c r="E2329" s="0" t="n">
        <v>1609</v>
      </c>
      <c r="F2329" s="0" t="s">
        <v>84</v>
      </c>
      <c r="I2329" s="0" t="n">
        <v>5720</v>
      </c>
      <c r="J2329" s="0" t="n">
        <v>18384</v>
      </c>
      <c r="K2329" s="0" t="n">
        <v>7896878801206</v>
      </c>
      <c r="L2329" s="0" t="s">
        <v>2612</v>
      </c>
      <c r="N2329" s="0" t="n">
        <v>20</v>
      </c>
      <c r="O2329" s="0" t="n">
        <v>61</v>
      </c>
      <c r="P2329" s="0" t="s">
        <v>2444</v>
      </c>
    </row>
    <row r="2330" customFormat="false" ht="15" hidden="false" customHeight="true" outlineLevel="0" collapsed="false">
      <c r="A2330" s="0" t="n">
        <v>2</v>
      </c>
      <c r="B2330" s="71" t="n">
        <v>46200</v>
      </c>
      <c r="C2330" s="0" t="n">
        <v>1</v>
      </c>
      <c r="D2330" s="0" t="s">
        <v>2442</v>
      </c>
      <c r="E2330" s="0" t="n">
        <v>1609</v>
      </c>
      <c r="F2330" s="0" t="s">
        <v>84</v>
      </c>
      <c r="I2330" s="0" t="n">
        <v>5720</v>
      </c>
      <c r="J2330" s="0" t="n">
        <v>18385</v>
      </c>
      <c r="K2330" s="0" t="n">
        <v>7896878801220</v>
      </c>
      <c r="L2330" s="0" t="s">
        <v>2613</v>
      </c>
      <c r="N2330" s="0" t="n">
        <v>9</v>
      </c>
      <c r="O2330" s="0" t="n">
        <v>70.65</v>
      </c>
      <c r="P2330" s="0" t="s">
        <v>2444</v>
      </c>
    </row>
    <row r="2331" customFormat="false" ht="15" hidden="false" customHeight="true" outlineLevel="0" collapsed="false">
      <c r="A2331" s="0" t="n">
        <v>2</v>
      </c>
      <c r="B2331" s="71" t="n">
        <v>46200</v>
      </c>
      <c r="C2331" s="0" t="n">
        <v>1</v>
      </c>
      <c r="D2331" s="0" t="s">
        <v>2442</v>
      </c>
      <c r="E2331" s="0" t="n">
        <v>1609</v>
      </c>
      <c r="F2331" s="0" t="s">
        <v>84</v>
      </c>
      <c r="I2331" s="0" t="n">
        <v>5720</v>
      </c>
      <c r="J2331" s="0" t="n">
        <v>18968</v>
      </c>
      <c r="K2331" s="0" t="n">
        <v>7896878801244</v>
      </c>
      <c r="L2331" s="0" t="s">
        <v>2616</v>
      </c>
      <c r="N2331" s="0" t="n">
        <v>20</v>
      </c>
      <c r="O2331" s="0" t="n">
        <v>66</v>
      </c>
      <c r="P2331" s="0" t="s">
        <v>2444</v>
      </c>
    </row>
    <row r="2332" customFormat="false" ht="15" hidden="false" customHeight="true" outlineLevel="0" collapsed="false">
      <c r="A2332" s="0" t="n">
        <v>2</v>
      </c>
      <c r="B2332" s="71" t="n">
        <v>46200</v>
      </c>
      <c r="C2332" s="0" t="n">
        <v>1</v>
      </c>
      <c r="D2332" s="0" t="s">
        <v>2442</v>
      </c>
      <c r="E2332" s="0" t="n">
        <v>1609</v>
      </c>
      <c r="F2332" s="0" t="s">
        <v>84</v>
      </c>
      <c r="I2332" s="0" t="n">
        <v>5720</v>
      </c>
      <c r="J2332" s="0" t="n">
        <v>41614</v>
      </c>
      <c r="K2332" s="0" t="n">
        <v>7896878801213</v>
      </c>
      <c r="L2332" s="0" t="s">
        <v>2622</v>
      </c>
      <c r="N2332" s="0" t="n">
        <v>20</v>
      </c>
      <c r="O2332" s="0" t="n">
        <v>81</v>
      </c>
      <c r="P2332" s="0" t="s">
        <v>2444</v>
      </c>
    </row>
    <row r="2333" customFormat="false" ht="15" hidden="false" customHeight="true" outlineLevel="0" collapsed="false">
      <c r="A2333" s="0" t="n">
        <v>2</v>
      </c>
      <c r="B2333" s="71" t="n">
        <v>46200</v>
      </c>
      <c r="C2333" s="0" t="n">
        <v>1</v>
      </c>
      <c r="D2333" s="0" t="s">
        <v>2442</v>
      </c>
      <c r="E2333" s="0" t="n">
        <v>1625</v>
      </c>
      <c r="F2333" s="0" t="s">
        <v>270</v>
      </c>
      <c r="I2333" s="0" t="n">
        <v>14560</v>
      </c>
      <c r="J2333" s="0" t="n">
        <v>77455</v>
      </c>
      <c r="K2333" s="0" t="n">
        <v>774567</v>
      </c>
      <c r="L2333" s="0" t="s">
        <v>2624</v>
      </c>
      <c r="N2333" s="0" t="n">
        <v>20.6</v>
      </c>
      <c r="O2333" s="0" t="n">
        <v>677.74</v>
      </c>
      <c r="P2333" s="0" t="s">
        <v>2444</v>
      </c>
    </row>
    <row r="2334" customFormat="false" ht="15" hidden="false" customHeight="true" outlineLevel="0" collapsed="false">
      <c r="A2334" s="0" t="n">
        <v>2</v>
      </c>
      <c r="B2334" s="71" t="n">
        <v>46200</v>
      </c>
      <c r="C2334" s="0" t="n">
        <v>1</v>
      </c>
      <c r="D2334" s="0" t="s">
        <v>2442</v>
      </c>
      <c r="E2334" s="0" t="n">
        <v>1625</v>
      </c>
      <c r="F2334" s="0" t="s">
        <v>270</v>
      </c>
      <c r="I2334" s="0" t="n">
        <v>14560</v>
      </c>
      <c r="J2334" s="0" t="n">
        <v>77455</v>
      </c>
      <c r="K2334" s="0" t="n">
        <v>774567</v>
      </c>
      <c r="L2334" s="0" t="s">
        <v>2624</v>
      </c>
      <c r="N2334" s="0" t="n">
        <v>20</v>
      </c>
      <c r="O2334" s="0" t="n">
        <v>658</v>
      </c>
      <c r="P2334" s="0" t="s">
        <v>2444</v>
      </c>
    </row>
    <row r="2335" customFormat="false" ht="15" hidden="false" customHeight="true" outlineLevel="0" collapsed="false">
      <c r="A2335" s="0" t="n">
        <v>2</v>
      </c>
      <c r="B2335" s="71" t="n">
        <v>46200</v>
      </c>
      <c r="C2335" s="0" t="n">
        <v>1</v>
      </c>
      <c r="D2335" s="0" t="s">
        <v>2442</v>
      </c>
      <c r="E2335" s="0" t="n">
        <v>1625</v>
      </c>
      <c r="F2335" s="0" t="s">
        <v>270</v>
      </c>
      <c r="I2335" s="0" t="n">
        <v>14560</v>
      </c>
      <c r="J2335" s="0" t="n">
        <v>77455</v>
      </c>
      <c r="K2335" s="0" t="n">
        <v>774567</v>
      </c>
      <c r="L2335" s="0" t="s">
        <v>2624</v>
      </c>
      <c r="N2335" s="0" t="n">
        <v>20.1</v>
      </c>
      <c r="O2335" s="0" t="n">
        <v>661.29</v>
      </c>
      <c r="P2335" s="0" t="s">
        <v>2444</v>
      </c>
    </row>
    <row r="2336" customFormat="false" ht="15" hidden="false" customHeight="true" outlineLevel="0" collapsed="false">
      <c r="A2336" s="0" t="n">
        <v>2</v>
      </c>
      <c r="B2336" s="71" t="n">
        <v>46200</v>
      </c>
      <c r="C2336" s="0" t="n">
        <v>1</v>
      </c>
      <c r="D2336" s="0" t="s">
        <v>2442</v>
      </c>
      <c r="E2336" s="0" t="n">
        <v>1695</v>
      </c>
      <c r="F2336" s="0" t="s">
        <v>390</v>
      </c>
      <c r="I2336" s="0" t="n">
        <v>18889</v>
      </c>
      <c r="J2336" s="0" t="n">
        <v>103344</v>
      </c>
      <c r="K2336" s="0" t="n">
        <v>7896490288775</v>
      </c>
      <c r="L2336" s="0" t="s">
        <v>2771</v>
      </c>
      <c r="N2336" s="0" t="n">
        <v>60</v>
      </c>
      <c r="O2336" s="0" t="n">
        <v>100.2</v>
      </c>
      <c r="P2336" s="0" t="s">
        <v>2444</v>
      </c>
    </row>
    <row r="2337" customFormat="false" ht="15" hidden="false" customHeight="true" outlineLevel="0" collapsed="false">
      <c r="A2337" s="0" t="n">
        <v>2</v>
      </c>
      <c r="B2337" s="71" t="n">
        <v>46200</v>
      </c>
      <c r="C2337" s="0" t="n">
        <v>1</v>
      </c>
      <c r="D2337" s="0" t="s">
        <v>2442</v>
      </c>
      <c r="E2337" s="0" t="n">
        <v>1695</v>
      </c>
      <c r="F2337" s="0" t="s">
        <v>390</v>
      </c>
      <c r="I2337" s="0" t="n">
        <v>18889</v>
      </c>
      <c r="J2337" s="0" t="n">
        <v>22930</v>
      </c>
      <c r="K2337" s="0" t="n">
        <v>7898910758516</v>
      </c>
      <c r="L2337" s="0" t="s">
        <v>3461</v>
      </c>
      <c r="N2337" s="0" t="n">
        <v>30</v>
      </c>
      <c r="O2337" s="0" t="n">
        <v>136.2</v>
      </c>
      <c r="P2337" s="0" t="s">
        <v>2444</v>
      </c>
    </row>
    <row r="2338" customFormat="false" ht="15" hidden="false" customHeight="true" outlineLevel="0" collapsed="false">
      <c r="A2338" s="0" t="n">
        <v>2</v>
      </c>
      <c r="B2338" s="71" t="n">
        <v>46200</v>
      </c>
      <c r="C2338" s="0" t="n">
        <v>1</v>
      </c>
      <c r="D2338" s="0" t="s">
        <v>2442</v>
      </c>
      <c r="E2338" s="0" t="n">
        <v>1695</v>
      </c>
      <c r="F2338" s="0" t="s">
        <v>390</v>
      </c>
      <c r="I2338" s="0" t="n">
        <v>18889</v>
      </c>
      <c r="J2338" s="0" t="n">
        <v>37567</v>
      </c>
      <c r="K2338" s="0" t="n">
        <v>7891151039796</v>
      </c>
      <c r="L2338" s="0" t="s">
        <v>3764</v>
      </c>
      <c r="N2338" s="0" t="n">
        <v>60</v>
      </c>
      <c r="O2338" s="0" t="n">
        <v>55.8</v>
      </c>
      <c r="P2338" s="0" t="s">
        <v>2444</v>
      </c>
    </row>
    <row r="2339" customFormat="false" ht="15" hidden="false" customHeight="true" outlineLevel="0" collapsed="false">
      <c r="A2339" s="0" t="n">
        <v>2</v>
      </c>
      <c r="B2339" s="71" t="n">
        <v>46200</v>
      </c>
      <c r="C2339" s="0" t="n">
        <v>1</v>
      </c>
      <c r="D2339" s="0" t="s">
        <v>2442</v>
      </c>
      <c r="E2339" s="0" t="n">
        <v>1695</v>
      </c>
      <c r="F2339" s="0" t="s">
        <v>390</v>
      </c>
      <c r="I2339" s="0" t="n">
        <v>18889</v>
      </c>
      <c r="J2339" s="0" t="n">
        <v>42981</v>
      </c>
      <c r="K2339" s="0" t="n">
        <v>7891151039734</v>
      </c>
      <c r="L2339" s="0" t="s">
        <v>3765</v>
      </c>
      <c r="N2339" s="0" t="n">
        <v>60</v>
      </c>
      <c r="O2339" s="0" t="n">
        <v>55.8</v>
      </c>
      <c r="P2339" s="0" t="s">
        <v>2444</v>
      </c>
    </row>
    <row r="2340" customFormat="false" ht="15" hidden="false" customHeight="true" outlineLevel="0" collapsed="false">
      <c r="A2340" s="0" t="n">
        <v>2</v>
      </c>
      <c r="B2340" s="71" t="n">
        <v>46200</v>
      </c>
      <c r="C2340" s="0" t="n">
        <v>1</v>
      </c>
      <c r="D2340" s="0" t="s">
        <v>2442</v>
      </c>
      <c r="E2340" s="0" t="n">
        <v>1695</v>
      </c>
      <c r="F2340" s="0" t="s">
        <v>390</v>
      </c>
      <c r="I2340" s="0" t="n">
        <v>18889</v>
      </c>
      <c r="J2340" s="0" t="n">
        <v>71370</v>
      </c>
      <c r="K2340" s="0" t="n">
        <v>7891150097544</v>
      </c>
      <c r="L2340" s="0" t="s">
        <v>3766</v>
      </c>
      <c r="N2340" s="0" t="n">
        <v>54</v>
      </c>
      <c r="O2340" s="0" t="n">
        <v>149.58</v>
      </c>
      <c r="P2340" s="0" t="s">
        <v>2444</v>
      </c>
    </row>
    <row r="2341" customFormat="false" ht="15" hidden="false" customHeight="true" outlineLevel="0" collapsed="false">
      <c r="A2341" s="0" t="n">
        <v>2</v>
      </c>
      <c r="B2341" s="71" t="n">
        <v>46200</v>
      </c>
      <c r="C2341" s="0" t="n">
        <v>1</v>
      </c>
      <c r="D2341" s="0" t="s">
        <v>2442</v>
      </c>
      <c r="E2341" s="0" t="n">
        <v>1695</v>
      </c>
      <c r="F2341" s="0" t="s">
        <v>390</v>
      </c>
      <c r="I2341" s="0" t="n">
        <v>18889</v>
      </c>
      <c r="J2341" s="0" t="n">
        <v>71373</v>
      </c>
      <c r="K2341" s="0" t="n">
        <v>7891150097575</v>
      </c>
      <c r="L2341" s="0" t="s">
        <v>3767</v>
      </c>
      <c r="N2341" s="0" t="n">
        <v>54</v>
      </c>
      <c r="O2341" s="0" t="n">
        <v>149.58</v>
      </c>
      <c r="P2341" s="0" t="s">
        <v>2444</v>
      </c>
    </row>
    <row r="2342" customFormat="false" ht="15" hidden="false" customHeight="true" outlineLevel="0" collapsed="false">
      <c r="A2342" s="0" t="n">
        <v>2</v>
      </c>
      <c r="B2342" s="71" t="n">
        <v>46200</v>
      </c>
      <c r="C2342" s="0" t="n">
        <v>1</v>
      </c>
      <c r="D2342" s="0" t="s">
        <v>2442</v>
      </c>
      <c r="E2342" s="0" t="n">
        <v>1695</v>
      </c>
      <c r="F2342" s="0" t="s">
        <v>390</v>
      </c>
      <c r="I2342" s="0" t="n">
        <v>18889</v>
      </c>
      <c r="J2342" s="0" t="n">
        <v>71624</v>
      </c>
      <c r="K2342" s="0" t="n">
        <v>7891150097568</v>
      </c>
      <c r="L2342" s="0" t="s">
        <v>3768</v>
      </c>
      <c r="N2342" s="0" t="n">
        <v>54</v>
      </c>
      <c r="O2342" s="0" t="n">
        <v>149.58</v>
      </c>
      <c r="P2342" s="0" t="s">
        <v>2444</v>
      </c>
    </row>
    <row r="2343" customFormat="false" ht="15" hidden="false" customHeight="true" outlineLevel="0" collapsed="false">
      <c r="A2343" s="0" t="n">
        <v>2</v>
      </c>
      <c r="B2343" s="71" t="n">
        <v>46200</v>
      </c>
      <c r="C2343" s="0" t="n">
        <v>1</v>
      </c>
      <c r="D2343" s="0" t="s">
        <v>2442</v>
      </c>
      <c r="E2343" s="0" t="n">
        <v>1664</v>
      </c>
      <c r="F2343" s="0" t="s">
        <v>825</v>
      </c>
      <c r="I2343" s="0" t="n">
        <v>77922</v>
      </c>
      <c r="J2343" s="0" t="n">
        <v>53891</v>
      </c>
      <c r="K2343" s="0" t="n">
        <v>7898080665010</v>
      </c>
      <c r="L2343" s="0" t="s">
        <v>3769</v>
      </c>
      <c r="N2343" s="0" t="n">
        <v>6</v>
      </c>
      <c r="O2343" s="0" t="n">
        <v>77.58</v>
      </c>
      <c r="P2343" s="0" t="s">
        <v>2444</v>
      </c>
    </row>
    <row r="2344" customFormat="false" ht="15" hidden="false" customHeight="true" outlineLevel="0" collapsed="false">
      <c r="A2344" s="0" t="n">
        <v>2</v>
      </c>
      <c r="B2344" s="71" t="n">
        <v>46200</v>
      </c>
      <c r="C2344" s="0" t="n">
        <v>1</v>
      </c>
      <c r="D2344" s="0" t="s">
        <v>2442</v>
      </c>
      <c r="E2344" s="0" t="n">
        <v>1664</v>
      </c>
      <c r="F2344" s="0" t="s">
        <v>825</v>
      </c>
      <c r="I2344" s="0" t="n">
        <v>77922</v>
      </c>
      <c r="J2344" s="0" t="n">
        <v>81244</v>
      </c>
      <c r="K2344" s="0" t="n">
        <v>7898080666161</v>
      </c>
      <c r="L2344" s="0" t="s">
        <v>3770</v>
      </c>
      <c r="N2344" s="0" t="n">
        <v>6</v>
      </c>
      <c r="O2344" s="0" t="n">
        <v>77.58</v>
      </c>
      <c r="P2344" s="0" t="s">
        <v>2444</v>
      </c>
    </row>
    <row r="2345" customFormat="false" ht="15" hidden="false" customHeight="true" outlineLevel="0" collapsed="false">
      <c r="A2345" s="0" t="n">
        <v>2</v>
      </c>
      <c r="B2345" s="71" t="n">
        <v>46200</v>
      </c>
      <c r="C2345" s="0" t="n">
        <v>1</v>
      </c>
      <c r="D2345" s="0" t="s">
        <v>2442</v>
      </c>
      <c r="E2345" s="0" t="n">
        <v>1683</v>
      </c>
      <c r="F2345" s="0" t="s">
        <v>406</v>
      </c>
      <c r="I2345" s="0" t="n">
        <v>1638704</v>
      </c>
      <c r="J2345" s="0" t="n">
        <v>37361</v>
      </c>
      <c r="K2345" s="0" t="n">
        <v>2240817</v>
      </c>
      <c r="L2345" s="0" t="s">
        <v>2467</v>
      </c>
      <c r="N2345" s="0" t="n">
        <v>30</v>
      </c>
      <c r="O2345" s="0" t="n">
        <v>54</v>
      </c>
      <c r="P2345" s="0" t="s">
        <v>2444</v>
      </c>
    </row>
    <row r="2346" customFormat="false" ht="15" hidden="false" customHeight="true" outlineLevel="0" collapsed="false">
      <c r="A2346" s="0" t="n">
        <v>2</v>
      </c>
      <c r="B2346" s="71" t="n">
        <v>46200</v>
      </c>
      <c r="C2346" s="0" t="n">
        <v>11</v>
      </c>
      <c r="D2346" s="0" t="s">
        <v>2471</v>
      </c>
      <c r="E2346" s="0" t="n">
        <v>1666</v>
      </c>
      <c r="F2346" s="0" t="s">
        <v>266</v>
      </c>
      <c r="I2346" s="0" t="n">
        <v>564993</v>
      </c>
      <c r="J2346" s="0" t="n">
        <v>24990</v>
      </c>
      <c r="K2346" s="0" t="n">
        <v>78935761</v>
      </c>
      <c r="L2346" s="0" t="s">
        <v>2746</v>
      </c>
      <c r="N2346" s="0" t="n">
        <v>400</v>
      </c>
      <c r="O2346" s="0" t="n">
        <v>5929.11</v>
      </c>
      <c r="P2346" s="0" t="s">
        <v>2444</v>
      </c>
    </row>
    <row r="2347" customFormat="false" ht="15" hidden="false" customHeight="true" outlineLevel="0" collapsed="false">
      <c r="A2347" s="0" t="n">
        <v>2</v>
      </c>
      <c r="B2347" s="71" t="n">
        <v>46200</v>
      </c>
      <c r="C2347" s="0" t="n">
        <v>11</v>
      </c>
      <c r="D2347" s="0" t="s">
        <v>2471</v>
      </c>
      <c r="E2347" s="0" t="n">
        <v>1666</v>
      </c>
      <c r="F2347" s="0" t="s">
        <v>266</v>
      </c>
      <c r="I2347" s="0" t="n">
        <v>564993</v>
      </c>
      <c r="J2347" s="0" t="n">
        <v>37536</v>
      </c>
      <c r="K2347" s="0" t="n">
        <v>78942066</v>
      </c>
      <c r="L2347" s="0" t="s">
        <v>2750</v>
      </c>
      <c r="N2347" s="0" t="n">
        <v>150</v>
      </c>
      <c r="O2347" s="0" t="n">
        <v>2011.64</v>
      </c>
      <c r="P2347" s="0" t="s">
        <v>2444</v>
      </c>
    </row>
    <row r="2348" customFormat="false" ht="15" hidden="false" customHeight="true" outlineLevel="0" collapsed="false">
      <c r="A2348" s="0" t="n">
        <v>2</v>
      </c>
      <c r="B2348" s="71" t="n">
        <v>46200</v>
      </c>
      <c r="C2348" s="0" t="n">
        <v>11</v>
      </c>
      <c r="D2348" s="0" t="s">
        <v>2471</v>
      </c>
      <c r="E2348" s="0" t="n">
        <v>1666</v>
      </c>
      <c r="F2348" s="0" t="s">
        <v>266</v>
      </c>
      <c r="I2348" s="0" t="n">
        <v>564993</v>
      </c>
      <c r="J2348" s="0" t="n">
        <v>40750</v>
      </c>
      <c r="K2348" s="0" t="n">
        <v>78943032</v>
      </c>
      <c r="L2348" s="0" t="s">
        <v>2751</v>
      </c>
      <c r="N2348" s="0" t="n">
        <v>50</v>
      </c>
      <c r="O2348" s="0" t="n">
        <v>635.26</v>
      </c>
      <c r="P2348" s="0" t="s">
        <v>2444</v>
      </c>
    </row>
    <row r="2349" customFormat="false" ht="15" hidden="false" customHeight="true" outlineLevel="0" collapsed="false">
      <c r="A2349" s="0" t="n">
        <v>2</v>
      </c>
      <c r="B2349" s="71" t="n">
        <v>46200</v>
      </c>
      <c r="C2349" s="0" t="n">
        <v>11</v>
      </c>
      <c r="D2349" s="0" t="s">
        <v>2471</v>
      </c>
      <c r="E2349" s="0" t="n">
        <v>1666</v>
      </c>
      <c r="F2349" s="0" t="s">
        <v>266</v>
      </c>
      <c r="I2349" s="0" t="n">
        <v>564993</v>
      </c>
      <c r="J2349" s="0" t="n">
        <v>49090</v>
      </c>
      <c r="K2349" s="0" t="n">
        <v>78942813</v>
      </c>
      <c r="L2349" s="0" t="s">
        <v>2752</v>
      </c>
      <c r="N2349" s="0" t="n">
        <v>30</v>
      </c>
      <c r="O2349" s="0" t="n">
        <v>338.81</v>
      </c>
      <c r="P2349" s="0" t="s">
        <v>2444</v>
      </c>
    </row>
    <row r="2350" customFormat="false" ht="15" hidden="false" customHeight="true" outlineLevel="0" collapsed="false">
      <c r="A2350" s="0" t="n">
        <v>2</v>
      </c>
      <c r="B2350" s="71" t="n">
        <v>46200</v>
      </c>
      <c r="C2350" s="0" t="n">
        <v>11</v>
      </c>
      <c r="D2350" s="0" t="s">
        <v>2471</v>
      </c>
      <c r="E2350" s="0" t="n">
        <v>1666</v>
      </c>
      <c r="F2350" s="0" t="s">
        <v>266</v>
      </c>
      <c r="I2350" s="0" t="n">
        <v>564993</v>
      </c>
      <c r="J2350" s="0" t="n">
        <v>50760</v>
      </c>
      <c r="K2350" s="0" t="n">
        <v>78943087</v>
      </c>
      <c r="L2350" s="0" t="s">
        <v>2753</v>
      </c>
      <c r="N2350" s="0" t="n">
        <v>40</v>
      </c>
      <c r="O2350" s="0" t="n">
        <v>470.56</v>
      </c>
      <c r="P2350" s="0" t="s">
        <v>2444</v>
      </c>
    </row>
    <row r="2351" customFormat="false" ht="15" hidden="false" customHeight="true" outlineLevel="0" collapsed="false">
      <c r="A2351" s="0" t="n">
        <v>2</v>
      </c>
      <c r="B2351" s="71" t="n">
        <v>46200</v>
      </c>
      <c r="C2351" s="0" t="n">
        <v>11</v>
      </c>
      <c r="D2351" s="0" t="s">
        <v>2471</v>
      </c>
      <c r="E2351" s="0" t="n">
        <v>1666</v>
      </c>
      <c r="F2351" s="0" t="s">
        <v>266</v>
      </c>
      <c r="I2351" s="0" t="n">
        <v>564993</v>
      </c>
      <c r="J2351" s="0" t="n">
        <v>57287</v>
      </c>
      <c r="K2351" s="0" t="n">
        <v>78944251</v>
      </c>
      <c r="L2351" s="0" t="s">
        <v>2755</v>
      </c>
      <c r="N2351" s="0" t="n">
        <v>20</v>
      </c>
      <c r="O2351" s="0" t="n">
        <v>258.81</v>
      </c>
      <c r="P2351" s="0" t="s">
        <v>2444</v>
      </c>
    </row>
    <row r="2352" customFormat="false" ht="15" hidden="false" customHeight="true" outlineLevel="0" collapsed="false">
      <c r="A2352" s="0" t="n">
        <v>2</v>
      </c>
      <c r="B2352" s="71" t="n">
        <v>46200</v>
      </c>
      <c r="C2352" s="0" t="n">
        <v>11</v>
      </c>
      <c r="D2352" s="0" t="s">
        <v>2471</v>
      </c>
      <c r="E2352" s="0" t="n">
        <v>1666</v>
      </c>
      <c r="F2352" s="0" t="s">
        <v>266</v>
      </c>
      <c r="I2352" s="0" t="n">
        <v>564993</v>
      </c>
      <c r="J2352" s="0" t="n">
        <v>67009</v>
      </c>
      <c r="K2352" s="0" t="n">
        <v>78944237</v>
      </c>
      <c r="L2352" s="0" t="s">
        <v>2756</v>
      </c>
      <c r="N2352" s="0" t="n">
        <v>150</v>
      </c>
      <c r="O2352" s="0" t="n">
        <v>1094.06</v>
      </c>
      <c r="P2352" s="0" t="s">
        <v>2444</v>
      </c>
    </row>
    <row r="2353" customFormat="false" ht="15" hidden="false" customHeight="true" outlineLevel="0" collapsed="false">
      <c r="A2353" s="0" t="n">
        <v>2</v>
      </c>
      <c r="B2353" s="71" t="n">
        <v>46200</v>
      </c>
      <c r="C2353" s="0" t="n">
        <v>11</v>
      </c>
      <c r="D2353" s="0" t="s">
        <v>2471</v>
      </c>
      <c r="E2353" s="0" t="n">
        <v>1666</v>
      </c>
      <c r="F2353" s="0" t="s">
        <v>266</v>
      </c>
      <c r="I2353" s="0" t="n">
        <v>564993</v>
      </c>
      <c r="J2353" s="0" t="n">
        <v>67177</v>
      </c>
      <c r="K2353" s="0" t="n">
        <v>78944466</v>
      </c>
      <c r="L2353" s="0" t="s">
        <v>2757</v>
      </c>
      <c r="N2353" s="0" t="n">
        <v>450</v>
      </c>
      <c r="O2353" s="0" t="n">
        <v>4552.72</v>
      </c>
      <c r="P2353" s="0" t="s">
        <v>2444</v>
      </c>
    </row>
    <row r="2354" customFormat="false" ht="15" hidden="false" customHeight="true" outlineLevel="0" collapsed="false">
      <c r="A2354" s="0" t="n">
        <v>2</v>
      </c>
      <c r="B2354" s="71" t="n">
        <v>46200</v>
      </c>
      <c r="C2354" s="0" t="n">
        <v>11</v>
      </c>
      <c r="D2354" s="0" t="s">
        <v>2471</v>
      </c>
      <c r="E2354" s="0" t="n">
        <v>1666</v>
      </c>
      <c r="F2354" s="0" t="s">
        <v>266</v>
      </c>
      <c r="I2354" s="0" t="n">
        <v>564993</v>
      </c>
      <c r="J2354" s="0" t="n">
        <v>67622</v>
      </c>
      <c r="K2354" s="0" t="n">
        <v>78944503</v>
      </c>
      <c r="L2354" s="0" t="s">
        <v>2758</v>
      </c>
      <c r="N2354" s="0" t="n">
        <v>20</v>
      </c>
      <c r="O2354" s="0" t="n">
        <v>188.22</v>
      </c>
      <c r="P2354" s="0" t="s">
        <v>2444</v>
      </c>
    </row>
    <row r="2355" customFormat="false" ht="15" hidden="false" customHeight="true" outlineLevel="0" collapsed="false">
      <c r="A2355" s="0" t="n">
        <v>2</v>
      </c>
      <c r="B2355" s="71" t="n">
        <v>46200</v>
      </c>
      <c r="C2355" s="0" t="n">
        <v>11</v>
      </c>
      <c r="D2355" s="0" t="s">
        <v>2471</v>
      </c>
      <c r="E2355" s="0" t="n">
        <v>1666</v>
      </c>
      <c r="F2355" s="0" t="s">
        <v>266</v>
      </c>
      <c r="I2355" s="0" t="n">
        <v>564993</v>
      </c>
      <c r="J2355" s="0" t="n">
        <v>71518</v>
      </c>
      <c r="K2355" s="0" t="n">
        <v>78946200</v>
      </c>
      <c r="L2355" s="0" t="s">
        <v>2759</v>
      </c>
      <c r="N2355" s="0" t="n">
        <v>40</v>
      </c>
      <c r="O2355" s="0" t="n">
        <v>291.75</v>
      </c>
      <c r="P2355" s="0" t="s">
        <v>2444</v>
      </c>
    </row>
    <row r="2356" customFormat="false" ht="15" hidden="false" customHeight="true" outlineLevel="0" collapsed="false">
      <c r="A2356" s="0" t="n">
        <v>2</v>
      </c>
      <c r="B2356" s="71" t="n">
        <v>46200</v>
      </c>
      <c r="C2356" s="0" t="n">
        <v>11</v>
      </c>
      <c r="D2356" s="0" t="s">
        <v>2471</v>
      </c>
      <c r="E2356" s="0" t="n">
        <v>1666</v>
      </c>
      <c r="F2356" s="0" t="s">
        <v>266</v>
      </c>
      <c r="I2356" s="0" t="n">
        <v>564993</v>
      </c>
      <c r="J2356" s="0" t="n">
        <v>77084</v>
      </c>
      <c r="K2356" s="0" t="n">
        <v>78947535</v>
      </c>
      <c r="L2356" s="0" t="s">
        <v>2760</v>
      </c>
      <c r="N2356" s="0" t="n">
        <v>50</v>
      </c>
      <c r="O2356" s="0" t="n">
        <v>764.67</v>
      </c>
      <c r="P2356" s="0" t="s">
        <v>2444</v>
      </c>
    </row>
    <row r="2357" customFormat="false" ht="15" hidden="false" customHeight="true" outlineLevel="0" collapsed="false">
      <c r="A2357" s="0" t="n">
        <v>2</v>
      </c>
      <c r="B2357" s="71" t="n">
        <v>46200</v>
      </c>
      <c r="C2357" s="0" t="n">
        <v>11</v>
      </c>
      <c r="D2357" s="0" t="s">
        <v>2471</v>
      </c>
      <c r="E2357" s="0" t="n">
        <v>1666</v>
      </c>
      <c r="F2357" s="0" t="s">
        <v>266</v>
      </c>
      <c r="I2357" s="0" t="n">
        <v>564993</v>
      </c>
      <c r="J2357" s="0" t="n">
        <v>78026</v>
      </c>
      <c r="K2357" s="0" t="n">
        <v>78947504</v>
      </c>
      <c r="L2357" s="0" t="s">
        <v>2761</v>
      </c>
      <c r="N2357" s="0" t="n">
        <v>40</v>
      </c>
      <c r="O2357" s="0" t="n">
        <v>498.8</v>
      </c>
      <c r="P2357" s="0" t="s">
        <v>2444</v>
      </c>
    </row>
    <row r="2358" customFormat="false" ht="15" hidden="false" customHeight="true" outlineLevel="0" collapsed="false">
      <c r="A2358" s="0" t="n">
        <v>2</v>
      </c>
      <c r="B2358" s="71" t="n">
        <v>46200</v>
      </c>
      <c r="C2358" s="0" t="n">
        <v>11</v>
      </c>
      <c r="D2358" s="0" t="s">
        <v>2471</v>
      </c>
      <c r="E2358" s="0" t="n">
        <v>1666</v>
      </c>
      <c r="F2358" s="0" t="s">
        <v>266</v>
      </c>
      <c r="I2358" s="0" t="n">
        <v>564993</v>
      </c>
      <c r="J2358" s="0" t="n">
        <v>78629</v>
      </c>
      <c r="K2358" s="0" t="n">
        <v>786300</v>
      </c>
      <c r="L2358" s="0" t="s">
        <v>2763</v>
      </c>
      <c r="N2358" s="0" t="n">
        <v>10</v>
      </c>
      <c r="O2358" s="0" t="n">
        <v>94.11</v>
      </c>
      <c r="P2358" s="0" t="s">
        <v>2444</v>
      </c>
    </row>
    <row r="2359" customFormat="false" ht="15" hidden="false" customHeight="true" outlineLevel="0" collapsed="false">
      <c r="A2359" s="0" t="n">
        <v>2</v>
      </c>
      <c r="B2359" s="71" t="n">
        <v>46200</v>
      </c>
      <c r="C2359" s="0" t="n">
        <v>22</v>
      </c>
      <c r="D2359" s="0" t="s">
        <v>2479</v>
      </c>
      <c r="E2359" s="0" t="n">
        <v>48</v>
      </c>
      <c r="F2359" s="0" t="s">
        <v>153</v>
      </c>
      <c r="I2359" s="0" t="n">
        <v>2513</v>
      </c>
      <c r="J2359" s="0" t="n">
        <v>100008</v>
      </c>
      <c r="K2359" s="0" t="n">
        <v>9</v>
      </c>
      <c r="L2359" s="0" t="s">
        <v>2487</v>
      </c>
      <c r="N2359" s="0" t="n">
        <v>45.16</v>
      </c>
      <c r="O2359" s="0" t="n">
        <v>1374.39</v>
      </c>
      <c r="P2359" s="0" t="s">
        <v>2444</v>
      </c>
    </row>
    <row r="2360" customFormat="false" ht="15" hidden="false" customHeight="true" outlineLevel="0" collapsed="false">
      <c r="A2360" s="0" t="n">
        <v>2</v>
      </c>
      <c r="B2360" s="71" t="n">
        <v>46200</v>
      </c>
      <c r="C2360" s="0" t="n">
        <v>22</v>
      </c>
      <c r="D2360" s="0" t="s">
        <v>2479</v>
      </c>
      <c r="E2360" s="0" t="n">
        <v>48</v>
      </c>
      <c r="F2360" s="0" t="s">
        <v>153</v>
      </c>
      <c r="I2360" s="0" t="n">
        <v>2513</v>
      </c>
      <c r="J2360" s="0" t="n">
        <v>100016</v>
      </c>
      <c r="K2360" s="0" t="n">
        <v>17</v>
      </c>
      <c r="L2360" s="0" t="s">
        <v>2493</v>
      </c>
      <c r="N2360" s="0" t="n">
        <v>6.8</v>
      </c>
      <c r="O2360" s="0" t="n">
        <v>371.76</v>
      </c>
      <c r="P2360" s="0" t="s">
        <v>2444</v>
      </c>
    </row>
    <row r="2361" customFormat="false" ht="15" hidden="false" customHeight="true" outlineLevel="0" collapsed="false">
      <c r="A2361" s="0" t="n">
        <v>2</v>
      </c>
      <c r="B2361" s="71" t="n">
        <v>46200</v>
      </c>
      <c r="C2361" s="0" t="n">
        <v>22</v>
      </c>
      <c r="D2361" s="0" t="s">
        <v>2479</v>
      </c>
      <c r="E2361" s="0" t="n">
        <v>48</v>
      </c>
      <c r="F2361" s="0" t="s">
        <v>153</v>
      </c>
      <c r="I2361" s="0" t="n">
        <v>2513</v>
      </c>
      <c r="J2361" s="0" t="n">
        <v>100053</v>
      </c>
      <c r="K2361" s="0" t="n">
        <v>54</v>
      </c>
      <c r="L2361" s="0" t="s">
        <v>2495</v>
      </c>
      <c r="N2361" s="0" t="n">
        <v>7.305</v>
      </c>
      <c r="O2361" s="0" t="n">
        <v>250.89</v>
      </c>
      <c r="P2361" s="0" t="s">
        <v>2444</v>
      </c>
    </row>
    <row r="2362" customFormat="false" ht="15" hidden="false" customHeight="true" outlineLevel="0" collapsed="false">
      <c r="A2362" s="0" t="n">
        <v>2</v>
      </c>
      <c r="B2362" s="71" t="n">
        <v>46200</v>
      </c>
      <c r="C2362" s="0" t="n">
        <v>22</v>
      </c>
      <c r="D2362" s="0" t="s">
        <v>2479</v>
      </c>
      <c r="E2362" s="0" t="n">
        <v>48</v>
      </c>
      <c r="F2362" s="0" t="s">
        <v>153</v>
      </c>
      <c r="I2362" s="0" t="n">
        <v>2513</v>
      </c>
      <c r="J2362" s="0" t="n">
        <v>110455</v>
      </c>
      <c r="K2362" s="0" t="n">
        <v>53212</v>
      </c>
      <c r="L2362" s="0" t="s">
        <v>2498</v>
      </c>
      <c r="N2362" s="0" t="n">
        <v>1.435</v>
      </c>
      <c r="O2362" s="0" t="n">
        <v>0</v>
      </c>
      <c r="P2362" s="0" t="s">
        <v>2444</v>
      </c>
    </row>
    <row r="2363" customFormat="false" ht="15" hidden="false" customHeight="true" outlineLevel="0" collapsed="false">
      <c r="A2363" s="0" t="n">
        <v>2</v>
      </c>
      <c r="B2363" s="71" t="n">
        <v>46200</v>
      </c>
      <c r="C2363" s="0" t="n">
        <v>100</v>
      </c>
      <c r="D2363" s="0" t="s">
        <v>2499</v>
      </c>
      <c r="E2363" s="0" t="n">
        <v>48</v>
      </c>
      <c r="F2363" s="0" t="s">
        <v>153</v>
      </c>
      <c r="I2363" s="0" t="n">
        <v>1313056</v>
      </c>
      <c r="J2363" s="0" t="n">
        <v>100008</v>
      </c>
      <c r="K2363" s="0" t="n">
        <v>9</v>
      </c>
      <c r="L2363" s="0" t="s">
        <v>2487</v>
      </c>
      <c r="N2363" s="0" t="n">
        <v>14.67</v>
      </c>
      <c r="O2363" s="0" t="n">
        <v>451.1</v>
      </c>
      <c r="P2363" s="0" t="s">
        <v>2444</v>
      </c>
    </row>
    <row r="2364" customFormat="false" ht="15" hidden="false" customHeight="true" outlineLevel="0" collapsed="false">
      <c r="A2364" s="0" t="n">
        <v>2</v>
      </c>
      <c r="B2364" s="71" t="n">
        <v>46200</v>
      </c>
      <c r="C2364" s="0" t="n">
        <v>100</v>
      </c>
      <c r="D2364" s="0" t="s">
        <v>2499</v>
      </c>
      <c r="E2364" s="0" t="n">
        <v>48</v>
      </c>
      <c r="F2364" s="0" t="s">
        <v>153</v>
      </c>
      <c r="I2364" s="0" t="n">
        <v>1313056</v>
      </c>
      <c r="J2364" s="0" t="n">
        <v>100016</v>
      </c>
      <c r="K2364" s="0" t="n">
        <v>17</v>
      </c>
      <c r="L2364" s="0" t="s">
        <v>2493</v>
      </c>
      <c r="N2364" s="0" t="n">
        <v>2.5</v>
      </c>
      <c r="O2364" s="0" t="n">
        <v>138</v>
      </c>
      <c r="P2364" s="0" t="s">
        <v>2444</v>
      </c>
    </row>
    <row r="2365" customFormat="false" ht="15" hidden="false" customHeight="true" outlineLevel="0" collapsed="false">
      <c r="A2365" s="0" t="n">
        <v>2</v>
      </c>
      <c r="B2365" s="71" t="n">
        <v>46200</v>
      </c>
      <c r="C2365" s="0" t="n">
        <v>100</v>
      </c>
      <c r="D2365" s="0" t="s">
        <v>2499</v>
      </c>
      <c r="E2365" s="0" t="n">
        <v>48</v>
      </c>
      <c r="F2365" s="0" t="s">
        <v>153</v>
      </c>
      <c r="I2365" s="0" t="n">
        <v>1313056</v>
      </c>
      <c r="J2365" s="0" t="n">
        <v>100053</v>
      </c>
      <c r="K2365" s="0" t="n">
        <v>54</v>
      </c>
      <c r="L2365" s="0" t="s">
        <v>2495</v>
      </c>
      <c r="N2365" s="0" t="n">
        <v>2.555</v>
      </c>
      <c r="O2365" s="0" t="n">
        <v>88.64</v>
      </c>
      <c r="P2365" s="0" t="s">
        <v>2444</v>
      </c>
    </row>
    <row r="2366" customFormat="false" ht="15" hidden="false" customHeight="true" outlineLevel="0" collapsed="false">
      <c r="A2366" s="0" t="n">
        <v>2</v>
      </c>
      <c r="B2366" s="71" t="n">
        <v>46200</v>
      </c>
      <c r="C2366" s="0" t="n">
        <v>100</v>
      </c>
      <c r="D2366" s="0" t="s">
        <v>2499</v>
      </c>
      <c r="E2366" s="0" t="n">
        <v>48</v>
      </c>
      <c r="F2366" s="0" t="s">
        <v>153</v>
      </c>
      <c r="I2366" s="0" t="n">
        <v>1313056</v>
      </c>
      <c r="J2366" s="0" t="n">
        <v>110455</v>
      </c>
      <c r="K2366" s="0" t="n">
        <v>53212</v>
      </c>
      <c r="L2366" s="0" t="s">
        <v>2498</v>
      </c>
      <c r="N2366" s="0" t="n">
        <v>0.875</v>
      </c>
      <c r="O2366" s="0" t="n">
        <v>0</v>
      </c>
      <c r="P2366" s="0" t="s">
        <v>2444</v>
      </c>
    </row>
    <row r="2367" customFormat="false" ht="15" hidden="false" customHeight="true" outlineLevel="0" collapsed="false">
      <c r="A2367" s="0" t="n">
        <v>2</v>
      </c>
      <c r="B2367" s="71" t="n">
        <v>46200</v>
      </c>
      <c r="C2367" s="0" t="n">
        <v>100</v>
      </c>
      <c r="D2367" s="0" t="s">
        <v>2499</v>
      </c>
      <c r="E2367" s="0" t="n">
        <v>48</v>
      </c>
      <c r="F2367" s="0" t="s">
        <v>153</v>
      </c>
      <c r="I2367" s="0" t="n">
        <v>1313062</v>
      </c>
      <c r="J2367" s="0" t="n">
        <v>100008</v>
      </c>
      <c r="K2367" s="0" t="n">
        <v>9</v>
      </c>
      <c r="L2367" s="0" t="s">
        <v>2487</v>
      </c>
      <c r="N2367" s="0" t="n">
        <v>15.24</v>
      </c>
      <c r="O2367" s="0" t="n">
        <v>459.36</v>
      </c>
      <c r="P2367" s="0" t="s">
        <v>2444</v>
      </c>
    </row>
    <row r="2368" customFormat="false" ht="15" hidden="false" customHeight="true" outlineLevel="0" collapsed="false">
      <c r="A2368" s="0" t="n">
        <v>2</v>
      </c>
      <c r="B2368" s="71" t="n">
        <v>46200</v>
      </c>
      <c r="C2368" s="0" t="n">
        <v>100</v>
      </c>
      <c r="D2368" s="0" t="s">
        <v>2499</v>
      </c>
      <c r="E2368" s="0" t="n">
        <v>48</v>
      </c>
      <c r="F2368" s="0" t="s">
        <v>153</v>
      </c>
      <c r="I2368" s="0" t="n">
        <v>1313062</v>
      </c>
      <c r="J2368" s="0" t="n">
        <v>100016</v>
      </c>
      <c r="K2368" s="0" t="n">
        <v>17</v>
      </c>
      <c r="L2368" s="0" t="s">
        <v>2493</v>
      </c>
      <c r="N2368" s="0" t="n">
        <v>2.1</v>
      </c>
      <c r="O2368" s="0" t="n">
        <v>113.62</v>
      </c>
      <c r="P2368" s="0" t="s">
        <v>2444</v>
      </c>
    </row>
    <row r="2369" customFormat="false" ht="15" hidden="false" customHeight="true" outlineLevel="0" collapsed="false">
      <c r="A2369" s="0" t="n">
        <v>2</v>
      </c>
      <c r="B2369" s="71" t="n">
        <v>46200</v>
      </c>
      <c r="C2369" s="0" t="n">
        <v>100</v>
      </c>
      <c r="D2369" s="0" t="s">
        <v>2499</v>
      </c>
      <c r="E2369" s="0" t="n">
        <v>48</v>
      </c>
      <c r="F2369" s="0" t="s">
        <v>153</v>
      </c>
      <c r="I2369" s="0" t="n">
        <v>1313062</v>
      </c>
      <c r="J2369" s="0" t="n">
        <v>100053</v>
      </c>
      <c r="K2369" s="0" t="n">
        <v>54</v>
      </c>
      <c r="L2369" s="0" t="s">
        <v>2495</v>
      </c>
      <c r="N2369" s="0" t="n">
        <v>2.5</v>
      </c>
      <c r="O2369" s="0" t="n">
        <v>85.02</v>
      </c>
      <c r="P2369" s="0" t="s">
        <v>2444</v>
      </c>
    </row>
    <row r="2370" customFormat="false" ht="15" hidden="false" customHeight="true" outlineLevel="0" collapsed="false">
      <c r="A2370" s="0" t="n">
        <v>2</v>
      </c>
      <c r="B2370" s="71" t="n">
        <v>46200</v>
      </c>
      <c r="C2370" s="0" t="n">
        <v>100</v>
      </c>
      <c r="D2370" s="0" t="s">
        <v>2499</v>
      </c>
      <c r="E2370" s="0" t="n">
        <v>48</v>
      </c>
      <c r="F2370" s="0" t="s">
        <v>153</v>
      </c>
      <c r="I2370" s="0" t="n">
        <v>1313062</v>
      </c>
      <c r="J2370" s="0" t="n">
        <v>110455</v>
      </c>
      <c r="K2370" s="0" t="n">
        <v>53212</v>
      </c>
      <c r="L2370" s="0" t="s">
        <v>2498</v>
      </c>
      <c r="N2370" s="0" t="n">
        <v>0.16</v>
      </c>
      <c r="O2370" s="0" t="n">
        <v>0</v>
      </c>
      <c r="P2370" s="0" t="s">
        <v>2444</v>
      </c>
    </row>
    <row r="2371" customFormat="false" ht="15" hidden="false" customHeight="true" outlineLevel="0" collapsed="false">
      <c r="A2371" s="0" t="n">
        <v>2</v>
      </c>
      <c r="B2371" s="71" t="n">
        <v>46200</v>
      </c>
      <c r="C2371" s="0" t="n">
        <v>100</v>
      </c>
      <c r="D2371" s="0" t="s">
        <v>2499</v>
      </c>
      <c r="E2371" s="0" t="n">
        <v>48</v>
      </c>
      <c r="F2371" s="0" t="s">
        <v>153</v>
      </c>
      <c r="I2371" s="0" t="n">
        <v>1313069</v>
      </c>
      <c r="J2371" s="0" t="n">
        <v>100008</v>
      </c>
      <c r="K2371" s="0" t="n">
        <v>9</v>
      </c>
      <c r="L2371" s="0" t="s">
        <v>2487</v>
      </c>
      <c r="N2371" s="0" t="n">
        <v>15.25</v>
      </c>
      <c r="O2371" s="0" t="n">
        <v>463.93</v>
      </c>
      <c r="P2371" s="0" t="s">
        <v>2444</v>
      </c>
    </row>
    <row r="2372" customFormat="false" ht="15" hidden="false" customHeight="true" outlineLevel="0" collapsed="false">
      <c r="A2372" s="0" t="n">
        <v>2</v>
      </c>
      <c r="B2372" s="71" t="n">
        <v>46200</v>
      </c>
      <c r="C2372" s="0" t="n">
        <v>100</v>
      </c>
      <c r="D2372" s="0" t="s">
        <v>2499</v>
      </c>
      <c r="E2372" s="0" t="n">
        <v>48</v>
      </c>
      <c r="F2372" s="0" t="s">
        <v>153</v>
      </c>
      <c r="I2372" s="0" t="n">
        <v>1313069</v>
      </c>
      <c r="J2372" s="0" t="n">
        <v>100016</v>
      </c>
      <c r="K2372" s="0" t="n">
        <v>17</v>
      </c>
      <c r="L2372" s="0" t="s">
        <v>2493</v>
      </c>
      <c r="N2372" s="0" t="n">
        <v>2.2</v>
      </c>
      <c r="O2372" s="0" t="n">
        <v>120.14</v>
      </c>
      <c r="P2372" s="0" t="s">
        <v>2444</v>
      </c>
    </row>
    <row r="2373" customFormat="false" ht="15" hidden="false" customHeight="true" outlineLevel="0" collapsed="false">
      <c r="A2373" s="0" t="n">
        <v>2</v>
      </c>
      <c r="B2373" s="71" t="n">
        <v>46200</v>
      </c>
      <c r="C2373" s="0" t="n">
        <v>100</v>
      </c>
      <c r="D2373" s="0" t="s">
        <v>2499</v>
      </c>
      <c r="E2373" s="0" t="n">
        <v>48</v>
      </c>
      <c r="F2373" s="0" t="s">
        <v>153</v>
      </c>
      <c r="I2373" s="0" t="n">
        <v>1313069</v>
      </c>
      <c r="J2373" s="0" t="n">
        <v>100053</v>
      </c>
      <c r="K2373" s="0" t="n">
        <v>54</v>
      </c>
      <c r="L2373" s="0" t="s">
        <v>2495</v>
      </c>
      <c r="N2373" s="0" t="n">
        <v>2.25</v>
      </c>
      <c r="O2373" s="0" t="n">
        <v>77.23</v>
      </c>
      <c r="P2373" s="0" t="s">
        <v>2444</v>
      </c>
    </row>
    <row r="2374" customFormat="false" ht="15" hidden="false" customHeight="true" outlineLevel="0" collapsed="false">
      <c r="A2374" s="0" t="n">
        <v>2</v>
      </c>
      <c r="B2374" s="71" t="n">
        <v>46200</v>
      </c>
      <c r="C2374" s="0" t="n">
        <v>100</v>
      </c>
      <c r="D2374" s="0" t="s">
        <v>2499</v>
      </c>
      <c r="E2374" s="0" t="n">
        <v>48</v>
      </c>
      <c r="F2374" s="0" t="s">
        <v>153</v>
      </c>
      <c r="I2374" s="0" t="n">
        <v>1313069</v>
      </c>
      <c r="J2374" s="0" t="n">
        <v>110455</v>
      </c>
      <c r="K2374" s="0" t="n">
        <v>53212</v>
      </c>
      <c r="L2374" s="0" t="s">
        <v>2498</v>
      </c>
      <c r="N2374" s="0" t="n">
        <v>0.4</v>
      </c>
      <c r="O2374" s="0" t="n">
        <v>0</v>
      </c>
      <c r="P2374" s="0" t="s">
        <v>2444</v>
      </c>
    </row>
    <row r="2375" customFormat="false" ht="15" hidden="false" customHeight="true" outlineLevel="0" collapsed="false">
      <c r="A2375" s="0" t="n">
        <v>2</v>
      </c>
      <c r="B2375" s="71" t="n">
        <v>46202</v>
      </c>
      <c r="C2375" s="0" t="n">
        <v>1</v>
      </c>
      <c r="D2375" s="0" t="s">
        <v>2442</v>
      </c>
      <c r="E2375" s="0" t="n">
        <v>642</v>
      </c>
      <c r="F2375" s="0" t="s">
        <v>123</v>
      </c>
      <c r="I2375" s="0" t="n">
        <v>513</v>
      </c>
      <c r="J2375" s="0" t="n">
        <v>71766</v>
      </c>
      <c r="K2375" s="0" t="n">
        <v>779180</v>
      </c>
      <c r="L2375" s="0" t="s">
        <v>2501</v>
      </c>
      <c r="N2375" s="0" t="n">
        <v>15</v>
      </c>
      <c r="O2375" s="0" t="n">
        <v>180</v>
      </c>
      <c r="P2375" s="0" t="s">
        <v>2444</v>
      </c>
    </row>
    <row r="2376" customFormat="false" ht="15" hidden="false" customHeight="true" outlineLevel="0" collapsed="false">
      <c r="A2376" s="0" t="n">
        <v>2</v>
      </c>
      <c r="B2376" s="71" t="n">
        <v>46202</v>
      </c>
      <c r="C2376" s="0" t="n">
        <v>1</v>
      </c>
      <c r="D2376" s="0" t="s">
        <v>2442</v>
      </c>
      <c r="E2376" s="0" t="n">
        <v>1625</v>
      </c>
      <c r="F2376" s="0" t="s">
        <v>270</v>
      </c>
      <c r="I2376" s="0" t="n">
        <v>14569</v>
      </c>
      <c r="J2376" s="0" t="n">
        <v>29079</v>
      </c>
      <c r="K2376" s="0" t="n">
        <v>55515</v>
      </c>
      <c r="L2376" s="0" t="s">
        <v>2449</v>
      </c>
      <c r="N2376" s="0" t="n">
        <v>80.2</v>
      </c>
      <c r="O2376" s="0" t="n">
        <v>2606.5</v>
      </c>
      <c r="P2376" s="0" t="s">
        <v>2444</v>
      </c>
    </row>
    <row r="2377" customFormat="false" ht="15" hidden="false" customHeight="true" outlineLevel="0" collapsed="false">
      <c r="A2377" s="0" t="n">
        <v>2</v>
      </c>
      <c r="B2377" s="71" t="n">
        <v>46202</v>
      </c>
      <c r="C2377" s="0" t="n">
        <v>1</v>
      </c>
      <c r="D2377" s="0" t="s">
        <v>2442</v>
      </c>
      <c r="E2377" s="0" t="n">
        <v>1621</v>
      </c>
      <c r="F2377" s="0" t="s">
        <v>232</v>
      </c>
      <c r="I2377" s="0" t="n">
        <v>877177</v>
      </c>
      <c r="J2377" s="0" t="n">
        <v>20242</v>
      </c>
      <c r="K2377" s="0" t="n">
        <v>7891149104932</v>
      </c>
      <c r="L2377" s="0" t="s">
        <v>3771</v>
      </c>
      <c r="N2377" s="0" t="n">
        <v>60</v>
      </c>
      <c r="O2377" s="0" t="n">
        <v>203.75</v>
      </c>
      <c r="P2377" s="0" t="s">
        <v>2444</v>
      </c>
    </row>
    <row r="2378" customFormat="false" ht="15" hidden="false" customHeight="true" outlineLevel="0" collapsed="false">
      <c r="A2378" s="0" t="n">
        <v>2</v>
      </c>
      <c r="B2378" s="71" t="n">
        <v>46202</v>
      </c>
      <c r="C2378" s="0" t="n">
        <v>1</v>
      </c>
      <c r="D2378" s="0" t="s">
        <v>2442</v>
      </c>
      <c r="E2378" s="0" t="n">
        <v>1621</v>
      </c>
      <c r="F2378" s="0" t="s">
        <v>232</v>
      </c>
      <c r="I2378" s="0" t="n">
        <v>877177</v>
      </c>
      <c r="J2378" s="0" t="n">
        <v>103126</v>
      </c>
      <c r="K2378" s="0" t="n">
        <v>7891991000727</v>
      </c>
      <c r="L2378" s="0" t="s">
        <v>3065</v>
      </c>
      <c r="N2378" s="0" t="n">
        <v>12</v>
      </c>
      <c r="O2378" s="0" t="n">
        <v>35.79</v>
      </c>
      <c r="P2378" s="0" t="s">
        <v>2444</v>
      </c>
    </row>
    <row r="2379" customFormat="false" ht="15" hidden="false" customHeight="true" outlineLevel="0" collapsed="false">
      <c r="A2379" s="0" t="n">
        <v>2</v>
      </c>
      <c r="B2379" s="71" t="n">
        <v>46202</v>
      </c>
      <c r="C2379" s="0" t="n">
        <v>1</v>
      </c>
      <c r="D2379" s="0" t="s">
        <v>2442</v>
      </c>
      <c r="E2379" s="0" t="n">
        <v>1621</v>
      </c>
      <c r="F2379" s="0" t="s">
        <v>232</v>
      </c>
      <c r="I2379" s="0" t="n">
        <v>877177</v>
      </c>
      <c r="J2379" s="0" t="n">
        <v>103127</v>
      </c>
      <c r="K2379" s="0" t="n">
        <v>7891991000826</v>
      </c>
      <c r="L2379" s="0" t="s">
        <v>3066</v>
      </c>
      <c r="N2379" s="0" t="n">
        <v>12</v>
      </c>
      <c r="O2379" s="0" t="n">
        <v>35.79</v>
      </c>
      <c r="P2379" s="0" t="s">
        <v>2444</v>
      </c>
    </row>
    <row r="2380" customFormat="false" ht="15" hidden="false" customHeight="true" outlineLevel="0" collapsed="false">
      <c r="A2380" s="0" t="n">
        <v>2</v>
      </c>
      <c r="B2380" s="71" t="n">
        <v>46202</v>
      </c>
      <c r="C2380" s="0" t="n">
        <v>1</v>
      </c>
      <c r="D2380" s="0" t="s">
        <v>2442</v>
      </c>
      <c r="E2380" s="0" t="n">
        <v>1621</v>
      </c>
      <c r="F2380" s="0" t="s">
        <v>232</v>
      </c>
      <c r="I2380" s="0" t="n">
        <v>877177</v>
      </c>
      <c r="J2380" s="0" t="n">
        <v>103132</v>
      </c>
      <c r="K2380" s="0" t="n">
        <v>7892840800000</v>
      </c>
      <c r="L2380" s="0" t="s">
        <v>3068</v>
      </c>
      <c r="N2380" s="0" t="n">
        <v>24</v>
      </c>
      <c r="O2380" s="0" t="n">
        <v>163.49</v>
      </c>
      <c r="P2380" s="0" t="s">
        <v>2444</v>
      </c>
    </row>
    <row r="2381" customFormat="false" ht="15" hidden="false" customHeight="true" outlineLevel="0" collapsed="false">
      <c r="A2381" s="0" t="n">
        <v>2</v>
      </c>
      <c r="B2381" s="71" t="n">
        <v>46202</v>
      </c>
      <c r="C2381" s="0" t="n">
        <v>1</v>
      </c>
      <c r="D2381" s="0" t="s">
        <v>2442</v>
      </c>
      <c r="E2381" s="0" t="n">
        <v>1621</v>
      </c>
      <c r="F2381" s="0" t="s">
        <v>232</v>
      </c>
      <c r="I2381" s="0" t="n">
        <v>877177</v>
      </c>
      <c r="J2381" s="0" t="n">
        <v>103133</v>
      </c>
      <c r="K2381" s="0" t="n">
        <v>7891991001373</v>
      </c>
      <c r="L2381" s="0" t="s">
        <v>3069</v>
      </c>
      <c r="N2381" s="0" t="n">
        <v>6</v>
      </c>
      <c r="O2381" s="0" t="n">
        <v>45.9</v>
      </c>
      <c r="P2381" s="0" t="s">
        <v>2444</v>
      </c>
    </row>
    <row r="2382" customFormat="false" ht="15" hidden="false" customHeight="true" outlineLevel="0" collapsed="false">
      <c r="A2382" s="0" t="n">
        <v>2</v>
      </c>
      <c r="B2382" s="71" t="n">
        <v>46202</v>
      </c>
      <c r="C2382" s="0" t="n">
        <v>1</v>
      </c>
      <c r="D2382" s="0" t="s">
        <v>2442</v>
      </c>
      <c r="E2382" s="0" t="n">
        <v>1621</v>
      </c>
      <c r="F2382" s="0" t="s">
        <v>232</v>
      </c>
      <c r="I2382" s="0" t="n">
        <v>877177</v>
      </c>
      <c r="J2382" s="0" t="n">
        <v>103630</v>
      </c>
      <c r="K2382" s="0" t="n">
        <v>7891991004107</v>
      </c>
      <c r="L2382" s="0" t="s">
        <v>3070</v>
      </c>
      <c r="N2382" s="0" t="n">
        <v>60</v>
      </c>
      <c r="O2382" s="0" t="n">
        <v>275.4</v>
      </c>
      <c r="P2382" s="0" t="s">
        <v>2444</v>
      </c>
    </row>
    <row r="2383" customFormat="false" ht="15" hidden="false" customHeight="true" outlineLevel="0" collapsed="false">
      <c r="A2383" s="0" t="n">
        <v>2</v>
      </c>
      <c r="B2383" s="71" t="n">
        <v>46202</v>
      </c>
      <c r="C2383" s="0" t="n">
        <v>1</v>
      </c>
      <c r="D2383" s="0" t="s">
        <v>2442</v>
      </c>
      <c r="E2383" s="0" t="n">
        <v>1621</v>
      </c>
      <c r="F2383" s="0" t="s">
        <v>232</v>
      </c>
      <c r="I2383" s="0" t="n">
        <v>877177</v>
      </c>
      <c r="J2383" s="0" t="n">
        <v>103792</v>
      </c>
      <c r="K2383" s="0" t="n">
        <v>7891149010509</v>
      </c>
      <c r="L2383" s="0" t="s">
        <v>3599</v>
      </c>
      <c r="N2383" s="0" t="n">
        <v>36</v>
      </c>
      <c r="O2383" s="0" t="n">
        <v>109.99001</v>
      </c>
      <c r="P2383" s="0" t="s">
        <v>2444</v>
      </c>
    </row>
    <row r="2384" customFormat="false" ht="15" hidden="false" customHeight="true" outlineLevel="0" collapsed="false">
      <c r="A2384" s="0" t="n">
        <v>2</v>
      </c>
      <c r="B2384" s="71" t="n">
        <v>46202</v>
      </c>
      <c r="C2384" s="0" t="n">
        <v>1</v>
      </c>
      <c r="D2384" s="0" t="s">
        <v>2442</v>
      </c>
      <c r="E2384" s="0" t="n">
        <v>1621</v>
      </c>
      <c r="F2384" s="0" t="s">
        <v>232</v>
      </c>
      <c r="I2384" s="0" t="n">
        <v>877177</v>
      </c>
      <c r="J2384" s="0" t="n">
        <v>104505</v>
      </c>
      <c r="K2384" s="0" t="n">
        <v>7892840800079</v>
      </c>
      <c r="L2384" s="0" t="s">
        <v>3073</v>
      </c>
      <c r="N2384" s="0" t="n">
        <v>12</v>
      </c>
      <c r="O2384" s="0" t="n">
        <v>34.67</v>
      </c>
      <c r="P2384" s="0" t="s">
        <v>2444</v>
      </c>
    </row>
    <row r="2385" customFormat="false" ht="15" hidden="false" customHeight="true" outlineLevel="0" collapsed="false">
      <c r="A2385" s="0" t="n">
        <v>2</v>
      </c>
      <c r="B2385" s="71" t="n">
        <v>46202</v>
      </c>
      <c r="C2385" s="0" t="n">
        <v>1</v>
      </c>
      <c r="D2385" s="0" t="s">
        <v>2442</v>
      </c>
      <c r="E2385" s="0" t="n">
        <v>1621</v>
      </c>
      <c r="F2385" s="0" t="s">
        <v>232</v>
      </c>
      <c r="I2385" s="0" t="n">
        <v>877177</v>
      </c>
      <c r="J2385" s="0" t="n">
        <v>12669</v>
      </c>
      <c r="K2385" s="0" t="n">
        <v>7891991010351</v>
      </c>
      <c r="L2385" s="0" t="s">
        <v>3772</v>
      </c>
      <c r="N2385" s="0" t="n">
        <v>12</v>
      </c>
      <c r="O2385" s="0" t="n">
        <v>34.67</v>
      </c>
      <c r="P2385" s="0" t="s">
        <v>2444</v>
      </c>
    </row>
    <row r="2386" customFormat="false" ht="15" hidden="false" customHeight="true" outlineLevel="0" collapsed="false">
      <c r="A2386" s="0" t="n">
        <v>2</v>
      </c>
      <c r="B2386" s="71" t="n">
        <v>46202</v>
      </c>
      <c r="C2386" s="0" t="n">
        <v>1</v>
      </c>
      <c r="D2386" s="0" t="s">
        <v>2442</v>
      </c>
      <c r="E2386" s="0" t="n">
        <v>1621</v>
      </c>
      <c r="F2386" s="0" t="s">
        <v>232</v>
      </c>
      <c r="I2386" s="0" t="n">
        <v>877177</v>
      </c>
      <c r="J2386" s="0" t="n">
        <v>26391</v>
      </c>
      <c r="K2386" s="0" t="n">
        <v>7891991010061</v>
      </c>
      <c r="L2386" s="0" t="s">
        <v>3081</v>
      </c>
      <c r="N2386" s="0" t="n">
        <v>15</v>
      </c>
      <c r="O2386" s="0" t="n">
        <v>40.739912</v>
      </c>
      <c r="P2386" s="0" t="s">
        <v>2444</v>
      </c>
    </row>
    <row r="2387" customFormat="false" ht="15" hidden="false" customHeight="true" outlineLevel="0" collapsed="false">
      <c r="A2387" s="0" t="n">
        <v>2</v>
      </c>
      <c r="B2387" s="71" t="n">
        <v>46202</v>
      </c>
      <c r="C2387" s="0" t="n">
        <v>1</v>
      </c>
      <c r="D2387" s="0" t="s">
        <v>2442</v>
      </c>
      <c r="E2387" s="0" t="n">
        <v>1621</v>
      </c>
      <c r="F2387" s="0" t="s">
        <v>232</v>
      </c>
      <c r="I2387" s="0" t="n">
        <v>877177</v>
      </c>
      <c r="J2387" s="0" t="n">
        <v>28304</v>
      </c>
      <c r="K2387" s="0" t="n">
        <v>7891991014762</v>
      </c>
      <c r="L2387" s="0" t="s">
        <v>3773</v>
      </c>
      <c r="N2387" s="0" t="n">
        <v>120</v>
      </c>
      <c r="O2387" s="0" t="n">
        <v>670.330036</v>
      </c>
      <c r="P2387" s="0" t="s">
        <v>2444</v>
      </c>
    </row>
    <row r="2388" customFormat="false" ht="15" hidden="false" customHeight="true" outlineLevel="0" collapsed="false">
      <c r="A2388" s="0" t="n">
        <v>2</v>
      </c>
      <c r="B2388" s="71" t="n">
        <v>46202</v>
      </c>
      <c r="C2388" s="0" t="n">
        <v>1</v>
      </c>
      <c r="D2388" s="0" t="s">
        <v>2442</v>
      </c>
      <c r="E2388" s="0" t="n">
        <v>1621</v>
      </c>
      <c r="F2388" s="0" t="s">
        <v>232</v>
      </c>
      <c r="I2388" s="0" t="n">
        <v>877177</v>
      </c>
      <c r="J2388" s="0" t="n">
        <v>31030</v>
      </c>
      <c r="K2388" s="0" t="n">
        <v>7891991014090</v>
      </c>
      <c r="L2388" s="0" t="s">
        <v>3082</v>
      </c>
      <c r="N2388" s="0" t="n">
        <v>12</v>
      </c>
      <c r="O2388" s="0" t="n">
        <v>37.87</v>
      </c>
      <c r="P2388" s="0" t="s">
        <v>2444</v>
      </c>
    </row>
    <row r="2389" customFormat="false" ht="15" hidden="false" customHeight="true" outlineLevel="0" collapsed="false">
      <c r="A2389" s="0" t="n">
        <v>2</v>
      </c>
      <c r="B2389" s="71" t="n">
        <v>46202</v>
      </c>
      <c r="C2389" s="0" t="n">
        <v>1</v>
      </c>
      <c r="D2389" s="0" t="s">
        <v>2442</v>
      </c>
      <c r="E2389" s="0" t="n">
        <v>1621</v>
      </c>
      <c r="F2389" s="0" t="s">
        <v>232</v>
      </c>
      <c r="I2389" s="0" t="n">
        <v>877177</v>
      </c>
      <c r="J2389" s="0" t="n">
        <v>31032</v>
      </c>
      <c r="K2389" s="0" t="n">
        <v>7891991002561</v>
      </c>
      <c r="L2389" s="0" t="s">
        <v>3083</v>
      </c>
      <c r="N2389" s="0" t="n">
        <v>12</v>
      </c>
      <c r="O2389" s="0" t="n">
        <v>45.96</v>
      </c>
      <c r="P2389" s="0" t="s">
        <v>2444</v>
      </c>
    </row>
    <row r="2390" customFormat="false" ht="15" hidden="false" customHeight="true" outlineLevel="0" collapsed="false">
      <c r="A2390" s="0" t="n">
        <v>2</v>
      </c>
      <c r="B2390" s="71" t="n">
        <v>46202</v>
      </c>
      <c r="C2390" s="0" t="n">
        <v>1</v>
      </c>
      <c r="D2390" s="0" t="s">
        <v>2442</v>
      </c>
      <c r="E2390" s="0" t="n">
        <v>1621</v>
      </c>
      <c r="F2390" s="0" t="s">
        <v>232</v>
      </c>
      <c r="I2390" s="0" t="n">
        <v>877177</v>
      </c>
      <c r="J2390" s="0" t="n">
        <v>32100</v>
      </c>
      <c r="K2390" s="0" t="n">
        <v>7891991015493</v>
      </c>
      <c r="L2390" s="0" t="s">
        <v>3774</v>
      </c>
      <c r="N2390" s="0" t="n">
        <v>12</v>
      </c>
      <c r="O2390" s="0" t="n">
        <v>48.920095</v>
      </c>
      <c r="P2390" s="0" t="s">
        <v>2444</v>
      </c>
    </row>
    <row r="2391" customFormat="false" ht="15" hidden="false" customHeight="true" outlineLevel="0" collapsed="false">
      <c r="A2391" s="0" t="n">
        <v>2</v>
      </c>
      <c r="B2391" s="71" t="n">
        <v>46202</v>
      </c>
      <c r="C2391" s="0" t="n">
        <v>1</v>
      </c>
      <c r="D2391" s="0" t="s">
        <v>2442</v>
      </c>
      <c r="E2391" s="0" t="n">
        <v>1621</v>
      </c>
      <c r="F2391" s="0" t="s">
        <v>232</v>
      </c>
      <c r="I2391" s="0" t="n">
        <v>877177</v>
      </c>
      <c r="J2391" s="0" t="n">
        <v>32100</v>
      </c>
      <c r="K2391" s="0" t="n">
        <v>7891991015493</v>
      </c>
      <c r="L2391" s="0" t="s">
        <v>3774</v>
      </c>
      <c r="N2391" s="0" t="n">
        <v>48</v>
      </c>
      <c r="O2391" s="0" t="n">
        <v>203.840061</v>
      </c>
      <c r="P2391" s="0" t="s">
        <v>2444</v>
      </c>
    </row>
    <row r="2392" customFormat="false" ht="15" hidden="false" customHeight="true" outlineLevel="0" collapsed="false">
      <c r="A2392" s="0" t="n">
        <v>2</v>
      </c>
      <c r="B2392" s="71" t="n">
        <v>46202</v>
      </c>
      <c r="C2392" s="0" t="n">
        <v>1</v>
      </c>
      <c r="D2392" s="0" t="s">
        <v>2442</v>
      </c>
      <c r="E2392" s="0" t="n">
        <v>1621</v>
      </c>
      <c r="F2392" s="0" t="s">
        <v>232</v>
      </c>
      <c r="I2392" s="0" t="n">
        <v>877177</v>
      </c>
      <c r="J2392" s="0" t="n">
        <v>48553</v>
      </c>
      <c r="K2392" s="0" t="n">
        <v>7892840813444</v>
      </c>
      <c r="L2392" s="0" t="s">
        <v>3775</v>
      </c>
      <c r="N2392" s="0" t="n">
        <v>6</v>
      </c>
      <c r="O2392" s="0" t="n">
        <v>40.87</v>
      </c>
      <c r="P2392" s="0" t="s">
        <v>2444</v>
      </c>
    </row>
    <row r="2393" customFormat="false" ht="15" hidden="false" customHeight="true" outlineLevel="0" collapsed="false">
      <c r="A2393" s="0" t="n">
        <v>2</v>
      </c>
      <c r="B2393" s="71" t="n">
        <v>46202</v>
      </c>
      <c r="C2393" s="0" t="n">
        <v>1</v>
      </c>
      <c r="D2393" s="0" t="s">
        <v>2442</v>
      </c>
      <c r="E2393" s="0" t="n">
        <v>1621</v>
      </c>
      <c r="F2393" s="0" t="s">
        <v>232</v>
      </c>
      <c r="I2393" s="0" t="n">
        <v>877177</v>
      </c>
      <c r="J2393" s="0" t="n">
        <v>54120</v>
      </c>
      <c r="K2393" s="0" t="n">
        <v>7892840820862</v>
      </c>
      <c r="L2393" s="0" t="s">
        <v>3776</v>
      </c>
      <c r="N2393" s="0" t="n">
        <v>6</v>
      </c>
      <c r="O2393" s="0" t="n">
        <v>17.34</v>
      </c>
      <c r="P2393" s="0" t="s">
        <v>2444</v>
      </c>
    </row>
    <row r="2394" customFormat="false" ht="15" hidden="false" customHeight="true" outlineLevel="0" collapsed="false">
      <c r="A2394" s="0" t="n">
        <v>2</v>
      </c>
      <c r="B2394" s="71" t="n">
        <v>46202</v>
      </c>
      <c r="C2394" s="0" t="n">
        <v>1</v>
      </c>
      <c r="D2394" s="0" t="s">
        <v>2442</v>
      </c>
      <c r="E2394" s="0" t="n">
        <v>1621</v>
      </c>
      <c r="F2394" s="0" t="s">
        <v>232</v>
      </c>
      <c r="I2394" s="0" t="n">
        <v>877177</v>
      </c>
      <c r="J2394" s="0" t="n">
        <v>57246</v>
      </c>
      <c r="K2394" s="0" t="n">
        <v>7892840800406</v>
      </c>
      <c r="L2394" s="0" t="s">
        <v>3092</v>
      </c>
      <c r="N2394" s="0" t="n">
        <v>12</v>
      </c>
      <c r="O2394" s="0" t="n">
        <v>40.81</v>
      </c>
      <c r="P2394" s="0" t="s">
        <v>2444</v>
      </c>
    </row>
    <row r="2395" customFormat="false" ht="15" hidden="false" customHeight="true" outlineLevel="0" collapsed="false">
      <c r="A2395" s="0" t="n">
        <v>2</v>
      </c>
      <c r="B2395" s="71" t="n">
        <v>46202</v>
      </c>
      <c r="C2395" s="0" t="n">
        <v>1</v>
      </c>
      <c r="D2395" s="0" t="s">
        <v>2442</v>
      </c>
      <c r="E2395" s="0" t="n">
        <v>1621</v>
      </c>
      <c r="F2395" s="0" t="s">
        <v>232</v>
      </c>
      <c r="I2395" s="0" t="n">
        <v>877177</v>
      </c>
      <c r="J2395" s="0" t="n">
        <v>78038</v>
      </c>
      <c r="K2395" s="0" t="n">
        <v>7891991010481</v>
      </c>
      <c r="L2395" s="0" t="s">
        <v>3099</v>
      </c>
      <c r="N2395" s="0" t="n">
        <v>60</v>
      </c>
      <c r="O2395" s="0" t="n">
        <v>219.069984</v>
      </c>
      <c r="P2395" s="0" t="s">
        <v>2444</v>
      </c>
    </row>
    <row r="2396" customFormat="false" ht="15" hidden="false" customHeight="true" outlineLevel="0" collapsed="false">
      <c r="A2396" s="0" t="n">
        <v>2</v>
      </c>
      <c r="B2396" s="71" t="n">
        <v>46202</v>
      </c>
      <c r="C2396" s="0" t="n">
        <v>1</v>
      </c>
      <c r="D2396" s="0" t="s">
        <v>2442</v>
      </c>
      <c r="E2396" s="0" t="n">
        <v>1621</v>
      </c>
      <c r="F2396" s="0" t="s">
        <v>232</v>
      </c>
      <c r="I2396" s="0" t="n">
        <v>877177</v>
      </c>
      <c r="J2396" s="0" t="n">
        <v>78062</v>
      </c>
      <c r="K2396" s="0" t="n">
        <v>7891991305440</v>
      </c>
      <c r="L2396" s="0" t="s">
        <v>3100</v>
      </c>
      <c r="N2396" s="0" t="n">
        <v>24</v>
      </c>
      <c r="O2396" s="0" t="n">
        <v>128.480021</v>
      </c>
      <c r="P2396" s="0" t="s">
        <v>2444</v>
      </c>
    </row>
    <row r="2397" customFormat="false" ht="15" hidden="false" customHeight="true" outlineLevel="0" collapsed="false">
      <c r="A2397" s="0" t="n">
        <v>2</v>
      </c>
      <c r="B2397" s="71" t="n">
        <v>46202</v>
      </c>
      <c r="C2397" s="0" t="n">
        <v>1</v>
      </c>
      <c r="D2397" s="0" t="s">
        <v>2442</v>
      </c>
      <c r="E2397" s="0" t="n">
        <v>1621</v>
      </c>
      <c r="F2397" s="0" t="s">
        <v>232</v>
      </c>
      <c r="I2397" s="0" t="n">
        <v>877177</v>
      </c>
      <c r="J2397" s="0" t="n">
        <v>79493</v>
      </c>
      <c r="K2397" s="0" t="n">
        <v>7891991002608</v>
      </c>
      <c r="L2397" s="0" t="s">
        <v>3777</v>
      </c>
      <c r="N2397" s="0" t="n">
        <v>6</v>
      </c>
      <c r="O2397" s="0" t="n">
        <v>19.55</v>
      </c>
      <c r="P2397" s="0" t="s">
        <v>2444</v>
      </c>
    </row>
    <row r="2398" customFormat="false" ht="15" hidden="false" customHeight="true" outlineLevel="0" collapsed="false">
      <c r="A2398" s="0" t="n">
        <v>2</v>
      </c>
      <c r="B2398" s="71" t="n">
        <v>46202</v>
      </c>
      <c r="C2398" s="0" t="n">
        <v>1</v>
      </c>
      <c r="D2398" s="0" t="s">
        <v>2442</v>
      </c>
      <c r="E2398" s="0" t="n">
        <v>1705</v>
      </c>
      <c r="F2398" s="0" t="s">
        <v>130</v>
      </c>
      <c r="I2398" s="0" t="n">
        <v>1180339</v>
      </c>
      <c r="J2398" s="0" t="n">
        <v>80206</v>
      </c>
      <c r="K2398" s="0" t="n">
        <v>7894900506006</v>
      </c>
      <c r="L2398" s="0" t="s">
        <v>3778</v>
      </c>
      <c r="N2398" s="0" t="n">
        <v>6</v>
      </c>
      <c r="O2398" s="0" t="n">
        <v>29.3</v>
      </c>
      <c r="P2398" s="0" t="s">
        <v>2444</v>
      </c>
    </row>
    <row r="2399" customFormat="false" ht="15" hidden="false" customHeight="true" outlineLevel="0" collapsed="false">
      <c r="A2399" s="0" t="n">
        <v>2</v>
      </c>
      <c r="B2399" s="71" t="n">
        <v>46202</v>
      </c>
      <c r="C2399" s="0" t="n">
        <v>1</v>
      </c>
      <c r="D2399" s="0" t="s">
        <v>2442</v>
      </c>
      <c r="E2399" s="0" t="n">
        <v>1683</v>
      </c>
      <c r="F2399" s="0" t="s">
        <v>406</v>
      </c>
      <c r="I2399" s="0" t="n">
        <v>1638958</v>
      </c>
      <c r="J2399" s="0" t="n">
        <v>109791</v>
      </c>
      <c r="K2399" s="0" t="n">
        <v>9667</v>
      </c>
      <c r="L2399" s="0" t="s">
        <v>2465</v>
      </c>
      <c r="N2399" s="0" t="n">
        <v>5</v>
      </c>
      <c r="O2399" s="0" t="n">
        <v>7.5</v>
      </c>
      <c r="P2399" s="0" t="s">
        <v>2444</v>
      </c>
    </row>
    <row r="2400" customFormat="false" ht="15" hidden="false" customHeight="true" outlineLevel="0" collapsed="false">
      <c r="A2400" s="0" t="n">
        <v>2</v>
      </c>
      <c r="B2400" s="71" t="n">
        <v>46202</v>
      </c>
      <c r="C2400" s="0" t="n">
        <v>1</v>
      </c>
      <c r="D2400" s="0" t="s">
        <v>2442</v>
      </c>
      <c r="E2400" s="0" t="n">
        <v>1683</v>
      </c>
      <c r="F2400" s="0" t="s">
        <v>406</v>
      </c>
      <c r="I2400" s="0" t="n">
        <v>1638958</v>
      </c>
      <c r="J2400" s="0" t="n">
        <v>37361</v>
      </c>
      <c r="K2400" s="0" t="n">
        <v>2240817</v>
      </c>
      <c r="L2400" s="0" t="s">
        <v>2467</v>
      </c>
      <c r="N2400" s="0" t="n">
        <v>60</v>
      </c>
      <c r="O2400" s="0" t="n">
        <v>108</v>
      </c>
      <c r="P2400" s="0" t="s">
        <v>2444</v>
      </c>
    </row>
    <row r="2401" customFormat="false" ht="15" hidden="false" customHeight="true" outlineLevel="0" collapsed="false">
      <c r="A2401" s="0" t="n">
        <v>2</v>
      </c>
      <c r="B2401" s="71" t="n">
        <v>46202</v>
      </c>
      <c r="C2401" s="0" t="n">
        <v>1</v>
      </c>
      <c r="D2401" s="0" t="s">
        <v>2442</v>
      </c>
      <c r="E2401" s="0" t="n">
        <v>1705</v>
      </c>
      <c r="F2401" s="0" t="s">
        <v>130</v>
      </c>
      <c r="I2401" s="0" t="n">
        <v>1906109</v>
      </c>
      <c r="J2401" s="0" t="n">
        <v>11678</v>
      </c>
      <c r="K2401" s="0" t="n">
        <v>7894900701593</v>
      </c>
      <c r="L2401" s="0" t="s">
        <v>2468</v>
      </c>
      <c r="N2401" s="0" t="n">
        <v>30</v>
      </c>
      <c r="O2401" s="0" t="n">
        <v>284.49</v>
      </c>
      <c r="P2401" s="0" t="s">
        <v>2444</v>
      </c>
    </row>
    <row r="2402" customFormat="false" ht="15" hidden="false" customHeight="true" outlineLevel="0" collapsed="false">
      <c r="A2402" s="0" t="n">
        <v>2</v>
      </c>
      <c r="B2402" s="71" t="n">
        <v>46202</v>
      </c>
      <c r="C2402" s="0" t="n">
        <v>1</v>
      </c>
      <c r="D2402" s="0" t="s">
        <v>2442</v>
      </c>
      <c r="E2402" s="0" t="n">
        <v>1705</v>
      </c>
      <c r="F2402" s="0" t="s">
        <v>130</v>
      </c>
      <c r="I2402" s="0" t="n">
        <v>1906109</v>
      </c>
      <c r="J2402" s="0" t="n">
        <v>28739</v>
      </c>
      <c r="K2402" s="0" t="n">
        <v>7894900027044</v>
      </c>
      <c r="L2402" s="0" t="s">
        <v>2658</v>
      </c>
      <c r="N2402" s="0" t="n">
        <v>60</v>
      </c>
      <c r="O2402" s="0" t="n">
        <v>339.44</v>
      </c>
      <c r="P2402" s="0" t="s">
        <v>2444</v>
      </c>
    </row>
    <row r="2403" customFormat="false" ht="15" hidden="false" customHeight="true" outlineLevel="0" collapsed="false">
      <c r="A2403" s="0" t="n">
        <v>2</v>
      </c>
      <c r="B2403" s="71" t="n">
        <v>46202</v>
      </c>
      <c r="C2403" s="0" t="n">
        <v>1</v>
      </c>
      <c r="D2403" s="0" t="s">
        <v>2442</v>
      </c>
      <c r="E2403" s="0" t="n">
        <v>1705</v>
      </c>
      <c r="F2403" s="0" t="s">
        <v>130</v>
      </c>
      <c r="I2403" s="0" t="n">
        <v>1906109</v>
      </c>
      <c r="J2403" s="0" t="n">
        <v>37279</v>
      </c>
      <c r="K2403" s="0" t="n">
        <v>7894900027013</v>
      </c>
      <c r="L2403" s="0" t="s">
        <v>2575</v>
      </c>
      <c r="N2403" s="0" t="n">
        <v>30</v>
      </c>
      <c r="O2403" s="0" t="n">
        <v>264.35</v>
      </c>
      <c r="P2403" s="0" t="s">
        <v>2444</v>
      </c>
    </row>
    <row r="2404" customFormat="false" ht="15" hidden="false" customHeight="true" outlineLevel="0" collapsed="false">
      <c r="A2404" s="0" t="n">
        <v>2</v>
      </c>
      <c r="B2404" s="71" t="n">
        <v>46202</v>
      </c>
      <c r="C2404" s="0" t="n">
        <v>1</v>
      </c>
      <c r="D2404" s="0" t="s">
        <v>2442</v>
      </c>
      <c r="E2404" s="0" t="n">
        <v>1705</v>
      </c>
      <c r="F2404" s="0" t="s">
        <v>130</v>
      </c>
      <c r="I2404" s="0" t="n">
        <v>1906109</v>
      </c>
      <c r="J2404" s="0" t="n">
        <v>38060</v>
      </c>
      <c r="K2404" s="0" t="n">
        <v>7894900701609</v>
      </c>
      <c r="L2404" s="0" t="s">
        <v>2576</v>
      </c>
      <c r="N2404" s="0" t="n">
        <v>24</v>
      </c>
      <c r="O2404" s="0" t="n">
        <v>82.05</v>
      </c>
      <c r="P2404" s="0" t="s">
        <v>2444</v>
      </c>
    </row>
    <row r="2405" customFormat="false" ht="15" hidden="false" customHeight="true" outlineLevel="0" collapsed="false">
      <c r="A2405" s="0" t="n">
        <v>2</v>
      </c>
      <c r="B2405" s="71" t="n">
        <v>46202</v>
      </c>
      <c r="C2405" s="0" t="n">
        <v>1</v>
      </c>
      <c r="D2405" s="0" t="s">
        <v>2442</v>
      </c>
      <c r="E2405" s="0" t="n">
        <v>1705</v>
      </c>
      <c r="F2405" s="0" t="s">
        <v>130</v>
      </c>
      <c r="I2405" s="0" t="n">
        <v>1906318</v>
      </c>
      <c r="J2405" s="0" t="n">
        <v>103139</v>
      </c>
      <c r="K2405" s="0" t="n">
        <v>7894900051759</v>
      </c>
      <c r="L2405" s="0" t="s">
        <v>2654</v>
      </c>
      <c r="N2405" s="0" t="n">
        <v>12</v>
      </c>
      <c r="O2405" s="0" t="n">
        <v>62.52</v>
      </c>
      <c r="P2405" s="0" t="s">
        <v>2444</v>
      </c>
    </row>
    <row r="2406" customFormat="false" ht="15" hidden="false" customHeight="true" outlineLevel="0" collapsed="false">
      <c r="A2406" s="0" t="n">
        <v>2</v>
      </c>
      <c r="B2406" s="71" t="n">
        <v>46202</v>
      </c>
      <c r="C2406" s="0" t="n">
        <v>1</v>
      </c>
      <c r="D2406" s="0" t="s">
        <v>2442</v>
      </c>
      <c r="E2406" s="0" t="n">
        <v>1705</v>
      </c>
      <c r="F2406" s="0" t="s">
        <v>130</v>
      </c>
      <c r="I2406" s="0" t="n">
        <v>1906318</v>
      </c>
      <c r="J2406" s="0" t="n">
        <v>103140</v>
      </c>
      <c r="K2406" s="0" t="n">
        <v>7894900031751</v>
      </c>
      <c r="L2406" s="0" t="s">
        <v>2655</v>
      </c>
      <c r="N2406" s="0" t="n">
        <v>18</v>
      </c>
      <c r="O2406" s="0" t="n">
        <v>93.77</v>
      </c>
      <c r="P2406" s="0" t="s">
        <v>2444</v>
      </c>
    </row>
    <row r="2407" customFormat="false" ht="15" hidden="false" customHeight="true" outlineLevel="0" collapsed="false">
      <c r="A2407" s="0" t="n">
        <v>2</v>
      </c>
      <c r="B2407" s="71" t="n">
        <v>46202</v>
      </c>
      <c r="C2407" s="0" t="n">
        <v>2</v>
      </c>
      <c r="D2407" s="0" t="s">
        <v>2533</v>
      </c>
      <c r="E2407" s="0" t="n">
        <v>48</v>
      </c>
      <c r="F2407" s="0" t="s">
        <v>153</v>
      </c>
      <c r="I2407" s="0" t="n">
        <v>29626</v>
      </c>
      <c r="J2407" s="0" t="n">
        <v>42564</v>
      </c>
      <c r="K2407" s="0" t="n">
        <v>574</v>
      </c>
      <c r="L2407" s="0" t="s">
        <v>2534</v>
      </c>
      <c r="N2407" s="0" t="n">
        <v>15</v>
      </c>
      <c r="O2407" s="0" t="n">
        <v>210</v>
      </c>
      <c r="P2407" s="0" t="s">
        <v>2444</v>
      </c>
    </row>
    <row r="2408" customFormat="false" ht="15" hidden="false" customHeight="true" outlineLevel="0" collapsed="false">
      <c r="A2408" s="0" t="n">
        <v>2</v>
      </c>
      <c r="B2408" s="71" t="n">
        <v>46202</v>
      </c>
      <c r="C2408" s="0" t="n">
        <v>6</v>
      </c>
      <c r="D2408" s="0" t="s">
        <v>2553</v>
      </c>
      <c r="E2408" s="0" t="n">
        <v>48</v>
      </c>
      <c r="F2408" s="0" t="s">
        <v>153</v>
      </c>
      <c r="I2408" s="0" t="n">
        <v>2516</v>
      </c>
      <c r="J2408" s="0" t="n">
        <v>42564</v>
      </c>
      <c r="K2408" s="0" t="n">
        <v>574</v>
      </c>
      <c r="L2408" s="0" t="s">
        <v>2534</v>
      </c>
      <c r="N2408" s="0" t="n">
        <v>15</v>
      </c>
      <c r="O2408" s="0" t="n">
        <v>210</v>
      </c>
      <c r="P2408" s="0" t="s">
        <v>2444</v>
      </c>
    </row>
    <row r="2409" customFormat="false" ht="15" hidden="false" customHeight="true" outlineLevel="0" collapsed="false">
      <c r="A2409" s="0" t="n">
        <v>2</v>
      </c>
      <c r="B2409" s="71" t="n">
        <v>46202</v>
      </c>
      <c r="C2409" s="0" t="n">
        <v>11</v>
      </c>
      <c r="D2409" s="0" t="s">
        <v>2471</v>
      </c>
      <c r="E2409" s="0" t="n">
        <v>1815</v>
      </c>
      <c r="F2409" s="0" t="s">
        <v>172</v>
      </c>
      <c r="I2409" s="0" t="n">
        <v>389368</v>
      </c>
      <c r="J2409" s="0" t="n">
        <v>100052</v>
      </c>
      <c r="K2409" s="0" t="n">
        <v>53</v>
      </c>
      <c r="L2409" s="0" t="s">
        <v>2967</v>
      </c>
      <c r="N2409" s="0" t="n">
        <v>24</v>
      </c>
      <c r="O2409" s="0" t="n">
        <v>743.76</v>
      </c>
      <c r="P2409" s="0" t="s">
        <v>2444</v>
      </c>
    </row>
    <row r="2410" customFormat="false" ht="15" hidden="false" customHeight="true" outlineLevel="0" collapsed="false">
      <c r="A2410" s="0" t="n">
        <v>2</v>
      </c>
      <c r="B2410" s="71" t="n">
        <v>46202</v>
      </c>
      <c r="C2410" s="0" t="n">
        <v>22</v>
      </c>
      <c r="D2410" s="0" t="s">
        <v>2479</v>
      </c>
      <c r="E2410" s="0" t="n">
        <v>48</v>
      </c>
      <c r="F2410" s="0" t="s">
        <v>153</v>
      </c>
      <c r="I2410" s="0" t="n">
        <v>2515</v>
      </c>
      <c r="J2410" s="0" t="n">
        <v>100000</v>
      </c>
      <c r="K2410" s="0" t="n">
        <v>1</v>
      </c>
      <c r="L2410" s="0" t="s">
        <v>2480</v>
      </c>
      <c r="N2410" s="0" t="n">
        <v>3.46</v>
      </c>
      <c r="O2410" s="0" t="n">
        <v>70.33</v>
      </c>
      <c r="P2410" s="0" t="s">
        <v>2444</v>
      </c>
    </row>
    <row r="2411" customFormat="false" ht="15" hidden="false" customHeight="true" outlineLevel="0" collapsed="false">
      <c r="A2411" s="0" t="n">
        <v>2</v>
      </c>
      <c r="B2411" s="71" t="n">
        <v>46202</v>
      </c>
      <c r="C2411" s="0" t="n">
        <v>22</v>
      </c>
      <c r="D2411" s="0" t="s">
        <v>2479</v>
      </c>
      <c r="E2411" s="0" t="n">
        <v>48</v>
      </c>
      <c r="F2411" s="0" t="s">
        <v>153</v>
      </c>
      <c r="I2411" s="0" t="n">
        <v>2515</v>
      </c>
      <c r="J2411" s="0" t="n">
        <v>100006</v>
      </c>
      <c r="K2411" s="0" t="n">
        <v>7</v>
      </c>
      <c r="L2411" s="0" t="s">
        <v>2485</v>
      </c>
      <c r="N2411" s="0" t="n">
        <v>2.408</v>
      </c>
      <c r="O2411" s="0" t="n">
        <v>69.35</v>
      </c>
      <c r="P2411" s="0" t="s">
        <v>2444</v>
      </c>
    </row>
    <row r="2412" customFormat="false" ht="15" hidden="false" customHeight="true" outlineLevel="0" collapsed="false">
      <c r="A2412" s="0" t="n">
        <v>2</v>
      </c>
      <c r="B2412" s="71" t="n">
        <v>46202</v>
      </c>
      <c r="C2412" s="0" t="n">
        <v>22</v>
      </c>
      <c r="D2412" s="0" t="s">
        <v>2479</v>
      </c>
      <c r="E2412" s="0" t="n">
        <v>48</v>
      </c>
      <c r="F2412" s="0" t="s">
        <v>153</v>
      </c>
      <c r="I2412" s="0" t="n">
        <v>2515</v>
      </c>
      <c r="J2412" s="0" t="n">
        <v>100007</v>
      </c>
      <c r="K2412" s="0" t="n">
        <v>8</v>
      </c>
      <c r="L2412" s="0" t="s">
        <v>2486</v>
      </c>
      <c r="N2412" s="0" t="n">
        <v>3.14</v>
      </c>
      <c r="O2412" s="0" t="n">
        <v>79.79</v>
      </c>
      <c r="P2412" s="0" t="s">
        <v>2444</v>
      </c>
    </row>
    <row r="2413" customFormat="false" ht="15" hidden="false" customHeight="true" outlineLevel="0" collapsed="false">
      <c r="A2413" s="0" t="n">
        <v>2</v>
      </c>
      <c r="B2413" s="71" t="n">
        <v>46202</v>
      </c>
      <c r="C2413" s="0" t="n">
        <v>22</v>
      </c>
      <c r="D2413" s="0" t="s">
        <v>2479</v>
      </c>
      <c r="E2413" s="0" t="n">
        <v>48</v>
      </c>
      <c r="F2413" s="0" t="s">
        <v>153</v>
      </c>
      <c r="I2413" s="0" t="n">
        <v>2515</v>
      </c>
      <c r="J2413" s="0" t="n">
        <v>100008</v>
      </c>
      <c r="K2413" s="0" t="n">
        <v>9</v>
      </c>
      <c r="L2413" s="0" t="s">
        <v>2487</v>
      </c>
      <c r="N2413" s="0" t="n">
        <v>15.25</v>
      </c>
      <c r="O2413" s="0" t="n">
        <v>503.78</v>
      </c>
      <c r="P2413" s="0" t="s">
        <v>2444</v>
      </c>
    </row>
    <row r="2414" customFormat="false" ht="15" hidden="false" customHeight="true" outlineLevel="0" collapsed="false">
      <c r="A2414" s="0" t="n">
        <v>2</v>
      </c>
      <c r="B2414" s="71" t="n">
        <v>46202</v>
      </c>
      <c r="C2414" s="0" t="n">
        <v>22</v>
      </c>
      <c r="D2414" s="0" t="s">
        <v>2479</v>
      </c>
      <c r="E2414" s="0" t="n">
        <v>48</v>
      </c>
      <c r="F2414" s="0" t="s">
        <v>153</v>
      </c>
      <c r="I2414" s="0" t="n">
        <v>2515</v>
      </c>
      <c r="J2414" s="0" t="n">
        <v>100011</v>
      </c>
      <c r="K2414" s="0" t="n">
        <v>12</v>
      </c>
      <c r="L2414" s="0" t="s">
        <v>2488</v>
      </c>
      <c r="N2414" s="0" t="n">
        <v>11.065</v>
      </c>
      <c r="O2414" s="0" t="n">
        <v>412.41</v>
      </c>
      <c r="P2414" s="0" t="s">
        <v>2444</v>
      </c>
    </row>
    <row r="2415" customFormat="false" ht="15" hidden="false" customHeight="true" outlineLevel="0" collapsed="false">
      <c r="A2415" s="0" t="n">
        <v>2</v>
      </c>
      <c r="B2415" s="71" t="n">
        <v>46202</v>
      </c>
      <c r="C2415" s="0" t="n">
        <v>22</v>
      </c>
      <c r="D2415" s="0" t="s">
        <v>2479</v>
      </c>
      <c r="E2415" s="0" t="n">
        <v>48</v>
      </c>
      <c r="F2415" s="0" t="s">
        <v>153</v>
      </c>
      <c r="I2415" s="0" t="n">
        <v>2515</v>
      </c>
      <c r="J2415" s="0" t="n">
        <v>100012</v>
      </c>
      <c r="K2415" s="0" t="n">
        <v>13</v>
      </c>
      <c r="L2415" s="0" t="s">
        <v>2489</v>
      </c>
      <c r="N2415" s="0" t="n">
        <v>6.64</v>
      </c>
      <c r="O2415" s="0" t="n">
        <v>281.24</v>
      </c>
      <c r="P2415" s="0" t="s">
        <v>2444</v>
      </c>
    </row>
    <row r="2416" customFormat="false" ht="15" hidden="false" customHeight="true" outlineLevel="0" collapsed="false">
      <c r="A2416" s="0" t="n">
        <v>2</v>
      </c>
      <c r="B2416" s="71" t="n">
        <v>46202</v>
      </c>
      <c r="C2416" s="0" t="n">
        <v>22</v>
      </c>
      <c r="D2416" s="0" t="s">
        <v>2479</v>
      </c>
      <c r="E2416" s="0" t="n">
        <v>48</v>
      </c>
      <c r="F2416" s="0" t="s">
        <v>153</v>
      </c>
      <c r="I2416" s="0" t="n">
        <v>2515</v>
      </c>
      <c r="J2416" s="0" t="n">
        <v>100013</v>
      </c>
      <c r="K2416" s="0" t="n">
        <v>14</v>
      </c>
      <c r="L2416" s="0" t="s">
        <v>2490</v>
      </c>
      <c r="N2416" s="0" t="n">
        <v>11.77</v>
      </c>
      <c r="O2416" s="0" t="n">
        <v>528.43</v>
      </c>
      <c r="P2416" s="0" t="s">
        <v>2444</v>
      </c>
    </row>
    <row r="2417" customFormat="false" ht="15" hidden="false" customHeight="true" outlineLevel="0" collapsed="false">
      <c r="A2417" s="0" t="n">
        <v>2</v>
      </c>
      <c r="B2417" s="71" t="n">
        <v>46202</v>
      </c>
      <c r="C2417" s="0" t="n">
        <v>22</v>
      </c>
      <c r="D2417" s="0" t="s">
        <v>2479</v>
      </c>
      <c r="E2417" s="0" t="n">
        <v>48</v>
      </c>
      <c r="F2417" s="0" t="s">
        <v>153</v>
      </c>
      <c r="I2417" s="0" t="n">
        <v>2515</v>
      </c>
      <c r="J2417" s="0" t="n">
        <v>100014</v>
      </c>
      <c r="K2417" s="0" t="n">
        <v>15</v>
      </c>
      <c r="L2417" s="0" t="s">
        <v>2491</v>
      </c>
      <c r="N2417" s="0" t="n">
        <v>4.778</v>
      </c>
      <c r="O2417" s="0" t="n">
        <v>218.56</v>
      </c>
      <c r="P2417" s="0" t="s">
        <v>2444</v>
      </c>
    </row>
    <row r="2418" customFormat="false" ht="15" hidden="false" customHeight="true" outlineLevel="0" collapsed="false">
      <c r="A2418" s="0" t="n">
        <v>2</v>
      </c>
      <c r="B2418" s="71" t="n">
        <v>46202</v>
      </c>
      <c r="C2418" s="0" t="n">
        <v>22</v>
      </c>
      <c r="D2418" s="0" t="s">
        <v>2479</v>
      </c>
      <c r="E2418" s="0" t="n">
        <v>48</v>
      </c>
      <c r="F2418" s="0" t="s">
        <v>153</v>
      </c>
      <c r="I2418" s="0" t="n">
        <v>2515</v>
      </c>
      <c r="J2418" s="0" t="n">
        <v>100015</v>
      </c>
      <c r="K2418" s="0" t="n">
        <v>16</v>
      </c>
      <c r="L2418" s="0" t="s">
        <v>2492</v>
      </c>
      <c r="N2418" s="0" t="n">
        <v>2.064</v>
      </c>
      <c r="O2418" s="0" t="n">
        <v>83.92</v>
      </c>
      <c r="P2418" s="0" t="s">
        <v>2444</v>
      </c>
    </row>
    <row r="2419" customFormat="false" ht="15" hidden="false" customHeight="true" outlineLevel="0" collapsed="false">
      <c r="A2419" s="0" t="n">
        <v>2</v>
      </c>
      <c r="B2419" s="71" t="n">
        <v>46202</v>
      </c>
      <c r="C2419" s="0" t="n">
        <v>22</v>
      </c>
      <c r="D2419" s="0" t="s">
        <v>2479</v>
      </c>
      <c r="E2419" s="0" t="n">
        <v>48</v>
      </c>
      <c r="F2419" s="0" t="s">
        <v>153</v>
      </c>
      <c r="I2419" s="0" t="n">
        <v>2515</v>
      </c>
      <c r="J2419" s="0" t="n">
        <v>100016</v>
      </c>
      <c r="K2419" s="0" t="n">
        <v>17</v>
      </c>
      <c r="L2419" s="0" t="s">
        <v>2493</v>
      </c>
      <c r="N2419" s="0" t="n">
        <v>2.186</v>
      </c>
      <c r="O2419" s="0" t="n">
        <v>129.63</v>
      </c>
      <c r="P2419" s="0" t="s">
        <v>2444</v>
      </c>
    </row>
    <row r="2420" customFormat="false" ht="15" hidden="false" customHeight="true" outlineLevel="0" collapsed="false">
      <c r="A2420" s="0" t="n">
        <v>2</v>
      </c>
      <c r="B2420" s="71" t="n">
        <v>46202</v>
      </c>
      <c r="C2420" s="0" t="n">
        <v>22</v>
      </c>
      <c r="D2420" s="0" t="s">
        <v>2479</v>
      </c>
      <c r="E2420" s="0" t="n">
        <v>48</v>
      </c>
      <c r="F2420" s="0" t="s">
        <v>153</v>
      </c>
      <c r="I2420" s="0" t="n">
        <v>2515</v>
      </c>
      <c r="J2420" s="0" t="n">
        <v>100017</v>
      </c>
      <c r="K2420" s="0" t="n">
        <v>18</v>
      </c>
      <c r="L2420" s="0" t="s">
        <v>2494</v>
      </c>
      <c r="N2420" s="0" t="n">
        <v>1.616</v>
      </c>
      <c r="O2420" s="0" t="n">
        <v>95.83</v>
      </c>
      <c r="P2420" s="0" t="s">
        <v>2444</v>
      </c>
    </row>
    <row r="2421" customFormat="false" ht="15" hidden="false" customHeight="true" outlineLevel="0" collapsed="false">
      <c r="A2421" s="0" t="n">
        <v>2</v>
      </c>
      <c r="B2421" s="71" t="n">
        <v>46202</v>
      </c>
      <c r="C2421" s="0" t="n">
        <v>22</v>
      </c>
      <c r="D2421" s="0" t="s">
        <v>2479</v>
      </c>
      <c r="E2421" s="0" t="n">
        <v>48</v>
      </c>
      <c r="F2421" s="0" t="s">
        <v>153</v>
      </c>
      <c r="I2421" s="0" t="n">
        <v>2515</v>
      </c>
      <c r="J2421" s="0" t="n">
        <v>100019</v>
      </c>
      <c r="K2421" s="0" t="n">
        <v>20</v>
      </c>
      <c r="L2421" s="0" t="s">
        <v>3779</v>
      </c>
      <c r="N2421" s="0" t="n">
        <v>0.584</v>
      </c>
      <c r="O2421" s="0" t="n">
        <v>20.78</v>
      </c>
      <c r="P2421" s="0" t="s">
        <v>2444</v>
      </c>
    </row>
    <row r="2422" customFormat="false" ht="15" hidden="false" customHeight="true" outlineLevel="0" collapsed="false">
      <c r="A2422" s="0" t="n">
        <v>2</v>
      </c>
      <c r="B2422" s="71" t="n">
        <v>46202</v>
      </c>
      <c r="C2422" s="0" t="n">
        <v>22</v>
      </c>
      <c r="D2422" s="0" t="s">
        <v>2479</v>
      </c>
      <c r="E2422" s="0" t="n">
        <v>48</v>
      </c>
      <c r="F2422" s="0" t="s">
        <v>153</v>
      </c>
      <c r="I2422" s="0" t="n">
        <v>2515</v>
      </c>
      <c r="J2422" s="0" t="n">
        <v>100053</v>
      </c>
      <c r="K2422" s="0" t="n">
        <v>54</v>
      </c>
      <c r="L2422" s="0" t="s">
        <v>2495</v>
      </c>
      <c r="N2422" s="0" t="n">
        <v>1.646</v>
      </c>
      <c r="O2422" s="0" t="n">
        <v>61.35</v>
      </c>
      <c r="P2422" s="0" t="s">
        <v>2444</v>
      </c>
    </row>
    <row r="2423" customFormat="false" ht="15" hidden="false" customHeight="true" outlineLevel="0" collapsed="false">
      <c r="A2423" s="0" t="n">
        <v>2</v>
      </c>
      <c r="B2423" s="71" t="n">
        <v>46202</v>
      </c>
      <c r="C2423" s="0" t="n">
        <v>22</v>
      </c>
      <c r="D2423" s="0" t="s">
        <v>2479</v>
      </c>
      <c r="E2423" s="0" t="n">
        <v>48</v>
      </c>
      <c r="F2423" s="0" t="s">
        <v>153</v>
      </c>
      <c r="I2423" s="0" t="n">
        <v>2515</v>
      </c>
      <c r="J2423" s="0" t="n">
        <v>100638</v>
      </c>
      <c r="K2423" s="0" t="n">
        <v>508</v>
      </c>
      <c r="L2423" s="0" t="s">
        <v>2496</v>
      </c>
      <c r="N2423" s="0" t="n">
        <v>1.5</v>
      </c>
      <c r="O2423" s="0" t="n">
        <v>3.8</v>
      </c>
      <c r="P2423" s="0" t="s">
        <v>2444</v>
      </c>
    </row>
    <row r="2424" customFormat="false" ht="15" hidden="false" customHeight="true" outlineLevel="0" collapsed="false">
      <c r="A2424" s="0" t="n">
        <v>2</v>
      </c>
      <c r="B2424" s="71" t="n">
        <v>46202</v>
      </c>
      <c r="C2424" s="0" t="n">
        <v>22</v>
      </c>
      <c r="D2424" s="0" t="s">
        <v>2479</v>
      </c>
      <c r="E2424" s="0" t="n">
        <v>48</v>
      </c>
      <c r="F2424" s="0" t="s">
        <v>153</v>
      </c>
      <c r="I2424" s="0" t="n">
        <v>2515</v>
      </c>
      <c r="J2424" s="0" t="n">
        <v>110137</v>
      </c>
      <c r="K2424" s="0" t="n">
        <v>13899</v>
      </c>
      <c r="L2424" s="0" t="s">
        <v>3780</v>
      </c>
      <c r="N2424" s="0" t="n">
        <v>11.19</v>
      </c>
      <c r="O2424" s="0" t="n">
        <v>47.31</v>
      </c>
      <c r="P2424" s="0" t="s">
        <v>2444</v>
      </c>
    </row>
    <row r="2425" customFormat="false" ht="15" hidden="false" customHeight="true" outlineLevel="0" collapsed="false">
      <c r="A2425" s="0" t="n">
        <v>2</v>
      </c>
      <c r="B2425" s="71" t="n">
        <v>46202</v>
      </c>
      <c r="C2425" s="0" t="n">
        <v>22</v>
      </c>
      <c r="D2425" s="0" t="s">
        <v>2479</v>
      </c>
      <c r="E2425" s="0" t="n">
        <v>48</v>
      </c>
      <c r="F2425" s="0" t="s">
        <v>153</v>
      </c>
      <c r="I2425" s="0" t="n">
        <v>2515</v>
      </c>
      <c r="J2425" s="0" t="n">
        <v>110455</v>
      </c>
      <c r="K2425" s="0" t="n">
        <v>53212</v>
      </c>
      <c r="L2425" s="0" t="s">
        <v>2498</v>
      </c>
      <c r="N2425" s="0" t="n">
        <v>0.903</v>
      </c>
      <c r="O2425" s="0" t="n">
        <v>0</v>
      </c>
      <c r="P2425" s="0" t="s">
        <v>2444</v>
      </c>
    </row>
    <row r="2426" customFormat="false" ht="15" hidden="false" customHeight="true" outlineLevel="0" collapsed="false">
      <c r="A2426" s="0" t="n">
        <v>2</v>
      </c>
      <c r="B2426" s="71" t="n">
        <v>46202</v>
      </c>
      <c r="C2426" s="0" t="n">
        <v>100</v>
      </c>
      <c r="D2426" s="0" t="s">
        <v>2499</v>
      </c>
      <c r="E2426" s="0" t="n">
        <v>48</v>
      </c>
      <c r="F2426" s="0" t="s">
        <v>153</v>
      </c>
      <c r="I2426" s="0" t="n">
        <v>1322013</v>
      </c>
      <c r="J2426" s="0" t="n">
        <v>100000</v>
      </c>
      <c r="K2426" s="0" t="n">
        <v>1</v>
      </c>
      <c r="L2426" s="0" t="s">
        <v>2480</v>
      </c>
      <c r="N2426" s="0" t="n">
        <v>3.46</v>
      </c>
      <c r="O2426" s="0" t="n">
        <v>70.33</v>
      </c>
      <c r="P2426" s="0" t="s">
        <v>2444</v>
      </c>
    </row>
    <row r="2427" customFormat="false" ht="15" hidden="false" customHeight="true" outlineLevel="0" collapsed="false">
      <c r="A2427" s="0" t="n">
        <v>2</v>
      </c>
      <c r="B2427" s="71" t="n">
        <v>46202</v>
      </c>
      <c r="C2427" s="0" t="n">
        <v>100</v>
      </c>
      <c r="D2427" s="0" t="s">
        <v>2499</v>
      </c>
      <c r="E2427" s="0" t="n">
        <v>48</v>
      </c>
      <c r="F2427" s="0" t="s">
        <v>153</v>
      </c>
      <c r="I2427" s="0" t="n">
        <v>1322013</v>
      </c>
      <c r="J2427" s="0" t="n">
        <v>100006</v>
      </c>
      <c r="K2427" s="0" t="n">
        <v>7</v>
      </c>
      <c r="L2427" s="0" t="s">
        <v>2485</v>
      </c>
      <c r="N2427" s="0" t="n">
        <v>2.408</v>
      </c>
      <c r="O2427" s="0" t="n">
        <v>69.35</v>
      </c>
      <c r="P2427" s="0" t="s">
        <v>2444</v>
      </c>
    </row>
    <row r="2428" customFormat="false" ht="15" hidden="false" customHeight="true" outlineLevel="0" collapsed="false">
      <c r="A2428" s="0" t="n">
        <v>2</v>
      </c>
      <c r="B2428" s="71" t="n">
        <v>46202</v>
      </c>
      <c r="C2428" s="0" t="n">
        <v>100</v>
      </c>
      <c r="D2428" s="0" t="s">
        <v>2499</v>
      </c>
      <c r="E2428" s="0" t="n">
        <v>48</v>
      </c>
      <c r="F2428" s="0" t="s">
        <v>153</v>
      </c>
      <c r="I2428" s="0" t="n">
        <v>1322013</v>
      </c>
      <c r="J2428" s="0" t="n">
        <v>100007</v>
      </c>
      <c r="K2428" s="0" t="n">
        <v>8</v>
      </c>
      <c r="L2428" s="0" t="s">
        <v>2486</v>
      </c>
      <c r="N2428" s="0" t="n">
        <v>3.14</v>
      </c>
      <c r="O2428" s="0" t="n">
        <v>79.79</v>
      </c>
      <c r="P2428" s="0" t="s">
        <v>2444</v>
      </c>
    </row>
    <row r="2429" customFormat="false" ht="15" hidden="false" customHeight="true" outlineLevel="0" collapsed="false">
      <c r="A2429" s="0" t="n">
        <v>2</v>
      </c>
      <c r="B2429" s="71" t="n">
        <v>46202</v>
      </c>
      <c r="C2429" s="0" t="n">
        <v>100</v>
      </c>
      <c r="D2429" s="0" t="s">
        <v>2499</v>
      </c>
      <c r="E2429" s="0" t="n">
        <v>48</v>
      </c>
      <c r="F2429" s="0" t="s">
        <v>153</v>
      </c>
      <c r="I2429" s="0" t="n">
        <v>1322013</v>
      </c>
      <c r="J2429" s="0" t="n">
        <v>100008</v>
      </c>
      <c r="K2429" s="0" t="n">
        <v>9</v>
      </c>
      <c r="L2429" s="0" t="s">
        <v>2487</v>
      </c>
      <c r="N2429" s="0" t="n">
        <v>15.25</v>
      </c>
      <c r="O2429" s="0" t="n">
        <v>503.78</v>
      </c>
      <c r="P2429" s="0" t="s">
        <v>2444</v>
      </c>
    </row>
    <row r="2430" customFormat="false" ht="15" hidden="false" customHeight="true" outlineLevel="0" collapsed="false">
      <c r="A2430" s="0" t="n">
        <v>2</v>
      </c>
      <c r="B2430" s="71" t="n">
        <v>46202</v>
      </c>
      <c r="C2430" s="0" t="n">
        <v>100</v>
      </c>
      <c r="D2430" s="0" t="s">
        <v>2499</v>
      </c>
      <c r="E2430" s="0" t="n">
        <v>48</v>
      </c>
      <c r="F2430" s="0" t="s">
        <v>153</v>
      </c>
      <c r="I2430" s="0" t="n">
        <v>1322013</v>
      </c>
      <c r="J2430" s="0" t="n">
        <v>100011</v>
      </c>
      <c r="K2430" s="0" t="n">
        <v>12</v>
      </c>
      <c r="L2430" s="0" t="s">
        <v>2488</v>
      </c>
      <c r="N2430" s="0" t="n">
        <v>11.065</v>
      </c>
      <c r="O2430" s="0" t="n">
        <v>412.41</v>
      </c>
      <c r="P2430" s="0" t="s">
        <v>2444</v>
      </c>
    </row>
    <row r="2431" customFormat="false" ht="15" hidden="false" customHeight="true" outlineLevel="0" collapsed="false">
      <c r="A2431" s="0" t="n">
        <v>2</v>
      </c>
      <c r="B2431" s="71" t="n">
        <v>46202</v>
      </c>
      <c r="C2431" s="0" t="n">
        <v>100</v>
      </c>
      <c r="D2431" s="0" t="s">
        <v>2499</v>
      </c>
      <c r="E2431" s="0" t="n">
        <v>48</v>
      </c>
      <c r="F2431" s="0" t="s">
        <v>153</v>
      </c>
      <c r="I2431" s="0" t="n">
        <v>1322013</v>
      </c>
      <c r="J2431" s="0" t="n">
        <v>100012</v>
      </c>
      <c r="K2431" s="0" t="n">
        <v>13</v>
      </c>
      <c r="L2431" s="0" t="s">
        <v>2489</v>
      </c>
      <c r="N2431" s="0" t="n">
        <v>6.64</v>
      </c>
      <c r="O2431" s="0" t="n">
        <v>281.24</v>
      </c>
      <c r="P2431" s="0" t="s">
        <v>2444</v>
      </c>
    </row>
    <row r="2432" customFormat="false" ht="15" hidden="false" customHeight="true" outlineLevel="0" collapsed="false">
      <c r="A2432" s="0" t="n">
        <v>2</v>
      </c>
      <c r="B2432" s="71" t="n">
        <v>46202</v>
      </c>
      <c r="C2432" s="0" t="n">
        <v>100</v>
      </c>
      <c r="D2432" s="0" t="s">
        <v>2499</v>
      </c>
      <c r="E2432" s="0" t="n">
        <v>48</v>
      </c>
      <c r="F2432" s="0" t="s">
        <v>153</v>
      </c>
      <c r="I2432" s="0" t="n">
        <v>1322013</v>
      </c>
      <c r="J2432" s="0" t="n">
        <v>100013</v>
      </c>
      <c r="K2432" s="0" t="n">
        <v>14</v>
      </c>
      <c r="L2432" s="0" t="s">
        <v>2490</v>
      </c>
      <c r="N2432" s="0" t="n">
        <v>11.77</v>
      </c>
      <c r="O2432" s="0" t="n">
        <v>528.43</v>
      </c>
      <c r="P2432" s="0" t="s">
        <v>2444</v>
      </c>
    </row>
    <row r="2433" customFormat="false" ht="15" hidden="false" customHeight="true" outlineLevel="0" collapsed="false">
      <c r="A2433" s="0" t="n">
        <v>2</v>
      </c>
      <c r="B2433" s="71" t="n">
        <v>46202</v>
      </c>
      <c r="C2433" s="0" t="n">
        <v>100</v>
      </c>
      <c r="D2433" s="0" t="s">
        <v>2499</v>
      </c>
      <c r="E2433" s="0" t="n">
        <v>48</v>
      </c>
      <c r="F2433" s="0" t="s">
        <v>153</v>
      </c>
      <c r="I2433" s="0" t="n">
        <v>1322013</v>
      </c>
      <c r="J2433" s="0" t="n">
        <v>100014</v>
      </c>
      <c r="K2433" s="0" t="n">
        <v>15</v>
      </c>
      <c r="L2433" s="0" t="s">
        <v>2491</v>
      </c>
      <c r="N2433" s="0" t="n">
        <v>4.778</v>
      </c>
      <c r="O2433" s="0" t="n">
        <v>218.56</v>
      </c>
      <c r="P2433" s="0" t="s">
        <v>2444</v>
      </c>
    </row>
    <row r="2434" customFormat="false" ht="15" hidden="false" customHeight="true" outlineLevel="0" collapsed="false">
      <c r="A2434" s="0" t="n">
        <v>2</v>
      </c>
      <c r="B2434" s="71" t="n">
        <v>46202</v>
      </c>
      <c r="C2434" s="0" t="n">
        <v>100</v>
      </c>
      <c r="D2434" s="0" t="s">
        <v>2499</v>
      </c>
      <c r="E2434" s="0" t="n">
        <v>48</v>
      </c>
      <c r="F2434" s="0" t="s">
        <v>153</v>
      </c>
      <c r="I2434" s="0" t="n">
        <v>1322013</v>
      </c>
      <c r="J2434" s="0" t="n">
        <v>100015</v>
      </c>
      <c r="K2434" s="0" t="n">
        <v>16</v>
      </c>
      <c r="L2434" s="0" t="s">
        <v>2492</v>
      </c>
      <c r="N2434" s="0" t="n">
        <v>2.064</v>
      </c>
      <c r="O2434" s="0" t="n">
        <v>83.92</v>
      </c>
      <c r="P2434" s="0" t="s">
        <v>2444</v>
      </c>
    </row>
    <row r="2435" customFormat="false" ht="15" hidden="false" customHeight="true" outlineLevel="0" collapsed="false">
      <c r="A2435" s="0" t="n">
        <v>2</v>
      </c>
      <c r="B2435" s="71" t="n">
        <v>46202</v>
      </c>
      <c r="C2435" s="0" t="n">
        <v>100</v>
      </c>
      <c r="D2435" s="0" t="s">
        <v>2499</v>
      </c>
      <c r="E2435" s="0" t="n">
        <v>48</v>
      </c>
      <c r="F2435" s="0" t="s">
        <v>153</v>
      </c>
      <c r="I2435" s="0" t="n">
        <v>1322013</v>
      </c>
      <c r="J2435" s="0" t="n">
        <v>100016</v>
      </c>
      <c r="K2435" s="0" t="n">
        <v>17</v>
      </c>
      <c r="L2435" s="0" t="s">
        <v>2493</v>
      </c>
      <c r="N2435" s="0" t="n">
        <v>2.186</v>
      </c>
      <c r="O2435" s="0" t="n">
        <v>129.63</v>
      </c>
      <c r="P2435" s="0" t="s">
        <v>2444</v>
      </c>
    </row>
    <row r="2436" customFormat="false" ht="15" hidden="false" customHeight="true" outlineLevel="0" collapsed="false">
      <c r="A2436" s="0" t="n">
        <v>2</v>
      </c>
      <c r="B2436" s="71" t="n">
        <v>46202</v>
      </c>
      <c r="C2436" s="0" t="n">
        <v>100</v>
      </c>
      <c r="D2436" s="0" t="s">
        <v>2499</v>
      </c>
      <c r="E2436" s="0" t="n">
        <v>48</v>
      </c>
      <c r="F2436" s="0" t="s">
        <v>153</v>
      </c>
      <c r="I2436" s="0" t="n">
        <v>1322013</v>
      </c>
      <c r="J2436" s="0" t="n">
        <v>100017</v>
      </c>
      <c r="K2436" s="0" t="n">
        <v>18</v>
      </c>
      <c r="L2436" s="0" t="s">
        <v>2494</v>
      </c>
      <c r="N2436" s="0" t="n">
        <v>1.616</v>
      </c>
      <c r="O2436" s="0" t="n">
        <v>95.83</v>
      </c>
      <c r="P2436" s="0" t="s">
        <v>2444</v>
      </c>
    </row>
    <row r="2437" customFormat="false" ht="15" hidden="false" customHeight="true" outlineLevel="0" collapsed="false">
      <c r="A2437" s="0" t="n">
        <v>2</v>
      </c>
      <c r="B2437" s="71" t="n">
        <v>46202</v>
      </c>
      <c r="C2437" s="0" t="n">
        <v>100</v>
      </c>
      <c r="D2437" s="0" t="s">
        <v>2499</v>
      </c>
      <c r="E2437" s="0" t="n">
        <v>48</v>
      </c>
      <c r="F2437" s="0" t="s">
        <v>153</v>
      </c>
      <c r="I2437" s="0" t="n">
        <v>1322013</v>
      </c>
      <c r="J2437" s="0" t="n">
        <v>100019</v>
      </c>
      <c r="K2437" s="0" t="n">
        <v>20</v>
      </c>
      <c r="L2437" s="0" t="s">
        <v>3779</v>
      </c>
      <c r="N2437" s="0" t="n">
        <v>0.584</v>
      </c>
      <c r="O2437" s="0" t="n">
        <v>20.78</v>
      </c>
      <c r="P2437" s="0" t="s">
        <v>2444</v>
      </c>
    </row>
    <row r="2438" customFormat="false" ht="15" hidden="false" customHeight="true" outlineLevel="0" collapsed="false">
      <c r="A2438" s="0" t="n">
        <v>2</v>
      </c>
      <c r="B2438" s="71" t="n">
        <v>46202</v>
      </c>
      <c r="C2438" s="0" t="n">
        <v>100</v>
      </c>
      <c r="D2438" s="0" t="s">
        <v>2499</v>
      </c>
      <c r="E2438" s="0" t="n">
        <v>48</v>
      </c>
      <c r="F2438" s="0" t="s">
        <v>153</v>
      </c>
      <c r="I2438" s="0" t="n">
        <v>1322013</v>
      </c>
      <c r="J2438" s="0" t="n">
        <v>100053</v>
      </c>
      <c r="K2438" s="0" t="n">
        <v>54</v>
      </c>
      <c r="L2438" s="0" t="s">
        <v>2495</v>
      </c>
      <c r="N2438" s="0" t="n">
        <v>1.646</v>
      </c>
      <c r="O2438" s="0" t="n">
        <v>61.35</v>
      </c>
      <c r="P2438" s="0" t="s">
        <v>2444</v>
      </c>
    </row>
    <row r="2439" customFormat="false" ht="15" hidden="false" customHeight="true" outlineLevel="0" collapsed="false">
      <c r="A2439" s="0" t="n">
        <v>2</v>
      </c>
      <c r="B2439" s="71" t="n">
        <v>46202</v>
      </c>
      <c r="C2439" s="0" t="n">
        <v>100</v>
      </c>
      <c r="D2439" s="0" t="s">
        <v>2499</v>
      </c>
      <c r="E2439" s="0" t="n">
        <v>48</v>
      </c>
      <c r="F2439" s="0" t="s">
        <v>153</v>
      </c>
      <c r="I2439" s="0" t="n">
        <v>1322013</v>
      </c>
      <c r="J2439" s="0" t="n">
        <v>100638</v>
      </c>
      <c r="K2439" s="0" t="n">
        <v>508</v>
      </c>
      <c r="L2439" s="0" t="s">
        <v>2496</v>
      </c>
      <c r="N2439" s="0" t="n">
        <v>1.5</v>
      </c>
      <c r="O2439" s="0" t="n">
        <v>3.8</v>
      </c>
      <c r="P2439" s="0" t="s">
        <v>2444</v>
      </c>
    </row>
    <row r="2440" customFormat="false" ht="15" hidden="false" customHeight="true" outlineLevel="0" collapsed="false">
      <c r="A2440" s="0" t="n">
        <v>2</v>
      </c>
      <c r="B2440" s="71" t="n">
        <v>46202</v>
      </c>
      <c r="C2440" s="0" t="n">
        <v>100</v>
      </c>
      <c r="D2440" s="0" t="s">
        <v>2499</v>
      </c>
      <c r="E2440" s="0" t="n">
        <v>48</v>
      </c>
      <c r="F2440" s="0" t="s">
        <v>153</v>
      </c>
      <c r="I2440" s="0" t="n">
        <v>1322013</v>
      </c>
      <c r="J2440" s="0" t="n">
        <v>110137</v>
      </c>
      <c r="K2440" s="0" t="n">
        <v>13899</v>
      </c>
      <c r="L2440" s="0" t="s">
        <v>3780</v>
      </c>
      <c r="N2440" s="0" t="n">
        <v>11.19</v>
      </c>
      <c r="O2440" s="0" t="n">
        <v>47.31</v>
      </c>
      <c r="P2440" s="0" t="s">
        <v>2444</v>
      </c>
    </row>
    <row r="2441" customFormat="false" ht="15" hidden="false" customHeight="true" outlineLevel="0" collapsed="false">
      <c r="A2441" s="0" t="n">
        <v>2</v>
      </c>
      <c r="B2441" s="71" t="n">
        <v>46202</v>
      </c>
      <c r="C2441" s="0" t="n">
        <v>100</v>
      </c>
      <c r="D2441" s="0" t="s">
        <v>2499</v>
      </c>
      <c r="E2441" s="0" t="n">
        <v>48</v>
      </c>
      <c r="F2441" s="0" t="s">
        <v>153</v>
      </c>
      <c r="I2441" s="0" t="n">
        <v>1322013</v>
      </c>
      <c r="J2441" s="0" t="n">
        <v>110455</v>
      </c>
      <c r="K2441" s="0" t="n">
        <v>53212</v>
      </c>
      <c r="L2441" s="0" t="s">
        <v>2498</v>
      </c>
      <c r="N2441" s="0" t="n">
        <v>0.903</v>
      </c>
      <c r="O2441" s="0" t="n">
        <v>0</v>
      </c>
      <c r="P2441" s="0" t="s">
        <v>2444</v>
      </c>
    </row>
    <row r="2442" customFormat="false" ht="15" hidden="false" customHeight="true" outlineLevel="0" collapsed="false">
      <c r="A2442" s="0" t="n">
        <v>2</v>
      </c>
      <c r="B2442" s="71" t="n">
        <v>46203</v>
      </c>
      <c r="C2442" s="0" t="n">
        <v>1</v>
      </c>
      <c r="D2442" s="0" t="s">
        <v>2442</v>
      </c>
      <c r="E2442" s="0" t="n">
        <v>642</v>
      </c>
      <c r="F2442" s="0" t="s">
        <v>123</v>
      </c>
      <c r="I2442" s="0" t="n">
        <v>515</v>
      </c>
      <c r="J2442" s="0" t="n">
        <v>71766</v>
      </c>
      <c r="K2442" s="0" t="n">
        <v>779180</v>
      </c>
      <c r="L2442" s="0" t="s">
        <v>2501</v>
      </c>
      <c r="N2442" s="0" t="n">
        <v>15</v>
      </c>
      <c r="O2442" s="0" t="n">
        <v>180</v>
      </c>
      <c r="P2442" s="0" t="s">
        <v>2444</v>
      </c>
    </row>
    <row r="2443" customFormat="false" ht="15" hidden="false" customHeight="true" outlineLevel="0" collapsed="false">
      <c r="A2443" s="0" t="n">
        <v>2</v>
      </c>
      <c r="B2443" s="71" t="n">
        <v>46203</v>
      </c>
      <c r="C2443" s="0" t="n">
        <v>1</v>
      </c>
      <c r="D2443" s="0" t="s">
        <v>2442</v>
      </c>
      <c r="E2443" s="0" t="n">
        <v>1363</v>
      </c>
      <c r="F2443" s="0" t="s">
        <v>174</v>
      </c>
      <c r="I2443" s="0" t="n">
        <v>3453</v>
      </c>
      <c r="J2443" s="0" t="n">
        <v>73511</v>
      </c>
      <c r="K2443" s="0" t="n">
        <v>609963171019</v>
      </c>
      <c r="L2443" s="0" t="s">
        <v>2585</v>
      </c>
      <c r="N2443" s="0" t="n">
        <v>3</v>
      </c>
      <c r="O2443" s="0" t="n">
        <v>18</v>
      </c>
      <c r="P2443" s="0" t="s">
        <v>2444</v>
      </c>
    </row>
    <row r="2444" customFormat="false" ht="15" hidden="false" customHeight="true" outlineLevel="0" collapsed="false">
      <c r="A2444" s="0" t="n">
        <v>2</v>
      </c>
      <c r="B2444" s="71" t="n">
        <v>46203</v>
      </c>
      <c r="C2444" s="0" t="n">
        <v>1</v>
      </c>
      <c r="D2444" s="0" t="s">
        <v>2442</v>
      </c>
      <c r="E2444" s="0" t="n">
        <v>1363</v>
      </c>
      <c r="F2444" s="0" t="s">
        <v>174</v>
      </c>
      <c r="I2444" s="0" t="n">
        <v>3453</v>
      </c>
      <c r="J2444" s="0" t="n">
        <v>65494</v>
      </c>
      <c r="K2444" s="0" t="n">
        <v>618231677535</v>
      </c>
      <c r="L2444" s="0" t="s">
        <v>2587</v>
      </c>
      <c r="N2444" s="0" t="n">
        <v>12</v>
      </c>
      <c r="O2444" s="0" t="n">
        <v>72</v>
      </c>
      <c r="P2444" s="0" t="s">
        <v>2444</v>
      </c>
    </row>
    <row r="2445" customFormat="false" ht="15" hidden="false" customHeight="true" outlineLevel="0" collapsed="false">
      <c r="A2445" s="0" t="n">
        <v>2</v>
      </c>
      <c r="B2445" s="71" t="n">
        <v>46203</v>
      </c>
      <c r="C2445" s="0" t="n">
        <v>1</v>
      </c>
      <c r="D2445" s="0" t="s">
        <v>2442</v>
      </c>
      <c r="E2445" s="0" t="n">
        <v>1363</v>
      </c>
      <c r="F2445" s="0" t="s">
        <v>174</v>
      </c>
      <c r="I2445" s="0" t="n">
        <v>3453</v>
      </c>
      <c r="J2445" s="0" t="n">
        <v>65496</v>
      </c>
      <c r="K2445" s="0" t="n">
        <v>618231677528</v>
      </c>
      <c r="L2445" s="0" t="s">
        <v>2588</v>
      </c>
      <c r="N2445" s="0" t="n">
        <v>3</v>
      </c>
      <c r="O2445" s="0" t="n">
        <v>18</v>
      </c>
      <c r="P2445" s="0" t="s">
        <v>2444</v>
      </c>
    </row>
    <row r="2446" customFormat="false" ht="15" hidden="false" customHeight="true" outlineLevel="0" collapsed="false">
      <c r="A2446" s="0" t="n">
        <v>2</v>
      </c>
      <c r="B2446" s="71" t="n">
        <v>46203</v>
      </c>
      <c r="C2446" s="0" t="n">
        <v>1</v>
      </c>
      <c r="D2446" s="0" t="s">
        <v>2442</v>
      </c>
      <c r="E2446" s="0" t="n">
        <v>1363</v>
      </c>
      <c r="F2446" s="0" t="s">
        <v>174</v>
      </c>
      <c r="I2446" s="0" t="n">
        <v>3453</v>
      </c>
      <c r="J2446" s="0" t="n">
        <v>65621</v>
      </c>
      <c r="K2446" s="0" t="n">
        <v>618231677504</v>
      </c>
      <c r="L2446" s="0" t="s">
        <v>2589</v>
      </c>
      <c r="N2446" s="0" t="n">
        <v>2</v>
      </c>
      <c r="O2446" s="0" t="n">
        <v>14</v>
      </c>
      <c r="P2446" s="0" t="s">
        <v>2444</v>
      </c>
    </row>
    <row r="2447" customFormat="false" ht="15" hidden="false" customHeight="true" outlineLevel="0" collapsed="false">
      <c r="A2447" s="0" t="n">
        <v>2</v>
      </c>
      <c r="B2447" s="71" t="n">
        <v>46203</v>
      </c>
      <c r="C2447" s="0" t="n">
        <v>1</v>
      </c>
      <c r="D2447" s="0" t="s">
        <v>2442</v>
      </c>
      <c r="E2447" s="0" t="n">
        <v>1683</v>
      </c>
      <c r="F2447" s="0" t="s">
        <v>406</v>
      </c>
      <c r="I2447" s="0" t="n">
        <v>1639400</v>
      </c>
      <c r="J2447" s="0" t="n">
        <v>109791</v>
      </c>
      <c r="K2447" s="0" t="n">
        <v>9667</v>
      </c>
      <c r="L2447" s="0" t="s">
        <v>2465</v>
      </c>
      <c r="N2447" s="0" t="n">
        <v>15</v>
      </c>
      <c r="O2447" s="0" t="n">
        <v>22.5</v>
      </c>
      <c r="P2447" s="0" t="s">
        <v>2444</v>
      </c>
    </row>
    <row r="2448" customFormat="false" ht="15" hidden="false" customHeight="true" outlineLevel="0" collapsed="false">
      <c r="A2448" s="0" t="n">
        <v>2</v>
      </c>
      <c r="B2448" s="71" t="n">
        <v>46203</v>
      </c>
      <c r="C2448" s="0" t="n">
        <v>1</v>
      </c>
      <c r="D2448" s="0" t="s">
        <v>2442</v>
      </c>
      <c r="E2448" s="0" t="n">
        <v>1683</v>
      </c>
      <c r="F2448" s="0" t="s">
        <v>406</v>
      </c>
      <c r="I2448" s="0" t="n">
        <v>1639400</v>
      </c>
      <c r="J2448" s="0" t="n">
        <v>37359</v>
      </c>
      <c r="K2448" s="0" t="n">
        <v>55526</v>
      </c>
      <c r="L2448" s="0" t="s">
        <v>2466</v>
      </c>
      <c r="N2448" s="0" t="n">
        <v>5</v>
      </c>
      <c r="O2448" s="0" t="n">
        <v>17.5</v>
      </c>
      <c r="P2448" s="0" t="s">
        <v>2444</v>
      </c>
    </row>
    <row r="2449" customFormat="false" ht="15" hidden="false" customHeight="true" outlineLevel="0" collapsed="false">
      <c r="A2449" s="0" t="n">
        <v>2</v>
      </c>
      <c r="B2449" s="71" t="n">
        <v>46203</v>
      </c>
      <c r="C2449" s="0" t="n">
        <v>1</v>
      </c>
      <c r="D2449" s="0" t="s">
        <v>2442</v>
      </c>
      <c r="E2449" s="0" t="n">
        <v>1683</v>
      </c>
      <c r="F2449" s="0" t="s">
        <v>406</v>
      </c>
      <c r="I2449" s="0" t="n">
        <v>1639400</v>
      </c>
      <c r="J2449" s="0" t="n">
        <v>37361</v>
      </c>
      <c r="K2449" s="0" t="n">
        <v>2240817</v>
      </c>
      <c r="L2449" s="0" t="s">
        <v>2467</v>
      </c>
      <c r="N2449" s="0" t="n">
        <v>50</v>
      </c>
      <c r="O2449" s="0" t="n">
        <v>90</v>
      </c>
      <c r="P2449" s="0" t="s">
        <v>2444</v>
      </c>
    </row>
    <row r="2450" customFormat="false" ht="15" hidden="false" customHeight="true" outlineLevel="0" collapsed="false">
      <c r="A2450" s="0" t="n">
        <v>2</v>
      </c>
      <c r="B2450" s="71" t="n">
        <v>46203</v>
      </c>
      <c r="C2450" s="0" t="n">
        <v>2</v>
      </c>
      <c r="D2450" s="0" t="s">
        <v>2533</v>
      </c>
      <c r="E2450" s="0" t="n">
        <v>48</v>
      </c>
      <c r="F2450" s="0" t="s">
        <v>153</v>
      </c>
      <c r="I2450" s="0" t="n">
        <v>30626</v>
      </c>
      <c r="J2450" s="0" t="n">
        <v>100062</v>
      </c>
      <c r="K2450" s="0" t="n">
        <v>63</v>
      </c>
      <c r="L2450" s="0" t="s">
        <v>2535</v>
      </c>
      <c r="N2450" s="0" t="n">
        <v>13</v>
      </c>
      <c r="O2450" s="0" t="n">
        <v>93.86</v>
      </c>
      <c r="P2450" s="0" t="s">
        <v>2444</v>
      </c>
    </row>
    <row r="2451" customFormat="false" ht="15" hidden="false" customHeight="true" outlineLevel="0" collapsed="false">
      <c r="A2451" s="0" t="n">
        <v>2</v>
      </c>
      <c r="B2451" s="71" t="n">
        <v>46203</v>
      </c>
      <c r="C2451" s="0" t="n">
        <v>2</v>
      </c>
      <c r="D2451" s="0" t="s">
        <v>2533</v>
      </c>
      <c r="E2451" s="0" t="n">
        <v>48</v>
      </c>
      <c r="F2451" s="0" t="s">
        <v>153</v>
      </c>
      <c r="I2451" s="0" t="n">
        <v>30626</v>
      </c>
      <c r="J2451" s="0" t="n">
        <v>100105</v>
      </c>
      <c r="K2451" s="0" t="n">
        <v>106</v>
      </c>
      <c r="L2451" s="0" t="s">
        <v>2536</v>
      </c>
      <c r="N2451" s="0" t="n">
        <v>72</v>
      </c>
      <c r="O2451" s="0" t="n">
        <v>450</v>
      </c>
      <c r="P2451" s="0" t="s">
        <v>2444</v>
      </c>
    </row>
    <row r="2452" customFormat="false" ht="15" hidden="false" customHeight="true" outlineLevel="0" collapsed="false">
      <c r="A2452" s="0" t="n">
        <v>2</v>
      </c>
      <c r="B2452" s="71" t="n">
        <v>46203</v>
      </c>
      <c r="C2452" s="0" t="n">
        <v>2</v>
      </c>
      <c r="D2452" s="0" t="s">
        <v>2533</v>
      </c>
      <c r="E2452" s="0" t="n">
        <v>48</v>
      </c>
      <c r="F2452" s="0" t="s">
        <v>153</v>
      </c>
      <c r="I2452" s="0" t="n">
        <v>30626</v>
      </c>
      <c r="J2452" s="0" t="n">
        <v>100109</v>
      </c>
      <c r="K2452" s="0" t="n">
        <v>110</v>
      </c>
      <c r="L2452" s="0" t="s">
        <v>2537</v>
      </c>
      <c r="N2452" s="0" t="n">
        <v>20</v>
      </c>
      <c r="O2452" s="0" t="n">
        <v>120</v>
      </c>
      <c r="P2452" s="0" t="s">
        <v>2444</v>
      </c>
    </row>
    <row r="2453" customFormat="false" ht="15" hidden="false" customHeight="true" outlineLevel="0" collapsed="false">
      <c r="A2453" s="0" t="n">
        <v>2</v>
      </c>
      <c r="B2453" s="71" t="n">
        <v>46203</v>
      </c>
      <c r="C2453" s="0" t="n">
        <v>2</v>
      </c>
      <c r="D2453" s="0" t="s">
        <v>2533</v>
      </c>
      <c r="E2453" s="0" t="n">
        <v>48</v>
      </c>
      <c r="F2453" s="0" t="s">
        <v>153</v>
      </c>
      <c r="I2453" s="0" t="n">
        <v>30626</v>
      </c>
      <c r="J2453" s="0" t="n">
        <v>100118</v>
      </c>
      <c r="K2453" s="0" t="n">
        <v>119</v>
      </c>
      <c r="L2453" s="0" t="s">
        <v>2541</v>
      </c>
      <c r="N2453" s="0" t="n">
        <v>6</v>
      </c>
      <c r="O2453" s="0" t="n">
        <v>18</v>
      </c>
      <c r="P2453" s="0" t="s">
        <v>2444</v>
      </c>
    </row>
    <row r="2454" customFormat="false" ht="15" hidden="false" customHeight="true" outlineLevel="0" collapsed="false">
      <c r="A2454" s="0" t="n">
        <v>2</v>
      </c>
      <c r="B2454" s="71" t="n">
        <v>46203</v>
      </c>
      <c r="C2454" s="0" t="n">
        <v>2</v>
      </c>
      <c r="D2454" s="0" t="s">
        <v>2533</v>
      </c>
      <c r="E2454" s="0" t="n">
        <v>48</v>
      </c>
      <c r="F2454" s="0" t="s">
        <v>153</v>
      </c>
      <c r="I2454" s="0" t="n">
        <v>30626</v>
      </c>
      <c r="J2454" s="0" t="n">
        <v>100121</v>
      </c>
      <c r="K2454" s="0" t="n">
        <v>122</v>
      </c>
      <c r="L2454" s="0" t="s">
        <v>2542</v>
      </c>
      <c r="N2454" s="0" t="n">
        <v>3</v>
      </c>
      <c r="O2454" s="0" t="n">
        <v>90</v>
      </c>
      <c r="P2454" s="0" t="s">
        <v>2444</v>
      </c>
    </row>
    <row r="2455" customFormat="false" ht="15" hidden="false" customHeight="true" outlineLevel="0" collapsed="false">
      <c r="A2455" s="0" t="n">
        <v>2</v>
      </c>
      <c r="B2455" s="71" t="n">
        <v>46203</v>
      </c>
      <c r="C2455" s="0" t="n">
        <v>2</v>
      </c>
      <c r="D2455" s="0" t="s">
        <v>2533</v>
      </c>
      <c r="E2455" s="0" t="n">
        <v>48</v>
      </c>
      <c r="F2455" s="0" t="s">
        <v>153</v>
      </c>
      <c r="I2455" s="0" t="n">
        <v>30626</v>
      </c>
      <c r="J2455" s="0" t="n">
        <v>100122</v>
      </c>
      <c r="K2455" s="0" t="n">
        <v>123</v>
      </c>
      <c r="L2455" s="0" t="s">
        <v>2543</v>
      </c>
      <c r="N2455" s="0" t="n">
        <v>3</v>
      </c>
      <c r="O2455" s="0" t="n">
        <v>39</v>
      </c>
      <c r="P2455" s="0" t="s">
        <v>2444</v>
      </c>
    </row>
    <row r="2456" customFormat="false" ht="15" hidden="false" customHeight="true" outlineLevel="0" collapsed="false">
      <c r="A2456" s="0" t="n">
        <v>2</v>
      </c>
      <c r="B2456" s="71" t="n">
        <v>46203</v>
      </c>
      <c r="C2456" s="0" t="n">
        <v>2</v>
      </c>
      <c r="D2456" s="0" t="s">
        <v>2533</v>
      </c>
      <c r="E2456" s="0" t="n">
        <v>48</v>
      </c>
      <c r="F2456" s="0" t="s">
        <v>153</v>
      </c>
      <c r="I2456" s="0" t="n">
        <v>30626</v>
      </c>
      <c r="J2456" s="0" t="n">
        <v>100123</v>
      </c>
      <c r="K2456" s="0" t="n">
        <v>124</v>
      </c>
      <c r="L2456" s="0" t="s">
        <v>2544</v>
      </c>
      <c r="N2456" s="0" t="n">
        <v>1</v>
      </c>
      <c r="O2456" s="0" t="n">
        <v>10</v>
      </c>
      <c r="P2456" s="0" t="s">
        <v>2444</v>
      </c>
    </row>
    <row r="2457" customFormat="false" ht="15" hidden="false" customHeight="true" outlineLevel="0" collapsed="false">
      <c r="A2457" s="0" t="n">
        <v>2</v>
      </c>
      <c r="B2457" s="71" t="n">
        <v>46203</v>
      </c>
      <c r="C2457" s="0" t="n">
        <v>2</v>
      </c>
      <c r="D2457" s="0" t="s">
        <v>2533</v>
      </c>
      <c r="E2457" s="0" t="n">
        <v>48</v>
      </c>
      <c r="F2457" s="0" t="s">
        <v>153</v>
      </c>
      <c r="I2457" s="0" t="n">
        <v>30626</v>
      </c>
      <c r="J2457" s="0" t="n">
        <v>100124</v>
      </c>
      <c r="K2457" s="0" t="n">
        <v>125</v>
      </c>
      <c r="L2457" s="0" t="s">
        <v>2695</v>
      </c>
      <c r="N2457" s="0" t="n">
        <v>5</v>
      </c>
      <c r="O2457" s="0" t="n">
        <v>50</v>
      </c>
      <c r="P2457" s="0" t="s">
        <v>2444</v>
      </c>
    </row>
    <row r="2458" customFormat="false" ht="15" hidden="false" customHeight="true" outlineLevel="0" collapsed="false">
      <c r="A2458" s="0" t="n">
        <v>2</v>
      </c>
      <c r="B2458" s="71" t="n">
        <v>46203</v>
      </c>
      <c r="C2458" s="0" t="n">
        <v>2</v>
      </c>
      <c r="D2458" s="0" t="s">
        <v>2533</v>
      </c>
      <c r="E2458" s="0" t="n">
        <v>48</v>
      </c>
      <c r="F2458" s="0" t="s">
        <v>153</v>
      </c>
      <c r="I2458" s="0" t="n">
        <v>30626</v>
      </c>
      <c r="J2458" s="0" t="n">
        <v>100125</v>
      </c>
      <c r="K2458" s="0" t="n">
        <v>126</v>
      </c>
      <c r="L2458" s="0" t="s">
        <v>2597</v>
      </c>
      <c r="N2458" s="0" t="n">
        <v>20</v>
      </c>
      <c r="O2458" s="0" t="n">
        <v>140</v>
      </c>
      <c r="P2458" s="0" t="s">
        <v>2444</v>
      </c>
    </row>
    <row r="2459" customFormat="false" ht="15" hidden="false" customHeight="true" outlineLevel="0" collapsed="false">
      <c r="A2459" s="0" t="n">
        <v>2</v>
      </c>
      <c r="B2459" s="71" t="n">
        <v>46203</v>
      </c>
      <c r="C2459" s="0" t="n">
        <v>2</v>
      </c>
      <c r="D2459" s="0" t="s">
        <v>2533</v>
      </c>
      <c r="E2459" s="0" t="n">
        <v>48</v>
      </c>
      <c r="F2459" s="0" t="s">
        <v>153</v>
      </c>
      <c r="I2459" s="0" t="n">
        <v>30626</v>
      </c>
      <c r="J2459" s="0" t="n">
        <v>100130</v>
      </c>
      <c r="K2459" s="0" t="n">
        <v>131</v>
      </c>
      <c r="L2459" s="0" t="s">
        <v>2545</v>
      </c>
      <c r="N2459" s="0" t="n">
        <v>30</v>
      </c>
      <c r="O2459" s="0" t="n">
        <v>195</v>
      </c>
      <c r="P2459" s="0" t="s">
        <v>2444</v>
      </c>
    </row>
    <row r="2460" customFormat="false" ht="15" hidden="false" customHeight="true" outlineLevel="0" collapsed="false">
      <c r="A2460" s="0" t="n">
        <v>2</v>
      </c>
      <c r="B2460" s="71" t="n">
        <v>46203</v>
      </c>
      <c r="C2460" s="0" t="n">
        <v>2</v>
      </c>
      <c r="D2460" s="0" t="s">
        <v>2533</v>
      </c>
      <c r="E2460" s="0" t="n">
        <v>48</v>
      </c>
      <c r="F2460" s="0" t="s">
        <v>153</v>
      </c>
      <c r="I2460" s="0" t="n">
        <v>30626</v>
      </c>
      <c r="J2460" s="0" t="n">
        <v>100132</v>
      </c>
      <c r="K2460" s="0" t="n">
        <v>133</v>
      </c>
      <c r="L2460" s="0" t="s">
        <v>2546</v>
      </c>
      <c r="N2460" s="0" t="n">
        <v>34.12</v>
      </c>
      <c r="O2460" s="0" t="n">
        <v>105</v>
      </c>
      <c r="P2460" s="0" t="s">
        <v>2444</v>
      </c>
    </row>
    <row r="2461" customFormat="false" ht="15" hidden="false" customHeight="true" outlineLevel="0" collapsed="false">
      <c r="A2461" s="0" t="n">
        <v>2</v>
      </c>
      <c r="B2461" s="71" t="n">
        <v>46203</v>
      </c>
      <c r="C2461" s="0" t="n">
        <v>2</v>
      </c>
      <c r="D2461" s="0" t="s">
        <v>2533</v>
      </c>
      <c r="E2461" s="0" t="n">
        <v>48</v>
      </c>
      <c r="F2461" s="0" t="s">
        <v>153</v>
      </c>
      <c r="I2461" s="0" t="n">
        <v>30626</v>
      </c>
      <c r="J2461" s="0" t="n">
        <v>100133</v>
      </c>
      <c r="K2461" s="0" t="n">
        <v>134</v>
      </c>
      <c r="L2461" s="0" t="s">
        <v>2547</v>
      </c>
      <c r="N2461" s="0" t="n">
        <v>10</v>
      </c>
      <c r="O2461" s="0" t="n">
        <v>45</v>
      </c>
      <c r="P2461" s="0" t="s">
        <v>2444</v>
      </c>
    </row>
    <row r="2462" customFormat="false" ht="15" hidden="false" customHeight="true" outlineLevel="0" collapsed="false">
      <c r="A2462" s="0" t="n">
        <v>2</v>
      </c>
      <c r="B2462" s="71" t="n">
        <v>46203</v>
      </c>
      <c r="C2462" s="0" t="n">
        <v>2</v>
      </c>
      <c r="D2462" s="0" t="s">
        <v>2533</v>
      </c>
      <c r="E2462" s="0" t="n">
        <v>48</v>
      </c>
      <c r="F2462" s="0" t="s">
        <v>153</v>
      </c>
      <c r="I2462" s="0" t="n">
        <v>30626</v>
      </c>
      <c r="J2462" s="0" t="n">
        <v>110263</v>
      </c>
      <c r="K2462" s="0" t="n">
        <v>41228</v>
      </c>
      <c r="L2462" s="0" t="s">
        <v>2659</v>
      </c>
      <c r="N2462" s="0" t="n">
        <v>8</v>
      </c>
      <c r="O2462" s="0" t="n">
        <v>96</v>
      </c>
      <c r="P2462" s="0" t="s">
        <v>2444</v>
      </c>
    </row>
    <row r="2463" customFormat="false" ht="15" hidden="false" customHeight="true" outlineLevel="0" collapsed="false">
      <c r="A2463" s="0" t="n">
        <v>2</v>
      </c>
      <c r="B2463" s="71" t="n">
        <v>46203</v>
      </c>
      <c r="C2463" s="0" t="n">
        <v>2</v>
      </c>
      <c r="D2463" s="0" t="s">
        <v>2533</v>
      </c>
      <c r="E2463" s="0" t="n">
        <v>48</v>
      </c>
      <c r="F2463" s="0" t="s">
        <v>153</v>
      </c>
      <c r="I2463" s="0" t="n">
        <v>30626</v>
      </c>
      <c r="J2463" s="0" t="n">
        <v>110374</v>
      </c>
      <c r="K2463" s="0" t="n">
        <v>48077</v>
      </c>
      <c r="L2463" s="0" t="s">
        <v>2696</v>
      </c>
      <c r="N2463" s="0" t="n">
        <v>6</v>
      </c>
      <c r="O2463" s="0" t="n">
        <v>42</v>
      </c>
      <c r="P2463" s="0" t="s">
        <v>2444</v>
      </c>
    </row>
    <row r="2464" customFormat="false" ht="15" hidden="false" customHeight="true" outlineLevel="0" collapsed="false">
      <c r="A2464" s="0" t="n">
        <v>2</v>
      </c>
      <c r="B2464" s="71" t="n">
        <v>46203</v>
      </c>
      <c r="C2464" s="0" t="n">
        <v>2</v>
      </c>
      <c r="D2464" s="0" t="s">
        <v>2533</v>
      </c>
      <c r="E2464" s="0" t="n">
        <v>48</v>
      </c>
      <c r="F2464" s="0" t="s">
        <v>153</v>
      </c>
      <c r="I2464" s="0" t="n">
        <v>30626</v>
      </c>
      <c r="J2464" s="0" t="n">
        <v>110489</v>
      </c>
      <c r="K2464" s="0" t="n">
        <v>54743</v>
      </c>
      <c r="L2464" s="0" t="s">
        <v>2550</v>
      </c>
      <c r="N2464" s="0" t="n">
        <v>40</v>
      </c>
      <c r="O2464" s="0" t="n">
        <v>240</v>
      </c>
      <c r="P2464" s="0" t="s">
        <v>2444</v>
      </c>
    </row>
    <row r="2465" customFormat="false" ht="15" hidden="false" customHeight="true" outlineLevel="0" collapsed="false">
      <c r="A2465" s="0" t="n">
        <v>2</v>
      </c>
      <c r="B2465" s="71" t="n">
        <v>46203</v>
      </c>
      <c r="C2465" s="0" t="n">
        <v>2</v>
      </c>
      <c r="D2465" s="0" t="s">
        <v>2533</v>
      </c>
      <c r="E2465" s="0" t="n">
        <v>48</v>
      </c>
      <c r="F2465" s="0" t="s">
        <v>153</v>
      </c>
      <c r="I2465" s="0" t="n">
        <v>30626</v>
      </c>
      <c r="J2465" s="0" t="n">
        <v>80078</v>
      </c>
      <c r="K2465" s="0" t="n">
        <v>710</v>
      </c>
      <c r="L2465" s="0" t="s">
        <v>2551</v>
      </c>
      <c r="N2465" s="0" t="n">
        <v>5</v>
      </c>
      <c r="O2465" s="0" t="n">
        <v>15</v>
      </c>
      <c r="P2465" s="0" t="s">
        <v>2444</v>
      </c>
    </row>
    <row r="2466" customFormat="false" ht="15" hidden="false" customHeight="true" outlineLevel="0" collapsed="false">
      <c r="A2466" s="0" t="n">
        <v>2</v>
      </c>
      <c r="B2466" s="71" t="n">
        <v>46203</v>
      </c>
      <c r="C2466" s="0" t="n">
        <v>6</v>
      </c>
      <c r="D2466" s="0" t="s">
        <v>2553</v>
      </c>
      <c r="E2466" s="0" t="n">
        <v>48</v>
      </c>
      <c r="F2466" s="0" t="s">
        <v>153</v>
      </c>
      <c r="I2466" s="0" t="n">
        <v>2517</v>
      </c>
      <c r="J2466" s="0" t="n">
        <v>100062</v>
      </c>
      <c r="K2466" s="0" t="n">
        <v>63</v>
      </c>
      <c r="L2466" s="0" t="s">
        <v>2535</v>
      </c>
      <c r="N2466" s="0" t="n">
        <v>13</v>
      </c>
      <c r="O2466" s="0" t="n">
        <v>93.86</v>
      </c>
      <c r="P2466" s="0" t="s">
        <v>2444</v>
      </c>
    </row>
    <row r="2467" customFormat="false" ht="15" hidden="false" customHeight="true" outlineLevel="0" collapsed="false">
      <c r="A2467" s="0" t="n">
        <v>2</v>
      </c>
      <c r="B2467" s="71" t="n">
        <v>46203</v>
      </c>
      <c r="C2467" s="0" t="n">
        <v>6</v>
      </c>
      <c r="D2467" s="0" t="s">
        <v>2553</v>
      </c>
      <c r="E2467" s="0" t="n">
        <v>48</v>
      </c>
      <c r="F2467" s="0" t="s">
        <v>153</v>
      </c>
      <c r="I2467" s="0" t="n">
        <v>2517</v>
      </c>
      <c r="J2467" s="0" t="n">
        <v>100105</v>
      </c>
      <c r="K2467" s="0" t="n">
        <v>106</v>
      </c>
      <c r="L2467" s="0" t="s">
        <v>2536</v>
      </c>
      <c r="N2467" s="0" t="n">
        <v>72</v>
      </c>
      <c r="O2467" s="0" t="n">
        <v>450</v>
      </c>
      <c r="P2467" s="0" t="s">
        <v>2444</v>
      </c>
    </row>
    <row r="2468" customFormat="false" ht="15" hidden="false" customHeight="true" outlineLevel="0" collapsed="false">
      <c r="A2468" s="0" t="n">
        <v>2</v>
      </c>
      <c r="B2468" s="71" t="n">
        <v>46203</v>
      </c>
      <c r="C2468" s="0" t="n">
        <v>6</v>
      </c>
      <c r="D2468" s="0" t="s">
        <v>2553</v>
      </c>
      <c r="E2468" s="0" t="n">
        <v>48</v>
      </c>
      <c r="F2468" s="0" t="s">
        <v>153</v>
      </c>
      <c r="I2468" s="0" t="n">
        <v>2517</v>
      </c>
      <c r="J2468" s="0" t="n">
        <v>100109</v>
      </c>
      <c r="K2468" s="0" t="n">
        <v>110</v>
      </c>
      <c r="L2468" s="0" t="s">
        <v>2537</v>
      </c>
      <c r="N2468" s="0" t="n">
        <v>20</v>
      </c>
      <c r="O2468" s="0" t="n">
        <v>120</v>
      </c>
      <c r="P2468" s="0" t="s">
        <v>2444</v>
      </c>
    </row>
    <row r="2469" customFormat="false" ht="15" hidden="false" customHeight="true" outlineLevel="0" collapsed="false">
      <c r="A2469" s="0" t="n">
        <v>2</v>
      </c>
      <c r="B2469" s="71" t="n">
        <v>46203</v>
      </c>
      <c r="C2469" s="0" t="n">
        <v>6</v>
      </c>
      <c r="D2469" s="0" t="s">
        <v>2553</v>
      </c>
      <c r="E2469" s="0" t="n">
        <v>48</v>
      </c>
      <c r="F2469" s="0" t="s">
        <v>153</v>
      </c>
      <c r="I2469" s="0" t="n">
        <v>2517</v>
      </c>
      <c r="J2469" s="0" t="n">
        <v>100118</v>
      </c>
      <c r="K2469" s="0" t="n">
        <v>119</v>
      </c>
      <c r="L2469" s="0" t="s">
        <v>2541</v>
      </c>
      <c r="N2469" s="0" t="n">
        <v>6</v>
      </c>
      <c r="O2469" s="0" t="n">
        <v>18</v>
      </c>
      <c r="P2469" s="0" t="s">
        <v>2444</v>
      </c>
    </row>
    <row r="2470" customFormat="false" ht="15" hidden="false" customHeight="true" outlineLevel="0" collapsed="false">
      <c r="A2470" s="0" t="n">
        <v>2</v>
      </c>
      <c r="B2470" s="71" t="n">
        <v>46203</v>
      </c>
      <c r="C2470" s="0" t="n">
        <v>6</v>
      </c>
      <c r="D2470" s="0" t="s">
        <v>2553</v>
      </c>
      <c r="E2470" s="0" t="n">
        <v>48</v>
      </c>
      <c r="F2470" s="0" t="s">
        <v>153</v>
      </c>
      <c r="I2470" s="0" t="n">
        <v>2517</v>
      </c>
      <c r="J2470" s="0" t="n">
        <v>100121</v>
      </c>
      <c r="K2470" s="0" t="n">
        <v>122</v>
      </c>
      <c r="L2470" s="0" t="s">
        <v>2542</v>
      </c>
      <c r="N2470" s="0" t="n">
        <v>3</v>
      </c>
      <c r="O2470" s="0" t="n">
        <v>90</v>
      </c>
      <c r="P2470" s="0" t="s">
        <v>2444</v>
      </c>
    </row>
    <row r="2471" customFormat="false" ht="15" hidden="false" customHeight="true" outlineLevel="0" collapsed="false">
      <c r="A2471" s="0" t="n">
        <v>2</v>
      </c>
      <c r="B2471" s="71" t="n">
        <v>46203</v>
      </c>
      <c r="C2471" s="0" t="n">
        <v>6</v>
      </c>
      <c r="D2471" s="0" t="s">
        <v>2553</v>
      </c>
      <c r="E2471" s="0" t="n">
        <v>48</v>
      </c>
      <c r="F2471" s="0" t="s">
        <v>153</v>
      </c>
      <c r="I2471" s="0" t="n">
        <v>2517</v>
      </c>
      <c r="J2471" s="0" t="n">
        <v>100122</v>
      </c>
      <c r="K2471" s="0" t="n">
        <v>123</v>
      </c>
      <c r="L2471" s="0" t="s">
        <v>2543</v>
      </c>
      <c r="N2471" s="0" t="n">
        <v>3</v>
      </c>
      <c r="O2471" s="0" t="n">
        <v>39</v>
      </c>
      <c r="P2471" s="0" t="s">
        <v>2444</v>
      </c>
    </row>
    <row r="2472" customFormat="false" ht="15" hidden="false" customHeight="true" outlineLevel="0" collapsed="false">
      <c r="A2472" s="0" t="n">
        <v>2</v>
      </c>
      <c r="B2472" s="71" t="n">
        <v>46203</v>
      </c>
      <c r="C2472" s="0" t="n">
        <v>6</v>
      </c>
      <c r="D2472" s="0" t="s">
        <v>2553</v>
      </c>
      <c r="E2472" s="0" t="n">
        <v>48</v>
      </c>
      <c r="F2472" s="0" t="s">
        <v>153</v>
      </c>
      <c r="I2472" s="0" t="n">
        <v>2517</v>
      </c>
      <c r="J2472" s="0" t="n">
        <v>100123</v>
      </c>
      <c r="K2472" s="0" t="n">
        <v>124</v>
      </c>
      <c r="L2472" s="0" t="s">
        <v>2544</v>
      </c>
      <c r="N2472" s="0" t="n">
        <v>1</v>
      </c>
      <c r="O2472" s="0" t="n">
        <v>10</v>
      </c>
      <c r="P2472" s="0" t="s">
        <v>2444</v>
      </c>
    </row>
    <row r="2473" customFormat="false" ht="15" hidden="false" customHeight="true" outlineLevel="0" collapsed="false">
      <c r="A2473" s="0" t="n">
        <v>2</v>
      </c>
      <c r="B2473" s="71" t="n">
        <v>46203</v>
      </c>
      <c r="C2473" s="0" t="n">
        <v>6</v>
      </c>
      <c r="D2473" s="0" t="s">
        <v>2553</v>
      </c>
      <c r="E2473" s="0" t="n">
        <v>48</v>
      </c>
      <c r="F2473" s="0" t="s">
        <v>153</v>
      </c>
      <c r="I2473" s="0" t="n">
        <v>2517</v>
      </c>
      <c r="J2473" s="0" t="n">
        <v>100124</v>
      </c>
      <c r="K2473" s="0" t="n">
        <v>125</v>
      </c>
      <c r="L2473" s="0" t="s">
        <v>2695</v>
      </c>
      <c r="N2473" s="0" t="n">
        <v>5</v>
      </c>
      <c r="O2473" s="0" t="n">
        <v>50</v>
      </c>
      <c r="P2473" s="0" t="s">
        <v>2444</v>
      </c>
    </row>
    <row r="2474" customFormat="false" ht="15" hidden="false" customHeight="true" outlineLevel="0" collapsed="false">
      <c r="A2474" s="0" t="n">
        <v>2</v>
      </c>
      <c r="B2474" s="71" t="n">
        <v>46203</v>
      </c>
      <c r="C2474" s="0" t="n">
        <v>6</v>
      </c>
      <c r="D2474" s="0" t="s">
        <v>2553</v>
      </c>
      <c r="E2474" s="0" t="n">
        <v>48</v>
      </c>
      <c r="F2474" s="0" t="s">
        <v>153</v>
      </c>
      <c r="I2474" s="0" t="n">
        <v>2517</v>
      </c>
      <c r="J2474" s="0" t="n">
        <v>100125</v>
      </c>
      <c r="K2474" s="0" t="n">
        <v>126</v>
      </c>
      <c r="L2474" s="0" t="s">
        <v>2597</v>
      </c>
      <c r="N2474" s="0" t="n">
        <v>20</v>
      </c>
      <c r="O2474" s="0" t="n">
        <v>140</v>
      </c>
      <c r="P2474" s="0" t="s">
        <v>2444</v>
      </c>
    </row>
    <row r="2475" customFormat="false" ht="15" hidden="false" customHeight="true" outlineLevel="0" collapsed="false">
      <c r="A2475" s="0" t="n">
        <v>2</v>
      </c>
      <c r="B2475" s="71" t="n">
        <v>46203</v>
      </c>
      <c r="C2475" s="0" t="n">
        <v>6</v>
      </c>
      <c r="D2475" s="0" t="s">
        <v>2553</v>
      </c>
      <c r="E2475" s="0" t="n">
        <v>48</v>
      </c>
      <c r="F2475" s="0" t="s">
        <v>153</v>
      </c>
      <c r="I2475" s="0" t="n">
        <v>2517</v>
      </c>
      <c r="J2475" s="0" t="n">
        <v>100130</v>
      </c>
      <c r="K2475" s="0" t="n">
        <v>131</v>
      </c>
      <c r="L2475" s="0" t="s">
        <v>2545</v>
      </c>
      <c r="N2475" s="0" t="n">
        <v>30</v>
      </c>
      <c r="O2475" s="0" t="n">
        <v>195</v>
      </c>
      <c r="P2475" s="0" t="s">
        <v>2444</v>
      </c>
    </row>
    <row r="2476" customFormat="false" ht="15" hidden="false" customHeight="true" outlineLevel="0" collapsed="false">
      <c r="A2476" s="0" t="n">
        <v>2</v>
      </c>
      <c r="B2476" s="71" t="n">
        <v>46203</v>
      </c>
      <c r="C2476" s="0" t="n">
        <v>6</v>
      </c>
      <c r="D2476" s="0" t="s">
        <v>2553</v>
      </c>
      <c r="E2476" s="0" t="n">
        <v>48</v>
      </c>
      <c r="F2476" s="0" t="s">
        <v>153</v>
      </c>
      <c r="I2476" s="0" t="n">
        <v>2517</v>
      </c>
      <c r="J2476" s="0" t="n">
        <v>100132</v>
      </c>
      <c r="K2476" s="0" t="n">
        <v>133</v>
      </c>
      <c r="L2476" s="0" t="s">
        <v>2546</v>
      </c>
      <c r="N2476" s="0" t="n">
        <v>34.12</v>
      </c>
      <c r="O2476" s="0" t="n">
        <v>105</v>
      </c>
      <c r="P2476" s="0" t="s">
        <v>2444</v>
      </c>
    </row>
    <row r="2477" customFormat="false" ht="15" hidden="false" customHeight="true" outlineLevel="0" collapsed="false">
      <c r="A2477" s="0" t="n">
        <v>2</v>
      </c>
      <c r="B2477" s="71" t="n">
        <v>46203</v>
      </c>
      <c r="C2477" s="0" t="n">
        <v>6</v>
      </c>
      <c r="D2477" s="0" t="s">
        <v>2553</v>
      </c>
      <c r="E2477" s="0" t="n">
        <v>48</v>
      </c>
      <c r="F2477" s="0" t="s">
        <v>153</v>
      </c>
      <c r="I2477" s="0" t="n">
        <v>2517</v>
      </c>
      <c r="J2477" s="0" t="n">
        <v>100133</v>
      </c>
      <c r="K2477" s="0" t="n">
        <v>134</v>
      </c>
      <c r="L2477" s="0" t="s">
        <v>2547</v>
      </c>
      <c r="N2477" s="0" t="n">
        <v>10</v>
      </c>
      <c r="O2477" s="0" t="n">
        <v>45</v>
      </c>
      <c r="P2477" s="0" t="s">
        <v>2444</v>
      </c>
    </row>
    <row r="2478" customFormat="false" ht="15" hidden="false" customHeight="true" outlineLevel="0" collapsed="false">
      <c r="A2478" s="0" t="n">
        <v>2</v>
      </c>
      <c r="B2478" s="71" t="n">
        <v>46203</v>
      </c>
      <c r="C2478" s="0" t="n">
        <v>6</v>
      </c>
      <c r="D2478" s="0" t="s">
        <v>2553</v>
      </c>
      <c r="E2478" s="0" t="n">
        <v>48</v>
      </c>
      <c r="F2478" s="0" t="s">
        <v>153</v>
      </c>
      <c r="I2478" s="0" t="n">
        <v>2517</v>
      </c>
      <c r="J2478" s="0" t="n">
        <v>110263</v>
      </c>
      <c r="K2478" s="0" t="n">
        <v>41228</v>
      </c>
      <c r="L2478" s="0" t="s">
        <v>2659</v>
      </c>
      <c r="N2478" s="0" t="n">
        <v>8</v>
      </c>
      <c r="O2478" s="0" t="n">
        <v>96</v>
      </c>
      <c r="P2478" s="0" t="s">
        <v>2444</v>
      </c>
    </row>
    <row r="2479" customFormat="false" ht="15" hidden="false" customHeight="true" outlineLevel="0" collapsed="false">
      <c r="A2479" s="0" t="n">
        <v>2</v>
      </c>
      <c r="B2479" s="71" t="n">
        <v>46203</v>
      </c>
      <c r="C2479" s="0" t="n">
        <v>6</v>
      </c>
      <c r="D2479" s="0" t="s">
        <v>2553</v>
      </c>
      <c r="E2479" s="0" t="n">
        <v>48</v>
      </c>
      <c r="F2479" s="0" t="s">
        <v>153</v>
      </c>
      <c r="I2479" s="0" t="n">
        <v>2517</v>
      </c>
      <c r="J2479" s="0" t="n">
        <v>110374</v>
      </c>
      <c r="K2479" s="0" t="n">
        <v>48077</v>
      </c>
      <c r="L2479" s="0" t="s">
        <v>2696</v>
      </c>
      <c r="N2479" s="0" t="n">
        <v>6</v>
      </c>
      <c r="O2479" s="0" t="n">
        <v>42</v>
      </c>
      <c r="P2479" s="0" t="s">
        <v>2444</v>
      </c>
    </row>
    <row r="2480" customFormat="false" ht="15" hidden="false" customHeight="true" outlineLevel="0" collapsed="false">
      <c r="A2480" s="0" t="n">
        <v>2</v>
      </c>
      <c r="B2480" s="71" t="n">
        <v>46203</v>
      </c>
      <c r="C2480" s="0" t="n">
        <v>6</v>
      </c>
      <c r="D2480" s="0" t="s">
        <v>2553</v>
      </c>
      <c r="E2480" s="0" t="n">
        <v>48</v>
      </c>
      <c r="F2480" s="0" t="s">
        <v>153</v>
      </c>
      <c r="I2480" s="0" t="n">
        <v>2517</v>
      </c>
      <c r="J2480" s="0" t="n">
        <v>110489</v>
      </c>
      <c r="K2480" s="0" t="n">
        <v>54743</v>
      </c>
      <c r="L2480" s="0" t="s">
        <v>2550</v>
      </c>
      <c r="N2480" s="0" t="n">
        <v>40</v>
      </c>
      <c r="O2480" s="0" t="n">
        <v>240</v>
      </c>
      <c r="P2480" s="0" t="s">
        <v>2444</v>
      </c>
    </row>
    <row r="2481" customFormat="false" ht="15" hidden="false" customHeight="true" outlineLevel="0" collapsed="false">
      <c r="A2481" s="0" t="n">
        <v>2</v>
      </c>
      <c r="B2481" s="71" t="n">
        <v>46203</v>
      </c>
      <c r="C2481" s="0" t="n">
        <v>6</v>
      </c>
      <c r="D2481" s="0" t="s">
        <v>2553</v>
      </c>
      <c r="E2481" s="0" t="n">
        <v>48</v>
      </c>
      <c r="F2481" s="0" t="s">
        <v>153</v>
      </c>
      <c r="I2481" s="0" t="n">
        <v>2517</v>
      </c>
      <c r="J2481" s="0" t="n">
        <v>80078</v>
      </c>
      <c r="K2481" s="0" t="n">
        <v>710</v>
      </c>
      <c r="L2481" s="0" t="s">
        <v>2551</v>
      </c>
      <c r="N2481" s="0" t="n">
        <v>5</v>
      </c>
      <c r="O2481" s="0" t="n">
        <v>15</v>
      </c>
      <c r="P2481" s="0" t="s">
        <v>2444</v>
      </c>
    </row>
    <row r="2482" customFormat="false" ht="15" hidden="false" customHeight="true" outlineLevel="0" collapsed="false">
      <c r="A2482" s="0" t="n">
        <v>2</v>
      </c>
      <c r="B2482" s="71" t="n">
        <v>46204</v>
      </c>
      <c r="C2482" s="0" t="n">
        <v>1</v>
      </c>
      <c r="D2482" s="0" t="s">
        <v>2442</v>
      </c>
      <c r="E2482" s="0" t="n">
        <v>1899</v>
      </c>
      <c r="F2482" s="0" t="s">
        <v>204</v>
      </c>
      <c r="I2482" s="0" t="n">
        <v>690</v>
      </c>
      <c r="J2482" s="0" t="n">
        <v>77463</v>
      </c>
      <c r="K2482" s="0" t="n">
        <v>774642</v>
      </c>
      <c r="L2482" s="0" t="s">
        <v>2445</v>
      </c>
      <c r="N2482" s="0" t="n">
        <v>30</v>
      </c>
      <c r="O2482" s="0" t="n">
        <v>135</v>
      </c>
      <c r="P2482" s="0" t="s">
        <v>2444</v>
      </c>
    </row>
    <row r="2483" customFormat="false" ht="15" hidden="false" customHeight="true" outlineLevel="0" collapsed="false">
      <c r="A2483" s="0" t="n">
        <v>2</v>
      </c>
      <c r="B2483" s="71" t="n">
        <v>46204</v>
      </c>
      <c r="C2483" s="0" t="n">
        <v>1</v>
      </c>
      <c r="D2483" s="0" t="s">
        <v>2442</v>
      </c>
      <c r="E2483" s="0" t="n">
        <v>1899</v>
      </c>
      <c r="F2483" s="0" t="s">
        <v>204</v>
      </c>
      <c r="I2483" s="0" t="n">
        <v>690</v>
      </c>
      <c r="J2483" s="0" t="n">
        <v>77465</v>
      </c>
      <c r="K2483" s="0" t="n">
        <v>774666</v>
      </c>
      <c r="L2483" s="0" t="s">
        <v>2446</v>
      </c>
      <c r="N2483" s="0" t="n">
        <v>15</v>
      </c>
      <c r="O2483" s="0" t="n">
        <v>74.85</v>
      </c>
      <c r="P2483" s="0" t="s">
        <v>2444</v>
      </c>
    </row>
    <row r="2484" customFormat="false" ht="15" hidden="false" customHeight="true" outlineLevel="0" collapsed="false">
      <c r="A2484" s="0" t="n">
        <v>2</v>
      </c>
      <c r="B2484" s="71" t="n">
        <v>46204</v>
      </c>
      <c r="C2484" s="0" t="n">
        <v>1</v>
      </c>
      <c r="D2484" s="0" t="s">
        <v>2442</v>
      </c>
      <c r="E2484" s="0" t="n">
        <v>1899</v>
      </c>
      <c r="F2484" s="0" t="s">
        <v>204</v>
      </c>
      <c r="I2484" s="0" t="n">
        <v>690</v>
      </c>
      <c r="J2484" s="0" t="n">
        <v>77903</v>
      </c>
      <c r="K2484" s="0" t="n">
        <v>779043</v>
      </c>
      <c r="L2484" s="0" t="s">
        <v>2945</v>
      </c>
      <c r="N2484" s="0" t="n">
        <v>5</v>
      </c>
      <c r="O2484" s="0" t="n">
        <v>22.5</v>
      </c>
      <c r="P2484" s="0" t="s">
        <v>2444</v>
      </c>
    </row>
    <row r="2485" customFormat="false" ht="15" hidden="false" customHeight="true" outlineLevel="0" collapsed="false">
      <c r="A2485" s="0" t="n">
        <v>2</v>
      </c>
      <c r="B2485" s="71" t="n">
        <v>46204</v>
      </c>
      <c r="C2485" s="0" t="n">
        <v>1</v>
      </c>
      <c r="D2485" s="0" t="s">
        <v>2442</v>
      </c>
      <c r="E2485" s="0" t="n">
        <v>1899</v>
      </c>
      <c r="F2485" s="0" t="s">
        <v>204</v>
      </c>
      <c r="I2485" s="0" t="n">
        <v>690</v>
      </c>
      <c r="J2485" s="0" t="n">
        <v>78013</v>
      </c>
      <c r="K2485" s="0" t="n">
        <v>780148</v>
      </c>
      <c r="L2485" s="0" t="s">
        <v>2584</v>
      </c>
      <c r="N2485" s="0" t="n">
        <v>5</v>
      </c>
      <c r="O2485" s="0" t="n">
        <v>22.5</v>
      </c>
      <c r="P2485" s="0" t="s">
        <v>2444</v>
      </c>
    </row>
    <row r="2486" customFormat="false" ht="15" hidden="false" customHeight="true" outlineLevel="0" collapsed="false">
      <c r="A2486" s="0" t="n">
        <v>2</v>
      </c>
      <c r="B2486" s="71" t="n">
        <v>46204</v>
      </c>
      <c r="C2486" s="0" t="n">
        <v>1</v>
      </c>
      <c r="D2486" s="0" t="s">
        <v>2442</v>
      </c>
      <c r="E2486" s="0" t="n">
        <v>1899</v>
      </c>
      <c r="F2486" s="0" t="s">
        <v>204</v>
      </c>
      <c r="I2486" s="0" t="n">
        <v>690</v>
      </c>
      <c r="J2486" s="0" t="n">
        <v>78015</v>
      </c>
      <c r="K2486" s="0" t="n">
        <v>780162</v>
      </c>
      <c r="L2486" s="0" t="s">
        <v>2447</v>
      </c>
      <c r="N2486" s="0" t="n">
        <v>10</v>
      </c>
      <c r="O2486" s="0" t="n">
        <v>49.9</v>
      </c>
      <c r="P2486" s="0" t="s">
        <v>2444</v>
      </c>
    </row>
    <row r="2487" customFormat="false" ht="15" hidden="false" customHeight="true" outlineLevel="0" collapsed="false">
      <c r="A2487" s="0" t="n">
        <v>2</v>
      </c>
      <c r="B2487" s="71" t="n">
        <v>46204</v>
      </c>
      <c r="C2487" s="0" t="n">
        <v>1</v>
      </c>
      <c r="D2487" s="0" t="s">
        <v>2442</v>
      </c>
      <c r="E2487" s="0" t="n">
        <v>1292</v>
      </c>
      <c r="F2487" s="0" t="s">
        <v>209</v>
      </c>
      <c r="I2487" s="0" t="n">
        <v>3507</v>
      </c>
      <c r="J2487" s="0" t="n">
        <v>28574</v>
      </c>
      <c r="K2487" s="0" t="n">
        <v>7898028069009</v>
      </c>
      <c r="L2487" s="0" t="s">
        <v>2607</v>
      </c>
      <c r="N2487" s="0" t="n">
        <v>25</v>
      </c>
      <c r="O2487" s="0" t="n">
        <v>140</v>
      </c>
      <c r="P2487" s="0" t="s">
        <v>2444</v>
      </c>
    </row>
    <row r="2488" customFormat="false" ht="15" hidden="false" customHeight="true" outlineLevel="0" collapsed="false">
      <c r="A2488" s="0" t="n">
        <v>2</v>
      </c>
      <c r="B2488" s="71" t="n">
        <v>46204</v>
      </c>
      <c r="C2488" s="0" t="n">
        <v>1</v>
      </c>
      <c r="D2488" s="0" t="s">
        <v>2442</v>
      </c>
      <c r="E2488" s="0" t="n">
        <v>1292</v>
      </c>
      <c r="F2488" s="0" t="s">
        <v>209</v>
      </c>
      <c r="I2488" s="0" t="n">
        <v>3507</v>
      </c>
      <c r="J2488" s="0" t="n">
        <v>58633</v>
      </c>
      <c r="K2488" s="0" t="n">
        <v>7891164025250</v>
      </c>
      <c r="L2488" s="0" t="s">
        <v>2448</v>
      </c>
      <c r="N2488" s="0" t="n">
        <v>50</v>
      </c>
      <c r="O2488" s="0" t="n">
        <v>449.5</v>
      </c>
      <c r="P2488" s="0" t="s">
        <v>2444</v>
      </c>
    </row>
    <row r="2489" customFormat="false" ht="15" hidden="false" customHeight="true" outlineLevel="0" collapsed="false">
      <c r="A2489" s="0" t="n">
        <v>2</v>
      </c>
      <c r="B2489" s="71" t="n">
        <v>46204</v>
      </c>
      <c r="C2489" s="0" t="n">
        <v>1</v>
      </c>
      <c r="D2489" s="0" t="s">
        <v>2442</v>
      </c>
      <c r="E2489" s="0" t="n">
        <v>1328</v>
      </c>
      <c r="F2489" s="0" t="s">
        <v>95</v>
      </c>
      <c r="I2489" s="0" t="n">
        <v>3933</v>
      </c>
      <c r="J2489" s="0" t="n">
        <v>50310</v>
      </c>
      <c r="K2489" s="0" t="n">
        <v>7898588380101</v>
      </c>
      <c r="L2489" s="0" t="s">
        <v>2502</v>
      </c>
      <c r="N2489" s="0" t="n">
        <v>3</v>
      </c>
      <c r="O2489" s="0" t="n">
        <v>23.1</v>
      </c>
      <c r="P2489" s="0" t="s">
        <v>2444</v>
      </c>
    </row>
    <row r="2490" customFormat="false" ht="15" hidden="false" customHeight="true" outlineLevel="0" collapsed="false">
      <c r="A2490" s="0" t="n">
        <v>2</v>
      </c>
      <c r="B2490" s="71" t="n">
        <v>46204</v>
      </c>
      <c r="C2490" s="0" t="n">
        <v>1</v>
      </c>
      <c r="D2490" s="0" t="s">
        <v>2442</v>
      </c>
      <c r="E2490" s="0" t="n">
        <v>1328</v>
      </c>
      <c r="F2490" s="0" t="s">
        <v>95</v>
      </c>
      <c r="I2490" s="0" t="n">
        <v>3933</v>
      </c>
      <c r="J2490" s="0" t="n">
        <v>21045</v>
      </c>
      <c r="K2490" s="0" t="n">
        <v>7898588380255</v>
      </c>
      <c r="L2490" s="0" t="s">
        <v>2503</v>
      </c>
      <c r="N2490" s="0" t="n">
        <v>4</v>
      </c>
      <c r="O2490" s="0" t="n">
        <v>22.88</v>
      </c>
      <c r="P2490" s="0" t="s">
        <v>2444</v>
      </c>
    </row>
    <row r="2491" customFormat="false" ht="15" hidden="false" customHeight="true" outlineLevel="0" collapsed="false">
      <c r="A2491" s="0" t="n">
        <v>2</v>
      </c>
      <c r="B2491" s="71" t="n">
        <v>46204</v>
      </c>
      <c r="C2491" s="0" t="n">
        <v>1</v>
      </c>
      <c r="D2491" s="0" t="s">
        <v>2442</v>
      </c>
      <c r="E2491" s="0" t="n">
        <v>1328</v>
      </c>
      <c r="F2491" s="0" t="s">
        <v>95</v>
      </c>
      <c r="I2491" s="0" t="n">
        <v>3933</v>
      </c>
      <c r="J2491" s="0" t="n">
        <v>21060</v>
      </c>
      <c r="K2491" s="0" t="n">
        <v>7898588380118</v>
      </c>
      <c r="L2491" s="0" t="s">
        <v>2504</v>
      </c>
      <c r="N2491" s="0" t="n">
        <v>13</v>
      </c>
      <c r="O2491" s="0" t="n">
        <v>91</v>
      </c>
      <c r="P2491" s="0" t="s">
        <v>2444</v>
      </c>
    </row>
    <row r="2492" customFormat="false" ht="15" hidden="false" customHeight="true" outlineLevel="0" collapsed="false">
      <c r="A2492" s="0" t="n">
        <v>2</v>
      </c>
      <c r="B2492" s="71" t="n">
        <v>46204</v>
      </c>
      <c r="C2492" s="0" t="n">
        <v>1</v>
      </c>
      <c r="D2492" s="0" t="s">
        <v>2442</v>
      </c>
      <c r="E2492" s="0" t="n">
        <v>1328</v>
      </c>
      <c r="F2492" s="0" t="s">
        <v>95</v>
      </c>
      <c r="I2492" s="0" t="n">
        <v>3933</v>
      </c>
      <c r="J2492" s="0" t="n">
        <v>31789</v>
      </c>
      <c r="K2492" s="0" t="n">
        <v>7898588380149</v>
      </c>
      <c r="L2492" s="0" t="s">
        <v>2446</v>
      </c>
      <c r="N2492" s="0" t="n">
        <v>3</v>
      </c>
      <c r="O2492" s="0" t="n">
        <v>17.16</v>
      </c>
      <c r="P2492" s="0" t="s">
        <v>2444</v>
      </c>
    </row>
    <row r="2493" customFormat="false" ht="15" hidden="false" customHeight="true" outlineLevel="0" collapsed="false">
      <c r="A2493" s="0" t="n">
        <v>2</v>
      </c>
      <c r="B2493" s="71" t="n">
        <v>46204</v>
      </c>
      <c r="C2493" s="0" t="n">
        <v>1</v>
      </c>
      <c r="D2493" s="0" t="s">
        <v>2442</v>
      </c>
      <c r="E2493" s="0" t="n">
        <v>1328</v>
      </c>
      <c r="F2493" s="0" t="s">
        <v>95</v>
      </c>
      <c r="I2493" s="0" t="n">
        <v>3933</v>
      </c>
      <c r="J2493" s="0" t="n">
        <v>31782</v>
      </c>
      <c r="K2493" s="0" t="n">
        <v>7898588380132</v>
      </c>
      <c r="L2493" s="0" t="s">
        <v>2505</v>
      </c>
      <c r="N2493" s="0" t="n">
        <v>4</v>
      </c>
      <c r="O2493" s="0" t="n">
        <v>22.88</v>
      </c>
      <c r="P2493" s="0" t="s">
        <v>2444</v>
      </c>
    </row>
    <row r="2494" customFormat="false" ht="15" hidden="false" customHeight="true" outlineLevel="0" collapsed="false">
      <c r="A2494" s="0" t="n">
        <v>2</v>
      </c>
      <c r="B2494" s="71" t="n">
        <v>46204</v>
      </c>
      <c r="C2494" s="0" t="n">
        <v>1</v>
      </c>
      <c r="D2494" s="0" t="s">
        <v>2442</v>
      </c>
      <c r="E2494" s="0" t="n">
        <v>1328</v>
      </c>
      <c r="F2494" s="0" t="s">
        <v>95</v>
      </c>
      <c r="I2494" s="0" t="n">
        <v>3933</v>
      </c>
      <c r="J2494" s="0" t="n">
        <v>31787</v>
      </c>
      <c r="K2494" s="0" t="n">
        <v>7898588380125</v>
      </c>
      <c r="L2494" s="0" t="s">
        <v>2507</v>
      </c>
      <c r="N2494" s="0" t="n">
        <v>5</v>
      </c>
      <c r="O2494" s="0" t="n">
        <v>42</v>
      </c>
      <c r="P2494" s="0" t="s">
        <v>2444</v>
      </c>
    </row>
    <row r="2495" customFormat="false" ht="15" hidden="false" customHeight="true" outlineLevel="0" collapsed="false">
      <c r="A2495" s="0" t="n">
        <v>2</v>
      </c>
      <c r="B2495" s="71" t="n">
        <v>46204</v>
      </c>
      <c r="C2495" s="0" t="n">
        <v>1</v>
      </c>
      <c r="D2495" s="0" t="s">
        <v>2442</v>
      </c>
      <c r="E2495" s="0" t="n">
        <v>1328</v>
      </c>
      <c r="F2495" s="0" t="s">
        <v>95</v>
      </c>
      <c r="I2495" s="0" t="n">
        <v>3933</v>
      </c>
      <c r="J2495" s="0" t="n">
        <v>31790</v>
      </c>
      <c r="K2495" s="0" t="n">
        <v>7898588380231</v>
      </c>
      <c r="L2495" s="0" t="s">
        <v>2508</v>
      </c>
      <c r="N2495" s="0" t="n">
        <v>3</v>
      </c>
      <c r="O2495" s="0" t="n">
        <v>17.16</v>
      </c>
      <c r="P2495" s="0" t="s">
        <v>2444</v>
      </c>
    </row>
    <row r="2496" customFormat="false" ht="15" hidden="false" customHeight="true" outlineLevel="0" collapsed="false">
      <c r="A2496" s="0" t="n">
        <v>2</v>
      </c>
      <c r="B2496" s="71" t="n">
        <v>46204</v>
      </c>
      <c r="C2496" s="0" t="n">
        <v>1</v>
      </c>
      <c r="D2496" s="0" t="s">
        <v>2442</v>
      </c>
      <c r="E2496" s="0" t="n">
        <v>754</v>
      </c>
      <c r="F2496" s="0" t="s">
        <v>162</v>
      </c>
      <c r="I2496" s="0" t="n">
        <v>31492</v>
      </c>
      <c r="J2496" s="0" t="n">
        <v>29079</v>
      </c>
      <c r="K2496" s="0" t="n">
        <v>55515</v>
      </c>
      <c r="L2496" s="0" t="s">
        <v>2449</v>
      </c>
      <c r="N2496" s="0" t="n">
        <v>66.8</v>
      </c>
      <c r="O2496" s="0" t="n">
        <v>1670</v>
      </c>
      <c r="P2496" s="0" t="s">
        <v>2444</v>
      </c>
    </row>
    <row r="2497" customFormat="false" ht="15" hidden="false" customHeight="true" outlineLevel="0" collapsed="false">
      <c r="A2497" s="0" t="n">
        <v>2</v>
      </c>
      <c r="B2497" s="71" t="n">
        <v>46204</v>
      </c>
      <c r="C2497" s="0" t="n">
        <v>1</v>
      </c>
      <c r="D2497" s="0" t="s">
        <v>2442</v>
      </c>
      <c r="E2497" s="0" t="n">
        <v>754</v>
      </c>
      <c r="F2497" s="0" t="s">
        <v>162</v>
      </c>
      <c r="I2497" s="0" t="n">
        <v>31492</v>
      </c>
      <c r="J2497" s="0" t="n">
        <v>29080</v>
      </c>
      <c r="K2497" s="0" t="n">
        <v>55516</v>
      </c>
      <c r="L2497" s="0" t="s">
        <v>2450</v>
      </c>
      <c r="N2497" s="0" t="n">
        <v>58.8</v>
      </c>
      <c r="O2497" s="0" t="n">
        <v>1470</v>
      </c>
      <c r="P2497" s="0" t="s">
        <v>2444</v>
      </c>
    </row>
    <row r="2498" customFormat="false" ht="15" hidden="false" customHeight="true" outlineLevel="0" collapsed="false">
      <c r="A2498" s="0" t="n">
        <v>2</v>
      </c>
      <c r="B2498" s="71" t="n">
        <v>46204</v>
      </c>
      <c r="C2498" s="0" t="n">
        <v>1</v>
      </c>
      <c r="D2498" s="0" t="s">
        <v>2442</v>
      </c>
      <c r="E2498" s="0" t="n">
        <v>1671</v>
      </c>
      <c r="F2498" s="0" t="s">
        <v>119</v>
      </c>
      <c r="I2498" s="0" t="n">
        <v>576435</v>
      </c>
      <c r="J2498" s="0" t="n">
        <v>30195</v>
      </c>
      <c r="K2498" s="0" t="n">
        <v>7891024035078</v>
      </c>
      <c r="L2498" s="0" t="s">
        <v>3781</v>
      </c>
      <c r="N2498" s="0" t="n">
        <v>1</v>
      </c>
      <c r="O2498" s="0" t="n">
        <v>3.23</v>
      </c>
      <c r="P2498" s="0" t="s">
        <v>2444</v>
      </c>
    </row>
    <row r="2499" customFormat="false" ht="15" hidden="false" customHeight="true" outlineLevel="0" collapsed="false">
      <c r="A2499" s="0" t="n">
        <v>2</v>
      </c>
      <c r="B2499" s="71" t="n">
        <v>46204</v>
      </c>
      <c r="C2499" s="0" t="n">
        <v>1</v>
      </c>
      <c r="D2499" s="0" t="s">
        <v>2442</v>
      </c>
      <c r="E2499" s="0" t="n">
        <v>1671</v>
      </c>
      <c r="F2499" s="0" t="s">
        <v>119</v>
      </c>
      <c r="I2499" s="0" t="n">
        <v>576435</v>
      </c>
      <c r="J2499" s="0" t="n">
        <v>101010</v>
      </c>
      <c r="K2499" s="0" t="n">
        <v>7891024181072</v>
      </c>
      <c r="L2499" s="0" t="s">
        <v>3782</v>
      </c>
      <c r="N2499" s="0" t="n">
        <v>1</v>
      </c>
      <c r="O2499" s="0" t="n">
        <v>6.84</v>
      </c>
      <c r="P2499" s="0" t="s">
        <v>2444</v>
      </c>
    </row>
    <row r="2500" customFormat="false" ht="15" hidden="false" customHeight="true" outlineLevel="0" collapsed="false">
      <c r="A2500" s="0" t="n">
        <v>2</v>
      </c>
      <c r="B2500" s="71" t="n">
        <v>46204</v>
      </c>
      <c r="C2500" s="0" t="n">
        <v>1</v>
      </c>
      <c r="D2500" s="0" t="s">
        <v>2442</v>
      </c>
      <c r="E2500" s="0" t="n">
        <v>1671</v>
      </c>
      <c r="F2500" s="0" t="s">
        <v>119</v>
      </c>
      <c r="I2500" s="0" t="n">
        <v>576435</v>
      </c>
      <c r="J2500" s="0" t="n">
        <v>101153</v>
      </c>
      <c r="K2500" s="0" t="n">
        <v>7891024184271</v>
      </c>
      <c r="L2500" s="0" t="s">
        <v>3783</v>
      </c>
      <c r="N2500" s="0" t="n">
        <v>1</v>
      </c>
      <c r="O2500" s="0" t="n">
        <v>6.94</v>
      </c>
      <c r="P2500" s="0" t="s">
        <v>2444</v>
      </c>
    </row>
    <row r="2501" customFormat="false" ht="15" hidden="false" customHeight="true" outlineLevel="0" collapsed="false">
      <c r="A2501" s="0" t="n">
        <v>2</v>
      </c>
      <c r="B2501" s="71" t="n">
        <v>46204</v>
      </c>
      <c r="C2501" s="0" t="n">
        <v>1</v>
      </c>
      <c r="D2501" s="0" t="s">
        <v>2442</v>
      </c>
      <c r="E2501" s="0" t="n">
        <v>1671</v>
      </c>
      <c r="F2501" s="0" t="s">
        <v>119</v>
      </c>
      <c r="I2501" s="0" t="n">
        <v>576435</v>
      </c>
      <c r="J2501" s="0" t="n">
        <v>101303</v>
      </c>
      <c r="K2501" s="0" t="n">
        <v>7891024132005</v>
      </c>
      <c r="L2501" s="0" t="s">
        <v>3784</v>
      </c>
      <c r="N2501" s="0" t="n">
        <v>1</v>
      </c>
      <c r="O2501" s="0" t="n">
        <v>4.77</v>
      </c>
      <c r="P2501" s="0" t="s">
        <v>2444</v>
      </c>
    </row>
    <row r="2502" customFormat="false" ht="15" hidden="false" customHeight="true" outlineLevel="0" collapsed="false">
      <c r="A2502" s="0" t="n">
        <v>2</v>
      </c>
      <c r="B2502" s="71" t="n">
        <v>46204</v>
      </c>
      <c r="C2502" s="0" t="n">
        <v>1</v>
      </c>
      <c r="D2502" s="0" t="s">
        <v>2442</v>
      </c>
      <c r="E2502" s="0" t="n">
        <v>1671</v>
      </c>
      <c r="F2502" s="0" t="s">
        <v>119</v>
      </c>
      <c r="I2502" s="0" t="n">
        <v>576435</v>
      </c>
      <c r="J2502" s="0" t="n">
        <v>101339</v>
      </c>
      <c r="K2502" s="0" t="n">
        <v>7891528030142</v>
      </c>
      <c r="L2502" s="0" t="s">
        <v>3785</v>
      </c>
      <c r="N2502" s="0" t="n">
        <v>1</v>
      </c>
      <c r="O2502" s="0" t="n">
        <v>3.67</v>
      </c>
      <c r="P2502" s="0" t="s">
        <v>2444</v>
      </c>
    </row>
    <row r="2503" customFormat="false" ht="15" hidden="false" customHeight="true" outlineLevel="0" collapsed="false">
      <c r="A2503" s="0" t="n">
        <v>2</v>
      </c>
      <c r="B2503" s="71" t="n">
        <v>46204</v>
      </c>
      <c r="C2503" s="0" t="n">
        <v>1</v>
      </c>
      <c r="D2503" s="0" t="s">
        <v>2442</v>
      </c>
      <c r="E2503" s="0" t="n">
        <v>1671</v>
      </c>
      <c r="F2503" s="0" t="s">
        <v>119</v>
      </c>
      <c r="I2503" s="0" t="n">
        <v>576435</v>
      </c>
      <c r="J2503" s="0" t="n">
        <v>104031</v>
      </c>
      <c r="K2503" s="0" t="n">
        <v>7891024134702</v>
      </c>
      <c r="L2503" s="0" t="s">
        <v>3786</v>
      </c>
      <c r="N2503" s="0" t="n">
        <v>1</v>
      </c>
      <c r="O2503" s="0" t="n">
        <v>4.33</v>
      </c>
      <c r="P2503" s="0" t="s">
        <v>2444</v>
      </c>
    </row>
    <row r="2504" customFormat="false" ht="15" hidden="false" customHeight="true" outlineLevel="0" collapsed="false">
      <c r="A2504" s="0" t="n">
        <v>2</v>
      </c>
      <c r="B2504" s="71" t="n">
        <v>46204</v>
      </c>
      <c r="C2504" s="0" t="n">
        <v>1</v>
      </c>
      <c r="D2504" s="0" t="s">
        <v>2442</v>
      </c>
      <c r="E2504" s="0" t="n">
        <v>1671</v>
      </c>
      <c r="F2504" s="0" t="s">
        <v>119</v>
      </c>
      <c r="I2504" s="0" t="n">
        <v>576435</v>
      </c>
      <c r="J2504" s="0" t="n">
        <v>104213</v>
      </c>
      <c r="K2504" s="0" t="n">
        <v>7891024174036</v>
      </c>
      <c r="L2504" s="0" t="s">
        <v>3787</v>
      </c>
      <c r="N2504" s="0" t="n">
        <v>1</v>
      </c>
      <c r="O2504" s="0" t="n">
        <v>7.91</v>
      </c>
      <c r="P2504" s="0" t="s">
        <v>2444</v>
      </c>
    </row>
    <row r="2505" customFormat="false" ht="15" hidden="false" customHeight="true" outlineLevel="0" collapsed="false">
      <c r="A2505" s="0" t="n">
        <v>2</v>
      </c>
      <c r="B2505" s="71" t="n">
        <v>46204</v>
      </c>
      <c r="C2505" s="0" t="n">
        <v>1</v>
      </c>
      <c r="D2505" s="0" t="s">
        <v>2442</v>
      </c>
      <c r="E2505" s="0" t="n">
        <v>1671</v>
      </c>
      <c r="F2505" s="0" t="s">
        <v>119</v>
      </c>
      <c r="I2505" s="0" t="n">
        <v>576435</v>
      </c>
      <c r="J2505" s="0" t="n">
        <v>106013</v>
      </c>
      <c r="K2505" s="0" t="n">
        <v>7891024194102</v>
      </c>
      <c r="L2505" s="0" t="s">
        <v>3788</v>
      </c>
      <c r="N2505" s="0" t="n">
        <v>1</v>
      </c>
      <c r="O2505" s="0" t="n">
        <v>6.9</v>
      </c>
      <c r="P2505" s="0" t="s">
        <v>2444</v>
      </c>
    </row>
    <row r="2506" customFormat="false" ht="15" hidden="false" customHeight="true" outlineLevel="0" collapsed="false">
      <c r="A2506" s="0" t="n">
        <v>2</v>
      </c>
      <c r="B2506" s="71" t="n">
        <v>46204</v>
      </c>
      <c r="C2506" s="0" t="n">
        <v>1</v>
      </c>
      <c r="D2506" s="0" t="s">
        <v>2442</v>
      </c>
      <c r="E2506" s="0" t="n">
        <v>1671</v>
      </c>
      <c r="F2506" s="0" t="s">
        <v>119</v>
      </c>
      <c r="I2506" s="0" t="n">
        <v>576435</v>
      </c>
      <c r="J2506" s="0" t="n">
        <v>106159</v>
      </c>
      <c r="K2506" s="0" t="n">
        <v>7891024184509</v>
      </c>
      <c r="L2506" s="0" t="s">
        <v>3789</v>
      </c>
      <c r="N2506" s="0" t="n">
        <v>12</v>
      </c>
      <c r="O2506" s="0" t="n">
        <v>40.69</v>
      </c>
      <c r="P2506" s="0" t="s">
        <v>2444</v>
      </c>
    </row>
    <row r="2507" customFormat="false" ht="15" hidden="false" customHeight="true" outlineLevel="0" collapsed="false">
      <c r="A2507" s="0" t="n">
        <v>2</v>
      </c>
      <c r="B2507" s="71" t="n">
        <v>46204</v>
      </c>
      <c r="C2507" s="0" t="n">
        <v>1</v>
      </c>
      <c r="D2507" s="0" t="s">
        <v>2442</v>
      </c>
      <c r="E2507" s="0" t="n">
        <v>1671</v>
      </c>
      <c r="F2507" s="0" t="s">
        <v>119</v>
      </c>
      <c r="I2507" s="0" t="n">
        <v>576435</v>
      </c>
      <c r="J2507" s="0" t="n">
        <v>17581</v>
      </c>
      <c r="K2507" s="0" t="n">
        <v>7891528112534</v>
      </c>
      <c r="L2507" s="0" t="s">
        <v>3790</v>
      </c>
      <c r="N2507" s="0" t="n">
        <v>1</v>
      </c>
      <c r="O2507" s="0" t="n">
        <v>6.31</v>
      </c>
      <c r="P2507" s="0" t="s">
        <v>2444</v>
      </c>
    </row>
    <row r="2508" customFormat="false" ht="15" hidden="false" customHeight="true" outlineLevel="0" collapsed="false">
      <c r="A2508" s="0" t="n">
        <v>2</v>
      </c>
      <c r="B2508" s="71" t="n">
        <v>46204</v>
      </c>
      <c r="C2508" s="0" t="n">
        <v>1</v>
      </c>
      <c r="D2508" s="0" t="s">
        <v>2442</v>
      </c>
      <c r="E2508" s="0" t="n">
        <v>1671</v>
      </c>
      <c r="F2508" s="0" t="s">
        <v>119</v>
      </c>
      <c r="I2508" s="0" t="n">
        <v>576435</v>
      </c>
      <c r="J2508" s="0" t="n">
        <v>19802</v>
      </c>
      <c r="K2508" s="0" t="n">
        <v>7891024110355</v>
      </c>
      <c r="L2508" s="0" t="s">
        <v>3791</v>
      </c>
      <c r="N2508" s="0" t="n">
        <v>1</v>
      </c>
      <c r="O2508" s="0" t="n">
        <v>3.4</v>
      </c>
      <c r="P2508" s="0" t="s">
        <v>2444</v>
      </c>
    </row>
    <row r="2509" customFormat="false" ht="15" hidden="false" customHeight="true" outlineLevel="0" collapsed="false">
      <c r="A2509" s="0" t="n">
        <v>2</v>
      </c>
      <c r="B2509" s="71" t="n">
        <v>46204</v>
      </c>
      <c r="C2509" s="0" t="n">
        <v>1</v>
      </c>
      <c r="D2509" s="0" t="s">
        <v>2442</v>
      </c>
      <c r="E2509" s="0" t="n">
        <v>1671</v>
      </c>
      <c r="F2509" s="0" t="s">
        <v>119</v>
      </c>
      <c r="I2509" s="0" t="n">
        <v>576435</v>
      </c>
      <c r="J2509" s="0" t="n">
        <v>25537</v>
      </c>
      <c r="K2509" s="0" t="n">
        <v>7891024026434</v>
      </c>
      <c r="L2509" s="0" t="s">
        <v>3792</v>
      </c>
      <c r="N2509" s="0" t="n">
        <v>1</v>
      </c>
      <c r="O2509" s="0" t="n">
        <v>10.88</v>
      </c>
      <c r="P2509" s="0" t="s">
        <v>2444</v>
      </c>
    </row>
    <row r="2510" customFormat="false" ht="15" hidden="false" customHeight="true" outlineLevel="0" collapsed="false">
      <c r="A2510" s="0" t="n">
        <v>2</v>
      </c>
      <c r="B2510" s="71" t="n">
        <v>46204</v>
      </c>
      <c r="C2510" s="0" t="n">
        <v>1</v>
      </c>
      <c r="D2510" s="0" t="s">
        <v>2442</v>
      </c>
      <c r="E2510" s="0" t="n">
        <v>1671</v>
      </c>
      <c r="F2510" s="0" t="s">
        <v>119</v>
      </c>
      <c r="I2510" s="0" t="n">
        <v>576435</v>
      </c>
      <c r="J2510" s="0" t="n">
        <v>26085</v>
      </c>
      <c r="K2510" s="0" t="n">
        <v>7891528029498</v>
      </c>
      <c r="L2510" s="0" t="s">
        <v>3793</v>
      </c>
      <c r="N2510" s="0" t="n">
        <v>1</v>
      </c>
      <c r="O2510" s="0" t="n">
        <v>2.92</v>
      </c>
      <c r="P2510" s="0" t="s">
        <v>2444</v>
      </c>
    </row>
    <row r="2511" customFormat="false" ht="15" hidden="false" customHeight="true" outlineLevel="0" collapsed="false">
      <c r="A2511" s="0" t="n">
        <v>2</v>
      </c>
      <c r="B2511" s="71" t="n">
        <v>46204</v>
      </c>
      <c r="C2511" s="0" t="n">
        <v>1</v>
      </c>
      <c r="D2511" s="0" t="s">
        <v>2442</v>
      </c>
      <c r="E2511" s="0" t="n">
        <v>1671</v>
      </c>
      <c r="F2511" s="0" t="s">
        <v>119</v>
      </c>
      <c r="I2511" s="0" t="n">
        <v>576435</v>
      </c>
      <c r="J2511" s="0" t="n">
        <v>27764</v>
      </c>
      <c r="K2511" s="0" t="n">
        <v>7891024034781</v>
      </c>
      <c r="L2511" s="0" t="s">
        <v>3794</v>
      </c>
      <c r="N2511" s="0" t="n">
        <v>1</v>
      </c>
      <c r="O2511" s="0" t="n">
        <v>2.07</v>
      </c>
      <c r="P2511" s="0" t="s">
        <v>2444</v>
      </c>
    </row>
    <row r="2512" customFormat="false" ht="15" hidden="false" customHeight="true" outlineLevel="0" collapsed="false">
      <c r="A2512" s="0" t="n">
        <v>2</v>
      </c>
      <c r="B2512" s="71" t="n">
        <v>46204</v>
      </c>
      <c r="C2512" s="0" t="n">
        <v>1</v>
      </c>
      <c r="D2512" s="0" t="s">
        <v>2442</v>
      </c>
      <c r="E2512" s="0" t="n">
        <v>1671</v>
      </c>
      <c r="F2512" s="0" t="s">
        <v>119</v>
      </c>
      <c r="I2512" s="0" t="n">
        <v>576435</v>
      </c>
      <c r="J2512" s="0" t="n">
        <v>56310</v>
      </c>
      <c r="K2512" s="0" t="n">
        <v>7509546686042</v>
      </c>
      <c r="L2512" s="0" t="s">
        <v>3795</v>
      </c>
      <c r="N2512" s="0" t="n">
        <v>6</v>
      </c>
      <c r="O2512" s="0" t="n">
        <v>63.98</v>
      </c>
      <c r="P2512" s="0" t="s">
        <v>2444</v>
      </c>
    </row>
    <row r="2513" customFormat="false" ht="15" hidden="false" customHeight="true" outlineLevel="0" collapsed="false">
      <c r="A2513" s="0" t="n">
        <v>2</v>
      </c>
      <c r="B2513" s="71" t="n">
        <v>46204</v>
      </c>
      <c r="C2513" s="0" t="n">
        <v>1</v>
      </c>
      <c r="D2513" s="0" t="s">
        <v>2442</v>
      </c>
      <c r="E2513" s="0" t="n">
        <v>1671</v>
      </c>
      <c r="F2513" s="0" t="s">
        <v>119</v>
      </c>
      <c r="I2513" s="0" t="n">
        <v>576435</v>
      </c>
      <c r="J2513" s="0" t="n">
        <v>57369</v>
      </c>
      <c r="K2513" s="0" t="n">
        <v>7509546687537</v>
      </c>
      <c r="L2513" s="0" t="s">
        <v>3796</v>
      </c>
      <c r="N2513" s="0" t="n">
        <v>1</v>
      </c>
      <c r="O2513" s="0" t="n">
        <v>5.82</v>
      </c>
      <c r="P2513" s="0" t="s">
        <v>2444</v>
      </c>
    </row>
    <row r="2514" customFormat="false" ht="15" hidden="false" customHeight="true" outlineLevel="0" collapsed="false">
      <c r="A2514" s="0" t="n">
        <v>2</v>
      </c>
      <c r="B2514" s="71" t="n">
        <v>46204</v>
      </c>
      <c r="C2514" s="0" t="n">
        <v>1</v>
      </c>
      <c r="D2514" s="0" t="s">
        <v>2442</v>
      </c>
      <c r="E2514" s="0" t="n">
        <v>1671</v>
      </c>
      <c r="F2514" s="0" t="s">
        <v>119</v>
      </c>
      <c r="I2514" s="0" t="n">
        <v>576435</v>
      </c>
      <c r="J2514" s="0" t="n">
        <v>77865</v>
      </c>
      <c r="K2514" s="0" t="n">
        <v>7891024028995</v>
      </c>
      <c r="L2514" s="0" t="s">
        <v>3797</v>
      </c>
      <c r="N2514" s="0" t="n">
        <v>1</v>
      </c>
      <c r="O2514" s="0" t="n">
        <v>5.73</v>
      </c>
      <c r="P2514" s="0" t="s">
        <v>2444</v>
      </c>
    </row>
    <row r="2515" customFormat="false" ht="15" hidden="false" customHeight="true" outlineLevel="0" collapsed="false">
      <c r="A2515" s="0" t="n">
        <v>2</v>
      </c>
      <c r="B2515" s="71" t="n">
        <v>46204</v>
      </c>
      <c r="C2515" s="0" t="n">
        <v>1</v>
      </c>
      <c r="D2515" s="0" t="s">
        <v>2442</v>
      </c>
      <c r="E2515" s="0" t="n">
        <v>1671</v>
      </c>
      <c r="F2515" s="0" t="s">
        <v>119</v>
      </c>
      <c r="I2515" s="0" t="n">
        <v>576435</v>
      </c>
      <c r="J2515" s="0" t="n">
        <v>78213</v>
      </c>
      <c r="K2515" s="0" t="n">
        <v>7509546702605</v>
      </c>
      <c r="L2515" s="0" t="s">
        <v>3798</v>
      </c>
      <c r="N2515" s="0" t="n">
        <v>6</v>
      </c>
      <c r="O2515" s="0" t="n">
        <v>52.61</v>
      </c>
      <c r="P2515" s="0" t="s">
        <v>2444</v>
      </c>
    </row>
    <row r="2516" customFormat="false" ht="15" hidden="false" customHeight="true" outlineLevel="0" collapsed="false">
      <c r="A2516" s="0" t="n">
        <v>2</v>
      </c>
      <c r="B2516" s="71" t="n">
        <v>46204</v>
      </c>
      <c r="C2516" s="0" t="n">
        <v>1</v>
      </c>
      <c r="D2516" s="0" t="s">
        <v>2442</v>
      </c>
      <c r="E2516" s="0" t="n">
        <v>1671</v>
      </c>
      <c r="F2516" s="0" t="s">
        <v>119</v>
      </c>
      <c r="I2516" s="0" t="n">
        <v>576435</v>
      </c>
      <c r="J2516" s="0" t="n">
        <v>80578</v>
      </c>
      <c r="K2516" s="0" t="n">
        <v>7509546703602</v>
      </c>
      <c r="L2516" s="0" t="s">
        <v>3799</v>
      </c>
      <c r="N2516" s="0" t="n">
        <v>6</v>
      </c>
      <c r="O2516" s="0" t="n">
        <v>57</v>
      </c>
      <c r="P2516" s="0" t="s">
        <v>2444</v>
      </c>
    </row>
    <row r="2517" customFormat="false" ht="15" hidden="false" customHeight="true" outlineLevel="0" collapsed="false">
      <c r="A2517" s="0" t="n">
        <v>2</v>
      </c>
      <c r="B2517" s="71" t="n">
        <v>46204</v>
      </c>
      <c r="C2517" s="0" t="n">
        <v>1</v>
      </c>
      <c r="D2517" s="0" t="s">
        <v>2442</v>
      </c>
      <c r="E2517" s="0" t="n">
        <v>1611</v>
      </c>
      <c r="F2517" s="0" t="s">
        <v>178</v>
      </c>
      <c r="I2517" s="0" t="n">
        <v>1777487</v>
      </c>
      <c r="J2517" s="0" t="n">
        <v>80722</v>
      </c>
      <c r="K2517" s="0" t="n">
        <v>7897653549146</v>
      </c>
      <c r="L2517" s="0" t="s">
        <v>3182</v>
      </c>
      <c r="N2517" s="0" t="n">
        <v>300</v>
      </c>
      <c r="O2517" s="0" t="n">
        <v>1626.33</v>
      </c>
      <c r="P2517" s="0" t="s">
        <v>2444</v>
      </c>
    </row>
    <row r="2518" customFormat="false" ht="15" hidden="false" customHeight="true" outlineLevel="0" collapsed="false">
      <c r="A2518" s="0" t="n">
        <v>2</v>
      </c>
      <c r="B2518" s="71" t="n">
        <v>46204</v>
      </c>
      <c r="C2518" s="0" t="n">
        <v>2</v>
      </c>
      <c r="D2518" s="0" t="s">
        <v>2533</v>
      </c>
      <c r="E2518" s="0" t="n">
        <v>48</v>
      </c>
      <c r="F2518" s="0" t="s">
        <v>153</v>
      </c>
      <c r="I2518" s="0" t="n">
        <v>1726</v>
      </c>
      <c r="J2518" s="0" t="n">
        <v>42564</v>
      </c>
      <c r="K2518" s="0" t="n">
        <v>574</v>
      </c>
      <c r="L2518" s="0" t="s">
        <v>2534</v>
      </c>
      <c r="N2518" s="0" t="n">
        <v>15</v>
      </c>
      <c r="O2518" s="0" t="n">
        <v>210</v>
      </c>
      <c r="P2518" s="0" t="s">
        <v>2444</v>
      </c>
    </row>
    <row r="2519" customFormat="false" ht="15" hidden="false" customHeight="true" outlineLevel="0" collapsed="false">
      <c r="A2519" s="0" t="n">
        <v>2</v>
      </c>
      <c r="B2519" s="71" t="n">
        <v>46204</v>
      </c>
      <c r="C2519" s="0" t="n">
        <v>6</v>
      </c>
      <c r="D2519" s="0" t="s">
        <v>2553</v>
      </c>
      <c r="E2519" s="0" t="n">
        <v>48</v>
      </c>
      <c r="F2519" s="0" t="s">
        <v>153</v>
      </c>
      <c r="I2519" s="0" t="n">
        <v>2520</v>
      </c>
      <c r="J2519" s="0" t="n">
        <v>42564</v>
      </c>
      <c r="K2519" s="0" t="n">
        <v>574</v>
      </c>
      <c r="L2519" s="0" t="s">
        <v>2534</v>
      </c>
      <c r="N2519" s="0" t="n">
        <v>15</v>
      </c>
      <c r="O2519" s="0" t="n">
        <v>210</v>
      </c>
      <c r="P2519" s="0" t="s">
        <v>2444</v>
      </c>
    </row>
    <row r="2520" customFormat="false" ht="15" hidden="false" customHeight="true" outlineLevel="0" collapsed="false">
      <c r="A2520" s="0" t="n">
        <v>2</v>
      </c>
      <c r="B2520" s="71" t="n">
        <v>46204</v>
      </c>
      <c r="C2520" s="0" t="n">
        <v>22</v>
      </c>
      <c r="D2520" s="0" t="s">
        <v>2479</v>
      </c>
      <c r="E2520" s="0" t="n">
        <v>48</v>
      </c>
      <c r="F2520" s="0" t="s">
        <v>153</v>
      </c>
      <c r="I2520" s="0" t="n">
        <v>2519</v>
      </c>
      <c r="J2520" s="0" t="n">
        <v>100000</v>
      </c>
      <c r="K2520" s="0" t="n">
        <v>1</v>
      </c>
      <c r="L2520" s="0" t="s">
        <v>2480</v>
      </c>
      <c r="N2520" s="0" t="n">
        <v>2.146</v>
      </c>
      <c r="O2520" s="0" t="n">
        <v>45.62</v>
      </c>
      <c r="P2520" s="0" t="s">
        <v>2444</v>
      </c>
    </row>
    <row r="2521" customFormat="false" ht="15" hidden="false" customHeight="true" outlineLevel="0" collapsed="false">
      <c r="A2521" s="0" t="n">
        <v>2</v>
      </c>
      <c r="B2521" s="71" t="n">
        <v>46204</v>
      </c>
      <c r="C2521" s="0" t="n">
        <v>22</v>
      </c>
      <c r="D2521" s="0" t="s">
        <v>2479</v>
      </c>
      <c r="E2521" s="0" t="n">
        <v>48</v>
      </c>
      <c r="F2521" s="0" t="s">
        <v>153</v>
      </c>
      <c r="I2521" s="0" t="n">
        <v>2519</v>
      </c>
      <c r="J2521" s="0" t="n">
        <v>100000</v>
      </c>
      <c r="K2521" s="0" t="n">
        <v>1</v>
      </c>
      <c r="L2521" s="0" t="s">
        <v>2480</v>
      </c>
      <c r="N2521" s="0" t="n">
        <v>2.66</v>
      </c>
      <c r="O2521" s="0" t="n">
        <v>44.21</v>
      </c>
      <c r="P2521" s="0" t="s">
        <v>2444</v>
      </c>
    </row>
    <row r="2522" customFormat="false" ht="15" hidden="false" customHeight="true" outlineLevel="0" collapsed="false">
      <c r="A2522" s="0" t="n">
        <v>2</v>
      </c>
      <c r="B2522" s="71" t="n">
        <v>46204</v>
      </c>
      <c r="C2522" s="0" t="n">
        <v>22</v>
      </c>
      <c r="D2522" s="0" t="s">
        <v>2479</v>
      </c>
      <c r="E2522" s="0" t="n">
        <v>48</v>
      </c>
      <c r="F2522" s="0" t="s">
        <v>153</v>
      </c>
      <c r="I2522" s="0" t="n">
        <v>2519</v>
      </c>
      <c r="J2522" s="0" t="n">
        <v>100001</v>
      </c>
      <c r="K2522" s="0" t="n">
        <v>2</v>
      </c>
      <c r="L2522" s="0" t="s">
        <v>2481</v>
      </c>
      <c r="N2522" s="0" t="n">
        <v>8.565</v>
      </c>
      <c r="O2522" s="0" t="n">
        <v>197.26</v>
      </c>
      <c r="P2522" s="0" t="s">
        <v>2444</v>
      </c>
    </row>
    <row r="2523" customFormat="false" ht="15" hidden="false" customHeight="true" outlineLevel="0" collapsed="false">
      <c r="A2523" s="0" t="n">
        <v>2</v>
      </c>
      <c r="B2523" s="71" t="n">
        <v>46204</v>
      </c>
      <c r="C2523" s="0" t="n">
        <v>22</v>
      </c>
      <c r="D2523" s="0" t="s">
        <v>2479</v>
      </c>
      <c r="E2523" s="0" t="n">
        <v>48</v>
      </c>
      <c r="F2523" s="0" t="s">
        <v>153</v>
      </c>
      <c r="I2523" s="0" t="n">
        <v>2519</v>
      </c>
      <c r="J2523" s="0" t="n">
        <v>100002</v>
      </c>
      <c r="K2523" s="0" t="n">
        <v>3</v>
      </c>
      <c r="L2523" s="0" t="s">
        <v>2482</v>
      </c>
      <c r="N2523" s="0" t="n">
        <v>20.65</v>
      </c>
      <c r="O2523" s="0" t="n">
        <v>548.77</v>
      </c>
      <c r="P2523" s="0" t="s">
        <v>2444</v>
      </c>
    </row>
    <row r="2524" customFormat="false" ht="15" hidden="false" customHeight="true" outlineLevel="0" collapsed="false">
      <c r="A2524" s="0" t="n">
        <v>2</v>
      </c>
      <c r="B2524" s="71" t="n">
        <v>46204</v>
      </c>
      <c r="C2524" s="0" t="n">
        <v>22</v>
      </c>
      <c r="D2524" s="0" t="s">
        <v>2479</v>
      </c>
      <c r="E2524" s="0" t="n">
        <v>48</v>
      </c>
      <c r="F2524" s="0" t="s">
        <v>153</v>
      </c>
      <c r="I2524" s="0" t="n">
        <v>2519</v>
      </c>
      <c r="J2524" s="0" t="n">
        <v>100003</v>
      </c>
      <c r="K2524" s="0" t="n">
        <v>4</v>
      </c>
      <c r="L2524" s="0" t="s">
        <v>2483</v>
      </c>
      <c r="N2524" s="0" t="n">
        <v>13.03</v>
      </c>
      <c r="O2524" s="0" t="n">
        <v>369.36</v>
      </c>
      <c r="P2524" s="0" t="s">
        <v>2444</v>
      </c>
    </row>
    <row r="2525" customFormat="false" ht="15" hidden="false" customHeight="true" outlineLevel="0" collapsed="false">
      <c r="A2525" s="0" t="n">
        <v>2</v>
      </c>
      <c r="B2525" s="71" t="n">
        <v>46204</v>
      </c>
      <c r="C2525" s="0" t="n">
        <v>22</v>
      </c>
      <c r="D2525" s="0" t="s">
        <v>2479</v>
      </c>
      <c r="E2525" s="0" t="n">
        <v>48</v>
      </c>
      <c r="F2525" s="0" t="s">
        <v>153</v>
      </c>
      <c r="I2525" s="0" t="n">
        <v>2519</v>
      </c>
      <c r="J2525" s="0" t="n">
        <v>100004</v>
      </c>
      <c r="K2525" s="0" t="n">
        <v>5</v>
      </c>
      <c r="L2525" s="0" t="s">
        <v>2484</v>
      </c>
      <c r="N2525" s="0" t="n">
        <v>9.145</v>
      </c>
      <c r="O2525" s="0" t="n">
        <v>177.35</v>
      </c>
      <c r="P2525" s="0" t="s">
        <v>2444</v>
      </c>
    </row>
    <row r="2526" customFormat="false" ht="15" hidden="false" customHeight="true" outlineLevel="0" collapsed="false">
      <c r="A2526" s="0" t="n">
        <v>2</v>
      </c>
      <c r="B2526" s="71" t="n">
        <v>46204</v>
      </c>
      <c r="C2526" s="0" t="n">
        <v>22</v>
      </c>
      <c r="D2526" s="0" t="s">
        <v>2479</v>
      </c>
      <c r="E2526" s="0" t="n">
        <v>48</v>
      </c>
      <c r="F2526" s="0" t="s">
        <v>153</v>
      </c>
      <c r="I2526" s="0" t="n">
        <v>2519</v>
      </c>
      <c r="J2526" s="0" t="n">
        <v>100004</v>
      </c>
      <c r="K2526" s="0" t="n">
        <v>5</v>
      </c>
      <c r="L2526" s="0" t="s">
        <v>2484</v>
      </c>
      <c r="N2526" s="0" t="n">
        <v>0.672</v>
      </c>
      <c r="O2526" s="0" t="n">
        <v>16.67</v>
      </c>
      <c r="P2526" s="0" t="s">
        <v>2444</v>
      </c>
    </row>
    <row r="2527" customFormat="false" ht="15" hidden="false" customHeight="true" outlineLevel="0" collapsed="false">
      <c r="A2527" s="0" t="n">
        <v>2</v>
      </c>
      <c r="B2527" s="71" t="n">
        <v>46204</v>
      </c>
      <c r="C2527" s="0" t="n">
        <v>22</v>
      </c>
      <c r="D2527" s="0" t="s">
        <v>2479</v>
      </c>
      <c r="E2527" s="0" t="n">
        <v>48</v>
      </c>
      <c r="F2527" s="0" t="s">
        <v>153</v>
      </c>
      <c r="I2527" s="0" t="n">
        <v>2519</v>
      </c>
      <c r="J2527" s="0" t="n">
        <v>100006</v>
      </c>
      <c r="K2527" s="0" t="n">
        <v>7</v>
      </c>
      <c r="L2527" s="0" t="s">
        <v>2485</v>
      </c>
      <c r="N2527" s="0" t="n">
        <v>2</v>
      </c>
      <c r="O2527" s="0" t="n">
        <v>47.1</v>
      </c>
      <c r="P2527" s="0" t="s">
        <v>2444</v>
      </c>
    </row>
    <row r="2528" customFormat="false" ht="15" hidden="false" customHeight="true" outlineLevel="0" collapsed="false">
      <c r="A2528" s="0" t="n">
        <v>2</v>
      </c>
      <c r="B2528" s="71" t="n">
        <v>46204</v>
      </c>
      <c r="C2528" s="0" t="n">
        <v>22</v>
      </c>
      <c r="D2528" s="0" t="s">
        <v>2479</v>
      </c>
      <c r="E2528" s="0" t="n">
        <v>48</v>
      </c>
      <c r="F2528" s="0" t="s">
        <v>153</v>
      </c>
      <c r="I2528" s="0" t="n">
        <v>2519</v>
      </c>
      <c r="J2528" s="0" t="n">
        <v>100007</v>
      </c>
      <c r="K2528" s="0" t="n">
        <v>8</v>
      </c>
      <c r="L2528" s="0" t="s">
        <v>2486</v>
      </c>
      <c r="N2528" s="0" t="n">
        <v>7.586</v>
      </c>
      <c r="O2528" s="0" t="n">
        <v>201.6</v>
      </c>
      <c r="P2528" s="0" t="s">
        <v>2444</v>
      </c>
    </row>
    <row r="2529" customFormat="false" ht="15" hidden="false" customHeight="true" outlineLevel="0" collapsed="false">
      <c r="A2529" s="0" t="n">
        <v>2</v>
      </c>
      <c r="B2529" s="71" t="n">
        <v>46204</v>
      </c>
      <c r="C2529" s="0" t="n">
        <v>22</v>
      </c>
      <c r="D2529" s="0" t="s">
        <v>2479</v>
      </c>
      <c r="E2529" s="0" t="n">
        <v>48</v>
      </c>
      <c r="F2529" s="0" t="s">
        <v>153</v>
      </c>
      <c r="I2529" s="0" t="n">
        <v>2519</v>
      </c>
      <c r="J2529" s="0" t="n">
        <v>100007</v>
      </c>
      <c r="K2529" s="0" t="n">
        <v>8</v>
      </c>
      <c r="L2529" s="0" t="s">
        <v>2486</v>
      </c>
      <c r="N2529" s="0" t="n">
        <v>1.266</v>
      </c>
      <c r="O2529" s="0" t="n">
        <v>26.31</v>
      </c>
      <c r="P2529" s="0" t="s">
        <v>2444</v>
      </c>
    </row>
    <row r="2530" customFormat="false" ht="15" hidden="false" customHeight="true" outlineLevel="0" collapsed="false">
      <c r="A2530" s="0" t="n">
        <v>2</v>
      </c>
      <c r="B2530" s="71" t="n">
        <v>46204</v>
      </c>
      <c r="C2530" s="0" t="n">
        <v>22</v>
      </c>
      <c r="D2530" s="0" t="s">
        <v>2479</v>
      </c>
      <c r="E2530" s="0" t="n">
        <v>48</v>
      </c>
      <c r="F2530" s="0" t="s">
        <v>153</v>
      </c>
      <c r="I2530" s="0" t="n">
        <v>2519</v>
      </c>
      <c r="J2530" s="0" t="n">
        <v>100008</v>
      </c>
      <c r="K2530" s="0" t="n">
        <v>9</v>
      </c>
      <c r="L2530" s="0" t="s">
        <v>2487</v>
      </c>
      <c r="N2530" s="0" t="n">
        <v>9.355</v>
      </c>
      <c r="O2530" s="0" t="n">
        <v>252.72</v>
      </c>
      <c r="P2530" s="0" t="s">
        <v>2444</v>
      </c>
    </row>
    <row r="2531" customFormat="false" ht="15" hidden="false" customHeight="true" outlineLevel="0" collapsed="false">
      <c r="A2531" s="0" t="n">
        <v>2</v>
      </c>
      <c r="B2531" s="71" t="n">
        <v>46204</v>
      </c>
      <c r="C2531" s="0" t="n">
        <v>22</v>
      </c>
      <c r="D2531" s="0" t="s">
        <v>2479</v>
      </c>
      <c r="E2531" s="0" t="n">
        <v>48</v>
      </c>
      <c r="F2531" s="0" t="s">
        <v>153</v>
      </c>
      <c r="I2531" s="0" t="n">
        <v>2519</v>
      </c>
      <c r="J2531" s="0" t="n">
        <v>100011</v>
      </c>
      <c r="K2531" s="0" t="n">
        <v>12</v>
      </c>
      <c r="L2531" s="0" t="s">
        <v>2488</v>
      </c>
      <c r="N2531" s="0" t="n">
        <v>7.305</v>
      </c>
      <c r="O2531" s="0" t="n">
        <v>222.64</v>
      </c>
      <c r="P2531" s="0" t="s">
        <v>2444</v>
      </c>
    </row>
    <row r="2532" customFormat="false" ht="15" hidden="false" customHeight="true" outlineLevel="0" collapsed="false">
      <c r="A2532" s="0" t="n">
        <v>2</v>
      </c>
      <c r="B2532" s="71" t="n">
        <v>46204</v>
      </c>
      <c r="C2532" s="0" t="n">
        <v>22</v>
      </c>
      <c r="D2532" s="0" t="s">
        <v>2479</v>
      </c>
      <c r="E2532" s="0" t="n">
        <v>48</v>
      </c>
      <c r="F2532" s="0" t="s">
        <v>153</v>
      </c>
      <c r="I2532" s="0" t="n">
        <v>2519</v>
      </c>
      <c r="J2532" s="0" t="n">
        <v>100012</v>
      </c>
      <c r="K2532" s="0" t="n">
        <v>13</v>
      </c>
      <c r="L2532" s="0" t="s">
        <v>2489</v>
      </c>
      <c r="N2532" s="0" t="n">
        <v>4.664</v>
      </c>
      <c r="O2532" s="0" t="n">
        <v>161.54</v>
      </c>
      <c r="P2532" s="0" t="s">
        <v>2444</v>
      </c>
    </row>
    <row r="2533" customFormat="false" ht="15" hidden="false" customHeight="true" outlineLevel="0" collapsed="false">
      <c r="A2533" s="0" t="n">
        <v>2</v>
      </c>
      <c r="B2533" s="71" t="n">
        <v>46204</v>
      </c>
      <c r="C2533" s="0" t="n">
        <v>22</v>
      </c>
      <c r="D2533" s="0" t="s">
        <v>2479</v>
      </c>
      <c r="E2533" s="0" t="n">
        <v>48</v>
      </c>
      <c r="F2533" s="0" t="s">
        <v>153</v>
      </c>
      <c r="I2533" s="0" t="n">
        <v>2519</v>
      </c>
      <c r="J2533" s="0" t="n">
        <v>100013</v>
      </c>
      <c r="K2533" s="0" t="n">
        <v>14</v>
      </c>
      <c r="L2533" s="0" t="s">
        <v>2490</v>
      </c>
      <c r="N2533" s="0" t="n">
        <v>8.295</v>
      </c>
      <c r="O2533" s="0" t="n">
        <v>304.54</v>
      </c>
      <c r="P2533" s="0" t="s">
        <v>2444</v>
      </c>
    </row>
    <row r="2534" customFormat="false" ht="15" hidden="false" customHeight="true" outlineLevel="0" collapsed="false">
      <c r="A2534" s="0" t="n">
        <v>2</v>
      </c>
      <c r="B2534" s="71" t="n">
        <v>46204</v>
      </c>
      <c r="C2534" s="0" t="n">
        <v>22</v>
      </c>
      <c r="D2534" s="0" t="s">
        <v>2479</v>
      </c>
      <c r="E2534" s="0" t="n">
        <v>48</v>
      </c>
      <c r="F2534" s="0" t="s">
        <v>153</v>
      </c>
      <c r="I2534" s="0" t="n">
        <v>2519</v>
      </c>
      <c r="J2534" s="0" t="n">
        <v>100014</v>
      </c>
      <c r="K2534" s="0" t="n">
        <v>15</v>
      </c>
      <c r="L2534" s="0" t="s">
        <v>2491</v>
      </c>
      <c r="N2534" s="0" t="n">
        <v>3.228</v>
      </c>
      <c r="O2534" s="0" t="n">
        <v>120.75</v>
      </c>
      <c r="P2534" s="0" t="s">
        <v>2444</v>
      </c>
    </row>
    <row r="2535" customFormat="false" ht="15" hidden="false" customHeight="true" outlineLevel="0" collapsed="false">
      <c r="A2535" s="0" t="n">
        <v>2</v>
      </c>
      <c r="B2535" s="71" t="n">
        <v>46204</v>
      </c>
      <c r="C2535" s="0" t="n">
        <v>22</v>
      </c>
      <c r="D2535" s="0" t="s">
        <v>2479</v>
      </c>
      <c r="E2535" s="0" t="n">
        <v>48</v>
      </c>
      <c r="F2535" s="0" t="s">
        <v>153</v>
      </c>
      <c r="I2535" s="0" t="n">
        <v>2519</v>
      </c>
      <c r="J2535" s="0" t="n">
        <v>100016</v>
      </c>
      <c r="K2535" s="0" t="n">
        <v>17</v>
      </c>
      <c r="L2535" s="0" t="s">
        <v>2493</v>
      </c>
      <c r="N2535" s="0" t="n">
        <v>1.676</v>
      </c>
      <c r="O2535" s="0" t="n">
        <v>81.27</v>
      </c>
      <c r="P2535" s="0" t="s">
        <v>2444</v>
      </c>
    </row>
    <row r="2536" customFormat="false" ht="15" hidden="false" customHeight="true" outlineLevel="0" collapsed="false">
      <c r="A2536" s="0" t="n">
        <v>2</v>
      </c>
      <c r="B2536" s="71" t="n">
        <v>46204</v>
      </c>
      <c r="C2536" s="0" t="n">
        <v>22</v>
      </c>
      <c r="D2536" s="0" t="s">
        <v>2479</v>
      </c>
      <c r="E2536" s="0" t="n">
        <v>48</v>
      </c>
      <c r="F2536" s="0" t="s">
        <v>153</v>
      </c>
      <c r="I2536" s="0" t="n">
        <v>2519</v>
      </c>
      <c r="J2536" s="0" t="n">
        <v>100017</v>
      </c>
      <c r="K2536" s="0" t="n">
        <v>18</v>
      </c>
      <c r="L2536" s="0" t="s">
        <v>2494</v>
      </c>
      <c r="N2536" s="0" t="n">
        <v>1.322</v>
      </c>
      <c r="O2536" s="0" t="n">
        <v>64.11</v>
      </c>
      <c r="P2536" s="0" t="s">
        <v>2444</v>
      </c>
    </row>
    <row r="2537" customFormat="false" ht="15" hidden="false" customHeight="true" outlineLevel="0" collapsed="false">
      <c r="A2537" s="0" t="n">
        <v>2</v>
      </c>
      <c r="B2537" s="71" t="n">
        <v>46204</v>
      </c>
      <c r="C2537" s="0" t="n">
        <v>22</v>
      </c>
      <c r="D2537" s="0" t="s">
        <v>2479</v>
      </c>
      <c r="E2537" s="0" t="n">
        <v>48</v>
      </c>
      <c r="F2537" s="0" t="s">
        <v>153</v>
      </c>
      <c r="I2537" s="0" t="n">
        <v>2519</v>
      </c>
      <c r="J2537" s="0" t="n">
        <v>100021</v>
      </c>
      <c r="K2537" s="0" t="n">
        <v>22</v>
      </c>
      <c r="L2537" s="0" t="s">
        <v>2662</v>
      </c>
      <c r="N2537" s="0" t="n">
        <v>1.138</v>
      </c>
      <c r="O2537" s="0" t="n">
        <v>23.65</v>
      </c>
      <c r="P2537" s="0" t="s">
        <v>2444</v>
      </c>
    </row>
    <row r="2538" customFormat="false" ht="15" hidden="false" customHeight="true" outlineLevel="0" collapsed="false">
      <c r="A2538" s="0" t="n">
        <v>2</v>
      </c>
      <c r="B2538" s="71" t="n">
        <v>46204</v>
      </c>
      <c r="C2538" s="0" t="n">
        <v>22</v>
      </c>
      <c r="D2538" s="0" t="s">
        <v>2479</v>
      </c>
      <c r="E2538" s="0" t="n">
        <v>48</v>
      </c>
      <c r="F2538" s="0" t="s">
        <v>153</v>
      </c>
      <c r="I2538" s="0" t="n">
        <v>2519</v>
      </c>
      <c r="J2538" s="0" t="n">
        <v>100040</v>
      </c>
      <c r="K2538" s="0" t="n">
        <v>41</v>
      </c>
      <c r="L2538" s="0" t="s">
        <v>2583</v>
      </c>
      <c r="N2538" s="0" t="n">
        <v>2.655</v>
      </c>
      <c r="O2538" s="0" t="n">
        <v>75.26</v>
      </c>
      <c r="P2538" s="0" t="s">
        <v>2444</v>
      </c>
    </row>
    <row r="2539" customFormat="false" ht="15" hidden="false" customHeight="true" outlineLevel="0" collapsed="false">
      <c r="A2539" s="0" t="n">
        <v>2</v>
      </c>
      <c r="B2539" s="71" t="n">
        <v>46204</v>
      </c>
      <c r="C2539" s="0" t="n">
        <v>22</v>
      </c>
      <c r="D2539" s="0" t="s">
        <v>2479</v>
      </c>
      <c r="E2539" s="0" t="n">
        <v>48</v>
      </c>
      <c r="F2539" s="0" t="s">
        <v>153</v>
      </c>
      <c r="I2539" s="0" t="n">
        <v>2519</v>
      </c>
      <c r="J2539" s="0" t="n">
        <v>100053</v>
      </c>
      <c r="K2539" s="0" t="n">
        <v>54</v>
      </c>
      <c r="L2539" s="0" t="s">
        <v>2495</v>
      </c>
      <c r="N2539" s="0" t="n">
        <v>2</v>
      </c>
      <c r="O2539" s="0" t="n">
        <v>60.96</v>
      </c>
      <c r="P2539" s="0" t="s">
        <v>2444</v>
      </c>
    </row>
    <row r="2540" customFormat="false" ht="15" hidden="false" customHeight="true" outlineLevel="0" collapsed="false">
      <c r="A2540" s="0" t="n">
        <v>2</v>
      </c>
      <c r="B2540" s="71" t="n">
        <v>46204</v>
      </c>
      <c r="C2540" s="0" t="n">
        <v>22</v>
      </c>
      <c r="D2540" s="0" t="s">
        <v>2479</v>
      </c>
      <c r="E2540" s="0" t="n">
        <v>48</v>
      </c>
      <c r="F2540" s="0" t="s">
        <v>153</v>
      </c>
      <c r="I2540" s="0" t="n">
        <v>2519</v>
      </c>
      <c r="J2540" s="0" t="n">
        <v>100638</v>
      </c>
      <c r="K2540" s="0" t="n">
        <v>508</v>
      </c>
      <c r="L2540" s="0" t="s">
        <v>2496</v>
      </c>
      <c r="N2540" s="0" t="n">
        <v>1.156</v>
      </c>
      <c r="O2540" s="0" t="n">
        <v>2.39</v>
      </c>
      <c r="P2540" s="0" t="s">
        <v>2444</v>
      </c>
    </row>
    <row r="2541" customFormat="false" ht="15" hidden="false" customHeight="true" outlineLevel="0" collapsed="false">
      <c r="A2541" s="0" t="n">
        <v>2</v>
      </c>
      <c r="B2541" s="71" t="n">
        <v>46204</v>
      </c>
      <c r="C2541" s="0" t="n">
        <v>22</v>
      </c>
      <c r="D2541" s="0" t="s">
        <v>2479</v>
      </c>
      <c r="E2541" s="0" t="n">
        <v>48</v>
      </c>
      <c r="F2541" s="0" t="s">
        <v>153</v>
      </c>
      <c r="I2541" s="0" t="n">
        <v>2519</v>
      </c>
      <c r="J2541" s="0" t="n">
        <v>110137</v>
      </c>
      <c r="K2541" s="0" t="n">
        <v>13899</v>
      </c>
      <c r="L2541" s="0" t="s">
        <v>3780</v>
      </c>
      <c r="N2541" s="0" t="n">
        <v>3.496</v>
      </c>
      <c r="O2541" s="0" t="n">
        <v>15.46</v>
      </c>
      <c r="P2541" s="0" t="s">
        <v>2444</v>
      </c>
    </row>
    <row r="2542" customFormat="false" ht="15" hidden="false" customHeight="true" outlineLevel="0" collapsed="false">
      <c r="A2542" s="0" t="n">
        <v>2</v>
      </c>
      <c r="B2542" s="71" t="n">
        <v>46204</v>
      </c>
      <c r="C2542" s="0" t="n">
        <v>22</v>
      </c>
      <c r="D2542" s="0" t="s">
        <v>2479</v>
      </c>
      <c r="E2542" s="0" t="n">
        <v>48</v>
      </c>
      <c r="F2542" s="0" t="s">
        <v>153</v>
      </c>
      <c r="I2542" s="0" t="n">
        <v>2519</v>
      </c>
      <c r="J2542" s="0" t="n">
        <v>110137</v>
      </c>
      <c r="K2542" s="0" t="n">
        <v>13899</v>
      </c>
      <c r="L2542" s="0" t="s">
        <v>3780</v>
      </c>
      <c r="N2542" s="0" t="n">
        <v>9.225</v>
      </c>
      <c r="O2542" s="0" t="n">
        <v>31.89</v>
      </c>
      <c r="P2542" s="0" t="s">
        <v>2444</v>
      </c>
    </row>
    <row r="2543" customFormat="false" ht="15" hidden="false" customHeight="true" outlineLevel="0" collapsed="false">
      <c r="A2543" s="0" t="n">
        <v>2</v>
      </c>
      <c r="B2543" s="71" t="n">
        <v>46204</v>
      </c>
      <c r="C2543" s="0" t="n">
        <v>22</v>
      </c>
      <c r="D2543" s="0" t="s">
        <v>2479</v>
      </c>
      <c r="E2543" s="0" t="n">
        <v>48</v>
      </c>
      <c r="F2543" s="0" t="s">
        <v>153</v>
      </c>
      <c r="I2543" s="0" t="n">
        <v>2519</v>
      </c>
      <c r="J2543" s="0" t="n">
        <v>110455</v>
      </c>
      <c r="K2543" s="0" t="n">
        <v>53212</v>
      </c>
      <c r="L2543" s="0" t="s">
        <v>2498</v>
      </c>
      <c r="N2543" s="0" t="n">
        <v>0.567</v>
      </c>
      <c r="O2543" s="0" t="n">
        <v>0</v>
      </c>
      <c r="P2543" s="0" t="s">
        <v>2444</v>
      </c>
    </row>
    <row r="2544" customFormat="false" ht="15" hidden="false" customHeight="true" outlineLevel="0" collapsed="false">
      <c r="A2544" s="0" t="n">
        <v>2</v>
      </c>
      <c r="B2544" s="71" t="n">
        <v>46204</v>
      </c>
      <c r="C2544" s="0" t="n">
        <v>22</v>
      </c>
      <c r="D2544" s="0" t="s">
        <v>2479</v>
      </c>
      <c r="E2544" s="0" t="n">
        <v>48</v>
      </c>
      <c r="F2544" s="0" t="s">
        <v>153</v>
      </c>
      <c r="I2544" s="0" t="n">
        <v>2519</v>
      </c>
      <c r="J2544" s="0" t="n">
        <v>110487</v>
      </c>
      <c r="K2544" s="0" t="n">
        <v>54688</v>
      </c>
      <c r="L2544" s="0" t="s">
        <v>2663</v>
      </c>
      <c r="N2544" s="0" t="n">
        <v>1.798</v>
      </c>
      <c r="O2544" s="0" t="n">
        <v>48.57</v>
      </c>
      <c r="P2544" s="0" t="s">
        <v>2444</v>
      </c>
    </row>
    <row r="2545" customFormat="false" ht="15" hidden="false" customHeight="true" outlineLevel="0" collapsed="false">
      <c r="A2545" s="0" t="n">
        <v>2</v>
      </c>
      <c r="B2545" s="71" t="n">
        <v>46204</v>
      </c>
      <c r="C2545" s="0" t="n">
        <v>100</v>
      </c>
      <c r="D2545" s="0" t="s">
        <v>2499</v>
      </c>
      <c r="E2545" s="0" t="n">
        <v>48</v>
      </c>
      <c r="F2545" s="0" t="s">
        <v>153</v>
      </c>
      <c r="I2545" s="0" t="n">
        <v>1334346</v>
      </c>
      <c r="J2545" s="0" t="n">
        <v>100000</v>
      </c>
      <c r="K2545" s="0" t="n">
        <v>1</v>
      </c>
      <c r="L2545" s="0" t="s">
        <v>2480</v>
      </c>
      <c r="N2545" s="0" t="n">
        <v>2.146</v>
      </c>
      <c r="O2545" s="0" t="n">
        <v>45.62</v>
      </c>
      <c r="P2545" s="0" t="s">
        <v>2444</v>
      </c>
    </row>
    <row r="2546" customFormat="false" ht="15" hidden="false" customHeight="true" outlineLevel="0" collapsed="false">
      <c r="A2546" s="0" t="n">
        <v>2</v>
      </c>
      <c r="B2546" s="71" t="n">
        <v>46204</v>
      </c>
      <c r="C2546" s="0" t="n">
        <v>100</v>
      </c>
      <c r="D2546" s="0" t="s">
        <v>2499</v>
      </c>
      <c r="E2546" s="0" t="n">
        <v>48</v>
      </c>
      <c r="F2546" s="0" t="s">
        <v>153</v>
      </c>
      <c r="I2546" s="0" t="n">
        <v>1334346</v>
      </c>
      <c r="J2546" s="0" t="n">
        <v>100001</v>
      </c>
      <c r="K2546" s="0" t="n">
        <v>2</v>
      </c>
      <c r="L2546" s="0" t="s">
        <v>2481</v>
      </c>
      <c r="N2546" s="0" t="n">
        <v>8.565</v>
      </c>
      <c r="O2546" s="0" t="n">
        <v>197.26</v>
      </c>
      <c r="P2546" s="0" t="s">
        <v>2444</v>
      </c>
    </row>
    <row r="2547" customFormat="false" ht="15" hidden="false" customHeight="true" outlineLevel="0" collapsed="false">
      <c r="A2547" s="0" t="n">
        <v>2</v>
      </c>
      <c r="B2547" s="71" t="n">
        <v>46204</v>
      </c>
      <c r="C2547" s="0" t="n">
        <v>100</v>
      </c>
      <c r="D2547" s="0" t="s">
        <v>2499</v>
      </c>
      <c r="E2547" s="0" t="n">
        <v>48</v>
      </c>
      <c r="F2547" s="0" t="s">
        <v>153</v>
      </c>
      <c r="I2547" s="0" t="n">
        <v>1334346</v>
      </c>
      <c r="J2547" s="0" t="n">
        <v>100002</v>
      </c>
      <c r="K2547" s="0" t="n">
        <v>3</v>
      </c>
      <c r="L2547" s="0" t="s">
        <v>2482</v>
      </c>
      <c r="N2547" s="0" t="n">
        <v>20.65</v>
      </c>
      <c r="O2547" s="0" t="n">
        <v>548.77</v>
      </c>
      <c r="P2547" s="0" t="s">
        <v>2444</v>
      </c>
    </row>
    <row r="2548" customFormat="false" ht="15" hidden="false" customHeight="true" outlineLevel="0" collapsed="false">
      <c r="A2548" s="0" t="n">
        <v>2</v>
      </c>
      <c r="B2548" s="71" t="n">
        <v>46204</v>
      </c>
      <c r="C2548" s="0" t="n">
        <v>100</v>
      </c>
      <c r="D2548" s="0" t="s">
        <v>2499</v>
      </c>
      <c r="E2548" s="0" t="n">
        <v>48</v>
      </c>
      <c r="F2548" s="0" t="s">
        <v>153</v>
      </c>
      <c r="I2548" s="0" t="n">
        <v>1334346</v>
      </c>
      <c r="J2548" s="0" t="n">
        <v>100003</v>
      </c>
      <c r="K2548" s="0" t="n">
        <v>4</v>
      </c>
      <c r="L2548" s="0" t="s">
        <v>2483</v>
      </c>
      <c r="N2548" s="0" t="n">
        <v>13.03</v>
      </c>
      <c r="O2548" s="0" t="n">
        <v>369.36</v>
      </c>
      <c r="P2548" s="0" t="s">
        <v>2444</v>
      </c>
    </row>
    <row r="2549" customFormat="false" ht="15" hidden="false" customHeight="true" outlineLevel="0" collapsed="false">
      <c r="A2549" s="0" t="n">
        <v>2</v>
      </c>
      <c r="B2549" s="71" t="n">
        <v>46204</v>
      </c>
      <c r="C2549" s="0" t="n">
        <v>100</v>
      </c>
      <c r="D2549" s="0" t="s">
        <v>2499</v>
      </c>
      <c r="E2549" s="0" t="n">
        <v>48</v>
      </c>
      <c r="F2549" s="0" t="s">
        <v>153</v>
      </c>
      <c r="I2549" s="0" t="n">
        <v>1334346</v>
      </c>
      <c r="J2549" s="0" t="n">
        <v>100004</v>
      </c>
      <c r="K2549" s="0" t="n">
        <v>5</v>
      </c>
      <c r="L2549" s="0" t="s">
        <v>2484</v>
      </c>
      <c r="N2549" s="0" t="n">
        <v>0.672</v>
      </c>
      <c r="O2549" s="0" t="n">
        <v>16.67</v>
      </c>
      <c r="P2549" s="0" t="s">
        <v>2444</v>
      </c>
    </row>
    <row r="2550" customFormat="false" ht="15" hidden="false" customHeight="true" outlineLevel="0" collapsed="false">
      <c r="A2550" s="0" t="n">
        <v>2</v>
      </c>
      <c r="B2550" s="71" t="n">
        <v>46204</v>
      </c>
      <c r="C2550" s="0" t="n">
        <v>100</v>
      </c>
      <c r="D2550" s="0" t="s">
        <v>2499</v>
      </c>
      <c r="E2550" s="0" t="n">
        <v>48</v>
      </c>
      <c r="F2550" s="0" t="s">
        <v>153</v>
      </c>
      <c r="I2550" s="0" t="n">
        <v>1334346</v>
      </c>
      <c r="J2550" s="0" t="n">
        <v>100007</v>
      </c>
      <c r="K2550" s="0" t="n">
        <v>8</v>
      </c>
      <c r="L2550" s="0" t="s">
        <v>2486</v>
      </c>
      <c r="N2550" s="0" t="n">
        <v>7.586</v>
      </c>
      <c r="O2550" s="0" t="n">
        <v>201.6</v>
      </c>
      <c r="P2550" s="0" t="s">
        <v>2444</v>
      </c>
    </row>
    <row r="2551" customFormat="false" ht="15" hidden="false" customHeight="true" outlineLevel="0" collapsed="false">
      <c r="A2551" s="0" t="n">
        <v>2</v>
      </c>
      <c r="B2551" s="71" t="n">
        <v>46204</v>
      </c>
      <c r="C2551" s="0" t="n">
        <v>100</v>
      </c>
      <c r="D2551" s="0" t="s">
        <v>2499</v>
      </c>
      <c r="E2551" s="0" t="n">
        <v>48</v>
      </c>
      <c r="F2551" s="0" t="s">
        <v>153</v>
      </c>
      <c r="I2551" s="0" t="n">
        <v>1334346</v>
      </c>
      <c r="J2551" s="0" t="n">
        <v>100040</v>
      </c>
      <c r="K2551" s="0" t="n">
        <v>41</v>
      </c>
      <c r="L2551" s="0" t="s">
        <v>2583</v>
      </c>
      <c r="N2551" s="0" t="n">
        <v>2.655</v>
      </c>
      <c r="O2551" s="0" t="n">
        <v>75.26</v>
      </c>
      <c r="P2551" s="0" t="s">
        <v>2444</v>
      </c>
    </row>
    <row r="2552" customFormat="false" ht="15" hidden="false" customHeight="true" outlineLevel="0" collapsed="false">
      <c r="A2552" s="0" t="n">
        <v>2</v>
      </c>
      <c r="B2552" s="71" t="n">
        <v>46204</v>
      </c>
      <c r="C2552" s="0" t="n">
        <v>100</v>
      </c>
      <c r="D2552" s="0" t="s">
        <v>2499</v>
      </c>
      <c r="E2552" s="0" t="n">
        <v>48</v>
      </c>
      <c r="F2552" s="0" t="s">
        <v>153</v>
      </c>
      <c r="I2552" s="0" t="n">
        <v>1334346</v>
      </c>
      <c r="J2552" s="0" t="n">
        <v>110137</v>
      </c>
      <c r="K2552" s="0" t="n">
        <v>13899</v>
      </c>
      <c r="L2552" s="0" t="s">
        <v>3780</v>
      </c>
      <c r="N2552" s="0" t="n">
        <v>3.496</v>
      </c>
      <c r="O2552" s="0" t="n">
        <v>15.46</v>
      </c>
      <c r="P2552" s="0" t="s">
        <v>2444</v>
      </c>
    </row>
    <row r="2553" customFormat="false" ht="15" hidden="false" customHeight="true" outlineLevel="0" collapsed="false">
      <c r="A2553" s="0" t="n">
        <v>2</v>
      </c>
      <c r="B2553" s="71" t="n">
        <v>46204</v>
      </c>
      <c r="C2553" s="0" t="n">
        <v>100</v>
      </c>
      <c r="D2553" s="0" t="s">
        <v>2499</v>
      </c>
      <c r="E2553" s="0" t="n">
        <v>48</v>
      </c>
      <c r="F2553" s="0" t="s">
        <v>153</v>
      </c>
      <c r="I2553" s="0" t="n">
        <v>1334356</v>
      </c>
      <c r="J2553" s="0" t="n">
        <v>100000</v>
      </c>
      <c r="K2553" s="0" t="n">
        <v>1</v>
      </c>
      <c r="L2553" s="0" t="s">
        <v>2480</v>
      </c>
      <c r="N2553" s="0" t="n">
        <v>2.66</v>
      </c>
      <c r="O2553" s="0" t="n">
        <v>44.21</v>
      </c>
      <c r="P2553" s="0" t="s">
        <v>2444</v>
      </c>
    </row>
    <row r="2554" customFormat="false" ht="15" hidden="false" customHeight="true" outlineLevel="0" collapsed="false">
      <c r="A2554" s="0" t="n">
        <v>2</v>
      </c>
      <c r="B2554" s="71" t="n">
        <v>46204</v>
      </c>
      <c r="C2554" s="0" t="n">
        <v>100</v>
      </c>
      <c r="D2554" s="0" t="s">
        <v>2499</v>
      </c>
      <c r="E2554" s="0" t="n">
        <v>48</v>
      </c>
      <c r="F2554" s="0" t="s">
        <v>153</v>
      </c>
      <c r="I2554" s="0" t="n">
        <v>1334356</v>
      </c>
      <c r="J2554" s="0" t="n">
        <v>100004</v>
      </c>
      <c r="K2554" s="0" t="n">
        <v>5</v>
      </c>
      <c r="L2554" s="0" t="s">
        <v>2484</v>
      </c>
      <c r="N2554" s="0" t="n">
        <v>9.145</v>
      </c>
      <c r="O2554" s="0" t="n">
        <v>177.35</v>
      </c>
      <c r="P2554" s="0" t="s">
        <v>2444</v>
      </c>
    </row>
    <row r="2555" customFormat="false" ht="15" hidden="false" customHeight="true" outlineLevel="0" collapsed="false">
      <c r="A2555" s="0" t="n">
        <v>2</v>
      </c>
      <c r="B2555" s="71" t="n">
        <v>46204</v>
      </c>
      <c r="C2555" s="0" t="n">
        <v>100</v>
      </c>
      <c r="D2555" s="0" t="s">
        <v>2499</v>
      </c>
      <c r="E2555" s="0" t="n">
        <v>48</v>
      </c>
      <c r="F2555" s="0" t="s">
        <v>153</v>
      </c>
      <c r="I2555" s="0" t="n">
        <v>1334356</v>
      </c>
      <c r="J2555" s="0" t="n">
        <v>100006</v>
      </c>
      <c r="K2555" s="0" t="n">
        <v>7</v>
      </c>
      <c r="L2555" s="0" t="s">
        <v>2485</v>
      </c>
      <c r="N2555" s="0" t="n">
        <v>2</v>
      </c>
      <c r="O2555" s="0" t="n">
        <v>47.1</v>
      </c>
      <c r="P2555" s="0" t="s">
        <v>2444</v>
      </c>
    </row>
    <row r="2556" customFormat="false" ht="15" hidden="false" customHeight="true" outlineLevel="0" collapsed="false">
      <c r="A2556" s="0" t="n">
        <v>2</v>
      </c>
      <c r="B2556" s="71" t="n">
        <v>46204</v>
      </c>
      <c r="C2556" s="0" t="n">
        <v>100</v>
      </c>
      <c r="D2556" s="0" t="s">
        <v>2499</v>
      </c>
      <c r="E2556" s="0" t="n">
        <v>48</v>
      </c>
      <c r="F2556" s="0" t="s">
        <v>153</v>
      </c>
      <c r="I2556" s="0" t="n">
        <v>1334356</v>
      </c>
      <c r="J2556" s="0" t="n">
        <v>100007</v>
      </c>
      <c r="K2556" s="0" t="n">
        <v>8</v>
      </c>
      <c r="L2556" s="0" t="s">
        <v>2486</v>
      </c>
      <c r="N2556" s="0" t="n">
        <v>1.266</v>
      </c>
      <c r="O2556" s="0" t="n">
        <v>26.31</v>
      </c>
      <c r="P2556" s="0" t="s">
        <v>2444</v>
      </c>
    </row>
    <row r="2557" customFormat="false" ht="15" hidden="false" customHeight="true" outlineLevel="0" collapsed="false">
      <c r="A2557" s="0" t="n">
        <v>2</v>
      </c>
      <c r="B2557" s="71" t="n">
        <v>46204</v>
      </c>
      <c r="C2557" s="0" t="n">
        <v>100</v>
      </c>
      <c r="D2557" s="0" t="s">
        <v>2499</v>
      </c>
      <c r="E2557" s="0" t="n">
        <v>48</v>
      </c>
      <c r="F2557" s="0" t="s">
        <v>153</v>
      </c>
      <c r="I2557" s="0" t="n">
        <v>1334356</v>
      </c>
      <c r="J2557" s="0" t="n">
        <v>100008</v>
      </c>
      <c r="K2557" s="0" t="n">
        <v>9</v>
      </c>
      <c r="L2557" s="0" t="s">
        <v>2487</v>
      </c>
      <c r="N2557" s="0" t="n">
        <v>9.355</v>
      </c>
      <c r="O2557" s="0" t="n">
        <v>252.72</v>
      </c>
      <c r="P2557" s="0" t="s">
        <v>2444</v>
      </c>
    </row>
    <row r="2558" customFormat="false" ht="15" hidden="false" customHeight="true" outlineLevel="0" collapsed="false">
      <c r="A2558" s="0" t="n">
        <v>2</v>
      </c>
      <c r="B2558" s="71" t="n">
        <v>46204</v>
      </c>
      <c r="C2558" s="0" t="n">
        <v>100</v>
      </c>
      <c r="D2558" s="0" t="s">
        <v>2499</v>
      </c>
      <c r="E2558" s="0" t="n">
        <v>48</v>
      </c>
      <c r="F2558" s="0" t="s">
        <v>153</v>
      </c>
      <c r="I2558" s="0" t="n">
        <v>1334356</v>
      </c>
      <c r="J2558" s="0" t="n">
        <v>100011</v>
      </c>
      <c r="K2558" s="0" t="n">
        <v>12</v>
      </c>
      <c r="L2558" s="0" t="s">
        <v>2488</v>
      </c>
      <c r="N2558" s="0" t="n">
        <v>7.305</v>
      </c>
      <c r="O2558" s="0" t="n">
        <v>222.64</v>
      </c>
      <c r="P2558" s="0" t="s">
        <v>2444</v>
      </c>
    </row>
    <row r="2559" customFormat="false" ht="15" hidden="false" customHeight="true" outlineLevel="0" collapsed="false">
      <c r="A2559" s="0" t="n">
        <v>2</v>
      </c>
      <c r="B2559" s="71" t="n">
        <v>46204</v>
      </c>
      <c r="C2559" s="0" t="n">
        <v>100</v>
      </c>
      <c r="D2559" s="0" t="s">
        <v>2499</v>
      </c>
      <c r="E2559" s="0" t="n">
        <v>48</v>
      </c>
      <c r="F2559" s="0" t="s">
        <v>153</v>
      </c>
      <c r="I2559" s="0" t="n">
        <v>1334356</v>
      </c>
      <c r="J2559" s="0" t="n">
        <v>100012</v>
      </c>
      <c r="K2559" s="0" t="n">
        <v>13</v>
      </c>
      <c r="L2559" s="0" t="s">
        <v>2489</v>
      </c>
      <c r="N2559" s="0" t="n">
        <v>4.664</v>
      </c>
      <c r="O2559" s="0" t="n">
        <v>161.54</v>
      </c>
      <c r="P2559" s="0" t="s">
        <v>2444</v>
      </c>
    </row>
    <row r="2560" customFormat="false" ht="15" hidden="false" customHeight="true" outlineLevel="0" collapsed="false">
      <c r="A2560" s="0" t="n">
        <v>2</v>
      </c>
      <c r="B2560" s="71" t="n">
        <v>46204</v>
      </c>
      <c r="C2560" s="0" t="n">
        <v>100</v>
      </c>
      <c r="D2560" s="0" t="s">
        <v>2499</v>
      </c>
      <c r="E2560" s="0" t="n">
        <v>48</v>
      </c>
      <c r="F2560" s="0" t="s">
        <v>153</v>
      </c>
      <c r="I2560" s="0" t="n">
        <v>1334356</v>
      </c>
      <c r="J2560" s="0" t="n">
        <v>100013</v>
      </c>
      <c r="K2560" s="0" t="n">
        <v>14</v>
      </c>
      <c r="L2560" s="0" t="s">
        <v>2490</v>
      </c>
      <c r="N2560" s="0" t="n">
        <v>8.295</v>
      </c>
      <c r="O2560" s="0" t="n">
        <v>304.54</v>
      </c>
      <c r="P2560" s="0" t="s">
        <v>2444</v>
      </c>
    </row>
    <row r="2561" customFormat="false" ht="15" hidden="false" customHeight="true" outlineLevel="0" collapsed="false">
      <c r="A2561" s="0" t="n">
        <v>2</v>
      </c>
      <c r="B2561" s="71" t="n">
        <v>46204</v>
      </c>
      <c r="C2561" s="0" t="n">
        <v>100</v>
      </c>
      <c r="D2561" s="0" t="s">
        <v>2499</v>
      </c>
      <c r="E2561" s="0" t="n">
        <v>48</v>
      </c>
      <c r="F2561" s="0" t="s">
        <v>153</v>
      </c>
      <c r="I2561" s="0" t="n">
        <v>1334356</v>
      </c>
      <c r="J2561" s="0" t="n">
        <v>100014</v>
      </c>
      <c r="K2561" s="0" t="n">
        <v>15</v>
      </c>
      <c r="L2561" s="0" t="s">
        <v>2491</v>
      </c>
      <c r="N2561" s="0" t="n">
        <v>3.228</v>
      </c>
      <c r="O2561" s="0" t="n">
        <v>120.75</v>
      </c>
      <c r="P2561" s="0" t="s">
        <v>2444</v>
      </c>
    </row>
    <row r="2562" customFormat="false" ht="15" hidden="false" customHeight="true" outlineLevel="0" collapsed="false">
      <c r="A2562" s="0" t="n">
        <v>2</v>
      </c>
      <c r="B2562" s="71" t="n">
        <v>46204</v>
      </c>
      <c r="C2562" s="0" t="n">
        <v>100</v>
      </c>
      <c r="D2562" s="0" t="s">
        <v>2499</v>
      </c>
      <c r="E2562" s="0" t="n">
        <v>48</v>
      </c>
      <c r="F2562" s="0" t="s">
        <v>153</v>
      </c>
      <c r="I2562" s="0" t="n">
        <v>1334356</v>
      </c>
      <c r="J2562" s="0" t="n">
        <v>100016</v>
      </c>
      <c r="K2562" s="0" t="n">
        <v>17</v>
      </c>
      <c r="L2562" s="0" t="s">
        <v>2493</v>
      </c>
      <c r="N2562" s="0" t="n">
        <v>1.676</v>
      </c>
      <c r="O2562" s="0" t="n">
        <v>81.27</v>
      </c>
      <c r="P2562" s="0" t="s">
        <v>2444</v>
      </c>
    </row>
    <row r="2563" customFormat="false" ht="15" hidden="false" customHeight="true" outlineLevel="0" collapsed="false">
      <c r="A2563" s="0" t="n">
        <v>2</v>
      </c>
      <c r="B2563" s="71" t="n">
        <v>46204</v>
      </c>
      <c r="C2563" s="0" t="n">
        <v>100</v>
      </c>
      <c r="D2563" s="0" t="s">
        <v>2499</v>
      </c>
      <c r="E2563" s="0" t="n">
        <v>48</v>
      </c>
      <c r="F2563" s="0" t="s">
        <v>153</v>
      </c>
      <c r="I2563" s="0" t="n">
        <v>1334356</v>
      </c>
      <c r="J2563" s="0" t="n">
        <v>100017</v>
      </c>
      <c r="K2563" s="0" t="n">
        <v>18</v>
      </c>
      <c r="L2563" s="0" t="s">
        <v>2494</v>
      </c>
      <c r="N2563" s="0" t="n">
        <v>1.322</v>
      </c>
      <c r="O2563" s="0" t="n">
        <v>64.11</v>
      </c>
      <c r="P2563" s="0" t="s">
        <v>2444</v>
      </c>
    </row>
    <row r="2564" customFormat="false" ht="15" hidden="false" customHeight="true" outlineLevel="0" collapsed="false">
      <c r="A2564" s="0" t="n">
        <v>2</v>
      </c>
      <c r="B2564" s="71" t="n">
        <v>46204</v>
      </c>
      <c r="C2564" s="0" t="n">
        <v>100</v>
      </c>
      <c r="D2564" s="0" t="s">
        <v>2499</v>
      </c>
      <c r="E2564" s="0" t="n">
        <v>48</v>
      </c>
      <c r="F2564" s="0" t="s">
        <v>153</v>
      </c>
      <c r="I2564" s="0" t="n">
        <v>1334356</v>
      </c>
      <c r="J2564" s="0" t="n">
        <v>100021</v>
      </c>
      <c r="K2564" s="0" t="n">
        <v>22</v>
      </c>
      <c r="L2564" s="0" t="s">
        <v>2662</v>
      </c>
      <c r="N2564" s="0" t="n">
        <v>1.138</v>
      </c>
      <c r="O2564" s="0" t="n">
        <v>23.65</v>
      </c>
      <c r="P2564" s="0" t="s">
        <v>2444</v>
      </c>
    </row>
    <row r="2565" customFormat="false" ht="15" hidden="false" customHeight="true" outlineLevel="0" collapsed="false">
      <c r="A2565" s="0" t="n">
        <v>2</v>
      </c>
      <c r="B2565" s="71" t="n">
        <v>46204</v>
      </c>
      <c r="C2565" s="0" t="n">
        <v>100</v>
      </c>
      <c r="D2565" s="0" t="s">
        <v>2499</v>
      </c>
      <c r="E2565" s="0" t="n">
        <v>48</v>
      </c>
      <c r="F2565" s="0" t="s">
        <v>153</v>
      </c>
      <c r="I2565" s="0" t="n">
        <v>1334356</v>
      </c>
      <c r="J2565" s="0" t="n">
        <v>100053</v>
      </c>
      <c r="K2565" s="0" t="n">
        <v>54</v>
      </c>
      <c r="L2565" s="0" t="s">
        <v>2495</v>
      </c>
      <c r="N2565" s="0" t="n">
        <v>2</v>
      </c>
      <c r="O2565" s="0" t="n">
        <v>60.96</v>
      </c>
      <c r="P2565" s="0" t="s">
        <v>2444</v>
      </c>
    </row>
    <row r="2566" customFormat="false" ht="15" hidden="false" customHeight="true" outlineLevel="0" collapsed="false">
      <c r="A2566" s="0" t="n">
        <v>2</v>
      </c>
      <c r="B2566" s="71" t="n">
        <v>46204</v>
      </c>
      <c r="C2566" s="0" t="n">
        <v>100</v>
      </c>
      <c r="D2566" s="0" t="s">
        <v>2499</v>
      </c>
      <c r="E2566" s="0" t="n">
        <v>48</v>
      </c>
      <c r="F2566" s="0" t="s">
        <v>153</v>
      </c>
      <c r="I2566" s="0" t="n">
        <v>1334356</v>
      </c>
      <c r="J2566" s="0" t="n">
        <v>100638</v>
      </c>
      <c r="K2566" s="0" t="n">
        <v>508</v>
      </c>
      <c r="L2566" s="0" t="s">
        <v>2496</v>
      </c>
      <c r="N2566" s="0" t="n">
        <v>1.156</v>
      </c>
      <c r="O2566" s="0" t="n">
        <v>2.39</v>
      </c>
      <c r="P2566" s="0" t="s">
        <v>2444</v>
      </c>
    </row>
    <row r="2567" customFormat="false" ht="15" hidden="false" customHeight="true" outlineLevel="0" collapsed="false">
      <c r="A2567" s="0" t="n">
        <v>2</v>
      </c>
      <c r="B2567" s="71" t="n">
        <v>46204</v>
      </c>
      <c r="C2567" s="0" t="n">
        <v>100</v>
      </c>
      <c r="D2567" s="0" t="s">
        <v>2499</v>
      </c>
      <c r="E2567" s="0" t="n">
        <v>48</v>
      </c>
      <c r="F2567" s="0" t="s">
        <v>153</v>
      </c>
      <c r="I2567" s="0" t="n">
        <v>1334356</v>
      </c>
      <c r="J2567" s="0" t="n">
        <v>110137</v>
      </c>
      <c r="K2567" s="0" t="n">
        <v>13899</v>
      </c>
      <c r="L2567" s="0" t="s">
        <v>3780</v>
      </c>
      <c r="N2567" s="0" t="n">
        <v>9.225</v>
      </c>
      <c r="O2567" s="0" t="n">
        <v>31.89</v>
      </c>
      <c r="P2567" s="0" t="s">
        <v>2444</v>
      </c>
    </row>
    <row r="2568" customFormat="false" ht="15" hidden="false" customHeight="true" outlineLevel="0" collapsed="false">
      <c r="A2568" s="0" t="n">
        <v>2</v>
      </c>
      <c r="B2568" s="71" t="n">
        <v>46204</v>
      </c>
      <c r="C2568" s="0" t="n">
        <v>100</v>
      </c>
      <c r="D2568" s="0" t="s">
        <v>2499</v>
      </c>
      <c r="E2568" s="0" t="n">
        <v>48</v>
      </c>
      <c r="F2568" s="0" t="s">
        <v>153</v>
      </c>
      <c r="I2568" s="0" t="n">
        <v>1334356</v>
      </c>
      <c r="J2568" s="0" t="n">
        <v>110455</v>
      </c>
      <c r="K2568" s="0" t="n">
        <v>53212</v>
      </c>
      <c r="L2568" s="0" t="s">
        <v>2498</v>
      </c>
      <c r="N2568" s="0" t="n">
        <v>0.567</v>
      </c>
      <c r="O2568" s="0" t="n">
        <v>0</v>
      </c>
      <c r="P2568" s="0" t="s">
        <v>2444</v>
      </c>
    </row>
    <row r="2569" customFormat="false" ht="15" hidden="false" customHeight="true" outlineLevel="0" collapsed="false">
      <c r="A2569" s="0" t="n">
        <v>2</v>
      </c>
      <c r="B2569" s="71" t="n">
        <v>46204</v>
      </c>
      <c r="C2569" s="0" t="n">
        <v>100</v>
      </c>
      <c r="D2569" s="0" t="s">
        <v>2499</v>
      </c>
      <c r="E2569" s="0" t="n">
        <v>48</v>
      </c>
      <c r="F2569" s="0" t="s">
        <v>153</v>
      </c>
      <c r="I2569" s="0" t="n">
        <v>1334356</v>
      </c>
      <c r="J2569" s="0" t="n">
        <v>110487</v>
      </c>
      <c r="K2569" s="0" t="n">
        <v>54688</v>
      </c>
      <c r="L2569" s="0" t="s">
        <v>2663</v>
      </c>
      <c r="N2569" s="0" t="n">
        <v>1.798</v>
      </c>
      <c r="O2569" s="0" t="n">
        <v>48.57</v>
      </c>
      <c r="P2569" s="0" t="s">
        <v>2444</v>
      </c>
    </row>
    <row r="2570" customFormat="false" ht="15" hidden="false" customHeight="true" outlineLevel="0" collapsed="false">
      <c r="A2570" s="0" t="n">
        <v>2</v>
      </c>
      <c r="B2570" s="71" t="n">
        <v>46204</v>
      </c>
      <c r="C2570" s="0" t="n">
        <v>171</v>
      </c>
      <c r="D2570" s="0" t="s">
        <v>3017</v>
      </c>
      <c r="E2570" s="0" t="n">
        <v>1611</v>
      </c>
      <c r="F2570" s="0" t="s">
        <v>178</v>
      </c>
      <c r="I2570" s="0" t="n">
        <v>1777488</v>
      </c>
      <c r="J2570" s="0" t="n">
        <v>14631</v>
      </c>
      <c r="K2570" s="0" t="n">
        <v>7702018037865</v>
      </c>
      <c r="L2570" s="0" t="s">
        <v>3800</v>
      </c>
      <c r="N2570" s="0" t="n">
        <v>1</v>
      </c>
      <c r="O2570" s="0" t="n">
        <v>26.83</v>
      </c>
      <c r="P2570" s="0" t="s">
        <v>3019</v>
      </c>
    </row>
    <row r="2571" customFormat="false" ht="15" hidden="false" customHeight="true" outlineLevel="0" collapsed="false">
      <c r="A2571" s="0" t="n">
        <v>2</v>
      </c>
      <c r="B2571" s="71" t="n">
        <v>46205</v>
      </c>
      <c r="C2571" s="0" t="n">
        <v>1</v>
      </c>
      <c r="D2571" s="0" t="s">
        <v>2442</v>
      </c>
      <c r="E2571" s="0" t="n">
        <v>1217</v>
      </c>
      <c r="F2571" s="0" t="s">
        <v>776</v>
      </c>
      <c r="I2571" s="0" t="n">
        <v>4467</v>
      </c>
      <c r="J2571" s="0" t="n">
        <v>10280</v>
      </c>
      <c r="K2571" s="0" t="n">
        <v>7891249061777</v>
      </c>
      <c r="L2571" s="0" t="s">
        <v>3801</v>
      </c>
      <c r="N2571" s="0" t="n">
        <v>10</v>
      </c>
      <c r="O2571" s="0" t="n">
        <v>321.9</v>
      </c>
      <c r="P2571" s="0" t="s">
        <v>2444</v>
      </c>
    </row>
    <row r="2572" customFormat="false" ht="15" hidden="false" customHeight="true" outlineLevel="0" collapsed="false">
      <c r="A2572" s="0" t="n">
        <v>2</v>
      </c>
      <c r="B2572" s="71" t="n">
        <v>46205</v>
      </c>
      <c r="C2572" s="0" t="n">
        <v>1</v>
      </c>
      <c r="D2572" s="0" t="s">
        <v>2442</v>
      </c>
      <c r="E2572" s="0" t="n">
        <v>1217</v>
      </c>
      <c r="F2572" s="0" t="s">
        <v>776</v>
      </c>
      <c r="I2572" s="0" t="n">
        <v>4467</v>
      </c>
      <c r="J2572" s="0" t="n">
        <v>15420</v>
      </c>
      <c r="K2572" s="0" t="n">
        <v>7891249061166</v>
      </c>
      <c r="L2572" s="0" t="s">
        <v>3802</v>
      </c>
      <c r="N2572" s="0" t="n">
        <v>10</v>
      </c>
      <c r="O2572" s="0" t="n">
        <v>209.4</v>
      </c>
      <c r="P2572" s="0" t="s">
        <v>2444</v>
      </c>
    </row>
    <row r="2573" customFormat="false" ht="15" hidden="false" customHeight="true" outlineLevel="0" collapsed="false">
      <c r="A2573" s="0" t="n">
        <v>2</v>
      </c>
      <c r="B2573" s="71" t="n">
        <v>46205</v>
      </c>
      <c r="C2573" s="0" t="n">
        <v>1</v>
      </c>
      <c r="D2573" s="0" t="s">
        <v>2442</v>
      </c>
      <c r="E2573" s="0" t="n">
        <v>1217</v>
      </c>
      <c r="F2573" s="0" t="s">
        <v>776</v>
      </c>
      <c r="I2573" s="0" t="n">
        <v>4467</v>
      </c>
      <c r="J2573" s="0" t="n">
        <v>39392</v>
      </c>
      <c r="K2573" s="0" t="n">
        <v>7897801301008</v>
      </c>
      <c r="L2573" s="0" t="s">
        <v>3803</v>
      </c>
      <c r="N2573" s="0" t="n">
        <v>12</v>
      </c>
      <c r="O2573" s="0" t="n">
        <v>54.96</v>
      </c>
      <c r="P2573" s="0" t="s">
        <v>2444</v>
      </c>
    </row>
    <row r="2574" customFormat="false" ht="15" hidden="false" customHeight="true" outlineLevel="0" collapsed="false">
      <c r="A2574" s="0" t="n">
        <v>2</v>
      </c>
      <c r="B2574" s="71" t="n">
        <v>46205</v>
      </c>
      <c r="C2574" s="0" t="n">
        <v>1</v>
      </c>
      <c r="D2574" s="0" t="s">
        <v>2442</v>
      </c>
      <c r="E2574" s="0" t="n">
        <v>1217</v>
      </c>
      <c r="F2574" s="0" t="s">
        <v>776</v>
      </c>
      <c r="I2574" s="0" t="n">
        <v>4467</v>
      </c>
      <c r="J2574" s="0" t="n">
        <v>39459</v>
      </c>
      <c r="K2574" s="0" t="n">
        <v>7897801302852</v>
      </c>
      <c r="L2574" s="0" t="s">
        <v>3804</v>
      </c>
      <c r="N2574" s="0" t="n">
        <v>20</v>
      </c>
      <c r="O2574" s="0" t="n">
        <v>144.8</v>
      </c>
      <c r="P2574" s="0" t="s">
        <v>2444</v>
      </c>
    </row>
    <row r="2575" customFormat="false" ht="15" hidden="false" customHeight="true" outlineLevel="0" collapsed="false">
      <c r="A2575" s="0" t="n">
        <v>2</v>
      </c>
      <c r="B2575" s="71" t="n">
        <v>46205</v>
      </c>
      <c r="C2575" s="0" t="n">
        <v>1</v>
      </c>
      <c r="D2575" s="0" t="s">
        <v>2442</v>
      </c>
      <c r="E2575" s="0" t="n">
        <v>1217</v>
      </c>
      <c r="F2575" s="0" t="s">
        <v>776</v>
      </c>
      <c r="I2575" s="0" t="n">
        <v>4467</v>
      </c>
      <c r="J2575" s="0" t="n">
        <v>39558</v>
      </c>
      <c r="K2575" s="0" t="n">
        <v>7898913604506</v>
      </c>
      <c r="L2575" s="0" t="s">
        <v>3805</v>
      </c>
      <c r="N2575" s="0" t="n">
        <v>60</v>
      </c>
      <c r="O2575" s="0" t="n">
        <v>70.8</v>
      </c>
      <c r="P2575" s="0" t="s">
        <v>2444</v>
      </c>
    </row>
    <row r="2576" customFormat="false" ht="15" hidden="false" customHeight="true" outlineLevel="0" collapsed="false">
      <c r="A2576" s="0" t="n">
        <v>2</v>
      </c>
      <c r="B2576" s="71" t="n">
        <v>46205</v>
      </c>
      <c r="C2576" s="0" t="n">
        <v>1</v>
      </c>
      <c r="D2576" s="0" t="s">
        <v>2442</v>
      </c>
      <c r="E2576" s="0" t="n">
        <v>1217</v>
      </c>
      <c r="F2576" s="0" t="s">
        <v>776</v>
      </c>
      <c r="I2576" s="0" t="n">
        <v>4467</v>
      </c>
      <c r="J2576" s="0" t="n">
        <v>43927</v>
      </c>
      <c r="K2576" s="0" t="n">
        <v>7898913604520</v>
      </c>
      <c r="L2576" s="0" t="s">
        <v>3806</v>
      </c>
      <c r="N2576" s="0" t="n">
        <v>60</v>
      </c>
      <c r="O2576" s="0" t="n">
        <v>90</v>
      </c>
      <c r="P2576" s="0" t="s">
        <v>2444</v>
      </c>
    </row>
    <row r="2577" customFormat="false" ht="15" hidden="false" customHeight="true" outlineLevel="0" collapsed="false">
      <c r="A2577" s="0" t="n">
        <v>2</v>
      </c>
      <c r="B2577" s="71" t="n">
        <v>46205</v>
      </c>
      <c r="C2577" s="0" t="n">
        <v>1</v>
      </c>
      <c r="D2577" s="0" t="s">
        <v>2442</v>
      </c>
      <c r="E2577" s="0" t="n">
        <v>1217</v>
      </c>
      <c r="F2577" s="0" t="s">
        <v>776</v>
      </c>
      <c r="I2577" s="0" t="n">
        <v>4467</v>
      </c>
      <c r="J2577" s="0" t="n">
        <v>45111</v>
      </c>
      <c r="K2577" s="0" t="n">
        <v>7898059547651</v>
      </c>
      <c r="L2577" s="0" t="s">
        <v>3807</v>
      </c>
      <c r="N2577" s="0" t="n">
        <v>6</v>
      </c>
      <c r="O2577" s="0" t="n">
        <v>140.7</v>
      </c>
      <c r="P2577" s="0" t="s">
        <v>2444</v>
      </c>
    </row>
    <row r="2578" customFormat="false" ht="15" hidden="false" customHeight="true" outlineLevel="0" collapsed="false">
      <c r="A2578" s="0" t="n">
        <v>2</v>
      </c>
      <c r="B2578" s="71" t="n">
        <v>46205</v>
      </c>
      <c r="C2578" s="0" t="n">
        <v>1</v>
      </c>
      <c r="D2578" s="0" t="s">
        <v>2442</v>
      </c>
      <c r="E2578" s="0" t="n">
        <v>1217</v>
      </c>
      <c r="F2578" s="0" t="s">
        <v>776</v>
      </c>
      <c r="I2578" s="0" t="n">
        <v>4467</v>
      </c>
      <c r="J2578" s="0" t="n">
        <v>46830</v>
      </c>
      <c r="K2578" s="0" t="n">
        <v>7898668360627</v>
      </c>
      <c r="L2578" s="0" t="s">
        <v>3808</v>
      </c>
      <c r="N2578" s="0" t="n">
        <v>12</v>
      </c>
      <c r="O2578" s="0" t="n">
        <v>114.6</v>
      </c>
      <c r="P2578" s="0" t="s">
        <v>2444</v>
      </c>
    </row>
    <row r="2579" customFormat="false" ht="15" hidden="false" customHeight="true" outlineLevel="0" collapsed="false">
      <c r="A2579" s="0" t="n">
        <v>2</v>
      </c>
      <c r="B2579" s="71" t="n">
        <v>46205</v>
      </c>
      <c r="C2579" s="0" t="n">
        <v>1</v>
      </c>
      <c r="D2579" s="0" t="s">
        <v>2442</v>
      </c>
      <c r="E2579" s="0" t="n">
        <v>1217</v>
      </c>
      <c r="F2579" s="0" t="s">
        <v>776</v>
      </c>
      <c r="I2579" s="0" t="n">
        <v>4467</v>
      </c>
      <c r="J2579" s="0" t="n">
        <v>55232</v>
      </c>
      <c r="K2579" s="0" t="n">
        <v>7898668365295</v>
      </c>
      <c r="L2579" s="0" t="s">
        <v>3809</v>
      </c>
      <c r="N2579" s="0" t="n">
        <v>12</v>
      </c>
      <c r="O2579" s="0" t="n">
        <v>238.2</v>
      </c>
      <c r="P2579" s="0" t="s">
        <v>2444</v>
      </c>
    </row>
    <row r="2580" customFormat="false" ht="15" hidden="false" customHeight="true" outlineLevel="0" collapsed="false">
      <c r="A2580" s="0" t="n">
        <v>2</v>
      </c>
      <c r="B2580" s="71" t="n">
        <v>46205</v>
      </c>
      <c r="C2580" s="0" t="n">
        <v>1</v>
      </c>
      <c r="D2580" s="0" t="s">
        <v>2442</v>
      </c>
      <c r="E2580" s="0" t="n">
        <v>1217</v>
      </c>
      <c r="F2580" s="0" t="s">
        <v>776</v>
      </c>
      <c r="I2580" s="0" t="n">
        <v>4467</v>
      </c>
      <c r="J2580" s="0" t="n">
        <v>68572</v>
      </c>
      <c r="K2580" s="0" t="n">
        <v>7908642008084</v>
      </c>
      <c r="L2580" s="0" t="s">
        <v>3810</v>
      </c>
      <c r="N2580" s="0" t="n">
        <v>10</v>
      </c>
      <c r="O2580" s="0" t="n">
        <v>159.9</v>
      </c>
      <c r="P2580" s="0" t="s">
        <v>2444</v>
      </c>
    </row>
    <row r="2581" customFormat="false" ht="15" hidden="false" customHeight="true" outlineLevel="0" collapsed="false">
      <c r="A2581" s="0" t="n">
        <v>2</v>
      </c>
      <c r="B2581" s="71" t="n">
        <v>46205</v>
      </c>
      <c r="C2581" s="0" t="n">
        <v>1</v>
      </c>
      <c r="D2581" s="0" t="s">
        <v>2442</v>
      </c>
      <c r="E2581" s="0" t="n">
        <v>1217</v>
      </c>
      <c r="F2581" s="0" t="s">
        <v>776</v>
      </c>
      <c r="I2581" s="0" t="n">
        <v>4467</v>
      </c>
      <c r="J2581" s="0" t="n">
        <v>68613</v>
      </c>
      <c r="K2581" s="0" t="n">
        <v>7891435054965</v>
      </c>
      <c r="L2581" s="0" t="s">
        <v>3811</v>
      </c>
      <c r="N2581" s="0" t="n">
        <v>10</v>
      </c>
      <c r="O2581" s="0" t="n">
        <v>75.4</v>
      </c>
      <c r="P2581" s="0" t="s">
        <v>2444</v>
      </c>
    </row>
    <row r="2582" customFormat="false" ht="15" hidden="false" customHeight="true" outlineLevel="0" collapsed="false">
      <c r="A2582" s="0" t="n">
        <v>2</v>
      </c>
      <c r="B2582" s="71" t="n">
        <v>46205</v>
      </c>
      <c r="C2582" s="0" t="n">
        <v>1</v>
      </c>
      <c r="D2582" s="0" t="s">
        <v>2442</v>
      </c>
      <c r="E2582" s="0" t="n">
        <v>1217</v>
      </c>
      <c r="F2582" s="0" t="s">
        <v>776</v>
      </c>
      <c r="I2582" s="0" t="n">
        <v>4467</v>
      </c>
      <c r="J2582" s="0" t="n">
        <v>68629</v>
      </c>
      <c r="K2582" s="0" t="n">
        <v>7897801300483</v>
      </c>
      <c r="L2582" s="0" t="s">
        <v>3812</v>
      </c>
      <c r="N2582" s="0" t="n">
        <v>50</v>
      </c>
      <c r="O2582" s="0" t="n">
        <v>35.5</v>
      </c>
      <c r="P2582" s="0" t="s">
        <v>2444</v>
      </c>
    </row>
    <row r="2583" customFormat="false" ht="15" hidden="false" customHeight="true" outlineLevel="0" collapsed="false">
      <c r="A2583" s="0" t="n">
        <v>2</v>
      </c>
      <c r="B2583" s="71" t="n">
        <v>46205</v>
      </c>
      <c r="C2583" s="0" t="n">
        <v>1</v>
      </c>
      <c r="D2583" s="0" t="s">
        <v>2442</v>
      </c>
      <c r="E2583" s="0" t="n">
        <v>1217</v>
      </c>
      <c r="F2583" s="0" t="s">
        <v>776</v>
      </c>
      <c r="I2583" s="0" t="n">
        <v>4467</v>
      </c>
      <c r="J2583" s="0" t="n">
        <v>68717</v>
      </c>
      <c r="K2583" s="0" t="n">
        <v>7899020592960</v>
      </c>
      <c r="L2583" s="0" t="s">
        <v>3813</v>
      </c>
      <c r="N2583" s="0" t="n">
        <v>10</v>
      </c>
      <c r="O2583" s="0" t="n">
        <v>77.7</v>
      </c>
      <c r="P2583" s="0" t="s">
        <v>2444</v>
      </c>
    </row>
    <row r="2584" customFormat="false" ht="15" hidden="false" customHeight="true" outlineLevel="0" collapsed="false">
      <c r="A2584" s="0" t="n">
        <v>2</v>
      </c>
      <c r="B2584" s="71" t="n">
        <v>46205</v>
      </c>
      <c r="C2584" s="0" t="n">
        <v>1</v>
      </c>
      <c r="D2584" s="0" t="s">
        <v>2442</v>
      </c>
      <c r="E2584" s="0" t="n">
        <v>1217</v>
      </c>
      <c r="F2584" s="0" t="s">
        <v>776</v>
      </c>
      <c r="I2584" s="0" t="n">
        <v>4467</v>
      </c>
      <c r="J2584" s="0" t="n">
        <v>68745</v>
      </c>
      <c r="K2584" s="0" t="n">
        <v>7891435052800</v>
      </c>
      <c r="L2584" s="0" t="s">
        <v>3814</v>
      </c>
      <c r="N2584" s="0" t="n">
        <v>10</v>
      </c>
      <c r="O2584" s="0" t="n">
        <v>69.6</v>
      </c>
      <c r="P2584" s="0" t="s">
        <v>2444</v>
      </c>
    </row>
    <row r="2585" customFormat="false" ht="15" hidden="false" customHeight="true" outlineLevel="0" collapsed="false">
      <c r="A2585" s="0" t="n">
        <v>2</v>
      </c>
      <c r="B2585" s="71" t="n">
        <v>46205</v>
      </c>
      <c r="C2585" s="0" t="n">
        <v>1</v>
      </c>
      <c r="D2585" s="0" t="s">
        <v>2442</v>
      </c>
      <c r="E2585" s="0" t="n">
        <v>1217</v>
      </c>
      <c r="F2585" s="0" t="s">
        <v>776</v>
      </c>
      <c r="I2585" s="0" t="n">
        <v>4467</v>
      </c>
      <c r="J2585" s="0" t="n">
        <v>69831</v>
      </c>
      <c r="K2585" s="0" t="n">
        <v>7891435054637</v>
      </c>
      <c r="L2585" s="0" t="s">
        <v>3815</v>
      </c>
      <c r="N2585" s="0" t="n">
        <v>10</v>
      </c>
      <c r="O2585" s="0" t="n">
        <v>106.9</v>
      </c>
      <c r="P2585" s="0" t="s">
        <v>2444</v>
      </c>
    </row>
    <row r="2586" customFormat="false" ht="15" hidden="false" customHeight="true" outlineLevel="0" collapsed="false">
      <c r="A2586" s="0" t="n">
        <v>2</v>
      </c>
      <c r="B2586" s="71" t="n">
        <v>46205</v>
      </c>
      <c r="C2586" s="0" t="n">
        <v>1</v>
      </c>
      <c r="D2586" s="0" t="s">
        <v>2442</v>
      </c>
      <c r="E2586" s="0" t="n">
        <v>1217</v>
      </c>
      <c r="F2586" s="0" t="s">
        <v>776</v>
      </c>
      <c r="I2586" s="0" t="n">
        <v>4467</v>
      </c>
      <c r="J2586" s="0" t="n">
        <v>70481</v>
      </c>
      <c r="K2586" s="0" t="n">
        <v>2264509</v>
      </c>
      <c r="L2586" s="0" t="s">
        <v>3816</v>
      </c>
      <c r="N2586" s="0" t="n">
        <v>50</v>
      </c>
      <c r="O2586" s="0" t="n">
        <v>219.69</v>
      </c>
      <c r="P2586" s="0" t="s">
        <v>2444</v>
      </c>
    </row>
    <row r="2587" customFormat="false" ht="15" hidden="false" customHeight="true" outlineLevel="0" collapsed="false">
      <c r="A2587" s="0" t="n">
        <v>2</v>
      </c>
      <c r="B2587" s="71" t="n">
        <v>46205</v>
      </c>
      <c r="C2587" s="0" t="n">
        <v>1</v>
      </c>
      <c r="D2587" s="0" t="s">
        <v>2442</v>
      </c>
      <c r="E2587" s="0" t="n">
        <v>1217</v>
      </c>
      <c r="F2587" s="0" t="s">
        <v>776</v>
      </c>
      <c r="I2587" s="0" t="n">
        <v>4467</v>
      </c>
      <c r="J2587" s="0" t="n">
        <v>71544</v>
      </c>
      <c r="K2587" s="0" t="n">
        <v>7897801302876</v>
      </c>
      <c r="L2587" s="0" t="s">
        <v>3817</v>
      </c>
      <c r="N2587" s="0" t="n">
        <v>20</v>
      </c>
      <c r="O2587" s="0" t="n">
        <v>131.4</v>
      </c>
      <c r="P2587" s="0" t="s">
        <v>2444</v>
      </c>
    </row>
    <row r="2588" customFormat="false" ht="15" hidden="false" customHeight="true" outlineLevel="0" collapsed="false">
      <c r="A2588" s="0" t="n">
        <v>2</v>
      </c>
      <c r="B2588" s="71" t="n">
        <v>46205</v>
      </c>
      <c r="C2588" s="0" t="n">
        <v>1</v>
      </c>
      <c r="D2588" s="0" t="s">
        <v>2442</v>
      </c>
      <c r="E2588" s="0" t="n">
        <v>1217</v>
      </c>
      <c r="F2588" s="0" t="s">
        <v>776</v>
      </c>
      <c r="I2588" s="0" t="n">
        <v>4467</v>
      </c>
      <c r="J2588" s="0" t="n">
        <v>71552</v>
      </c>
      <c r="K2588" s="0" t="n">
        <v>7898493993434</v>
      </c>
      <c r="L2588" s="0" t="s">
        <v>3818</v>
      </c>
      <c r="N2588" s="0" t="n">
        <v>500</v>
      </c>
      <c r="O2588" s="0" t="n">
        <v>69.5</v>
      </c>
      <c r="P2588" s="0" t="s">
        <v>2444</v>
      </c>
    </row>
    <row r="2589" customFormat="false" ht="15" hidden="false" customHeight="true" outlineLevel="0" collapsed="false">
      <c r="A2589" s="0" t="n">
        <v>2</v>
      </c>
      <c r="B2589" s="71" t="n">
        <v>46205</v>
      </c>
      <c r="C2589" s="0" t="n">
        <v>1</v>
      </c>
      <c r="D2589" s="0" t="s">
        <v>2442</v>
      </c>
      <c r="E2589" s="0" t="n">
        <v>1217</v>
      </c>
      <c r="F2589" s="0" t="s">
        <v>776</v>
      </c>
      <c r="I2589" s="0" t="n">
        <v>4467</v>
      </c>
      <c r="J2589" s="0" t="n">
        <v>71567</v>
      </c>
      <c r="K2589" s="0" t="n">
        <v>7898956620174</v>
      </c>
      <c r="L2589" s="0" t="s">
        <v>3819</v>
      </c>
      <c r="N2589" s="0" t="n">
        <v>12</v>
      </c>
      <c r="O2589" s="0" t="n">
        <v>40.68</v>
      </c>
      <c r="P2589" s="0" t="s">
        <v>2444</v>
      </c>
    </row>
    <row r="2590" customFormat="false" ht="15" hidden="false" customHeight="true" outlineLevel="0" collapsed="false">
      <c r="A2590" s="0" t="n">
        <v>2</v>
      </c>
      <c r="B2590" s="71" t="n">
        <v>46205</v>
      </c>
      <c r="C2590" s="0" t="n">
        <v>1</v>
      </c>
      <c r="D2590" s="0" t="s">
        <v>2442</v>
      </c>
      <c r="E2590" s="0" t="n">
        <v>1217</v>
      </c>
      <c r="F2590" s="0" t="s">
        <v>776</v>
      </c>
      <c r="I2590" s="0" t="n">
        <v>4467</v>
      </c>
      <c r="J2590" s="0" t="n">
        <v>71805</v>
      </c>
      <c r="K2590" s="0" t="n">
        <v>7898923820347</v>
      </c>
      <c r="L2590" s="0" t="s">
        <v>3820</v>
      </c>
      <c r="N2590" s="0" t="n">
        <v>36</v>
      </c>
      <c r="O2590" s="0" t="n">
        <v>133.2</v>
      </c>
      <c r="P2590" s="0" t="s">
        <v>2444</v>
      </c>
    </row>
    <row r="2591" customFormat="false" ht="15" hidden="false" customHeight="true" outlineLevel="0" collapsed="false">
      <c r="A2591" s="0" t="n">
        <v>2</v>
      </c>
      <c r="B2591" s="71" t="n">
        <v>46205</v>
      </c>
      <c r="C2591" s="0" t="n">
        <v>1</v>
      </c>
      <c r="D2591" s="0" t="s">
        <v>2442</v>
      </c>
      <c r="E2591" s="0" t="n">
        <v>1217</v>
      </c>
      <c r="F2591" s="0" t="s">
        <v>776</v>
      </c>
      <c r="I2591" s="0" t="n">
        <v>4467</v>
      </c>
      <c r="J2591" s="0" t="n">
        <v>72770</v>
      </c>
      <c r="K2591" s="0" t="n">
        <v>7899020554159</v>
      </c>
      <c r="L2591" s="0" t="s">
        <v>3821</v>
      </c>
      <c r="N2591" s="0" t="n">
        <v>3</v>
      </c>
      <c r="O2591" s="0" t="n">
        <v>95.4</v>
      </c>
      <c r="P2591" s="0" t="s">
        <v>2444</v>
      </c>
    </row>
    <row r="2592" customFormat="false" ht="15" hidden="false" customHeight="true" outlineLevel="0" collapsed="false">
      <c r="A2592" s="0" t="n">
        <v>2</v>
      </c>
      <c r="B2592" s="71" t="n">
        <v>46205</v>
      </c>
      <c r="C2592" s="0" t="n">
        <v>1</v>
      </c>
      <c r="D2592" s="0" t="s">
        <v>2442</v>
      </c>
      <c r="E2592" s="0" t="n">
        <v>1217</v>
      </c>
      <c r="F2592" s="0" t="s">
        <v>776</v>
      </c>
      <c r="I2592" s="0" t="n">
        <v>4467</v>
      </c>
      <c r="J2592" s="0" t="n">
        <v>72776</v>
      </c>
      <c r="K2592" s="0" t="n">
        <v>7899020554111</v>
      </c>
      <c r="L2592" s="0" t="s">
        <v>3821</v>
      </c>
      <c r="N2592" s="0" t="n">
        <v>3</v>
      </c>
      <c r="O2592" s="0" t="n">
        <v>69.03</v>
      </c>
      <c r="P2592" s="0" t="s">
        <v>2444</v>
      </c>
    </row>
    <row r="2593" customFormat="false" ht="15" hidden="false" customHeight="true" outlineLevel="0" collapsed="false">
      <c r="A2593" s="0" t="n">
        <v>2</v>
      </c>
      <c r="B2593" s="71" t="n">
        <v>46205</v>
      </c>
      <c r="C2593" s="0" t="n">
        <v>1</v>
      </c>
      <c r="D2593" s="0" t="s">
        <v>2442</v>
      </c>
      <c r="E2593" s="0" t="n">
        <v>1217</v>
      </c>
      <c r="F2593" s="0" t="s">
        <v>776</v>
      </c>
      <c r="I2593" s="0" t="n">
        <v>4467</v>
      </c>
      <c r="J2593" s="0" t="n">
        <v>73924</v>
      </c>
      <c r="K2593" s="0" t="n">
        <v>7897801319188</v>
      </c>
      <c r="L2593" s="0" t="s">
        <v>3822</v>
      </c>
      <c r="N2593" s="0" t="n">
        <v>36</v>
      </c>
      <c r="O2593" s="0" t="n">
        <v>69.12</v>
      </c>
      <c r="P2593" s="0" t="s">
        <v>2444</v>
      </c>
    </row>
    <row r="2594" customFormat="false" ht="15" hidden="false" customHeight="true" outlineLevel="0" collapsed="false">
      <c r="A2594" s="0" t="n">
        <v>2</v>
      </c>
      <c r="B2594" s="71" t="n">
        <v>46205</v>
      </c>
      <c r="C2594" s="0" t="n">
        <v>1</v>
      </c>
      <c r="D2594" s="0" t="s">
        <v>2442</v>
      </c>
      <c r="E2594" s="0" t="n">
        <v>1217</v>
      </c>
      <c r="F2594" s="0" t="s">
        <v>776</v>
      </c>
      <c r="I2594" s="0" t="n">
        <v>4467</v>
      </c>
      <c r="J2594" s="0" t="n">
        <v>73935</v>
      </c>
      <c r="K2594" s="0" t="n">
        <v>7897801302418</v>
      </c>
      <c r="L2594" s="0" t="s">
        <v>3823</v>
      </c>
      <c r="N2594" s="0" t="n">
        <v>20</v>
      </c>
      <c r="O2594" s="0" t="n">
        <v>35.4</v>
      </c>
      <c r="P2594" s="0" t="s">
        <v>2444</v>
      </c>
    </row>
    <row r="2595" customFormat="false" ht="15" hidden="false" customHeight="true" outlineLevel="0" collapsed="false">
      <c r="A2595" s="0" t="n">
        <v>2</v>
      </c>
      <c r="B2595" s="71" t="n">
        <v>46205</v>
      </c>
      <c r="C2595" s="0" t="n">
        <v>1</v>
      </c>
      <c r="D2595" s="0" t="s">
        <v>2442</v>
      </c>
      <c r="E2595" s="0" t="n">
        <v>1217</v>
      </c>
      <c r="F2595" s="0" t="s">
        <v>776</v>
      </c>
      <c r="I2595" s="0" t="n">
        <v>4467</v>
      </c>
      <c r="J2595" s="0" t="n">
        <v>75001</v>
      </c>
      <c r="K2595" s="0" t="n">
        <v>7893710800823</v>
      </c>
      <c r="L2595" s="0" t="s">
        <v>3824</v>
      </c>
      <c r="N2595" s="0" t="n">
        <v>60</v>
      </c>
      <c r="O2595" s="0" t="n">
        <v>101.58</v>
      </c>
      <c r="P2595" s="0" t="s">
        <v>2444</v>
      </c>
    </row>
    <row r="2596" customFormat="false" ht="15" hidden="false" customHeight="true" outlineLevel="0" collapsed="false">
      <c r="A2596" s="0" t="n">
        <v>2</v>
      </c>
      <c r="B2596" s="71" t="n">
        <v>46205</v>
      </c>
      <c r="C2596" s="0" t="n">
        <v>1</v>
      </c>
      <c r="D2596" s="0" t="s">
        <v>2442</v>
      </c>
      <c r="E2596" s="0" t="n">
        <v>1217</v>
      </c>
      <c r="F2596" s="0" t="s">
        <v>776</v>
      </c>
      <c r="I2596" s="0" t="n">
        <v>4467</v>
      </c>
      <c r="J2596" s="0" t="n">
        <v>75519</v>
      </c>
      <c r="K2596" s="0" t="n">
        <v>7894023096217</v>
      </c>
      <c r="L2596" s="0" t="s">
        <v>3825</v>
      </c>
      <c r="N2596" s="0" t="n">
        <v>12</v>
      </c>
      <c r="O2596" s="0" t="n">
        <v>70.2</v>
      </c>
      <c r="P2596" s="0" t="s">
        <v>2444</v>
      </c>
    </row>
    <row r="2597" customFormat="false" ht="15" hidden="false" customHeight="true" outlineLevel="0" collapsed="false">
      <c r="A2597" s="0" t="n">
        <v>2</v>
      </c>
      <c r="B2597" s="71" t="n">
        <v>46205</v>
      </c>
      <c r="C2597" s="0" t="n">
        <v>1</v>
      </c>
      <c r="D2597" s="0" t="s">
        <v>2442</v>
      </c>
      <c r="E2597" s="0" t="n">
        <v>1217</v>
      </c>
      <c r="F2597" s="0" t="s">
        <v>776</v>
      </c>
      <c r="I2597" s="0" t="n">
        <v>4467</v>
      </c>
      <c r="J2597" s="0" t="n">
        <v>75526</v>
      </c>
      <c r="K2597" s="0" t="n">
        <v>7897451426458</v>
      </c>
      <c r="L2597" s="0" t="s">
        <v>3826</v>
      </c>
      <c r="N2597" s="0" t="n">
        <v>6</v>
      </c>
      <c r="O2597" s="0" t="n">
        <v>70.92</v>
      </c>
      <c r="P2597" s="0" t="s">
        <v>2444</v>
      </c>
    </row>
    <row r="2598" customFormat="false" ht="15" hidden="false" customHeight="true" outlineLevel="0" collapsed="false">
      <c r="A2598" s="0" t="n">
        <v>2</v>
      </c>
      <c r="B2598" s="71" t="n">
        <v>46205</v>
      </c>
      <c r="C2598" s="0" t="n">
        <v>1</v>
      </c>
      <c r="D2598" s="0" t="s">
        <v>2442</v>
      </c>
      <c r="E2598" s="0" t="n">
        <v>1217</v>
      </c>
      <c r="F2598" s="0" t="s">
        <v>776</v>
      </c>
      <c r="I2598" s="0" t="n">
        <v>4467</v>
      </c>
      <c r="J2598" s="0" t="n">
        <v>75530</v>
      </c>
      <c r="K2598" s="0" t="n">
        <v>7898087581399</v>
      </c>
      <c r="L2598" s="0" t="s">
        <v>3827</v>
      </c>
      <c r="N2598" s="0" t="n">
        <v>12</v>
      </c>
      <c r="O2598" s="0" t="n">
        <v>86.76</v>
      </c>
      <c r="P2598" s="0" t="s">
        <v>2444</v>
      </c>
    </row>
    <row r="2599" customFormat="false" ht="15" hidden="false" customHeight="true" outlineLevel="0" collapsed="false">
      <c r="A2599" s="0" t="n">
        <v>2</v>
      </c>
      <c r="B2599" s="71" t="n">
        <v>46205</v>
      </c>
      <c r="C2599" s="0" t="n">
        <v>1</v>
      </c>
      <c r="D2599" s="0" t="s">
        <v>2442</v>
      </c>
      <c r="E2599" s="0" t="n">
        <v>1217</v>
      </c>
      <c r="F2599" s="0" t="s">
        <v>776</v>
      </c>
      <c r="I2599" s="0" t="n">
        <v>4467</v>
      </c>
      <c r="J2599" s="0" t="n">
        <v>75531</v>
      </c>
      <c r="K2599" s="0" t="n">
        <v>7898087582594</v>
      </c>
      <c r="L2599" s="0" t="s">
        <v>3827</v>
      </c>
      <c r="N2599" s="0" t="n">
        <v>12</v>
      </c>
      <c r="O2599" s="0" t="n">
        <v>70.08</v>
      </c>
      <c r="P2599" s="0" t="s">
        <v>2444</v>
      </c>
    </row>
    <row r="2600" customFormat="false" ht="15" hidden="false" customHeight="true" outlineLevel="0" collapsed="false">
      <c r="A2600" s="0" t="n">
        <v>2</v>
      </c>
      <c r="B2600" s="71" t="n">
        <v>46205</v>
      </c>
      <c r="C2600" s="0" t="n">
        <v>1</v>
      </c>
      <c r="D2600" s="0" t="s">
        <v>2442</v>
      </c>
      <c r="E2600" s="0" t="n">
        <v>1217</v>
      </c>
      <c r="F2600" s="0" t="s">
        <v>776</v>
      </c>
      <c r="I2600" s="0" t="n">
        <v>4467</v>
      </c>
      <c r="J2600" s="0" t="n">
        <v>75535</v>
      </c>
      <c r="K2600" s="0" t="n">
        <v>7898926060870</v>
      </c>
      <c r="L2600" s="0" t="s">
        <v>3828</v>
      </c>
      <c r="N2600" s="0" t="n">
        <v>10</v>
      </c>
      <c r="O2600" s="0" t="n">
        <v>82.7</v>
      </c>
      <c r="P2600" s="0" t="s">
        <v>2444</v>
      </c>
    </row>
    <row r="2601" customFormat="false" ht="15" hidden="false" customHeight="true" outlineLevel="0" collapsed="false">
      <c r="A2601" s="0" t="n">
        <v>2</v>
      </c>
      <c r="B2601" s="71" t="n">
        <v>46205</v>
      </c>
      <c r="C2601" s="0" t="n">
        <v>1</v>
      </c>
      <c r="D2601" s="0" t="s">
        <v>2442</v>
      </c>
      <c r="E2601" s="0" t="n">
        <v>1217</v>
      </c>
      <c r="F2601" s="0" t="s">
        <v>776</v>
      </c>
      <c r="I2601" s="0" t="n">
        <v>4467</v>
      </c>
      <c r="J2601" s="0" t="n">
        <v>76786</v>
      </c>
      <c r="K2601" s="0" t="n">
        <v>7898017625483</v>
      </c>
      <c r="L2601" s="0" t="s">
        <v>3829</v>
      </c>
      <c r="N2601" s="0" t="n">
        <v>25</v>
      </c>
      <c r="O2601" s="0" t="n">
        <v>66.5</v>
      </c>
      <c r="P2601" s="0" t="s">
        <v>2444</v>
      </c>
    </row>
    <row r="2602" customFormat="false" ht="15" hidden="false" customHeight="true" outlineLevel="0" collapsed="false">
      <c r="A2602" s="0" t="n">
        <v>2</v>
      </c>
      <c r="B2602" s="71" t="n">
        <v>46205</v>
      </c>
      <c r="C2602" s="0" t="n">
        <v>1</v>
      </c>
      <c r="D2602" s="0" t="s">
        <v>2442</v>
      </c>
      <c r="E2602" s="0" t="n">
        <v>1217</v>
      </c>
      <c r="F2602" s="0" t="s">
        <v>776</v>
      </c>
      <c r="I2602" s="0" t="n">
        <v>4467</v>
      </c>
      <c r="J2602" s="0" t="n">
        <v>81588</v>
      </c>
      <c r="K2602" s="0" t="n">
        <v>7908244600242</v>
      </c>
      <c r="L2602" s="0" t="s">
        <v>3830</v>
      </c>
      <c r="N2602" s="0" t="n">
        <v>6</v>
      </c>
      <c r="O2602" s="0" t="n">
        <v>123</v>
      </c>
      <c r="P2602" s="0" t="s">
        <v>2444</v>
      </c>
    </row>
    <row r="2603" customFormat="false" ht="15" hidden="false" customHeight="true" outlineLevel="0" collapsed="false">
      <c r="A2603" s="0" t="n">
        <v>2</v>
      </c>
      <c r="B2603" s="71" t="n">
        <v>46205</v>
      </c>
      <c r="C2603" s="0" t="n">
        <v>1</v>
      </c>
      <c r="D2603" s="0" t="s">
        <v>2442</v>
      </c>
      <c r="E2603" s="0" t="n">
        <v>1217</v>
      </c>
      <c r="F2603" s="0" t="s">
        <v>776</v>
      </c>
      <c r="I2603" s="0" t="n">
        <v>4467</v>
      </c>
      <c r="J2603" s="0" t="n">
        <v>81589</v>
      </c>
      <c r="K2603" s="0" t="n">
        <v>7897203410056</v>
      </c>
      <c r="L2603" s="0" t="s">
        <v>3831</v>
      </c>
      <c r="N2603" s="0" t="n">
        <v>24</v>
      </c>
      <c r="O2603" s="0" t="n">
        <v>68.64</v>
      </c>
      <c r="P2603" s="0" t="s">
        <v>2444</v>
      </c>
    </row>
    <row r="2604" customFormat="false" ht="15" hidden="false" customHeight="true" outlineLevel="0" collapsed="false">
      <c r="A2604" s="0" t="n">
        <v>2</v>
      </c>
      <c r="B2604" s="71" t="n">
        <v>46205</v>
      </c>
      <c r="C2604" s="0" t="n">
        <v>1</v>
      </c>
      <c r="D2604" s="0" t="s">
        <v>2442</v>
      </c>
      <c r="E2604" s="0" t="n">
        <v>1217</v>
      </c>
      <c r="F2604" s="0" t="s">
        <v>776</v>
      </c>
      <c r="I2604" s="0" t="n">
        <v>4467</v>
      </c>
      <c r="J2604" s="0" t="n">
        <v>81591</v>
      </c>
      <c r="K2604" s="0" t="n">
        <v>7898926059157</v>
      </c>
      <c r="L2604" s="0" t="s">
        <v>3832</v>
      </c>
      <c r="N2604" s="0" t="n">
        <v>20</v>
      </c>
      <c r="O2604" s="0" t="n">
        <v>89</v>
      </c>
      <c r="P2604" s="0" t="s">
        <v>2444</v>
      </c>
    </row>
    <row r="2605" customFormat="false" ht="15" hidden="false" customHeight="true" outlineLevel="0" collapsed="false">
      <c r="A2605" s="0" t="n">
        <v>2</v>
      </c>
      <c r="B2605" s="71" t="n">
        <v>46205</v>
      </c>
      <c r="C2605" s="0" t="n">
        <v>1</v>
      </c>
      <c r="D2605" s="0" t="s">
        <v>2442</v>
      </c>
      <c r="E2605" s="0" t="n">
        <v>1217</v>
      </c>
      <c r="F2605" s="0" t="s">
        <v>776</v>
      </c>
      <c r="I2605" s="0" t="n">
        <v>4467</v>
      </c>
      <c r="J2605" s="0" t="n">
        <v>81592</v>
      </c>
      <c r="K2605" s="0" t="n">
        <v>7898926059171</v>
      </c>
      <c r="L2605" s="0" t="s">
        <v>3833</v>
      </c>
      <c r="N2605" s="0" t="n">
        <v>20</v>
      </c>
      <c r="O2605" s="0" t="n">
        <v>118</v>
      </c>
      <c r="P2605" s="0" t="s">
        <v>2444</v>
      </c>
    </row>
    <row r="2606" customFormat="false" ht="15" hidden="false" customHeight="true" outlineLevel="0" collapsed="false">
      <c r="A2606" s="0" t="n">
        <v>2</v>
      </c>
      <c r="B2606" s="71" t="n">
        <v>46205</v>
      </c>
      <c r="C2606" s="0" t="n">
        <v>1</v>
      </c>
      <c r="D2606" s="0" t="s">
        <v>2442</v>
      </c>
      <c r="E2606" s="0" t="n">
        <v>1217</v>
      </c>
      <c r="F2606" s="0" t="s">
        <v>776</v>
      </c>
      <c r="I2606" s="0" t="n">
        <v>4467</v>
      </c>
      <c r="J2606" s="0" t="n">
        <v>81595</v>
      </c>
      <c r="K2606" s="0" t="n">
        <v>17898017625398</v>
      </c>
      <c r="L2606" s="0" t="s">
        <v>3834</v>
      </c>
      <c r="N2606" s="0" t="n">
        <v>30</v>
      </c>
      <c r="O2606" s="0" t="n">
        <v>121.5</v>
      </c>
      <c r="P2606" s="0" t="s">
        <v>2444</v>
      </c>
    </row>
    <row r="2607" customFormat="false" ht="15" hidden="false" customHeight="true" outlineLevel="0" collapsed="false">
      <c r="A2607" s="0" t="n">
        <v>2</v>
      </c>
      <c r="B2607" s="71" t="n">
        <v>46205</v>
      </c>
      <c r="C2607" s="0" t="n">
        <v>1</v>
      </c>
      <c r="D2607" s="0" t="s">
        <v>2442</v>
      </c>
      <c r="E2607" s="0" t="n">
        <v>1217</v>
      </c>
      <c r="F2607" s="0" t="s">
        <v>776</v>
      </c>
      <c r="I2607" s="0" t="n">
        <v>4467</v>
      </c>
      <c r="J2607" s="0" t="n">
        <v>81596</v>
      </c>
      <c r="K2607" s="0" t="n">
        <v>7898017628880</v>
      </c>
      <c r="L2607" s="0" t="s">
        <v>3835</v>
      </c>
      <c r="N2607" s="0" t="n">
        <v>25</v>
      </c>
      <c r="O2607" s="0" t="n">
        <v>165.5</v>
      </c>
      <c r="P2607" s="0" t="s">
        <v>2444</v>
      </c>
    </row>
    <row r="2608" customFormat="false" ht="15" hidden="false" customHeight="true" outlineLevel="0" collapsed="false">
      <c r="A2608" s="0" t="n">
        <v>2</v>
      </c>
      <c r="B2608" s="71" t="n">
        <v>46205</v>
      </c>
      <c r="C2608" s="0" t="n">
        <v>1</v>
      </c>
      <c r="D2608" s="0" t="s">
        <v>2442</v>
      </c>
      <c r="E2608" s="0" t="n">
        <v>1217</v>
      </c>
      <c r="F2608" s="0" t="s">
        <v>776</v>
      </c>
      <c r="I2608" s="0" t="n">
        <v>4467</v>
      </c>
      <c r="J2608" s="0" t="n">
        <v>81597</v>
      </c>
      <c r="K2608" s="0" t="n">
        <v>7908642005977</v>
      </c>
      <c r="L2608" s="0" t="s">
        <v>3836</v>
      </c>
      <c r="N2608" s="0" t="n">
        <v>12</v>
      </c>
      <c r="O2608" s="0" t="n">
        <v>111</v>
      </c>
      <c r="P2608" s="0" t="s">
        <v>2444</v>
      </c>
    </row>
    <row r="2609" customFormat="false" ht="15" hidden="false" customHeight="true" outlineLevel="0" collapsed="false">
      <c r="A2609" s="0" t="n">
        <v>2</v>
      </c>
      <c r="B2609" s="71" t="n">
        <v>46205</v>
      </c>
      <c r="C2609" s="0" t="n">
        <v>1</v>
      </c>
      <c r="D2609" s="0" t="s">
        <v>2442</v>
      </c>
      <c r="E2609" s="0" t="n">
        <v>1217</v>
      </c>
      <c r="F2609" s="0" t="s">
        <v>776</v>
      </c>
      <c r="I2609" s="0" t="n">
        <v>4467</v>
      </c>
      <c r="J2609" s="0" t="n">
        <v>81599</v>
      </c>
      <c r="K2609" s="0" t="n">
        <v>7908642009012</v>
      </c>
      <c r="L2609" s="0" t="s">
        <v>3837</v>
      </c>
      <c r="N2609" s="0" t="n">
        <v>20</v>
      </c>
      <c r="O2609" s="0" t="n">
        <v>55.2</v>
      </c>
      <c r="P2609" s="0" t="s">
        <v>2444</v>
      </c>
    </row>
    <row r="2610" customFormat="false" ht="15" hidden="false" customHeight="true" outlineLevel="0" collapsed="false">
      <c r="A2610" s="0" t="n">
        <v>2</v>
      </c>
      <c r="B2610" s="71" t="n">
        <v>46205</v>
      </c>
      <c r="C2610" s="0" t="n">
        <v>1</v>
      </c>
      <c r="D2610" s="0" t="s">
        <v>2442</v>
      </c>
      <c r="E2610" s="0" t="n">
        <v>1217</v>
      </c>
      <c r="F2610" s="0" t="s">
        <v>776</v>
      </c>
      <c r="I2610" s="0" t="n">
        <v>4467</v>
      </c>
      <c r="J2610" s="0" t="n">
        <v>81601</v>
      </c>
      <c r="K2610" s="0" t="n">
        <v>7908642009043</v>
      </c>
      <c r="L2610" s="0" t="s">
        <v>3838</v>
      </c>
      <c r="N2610" s="0" t="n">
        <v>20</v>
      </c>
      <c r="O2610" s="0" t="n">
        <v>55.4</v>
      </c>
      <c r="P2610" s="0" t="s">
        <v>2444</v>
      </c>
    </row>
    <row r="2611" customFormat="false" ht="15" hidden="false" customHeight="true" outlineLevel="0" collapsed="false">
      <c r="A2611" s="0" t="n">
        <v>2</v>
      </c>
      <c r="B2611" s="71" t="n">
        <v>46205</v>
      </c>
      <c r="C2611" s="0" t="n">
        <v>1</v>
      </c>
      <c r="D2611" s="0" t="s">
        <v>2442</v>
      </c>
      <c r="E2611" s="0" t="n">
        <v>1217</v>
      </c>
      <c r="F2611" s="0" t="s">
        <v>776</v>
      </c>
      <c r="I2611" s="0" t="n">
        <v>4467</v>
      </c>
      <c r="J2611" s="0" t="n">
        <v>81605</v>
      </c>
      <c r="K2611" s="0" t="n">
        <v>7899020595503</v>
      </c>
      <c r="L2611" s="0" t="s">
        <v>3839</v>
      </c>
      <c r="N2611" s="0" t="n">
        <v>10</v>
      </c>
      <c r="O2611" s="0" t="n">
        <v>81.1</v>
      </c>
      <c r="P2611" s="0" t="s">
        <v>2444</v>
      </c>
    </row>
    <row r="2612" customFormat="false" ht="15" hidden="false" customHeight="true" outlineLevel="0" collapsed="false">
      <c r="A2612" s="0" t="n">
        <v>2</v>
      </c>
      <c r="B2612" s="71" t="n">
        <v>46205</v>
      </c>
      <c r="C2612" s="0" t="n">
        <v>1</v>
      </c>
      <c r="D2612" s="0" t="s">
        <v>2442</v>
      </c>
      <c r="E2612" s="0" t="n">
        <v>1217</v>
      </c>
      <c r="F2612" s="0" t="s">
        <v>776</v>
      </c>
      <c r="I2612" s="0" t="n">
        <v>4467</v>
      </c>
      <c r="J2612" s="0" t="n">
        <v>81608</v>
      </c>
      <c r="K2612" s="0" t="n">
        <v>7899020595602</v>
      </c>
      <c r="L2612" s="0" t="s">
        <v>3840</v>
      </c>
      <c r="N2612" s="0" t="n">
        <v>10</v>
      </c>
      <c r="O2612" s="0" t="n">
        <v>60.3</v>
      </c>
      <c r="P2612" s="0" t="s">
        <v>2444</v>
      </c>
    </row>
    <row r="2613" customFormat="false" ht="15" hidden="false" customHeight="true" outlineLevel="0" collapsed="false">
      <c r="A2613" s="0" t="n">
        <v>2</v>
      </c>
      <c r="B2613" s="71" t="n">
        <v>46205</v>
      </c>
      <c r="C2613" s="0" t="n">
        <v>1</v>
      </c>
      <c r="D2613" s="0" t="s">
        <v>2442</v>
      </c>
      <c r="E2613" s="0" t="n">
        <v>1217</v>
      </c>
      <c r="F2613" s="0" t="s">
        <v>776</v>
      </c>
      <c r="I2613" s="0" t="n">
        <v>4467</v>
      </c>
      <c r="J2613" s="0" t="n">
        <v>81612</v>
      </c>
      <c r="K2613" s="0" t="n">
        <v>7894023068917</v>
      </c>
      <c r="L2613" s="0" t="s">
        <v>3841</v>
      </c>
      <c r="N2613" s="0" t="n">
        <v>25</v>
      </c>
      <c r="O2613" s="0" t="n">
        <v>140.25</v>
      </c>
      <c r="P2613" s="0" t="s">
        <v>2444</v>
      </c>
    </row>
    <row r="2614" customFormat="false" ht="15" hidden="false" customHeight="true" outlineLevel="0" collapsed="false">
      <c r="A2614" s="0" t="n">
        <v>2</v>
      </c>
      <c r="B2614" s="71" t="n">
        <v>46205</v>
      </c>
      <c r="C2614" s="0" t="n">
        <v>1</v>
      </c>
      <c r="D2614" s="0" t="s">
        <v>2442</v>
      </c>
      <c r="E2614" s="0" t="n">
        <v>1217</v>
      </c>
      <c r="F2614" s="0" t="s">
        <v>776</v>
      </c>
      <c r="I2614" s="0" t="n">
        <v>4467</v>
      </c>
      <c r="J2614" s="0" t="n">
        <v>81613</v>
      </c>
      <c r="K2614" s="0" t="n">
        <v>7897613523032</v>
      </c>
      <c r="L2614" s="0" t="s">
        <v>3842</v>
      </c>
      <c r="N2614" s="0" t="n">
        <v>12</v>
      </c>
      <c r="O2614" s="0" t="n">
        <v>83.64</v>
      </c>
      <c r="P2614" s="0" t="s">
        <v>2444</v>
      </c>
    </row>
    <row r="2615" customFormat="false" ht="15" hidden="false" customHeight="true" outlineLevel="0" collapsed="false">
      <c r="A2615" s="0" t="n">
        <v>2</v>
      </c>
      <c r="B2615" s="71" t="n">
        <v>46205</v>
      </c>
      <c r="C2615" s="0" t="n">
        <v>1</v>
      </c>
      <c r="D2615" s="0" t="s">
        <v>2442</v>
      </c>
      <c r="E2615" s="0" t="n">
        <v>1217</v>
      </c>
      <c r="F2615" s="0" t="s">
        <v>776</v>
      </c>
      <c r="I2615" s="0" t="n">
        <v>4467</v>
      </c>
      <c r="J2615" s="0" t="n">
        <v>81614</v>
      </c>
      <c r="K2615" s="0" t="n">
        <v>7891435049077</v>
      </c>
      <c r="L2615" s="0" t="s">
        <v>3843</v>
      </c>
      <c r="N2615" s="0" t="n">
        <v>50</v>
      </c>
      <c r="O2615" s="0" t="n">
        <v>88.41</v>
      </c>
      <c r="P2615" s="0" t="s">
        <v>2444</v>
      </c>
    </row>
    <row r="2616" customFormat="false" ht="15" hidden="false" customHeight="true" outlineLevel="0" collapsed="false">
      <c r="A2616" s="0" t="n">
        <v>2</v>
      </c>
      <c r="B2616" s="71" t="n">
        <v>46205</v>
      </c>
      <c r="C2616" s="0" t="n">
        <v>1</v>
      </c>
      <c r="D2616" s="0" t="s">
        <v>2442</v>
      </c>
      <c r="E2616" s="0" t="n">
        <v>1217</v>
      </c>
      <c r="F2616" s="0" t="s">
        <v>776</v>
      </c>
      <c r="I2616" s="0" t="n">
        <v>4467</v>
      </c>
      <c r="J2616" s="0" t="n">
        <v>81615</v>
      </c>
      <c r="K2616" s="0" t="n">
        <v>7891435049060</v>
      </c>
      <c r="L2616" s="0" t="s">
        <v>3844</v>
      </c>
      <c r="N2616" s="0" t="n">
        <v>50</v>
      </c>
      <c r="O2616" s="0" t="n">
        <v>71.81</v>
      </c>
      <c r="P2616" s="0" t="s">
        <v>2444</v>
      </c>
    </row>
    <row r="2617" customFormat="false" ht="15" hidden="false" customHeight="true" outlineLevel="0" collapsed="false">
      <c r="A2617" s="0" t="n">
        <v>2</v>
      </c>
      <c r="B2617" s="71" t="n">
        <v>46205</v>
      </c>
      <c r="C2617" s="0" t="n">
        <v>1</v>
      </c>
      <c r="D2617" s="0" t="s">
        <v>2442</v>
      </c>
      <c r="E2617" s="0" t="n">
        <v>1217</v>
      </c>
      <c r="F2617" s="0" t="s">
        <v>776</v>
      </c>
      <c r="I2617" s="0" t="n">
        <v>4467</v>
      </c>
      <c r="J2617" s="0" t="n">
        <v>81616</v>
      </c>
      <c r="K2617" s="0" t="n">
        <v>7896020651024</v>
      </c>
      <c r="L2617" s="0" t="s">
        <v>3845</v>
      </c>
      <c r="N2617" s="0" t="n">
        <v>1</v>
      </c>
      <c r="O2617" s="0" t="n">
        <v>160.92</v>
      </c>
      <c r="P2617" s="0" t="s">
        <v>2444</v>
      </c>
    </row>
    <row r="2618" customFormat="false" ht="15" hidden="false" customHeight="true" outlineLevel="0" collapsed="false">
      <c r="A2618" s="0" t="n">
        <v>2</v>
      </c>
      <c r="B2618" s="71" t="n">
        <v>46205</v>
      </c>
      <c r="C2618" s="0" t="n">
        <v>1</v>
      </c>
      <c r="D2618" s="0" t="s">
        <v>2442</v>
      </c>
      <c r="E2618" s="0" t="n">
        <v>10002</v>
      </c>
      <c r="F2618" s="0" t="s">
        <v>197</v>
      </c>
      <c r="I2618" s="0" t="n">
        <v>196323</v>
      </c>
      <c r="J2618" s="0" t="n">
        <v>103116</v>
      </c>
      <c r="K2618" s="0" t="n">
        <v>7896014400461</v>
      </c>
      <c r="L2618" s="0" t="s">
        <v>3846</v>
      </c>
      <c r="N2618" s="0" t="n">
        <v>24</v>
      </c>
      <c r="O2618" s="0" t="n">
        <v>78.02</v>
      </c>
      <c r="P2618" s="0" t="s">
        <v>2444</v>
      </c>
    </row>
    <row r="2619" customFormat="false" ht="15" hidden="false" customHeight="true" outlineLevel="0" collapsed="false">
      <c r="A2619" s="0" t="n">
        <v>2</v>
      </c>
      <c r="B2619" s="71" t="n">
        <v>46205</v>
      </c>
      <c r="C2619" s="0" t="n">
        <v>1</v>
      </c>
      <c r="D2619" s="0" t="s">
        <v>2442</v>
      </c>
      <c r="E2619" s="0" t="n">
        <v>10002</v>
      </c>
      <c r="F2619" s="0" t="s">
        <v>197</v>
      </c>
      <c r="I2619" s="0" t="n">
        <v>196323</v>
      </c>
      <c r="J2619" s="0" t="n">
        <v>103117</v>
      </c>
      <c r="K2619" s="0" t="n">
        <v>7896014400737</v>
      </c>
      <c r="L2619" s="0" t="s">
        <v>2591</v>
      </c>
      <c r="N2619" s="0" t="n">
        <v>48</v>
      </c>
      <c r="O2619" s="0" t="n">
        <v>69.16</v>
      </c>
      <c r="P2619" s="0" t="s">
        <v>2444</v>
      </c>
    </row>
    <row r="2620" customFormat="false" ht="15" hidden="false" customHeight="true" outlineLevel="0" collapsed="false">
      <c r="A2620" s="0" t="n">
        <v>2</v>
      </c>
      <c r="B2620" s="71" t="n">
        <v>46205</v>
      </c>
      <c r="C2620" s="0" t="n">
        <v>1</v>
      </c>
      <c r="D2620" s="0" t="s">
        <v>2442</v>
      </c>
      <c r="E2620" s="0" t="n">
        <v>10002</v>
      </c>
      <c r="F2620" s="0" t="s">
        <v>197</v>
      </c>
      <c r="I2620" s="0" t="n">
        <v>196323</v>
      </c>
      <c r="J2620" s="0" t="n">
        <v>103118</v>
      </c>
      <c r="K2620" s="0" t="n">
        <v>7896014400645</v>
      </c>
      <c r="L2620" s="0" t="s">
        <v>2592</v>
      </c>
      <c r="N2620" s="0" t="n">
        <v>96</v>
      </c>
      <c r="O2620" s="0" t="n">
        <v>163.6</v>
      </c>
      <c r="P2620" s="0" t="s">
        <v>2444</v>
      </c>
    </row>
    <row r="2621" customFormat="false" ht="15" hidden="false" customHeight="true" outlineLevel="0" collapsed="false">
      <c r="A2621" s="0" t="n">
        <v>2</v>
      </c>
      <c r="B2621" s="71" t="n">
        <v>46205</v>
      </c>
      <c r="C2621" s="0" t="n">
        <v>1</v>
      </c>
      <c r="D2621" s="0" t="s">
        <v>2442</v>
      </c>
      <c r="E2621" s="0" t="n">
        <v>10002</v>
      </c>
      <c r="F2621" s="0" t="s">
        <v>197</v>
      </c>
      <c r="I2621" s="0" t="n">
        <v>196323</v>
      </c>
      <c r="J2621" s="0" t="n">
        <v>103119</v>
      </c>
      <c r="K2621" s="0" t="n">
        <v>7896014400195</v>
      </c>
      <c r="L2621" s="0" t="s">
        <v>3847</v>
      </c>
      <c r="N2621" s="0" t="n">
        <v>24</v>
      </c>
      <c r="O2621" s="0" t="n">
        <v>42.76</v>
      </c>
      <c r="P2621" s="0" t="s">
        <v>2444</v>
      </c>
    </row>
    <row r="2622" customFormat="false" ht="15" hidden="false" customHeight="true" outlineLevel="0" collapsed="false">
      <c r="A2622" s="0" t="n">
        <v>2</v>
      </c>
      <c r="B2622" s="71" t="n">
        <v>46205</v>
      </c>
      <c r="C2622" s="0" t="n">
        <v>1</v>
      </c>
      <c r="D2622" s="0" t="s">
        <v>2442</v>
      </c>
      <c r="E2622" s="0" t="n">
        <v>10002</v>
      </c>
      <c r="F2622" s="0" t="s">
        <v>197</v>
      </c>
      <c r="I2622" s="0" t="n">
        <v>196323</v>
      </c>
      <c r="J2622" s="0" t="n">
        <v>103121</v>
      </c>
      <c r="K2622" s="0" t="n">
        <v>7896014400553</v>
      </c>
      <c r="L2622" s="0" t="s">
        <v>2593</v>
      </c>
      <c r="N2622" s="0" t="n">
        <v>48</v>
      </c>
      <c r="O2622" s="0" t="n">
        <v>77.16</v>
      </c>
      <c r="P2622" s="0" t="s">
        <v>2444</v>
      </c>
    </row>
    <row r="2623" customFormat="false" ht="15" hidden="false" customHeight="true" outlineLevel="0" collapsed="false">
      <c r="A2623" s="0" t="n">
        <v>2</v>
      </c>
      <c r="B2623" s="71" t="n">
        <v>46205</v>
      </c>
      <c r="C2623" s="0" t="n">
        <v>1</v>
      </c>
      <c r="D2623" s="0" t="s">
        <v>2442</v>
      </c>
      <c r="E2623" s="0" t="n">
        <v>10002</v>
      </c>
      <c r="F2623" s="0" t="s">
        <v>197</v>
      </c>
      <c r="I2623" s="0" t="n">
        <v>196323</v>
      </c>
      <c r="J2623" s="0" t="n">
        <v>12082</v>
      </c>
      <c r="K2623" s="0" t="n">
        <v>7896014400829</v>
      </c>
      <c r="L2623" s="0" t="s">
        <v>2595</v>
      </c>
      <c r="N2623" s="0" t="n">
        <v>24</v>
      </c>
      <c r="O2623" s="0" t="n">
        <v>97.8</v>
      </c>
      <c r="P2623" s="0" t="s">
        <v>2444</v>
      </c>
    </row>
    <row r="2624" customFormat="false" ht="15" hidden="false" customHeight="true" outlineLevel="0" collapsed="false">
      <c r="A2624" s="0" t="n">
        <v>2</v>
      </c>
      <c r="B2624" s="71" t="n">
        <v>46205</v>
      </c>
      <c r="C2624" s="0" t="n">
        <v>1</v>
      </c>
      <c r="D2624" s="0" t="s">
        <v>2442</v>
      </c>
      <c r="E2624" s="0" t="n">
        <v>10002</v>
      </c>
      <c r="F2624" s="0" t="s">
        <v>197</v>
      </c>
      <c r="I2624" s="0" t="n">
        <v>196323</v>
      </c>
      <c r="J2624" s="0" t="n">
        <v>30958</v>
      </c>
      <c r="K2624" s="0" t="n">
        <v>7896014400720</v>
      </c>
      <c r="L2624" s="0" t="s">
        <v>2592</v>
      </c>
      <c r="N2624" s="0" t="n">
        <v>4</v>
      </c>
      <c r="O2624" s="0" t="n">
        <v>66.04</v>
      </c>
      <c r="P2624" s="0" t="s">
        <v>2444</v>
      </c>
    </row>
    <row r="2625" customFormat="false" ht="15" hidden="false" customHeight="true" outlineLevel="0" collapsed="false">
      <c r="A2625" s="0" t="n">
        <v>2</v>
      </c>
      <c r="B2625" s="71" t="n">
        <v>46205</v>
      </c>
      <c r="C2625" s="0" t="n">
        <v>1</v>
      </c>
      <c r="D2625" s="0" t="s">
        <v>2442</v>
      </c>
      <c r="E2625" s="0" t="n">
        <v>10002</v>
      </c>
      <c r="F2625" s="0" t="s">
        <v>197</v>
      </c>
      <c r="I2625" s="0" t="n">
        <v>196323</v>
      </c>
      <c r="J2625" s="0" t="n">
        <v>33581</v>
      </c>
      <c r="K2625" s="0" t="n">
        <v>7896014400775</v>
      </c>
      <c r="L2625" s="0" t="s">
        <v>3848</v>
      </c>
      <c r="N2625" s="0" t="n">
        <v>4</v>
      </c>
      <c r="O2625" s="0" t="n">
        <v>57.86</v>
      </c>
      <c r="P2625" s="0" t="s">
        <v>2444</v>
      </c>
    </row>
    <row r="2626" customFormat="false" ht="15" hidden="false" customHeight="true" outlineLevel="0" collapsed="false">
      <c r="A2626" s="0" t="n">
        <v>2</v>
      </c>
      <c r="B2626" s="71" t="n">
        <v>46205</v>
      </c>
      <c r="C2626" s="0" t="n">
        <v>1</v>
      </c>
      <c r="D2626" s="0" t="s">
        <v>2442</v>
      </c>
      <c r="E2626" s="0" t="n">
        <v>1734</v>
      </c>
      <c r="F2626" s="0" t="s">
        <v>566</v>
      </c>
      <c r="I2626" s="0" t="n">
        <v>254582</v>
      </c>
      <c r="J2626" s="0" t="n">
        <v>38201</v>
      </c>
      <c r="K2626" s="0" t="n">
        <v>7898055451587</v>
      </c>
      <c r="L2626" s="0" t="s">
        <v>2775</v>
      </c>
      <c r="N2626" s="0" t="n">
        <v>3</v>
      </c>
      <c r="O2626" s="0" t="n">
        <v>69.23</v>
      </c>
      <c r="P2626" s="0" t="s">
        <v>2444</v>
      </c>
    </row>
    <row r="2627" customFormat="false" ht="15" hidden="false" customHeight="true" outlineLevel="0" collapsed="false">
      <c r="A2627" s="0" t="n">
        <v>2</v>
      </c>
      <c r="B2627" s="71" t="n">
        <v>46205</v>
      </c>
      <c r="C2627" s="0" t="n">
        <v>1</v>
      </c>
      <c r="D2627" s="0" t="s">
        <v>2442</v>
      </c>
      <c r="E2627" s="0" t="n">
        <v>1734</v>
      </c>
      <c r="F2627" s="0" t="s">
        <v>566</v>
      </c>
      <c r="I2627" s="0" t="n">
        <v>254582</v>
      </c>
      <c r="J2627" s="0" t="n">
        <v>38209</v>
      </c>
      <c r="K2627" s="0" t="n">
        <v>7898055451761</v>
      </c>
      <c r="L2627" s="0" t="s">
        <v>3849</v>
      </c>
      <c r="N2627" s="0" t="n">
        <v>3</v>
      </c>
      <c r="O2627" s="0" t="n">
        <v>69.23</v>
      </c>
      <c r="P2627" s="0" t="s">
        <v>2444</v>
      </c>
    </row>
    <row r="2628" customFormat="false" ht="15" hidden="false" customHeight="true" outlineLevel="0" collapsed="false">
      <c r="A2628" s="0" t="n">
        <v>2</v>
      </c>
      <c r="B2628" s="71" t="n">
        <v>46205</v>
      </c>
      <c r="C2628" s="0" t="n">
        <v>1</v>
      </c>
      <c r="D2628" s="0" t="s">
        <v>2442</v>
      </c>
      <c r="E2628" s="0" t="n">
        <v>1734</v>
      </c>
      <c r="F2628" s="0" t="s">
        <v>566</v>
      </c>
      <c r="I2628" s="0" t="n">
        <v>254582</v>
      </c>
      <c r="J2628" s="0" t="n">
        <v>38212</v>
      </c>
      <c r="K2628" s="0" t="n">
        <v>7898055451624</v>
      </c>
      <c r="L2628" s="0" t="s">
        <v>3850</v>
      </c>
      <c r="N2628" s="0" t="n">
        <v>2</v>
      </c>
      <c r="O2628" s="0" t="n">
        <v>30.63</v>
      </c>
      <c r="P2628" s="0" t="s">
        <v>2444</v>
      </c>
    </row>
    <row r="2629" customFormat="false" ht="15" hidden="false" customHeight="true" outlineLevel="0" collapsed="false">
      <c r="A2629" s="0" t="n">
        <v>2</v>
      </c>
      <c r="B2629" s="71" t="n">
        <v>46205</v>
      </c>
      <c r="C2629" s="0" t="n">
        <v>1</v>
      </c>
      <c r="D2629" s="0" t="s">
        <v>2442</v>
      </c>
      <c r="E2629" s="0" t="n">
        <v>1734</v>
      </c>
      <c r="F2629" s="0" t="s">
        <v>566</v>
      </c>
      <c r="I2629" s="0" t="n">
        <v>254582</v>
      </c>
      <c r="J2629" s="0" t="n">
        <v>38213</v>
      </c>
      <c r="K2629" s="0" t="n">
        <v>7898055450023</v>
      </c>
      <c r="L2629" s="0" t="s">
        <v>2775</v>
      </c>
      <c r="N2629" s="0" t="n">
        <v>3</v>
      </c>
      <c r="O2629" s="0" t="n">
        <v>69.23</v>
      </c>
      <c r="P2629" s="0" t="s">
        <v>2444</v>
      </c>
    </row>
    <row r="2630" customFormat="false" ht="15" hidden="false" customHeight="true" outlineLevel="0" collapsed="false">
      <c r="A2630" s="0" t="n">
        <v>2</v>
      </c>
      <c r="B2630" s="71" t="n">
        <v>46205</v>
      </c>
      <c r="C2630" s="0" t="n">
        <v>1</v>
      </c>
      <c r="D2630" s="0" t="s">
        <v>2442</v>
      </c>
      <c r="E2630" s="0" t="n">
        <v>1734</v>
      </c>
      <c r="F2630" s="0" t="s">
        <v>566</v>
      </c>
      <c r="I2630" s="0" t="n">
        <v>254582</v>
      </c>
      <c r="J2630" s="0" t="n">
        <v>38214</v>
      </c>
      <c r="K2630" s="0" t="n">
        <v>7898055452249</v>
      </c>
      <c r="L2630" s="0" t="s">
        <v>2776</v>
      </c>
      <c r="N2630" s="0" t="n">
        <v>3</v>
      </c>
      <c r="O2630" s="0" t="n">
        <v>69.23</v>
      </c>
      <c r="P2630" s="0" t="s">
        <v>2444</v>
      </c>
    </row>
    <row r="2631" customFormat="false" ht="15" hidden="false" customHeight="true" outlineLevel="0" collapsed="false">
      <c r="A2631" s="0" t="n">
        <v>2</v>
      </c>
      <c r="B2631" s="71" t="n">
        <v>46205</v>
      </c>
      <c r="C2631" s="0" t="n">
        <v>1</v>
      </c>
      <c r="D2631" s="0" t="s">
        <v>2442</v>
      </c>
      <c r="E2631" s="0" t="n">
        <v>1734</v>
      </c>
      <c r="F2631" s="0" t="s">
        <v>566</v>
      </c>
      <c r="I2631" s="0" t="n">
        <v>254582</v>
      </c>
      <c r="J2631" s="0" t="n">
        <v>38216</v>
      </c>
      <c r="K2631" s="0" t="n">
        <v>7898055454281</v>
      </c>
      <c r="L2631" s="0" t="s">
        <v>3851</v>
      </c>
      <c r="N2631" s="0" t="n">
        <v>3</v>
      </c>
      <c r="O2631" s="0" t="n">
        <v>45.95</v>
      </c>
      <c r="P2631" s="0" t="s">
        <v>2444</v>
      </c>
    </row>
    <row r="2632" customFormat="false" ht="15" hidden="false" customHeight="true" outlineLevel="0" collapsed="false">
      <c r="A2632" s="0" t="n">
        <v>2</v>
      </c>
      <c r="B2632" s="71" t="n">
        <v>46205</v>
      </c>
      <c r="C2632" s="0" t="n">
        <v>1</v>
      </c>
      <c r="D2632" s="0" t="s">
        <v>2442</v>
      </c>
      <c r="E2632" s="0" t="n">
        <v>1734</v>
      </c>
      <c r="F2632" s="0" t="s">
        <v>566</v>
      </c>
      <c r="I2632" s="0" t="n">
        <v>254582</v>
      </c>
      <c r="J2632" s="0" t="n">
        <v>38219</v>
      </c>
      <c r="K2632" s="0" t="n">
        <v>7898055452348</v>
      </c>
      <c r="L2632" s="0" t="s">
        <v>2777</v>
      </c>
      <c r="N2632" s="0" t="n">
        <v>2</v>
      </c>
      <c r="O2632" s="0" t="n">
        <v>46.16</v>
      </c>
      <c r="P2632" s="0" t="s">
        <v>2444</v>
      </c>
    </row>
    <row r="2633" customFormat="false" ht="15" hidden="false" customHeight="true" outlineLevel="0" collapsed="false">
      <c r="A2633" s="0" t="n">
        <v>2</v>
      </c>
      <c r="B2633" s="71" t="n">
        <v>46205</v>
      </c>
      <c r="C2633" s="0" t="n">
        <v>1</v>
      </c>
      <c r="D2633" s="0" t="s">
        <v>2442</v>
      </c>
      <c r="E2633" s="0" t="n">
        <v>1734</v>
      </c>
      <c r="F2633" s="0" t="s">
        <v>566</v>
      </c>
      <c r="I2633" s="0" t="n">
        <v>254582</v>
      </c>
      <c r="J2633" s="0" t="n">
        <v>38220</v>
      </c>
      <c r="K2633" s="0" t="n">
        <v>7898055452355</v>
      </c>
      <c r="L2633" s="0" t="s">
        <v>2775</v>
      </c>
      <c r="N2633" s="0" t="n">
        <v>3</v>
      </c>
      <c r="O2633" s="0" t="n">
        <v>69.23</v>
      </c>
      <c r="P2633" s="0" t="s">
        <v>2444</v>
      </c>
    </row>
    <row r="2634" customFormat="false" ht="15" hidden="false" customHeight="true" outlineLevel="0" collapsed="false">
      <c r="A2634" s="0" t="n">
        <v>2</v>
      </c>
      <c r="B2634" s="71" t="n">
        <v>46205</v>
      </c>
      <c r="C2634" s="0" t="n">
        <v>1</v>
      </c>
      <c r="D2634" s="0" t="s">
        <v>2442</v>
      </c>
      <c r="E2634" s="0" t="n">
        <v>1734</v>
      </c>
      <c r="F2634" s="0" t="s">
        <v>566</v>
      </c>
      <c r="I2634" s="0" t="n">
        <v>254582</v>
      </c>
      <c r="J2634" s="0" t="n">
        <v>38221</v>
      </c>
      <c r="K2634" s="0" t="n">
        <v>7898055452102</v>
      </c>
      <c r="L2634" s="0" t="s">
        <v>3852</v>
      </c>
      <c r="N2634" s="0" t="n">
        <v>2</v>
      </c>
      <c r="O2634" s="0" t="n">
        <v>30.63</v>
      </c>
      <c r="P2634" s="0" t="s">
        <v>2444</v>
      </c>
    </row>
    <row r="2635" customFormat="false" ht="15" hidden="false" customHeight="true" outlineLevel="0" collapsed="false">
      <c r="A2635" s="0" t="n">
        <v>2</v>
      </c>
      <c r="B2635" s="71" t="n">
        <v>46205</v>
      </c>
      <c r="C2635" s="0" t="n">
        <v>1</v>
      </c>
      <c r="D2635" s="0" t="s">
        <v>2442</v>
      </c>
      <c r="E2635" s="0" t="n">
        <v>1734</v>
      </c>
      <c r="F2635" s="0" t="s">
        <v>566</v>
      </c>
      <c r="I2635" s="0" t="n">
        <v>254582</v>
      </c>
      <c r="J2635" s="0" t="n">
        <v>38789</v>
      </c>
      <c r="K2635" s="0" t="n">
        <v>7898055451754</v>
      </c>
      <c r="L2635" s="0" t="s">
        <v>3853</v>
      </c>
      <c r="N2635" s="0" t="n">
        <v>2</v>
      </c>
      <c r="O2635" s="0" t="n">
        <v>30.63</v>
      </c>
      <c r="P2635" s="0" t="s">
        <v>2444</v>
      </c>
    </row>
    <row r="2636" customFormat="false" ht="15" hidden="false" customHeight="true" outlineLevel="0" collapsed="false">
      <c r="A2636" s="0" t="n">
        <v>2</v>
      </c>
      <c r="B2636" s="71" t="n">
        <v>46205</v>
      </c>
      <c r="C2636" s="0" t="n">
        <v>1</v>
      </c>
      <c r="D2636" s="0" t="s">
        <v>2442</v>
      </c>
      <c r="E2636" s="0" t="n">
        <v>1734</v>
      </c>
      <c r="F2636" s="0" t="s">
        <v>566</v>
      </c>
      <c r="I2636" s="0" t="n">
        <v>254582</v>
      </c>
      <c r="J2636" s="0" t="n">
        <v>38790</v>
      </c>
      <c r="K2636" s="0" t="n">
        <v>7898055453659</v>
      </c>
      <c r="L2636" s="0" t="s">
        <v>3854</v>
      </c>
      <c r="N2636" s="0" t="n">
        <v>2</v>
      </c>
      <c r="O2636" s="0" t="n">
        <v>30.63</v>
      </c>
      <c r="P2636" s="0" t="s">
        <v>2444</v>
      </c>
    </row>
    <row r="2637" customFormat="false" ht="15" hidden="false" customHeight="true" outlineLevel="0" collapsed="false">
      <c r="A2637" s="0" t="n">
        <v>2</v>
      </c>
      <c r="B2637" s="71" t="n">
        <v>46205</v>
      </c>
      <c r="C2637" s="0" t="n">
        <v>1</v>
      </c>
      <c r="D2637" s="0" t="s">
        <v>2442</v>
      </c>
      <c r="E2637" s="0" t="n">
        <v>1734</v>
      </c>
      <c r="F2637" s="0" t="s">
        <v>566</v>
      </c>
      <c r="I2637" s="0" t="n">
        <v>254582</v>
      </c>
      <c r="J2637" s="0" t="n">
        <v>39252</v>
      </c>
      <c r="K2637" s="0" t="n">
        <v>7898055450993</v>
      </c>
      <c r="L2637" s="0" t="s">
        <v>3855</v>
      </c>
      <c r="N2637" s="0" t="n">
        <v>2</v>
      </c>
      <c r="O2637" s="0" t="n">
        <v>30.63</v>
      </c>
      <c r="P2637" s="0" t="s">
        <v>2444</v>
      </c>
    </row>
    <row r="2638" customFormat="false" ht="15" hidden="false" customHeight="true" outlineLevel="0" collapsed="false">
      <c r="A2638" s="0" t="n">
        <v>2</v>
      </c>
      <c r="B2638" s="71" t="n">
        <v>46205</v>
      </c>
      <c r="C2638" s="0" t="n">
        <v>1</v>
      </c>
      <c r="D2638" s="0" t="s">
        <v>2442</v>
      </c>
      <c r="E2638" s="0" t="n">
        <v>1734</v>
      </c>
      <c r="F2638" s="0" t="s">
        <v>566</v>
      </c>
      <c r="I2638" s="0" t="n">
        <v>254582</v>
      </c>
      <c r="J2638" s="0" t="n">
        <v>39447</v>
      </c>
      <c r="K2638" s="0" t="n">
        <v>7898055450139</v>
      </c>
      <c r="L2638" s="0" t="s">
        <v>2781</v>
      </c>
      <c r="N2638" s="0" t="n">
        <v>2</v>
      </c>
      <c r="O2638" s="0" t="n">
        <v>46.16</v>
      </c>
      <c r="P2638" s="0" t="s">
        <v>2444</v>
      </c>
    </row>
    <row r="2639" customFormat="false" ht="15" hidden="false" customHeight="true" outlineLevel="0" collapsed="false">
      <c r="A2639" s="0" t="n">
        <v>2</v>
      </c>
      <c r="B2639" s="71" t="n">
        <v>46205</v>
      </c>
      <c r="C2639" s="0" t="n">
        <v>1</v>
      </c>
      <c r="D2639" s="0" t="s">
        <v>2442</v>
      </c>
      <c r="E2639" s="0" t="n">
        <v>1734</v>
      </c>
      <c r="F2639" s="0" t="s">
        <v>566</v>
      </c>
      <c r="I2639" s="0" t="n">
        <v>254582</v>
      </c>
      <c r="J2639" s="0" t="n">
        <v>39450</v>
      </c>
      <c r="K2639" s="0" t="n">
        <v>7898055450030</v>
      </c>
      <c r="L2639" s="0" t="s">
        <v>2782</v>
      </c>
      <c r="N2639" s="0" t="n">
        <v>2</v>
      </c>
      <c r="O2639" s="0" t="n">
        <v>46.16</v>
      </c>
      <c r="P2639" s="0" t="s">
        <v>2444</v>
      </c>
    </row>
    <row r="2640" customFormat="false" ht="15" hidden="false" customHeight="true" outlineLevel="0" collapsed="false">
      <c r="A2640" s="0" t="n">
        <v>2</v>
      </c>
      <c r="B2640" s="71" t="n">
        <v>46205</v>
      </c>
      <c r="C2640" s="0" t="n">
        <v>1</v>
      </c>
      <c r="D2640" s="0" t="s">
        <v>2442</v>
      </c>
      <c r="E2640" s="0" t="n">
        <v>1734</v>
      </c>
      <c r="F2640" s="0" t="s">
        <v>566</v>
      </c>
      <c r="I2640" s="0" t="n">
        <v>254582</v>
      </c>
      <c r="J2640" s="0" t="n">
        <v>56815</v>
      </c>
      <c r="K2640" s="0" t="n">
        <v>7898055455165</v>
      </c>
      <c r="L2640" s="0" t="s">
        <v>2786</v>
      </c>
      <c r="N2640" s="0" t="n">
        <v>2</v>
      </c>
      <c r="O2640" s="0" t="n">
        <v>46.16</v>
      </c>
      <c r="P2640" s="0" t="s">
        <v>2444</v>
      </c>
    </row>
    <row r="2641" customFormat="false" ht="15" hidden="false" customHeight="true" outlineLevel="0" collapsed="false">
      <c r="A2641" s="0" t="n">
        <v>2</v>
      </c>
      <c r="B2641" s="71" t="n">
        <v>46205</v>
      </c>
      <c r="C2641" s="0" t="n">
        <v>1</v>
      </c>
      <c r="D2641" s="0" t="s">
        <v>2442</v>
      </c>
      <c r="E2641" s="0" t="n">
        <v>1734</v>
      </c>
      <c r="F2641" s="0" t="s">
        <v>566</v>
      </c>
      <c r="I2641" s="0" t="n">
        <v>254582</v>
      </c>
      <c r="J2641" s="0" t="n">
        <v>57021</v>
      </c>
      <c r="K2641" s="0" t="n">
        <v>7898055455189</v>
      </c>
      <c r="L2641" s="0" t="s">
        <v>2787</v>
      </c>
      <c r="N2641" s="0" t="n">
        <v>2</v>
      </c>
      <c r="O2641" s="0" t="n">
        <v>46.16</v>
      </c>
      <c r="P2641" s="0" t="s">
        <v>2444</v>
      </c>
    </row>
    <row r="2642" customFormat="false" ht="15" hidden="false" customHeight="true" outlineLevel="0" collapsed="false">
      <c r="A2642" s="0" t="n">
        <v>2</v>
      </c>
      <c r="B2642" s="71" t="n">
        <v>46205</v>
      </c>
      <c r="C2642" s="0" t="n">
        <v>1</v>
      </c>
      <c r="D2642" s="0" t="s">
        <v>2442</v>
      </c>
      <c r="E2642" s="0" t="n">
        <v>1734</v>
      </c>
      <c r="F2642" s="0" t="s">
        <v>566</v>
      </c>
      <c r="I2642" s="0" t="n">
        <v>254582</v>
      </c>
      <c r="J2642" s="0" t="n">
        <v>57024</v>
      </c>
      <c r="K2642" s="0" t="n">
        <v>7898055455172</v>
      </c>
      <c r="L2642" s="0" t="s">
        <v>3856</v>
      </c>
      <c r="N2642" s="0" t="n">
        <v>2</v>
      </c>
      <c r="O2642" s="0" t="n">
        <v>46.16</v>
      </c>
      <c r="P2642" s="0" t="s">
        <v>2444</v>
      </c>
    </row>
    <row r="2643" customFormat="false" ht="15" hidden="false" customHeight="true" outlineLevel="0" collapsed="false">
      <c r="A2643" s="0" t="n">
        <v>2</v>
      </c>
      <c r="B2643" s="71" t="n">
        <v>46205</v>
      </c>
      <c r="C2643" s="0" t="n">
        <v>1</v>
      </c>
      <c r="D2643" s="0" t="s">
        <v>2442</v>
      </c>
      <c r="E2643" s="0" t="n">
        <v>1734</v>
      </c>
      <c r="F2643" s="0" t="s">
        <v>566</v>
      </c>
      <c r="I2643" s="0" t="n">
        <v>254582</v>
      </c>
      <c r="J2643" s="0" t="n">
        <v>57286</v>
      </c>
      <c r="K2643" s="0" t="n">
        <v>7898055455202</v>
      </c>
      <c r="L2643" s="0" t="s">
        <v>3857</v>
      </c>
      <c r="N2643" s="0" t="n">
        <v>2</v>
      </c>
      <c r="O2643" s="0" t="n">
        <v>46.16</v>
      </c>
      <c r="P2643" s="0" t="s">
        <v>2444</v>
      </c>
    </row>
    <row r="2644" customFormat="false" ht="15" hidden="false" customHeight="true" outlineLevel="0" collapsed="false">
      <c r="A2644" s="0" t="n">
        <v>2</v>
      </c>
      <c r="B2644" s="71" t="n">
        <v>46205</v>
      </c>
      <c r="C2644" s="0" t="n">
        <v>1</v>
      </c>
      <c r="D2644" s="0" t="s">
        <v>2442</v>
      </c>
      <c r="E2644" s="0" t="n">
        <v>1815</v>
      </c>
      <c r="F2644" s="0" t="s">
        <v>172</v>
      </c>
      <c r="I2644" s="0" t="n">
        <v>390211</v>
      </c>
      <c r="J2644" s="0" t="n">
        <v>100011</v>
      </c>
      <c r="K2644" s="0" t="n">
        <v>12</v>
      </c>
      <c r="L2644" s="0" t="s">
        <v>2488</v>
      </c>
      <c r="N2644" s="0" t="n">
        <v>23.802</v>
      </c>
      <c r="O2644" s="0" t="n">
        <v>856.63</v>
      </c>
      <c r="P2644" s="0" t="s">
        <v>2444</v>
      </c>
    </row>
    <row r="2645" customFormat="false" ht="15" hidden="false" customHeight="true" outlineLevel="0" collapsed="false">
      <c r="A2645" s="0" t="n">
        <v>2</v>
      </c>
      <c r="B2645" s="71" t="n">
        <v>46205</v>
      </c>
      <c r="C2645" s="0" t="n">
        <v>1</v>
      </c>
      <c r="D2645" s="0" t="s">
        <v>2442</v>
      </c>
      <c r="E2645" s="0" t="n">
        <v>1815</v>
      </c>
      <c r="F2645" s="0" t="s">
        <v>172</v>
      </c>
      <c r="I2645" s="0" t="n">
        <v>390211</v>
      </c>
      <c r="J2645" s="0" t="n">
        <v>100012</v>
      </c>
      <c r="K2645" s="0" t="n">
        <v>13</v>
      </c>
      <c r="L2645" s="0" t="s">
        <v>2489</v>
      </c>
      <c r="N2645" s="0" t="n">
        <v>24.6</v>
      </c>
      <c r="O2645" s="0" t="n">
        <v>947.1</v>
      </c>
      <c r="P2645" s="0" t="s">
        <v>2444</v>
      </c>
    </row>
    <row r="2646" customFormat="false" ht="15" hidden="false" customHeight="true" outlineLevel="0" collapsed="false">
      <c r="A2646" s="0" t="n">
        <v>2</v>
      </c>
      <c r="B2646" s="71" t="n">
        <v>46205</v>
      </c>
      <c r="C2646" s="0" t="n">
        <v>1</v>
      </c>
      <c r="D2646" s="0" t="s">
        <v>2442</v>
      </c>
      <c r="E2646" s="0" t="n">
        <v>1815</v>
      </c>
      <c r="F2646" s="0" t="s">
        <v>172</v>
      </c>
      <c r="I2646" s="0" t="n">
        <v>390211</v>
      </c>
      <c r="J2646" s="0" t="n">
        <v>100013</v>
      </c>
      <c r="K2646" s="0" t="n">
        <v>14</v>
      </c>
      <c r="L2646" s="0" t="s">
        <v>2490</v>
      </c>
      <c r="N2646" s="0" t="n">
        <v>44.315</v>
      </c>
      <c r="O2646" s="0" t="n">
        <v>1683.53</v>
      </c>
      <c r="P2646" s="0" t="s">
        <v>2444</v>
      </c>
    </row>
    <row r="2647" customFormat="false" ht="15" hidden="false" customHeight="true" outlineLevel="0" collapsed="false">
      <c r="A2647" s="0" t="n">
        <v>2</v>
      </c>
      <c r="B2647" s="71" t="n">
        <v>46205</v>
      </c>
      <c r="C2647" s="0" t="n">
        <v>1</v>
      </c>
      <c r="D2647" s="0" t="s">
        <v>2442</v>
      </c>
      <c r="E2647" s="0" t="n">
        <v>1815</v>
      </c>
      <c r="F2647" s="0" t="s">
        <v>172</v>
      </c>
      <c r="I2647" s="0" t="n">
        <v>390211</v>
      </c>
      <c r="J2647" s="0" t="n">
        <v>100014</v>
      </c>
      <c r="K2647" s="0" t="n">
        <v>15</v>
      </c>
      <c r="L2647" s="0" t="s">
        <v>2491</v>
      </c>
      <c r="N2647" s="0" t="n">
        <v>23.831</v>
      </c>
      <c r="O2647" s="0" t="n">
        <v>1024.49</v>
      </c>
      <c r="P2647" s="0" t="s">
        <v>2444</v>
      </c>
    </row>
    <row r="2648" customFormat="false" ht="15" hidden="false" customHeight="true" outlineLevel="0" collapsed="false">
      <c r="A2648" s="0" t="n">
        <v>2</v>
      </c>
      <c r="B2648" s="71" t="n">
        <v>46205</v>
      </c>
      <c r="C2648" s="0" t="n">
        <v>1</v>
      </c>
      <c r="D2648" s="0" t="s">
        <v>2442</v>
      </c>
      <c r="E2648" s="0" t="n">
        <v>1815</v>
      </c>
      <c r="F2648" s="0" t="s">
        <v>172</v>
      </c>
      <c r="I2648" s="0" t="n">
        <v>390211</v>
      </c>
      <c r="J2648" s="0" t="n">
        <v>100024</v>
      </c>
      <c r="K2648" s="0" t="n">
        <v>25</v>
      </c>
      <c r="L2648" s="0" t="s">
        <v>3345</v>
      </c>
      <c r="N2648" s="0" t="n">
        <v>45.36</v>
      </c>
      <c r="O2648" s="0" t="n">
        <v>634.59</v>
      </c>
      <c r="P2648" s="0" t="s">
        <v>2444</v>
      </c>
    </row>
    <row r="2649" customFormat="false" ht="15" hidden="false" customHeight="true" outlineLevel="0" collapsed="false">
      <c r="A2649" s="0" t="n">
        <v>2</v>
      </c>
      <c r="B2649" s="71" t="n">
        <v>46205</v>
      </c>
      <c r="C2649" s="0" t="n">
        <v>1</v>
      </c>
      <c r="D2649" s="0" t="s">
        <v>2442</v>
      </c>
      <c r="E2649" s="0" t="n">
        <v>1815</v>
      </c>
      <c r="F2649" s="0" t="s">
        <v>172</v>
      </c>
      <c r="I2649" s="0" t="n">
        <v>390211</v>
      </c>
      <c r="J2649" s="0" t="n">
        <v>100034</v>
      </c>
      <c r="K2649" s="0" t="n">
        <v>35</v>
      </c>
      <c r="L2649" s="0" t="s">
        <v>2716</v>
      </c>
      <c r="N2649" s="0" t="n">
        <v>60</v>
      </c>
      <c r="O2649" s="0" t="n">
        <v>870</v>
      </c>
      <c r="P2649" s="0" t="s">
        <v>2444</v>
      </c>
    </row>
    <row r="2650" customFormat="false" ht="15" hidden="false" customHeight="true" outlineLevel="0" collapsed="false">
      <c r="A2650" s="0" t="n">
        <v>2</v>
      </c>
      <c r="B2650" s="71" t="n">
        <v>46205</v>
      </c>
      <c r="C2650" s="0" t="n">
        <v>1</v>
      </c>
      <c r="D2650" s="0" t="s">
        <v>2442</v>
      </c>
      <c r="E2650" s="0" t="n">
        <v>1683</v>
      </c>
      <c r="F2650" s="0" t="s">
        <v>406</v>
      </c>
      <c r="I2650" s="0" t="n">
        <v>1640710</v>
      </c>
      <c r="J2650" s="0" t="n">
        <v>109791</v>
      </c>
      <c r="K2650" s="0" t="n">
        <v>9667</v>
      </c>
      <c r="L2650" s="0" t="s">
        <v>2465</v>
      </c>
      <c r="N2650" s="0" t="n">
        <v>10</v>
      </c>
      <c r="O2650" s="0" t="n">
        <v>15</v>
      </c>
      <c r="P2650" s="0" t="s">
        <v>2444</v>
      </c>
    </row>
    <row r="2651" customFormat="false" ht="15" hidden="false" customHeight="true" outlineLevel="0" collapsed="false">
      <c r="A2651" s="0" t="n">
        <v>2</v>
      </c>
      <c r="B2651" s="71" t="n">
        <v>46205</v>
      </c>
      <c r="C2651" s="0" t="n">
        <v>1</v>
      </c>
      <c r="D2651" s="0" t="s">
        <v>2442</v>
      </c>
      <c r="E2651" s="0" t="n">
        <v>1683</v>
      </c>
      <c r="F2651" s="0" t="s">
        <v>406</v>
      </c>
      <c r="I2651" s="0" t="n">
        <v>1640710</v>
      </c>
      <c r="J2651" s="0" t="n">
        <v>37361</v>
      </c>
      <c r="K2651" s="0" t="n">
        <v>2240817</v>
      </c>
      <c r="L2651" s="0" t="s">
        <v>2467</v>
      </c>
      <c r="N2651" s="0" t="n">
        <v>60</v>
      </c>
      <c r="O2651" s="0" t="n">
        <v>108</v>
      </c>
      <c r="P2651" s="0" t="s">
        <v>2444</v>
      </c>
    </row>
    <row r="2652" customFormat="false" ht="15" hidden="false" customHeight="true" outlineLevel="0" collapsed="false">
      <c r="A2652" s="0" t="n">
        <v>2</v>
      </c>
      <c r="B2652" s="71" t="n">
        <v>46206</v>
      </c>
      <c r="C2652" s="0" t="n">
        <v>1</v>
      </c>
      <c r="D2652" s="0" t="s">
        <v>2442</v>
      </c>
      <c r="E2652" s="0" t="n">
        <v>10018</v>
      </c>
      <c r="F2652" s="0" t="s">
        <v>216</v>
      </c>
      <c r="I2652" s="0" t="n">
        <v>322</v>
      </c>
      <c r="J2652" s="0" t="n">
        <v>101974</v>
      </c>
      <c r="K2652" s="0" t="n">
        <v>7897272900120</v>
      </c>
      <c r="L2652" s="0" t="s">
        <v>3858</v>
      </c>
      <c r="N2652" s="0" t="n">
        <v>20</v>
      </c>
      <c r="O2652" s="0" t="n">
        <v>49.99</v>
      </c>
      <c r="P2652" s="0" t="s">
        <v>2444</v>
      </c>
    </row>
    <row r="2653" customFormat="false" ht="15" hidden="false" customHeight="true" outlineLevel="0" collapsed="false">
      <c r="A2653" s="0" t="n">
        <v>2</v>
      </c>
      <c r="B2653" s="71" t="n">
        <v>46206</v>
      </c>
      <c r="C2653" s="0" t="n">
        <v>1</v>
      </c>
      <c r="D2653" s="0" t="s">
        <v>2442</v>
      </c>
      <c r="E2653" s="0" t="n">
        <v>10018</v>
      </c>
      <c r="F2653" s="0" t="s">
        <v>216</v>
      </c>
      <c r="I2653" s="0" t="n">
        <v>322</v>
      </c>
      <c r="J2653" s="0" t="n">
        <v>101977</v>
      </c>
      <c r="K2653" s="0" t="n">
        <v>7897272900151</v>
      </c>
      <c r="L2653" s="0" t="s">
        <v>3859</v>
      </c>
      <c r="N2653" s="0" t="n">
        <v>20</v>
      </c>
      <c r="O2653" s="0" t="n">
        <v>49.99</v>
      </c>
      <c r="P2653" s="0" t="s">
        <v>2444</v>
      </c>
    </row>
    <row r="2654" customFormat="false" ht="15" hidden="false" customHeight="true" outlineLevel="0" collapsed="false">
      <c r="A2654" s="0" t="n">
        <v>2</v>
      </c>
      <c r="B2654" s="71" t="n">
        <v>46206</v>
      </c>
      <c r="C2654" s="0" t="n">
        <v>1</v>
      </c>
      <c r="D2654" s="0" t="s">
        <v>2442</v>
      </c>
      <c r="E2654" s="0" t="n">
        <v>10018</v>
      </c>
      <c r="F2654" s="0" t="s">
        <v>216</v>
      </c>
      <c r="I2654" s="0" t="n">
        <v>322</v>
      </c>
      <c r="J2654" s="0" t="n">
        <v>102054</v>
      </c>
      <c r="K2654" s="0" t="n">
        <v>7894000030470</v>
      </c>
      <c r="L2654" s="0" t="s">
        <v>3860</v>
      </c>
      <c r="N2654" s="0" t="n">
        <v>120</v>
      </c>
      <c r="O2654" s="0" t="n">
        <v>724.5</v>
      </c>
      <c r="P2654" s="0" t="s">
        <v>2444</v>
      </c>
    </row>
    <row r="2655" customFormat="false" ht="15" hidden="false" customHeight="true" outlineLevel="0" collapsed="false">
      <c r="A2655" s="0" t="n">
        <v>2</v>
      </c>
      <c r="B2655" s="71" t="n">
        <v>46206</v>
      </c>
      <c r="C2655" s="0" t="n">
        <v>1</v>
      </c>
      <c r="D2655" s="0" t="s">
        <v>2442</v>
      </c>
      <c r="E2655" s="0" t="n">
        <v>10018</v>
      </c>
      <c r="F2655" s="0" t="s">
        <v>216</v>
      </c>
      <c r="I2655" s="0" t="n">
        <v>322</v>
      </c>
      <c r="J2655" s="0" t="n">
        <v>16347</v>
      </c>
      <c r="K2655" s="0" t="n">
        <v>7898932426042</v>
      </c>
      <c r="L2655" s="0" t="s">
        <v>3861</v>
      </c>
      <c r="N2655" s="0" t="n">
        <v>20</v>
      </c>
      <c r="O2655" s="0" t="n">
        <v>34.9</v>
      </c>
      <c r="P2655" s="0" t="s">
        <v>2444</v>
      </c>
    </row>
    <row r="2656" customFormat="false" ht="15" hidden="false" customHeight="true" outlineLevel="0" collapsed="false">
      <c r="A2656" s="0" t="n">
        <v>2</v>
      </c>
      <c r="B2656" s="71" t="n">
        <v>46206</v>
      </c>
      <c r="C2656" s="0" t="n">
        <v>1</v>
      </c>
      <c r="D2656" s="0" t="s">
        <v>2442</v>
      </c>
      <c r="E2656" s="0" t="n">
        <v>10018</v>
      </c>
      <c r="F2656" s="0" t="s">
        <v>216</v>
      </c>
      <c r="I2656" s="0" t="n">
        <v>322</v>
      </c>
      <c r="J2656" s="0" t="n">
        <v>30035</v>
      </c>
      <c r="K2656" s="0" t="n">
        <v>7891097101489</v>
      </c>
      <c r="L2656" s="0" t="s">
        <v>2634</v>
      </c>
      <c r="N2656" s="0" t="n">
        <v>160</v>
      </c>
      <c r="O2656" s="0" t="n">
        <v>579.8</v>
      </c>
      <c r="P2656" s="0" t="s">
        <v>2444</v>
      </c>
    </row>
    <row r="2657" customFormat="false" ht="15" hidden="false" customHeight="true" outlineLevel="0" collapsed="false">
      <c r="A2657" s="0" t="n">
        <v>2</v>
      </c>
      <c r="B2657" s="71" t="n">
        <v>46206</v>
      </c>
      <c r="C2657" s="0" t="n">
        <v>1</v>
      </c>
      <c r="D2657" s="0" t="s">
        <v>2442</v>
      </c>
      <c r="E2657" s="0" t="n">
        <v>10018</v>
      </c>
      <c r="F2657" s="0" t="s">
        <v>216</v>
      </c>
      <c r="I2657" s="0" t="n">
        <v>322</v>
      </c>
      <c r="J2657" s="0" t="n">
        <v>50552</v>
      </c>
      <c r="K2657" s="0" t="n">
        <v>7891000369340</v>
      </c>
      <c r="L2657" s="0" t="s">
        <v>2774</v>
      </c>
      <c r="N2657" s="0" t="n">
        <v>24</v>
      </c>
      <c r="O2657" s="0" t="n">
        <v>110</v>
      </c>
      <c r="P2657" s="0" t="s">
        <v>2444</v>
      </c>
    </row>
    <row r="2658" customFormat="false" ht="15" hidden="false" customHeight="true" outlineLevel="0" collapsed="false">
      <c r="A2658" s="0" t="n">
        <v>2</v>
      </c>
      <c r="B2658" s="71" t="n">
        <v>46206</v>
      </c>
      <c r="C2658" s="0" t="n">
        <v>1</v>
      </c>
      <c r="D2658" s="0" t="s">
        <v>2442</v>
      </c>
      <c r="E2658" s="0" t="n">
        <v>10018</v>
      </c>
      <c r="F2658" s="0" t="s">
        <v>216</v>
      </c>
      <c r="I2658" s="0" t="n">
        <v>322</v>
      </c>
      <c r="J2658" s="0" t="n">
        <v>80005</v>
      </c>
      <c r="K2658" s="0" t="n">
        <v>7891000457092</v>
      </c>
      <c r="L2658" s="0" t="s">
        <v>3862</v>
      </c>
      <c r="N2658" s="0" t="n">
        <v>60</v>
      </c>
      <c r="O2658" s="0" t="n">
        <v>699.8</v>
      </c>
      <c r="P2658" s="0" t="s">
        <v>2444</v>
      </c>
    </row>
    <row r="2659" customFormat="false" ht="15" hidden="false" customHeight="true" outlineLevel="0" collapsed="false">
      <c r="A2659" s="0" t="n">
        <v>2</v>
      </c>
      <c r="B2659" s="71" t="n">
        <v>46206</v>
      </c>
      <c r="C2659" s="0" t="n">
        <v>1</v>
      </c>
      <c r="D2659" s="0" t="s">
        <v>2442</v>
      </c>
      <c r="E2659" s="0" t="n">
        <v>10018</v>
      </c>
      <c r="F2659" s="0" t="s">
        <v>216</v>
      </c>
      <c r="I2659" s="0" t="n">
        <v>322</v>
      </c>
      <c r="J2659" s="0" t="n">
        <v>81180</v>
      </c>
      <c r="K2659" s="0" t="n">
        <v>7891000457368</v>
      </c>
      <c r="L2659" s="0" t="s">
        <v>3863</v>
      </c>
      <c r="N2659" s="0" t="n">
        <v>70</v>
      </c>
      <c r="O2659" s="0" t="n">
        <v>139.99</v>
      </c>
      <c r="P2659" s="0" t="s">
        <v>2444</v>
      </c>
    </row>
    <row r="2660" customFormat="false" ht="15" hidden="false" customHeight="true" outlineLevel="0" collapsed="false">
      <c r="A2660" s="0" t="n">
        <v>2</v>
      </c>
      <c r="B2660" s="71" t="n">
        <v>46206</v>
      </c>
      <c r="C2660" s="0" t="n">
        <v>1</v>
      </c>
      <c r="D2660" s="0" t="s">
        <v>2442</v>
      </c>
      <c r="E2660" s="0" t="n">
        <v>10035</v>
      </c>
      <c r="F2660" s="0" t="s">
        <v>86</v>
      </c>
      <c r="I2660" s="0" t="n">
        <v>337</v>
      </c>
      <c r="J2660" s="0" t="n">
        <v>38652</v>
      </c>
      <c r="K2660" s="0" t="n">
        <v>7898994684220</v>
      </c>
      <c r="L2660" s="0" t="s">
        <v>2711</v>
      </c>
      <c r="N2660" s="0" t="n">
        <v>35</v>
      </c>
      <c r="O2660" s="0" t="n">
        <v>308</v>
      </c>
      <c r="P2660" s="0" t="s">
        <v>2444</v>
      </c>
    </row>
    <row r="2661" customFormat="false" ht="15" hidden="false" customHeight="true" outlineLevel="0" collapsed="false">
      <c r="A2661" s="0" t="n">
        <v>2</v>
      </c>
      <c r="B2661" s="71" t="n">
        <v>46206</v>
      </c>
      <c r="C2661" s="0" t="n">
        <v>1</v>
      </c>
      <c r="D2661" s="0" t="s">
        <v>2442</v>
      </c>
      <c r="E2661" s="0" t="n">
        <v>10035</v>
      </c>
      <c r="F2661" s="0" t="s">
        <v>86</v>
      </c>
      <c r="I2661" s="0" t="n">
        <v>337</v>
      </c>
      <c r="J2661" s="0" t="n">
        <v>38653</v>
      </c>
      <c r="K2661" s="0" t="n">
        <v>7898994684275</v>
      </c>
      <c r="L2661" s="0" t="s">
        <v>2712</v>
      </c>
      <c r="N2661" s="0" t="n">
        <v>20</v>
      </c>
      <c r="O2661" s="0" t="n">
        <v>90</v>
      </c>
      <c r="P2661" s="0" t="s">
        <v>2444</v>
      </c>
    </row>
    <row r="2662" customFormat="false" ht="15" hidden="false" customHeight="true" outlineLevel="0" collapsed="false">
      <c r="A2662" s="0" t="n">
        <v>2</v>
      </c>
      <c r="B2662" s="71" t="n">
        <v>46206</v>
      </c>
      <c r="C2662" s="0" t="n">
        <v>1</v>
      </c>
      <c r="D2662" s="0" t="s">
        <v>2442</v>
      </c>
      <c r="E2662" s="0" t="n">
        <v>10089</v>
      </c>
      <c r="F2662" s="0" t="s">
        <v>852</v>
      </c>
      <c r="I2662" s="0" t="n">
        <v>890</v>
      </c>
      <c r="J2662" s="0" t="n">
        <v>41701</v>
      </c>
      <c r="K2662" s="0" t="n">
        <v>7898966794063</v>
      </c>
      <c r="L2662" s="0" t="s">
        <v>3864</v>
      </c>
      <c r="N2662" s="0" t="n">
        <v>20</v>
      </c>
      <c r="O2662" s="0" t="n">
        <v>174</v>
      </c>
      <c r="P2662" s="0" t="s">
        <v>2444</v>
      </c>
    </row>
    <row r="2663" customFormat="false" ht="15" hidden="false" customHeight="true" outlineLevel="0" collapsed="false">
      <c r="A2663" s="0" t="n">
        <v>2</v>
      </c>
      <c r="B2663" s="71" t="n">
        <v>46206</v>
      </c>
      <c r="C2663" s="0" t="n">
        <v>1</v>
      </c>
      <c r="D2663" s="0" t="s">
        <v>2442</v>
      </c>
      <c r="E2663" s="0" t="n">
        <v>10089</v>
      </c>
      <c r="F2663" s="0" t="s">
        <v>852</v>
      </c>
      <c r="I2663" s="0" t="n">
        <v>890</v>
      </c>
      <c r="J2663" s="0" t="n">
        <v>73996</v>
      </c>
      <c r="K2663" s="0" t="n">
        <v>7898966794216</v>
      </c>
      <c r="L2663" s="0" t="s">
        <v>3865</v>
      </c>
      <c r="N2663" s="0" t="n">
        <v>24</v>
      </c>
      <c r="O2663" s="0" t="n">
        <v>183.36</v>
      </c>
      <c r="P2663" s="0" t="s">
        <v>2444</v>
      </c>
    </row>
    <row r="2664" customFormat="false" ht="15" hidden="false" customHeight="true" outlineLevel="0" collapsed="false">
      <c r="A2664" s="0" t="n">
        <v>2</v>
      </c>
      <c r="B2664" s="71" t="n">
        <v>46206</v>
      </c>
      <c r="C2664" s="0" t="n">
        <v>1</v>
      </c>
      <c r="D2664" s="0" t="s">
        <v>2442</v>
      </c>
      <c r="E2664" s="0" t="n">
        <v>10089</v>
      </c>
      <c r="F2664" s="0" t="s">
        <v>852</v>
      </c>
      <c r="I2664" s="0" t="n">
        <v>890</v>
      </c>
      <c r="J2664" s="0" t="n">
        <v>76370</v>
      </c>
      <c r="K2664" s="0" t="n">
        <v>7898966794230</v>
      </c>
      <c r="L2664" s="0" t="s">
        <v>3866</v>
      </c>
      <c r="N2664" s="0" t="n">
        <v>24</v>
      </c>
      <c r="O2664" s="0" t="n">
        <v>185.04</v>
      </c>
      <c r="P2664" s="0" t="s">
        <v>2444</v>
      </c>
    </row>
    <row r="2665" customFormat="false" ht="15" hidden="false" customHeight="true" outlineLevel="0" collapsed="false">
      <c r="A2665" s="0" t="n">
        <v>2</v>
      </c>
      <c r="B2665" s="71" t="n">
        <v>46206</v>
      </c>
      <c r="C2665" s="0" t="n">
        <v>1</v>
      </c>
      <c r="D2665" s="0" t="s">
        <v>2442</v>
      </c>
      <c r="E2665" s="0" t="n">
        <v>10089</v>
      </c>
      <c r="F2665" s="0" t="s">
        <v>852</v>
      </c>
      <c r="I2665" s="0" t="n">
        <v>890</v>
      </c>
      <c r="J2665" s="0" t="n">
        <v>81656</v>
      </c>
      <c r="K2665" s="0" t="n">
        <v>7898966794537</v>
      </c>
      <c r="L2665" s="0" t="s">
        <v>3867</v>
      </c>
      <c r="N2665" s="0" t="n">
        <v>24</v>
      </c>
      <c r="O2665" s="0" t="n">
        <v>194.4</v>
      </c>
      <c r="P2665" s="0" t="s">
        <v>2444</v>
      </c>
    </row>
    <row r="2666" customFormat="false" ht="15" hidden="false" customHeight="true" outlineLevel="0" collapsed="false">
      <c r="A2666" s="0" t="n">
        <v>2</v>
      </c>
      <c r="B2666" s="71" t="n">
        <v>46206</v>
      </c>
      <c r="C2666" s="0" t="n">
        <v>1</v>
      </c>
      <c r="D2666" s="0" t="s">
        <v>2442</v>
      </c>
      <c r="E2666" s="0" t="n">
        <v>1609</v>
      </c>
      <c r="F2666" s="0" t="s">
        <v>84</v>
      </c>
      <c r="I2666" s="0" t="n">
        <v>5765</v>
      </c>
      <c r="J2666" s="0" t="n">
        <v>18383</v>
      </c>
      <c r="K2666" s="0" t="n">
        <v>7896878801138</v>
      </c>
      <c r="L2666" s="0" t="s">
        <v>2611</v>
      </c>
      <c r="N2666" s="0" t="n">
        <v>5</v>
      </c>
      <c r="O2666" s="0" t="n">
        <v>20.25</v>
      </c>
      <c r="P2666" s="0" t="s">
        <v>2444</v>
      </c>
    </row>
    <row r="2667" customFormat="false" ht="15" hidden="false" customHeight="true" outlineLevel="0" collapsed="false">
      <c r="A2667" s="0" t="n">
        <v>2</v>
      </c>
      <c r="B2667" s="71" t="n">
        <v>46206</v>
      </c>
      <c r="C2667" s="0" t="n">
        <v>1</v>
      </c>
      <c r="D2667" s="0" t="s">
        <v>2442</v>
      </c>
      <c r="E2667" s="0" t="n">
        <v>1609</v>
      </c>
      <c r="F2667" s="0" t="s">
        <v>84</v>
      </c>
      <c r="I2667" s="0" t="n">
        <v>5765</v>
      </c>
      <c r="J2667" s="0" t="n">
        <v>18384</v>
      </c>
      <c r="K2667" s="0" t="n">
        <v>7896878801206</v>
      </c>
      <c r="L2667" s="0" t="s">
        <v>2612</v>
      </c>
      <c r="N2667" s="0" t="n">
        <v>20</v>
      </c>
      <c r="O2667" s="0" t="n">
        <v>61</v>
      </c>
      <c r="P2667" s="0" t="s">
        <v>2444</v>
      </c>
    </row>
    <row r="2668" customFormat="false" ht="15" hidden="false" customHeight="true" outlineLevel="0" collapsed="false">
      <c r="A2668" s="0" t="n">
        <v>2</v>
      </c>
      <c r="B2668" s="71" t="n">
        <v>46206</v>
      </c>
      <c r="C2668" s="0" t="n">
        <v>1</v>
      </c>
      <c r="D2668" s="0" t="s">
        <v>2442</v>
      </c>
      <c r="E2668" s="0" t="n">
        <v>1609</v>
      </c>
      <c r="F2668" s="0" t="s">
        <v>84</v>
      </c>
      <c r="I2668" s="0" t="n">
        <v>5765</v>
      </c>
      <c r="J2668" s="0" t="n">
        <v>18385</v>
      </c>
      <c r="K2668" s="0" t="n">
        <v>7896878801220</v>
      </c>
      <c r="L2668" s="0" t="s">
        <v>2613</v>
      </c>
      <c r="N2668" s="0" t="n">
        <v>9</v>
      </c>
      <c r="O2668" s="0" t="n">
        <v>70.65</v>
      </c>
      <c r="P2668" s="0" t="s">
        <v>2444</v>
      </c>
    </row>
    <row r="2669" customFormat="false" ht="15" hidden="false" customHeight="true" outlineLevel="0" collapsed="false">
      <c r="A2669" s="0" t="n">
        <v>2</v>
      </c>
      <c r="B2669" s="71" t="n">
        <v>46206</v>
      </c>
      <c r="C2669" s="0" t="n">
        <v>1</v>
      </c>
      <c r="D2669" s="0" t="s">
        <v>2442</v>
      </c>
      <c r="E2669" s="0" t="n">
        <v>1609</v>
      </c>
      <c r="F2669" s="0" t="s">
        <v>84</v>
      </c>
      <c r="I2669" s="0" t="n">
        <v>5765</v>
      </c>
      <c r="J2669" s="0" t="n">
        <v>18775</v>
      </c>
      <c r="K2669" s="0" t="n">
        <v>7896878801237</v>
      </c>
      <c r="L2669" s="0" t="s">
        <v>2614</v>
      </c>
      <c r="N2669" s="0" t="n">
        <v>20</v>
      </c>
      <c r="O2669" s="0" t="n">
        <v>66</v>
      </c>
      <c r="P2669" s="0" t="s">
        <v>2444</v>
      </c>
    </row>
    <row r="2670" customFormat="false" ht="15" hidden="false" customHeight="true" outlineLevel="0" collapsed="false">
      <c r="A2670" s="0" t="n">
        <v>2</v>
      </c>
      <c r="B2670" s="71" t="n">
        <v>46206</v>
      </c>
      <c r="C2670" s="0" t="n">
        <v>1</v>
      </c>
      <c r="D2670" s="0" t="s">
        <v>2442</v>
      </c>
      <c r="E2670" s="0" t="n">
        <v>1609</v>
      </c>
      <c r="F2670" s="0" t="s">
        <v>84</v>
      </c>
      <c r="I2670" s="0" t="n">
        <v>5765</v>
      </c>
      <c r="J2670" s="0" t="n">
        <v>18910</v>
      </c>
      <c r="K2670" s="0" t="n">
        <v>7896878801176</v>
      </c>
      <c r="L2670" s="0" t="s">
        <v>2615</v>
      </c>
      <c r="N2670" s="0" t="n">
        <v>5</v>
      </c>
      <c r="O2670" s="0" t="n">
        <v>20.25</v>
      </c>
      <c r="P2670" s="0" t="s">
        <v>2444</v>
      </c>
    </row>
    <row r="2671" customFormat="false" ht="15" hidden="false" customHeight="true" outlineLevel="0" collapsed="false">
      <c r="A2671" s="0" t="n">
        <v>2</v>
      </c>
      <c r="B2671" s="71" t="n">
        <v>46206</v>
      </c>
      <c r="C2671" s="0" t="n">
        <v>1</v>
      </c>
      <c r="D2671" s="0" t="s">
        <v>2442</v>
      </c>
      <c r="E2671" s="0" t="n">
        <v>1609</v>
      </c>
      <c r="F2671" s="0" t="s">
        <v>84</v>
      </c>
      <c r="I2671" s="0" t="n">
        <v>5765</v>
      </c>
      <c r="J2671" s="0" t="n">
        <v>20027</v>
      </c>
      <c r="K2671" s="0" t="n">
        <v>7896878801053</v>
      </c>
      <c r="L2671" s="0" t="s">
        <v>2617</v>
      </c>
      <c r="N2671" s="0" t="n">
        <v>5</v>
      </c>
      <c r="O2671" s="0" t="n">
        <v>20.25</v>
      </c>
      <c r="P2671" s="0" t="s">
        <v>2444</v>
      </c>
    </row>
    <row r="2672" customFormat="false" ht="15" hidden="false" customHeight="true" outlineLevel="0" collapsed="false">
      <c r="A2672" s="0" t="n">
        <v>2</v>
      </c>
      <c r="B2672" s="71" t="n">
        <v>46206</v>
      </c>
      <c r="C2672" s="0" t="n">
        <v>1</v>
      </c>
      <c r="D2672" s="0" t="s">
        <v>2442</v>
      </c>
      <c r="E2672" s="0" t="n">
        <v>1609</v>
      </c>
      <c r="F2672" s="0" t="s">
        <v>84</v>
      </c>
      <c r="I2672" s="0" t="n">
        <v>5765</v>
      </c>
      <c r="J2672" s="0" t="n">
        <v>24963</v>
      </c>
      <c r="K2672" s="0" t="n">
        <v>7896878801060</v>
      </c>
      <c r="L2672" s="0" t="s">
        <v>2618</v>
      </c>
      <c r="N2672" s="0" t="n">
        <v>2</v>
      </c>
      <c r="O2672" s="0" t="n">
        <v>15.7</v>
      </c>
      <c r="P2672" s="0" t="s">
        <v>2444</v>
      </c>
    </row>
    <row r="2673" customFormat="false" ht="15" hidden="false" customHeight="true" outlineLevel="0" collapsed="false">
      <c r="A2673" s="0" t="n">
        <v>2</v>
      </c>
      <c r="B2673" s="71" t="n">
        <v>46206</v>
      </c>
      <c r="C2673" s="0" t="n">
        <v>1</v>
      </c>
      <c r="D2673" s="0" t="s">
        <v>2442</v>
      </c>
      <c r="E2673" s="0" t="n">
        <v>1609</v>
      </c>
      <c r="F2673" s="0" t="s">
        <v>84</v>
      </c>
      <c r="I2673" s="0" t="n">
        <v>5765</v>
      </c>
      <c r="J2673" s="0" t="n">
        <v>24964</v>
      </c>
      <c r="K2673" s="0" t="n">
        <v>7896878801183</v>
      </c>
      <c r="L2673" s="0" t="s">
        <v>2619</v>
      </c>
      <c r="N2673" s="0" t="n">
        <v>2</v>
      </c>
      <c r="O2673" s="0" t="n">
        <v>15.7</v>
      </c>
      <c r="P2673" s="0" t="s">
        <v>2444</v>
      </c>
    </row>
    <row r="2674" customFormat="false" ht="15" hidden="false" customHeight="true" outlineLevel="0" collapsed="false">
      <c r="A2674" s="0" t="n">
        <v>2</v>
      </c>
      <c r="B2674" s="71" t="n">
        <v>46206</v>
      </c>
      <c r="C2674" s="0" t="n">
        <v>1</v>
      </c>
      <c r="D2674" s="0" t="s">
        <v>2442</v>
      </c>
      <c r="E2674" s="0" t="n">
        <v>1609</v>
      </c>
      <c r="F2674" s="0" t="s">
        <v>84</v>
      </c>
      <c r="I2674" s="0" t="n">
        <v>5765</v>
      </c>
      <c r="J2674" s="0" t="n">
        <v>24965</v>
      </c>
      <c r="K2674" s="0" t="n">
        <v>7896878801107</v>
      </c>
      <c r="L2674" s="0" t="s">
        <v>2620</v>
      </c>
      <c r="N2674" s="0" t="n">
        <v>3</v>
      </c>
      <c r="O2674" s="0" t="n">
        <v>23.55</v>
      </c>
      <c r="P2674" s="0" t="s">
        <v>2444</v>
      </c>
    </row>
    <row r="2675" customFormat="false" ht="15" hidden="false" customHeight="true" outlineLevel="0" collapsed="false">
      <c r="A2675" s="0" t="n">
        <v>2</v>
      </c>
      <c r="B2675" s="71" t="n">
        <v>46206</v>
      </c>
      <c r="C2675" s="0" t="n">
        <v>1</v>
      </c>
      <c r="D2675" s="0" t="s">
        <v>2442</v>
      </c>
      <c r="E2675" s="0" t="n">
        <v>1609</v>
      </c>
      <c r="F2675" s="0" t="s">
        <v>84</v>
      </c>
      <c r="I2675" s="0" t="n">
        <v>5765</v>
      </c>
      <c r="J2675" s="0" t="n">
        <v>32861</v>
      </c>
      <c r="K2675" s="0" t="n">
        <v>7896878801145</v>
      </c>
      <c r="L2675" s="0" t="s">
        <v>2621</v>
      </c>
      <c r="N2675" s="0" t="n">
        <v>2</v>
      </c>
      <c r="O2675" s="0" t="n">
        <v>15.7</v>
      </c>
      <c r="P2675" s="0" t="s">
        <v>2444</v>
      </c>
    </row>
    <row r="2676" customFormat="false" ht="15" hidden="false" customHeight="true" outlineLevel="0" collapsed="false">
      <c r="A2676" s="0" t="n">
        <v>2</v>
      </c>
      <c r="B2676" s="71" t="n">
        <v>46206</v>
      </c>
      <c r="C2676" s="0" t="n">
        <v>1</v>
      </c>
      <c r="D2676" s="0" t="s">
        <v>2442</v>
      </c>
      <c r="E2676" s="0" t="n">
        <v>1609</v>
      </c>
      <c r="F2676" s="0" t="s">
        <v>84</v>
      </c>
      <c r="I2676" s="0" t="n">
        <v>5765</v>
      </c>
      <c r="J2676" s="0" t="n">
        <v>41614</v>
      </c>
      <c r="K2676" s="0" t="n">
        <v>7896878801213</v>
      </c>
      <c r="L2676" s="0" t="s">
        <v>2622</v>
      </c>
      <c r="N2676" s="0" t="n">
        <v>20</v>
      </c>
      <c r="O2676" s="0" t="n">
        <v>81</v>
      </c>
      <c r="P2676" s="0" t="s">
        <v>2444</v>
      </c>
    </row>
    <row r="2677" customFormat="false" ht="15" hidden="false" customHeight="true" outlineLevel="0" collapsed="false">
      <c r="A2677" s="0" t="n">
        <v>2</v>
      </c>
      <c r="B2677" s="71" t="n">
        <v>46206</v>
      </c>
      <c r="C2677" s="0" t="n">
        <v>1</v>
      </c>
      <c r="D2677" s="0" t="s">
        <v>2442</v>
      </c>
      <c r="E2677" s="0" t="n">
        <v>1609</v>
      </c>
      <c r="F2677" s="0" t="s">
        <v>84</v>
      </c>
      <c r="I2677" s="0" t="n">
        <v>5765</v>
      </c>
      <c r="J2677" s="0" t="n">
        <v>80962</v>
      </c>
      <c r="K2677" s="0" t="n">
        <v>7890678801091</v>
      </c>
      <c r="L2677" s="0" t="s">
        <v>2623</v>
      </c>
      <c r="N2677" s="0" t="n">
        <v>5</v>
      </c>
      <c r="O2677" s="0" t="n">
        <v>20.25</v>
      </c>
      <c r="P2677" s="0" t="s">
        <v>2444</v>
      </c>
    </row>
    <row r="2678" customFormat="false" ht="15" hidden="false" customHeight="true" outlineLevel="0" collapsed="false">
      <c r="A2678" s="0" t="n">
        <v>2</v>
      </c>
      <c r="B2678" s="71" t="n">
        <v>46206</v>
      </c>
      <c r="C2678" s="0" t="n">
        <v>1</v>
      </c>
      <c r="D2678" s="0" t="s">
        <v>2442</v>
      </c>
      <c r="E2678" s="0" t="n">
        <v>1695</v>
      </c>
      <c r="F2678" s="0" t="s">
        <v>390</v>
      </c>
      <c r="I2678" s="0" t="n">
        <v>18998</v>
      </c>
      <c r="J2678" s="0" t="n">
        <v>101877</v>
      </c>
      <c r="K2678" s="0" t="n">
        <v>7896224813082</v>
      </c>
      <c r="L2678" s="0" t="s">
        <v>2768</v>
      </c>
      <c r="N2678" s="0" t="n">
        <v>40</v>
      </c>
      <c r="O2678" s="0" t="n">
        <v>564</v>
      </c>
      <c r="P2678" s="0" t="s">
        <v>2444</v>
      </c>
    </row>
    <row r="2679" customFormat="false" ht="15" hidden="false" customHeight="true" outlineLevel="0" collapsed="false">
      <c r="A2679" s="0" t="n">
        <v>2</v>
      </c>
      <c r="B2679" s="71" t="n">
        <v>46206</v>
      </c>
      <c r="C2679" s="0" t="n">
        <v>1</v>
      </c>
      <c r="D2679" s="0" t="s">
        <v>2442</v>
      </c>
      <c r="E2679" s="0" t="n">
        <v>1695</v>
      </c>
      <c r="F2679" s="0" t="s">
        <v>390</v>
      </c>
      <c r="I2679" s="0" t="n">
        <v>18998</v>
      </c>
      <c r="J2679" s="0" t="n">
        <v>102408</v>
      </c>
      <c r="K2679" s="0" t="n">
        <v>7891515602918</v>
      </c>
      <c r="L2679" s="0" t="s">
        <v>2968</v>
      </c>
      <c r="N2679" s="0" t="n">
        <v>240</v>
      </c>
      <c r="O2679" s="0" t="n">
        <v>823.2</v>
      </c>
      <c r="P2679" s="0" t="s">
        <v>2444</v>
      </c>
    </row>
    <row r="2680" customFormat="false" ht="15" hidden="false" customHeight="true" outlineLevel="0" collapsed="false">
      <c r="A2680" s="0" t="n">
        <v>2</v>
      </c>
      <c r="B2680" s="71" t="n">
        <v>46206</v>
      </c>
      <c r="C2680" s="0" t="n">
        <v>1</v>
      </c>
      <c r="D2680" s="0" t="s">
        <v>2442</v>
      </c>
      <c r="E2680" s="0" t="n">
        <v>1695</v>
      </c>
      <c r="F2680" s="0" t="s">
        <v>390</v>
      </c>
      <c r="I2680" s="0" t="n">
        <v>18998</v>
      </c>
      <c r="J2680" s="0" t="n">
        <v>27768</v>
      </c>
      <c r="K2680" s="0" t="n">
        <v>7892300003002</v>
      </c>
      <c r="L2680" s="0" t="s">
        <v>3868</v>
      </c>
      <c r="N2680" s="0" t="n">
        <v>40</v>
      </c>
      <c r="O2680" s="0" t="n">
        <v>195.2</v>
      </c>
      <c r="P2680" s="0" t="s">
        <v>2444</v>
      </c>
    </row>
    <row r="2681" customFormat="false" ht="15" hidden="false" customHeight="true" outlineLevel="0" collapsed="false">
      <c r="A2681" s="0" t="n">
        <v>2</v>
      </c>
      <c r="B2681" s="71" t="n">
        <v>46206</v>
      </c>
      <c r="C2681" s="0" t="n">
        <v>1</v>
      </c>
      <c r="D2681" s="0" t="s">
        <v>2442</v>
      </c>
      <c r="E2681" s="0" t="n">
        <v>1695</v>
      </c>
      <c r="F2681" s="0" t="s">
        <v>390</v>
      </c>
      <c r="I2681" s="0" t="n">
        <v>18998</v>
      </c>
      <c r="J2681" s="0" t="n">
        <v>29846</v>
      </c>
      <c r="K2681" s="0" t="n">
        <v>7891097102059</v>
      </c>
      <c r="L2681" s="0" t="s">
        <v>2633</v>
      </c>
      <c r="N2681" s="0" t="n">
        <v>50</v>
      </c>
      <c r="O2681" s="0" t="n">
        <v>564</v>
      </c>
      <c r="P2681" s="0" t="s">
        <v>2444</v>
      </c>
    </row>
    <row r="2682" customFormat="false" ht="15" hidden="false" customHeight="true" outlineLevel="0" collapsed="false">
      <c r="A2682" s="0" t="n">
        <v>2</v>
      </c>
      <c r="B2682" s="71" t="n">
        <v>46206</v>
      </c>
      <c r="C2682" s="0" t="n">
        <v>1</v>
      </c>
      <c r="D2682" s="0" t="s">
        <v>2442</v>
      </c>
      <c r="E2682" s="0" t="n">
        <v>1123</v>
      </c>
      <c r="F2682" s="0" t="s">
        <v>443</v>
      </c>
      <c r="I2682" s="0" t="n">
        <v>42910</v>
      </c>
      <c r="J2682" s="0" t="n">
        <v>72629</v>
      </c>
      <c r="K2682" s="0" t="n">
        <v>7898055455356</v>
      </c>
      <c r="L2682" s="0" t="s">
        <v>2684</v>
      </c>
      <c r="N2682" s="0" t="n">
        <v>64</v>
      </c>
      <c r="O2682" s="0" t="n">
        <v>460</v>
      </c>
      <c r="P2682" s="0" t="s">
        <v>2444</v>
      </c>
    </row>
    <row r="2683" customFormat="false" ht="15" hidden="false" customHeight="true" outlineLevel="0" collapsed="false">
      <c r="A2683" s="0" t="n">
        <v>2</v>
      </c>
      <c r="B2683" s="71" t="n">
        <v>46206</v>
      </c>
      <c r="C2683" s="0" t="n">
        <v>1</v>
      </c>
      <c r="D2683" s="0" t="s">
        <v>2442</v>
      </c>
      <c r="E2683" s="0" t="n">
        <v>1650</v>
      </c>
      <c r="F2683" s="0" t="s">
        <v>438</v>
      </c>
      <c r="I2683" s="0" t="n">
        <v>225160</v>
      </c>
      <c r="J2683" s="0" t="n">
        <v>16172</v>
      </c>
      <c r="K2683" s="0" t="n">
        <v>7898055452188</v>
      </c>
      <c r="L2683" s="0" t="s">
        <v>2685</v>
      </c>
      <c r="N2683" s="0" t="n">
        <v>35</v>
      </c>
      <c r="O2683" s="0" t="n">
        <v>110.49</v>
      </c>
      <c r="P2683" s="0" t="s">
        <v>2444</v>
      </c>
    </row>
    <row r="2684" customFormat="false" ht="15" hidden="false" customHeight="true" outlineLevel="0" collapsed="false">
      <c r="A2684" s="0" t="n">
        <v>2</v>
      </c>
      <c r="B2684" s="71" t="n">
        <v>46206</v>
      </c>
      <c r="C2684" s="0" t="n">
        <v>1</v>
      </c>
      <c r="D2684" s="0" t="s">
        <v>2442</v>
      </c>
      <c r="E2684" s="0" t="n">
        <v>1650</v>
      </c>
      <c r="F2684" s="0" t="s">
        <v>438</v>
      </c>
      <c r="I2684" s="0" t="n">
        <v>225160</v>
      </c>
      <c r="J2684" s="0" t="n">
        <v>16173</v>
      </c>
      <c r="K2684" s="0" t="n">
        <v>7898055452201</v>
      </c>
      <c r="L2684" s="0" t="s">
        <v>2686</v>
      </c>
      <c r="N2684" s="0" t="n">
        <v>12</v>
      </c>
      <c r="O2684" s="0" t="n">
        <v>46.57</v>
      </c>
      <c r="P2684" s="0" t="s">
        <v>2444</v>
      </c>
    </row>
    <row r="2685" customFormat="false" ht="15" hidden="false" customHeight="true" outlineLevel="0" collapsed="false">
      <c r="A2685" s="0" t="n">
        <v>2</v>
      </c>
      <c r="B2685" s="71" t="n">
        <v>46206</v>
      </c>
      <c r="C2685" s="0" t="n">
        <v>1</v>
      </c>
      <c r="D2685" s="0" t="s">
        <v>2442</v>
      </c>
      <c r="E2685" s="0" t="n">
        <v>1650</v>
      </c>
      <c r="F2685" s="0" t="s">
        <v>438</v>
      </c>
      <c r="I2685" s="0" t="n">
        <v>225160</v>
      </c>
      <c r="J2685" s="0" t="n">
        <v>16540</v>
      </c>
      <c r="K2685" s="0" t="n">
        <v>7898055453154</v>
      </c>
      <c r="L2685" s="0" t="s">
        <v>3869</v>
      </c>
      <c r="N2685" s="0" t="n">
        <v>12</v>
      </c>
      <c r="O2685" s="0" t="n">
        <v>22.36</v>
      </c>
      <c r="P2685" s="0" t="s">
        <v>2444</v>
      </c>
    </row>
    <row r="2686" customFormat="false" ht="15" hidden="false" customHeight="true" outlineLevel="0" collapsed="false">
      <c r="A2686" s="0" t="n">
        <v>2</v>
      </c>
      <c r="B2686" s="71" t="n">
        <v>46206</v>
      </c>
      <c r="C2686" s="0" t="n">
        <v>1</v>
      </c>
      <c r="D2686" s="0" t="s">
        <v>2442</v>
      </c>
      <c r="E2686" s="0" t="n">
        <v>1650</v>
      </c>
      <c r="F2686" s="0" t="s">
        <v>438</v>
      </c>
      <c r="I2686" s="0" t="n">
        <v>225160</v>
      </c>
      <c r="J2686" s="0" t="n">
        <v>20929</v>
      </c>
      <c r="K2686" s="0" t="n">
        <v>7898055453161</v>
      </c>
      <c r="L2686" s="0" t="s">
        <v>3870</v>
      </c>
      <c r="N2686" s="0" t="n">
        <v>12</v>
      </c>
      <c r="O2686" s="0" t="n">
        <v>43.47</v>
      </c>
      <c r="P2686" s="0" t="s">
        <v>2444</v>
      </c>
    </row>
    <row r="2687" customFormat="false" ht="15" hidden="false" customHeight="true" outlineLevel="0" collapsed="false">
      <c r="A2687" s="0" t="n">
        <v>2</v>
      </c>
      <c r="B2687" s="71" t="n">
        <v>46206</v>
      </c>
      <c r="C2687" s="0" t="n">
        <v>1</v>
      </c>
      <c r="D2687" s="0" t="s">
        <v>2442</v>
      </c>
      <c r="E2687" s="0" t="n">
        <v>1650</v>
      </c>
      <c r="F2687" s="0" t="s">
        <v>438</v>
      </c>
      <c r="I2687" s="0" t="n">
        <v>225160</v>
      </c>
      <c r="J2687" s="0" t="n">
        <v>21048</v>
      </c>
      <c r="K2687" s="0" t="n">
        <v>7898055451532</v>
      </c>
      <c r="L2687" s="0" t="s">
        <v>2691</v>
      </c>
      <c r="N2687" s="0" t="n">
        <v>6</v>
      </c>
      <c r="O2687" s="0" t="n">
        <v>40.68</v>
      </c>
      <c r="P2687" s="0" t="s">
        <v>2444</v>
      </c>
    </row>
    <row r="2688" customFormat="false" ht="15" hidden="false" customHeight="true" outlineLevel="0" collapsed="false">
      <c r="A2688" s="0" t="n">
        <v>2</v>
      </c>
      <c r="B2688" s="71" t="n">
        <v>46206</v>
      </c>
      <c r="C2688" s="0" t="n">
        <v>1</v>
      </c>
      <c r="D2688" s="0" t="s">
        <v>2442</v>
      </c>
      <c r="E2688" s="0" t="n">
        <v>1650</v>
      </c>
      <c r="F2688" s="0" t="s">
        <v>438</v>
      </c>
      <c r="I2688" s="0" t="n">
        <v>225160</v>
      </c>
      <c r="J2688" s="0" t="n">
        <v>21206</v>
      </c>
      <c r="K2688" s="0" t="n">
        <v>7898055453215</v>
      </c>
      <c r="L2688" s="0" t="s">
        <v>3871</v>
      </c>
      <c r="N2688" s="0" t="n">
        <v>20</v>
      </c>
      <c r="O2688" s="0" t="n">
        <v>130.29</v>
      </c>
      <c r="P2688" s="0" t="s">
        <v>2444</v>
      </c>
    </row>
    <row r="2689" customFormat="false" ht="15" hidden="false" customHeight="true" outlineLevel="0" collapsed="false">
      <c r="A2689" s="0" t="n">
        <v>2</v>
      </c>
      <c r="B2689" s="71" t="n">
        <v>46206</v>
      </c>
      <c r="C2689" s="0" t="n">
        <v>1</v>
      </c>
      <c r="D2689" s="0" t="s">
        <v>2442</v>
      </c>
      <c r="E2689" s="0" t="n">
        <v>1621</v>
      </c>
      <c r="F2689" s="0" t="s">
        <v>232</v>
      </c>
      <c r="I2689" s="0" t="n">
        <v>888702</v>
      </c>
      <c r="J2689" s="0" t="n">
        <v>20242</v>
      </c>
      <c r="K2689" s="0" t="n">
        <v>7891149104932</v>
      </c>
      <c r="L2689" s="0" t="s">
        <v>3771</v>
      </c>
      <c r="N2689" s="0" t="n">
        <v>24</v>
      </c>
      <c r="O2689" s="0" t="n">
        <v>81.51</v>
      </c>
      <c r="P2689" s="0" t="s">
        <v>2444</v>
      </c>
    </row>
    <row r="2690" customFormat="false" ht="15" hidden="false" customHeight="true" outlineLevel="0" collapsed="false">
      <c r="A2690" s="0" t="n">
        <v>2</v>
      </c>
      <c r="B2690" s="71" t="n">
        <v>46206</v>
      </c>
      <c r="C2690" s="0" t="n">
        <v>1</v>
      </c>
      <c r="D2690" s="0" t="s">
        <v>2442</v>
      </c>
      <c r="E2690" s="0" t="n">
        <v>1621</v>
      </c>
      <c r="F2690" s="0" t="s">
        <v>232</v>
      </c>
      <c r="I2690" s="0" t="n">
        <v>888702</v>
      </c>
      <c r="J2690" s="0" t="n">
        <v>103129</v>
      </c>
      <c r="K2690" s="0" t="n">
        <v>7891991000840</v>
      </c>
      <c r="L2690" s="0" t="s">
        <v>3872</v>
      </c>
      <c r="N2690" s="0" t="n">
        <v>12</v>
      </c>
      <c r="O2690" s="0" t="n">
        <v>35.79</v>
      </c>
      <c r="P2690" s="0" t="s">
        <v>2444</v>
      </c>
    </row>
    <row r="2691" customFormat="false" ht="15" hidden="false" customHeight="true" outlineLevel="0" collapsed="false">
      <c r="A2691" s="0" t="n">
        <v>2</v>
      </c>
      <c r="B2691" s="71" t="n">
        <v>46206</v>
      </c>
      <c r="C2691" s="0" t="n">
        <v>1</v>
      </c>
      <c r="D2691" s="0" t="s">
        <v>2442</v>
      </c>
      <c r="E2691" s="0" t="n">
        <v>1621</v>
      </c>
      <c r="F2691" s="0" t="s">
        <v>232</v>
      </c>
      <c r="I2691" s="0" t="n">
        <v>888702</v>
      </c>
      <c r="J2691" s="0" t="n">
        <v>103130</v>
      </c>
      <c r="K2691" s="0" t="n">
        <v>7891149440801</v>
      </c>
      <c r="L2691" s="0" t="s">
        <v>3067</v>
      </c>
      <c r="N2691" s="0" t="n">
        <v>18</v>
      </c>
      <c r="O2691" s="0" t="n">
        <v>99.81</v>
      </c>
      <c r="P2691" s="0" t="s">
        <v>2444</v>
      </c>
    </row>
    <row r="2692" customFormat="false" ht="15" hidden="false" customHeight="true" outlineLevel="0" collapsed="false">
      <c r="A2692" s="0" t="n">
        <v>2</v>
      </c>
      <c r="B2692" s="71" t="n">
        <v>46206</v>
      </c>
      <c r="C2692" s="0" t="n">
        <v>1</v>
      </c>
      <c r="D2692" s="0" t="s">
        <v>2442</v>
      </c>
      <c r="E2692" s="0" t="n">
        <v>1621</v>
      </c>
      <c r="F2692" s="0" t="s">
        <v>232</v>
      </c>
      <c r="I2692" s="0" t="n">
        <v>888702</v>
      </c>
      <c r="J2692" s="0" t="n">
        <v>103630</v>
      </c>
      <c r="K2692" s="0" t="n">
        <v>7891991004107</v>
      </c>
      <c r="L2692" s="0" t="s">
        <v>3070</v>
      </c>
      <c r="N2692" s="0" t="n">
        <v>120</v>
      </c>
      <c r="O2692" s="0" t="n">
        <v>550.8</v>
      </c>
      <c r="P2692" s="0" t="s">
        <v>2444</v>
      </c>
    </row>
    <row r="2693" customFormat="false" ht="15" hidden="false" customHeight="true" outlineLevel="0" collapsed="false">
      <c r="A2693" s="0" t="n">
        <v>2</v>
      </c>
      <c r="B2693" s="71" t="n">
        <v>46206</v>
      </c>
      <c r="C2693" s="0" t="n">
        <v>1</v>
      </c>
      <c r="D2693" s="0" t="s">
        <v>2442</v>
      </c>
      <c r="E2693" s="0" t="n">
        <v>1621</v>
      </c>
      <c r="F2693" s="0" t="s">
        <v>232</v>
      </c>
      <c r="I2693" s="0" t="n">
        <v>888702</v>
      </c>
      <c r="J2693" s="0" t="n">
        <v>103792</v>
      </c>
      <c r="K2693" s="0" t="n">
        <v>7891149010509</v>
      </c>
      <c r="L2693" s="0" t="s">
        <v>3599</v>
      </c>
      <c r="N2693" s="0" t="n">
        <v>48</v>
      </c>
      <c r="O2693" s="0" t="n">
        <v>146.659946</v>
      </c>
      <c r="P2693" s="0" t="s">
        <v>2444</v>
      </c>
    </row>
    <row r="2694" customFormat="false" ht="15" hidden="false" customHeight="true" outlineLevel="0" collapsed="false">
      <c r="A2694" s="0" t="n">
        <v>2</v>
      </c>
      <c r="B2694" s="71" t="n">
        <v>46206</v>
      </c>
      <c r="C2694" s="0" t="n">
        <v>1</v>
      </c>
      <c r="D2694" s="0" t="s">
        <v>2442</v>
      </c>
      <c r="E2694" s="0" t="n">
        <v>1621</v>
      </c>
      <c r="F2694" s="0" t="s">
        <v>232</v>
      </c>
      <c r="I2694" s="0" t="n">
        <v>888702</v>
      </c>
      <c r="J2694" s="0" t="n">
        <v>103936</v>
      </c>
      <c r="K2694" s="0" t="n">
        <v>7891991001342</v>
      </c>
      <c r="L2694" s="0" t="s">
        <v>3071</v>
      </c>
      <c r="N2694" s="0" t="n">
        <v>18</v>
      </c>
      <c r="O2694" s="0" t="n">
        <v>137.69</v>
      </c>
      <c r="P2694" s="0" t="s">
        <v>2444</v>
      </c>
    </row>
    <row r="2695" customFormat="false" ht="15" hidden="false" customHeight="true" outlineLevel="0" collapsed="false">
      <c r="A2695" s="0" t="n">
        <v>2</v>
      </c>
      <c r="B2695" s="71" t="n">
        <v>46206</v>
      </c>
      <c r="C2695" s="0" t="n">
        <v>1</v>
      </c>
      <c r="D2695" s="0" t="s">
        <v>2442</v>
      </c>
      <c r="E2695" s="0" t="n">
        <v>1621</v>
      </c>
      <c r="F2695" s="0" t="s">
        <v>232</v>
      </c>
      <c r="I2695" s="0" t="n">
        <v>888702</v>
      </c>
      <c r="J2695" s="0" t="n">
        <v>103942</v>
      </c>
      <c r="K2695" s="0" t="n">
        <v>7891991006088</v>
      </c>
      <c r="L2695" s="0" t="s">
        <v>3873</v>
      </c>
      <c r="N2695" s="0" t="n">
        <v>24</v>
      </c>
      <c r="O2695" s="0" t="n">
        <v>83.539939</v>
      </c>
      <c r="P2695" s="0" t="s">
        <v>2444</v>
      </c>
    </row>
    <row r="2696" customFormat="false" ht="15" hidden="false" customHeight="true" outlineLevel="0" collapsed="false">
      <c r="A2696" s="0" t="n">
        <v>2</v>
      </c>
      <c r="B2696" s="71" t="n">
        <v>46206</v>
      </c>
      <c r="C2696" s="0" t="n">
        <v>1</v>
      </c>
      <c r="D2696" s="0" t="s">
        <v>2442</v>
      </c>
      <c r="E2696" s="0" t="n">
        <v>1621</v>
      </c>
      <c r="F2696" s="0" t="s">
        <v>232</v>
      </c>
      <c r="I2696" s="0" t="n">
        <v>888702</v>
      </c>
      <c r="J2696" s="0" t="n">
        <v>103943</v>
      </c>
      <c r="K2696" s="0" t="n">
        <v>7891149200504</v>
      </c>
      <c r="L2696" s="0" t="s">
        <v>3072</v>
      </c>
      <c r="N2696" s="0" t="n">
        <v>36</v>
      </c>
      <c r="O2696" s="0" t="n">
        <v>109.990047</v>
      </c>
      <c r="P2696" s="0" t="s">
        <v>2444</v>
      </c>
    </row>
    <row r="2697" customFormat="false" ht="15" hidden="false" customHeight="true" outlineLevel="0" collapsed="false">
      <c r="A2697" s="0" t="n">
        <v>2</v>
      </c>
      <c r="B2697" s="71" t="n">
        <v>46206</v>
      </c>
      <c r="C2697" s="0" t="n">
        <v>1</v>
      </c>
      <c r="D2697" s="0" t="s">
        <v>2442</v>
      </c>
      <c r="E2697" s="0" t="n">
        <v>1621</v>
      </c>
      <c r="F2697" s="0" t="s">
        <v>232</v>
      </c>
      <c r="I2697" s="0" t="n">
        <v>888702</v>
      </c>
      <c r="J2697" s="0" t="n">
        <v>108599</v>
      </c>
      <c r="K2697" s="0" t="n">
        <v>7892840808051</v>
      </c>
      <c r="L2697" s="0" t="s">
        <v>3074</v>
      </c>
      <c r="N2697" s="0" t="n">
        <v>6</v>
      </c>
      <c r="O2697" s="0" t="n">
        <v>32.66</v>
      </c>
      <c r="P2697" s="0" t="s">
        <v>2444</v>
      </c>
    </row>
    <row r="2698" customFormat="false" ht="15" hidden="false" customHeight="true" outlineLevel="0" collapsed="false">
      <c r="A2698" s="0" t="n">
        <v>2</v>
      </c>
      <c r="B2698" s="71" t="n">
        <v>46206</v>
      </c>
      <c r="C2698" s="0" t="n">
        <v>1</v>
      </c>
      <c r="D2698" s="0" t="s">
        <v>2442</v>
      </c>
      <c r="E2698" s="0" t="n">
        <v>1621</v>
      </c>
      <c r="F2698" s="0" t="s">
        <v>232</v>
      </c>
      <c r="I2698" s="0" t="n">
        <v>888702</v>
      </c>
      <c r="J2698" s="0" t="n">
        <v>13504</v>
      </c>
      <c r="K2698" s="0" t="n">
        <v>7892840808020</v>
      </c>
      <c r="L2698" s="0" t="s">
        <v>3874</v>
      </c>
      <c r="N2698" s="0" t="n">
        <v>6</v>
      </c>
      <c r="O2698" s="0" t="n">
        <v>32.66</v>
      </c>
      <c r="P2698" s="0" t="s">
        <v>2444</v>
      </c>
    </row>
    <row r="2699" customFormat="false" ht="15" hidden="false" customHeight="true" outlineLevel="0" collapsed="false">
      <c r="A2699" s="0" t="n">
        <v>2</v>
      </c>
      <c r="B2699" s="71" t="n">
        <v>46206</v>
      </c>
      <c r="C2699" s="0" t="n">
        <v>1</v>
      </c>
      <c r="D2699" s="0" t="s">
        <v>2442</v>
      </c>
      <c r="E2699" s="0" t="n">
        <v>1621</v>
      </c>
      <c r="F2699" s="0" t="s">
        <v>232</v>
      </c>
      <c r="I2699" s="0" t="n">
        <v>888702</v>
      </c>
      <c r="J2699" s="0" t="n">
        <v>17277</v>
      </c>
      <c r="K2699" s="0" t="n">
        <v>7892840808174</v>
      </c>
      <c r="L2699" s="0" t="s">
        <v>3076</v>
      </c>
      <c r="N2699" s="0" t="n">
        <v>6</v>
      </c>
      <c r="O2699" s="0" t="n">
        <v>32.66</v>
      </c>
      <c r="P2699" s="0" t="s">
        <v>2444</v>
      </c>
    </row>
    <row r="2700" customFormat="false" ht="15" hidden="false" customHeight="true" outlineLevel="0" collapsed="false">
      <c r="A2700" s="0" t="n">
        <v>2</v>
      </c>
      <c r="B2700" s="71" t="n">
        <v>46206</v>
      </c>
      <c r="C2700" s="0" t="n">
        <v>1</v>
      </c>
      <c r="D2700" s="0" t="s">
        <v>2442</v>
      </c>
      <c r="E2700" s="0" t="n">
        <v>1621</v>
      </c>
      <c r="F2700" s="0" t="s">
        <v>232</v>
      </c>
      <c r="I2700" s="0" t="n">
        <v>888702</v>
      </c>
      <c r="J2700" s="0" t="n">
        <v>20610</v>
      </c>
      <c r="K2700" s="0" t="n">
        <v>7891149105564</v>
      </c>
      <c r="L2700" s="0" t="s">
        <v>3078</v>
      </c>
      <c r="N2700" s="0" t="n">
        <v>8</v>
      </c>
      <c r="O2700" s="0" t="n">
        <v>45.669938</v>
      </c>
      <c r="P2700" s="0" t="s">
        <v>2444</v>
      </c>
    </row>
    <row r="2701" customFormat="false" ht="15" hidden="false" customHeight="true" outlineLevel="0" collapsed="false">
      <c r="A2701" s="0" t="n">
        <v>2</v>
      </c>
      <c r="B2701" s="71" t="n">
        <v>46206</v>
      </c>
      <c r="C2701" s="0" t="n">
        <v>1</v>
      </c>
      <c r="D2701" s="0" t="s">
        <v>2442</v>
      </c>
      <c r="E2701" s="0" t="n">
        <v>1621</v>
      </c>
      <c r="F2701" s="0" t="s">
        <v>232</v>
      </c>
      <c r="I2701" s="0" t="n">
        <v>888702</v>
      </c>
      <c r="J2701" s="0" t="n">
        <v>26171</v>
      </c>
      <c r="K2701" s="0" t="n">
        <v>7891149000005</v>
      </c>
      <c r="L2701" s="0" t="s">
        <v>3080</v>
      </c>
      <c r="N2701" s="0" t="n">
        <v>36</v>
      </c>
      <c r="O2701" s="0" t="n">
        <v>152.950029</v>
      </c>
      <c r="P2701" s="0" t="s">
        <v>2444</v>
      </c>
    </row>
    <row r="2702" customFormat="false" ht="15" hidden="false" customHeight="true" outlineLevel="0" collapsed="false">
      <c r="A2702" s="0" t="n">
        <v>2</v>
      </c>
      <c r="B2702" s="71" t="n">
        <v>46206</v>
      </c>
      <c r="C2702" s="0" t="n">
        <v>1</v>
      </c>
      <c r="D2702" s="0" t="s">
        <v>2442</v>
      </c>
      <c r="E2702" s="0" t="n">
        <v>1621</v>
      </c>
      <c r="F2702" s="0" t="s">
        <v>232</v>
      </c>
      <c r="I2702" s="0" t="n">
        <v>888702</v>
      </c>
      <c r="J2702" s="0" t="n">
        <v>31032</v>
      </c>
      <c r="K2702" s="0" t="n">
        <v>7891991002561</v>
      </c>
      <c r="L2702" s="0" t="s">
        <v>3083</v>
      </c>
      <c r="N2702" s="0" t="n">
        <v>18</v>
      </c>
      <c r="O2702" s="0" t="n">
        <v>68.95</v>
      </c>
      <c r="P2702" s="0" t="s">
        <v>2444</v>
      </c>
    </row>
    <row r="2703" customFormat="false" ht="15" hidden="false" customHeight="true" outlineLevel="0" collapsed="false">
      <c r="A2703" s="0" t="n">
        <v>2</v>
      </c>
      <c r="B2703" s="71" t="n">
        <v>46206</v>
      </c>
      <c r="C2703" s="0" t="n">
        <v>1</v>
      </c>
      <c r="D2703" s="0" t="s">
        <v>2442</v>
      </c>
      <c r="E2703" s="0" t="n">
        <v>1621</v>
      </c>
      <c r="F2703" s="0" t="s">
        <v>232</v>
      </c>
      <c r="I2703" s="0" t="n">
        <v>888702</v>
      </c>
      <c r="J2703" s="0" t="n">
        <v>32100</v>
      </c>
      <c r="K2703" s="0" t="n">
        <v>7891991015493</v>
      </c>
      <c r="L2703" s="0" t="s">
        <v>3774</v>
      </c>
      <c r="N2703" s="0" t="n">
        <v>36</v>
      </c>
      <c r="O2703" s="0" t="n">
        <v>152.889935</v>
      </c>
      <c r="P2703" s="0" t="s">
        <v>2444</v>
      </c>
    </row>
    <row r="2704" customFormat="false" ht="15" hidden="false" customHeight="true" outlineLevel="0" collapsed="false">
      <c r="A2704" s="0" t="n">
        <v>2</v>
      </c>
      <c r="B2704" s="71" t="n">
        <v>46206</v>
      </c>
      <c r="C2704" s="0" t="n">
        <v>1</v>
      </c>
      <c r="D2704" s="0" t="s">
        <v>2442</v>
      </c>
      <c r="E2704" s="0" t="n">
        <v>1621</v>
      </c>
      <c r="F2704" s="0" t="s">
        <v>232</v>
      </c>
      <c r="I2704" s="0" t="n">
        <v>888702</v>
      </c>
      <c r="J2704" s="0" t="n">
        <v>33537</v>
      </c>
      <c r="K2704" s="0" t="n">
        <v>7891991294942</v>
      </c>
      <c r="L2704" s="0" t="s">
        <v>3344</v>
      </c>
      <c r="N2704" s="0" t="n">
        <v>120</v>
      </c>
      <c r="O2704" s="0" t="n">
        <v>417.710012</v>
      </c>
      <c r="P2704" s="0" t="s">
        <v>2444</v>
      </c>
    </row>
    <row r="2705" customFormat="false" ht="15" hidden="false" customHeight="true" outlineLevel="0" collapsed="false">
      <c r="A2705" s="0" t="n">
        <v>2</v>
      </c>
      <c r="B2705" s="71" t="n">
        <v>46206</v>
      </c>
      <c r="C2705" s="0" t="n">
        <v>1</v>
      </c>
      <c r="D2705" s="0" t="s">
        <v>2442</v>
      </c>
      <c r="E2705" s="0" t="n">
        <v>1621</v>
      </c>
      <c r="F2705" s="0" t="s">
        <v>232</v>
      </c>
      <c r="I2705" s="0" t="n">
        <v>888702</v>
      </c>
      <c r="J2705" s="0" t="n">
        <v>40508</v>
      </c>
      <c r="K2705" s="0" t="n">
        <v>7891991301138</v>
      </c>
      <c r="L2705" s="0" t="s">
        <v>3086</v>
      </c>
      <c r="N2705" s="0" t="n">
        <v>24</v>
      </c>
      <c r="O2705" s="0" t="n">
        <v>160.600044</v>
      </c>
      <c r="P2705" s="0" t="s">
        <v>2444</v>
      </c>
    </row>
    <row r="2706" customFormat="false" ht="15" hidden="false" customHeight="true" outlineLevel="0" collapsed="false">
      <c r="A2706" s="0" t="n">
        <v>2</v>
      </c>
      <c r="B2706" s="71" t="n">
        <v>46206</v>
      </c>
      <c r="C2706" s="0" t="n">
        <v>1</v>
      </c>
      <c r="D2706" s="0" t="s">
        <v>2442</v>
      </c>
      <c r="E2706" s="0" t="n">
        <v>1621</v>
      </c>
      <c r="F2706" s="0" t="s">
        <v>232</v>
      </c>
      <c r="I2706" s="0" t="n">
        <v>888702</v>
      </c>
      <c r="J2706" s="0" t="n">
        <v>57246</v>
      </c>
      <c r="K2706" s="0" t="n">
        <v>7892840800406</v>
      </c>
      <c r="L2706" s="0" t="s">
        <v>3092</v>
      </c>
      <c r="N2706" s="0" t="n">
        <v>18</v>
      </c>
      <c r="O2706" s="0" t="n">
        <v>61.23</v>
      </c>
      <c r="P2706" s="0" t="s">
        <v>2444</v>
      </c>
    </row>
    <row r="2707" customFormat="false" ht="15" hidden="false" customHeight="true" outlineLevel="0" collapsed="false">
      <c r="A2707" s="0" t="n">
        <v>2</v>
      </c>
      <c r="B2707" s="71" t="n">
        <v>46206</v>
      </c>
      <c r="C2707" s="0" t="n">
        <v>1</v>
      </c>
      <c r="D2707" s="0" t="s">
        <v>2442</v>
      </c>
      <c r="E2707" s="0" t="n">
        <v>1621</v>
      </c>
      <c r="F2707" s="0" t="s">
        <v>232</v>
      </c>
      <c r="I2707" s="0" t="n">
        <v>888702</v>
      </c>
      <c r="J2707" s="0" t="n">
        <v>73036</v>
      </c>
      <c r="K2707" s="0" t="n">
        <v>7892840822019</v>
      </c>
      <c r="L2707" s="0" t="s">
        <v>3096</v>
      </c>
      <c r="N2707" s="0" t="n">
        <v>6</v>
      </c>
      <c r="O2707" s="0" t="n">
        <v>32.66</v>
      </c>
      <c r="P2707" s="0" t="s">
        <v>2444</v>
      </c>
    </row>
    <row r="2708" customFormat="false" ht="15" hidden="false" customHeight="true" outlineLevel="0" collapsed="false">
      <c r="A2708" s="0" t="n">
        <v>2</v>
      </c>
      <c r="B2708" s="71" t="n">
        <v>46206</v>
      </c>
      <c r="C2708" s="0" t="n">
        <v>1</v>
      </c>
      <c r="D2708" s="0" t="s">
        <v>2442</v>
      </c>
      <c r="E2708" s="0" t="n">
        <v>1621</v>
      </c>
      <c r="F2708" s="0" t="s">
        <v>232</v>
      </c>
      <c r="I2708" s="0" t="n">
        <v>888702</v>
      </c>
      <c r="J2708" s="0" t="n">
        <v>73319</v>
      </c>
      <c r="K2708" s="0" t="n">
        <v>7891991307185</v>
      </c>
      <c r="L2708" s="0" t="s">
        <v>3097</v>
      </c>
      <c r="N2708" s="0" t="n">
        <v>8</v>
      </c>
      <c r="O2708" s="0" t="n">
        <v>45.669938</v>
      </c>
      <c r="P2708" s="0" t="s">
        <v>2444</v>
      </c>
    </row>
    <row r="2709" customFormat="false" ht="15" hidden="false" customHeight="true" outlineLevel="0" collapsed="false">
      <c r="A2709" s="0" t="n">
        <v>2</v>
      </c>
      <c r="B2709" s="71" t="n">
        <v>46206</v>
      </c>
      <c r="C2709" s="0" t="n">
        <v>1</v>
      </c>
      <c r="D2709" s="0" t="s">
        <v>2442</v>
      </c>
      <c r="E2709" s="0" t="n">
        <v>1621</v>
      </c>
      <c r="F2709" s="0" t="s">
        <v>232</v>
      </c>
      <c r="I2709" s="0" t="n">
        <v>888702</v>
      </c>
      <c r="J2709" s="0" t="n">
        <v>73807</v>
      </c>
      <c r="K2709" s="0" t="n">
        <v>7891991306485</v>
      </c>
      <c r="L2709" s="0" t="s">
        <v>3875</v>
      </c>
      <c r="N2709" s="0" t="n">
        <v>16</v>
      </c>
      <c r="O2709" s="0" t="n">
        <v>78.999901</v>
      </c>
      <c r="P2709" s="0" t="s">
        <v>2444</v>
      </c>
    </row>
    <row r="2710" customFormat="false" ht="15" hidden="false" customHeight="true" outlineLevel="0" collapsed="false">
      <c r="A2710" s="0" t="n">
        <v>2</v>
      </c>
      <c r="B2710" s="71" t="n">
        <v>46206</v>
      </c>
      <c r="C2710" s="0" t="n">
        <v>1</v>
      </c>
      <c r="D2710" s="0" t="s">
        <v>2442</v>
      </c>
      <c r="E2710" s="0" t="n">
        <v>1621</v>
      </c>
      <c r="F2710" s="0" t="s">
        <v>232</v>
      </c>
      <c r="I2710" s="0" t="n">
        <v>888702</v>
      </c>
      <c r="J2710" s="0" t="n">
        <v>78038</v>
      </c>
      <c r="K2710" s="0" t="n">
        <v>7891991010481</v>
      </c>
      <c r="L2710" s="0" t="s">
        <v>3099</v>
      </c>
      <c r="N2710" s="0" t="n">
        <v>24</v>
      </c>
      <c r="O2710" s="0" t="n">
        <v>87.629903</v>
      </c>
      <c r="P2710" s="0" t="s">
        <v>2444</v>
      </c>
    </row>
    <row r="2711" customFormat="false" ht="15" hidden="false" customHeight="true" outlineLevel="0" collapsed="false">
      <c r="A2711" s="0" t="n">
        <v>2</v>
      </c>
      <c r="B2711" s="71" t="n">
        <v>46206</v>
      </c>
      <c r="C2711" s="0" t="n">
        <v>1</v>
      </c>
      <c r="D2711" s="0" t="s">
        <v>2442</v>
      </c>
      <c r="E2711" s="0" t="n">
        <v>1621</v>
      </c>
      <c r="F2711" s="0" t="s">
        <v>232</v>
      </c>
      <c r="I2711" s="0" t="n">
        <v>888702</v>
      </c>
      <c r="J2711" s="0" t="n">
        <v>78063</v>
      </c>
      <c r="K2711" s="0" t="n">
        <v>7891149108718</v>
      </c>
      <c r="L2711" s="0" t="s">
        <v>3600</v>
      </c>
      <c r="N2711" s="0" t="n">
        <v>24</v>
      </c>
      <c r="O2711" s="0" t="n">
        <v>156.680106</v>
      </c>
      <c r="P2711" s="0" t="s">
        <v>2444</v>
      </c>
    </row>
    <row r="2712" customFormat="false" ht="15" hidden="false" customHeight="true" outlineLevel="0" collapsed="false">
      <c r="A2712" s="0" t="n">
        <v>2</v>
      </c>
      <c r="B2712" s="71" t="n">
        <v>46206</v>
      </c>
      <c r="C2712" s="0" t="n">
        <v>1</v>
      </c>
      <c r="D2712" s="0" t="s">
        <v>2442</v>
      </c>
      <c r="E2712" s="0" t="n">
        <v>1621</v>
      </c>
      <c r="F2712" s="0" t="s">
        <v>232</v>
      </c>
      <c r="I2712" s="0" t="n">
        <v>888702</v>
      </c>
      <c r="J2712" s="0" t="n">
        <v>79493</v>
      </c>
      <c r="K2712" s="0" t="n">
        <v>7891991002608</v>
      </c>
      <c r="L2712" s="0" t="s">
        <v>3777</v>
      </c>
      <c r="N2712" s="0" t="n">
        <v>12</v>
      </c>
      <c r="O2712" s="0" t="n">
        <v>39.06</v>
      </c>
      <c r="P2712" s="0" t="s">
        <v>2444</v>
      </c>
    </row>
    <row r="2713" customFormat="false" ht="15" hidden="false" customHeight="true" outlineLevel="0" collapsed="false">
      <c r="A2713" s="0" t="n">
        <v>2</v>
      </c>
      <c r="B2713" s="71" t="n">
        <v>46206</v>
      </c>
      <c r="C2713" s="0" t="n">
        <v>1</v>
      </c>
      <c r="D2713" s="0" t="s">
        <v>2442</v>
      </c>
      <c r="E2713" s="0" t="n">
        <v>1642</v>
      </c>
      <c r="F2713" s="0" t="s">
        <v>228</v>
      </c>
      <c r="I2713" s="0" t="n">
        <v>1030058</v>
      </c>
      <c r="J2713" s="0" t="n">
        <v>105780</v>
      </c>
      <c r="K2713" s="0" t="n">
        <v>7896289210017</v>
      </c>
      <c r="L2713" s="0" t="s">
        <v>2511</v>
      </c>
      <c r="N2713" s="0" t="n">
        <v>10</v>
      </c>
      <c r="O2713" s="0" t="n">
        <v>106.7</v>
      </c>
      <c r="P2713" s="0" t="s">
        <v>2444</v>
      </c>
    </row>
    <row r="2714" customFormat="false" ht="15" hidden="false" customHeight="true" outlineLevel="0" collapsed="false">
      <c r="A2714" s="0" t="n">
        <v>2</v>
      </c>
      <c r="B2714" s="71" t="n">
        <v>46206</v>
      </c>
      <c r="C2714" s="0" t="n">
        <v>1</v>
      </c>
      <c r="D2714" s="0" t="s">
        <v>2442</v>
      </c>
      <c r="E2714" s="0" t="n">
        <v>1642</v>
      </c>
      <c r="F2714" s="0" t="s">
        <v>228</v>
      </c>
      <c r="I2714" s="0" t="n">
        <v>1030058</v>
      </c>
      <c r="J2714" s="0" t="n">
        <v>105782</v>
      </c>
      <c r="K2714" s="0" t="n">
        <v>7896289210352</v>
      </c>
      <c r="L2714" s="0" t="s">
        <v>2512</v>
      </c>
      <c r="N2714" s="0" t="n">
        <v>5</v>
      </c>
      <c r="O2714" s="0" t="n">
        <v>34.3</v>
      </c>
      <c r="P2714" s="0" t="s">
        <v>2444</v>
      </c>
    </row>
    <row r="2715" customFormat="false" ht="15" hidden="false" customHeight="true" outlineLevel="0" collapsed="false">
      <c r="A2715" s="0" t="n">
        <v>2</v>
      </c>
      <c r="B2715" s="71" t="n">
        <v>46206</v>
      </c>
      <c r="C2715" s="0" t="n">
        <v>1</v>
      </c>
      <c r="D2715" s="0" t="s">
        <v>2442</v>
      </c>
      <c r="E2715" s="0" t="n">
        <v>1642</v>
      </c>
      <c r="F2715" s="0" t="s">
        <v>228</v>
      </c>
      <c r="I2715" s="0" t="n">
        <v>1030058</v>
      </c>
      <c r="J2715" s="0" t="n">
        <v>106079</v>
      </c>
      <c r="K2715" s="0" t="n">
        <v>7896289210130</v>
      </c>
      <c r="L2715" s="0" t="s">
        <v>2513</v>
      </c>
      <c r="N2715" s="0" t="n">
        <v>3</v>
      </c>
      <c r="O2715" s="0" t="n">
        <v>41.1</v>
      </c>
      <c r="P2715" s="0" t="s">
        <v>2444</v>
      </c>
    </row>
    <row r="2716" customFormat="false" ht="15" hidden="false" customHeight="true" outlineLevel="0" collapsed="false">
      <c r="A2716" s="0" t="n">
        <v>2</v>
      </c>
      <c r="B2716" s="71" t="n">
        <v>46206</v>
      </c>
      <c r="C2716" s="0" t="n">
        <v>1</v>
      </c>
      <c r="D2716" s="0" t="s">
        <v>2442</v>
      </c>
      <c r="E2716" s="0" t="n">
        <v>1642</v>
      </c>
      <c r="F2716" s="0" t="s">
        <v>228</v>
      </c>
      <c r="I2716" s="0" t="n">
        <v>1030058</v>
      </c>
      <c r="J2716" s="0" t="n">
        <v>106274</v>
      </c>
      <c r="K2716" s="0" t="n">
        <v>7896289210086</v>
      </c>
      <c r="L2716" s="0" t="s">
        <v>2514</v>
      </c>
      <c r="N2716" s="0" t="n">
        <v>3</v>
      </c>
      <c r="O2716" s="0" t="n">
        <v>37.68</v>
      </c>
      <c r="P2716" s="0" t="s">
        <v>2444</v>
      </c>
    </row>
    <row r="2717" customFormat="false" ht="15" hidden="false" customHeight="true" outlineLevel="0" collapsed="false">
      <c r="A2717" s="0" t="n">
        <v>2</v>
      </c>
      <c r="B2717" s="71" t="n">
        <v>46206</v>
      </c>
      <c r="C2717" s="0" t="n">
        <v>1</v>
      </c>
      <c r="D2717" s="0" t="s">
        <v>2442</v>
      </c>
      <c r="E2717" s="0" t="n">
        <v>1642</v>
      </c>
      <c r="F2717" s="0" t="s">
        <v>228</v>
      </c>
      <c r="I2717" s="0" t="n">
        <v>1030058</v>
      </c>
      <c r="J2717" s="0" t="n">
        <v>106280</v>
      </c>
      <c r="K2717" s="0" t="n">
        <v>7896289210062</v>
      </c>
      <c r="L2717" s="0" t="s">
        <v>2515</v>
      </c>
      <c r="N2717" s="0" t="n">
        <v>2</v>
      </c>
      <c r="O2717" s="0" t="n">
        <v>25.12</v>
      </c>
      <c r="P2717" s="0" t="s">
        <v>2444</v>
      </c>
    </row>
    <row r="2718" customFormat="false" ht="15" hidden="false" customHeight="true" outlineLevel="0" collapsed="false">
      <c r="A2718" s="0" t="n">
        <v>2</v>
      </c>
      <c r="B2718" s="71" t="n">
        <v>46206</v>
      </c>
      <c r="C2718" s="0" t="n">
        <v>1</v>
      </c>
      <c r="D2718" s="0" t="s">
        <v>2442</v>
      </c>
      <c r="E2718" s="0" t="n">
        <v>1642</v>
      </c>
      <c r="F2718" s="0" t="s">
        <v>228</v>
      </c>
      <c r="I2718" s="0" t="n">
        <v>1030058</v>
      </c>
      <c r="J2718" s="0" t="n">
        <v>106407</v>
      </c>
      <c r="K2718" s="0" t="n">
        <v>7896289210031</v>
      </c>
      <c r="L2718" s="0" t="s">
        <v>2516</v>
      </c>
      <c r="N2718" s="0" t="n">
        <v>3</v>
      </c>
      <c r="O2718" s="0" t="n">
        <v>34.92</v>
      </c>
      <c r="P2718" s="0" t="s">
        <v>2444</v>
      </c>
    </row>
    <row r="2719" customFormat="false" ht="15" hidden="false" customHeight="true" outlineLevel="0" collapsed="false">
      <c r="A2719" s="0" t="n">
        <v>2</v>
      </c>
      <c r="B2719" s="71" t="n">
        <v>46206</v>
      </c>
      <c r="C2719" s="0" t="n">
        <v>1</v>
      </c>
      <c r="D2719" s="0" t="s">
        <v>2442</v>
      </c>
      <c r="E2719" s="0" t="n">
        <v>1672</v>
      </c>
      <c r="F2719" s="0" t="s">
        <v>343</v>
      </c>
      <c r="I2719" s="0" t="n">
        <v>1385251</v>
      </c>
      <c r="J2719" s="0" t="n">
        <v>103916</v>
      </c>
      <c r="K2719" s="0" t="n">
        <v>7896579330067</v>
      </c>
      <c r="L2719" s="0" t="s">
        <v>3876</v>
      </c>
      <c r="N2719" s="0" t="n">
        <v>54</v>
      </c>
      <c r="O2719" s="0" t="n">
        <v>135</v>
      </c>
      <c r="P2719" s="0" t="s">
        <v>2444</v>
      </c>
    </row>
    <row r="2720" customFormat="false" ht="15" hidden="false" customHeight="true" outlineLevel="0" collapsed="false">
      <c r="A2720" s="0" t="n">
        <v>2</v>
      </c>
      <c r="B2720" s="71" t="n">
        <v>46206</v>
      </c>
      <c r="C2720" s="0" t="n">
        <v>1</v>
      </c>
      <c r="D2720" s="0" t="s">
        <v>2442</v>
      </c>
      <c r="E2720" s="0" t="n">
        <v>1672</v>
      </c>
      <c r="F2720" s="0" t="s">
        <v>343</v>
      </c>
      <c r="I2720" s="0" t="n">
        <v>1385251</v>
      </c>
      <c r="J2720" s="0" t="n">
        <v>103940</v>
      </c>
      <c r="K2720" s="0" t="n">
        <v>7896579330081</v>
      </c>
      <c r="L2720" s="0" t="s">
        <v>2719</v>
      </c>
      <c r="N2720" s="0" t="n">
        <v>84</v>
      </c>
      <c r="O2720" s="0" t="n">
        <v>75.6</v>
      </c>
      <c r="P2720" s="0" t="s">
        <v>2444</v>
      </c>
    </row>
    <row r="2721" customFormat="false" ht="15" hidden="false" customHeight="true" outlineLevel="0" collapsed="false">
      <c r="A2721" s="0" t="n">
        <v>2</v>
      </c>
      <c r="B2721" s="71" t="n">
        <v>46206</v>
      </c>
      <c r="C2721" s="0" t="n">
        <v>1</v>
      </c>
      <c r="D2721" s="0" t="s">
        <v>2442</v>
      </c>
      <c r="E2721" s="0" t="n">
        <v>1672</v>
      </c>
      <c r="F2721" s="0" t="s">
        <v>343</v>
      </c>
      <c r="I2721" s="0" t="n">
        <v>1385251</v>
      </c>
      <c r="J2721" s="0" t="n">
        <v>104355</v>
      </c>
      <c r="K2721" s="0" t="n">
        <v>7896579380116</v>
      </c>
      <c r="L2721" s="0" t="s">
        <v>3656</v>
      </c>
      <c r="N2721" s="0" t="n">
        <v>36</v>
      </c>
      <c r="O2721" s="0" t="n">
        <v>147.6</v>
      </c>
      <c r="P2721" s="0" t="s">
        <v>2444</v>
      </c>
    </row>
    <row r="2722" customFormat="false" ht="15" hidden="false" customHeight="true" outlineLevel="0" collapsed="false">
      <c r="A2722" s="0" t="n">
        <v>2</v>
      </c>
      <c r="B2722" s="71" t="n">
        <v>46206</v>
      </c>
      <c r="C2722" s="0" t="n">
        <v>1</v>
      </c>
      <c r="D2722" s="0" t="s">
        <v>2442</v>
      </c>
      <c r="E2722" s="0" t="n">
        <v>1672</v>
      </c>
      <c r="F2722" s="0" t="s">
        <v>343</v>
      </c>
      <c r="I2722" s="0" t="n">
        <v>1385251</v>
      </c>
      <c r="J2722" s="0" t="n">
        <v>106239</v>
      </c>
      <c r="K2722" s="0" t="n">
        <v>7896579390016</v>
      </c>
      <c r="L2722" s="0" t="s">
        <v>2721</v>
      </c>
      <c r="N2722" s="0" t="n">
        <v>36</v>
      </c>
      <c r="O2722" s="0" t="n">
        <v>72</v>
      </c>
      <c r="P2722" s="0" t="s">
        <v>2444</v>
      </c>
    </row>
    <row r="2723" customFormat="false" ht="15" hidden="false" customHeight="true" outlineLevel="0" collapsed="false">
      <c r="A2723" s="0" t="n">
        <v>2</v>
      </c>
      <c r="B2723" s="71" t="n">
        <v>46206</v>
      </c>
      <c r="C2723" s="0" t="n">
        <v>1</v>
      </c>
      <c r="D2723" s="0" t="s">
        <v>2442</v>
      </c>
      <c r="E2723" s="0" t="n">
        <v>1672</v>
      </c>
      <c r="F2723" s="0" t="s">
        <v>343</v>
      </c>
      <c r="I2723" s="0" t="n">
        <v>1385251</v>
      </c>
      <c r="J2723" s="0" t="n">
        <v>24126</v>
      </c>
      <c r="K2723" s="0" t="n">
        <v>7896579350232</v>
      </c>
      <c r="L2723" s="0" t="s">
        <v>3877</v>
      </c>
      <c r="N2723" s="0" t="n">
        <v>60</v>
      </c>
      <c r="O2723" s="0" t="n">
        <v>66</v>
      </c>
      <c r="P2723" s="0" t="s">
        <v>2444</v>
      </c>
    </row>
    <row r="2724" customFormat="false" ht="15" hidden="false" customHeight="true" outlineLevel="0" collapsed="false">
      <c r="A2724" s="0" t="n">
        <v>2</v>
      </c>
      <c r="B2724" s="71" t="n">
        <v>46206</v>
      </c>
      <c r="C2724" s="0" t="n">
        <v>1</v>
      </c>
      <c r="D2724" s="0" t="s">
        <v>2442</v>
      </c>
      <c r="E2724" s="0" t="n">
        <v>1672</v>
      </c>
      <c r="F2724" s="0" t="s">
        <v>343</v>
      </c>
      <c r="I2724" s="0" t="n">
        <v>1385251</v>
      </c>
      <c r="J2724" s="0" t="n">
        <v>31622</v>
      </c>
      <c r="K2724" s="0" t="n">
        <v>7896579370032</v>
      </c>
      <c r="L2724" s="0" t="s">
        <v>3878</v>
      </c>
      <c r="N2724" s="0" t="n">
        <v>18</v>
      </c>
      <c r="O2724" s="0" t="n">
        <v>86.4</v>
      </c>
      <c r="P2724" s="0" t="s">
        <v>2444</v>
      </c>
    </row>
    <row r="2725" customFormat="false" ht="15" hidden="false" customHeight="true" outlineLevel="0" collapsed="false">
      <c r="A2725" s="0" t="n">
        <v>2</v>
      </c>
      <c r="B2725" s="71" t="n">
        <v>46206</v>
      </c>
      <c r="C2725" s="0" t="n">
        <v>1</v>
      </c>
      <c r="D2725" s="0" t="s">
        <v>2442</v>
      </c>
      <c r="E2725" s="0" t="n">
        <v>1672</v>
      </c>
      <c r="F2725" s="0" t="s">
        <v>343</v>
      </c>
      <c r="I2725" s="0" t="n">
        <v>1385251</v>
      </c>
      <c r="J2725" s="0" t="n">
        <v>37507</v>
      </c>
      <c r="K2725" s="0" t="n">
        <v>7896579310854</v>
      </c>
      <c r="L2725" s="0" t="s">
        <v>2726</v>
      </c>
      <c r="N2725" s="0" t="n">
        <v>25</v>
      </c>
      <c r="O2725" s="0" t="n">
        <v>207.5</v>
      </c>
      <c r="P2725" s="0" t="s">
        <v>2444</v>
      </c>
    </row>
    <row r="2726" customFormat="false" ht="15" hidden="false" customHeight="true" outlineLevel="0" collapsed="false">
      <c r="A2726" s="0" t="n">
        <v>2</v>
      </c>
      <c r="B2726" s="71" t="n">
        <v>46206</v>
      </c>
      <c r="C2726" s="0" t="n">
        <v>1</v>
      </c>
      <c r="D2726" s="0" t="s">
        <v>2442</v>
      </c>
      <c r="E2726" s="0" t="n">
        <v>1672</v>
      </c>
      <c r="F2726" s="0" t="s">
        <v>343</v>
      </c>
      <c r="I2726" s="0" t="n">
        <v>1385251</v>
      </c>
      <c r="J2726" s="0" t="n">
        <v>38315</v>
      </c>
      <c r="K2726" s="0" t="n">
        <v>7896579320242</v>
      </c>
      <c r="L2726" s="0" t="s">
        <v>2727</v>
      </c>
      <c r="N2726" s="0" t="n">
        <v>27</v>
      </c>
      <c r="O2726" s="0" t="n">
        <v>81</v>
      </c>
      <c r="P2726" s="0" t="s">
        <v>2444</v>
      </c>
    </row>
    <row r="2727" customFormat="false" ht="15" hidden="false" customHeight="true" outlineLevel="0" collapsed="false">
      <c r="A2727" s="0" t="n">
        <v>2</v>
      </c>
      <c r="B2727" s="71" t="n">
        <v>46206</v>
      </c>
      <c r="C2727" s="0" t="n">
        <v>1</v>
      </c>
      <c r="D2727" s="0" t="s">
        <v>2442</v>
      </c>
      <c r="E2727" s="0" t="n">
        <v>1672</v>
      </c>
      <c r="F2727" s="0" t="s">
        <v>343</v>
      </c>
      <c r="I2727" s="0" t="n">
        <v>1385251</v>
      </c>
      <c r="J2727" s="0" t="n">
        <v>38539</v>
      </c>
      <c r="K2727" s="0" t="n">
        <v>7896579320235</v>
      </c>
      <c r="L2727" s="0" t="s">
        <v>2728</v>
      </c>
      <c r="N2727" s="0" t="n">
        <v>27</v>
      </c>
      <c r="O2727" s="0" t="n">
        <v>110.7</v>
      </c>
      <c r="P2727" s="0" t="s">
        <v>2444</v>
      </c>
    </row>
    <row r="2728" customFormat="false" ht="15" hidden="false" customHeight="true" outlineLevel="0" collapsed="false">
      <c r="A2728" s="0" t="n">
        <v>2</v>
      </c>
      <c r="B2728" s="71" t="n">
        <v>46206</v>
      </c>
      <c r="C2728" s="0" t="n">
        <v>1</v>
      </c>
      <c r="D2728" s="0" t="s">
        <v>2442</v>
      </c>
      <c r="E2728" s="0" t="n">
        <v>1672</v>
      </c>
      <c r="F2728" s="0" t="s">
        <v>343</v>
      </c>
      <c r="I2728" s="0" t="n">
        <v>1385251</v>
      </c>
      <c r="J2728" s="0" t="n">
        <v>39420</v>
      </c>
      <c r="K2728" s="0" t="n">
        <v>7896579310533</v>
      </c>
      <c r="L2728" s="0" t="s">
        <v>3879</v>
      </c>
      <c r="N2728" s="0" t="n">
        <v>60</v>
      </c>
      <c r="O2728" s="0" t="n">
        <v>66</v>
      </c>
      <c r="P2728" s="0" t="s">
        <v>2444</v>
      </c>
    </row>
    <row r="2729" customFormat="false" ht="15" hidden="false" customHeight="true" outlineLevel="0" collapsed="false">
      <c r="A2729" s="0" t="n">
        <v>2</v>
      </c>
      <c r="B2729" s="71" t="n">
        <v>46206</v>
      </c>
      <c r="C2729" s="0" t="n">
        <v>1</v>
      </c>
      <c r="D2729" s="0" t="s">
        <v>2442</v>
      </c>
      <c r="E2729" s="0" t="n">
        <v>1672</v>
      </c>
      <c r="F2729" s="0" t="s">
        <v>343</v>
      </c>
      <c r="I2729" s="0" t="n">
        <v>1385251</v>
      </c>
      <c r="J2729" s="0" t="n">
        <v>51477</v>
      </c>
      <c r="K2729" s="0" t="n">
        <v>7896579310809</v>
      </c>
      <c r="L2729" s="0" t="s">
        <v>2730</v>
      </c>
      <c r="N2729" s="0" t="n">
        <v>24</v>
      </c>
      <c r="O2729" s="0" t="n">
        <v>19.2</v>
      </c>
      <c r="P2729" s="0" t="s">
        <v>2444</v>
      </c>
    </row>
    <row r="2730" customFormat="false" ht="15" hidden="false" customHeight="true" outlineLevel="0" collapsed="false">
      <c r="A2730" s="0" t="n">
        <v>2</v>
      </c>
      <c r="B2730" s="71" t="n">
        <v>46206</v>
      </c>
      <c r="C2730" s="0" t="n">
        <v>1</v>
      </c>
      <c r="D2730" s="0" t="s">
        <v>2442</v>
      </c>
      <c r="E2730" s="0" t="n">
        <v>1672</v>
      </c>
      <c r="F2730" s="0" t="s">
        <v>343</v>
      </c>
      <c r="I2730" s="0" t="n">
        <v>1385251</v>
      </c>
      <c r="J2730" s="0" t="n">
        <v>53441</v>
      </c>
      <c r="K2730" s="0" t="n">
        <v>7896579340165</v>
      </c>
      <c r="L2730" s="0" t="s">
        <v>3662</v>
      </c>
      <c r="N2730" s="0" t="n">
        <v>24</v>
      </c>
      <c r="O2730" s="0" t="n">
        <v>62.4</v>
      </c>
      <c r="P2730" s="0" t="s">
        <v>2444</v>
      </c>
    </row>
    <row r="2731" customFormat="false" ht="15" hidden="false" customHeight="true" outlineLevel="0" collapsed="false">
      <c r="A2731" s="0" t="n">
        <v>2</v>
      </c>
      <c r="B2731" s="71" t="n">
        <v>46206</v>
      </c>
      <c r="C2731" s="0" t="n">
        <v>1</v>
      </c>
      <c r="D2731" s="0" t="s">
        <v>2442</v>
      </c>
      <c r="E2731" s="0" t="n">
        <v>1672</v>
      </c>
      <c r="F2731" s="0" t="s">
        <v>343</v>
      </c>
      <c r="I2731" s="0" t="n">
        <v>1385251</v>
      </c>
      <c r="J2731" s="0" t="n">
        <v>61503</v>
      </c>
      <c r="K2731" s="0" t="n">
        <v>7896579310915</v>
      </c>
      <c r="L2731" s="0" t="s">
        <v>2731</v>
      </c>
      <c r="N2731" s="0" t="n">
        <v>10</v>
      </c>
      <c r="O2731" s="0" t="n">
        <v>80</v>
      </c>
      <c r="P2731" s="0" t="s">
        <v>2444</v>
      </c>
    </row>
    <row r="2732" customFormat="false" ht="15" hidden="false" customHeight="true" outlineLevel="0" collapsed="false">
      <c r="A2732" s="0" t="n">
        <v>2</v>
      </c>
      <c r="B2732" s="71" t="n">
        <v>46206</v>
      </c>
      <c r="C2732" s="0" t="n">
        <v>1</v>
      </c>
      <c r="D2732" s="0" t="s">
        <v>2442</v>
      </c>
      <c r="E2732" s="0" t="n">
        <v>1683</v>
      </c>
      <c r="F2732" s="0" t="s">
        <v>406</v>
      </c>
      <c r="I2732" s="0" t="n">
        <v>1642191</v>
      </c>
      <c r="J2732" s="0" t="n">
        <v>37359</v>
      </c>
      <c r="K2732" s="0" t="n">
        <v>55526</v>
      </c>
      <c r="L2732" s="0" t="s">
        <v>2466</v>
      </c>
      <c r="N2732" s="0" t="n">
        <v>5</v>
      </c>
      <c r="O2732" s="0" t="n">
        <v>17.5</v>
      </c>
      <c r="P2732" s="0" t="s">
        <v>2444</v>
      </c>
    </row>
    <row r="2733" customFormat="false" ht="15" hidden="false" customHeight="true" outlineLevel="0" collapsed="false">
      <c r="A2733" s="0" t="n">
        <v>2</v>
      </c>
      <c r="B2733" s="71" t="n">
        <v>46206</v>
      </c>
      <c r="C2733" s="0" t="n">
        <v>1</v>
      </c>
      <c r="D2733" s="0" t="s">
        <v>2442</v>
      </c>
      <c r="E2733" s="0" t="n">
        <v>1683</v>
      </c>
      <c r="F2733" s="0" t="s">
        <v>406</v>
      </c>
      <c r="I2733" s="0" t="n">
        <v>1642191</v>
      </c>
      <c r="J2733" s="0" t="n">
        <v>37361</v>
      </c>
      <c r="K2733" s="0" t="n">
        <v>2240817</v>
      </c>
      <c r="L2733" s="0" t="s">
        <v>2467</v>
      </c>
      <c r="N2733" s="0" t="n">
        <v>40</v>
      </c>
      <c r="O2733" s="0" t="n">
        <v>72</v>
      </c>
      <c r="P2733" s="0" t="s">
        <v>2444</v>
      </c>
    </row>
    <row r="2734" customFormat="false" ht="15" hidden="false" customHeight="true" outlineLevel="0" collapsed="false">
      <c r="A2734" s="0" t="n">
        <v>2</v>
      </c>
      <c r="B2734" s="71" t="n">
        <v>46206</v>
      </c>
      <c r="C2734" s="0" t="n">
        <v>1</v>
      </c>
      <c r="D2734" s="0" t="s">
        <v>2442</v>
      </c>
      <c r="E2734" s="0" t="n">
        <v>1608</v>
      </c>
      <c r="F2734" s="0" t="s">
        <v>240</v>
      </c>
      <c r="I2734" s="0" t="n">
        <v>1686081</v>
      </c>
      <c r="J2734" s="0" t="n">
        <v>50232</v>
      </c>
      <c r="K2734" s="0" t="n">
        <v>7891025123057</v>
      </c>
      <c r="L2734" s="0" t="s">
        <v>2639</v>
      </c>
      <c r="N2734" s="0" t="n">
        <v>4</v>
      </c>
      <c r="O2734" s="0" t="n">
        <v>10.24</v>
      </c>
      <c r="P2734" s="0" t="s">
        <v>2444</v>
      </c>
    </row>
    <row r="2735" customFormat="false" ht="15" hidden="false" customHeight="true" outlineLevel="0" collapsed="false">
      <c r="A2735" s="0" t="n">
        <v>2</v>
      </c>
      <c r="B2735" s="71" t="n">
        <v>46206</v>
      </c>
      <c r="C2735" s="0" t="n">
        <v>1</v>
      </c>
      <c r="D2735" s="0" t="s">
        <v>2442</v>
      </c>
      <c r="E2735" s="0" t="n">
        <v>1608</v>
      </c>
      <c r="F2735" s="0" t="s">
        <v>240</v>
      </c>
      <c r="I2735" s="0" t="n">
        <v>1686081</v>
      </c>
      <c r="J2735" s="0" t="n">
        <v>19906</v>
      </c>
      <c r="K2735" s="0" t="n">
        <v>7898553442933</v>
      </c>
      <c r="L2735" s="0" t="s">
        <v>2982</v>
      </c>
      <c r="N2735" s="0" t="n">
        <v>12</v>
      </c>
      <c r="O2735" s="0" t="n">
        <v>140.52</v>
      </c>
      <c r="P2735" s="0" t="s">
        <v>2444</v>
      </c>
    </row>
    <row r="2736" customFormat="false" ht="15" hidden="false" customHeight="true" outlineLevel="0" collapsed="false">
      <c r="A2736" s="0" t="n">
        <v>2</v>
      </c>
      <c r="B2736" s="71" t="n">
        <v>46206</v>
      </c>
      <c r="C2736" s="0" t="n">
        <v>1</v>
      </c>
      <c r="D2736" s="0" t="s">
        <v>2442</v>
      </c>
      <c r="E2736" s="0" t="n">
        <v>1608</v>
      </c>
      <c r="F2736" s="0" t="s">
        <v>240</v>
      </c>
      <c r="I2736" s="0" t="n">
        <v>1686081</v>
      </c>
      <c r="J2736" s="0" t="n">
        <v>20522</v>
      </c>
      <c r="K2736" s="0" t="n">
        <v>7891025106067</v>
      </c>
      <c r="L2736" s="0" t="s">
        <v>2642</v>
      </c>
      <c r="N2736" s="0" t="n">
        <v>6</v>
      </c>
      <c r="O2736" s="0" t="n">
        <v>17.1</v>
      </c>
      <c r="P2736" s="0" t="s">
        <v>2444</v>
      </c>
    </row>
    <row r="2737" customFormat="false" ht="15" hidden="false" customHeight="true" outlineLevel="0" collapsed="false">
      <c r="A2737" s="0" t="n">
        <v>2</v>
      </c>
      <c r="B2737" s="71" t="n">
        <v>46206</v>
      </c>
      <c r="C2737" s="0" t="n">
        <v>1</v>
      </c>
      <c r="D2737" s="0" t="s">
        <v>2442</v>
      </c>
      <c r="E2737" s="0" t="n">
        <v>1608</v>
      </c>
      <c r="F2737" s="0" t="s">
        <v>240</v>
      </c>
      <c r="I2737" s="0" t="n">
        <v>1686081</v>
      </c>
      <c r="J2737" s="0" t="n">
        <v>24123</v>
      </c>
      <c r="K2737" s="0" t="n">
        <v>7891025109396</v>
      </c>
      <c r="L2737" s="0" t="s">
        <v>2643</v>
      </c>
      <c r="N2737" s="0" t="n">
        <v>6</v>
      </c>
      <c r="O2737" s="0" t="n">
        <v>20.16</v>
      </c>
      <c r="P2737" s="0" t="s">
        <v>2444</v>
      </c>
    </row>
    <row r="2738" customFormat="false" ht="15" hidden="false" customHeight="true" outlineLevel="0" collapsed="false">
      <c r="A2738" s="0" t="n">
        <v>2</v>
      </c>
      <c r="B2738" s="71" t="n">
        <v>46206</v>
      </c>
      <c r="C2738" s="0" t="n">
        <v>1</v>
      </c>
      <c r="D2738" s="0" t="s">
        <v>2442</v>
      </c>
      <c r="E2738" s="0" t="n">
        <v>1608</v>
      </c>
      <c r="F2738" s="0" t="s">
        <v>240</v>
      </c>
      <c r="I2738" s="0" t="n">
        <v>1686081</v>
      </c>
      <c r="J2738" s="0" t="n">
        <v>24196</v>
      </c>
      <c r="K2738" s="0" t="n">
        <v>7891025109884</v>
      </c>
      <c r="L2738" s="0" t="s">
        <v>2645</v>
      </c>
      <c r="N2738" s="0" t="n">
        <v>3</v>
      </c>
      <c r="O2738" s="0" t="n">
        <v>25.38</v>
      </c>
      <c r="P2738" s="0" t="s">
        <v>2444</v>
      </c>
    </row>
    <row r="2739" customFormat="false" ht="15" hidden="false" customHeight="true" outlineLevel="0" collapsed="false">
      <c r="A2739" s="0" t="n">
        <v>2</v>
      </c>
      <c r="B2739" s="71" t="n">
        <v>46206</v>
      </c>
      <c r="C2739" s="0" t="n">
        <v>1</v>
      </c>
      <c r="D2739" s="0" t="s">
        <v>2442</v>
      </c>
      <c r="E2739" s="0" t="n">
        <v>1608</v>
      </c>
      <c r="F2739" s="0" t="s">
        <v>240</v>
      </c>
      <c r="I2739" s="0" t="n">
        <v>1686081</v>
      </c>
      <c r="J2739" s="0" t="n">
        <v>24832</v>
      </c>
      <c r="K2739" s="0" t="n">
        <v>7891025109891</v>
      </c>
      <c r="L2739" s="0" t="s">
        <v>2646</v>
      </c>
      <c r="N2739" s="0" t="n">
        <v>9</v>
      </c>
      <c r="O2739" s="0" t="n">
        <v>76.14</v>
      </c>
      <c r="P2739" s="0" t="s">
        <v>2444</v>
      </c>
    </row>
    <row r="2740" customFormat="false" ht="15" hidden="false" customHeight="true" outlineLevel="0" collapsed="false">
      <c r="A2740" s="0" t="n">
        <v>2</v>
      </c>
      <c r="B2740" s="71" t="n">
        <v>46206</v>
      </c>
      <c r="C2740" s="0" t="n">
        <v>1</v>
      </c>
      <c r="D2740" s="0" t="s">
        <v>2442</v>
      </c>
      <c r="E2740" s="0" t="n">
        <v>1608</v>
      </c>
      <c r="F2740" s="0" t="s">
        <v>240</v>
      </c>
      <c r="I2740" s="0" t="n">
        <v>1686081</v>
      </c>
      <c r="J2740" s="0" t="n">
        <v>27141</v>
      </c>
      <c r="K2740" s="0" t="n">
        <v>7899916900329</v>
      </c>
      <c r="L2740" s="0" t="s">
        <v>2647</v>
      </c>
      <c r="N2740" s="0" t="n">
        <v>6</v>
      </c>
      <c r="O2740" s="0" t="n">
        <v>35.58</v>
      </c>
      <c r="P2740" s="0" t="s">
        <v>2444</v>
      </c>
    </row>
    <row r="2741" customFormat="false" ht="15" hidden="false" customHeight="true" outlineLevel="0" collapsed="false">
      <c r="A2741" s="0" t="n">
        <v>2</v>
      </c>
      <c r="B2741" s="71" t="n">
        <v>46206</v>
      </c>
      <c r="C2741" s="0" t="n">
        <v>1</v>
      </c>
      <c r="D2741" s="0" t="s">
        <v>2442</v>
      </c>
      <c r="E2741" s="0" t="n">
        <v>1608</v>
      </c>
      <c r="F2741" s="0" t="s">
        <v>240</v>
      </c>
      <c r="I2741" s="0" t="n">
        <v>1686081</v>
      </c>
      <c r="J2741" s="0" t="n">
        <v>28462</v>
      </c>
      <c r="K2741" s="0" t="n">
        <v>7891025121626</v>
      </c>
      <c r="L2741" s="0" t="s">
        <v>2985</v>
      </c>
      <c r="N2741" s="0" t="n">
        <v>6</v>
      </c>
      <c r="O2741" s="0" t="n">
        <v>45.06</v>
      </c>
      <c r="P2741" s="0" t="s">
        <v>2444</v>
      </c>
    </row>
    <row r="2742" customFormat="false" ht="15" hidden="false" customHeight="true" outlineLevel="0" collapsed="false">
      <c r="A2742" s="0" t="n">
        <v>2</v>
      </c>
      <c r="B2742" s="71" t="n">
        <v>46206</v>
      </c>
      <c r="C2742" s="0" t="n">
        <v>1</v>
      </c>
      <c r="D2742" s="0" t="s">
        <v>2442</v>
      </c>
      <c r="E2742" s="0" t="n">
        <v>1608</v>
      </c>
      <c r="F2742" s="0" t="s">
        <v>240</v>
      </c>
      <c r="I2742" s="0" t="n">
        <v>1686081</v>
      </c>
      <c r="J2742" s="0" t="n">
        <v>28705</v>
      </c>
      <c r="K2742" s="0" t="n">
        <v>7891025121633</v>
      </c>
      <c r="L2742" s="0" t="s">
        <v>2648</v>
      </c>
      <c r="N2742" s="0" t="n">
        <v>2</v>
      </c>
      <c r="O2742" s="0" t="n">
        <v>15.02</v>
      </c>
      <c r="P2742" s="0" t="s">
        <v>2444</v>
      </c>
    </row>
    <row r="2743" customFormat="false" ht="15" hidden="false" customHeight="true" outlineLevel="0" collapsed="false">
      <c r="A2743" s="0" t="n">
        <v>2</v>
      </c>
      <c r="B2743" s="71" t="n">
        <v>46206</v>
      </c>
      <c r="C2743" s="0" t="n">
        <v>1</v>
      </c>
      <c r="D2743" s="0" t="s">
        <v>2442</v>
      </c>
      <c r="E2743" s="0" t="n">
        <v>1608</v>
      </c>
      <c r="F2743" s="0" t="s">
        <v>240</v>
      </c>
      <c r="I2743" s="0" t="n">
        <v>1686081</v>
      </c>
      <c r="J2743" s="0" t="n">
        <v>29169</v>
      </c>
      <c r="K2743" s="0" t="n">
        <v>7891025115656</v>
      </c>
      <c r="L2743" s="0" t="s">
        <v>2518</v>
      </c>
      <c r="N2743" s="0" t="n">
        <v>1</v>
      </c>
      <c r="O2743" s="0" t="n">
        <v>7.12</v>
      </c>
      <c r="P2743" s="0" t="s">
        <v>2444</v>
      </c>
    </row>
    <row r="2744" customFormat="false" ht="15" hidden="false" customHeight="true" outlineLevel="0" collapsed="false">
      <c r="A2744" s="0" t="n">
        <v>2</v>
      </c>
      <c r="B2744" s="71" t="n">
        <v>46206</v>
      </c>
      <c r="C2744" s="0" t="n">
        <v>1</v>
      </c>
      <c r="D2744" s="0" t="s">
        <v>2442</v>
      </c>
      <c r="E2744" s="0" t="n">
        <v>1608</v>
      </c>
      <c r="F2744" s="0" t="s">
        <v>240</v>
      </c>
      <c r="I2744" s="0" t="n">
        <v>1686081</v>
      </c>
      <c r="J2744" s="0" t="n">
        <v>29787</v>
      </c>
      <c r="K2744" s="0" t="n">
        <v>7891025115595</v>
      </c>
      <c r="L2744" s="0" t="s">
        <v>3880</v>
      </c>
      <c r="N2744" s="0" t="n">
        <v>1</v>
      </c>
      <c r="O2744" s="0" t="n">
        <v>8.88</v>
      </c>
      <c r="P2744" s="0" t="s">
        <v>2444</v>
      </c>
    </row>
    <row r="2745" customFormat="false" ht="15" hidden="false" customHeight="true" outlineLevel="0" collapsed="false">
      <c r="A2745" s="0" t="n">
        <v>2</v>
      </c>
      <c r="B2745" s="71" t="n">
        <v>46206</v>
      </c>
      <c r="C2745" s="0" t="n">
        <v>1</v>
      </c>
      <c r="D2745" s="0" t="s">
        <v>2442</v>
      </c>
      <c r="E2745" s="0" t="n">
        <v>1608</v>
      </c>
      <c r="F2745" s="0" t="s">
        <v>240</v>
      </c>
      <c r="I2745" s="0" t="n">
        <v>1686081</v>
      </c>
      <c r="J2745" s="0" t="n">
        <v>32614</v>
      </c>
      <c r="K2745" s="0" t="n">
        <v>7891025119456</v>
      </c>
      <c r="L2745" s="0" t="s">
        <v>2650</v>
      </c>
      <c r="N2745" s="0" t="n">
        <v>18</v>
      </c>
      <c r="O2745" s="0" t="n">
        <v>50.4</v>
      </c>
      <c r="P2745" s="0" t="s">
        <v>2444</v>
      </c>
    </row>
    <row r="2746" customFormat="false" ht="15" hidden="false" customHeight="true" outlineLevel="0" collapsed="false">
      <c r="A2746" s="0" t="n">
        <v>2</v>
      </c>
      <c r="B2746" s="71" t="n">
        <v>46206</v>
      </c>
      <c r="C2746" s="0" t="n">
        <v>1</v>
      </c>
      <c r="D2746" s="0" t="s">
        <v>2442</v>
      </c>
      <c r="E2746" s="0" t="n">
        <v>1608</v>
      </c>
      <c r="F2746" s="0" t="s">
        <v>240</v>
      </c>
      <c r="I2746" s="0" t="n">
        <v>1686081</v>
      </c>
      <c r="J2746" s="0" t="n">
        <v>35359</v>
      </c>
      <c r="K2746" s="0" t="n">
        <v>7891025119869</v>
      </c>
      <c r="L2746" s="0" t="s">
        <v>2651</v>
      </c>
      <c r="N2746" s="0" t="n">
        <v>2</v>
      </c>
      <c r="O2746" s="0" t="n">
        <v>24.4</v>
      </c>
      <c r="P2746" s="0" t="s">
        <v>2444</v>
      </c>
    </row>
    <row r="2747" customFormat="false" ht="15" hidden="false" customHeight="true" outlineLevel="0" collapsed="false">
      <c r="A2747" s="0" t="n">
        <v>2</v>
      </c>
      <c r="B2747" s="71" t="n">
        <v>46206</v>
      </c>
      <c r="C2747" s="0" t="n">
        <v>1</v>
      </c>
      <c r="D2747" s="0" t="s">
        <v>2442</v>
      </c>
      <c r="E2747" s="0" t="n">
        <v>1608</v>
      </c>
      <c r="F2747" s="0" t="s">
        <v>240</v>
      </c>
      <c r="I2747" s="0" t="n">
        <v>1686081</v>
      </c>
      <c r="J2747" s="0" t="n">
        <v>35841</v>
      </c>
      <c r="K2747" s="0" t="n">
        <v>7891025120223</v>
      </c>
      <c r="L2747" s="0" t="s">
        <v>2988</v>
      </c>
      <c r="N2747" s="0" t="n">
        <v>4</v>
      </c>
      <c r="O2747" s="0" t="n">
        <v>14.32</v>
      </c>
      <c r="P2747" s="0" t="s">
        <v>2444</v>
      </c>
    </row>
    <row r="2748" customFormat="false" ht="15" hidden="false" customHeight="true" outlineLevel="0" collapsed="false">
      <c r="A2748" s="0" t="n">
        <v>2</v>
      </c>
      <c r="B2748" s="71" t="n">
        <v>46206</v>
      </c>
      <c r="C2748" s="0" t="n">
        <v>1</v>
      </c>
      <c r="D2748" s="0" t="s">
        <v>2442</v>
      </c>
      <c r="E2748" s="0" t="n">
        <v>1608</v>
      </c>
      <c r="F2748" s="0" t="s">
        <v>240</v>
      </c>
      <c r="I2748" s="0" t="n">
        <v>1686081</v>
      </c>
      <c r="J2748" s="0" t="n">
        <v>35842</v>
      </c>
      <c r="K2748" s="0" t="n">
        <v>7891025120230</v>
      </c>
      <c r="L2748" s="0" t="s">
        <v>2522</v>
      </c>
      <c r="N2748" s="0" t="n">
        <v>6</v>
      </c>
      <c r="O2748" s="0" t="n">
        <v>21.48</v>
      </c>
      <c r="P2748" s="0" t="s">
        <v>2444</v>
      </c>
    </row>
    <row r="2749" customFormat="false" ht="15" hidden="false" customHeight="true" outlineLevel="0" collapsed="false">
      <c r="A2749" s="0" t="n">
        <v>2</v>
      </c>
      <c r="B2749" s="71" t="n">
        <v>46206</v>
      </c>
      <c r="C2749" s="0" t="n">
        <v>1</v>
      </c>
      <c r="D2749" s="0" t="s">
        <v>2442</v>
      </c>
      <c r="E2749" s="0" t="n">
        <v>1608</v>
      </c>
      <c r="F2749" s="0" t="s">
        <v>240</v>
      </c>
      <c r="I2749" s="0" t="n">
        <v>1686081</v>
      </c>
      <c r="J2749" s="0" t="n">
        <v>37558</v>
      </c>
      <c r="K2749" s="0" t="n">
        <v>7891025101376</v>
      </c>
      <c r="L2749" s="0" t="s">
        <v>2652</v>
      </c>
      <c r="N2749" s="0" t="n">
        <v>6</v>
      </c>
      <c r="O2749" s="0" t="n">
        <v>19.26</v>
      </c>
      <c r="P2749" s="0" t="s">
        <v>2444</v>
      </c>
    </row>
    <row r="2750" customFormat="false" ht="15" hidden="false" customHeight="true" outlineLevel="0" collapsed="false">
      <c r="A2750" s="0" t="n">
        <v>2</v>
      </c>
      <c r="B2750" s="71" t="n">
        <v>46206</v>
      </c>
      <c r="C2750" s="0" t="n">
        <v>1</v>
      </c>
      <c r="D2750" s="0" t="s">
        <v>2442</v>
      </c>
      <c r="E2750" s="0" t="n">
        <v>1608</v>
      </c>
      <c r="F2750" s="0" t="s">
        <v>240</v>
      </c>
      <c r="I2750" s="0" t="n">
        <v>1686081</v>
      </c>
      <c r="J2750" s="0" t="n">
        <v>37980</v>
      </c>
      <c r="K2750" s="0" t="n">
        <v>7891025121640</v>
      </c>
      <c r="L2750" s="0" t="s">
        <v>2989</v>
      </c>
      <c r="N2750" s="0" t="n">
        <v>6</v>
      </c>
      <c r="O2750" s="0" t="n">
        <v>44.16</v>
      </c>
      <c r="P2750" s="0" t="s">
        <v>2444</v>
      </c>
    </row>
    <row r="2751" customFormat="false" ht="15" hidden="false" customHeight="true" outlineLevel="0" collapsed="false">
      <c r="A2751" s="0" t="n">
        <v>2</v>
      </c>
      <c r="B2751" s="71" t="n">
        <v>46206</v>
      </c>
      <c r="C2751" s="0" t="n">
        <v>1</v>
      </c>
      <c r="D2751" s="0" t="s">
        <v>2442</v>
      </c>
      <c r="E2751" s="0" t="n">
        <v>1608</v>
      </c>
      <c r="F2751" s="0" t="s">
        <v>240</v>
      </c>
      <c r="I2751" s="0" t="n">
        <v>1686081</v>
      </c>
      <c r="J2751" s="0" t="n">
        <v>48139</v>
      </c>
      <c r="K2751" s="0" t="n">
        <v>7891025122067</v>
      </c>
      <c r="L2751" s="0" t="s">
        <v>2524</v>
      </c>
      <c r="N2751" s="0" t="n">
        <v>4</v>
      </c>
      <c r="O2751" s="0" t="n">
        <v>28.48</v>
      </c>
      <c r="P2751" s="0" t="s">
        <v>2444</v>
      </c>
    </row>
    <row r="2752" customFormat="false" ht="15" hidden="false" customHeight="true" outlineLevel="0" collapsed="false">
      <c r="A2752" s="0" t="n">
        <v>2</v>
      </c>
      <c r="B2752" s="71" t="n">
        <v>46206</v>
      </c>
      <c r="C2752" s="0" t="n">
        <v>1</v>
      </c>
      <c r="D2752" s="0" t="s">
        <v>2442</v>
      </c>
      <c r="E2752" s="0" t="n">
        <v>1608</v>
      </c>
      <c r="F2752" s="0" t="s">
        <v>240</v>
      </c>
      <c r="I2752" s="0" t="n">
        <v>1686081</v>
      </c>
      <c r="J2752" s="0" t="n">
        <v>50664</v>
      </c>
      <c r="K2752" s="0" t="n">
        <v>7891025123064</v>
      </c>
      <c r="L2752" s="0" t="s">
        <v>3881</v>
      </c>
      <c r="N2752" s="0" t="n">
        <v>6</v>
      </c>
      <c r="O2752" s="0" t="n">
        <v>15.36</v>
      </c>
      <c r="P2752" s="0" t="s">
        <v>2444</v>
      </c>
    </row>
    <row r="2753" customFormat="false" ht="15" hidden="false" customHeight="true" outlineLevel="0" collapsed="false">
      <c r="A2753" s="0" t="n">
        <v>2</v>
      </c>
      <c r="B2753" s="71" t="n">
        <v>46206</v>
      </c>
      <c r="C2753" s="0" t="n">
        <v>1</v>
      </c>
      <c r="D2753" s="0" t="s">
        <v>2442</v>
      </c>
      <c r="E2753" s="0" t="n">
        <v>1608</v>
      </c>
      <c r="F2753" s="0" t="s">
        <v>240</v>
      </c>
      <c r="I2753" s="0" t="n">
        <v>1686081</v>
      </c>
      <c r="J2753" s="0" t="n">
        <v>55693</v>
      </c>
      <c r="K2753" s="0" t="n">
        <v>7891025124177</v>
      </c>
      <c r="L2753" s="0" t="s">
        <v>2991</v>
      </c>
      <c r="N2753" s="0" t="n">
        <v>2</v>
      </c>
      <c r="O2753" s="0" t="n">
        <v>27.56</v>
      </c>
      <c r="P2753" s="0" t="s">
        <v>2444</v>
      </c>
    </row>
    <row r="2754" customFormat="false" ht="15" hidden="false" customHeight="true" outlineLevel="0" collapsed="false">
      <c r="A2754" s="0" t="n">
        <v>2</v>
      </c>
      <c r="B2754" s="71" t="n">
        <v>46206</v>
      </c>
      <c r="C2754" s="0" t="n">
        <v>1</v>
      </c>
      <c r="D2754" s="0" t="s">
        <v>2442</v>
      </c>
      <c r="E2754" s="0" t="n">
        <v>1608</v>
      </c>
      <c r="F2754" s="0" t="s">
        <v>240</v>
      </c>
      <c r="I2754" s="0" t="n">
        <v>1686081</v>
      </c>
      <c r="J2754" s="0" t="n">
        <v>65126</v>
      </c>
      <c r="K2754" s="0" t="n">
        <v>7891025124627</v>
      </c>
      <c r="L2754" s="0" t="s">
        <v>3882</v>
      </c>
      <c r="N2754" s="0" t="n">
        <v>2</v>
      </c>
      <c r="O2754" s="0" t="n">
        <v>14.24</v>
      </c>
      <c r="P2754" s="0" t="s">
        <v>2444</v>
      </c>
    </row>
    <row r="2755" customFormat="false" ht="15" hidden="false" customHeight="true" outlineLevel="0" collapsed="false">
      <c r="A2755" s="0" t="n">
        <v>2</v>
      </c>
      <c r="B2755" s="71" t="n">
        <v>46206</v>
      </c>
      <c r="C2755" s="0" t="n">
        <v>1</v>
      </c>
      <c r="D2755" s="0" t="s">
        <v>2442</v>
      </c>
      <c r="E2755" s="0" t="n">
        <v>1608</v>
      </c>
      <c r="F2755" s="0" t="s">
        <v>240</v>
      </c>
      <c r="I2755" s="0" t="n">
        <v>1686081</v>
      </c>
      <c r="J2755" s="0" t="n">
        <v>69612</v>
      </c>
      <c r="K2755" s="0" t="n">
        <v>7891025123453</v>
      </c>
      <c r="L2755" s="0" t="s">
        <v>2525</v>
      </c>
      <c r="N2755" s="0" t="n">
        <v>3</v>
      </c>
      <c r="O2755" s="0" t="n">
        <v>36.87</v>
      </c>
      <c r="P2755" s="0" t="s">
        <v>2444</v>
      </c>
    </row>
    <row r="2756" customFormat="false" ht="15" hidden="false" customHeight="true" outlineLevel="0" collapsed="false">
      <c r="A2756" s="0" t="n">
        <v>2</v>
      </c>
      <c r="B2756" s="71" t="n">
        <v>46206</v>
      </c>
      <c r="C2756" s="0" t="n">
        <v>1</v>
      </c>
      <c r="D2756" s="0" t="s">
        <v>2442</v>
      </c>
      <c r="E2756" s="0" t="n">
        <v>1608</v>
      </c>
      <c r="F2756" s="0" t="s">
        <v>240</v>
      </c>
      <c r="I2756" s="0" t="n">
        <v>1686081</v>
      </c>
      <c r="J2756" s="0" t="n">
        <v>69613</v>
      </c>
      <c r="K2756" s="0" t="n">
        <v>7891025123460</v>
      </c>
      <c r="L2756" s="0" t="s">
        <v>2526</v>
      </c>
      <c r="N2756" s="0" t="n">
        <v>1</v>
      </c>
      <c r="O2756" s="0" t="n">
        <v>12.29</v>
      </c>
      <c r="P2756" s="0" t="s">
        <v>2444</v>
      </c>
    </row>
    <row r="2757" customFormat="false" ht="15" hidden="false" customHeight="true" outlineLevel="0" collapsed="false">
      <c r="A2757" s="0" t="n">
        <v>2</v>
      </c>
      <c r="B2757" s="71" t="n">
        <v>46206</v>
      </c>
      <c r="C2757" s="0" t="n">
        <v>1</v>
      </c>
      <c r="D2757" s="0" t="s">
        <v>2442</v>
      </c>
      <c r="E2757" s="0" t="n">
        <v>1608</v>
      </c>
      <c r="F2757" s="0" t="s">
        <v>240</v>
      </c>
      <c r="I2757" s="0" t="n">
        <v>1686081</v>
      </c>
      <c r="J2757" s="0" t="n">
        <v>69614</v>
      </c>
      <c r="K2757" s="0" t="n">
        <v>7891025123477</v>
      </c>
      <c r="L2757" s="0" t="s">
        <v>2527</v>
      </c>
      <c r="N2757" s="0" t="n">
        <v>4</v>
      </c>
      <c r="O2757" s="0" t="n">
        <v>49.16</v>
      </c>
      <c r="P2757" s="0" t="s">
        <v>2444</v>
      </c>
    </row>
    <row r="2758" customFormat="false" ht="15" hidden="false" customHeight="true" outlineLevel="0" collapsed="false">
      <c r="A2758" s="0" t="n">
        <v>2</v>
      </c>
      <c r="B2758" s="71" t="n">
        <v>46206</v>
      </c>
      <c r="C2758" s="0" t="n">
        <v>1</v>
      </c>
      <c r="D2758" s="0" t="s">
        <v>2442</v>
      </c>
      <c r="E2758" s="0" t="n">
        <v>1608</v>
      </c>
      <c r="F2758" s="0" t="s">
        <v>240</v>
      </c>
      <c r="I2758" s="0" t="n">
        <v>1686081</v>
      </c>
      <c r="J2758" s="0" t="n">
        <v>75224</v>
      </c>
      <c r="K2758" s="0" t="n">
        <v>7891025124030</v>
      </c>
      <c r="L2758" s="0" t="s">
        <v>3551</v>
      </c>
      <c r="N2758" s="0" t="n">
        <v>1</v>
      </c>
      <c r="O2758" s="0" t="n">
        <v>13.49</v>
      </c>
      <c r="P2758" s="0" t="s">
        <v>2444</v>
      </c>
    </row>
    <row r="2759" customFormat="false" ht="15" hidden="false" customHeight="true" outlineLevel="0" collapsed="false">
      <c r="A2759" s="0" t="n">
        <v>2</v>
      </c>
      <c r="B2759" s="71" t="n">
        <v>46206</v>
      </c>
      <c r="C2759" s="0" t="n">
        <v>1</v>
      </c>
      <c r="D2759" s="0" t="s">
        <v>2442</v>
      </c>
      <c r="E2759" s="0" t="n">
        <v>1608</v>
      </c>
      <c r="F2759" s="0" t="s">
        <v>240</v>
      </c>
      <c r="I2759" s="0" t="n">
        <v>1686081</v>
      </c>
      <c r="J2759" s="0" t="n">
        <v>80307</v>
      </c>
      <c r="K2759" s="0" t="n">
        <v>7891025125372</v>
      </c>
      <c r="L2759" s="0" t="s">
        <v>2992</v>
      </c>
      <c r="N2759" s="0" t="n">
        <v>1</v>
      </c>
      <c r="O2759" s="0" t="n">
        <v>15.72</v>
      </c>
      <c r="P2759" s="0" t="s">
        <v>2444</v>
      </c>
    </row>
    <row r="2760" customFormat="false" ht="15" hidden="false" customHeight="true" outlineLevel="0" collapsed="false">
      <c r="A2760" s="0" t="n">
        <v>2</v>
      </c>
      <c r="B2760" s="71" t="n">
        <v>46206</v>
      </c>
      <c r="C2760" s="0" t="n">
        <v>1</v>
      </c>
      <c r="D2760" s="0" t="s">
        <v>2442</v>
      </c>
      <c r="E2760" s="0" t="n">
        <v>1608</v>
      </c>
      <c r="F2760" s="0" t="s">
        <v>240</v>
      </c>
      <c r="I2760" s="0" t="n">
        <v>1686081</v>
      </c>
      <c r="J2760" s="0" t="n">
        <v>80681</v>
      </c>
      <c r="K2760" s="0" t="n">
        <v>7891025125495</v>
      </c>
      <c r="L2760" s="0" t="s">
        <v>2532</v>
      </c>
      <c r="N2760" s="0" t="n">
        <v>10</v>
      </c>
      <c r="O2760" s="0" t="n">
        <v>28.4</v>
      </c>
      <c r="P2760" s="0" t="s">
        <v>2444</v>
      </c>
    </row>
    <row r="2761" customFormat="false" ht="15" hidden="false" customHeight="true" outlineLevel="0" collapsed="false">
      <c r="A2761" s="0" t="n">
        <v>2</v>
      </c>
      <c r="B2761" s="71" t="n">
        <v>46206</v>
      </c>
      <c r="C2761" s="0" t="n">
        <v>1</v>
      </c>
      <c r="D2761" s="0" t="s">
        <v>2442</v>
      </c>
      <c r="E2761" s="0" t="n">
        <v>1608</v>
      </c>
      <c r="F2761" s="0" t="s">
        <v>240</v>
      </c>
      <c r="I2761" s="0" t="n">
        <v>1686081</v>
      </c>
      <c r="J2761" s="0" t="n">
        <v>81338</v>
      </c>
      <c r="K2761" s="0" t="n">
        <v>7891025125365</v>
      </c>
      <c r="L2761" s="0" t="s">
        <v>2994</v>
      </c>
      <c r="N2761" s="0" t="n">
        <v>1</v>
      </c>
      <c r="O2761" s="0" t="n">
        <v>15.72</v>
      </c>
      <c r="P2761" s="0" t="s">
        <v>2444</v>
      </c>
    </row>
    <row r="2762" customFormat="false" ht="15" hidden="false" customHeight="true" outlineLevel="0" collapsed="false">
      <c r="A2762" s="0" t="n">
        <v>2</v>
      </c>
      <c r="B2762" s="71" t="n">
        <v>46206</v>
      </c>
      <c r="C2762" s="0" t="n">
        <v>2</v>
      </c>
      <c r="D2762" s="0" t="s">
        <v>2533</v>
      </c>
      <c r="E2762" s="0" t="n">
        <v>48</v>
      </c>
      <c r="F2762" s="0" t="s">
        <v>153</v>
      </c>
      <c r="I2762" s="0" t="n">
        <v>3726</v>
      </c>
      <c r="J2762" s="0" t="n">
        <v>42564</v>
      </c>
      <c r="K2762" s="0" t="n">
        <v>574</v>
      </c>
      <c r="L2762" s="0" t="s">
        <v>2534</v>
      </c>
      <c r="N2762" s="0" t="n">
        <v>20</v>
      </c>
      <c r="O2762" s="0" t="n">
        <v>280</v>
      </c>
      <c r="P2762" s="0" t="s">
        <v>2444</v>
      </c>
    </row>
    <row r="2763" customFormat="false" ht="15" hidden="false" customHeight="true" outlineLevel="0" collapsed="false">
      <c r="A2763" s="0" t="n">
        <v>2</v>
      </c>
      <c r="B2763" s="71" t="n">
        <v>46206</v>
      </c>
      <c r="C2763" s="0" t="n">
        <v>2</v>
      </c>
      <c r="D2763" s="0" t="s">
        <v>2533</v>
      </c>
      <c r="E2763" s="0" t="n">
        <v>48</v>
      </c>
      <c r="F2763" s="0" t="s">
        <v>153</v>
      </c>
      <c r="I2763" s="0" t="n">
        <v>372026</v>
      </c>
      <c r="J2763" s="0" t="n">
        <v>100062</v>
      </c>
      <c r="K2763" s="0" t="n">
        <v>63</v>
      </c>
      <c r="L2763" s="0" t="s">
        <v>2535</v>
      </c>
      <c r="N2763" s="0" t="n">
        <v>13</v>
      </c>
      <c r="O2763" s="0" t="n">
        <v>93.86</v>
      </c>
      <c r="P2763" s="0" t="s">
        <v>2444</v>
      </c>
    </row>
    <row r="2764" customFormat="false" ht="15" hidden="false" customHeight="true" outlineLevel="0" collapsed="false">
      <c r="A2764" s="0" t="n">
        <v>2</v>
      </c>
      <c r="B2764" s="71" t="n">
        <v>46206</v>
      </c>
      <c r="C2764" s="0" t="n">
        <v>2</v>
      </c>
      <c r="D2764" s="0" t="s">
        <v>2533</v>
      </c>
      <c r="E2764" s="0" t="n">
        <v>48</v>
      </c>
      <c r="F2764" s="0" t="s">
        <v>153</v>
      </c>
      <c r="I2764" s="0" t="n">
        <v>372026</v>
      </c>
      <c r="J2764" s="0" t="n">
        <v>100109</v>
      </c>
      <c r="K2764" s="0" t="n">
        <v>110</v>
      </c>
      <c r="L2764" s="0" t="s">
        <v>2537</v>
      </c>
      <c r="N2764" s="0" t="n">
        <v>20</v>
      </c>
      <c r="O2764" s="0" t="n">
        <v>120</v>
      </c>
      <c r="P2764" s="0" t="s">
        <v>2444</v>
      </c>
    </row>
    <row r="2765" customFormat="false" ht="15" hidden="false" customHeight="true" outlineLevel="0" collapsed="false">
      <c r="A2765" s="0" t="n">
        <v>2</v>
      </c>
      <c r="B2765" s="71" t="n">
        <v>46206</v>
      </c>
      <c r="C2765" s="0" t="n">
        <v>2</v>
      </c>
      <c r="D2765" s="0" t="s">
        <v>2533</v>
      </c>
      <c r="E2765" s="0" t="n">
        <v>48</v>
      </c>
      <c r="F2765" s="0" t="s">
        <v>153</v>
      </c>
      <c r="I2765" s="0" t="n">
        <v>372026</v>
      </c>
      <c r="J2765" s="0" t="n">
        <v>100113</v>
      </c>
      <c r="K2765" s="0" t="n">
        <v>114</v>
      </c>
      <c r="L2765" s="0" t="s">
        <v>2539</v>
      </c>
      <c r="N2765" s="0" t="n">
        <v>20</v>
      </c>
      <c r="O2765" s="0" t="n">
        <v>55</v>
      </c>
      <c r="P2765" s="0" t="s">
        <v>2444</v>
      </c>
    </row>
    <row r="2766" customFormat="false" ht="15" hidden="false" customHeight="true" outlineLevel="0" collapsed="false">
      <c r="A2766" s="0" t="n">
        <v>2</v>
      </c>
      <c r="B2766" s="71" t="n">
        <v>46206</v>
      </c>
      <c r="C2766" s="0" t="n">
        <v>2</v>
      </c>
      <c r="D2766" s="0" t="s">
        <v>2533</v>
      </c>
      <c r="E2766" s="0" t="n">
        <v>48</v>
      </c>
      <c r="F2766" s="0" t="s">
        <v>153</v>
      </c>
      <c r="I2766" s="0" t="n">
        <v>372026</v>
      </c>
      <c r="J2766" s="0" t="n">
        <v>100115</v>
      </c>
      <c r="K2766" s="0" t="n">
        <v>116</v>
      </c>
      <c r="L2766" s="0" t="s">
        <v>2694</v>
      </c>
      <c r="N2766" s="0" t="n">
        <v>10</v>
      </c>
      <c r="O2766" s="0" t="n">
        <v>53.3</v>
      </c>
      <c r="P2766" s="0" t="s">
        <v>2444</v>
      </c>
    </row>
    <row r="2767" customFormat="false" ht="15" hidden="false" customHeight="true" outlineLevel="0" collapsed="false">
      <c r="A2767" s="0" t="n">
        <v>2</v>
      </c>
      <c r="B2767" s="71" t="n">
        <v>46206</v>
      </c>
      <c r="C2767" s="0" t="n">
        <v>2</v>
      </c>
      <c r="D2767" s="0" t="s">
        <v>2533</v>
      </c>
      <c r="E2767" s="0" t="n">
        <v>48</v>
      </c>
      <c r="F2767" s="0" t="s">
        <v>153</v>
      </c>
      <c r="I2767" s="0" t="n">
        <v>372026</v>
      </c>
      <c r="J2767" s="0" t="n">
        <v>100116</v>
      </c>
      <c r="K2767" s="0" t="n">
        <v>117</v>
      </c>
      <c r="L2767" s="0" t="s">
        <v>2540</v>
      </c>
      <c r="N2767" s="0" t="n">
        <v>2</v>
      </c>
      <c r="O2767" s="0" t="n">
        <v>16</v>
      </c>
      <c r="P2767" s="0" t="s">
        <v>2444</v>
      </c>
    </row>
    <row r="2768" customFormat="false" ht="15" hidden="false" customHeight="true" outlineLevel="0" collapsed="false">
      <c r="A2768" s="0" t="n">
        <v>2</v>
      </c>
      <c r="B2768" s="71" t="n">
        <v>46206</v>
      </c>
      <c r="C2768" s="0" t="n">
        <v>2</v>
      </c>
      <c r="D2768" s="0" t="s">
        <v>2533</v>
      </c>
      <c r="E2768" s="0" t="n">
        <v>48</v>
      </c>
      <c r="F2768" s="0" t="s">
        <v>153</v>
      </c>
      <c r="I2768" s="0" t="n">
        <v>372026</v>
      </c>
      <c r="J2768" s="0" t="n">
        <v>100118</v>
      </c>
      <c r="K2768" s="0" t="n">
        <v>119</v>
      </c>
      <c r="L2768" s="0" t="s">
        <v>2541</v>
      </c>
      <c r="N2768" s="0" t="n">
        <v>6</v>
      </c>
      <c r="O2768" s="0" t="n">
        <v>18</v>
      </c>
      <c r="P2768" s="0" t="s">
        <v>2444</v>
      </c>
    </row>
    <row r="2769" customFormat="false" ht="15" hidden="false" customHeight="true" outlineLevel="0" collapsed="false">
      <c r="A2769" s="0" t="n">
        <v>2</v>
      </c>
      <c r="B2769" s="71" t="n">
        <v>46206</v>
      </c>
      <c r="C2769" s="0" t="n">
        <v>2</v>
      </c>
      <c r="D2769" s="0" t="s">
        <v>2533</v>
      </c>
      <c r="E2769" s="0" t="n">
        <v>48</v>
      </c>
      <c r="F2769" s="0" t="s">
        <v>153</v>
      </c>
      <c r="I2769" s="0" t="n">
        <v>372026</v>
      </c>
      <c r="J2769" s="0" t="n">
        <v>100121</v>
      </c>
      <c r="K2769" s="0" t="n">
        <v>122</v>
      </c>
      <c r="L2769" s="0" t="s">
        <v>2542</v>
      </c>
      <c r="N2769" s="0" t="n">
        <v>3</v>
      </c>
      <c r="O2769" s="0" t="n">
        <v>75</v>
      </c>
      <c r="P2769" s="0" t="s">
        <v>2444</v>
      </c>
    </row>
    <row r="2770" customFormat="false" ht="15" hidden="false" customHeight="true" outlineLevel="0" collapsed="false">
      <c r="A2770" s="0" t="n">
        <v>2</v>
      </c>
      <c r="B2770" s="71" t="n">
        <v>46206</v>
      </c>
      <c r="C2770" s="0" t="n">
        <v>2</v>
      </c>
      <c r="D2770" s="0" t="s">
        <v>2533</v>
      </c>
      <c r="E2770" s="0" t="n">
        <v>48</v>
      </c>
      <c r="F2770" s="0" t="s">
        <v>153</v>
      </c>
      <c r="I2770" s="0" t="n">
        <v>372026</v>
      </c>
      <c r="J2770" s="0" t="n">
        <v>100122</v>
      </c>
      <c r="K2770" s="0" t="n">
        <v>123</v>
      </c>
      <c r="L2770" s="0" t="s">
        <v>2543</v>
      </c>
      <c r="N2770" s="0" t="n">
        <v>3</v>
      </c>
      <c r="O2770" s="0" t="n">
        <v>36</v>
      </c>
      <c r="P2770" s="0" t="s">
        <v>2444</v>
      </c>
    </row>
    <row r="2771" customFormat="false" ht="15" hidden="false" customHeight="true" outlineLevel="0" collapsed="false">
      <c r="A2771" s="0" t="n">
        <v>2</v>
      </c>
      <c r="B2771" s="71" t="n">
        <v>46206</v>
      </c>
      <c r="C2771" s="0" t="n">
        <v>2</v>
      </c>
      <c r="D2771" s="0" t="s">
        <v>2533</v>
      </c>
      <c r="E2771" s="0" t="n">
        <v>48</v>
      </c>
      <c r="F2771" s="0" t="s">
        <v>153</v>
      </c>
      <c r="I2771" s="0" t="n">
        <v>372026</v>
      </c>
      <c r="J2771" s="0" t="n">
        <v>100130</v>
      </c>
      <c r="K2771" s="0" t="n">
        <v>131</v>
      </c>
      <c r="L2771" s="0" t="s">
        <v>2545</v>
      </c>
      <c r="N2771" s="0" t="n">
        <v>5</v>
      </c>
      <c r="O2771" s="0" t="n">
        <v>30</v>
      </c>
      <c r="P2771" s="0" t="s">
        <v>2444</v>
      </c>
    </row>
    <row r="2772" customFormat="false" ht="15" hidden="false" customHeight="true" outlineLevel="0" collapsed="false">
      <c r="A2772" s="0" t="n">
        <v>2</v>
      </c>
      <c r="B2772" s="71" t="n">
        <v>46206</v>
      </c>
      <c r="C2772" s="0" t="n">
        <v>2</v>
      </c>
      <c r="D2772" s="0" t="s">
        <v>2533</v>
      </c>
      <c r="E2772" s="0" t="n">
        <v>48</v>
      </c>
      <c r="F2772" s="0" t="s">
        <v>153</v>
      </c>
      <c r="I2772" s="0" t="n">
        <v>372026</v>
      </c>
      <c r="J2772" s="0" t="n">
        <v>100133</v>
      </c>
      <c r="K2772" s="0" t="n">
        <v>134</v>
      </c>
      <c r="L2772" s="0" t="s">
        <v>2547</v>
      </c>
      <c r="N2772" s="0" t="n">
        <v>15</v>
      </c>
      <c r="O2772" s="0" t="n">
        <v>60</v>
      </c>
      <c r="P2772" s="0" t="s">
        <v>2444</v>
      </c>
    </row>
    <row r="2773" customFormat="false" ht="15" hidden="false" customHeight="true" outlineLevel="0" collapsed="false">
      <c r="A2773" s="0" t="n">
        <v>2</v>
      </c>
      <c r="B2773" s="71" t="n">
        <v>46206</v>
      </c>
      <c r="C2773" s="0" t="n">
        <v>2</v>
      </c>
      <c r="D2773" s="0" t="s">
        <v>2533</v>
      </c>
      <c r="E2773" s="0" t="n">
        <v>48</v>
      </c>
      <c r="F2773" s="0" t="s">
        <v>153</v>
      </c>
      <c r="I2773" s="0" t="n">
        <v>372026</v>
      </c>
      <c r="J2773" s="0" t="n">
        <v>100148</v>
      </c>
      <c r="K2773" s="0" t="n">
        <v>149</v>
      </c>
      <c r="L2773" s="0" t="s">
        <v>2600</v>
      </c>
      <c r="N2773" s="0" t="n">
        <v>13</v>
      </c>
      <c r="O2773" s="0" t="n">
        <v>115.44</v>
      </c>
      <c r="P2773" s="0" t="s">
        <v>2444</v>
      </c>
    </row>
    <row r="2774" customFormat="false" ht="15" hidden="false" customHeight="true" outlineLevel="0" collapsed="false">
      <c r="A2774" s="0" t="n">
        <v>2</v>
      </c>
      <c r="B2774" s="71" t="n">
        <v>46206</v>
      </c>
      <c r="C2774" s="0" t="n">
        <v>2</v>
      </c>
      <c r="D2774" s="0" t="s">
        <v>2533</v>
      </c>
      <c r="E2774" s="0" t="n">
        <v>48</v>
      </c>
      <c r="F2774" s="0" t="s">
        <v>153</v>
      </c>
      <c r="I2774" s="0" t="n">
        <v>372026</v>
      </c>
      <c r="J2774" s="0" t="n">
        <v>110142</v>
      </c>
      <c r="K2774" s="0" t="n">
        <v>16699</v>
      </c>
      <c r="L2774" s="0" t="s">
        <v>2549</v>
      </c>
      <c r="N2774" s="0" t="n">
        <v>20</v>
      </c>
      <c r="O2774" s="0" t="n">
        <v>125</v>
      </c>
      <c r="P2774" s="0" t="s">
        <v>2444</v>
      </c>
    </row>
    <row r="2775" customFormat="false" ht="15" hidden="false" customHeight="true" outlineLevel="0" collapsed="false">
      <c r="A2775" s="0" t="n">
        <v>2</v>
      </c>
      <c r="B2775" s="71" t="n">
        <v>46206</v>
      </c>
      <c r="C2775" s="0" t="n">
        <v>2</v>
      </c>
      <c r="D2775" s="0" t="s">
        <v>2533</v>
      </c>
      <c r="E2775" s="0" t="n">
        <v>48</v>
      </c>
      <c r="F2775" s="0" t="s">
        <v>153</v>
      </c>
      <c r="I2775" s="0" t="n">
        <v>372026</v>
      </c>
      <c r="J2775" s="0" t="n">
        <v>110489</v>
      </c>
      <c r="K2775" s="0" t="n">
        <v>54743</v>
      </c>
      <c r="L2775" s="0" t="s">
        <v>2550</v>
      </c>
      <c r="N2775" s="0" t="n">
        <v>40</v>
      </c>
      <c r="O2775" s="0" t="n">
        <v>240</v>
      </c>
      <c r="P2775" s="0" t="s">
        <v>2444</v>
      </c>
    </row>
    <row r="2776" customFormat="false" ht="15" hidden="false" customHeight="true" outlineLevel="0" collapsed="false">
      <c r="A2776" s="0" t="n">
        <v>2</v>
      </c>
      <c r="B2776" s="71" t="n">
        <v>46206</v>
      </c>
      <c r="C2776" s="0" t="n">
        <v>2</v>
      </c>
      <c r="D2776" s="0" t="s">
        <v>2533</v>
      </c>
      <c r="E2776" s="0" t="n">
        <v>48</v>
      </c>
      <c r="F2776" s="0" t="s">
        <v>153</v>
      </c>
      <c r="I2776" s="0" t="n">
        <v>372026</v>
      </c>
      <c r="J2776" s="0" t="n">
        <v>80078</v>
      </c>
      <c r="K2776" s="0" t="n">
        <v>710</v>
      </c>
      <c r="L2776" s="0" t="s">
        <v>2551</v>
      </c>
      <c r="N2776" s="0" t="n">
        <v>15</v>
      </c>
      <c r="O2776" s="0" t="n">
        <v>45</v>
      </c>
      <c r="P2776" s="0" t="s">
        <v>2444</v>
      </c>
    </row>
    <row r="2777" customFormat="false" ht="15" hidden="false" customHeight="true" outlineLevel="0" collapsed="false">
      <c r="A2777" s="0" t="n">
        <v>2</v>
      </c>
      <c r="B2777" s="71" t="n">
        <v>46206</v>
      </c>
      <c r="C2777" s="0" t="n">
        <v>6</v>
      </c>
      <c r="D2777" s="0" t="s">
        <v>2553</v>
      </c>
      <c r="E2777" s="0" t="n">
        <v>48</v>
      </c>
      <c r="F2777" s="0" t="s">
        <v>153</v>
      </c>
      <c r="I2777" s="0" t="n">
        <v>2521</v>
      </c>
      <c r="J2777" s="0" t="n">
        <v>42564</v>
      </c>
      <c r="K2777" s="0" t="n">
        <v>574</v>
      </c>
      <c r="L2777" s="0" t="s">
        <v>2534</v>
      </c>
      <c r="N2777" s="0" t="n">
        <v>20</v>
      </c>
      <c r="O2777" s="0" t="n">
        <v>280</v>
      </c>
      <c r="P2777" s="0" t="s">
        <v>2444</v>
      </c>
    </row>
    <row r="2778" customFormat="false" ht="15" hidden="false" customHeight="true" outlineLevel="0" collapsed="false">
      <c r="A2778" s="0" t="n">
        <v>2</v>
      </c>
      <c r="B2778" s="71" t="n">
        <v>46206</v>
      </c>
      <c r="C2778" s="0" t="n">
        <v>6</v>
      </c>
      <c r="D2778" s="0" t="s">
        <v>2553</v>
      </c>
      <c r="E2778" s="0" t="n">
        <v>48</v>
      </c>
      <c r="F2778" s="0" t="s">
        <v>153</v>
      </c>
      <c r="I2778" s="0" t="n">
        <v>2522</v>
      </c>
      <c r="J2778" s="0" t="n">
        <v>100062</v>
      </c>
      <c r="K2778" s="0" t="n">
        <v>63</v>
      </c>
      <c r="L2778" s="0" t="s">
        <v>2535</v>
      </c>
      <c r="N2778" s="0" t="n">
        <v>13</v>
      </c>
      <c r="O2778" s="0" t="n">
        <v>93.86</v>
      </c>
      <c r="P2778" s="0" t="s">
        <v>2444</v>
      </c>
    </row>
    <row r="2779" customFormat="false" ht="15" hidden="false" customHeight="true" outlineLevel="0" collapsed="false">
      <c r="A2779" s="0" t="n">
        <v>2</v>
      </c>
      <c r="B2779" s="71" t="n">
        <v>46206</v>
      </c>
      <c r="C2779" s="0" t="n">
        <v>6</v>
      </c>
      <c r="D2779" s="0" t="s">
        <v>2553</v>
      </c>
      <c r="E2779" s="0" t="n">
        <v>48</v>
      </c>
      <c r="F2779" s="0" t="s">
        <v>153</v>
      </c>
      <c r="I2779" s="0" t="n">
        <v>2522</v>
      </c>
      <c r="J2779" s="0" t="n">
        <v>100109</v>
      </c>
      <c r="K2779" s="0" t="n">
        <v>110</v>
      </c>
      <c r="L2779" s="0" t="s">
        <v>2537</v>
      </c>
      <c r="N2779" s="0" t="n">
        <v>20</v>
      </c>
      <c r="O2779" s="0" t="n">
        <v>120</v>
      </c>
      <c r="P2779" s="0" t="s">
        <v>2444</v>
      </c>
    </row>
    <row r="2780" customFormat="false" ht="15" hidden="false" customHeight="true" outlineLevel="0" collapsed="false">
      <c r="A2780" s="0" t="n">
        <v>2</v>
      </c>
      <c r="B2780" s="71" t="n">
        <v>46206</v>
      </c>
      <c r="C2780" s="0" t="n">
        <v>6</v>
      </c>
      <c r="D2780" s="0" t="s">
        <v>2553</v>
      </c>
      <c r="E2780" s="0" t="n">
        <v>48</v>
      </c>
      <c r="F2780" s="0" t="s">
        <v>153</v>
      </c>
      <c r="I2780" s="0" t="n">
        <v>2522</v>
      </c>
      <c r="J2780" s="0" t="n">
        <v>100113</v>
      </c>
      <c r="K2780" s="0" t="n">
        <v>114</v>
      </c>
      <c r="L2780" s="0" t="s">
        <v>2539</v>
      </c>
      <c r="N2780" s="0" t="n">
        <v>20</v>
      </c>
      <c r="O2780" s="0" t="n">
        <v>55</v>
      </c>
      <c r="P2780" s="0" t="s">
        <v>2444</v>
      </c>
    </row>
    <row r="2781" customFormat="false" ht="15" hidden="false" customHeight="true" outlineLevel="0" collapsed="false">
      <c r="A2781" s="0" t="n">
        <v>2</v>
      </c>
      <c r="B2781" s="71" t="n">
        <v>46206</v>
      </c>
      <c r="C2781" s="0" t="n">
        <v>6</v>
      </c>
      <c r="D2781" s="0" t="s">
        <v>2553</v>
      </c>
      <c r="E2781" s="0" t="n">
        <v>48</v>
      </c>
      <c r="F2781" s="0" t="s">
        <v>153</v>
      </c>
      <c r="I2781" s="0" t="n">
        <v>2522</v>
      </c>
      <c r="J2781" s="0" t="n">
        <v>100115</v>
      </c>
      <c r="K2781" s="0" t="n">
        <v>116</v>
      </c>
      <c r="L2781" s="0" t="s">
        <v>2694</v>
      </c>
      <c r="N2781" s="0" t="n">
        <v>10</v>
      </c>
      <c r="O2781" s="0" t="n">
        <v>53.3</v>
      </c>
      <c r="P2781" s="0" t="s">
        <v>2444</v>
      </c>
    </row>
    <row r="2782" customFormat="false" ht="15" hidden="false" customHeight="true" outlineLevel="0" collapsed="false">
      <c r="A2782" s="0" t="n">
        <v>2</v>
      </c>
      <c r="B2782" s="71" t="n">
        <v>46206</v>
      </c>
      <c r="C2782" s="0" t="n">
        <v>6</v>
      </c>
      <c r="D2782" s="0" t="s">
        <v>2553</v>
      </c>
      <c r="E2782" s="0" t="n">
        <v>48</v>
      </c>
      <c r="F2782" s="0" t="s">
        <v>153</v>
      </c>
      <c r="I2782" s="0" t="n">
        <v>2522</v>
      </c>
      <c r="J2782" s="0" t="n">
        <v>100116</v>
      </c>
      <c r="K2782" s="0" t="n">
        <v>117</v>
      </c>
      <c r="L2782" s="0" t="s">
        <v>2540</v>
      </c>
      <c r="N2782" s="0" t="n">
        <v>2</v>
      </c>
      <c r="O2782" s="0" t="n">
        <v>16</v>
      </c>
      <c r="P2782" s="0" t="s">
        <v>2444</v>
      </c>
    </row>
    <row r="2783" customFormat="false" ht="15" hidden="false" customHeight="true" outlineLevel="0" collapsed="false">
      <c r="A2783" s="0" t="n">
        <v>2</v>
      </c>
      <c r="B2783" s="71" t="n">
        <v>46206</v>
      </c>
      <c r="C2783" s="0" t="n">
        <v>6</v>
      </c>
      <c r="D2783" s="0" t="s">
        <v>2553</v>
      </c>
      <c r="E2783" s="0" t="n">
        <v>48</v>
      </c>
      <c r="F2783" s="0" t="s">
        <v>153</v>
      </c>
      <c r="I2783" s="0" t="n">
        <v>2522</v>
      </c>
      <c r="J2783" s="0" t="n">
        <v>100118</v>
      </c>
      <c r="K2783" s="0" t="n">
        <v>119</v>
      </c>
      <c r="L2783" s="0" t="s">
        <v>2541</v>
      </c>
      <c r="N2783" s="0" t="n">
        <v>6</v>
      </c>
      <c r="O2783" s="0" t="n">
        <v>18</v>
      </c>
      <c r="P2783" s="0" t="s">
        <v>2444</v>
      </c>
    </row>
    <row r="2784" customFormat="false" ht="15" hidden="false" customHeight="true" outlineLevel="0" collapsed="false">
      <c r="A2784" s="0" t="n">
        <v>2</v>
      </c>
      <c r="B2784" s="71" t="n">
        <v>46206</v>
      </c>
      <c r="C2784" s="0" t="n">
        <v>6</v>
      </c>
      <c r="D2784" s="0" t="s">
        <v>2553</v>
      </c>
      <c r="E2784" s="0" t="n">
        <v>48</v>
      </c>
      <c r="F2784" s="0" t="s">
        <v>153</v>
      </c>
      <c r="I2784" s="0" t="n">
        <v>2522</v>
      </c>
      <c r="J2784" s="0" t="n">
        <v>100121</v>
      </c>
      <c r="K2784" s="0" t="n">
        <v>122</v>
      </c>
      <c r="L2784" s="0" t="s">
        <v>2542</v>
      </c>
      <c r="N2784" s="0" t="n">
        <v>3</v>
      </c>
      <c r="O2784" s="0" t="n">
        <v>75</v>
      </c>
      <c r="P2784" s="0" t="s">
        <v>2444</v>
      </c>
    </row>
    <row r="2785" customFormat="false" ht="15" hidden="false" customHeight="true" outlineLevel="0" collapsed="false">
      <c r="A2785" s="0" t="n">
        <v>2</v>
      </c>
      <c r="B2785" s="71" t="n">
        <v>46206</v>
      </c>
      <c r="C2785" s="0" t="n">
        <v>6</v>
      </c>
      <c r="D2785" s="0" t="s">
        <v>2553</v>
      </c>
      <c r="E2785" s="0" t="n">
        <v>48</v>
      </c>
      <c r="F2785" s="0" t="s">
        <v>153</v>
      </c>
      <c r="I2785" s="0" t="n">
        <v>2522</v>
      </c>
      <c r="J2785" s="0" t="n">
        <v>100122</v>
      </c>
      <c r="K2785" s="0" t="n">
        <v>123</v>
      </c>
      <c r="L2785" s="0" t="s">
        <v>2543</v>
      </c>
      <c r="N2785" s="0" t="n">
        <v>3</v>
      </c>
      <c r="O2785" s="0" t="n">
        <v>36</v>
      </c>
      <c r="P2785" s="0" t="s">
        <v>2444</v>
      </c>
    </row>
    <row r="2786" customFormat="false" ht="15" hidden="false" customHeight="true" outlineLevel="0" collapsed="false">
      <c r="A2786" s="0" t="n">
        <v>2</v>
      </c>
      <c r="B2786" s="71" t="n">
        <v>46206</v>
      </c>
      <c r="C2786" s="0" t="n">
        <v>6</v>
      </c>
      <c r="D2786" s="0" t="s">
        <v>2553</v>
      </c>
      <c r="E2786" s="0" t="n">
        <v>48</v>
      </c>
      <c r="F2786" s="0" t="s">
        <v>153</v>
      </c>
      <c r="I2786" s="0" t="n">
        <v>2522</v>
      </c>
      <c r="J2786" s="0" t="n">
        <v>100130</v>
      </c>
      <c r="K2786" s="0" t="n">
        <v>131</v>
      </c>
      <c r="L2786" s="0" t="s">
        <v>2545</v>
      </c>
      <c r="N2786" s="0" t="n">
        <v>5</v>
      </c>
      <c r="O2786" s="0" t="n">
        <v>30</v>
      </c>
      <c r="P2786" s="0" t="s">
        <v>2444</v>
      </c>
    </row>
    <row r="2787" customFormat="false" ht="15" hidden="false" customHeight="true" outlineLevel="0" collapsed="false">
      <c r="A2787" s="0" t="n">
        <v>2</v>
      </c>
      <c r="B2787" s="71" t="n">
        <v>46206</v>
      </c>
      <c r="C2787" s="0" t="n">
        <v>6</v>
      </c>
      <c r="D2787" s="0" t="s">
        <v>2553</v>
      </c>
      <c r="E2787" s="0" t="n">
        <v>48</v>
      </c>
      <c r="F2787" s="0" t="s">
        <v>153</v>
      </c>
      <c r="I2787" s="0" t="n">
        <v>2522</v>
      </c>
      <c r="J2787" s="0" t="n">
        <v>100133</v>
      </c>
      <c r="K2787" s="0" t="n">
        <v>134</v>
      </c>
      <c r="L2787" s="0" t="s">
        <v>2547</v>
      </c>
      <c r="N2787" s="0" t="n">
        <v>15</v>
      </c>
      <c r="O2787" s="0" t="n">
        <v>60</v>
      </c>
      <c r="P2787" s="0" t="s">
        <v>2444</v>
      </c>
    </row>
    <row r="2788" customFormat="false" ht="15" hidden="false" customHeight="true" outlineLevel="0" collapsed="false">
      <c r="A2788" s="0" t="n">
        <v>2</v>
      </c>
      <c r="B2788" s="71" t="n">
        <v>46206</v>
      </c>
      <c r="C2788" s="0" t="n">
        <v>6</v>
      </c>
      <c r="D2788" s="0" t="s">
        <v>2553</v>
      </c>
      <c r="E2788" s="0" t="n">
        <v>48</v>
      </c>
      <c r="F2788" s="0" t="s">
        <v>153</v>
      </c>
      <c r="I2788" s="0" t="n">
        <v>2522</v>
      </c>
      <c r="J2788" s="0" t="n">
        <v>100148</v>
      </c>
      <c r="K2788" s="0" t="n">
        <v>149</v>
      </c>
      <c r="L2788" s="0" t="s">
        <v>2600</v>
      </c>
      <c r="N2788" s="0" t="n">
        <v>13</v>
      </c>
      <c r="O2788" s="0" t="n">
        <v>115.44</v>
      </c>
      <c r="P2788" s="0" t="s">
        <v>2444</v>
      </c>
    </row>
    <row r="2789" customFormat="false" ht="15" hidden="false" customHeight="true" outlineLevel="0" collapsed="false">
      <c r="A2789" s="0" t="n">
        <v>2</v>
      </c>
      <c r="B2789" s="71" t="n">
        <v>46206</v>
      </c>
      <c r="C2789" s="0" t="n">
        <v>6</v>
      </c>
      <c r="D2789" s="0" t="s">
        <v>2553</v>
      </c>
      <c r="E2789" s="0" t="n">
        <v>48</v>
      </c>
      <c r="F2789" s="0" t="s">
        <v>153</v>
      </c>
      <c r="I2789" s="0" t="n">
        <v>2522</v>
      </c>
      <c r="J2789" s="0" t="n">
        <v>110142</v>
      </c>
      <c r="K2789" s="0" t="n">
        <v>16699</v>
      </c>
      <c r="L2789" s="0" t="s">
        <v>2549</v>
      </c>
      <c r="N2789" s="0" t="n">
        <v>20</v>
      </c>
      <c r="O2789" s="0" t="n">
        <v>125</v>
      </c>
      <c r="P2789" s="0" t="s">
        <v>2444</v>
      </c>
    </row>
    <row r="2790" customFormat="false" ht="15" hidden="false" customHeight="true" outlineLevel="0" collapsed="false">
      <c r="A2790" s="0" t="n">
        <v>2</v>
      </c>
      <c r="B2790" s="71" t="n">
        <v>46206</v>
      </c>
      <c r="C2790" s="0" t="n">
        <v>6</v>
      </c>
      <c r="D2790" s="0" t="s">
        <v>2553</v>
      </c>
      <c r="E2790" s="0" t="n">
        <v>48</v>
      </c>
      <c r="F2790" s="0" t="s">
        <v>153</v>
      </c>
      <c r="I2790" s="0" t="n">
        <v>2522</v>
      </c>
      <c r="J2790" s="0" t="n">
        <v>110489</v>
      </c>
      <c r="K2790" s="0" t="n">
        <v>54743</v>
      </c>
      <c r="L2790" s="0" t="s">
        <v>2550</v>
      </c>
      <c r="N2790" s="0" t="n">
        <v>40</v>
      </c>
      <c r="O2790" s="0" t="n">
        <v>240</v>
      </c>
      <c r="P2790" s="0" t="s">
        <v>2444</v>
      </c>
    </row>
    <row r="2791" customFormat="false" ht="15" hidden="false" customHeight="true" outlineLevel="0" collapsed="false">
      <c r="A2791" s="0" t="n">
        <v>2</v>
      </c>
      <c r="B2791" s="71" t="n">
        <v>46206</v>
      </c>
      <c r="C2791" s="0" t="n">
        <v>6</v>
      </c>
      <c r="D2791" s="0" t="s">
        <v>2553</v>
      </c>
      <c r="E2791" s="0" t="n">
        <v>48</v>
      </c>
      <c r="F2791" s="0" t="s">
        <v>153</v>
      </c>
      <c r="I2791" s="0" t="n">
        <v>2522</v>
      </c>
      <c r="J2791" s="0" t="n">
        <v>80078</v>
      </c>
      <c r="K2791" s="0" t="n">
        <v>710</v>
      </c>
      <c r="L2791" s="0" t="s">
        <v>2551</v>
      </c>
      <c r="N2791" s="0" t="n">
        <v>15</v>
      </c>
      <c r="O2791" s="0" t="n">
        <v>45</v>
      </c>
      <c r="P2791" s="0" t="s">
        <v>2444</v>
      </c>
    </row>
    <row r="2792" customFormat="false" ht="15" hidden="false" customHeight="true" outlineLevel="0" collapsed="false">
      <c r="A2792" s="0" t="n">
        <v>2</v>
      </c>
      <c r="B2792" s="71" t="n">
        <v>46207</v>
      </c>
      <c r="C2792" s="0" t="n">
        <v>1</v>
      </c>
      <c r="D2792" s="0" t="s">
        <v>2442</v>
      </c>
      <c r="E2792" s="0" t="n">
        <v>642</v>
      </c>
      <c r="F2792" s="0" t="s">
        <v>123</v>
      </c>
      <c r="I2792" s="0" t="n">
        <v>520</v>
      </c>
      <c r="J2792" s="0" t="n">
        <v>71766</v>
      </c>
      <c r="K2792" s="0" t="n">
        <v>779180</v>
      </c>
      <c r="L2792" s="0" t="s">
        <v>2501</v>
      </c>
      <c r="N2792" s="0" t="n">
        <v>20</v>
      </c>
      <c r="O2792" s="0" t="n">
        <v>240</v>
      </c>
      <c r="P2792" s="0" t="s">
        <v>2444</v>
      </c>
    </row>
    <row r="2793" customFormat="false" ht="15" hidden="false" customHeight="true" outlineLevel="0" collapsed="false">
      <c r="A2793" s="0" t="n">
        <v>2</v>
      </c>
      <c r="B2793" s="71" t="n">
        <v>46207</v>
      </c>
      <c r="C2793" s="0" t="n">
        <v>1</v>
      </c>
      <c r="D2793" s="0" t="s">
        <v>2442</v>
      </c>
      <c r="E2793" s="0" t="n">
        <v>1899</v>
      </c>
      <c r="F2793" s="0" t="s">
        <v>204</v>
      </c>
      <c r="I2793" s="0" t="n">
        <v>698</v>
      </c>
      <c r="J2793" s="0" t="n">
        <v>44588</v>
      </c>
      <c r="K2793" s="0" t="n">
        <v>7898904331091</v>
      </c>
      <c r="L2793" s="0" t="s">
        <v>2443</v>
      </c>
      <c r="N2793" s="0" t="n">
        <v>15</v>
      </c>
      <c r="O2793" s="0" t="n">
        <v>74.85</v>
      </c>
      <c r="P2793" s="0" t="s">
        <v>2444</v>
      </c>
    </row>
    <row r="2794" customFormat="false" ht="15" hidden="false" customHeight="true" outlineLevel="0" collapsed="false">
      <c r="A2794" s="0" t="n">
        <v>2</v>
      </c>
      <c r="B2794" s="71" t="n">
        <v>46207</v>
      </c>
      <c r="C2794" s="0" t="n">
        <v>1</v>
      </c>
      <c r="D2794" s="0" t="s">
        <v>2442</v>
      </c>
      <c r="E2794" s="0" t="n">
        <v>1899</v>
      </c>
      <c r="F2794" s="0" t="s">
        <v>204</v>
      </c>
      <c r="I2794" s="0" t="n">
        <v>698</v>
      </c>
      <c r="J2794" s="0" t="n">
        <v>77463</v>
      </c>
      <c r="K2794" s="0" t="n">
        <v>774642</v>
      </c>
      <c r="L2794" s="0" t="s">
        <v>2445</v>
      </c>
      <c r="N2794" s="0" t="n">
        <v>30</v>
      </c>
      <c r="O2794" s="0" t="n">
        <v>135</v>
      </c>
      <c r="P2794" s="0" t="s">
        <v>2444</v>
      </c>
    </row>
    <row r="2795" customFormat="false" ht="15" hidden="false" customHeight="true" outlineLevel="0" collapsed="false">
      <c r="A2795" s="0" t="n">
        <v>2</v>
      </c>
      <c r="B2795" s="71" t="n">
        <v>46207</v>
      </c>
      <c r="C2795" s="0" t="n">
        <v>1</v>
      </c>
      <c r="D2795" s="0" t="s">
        <v>2442</v>
      </c>
      <c r="E2795" s="0" t="n">
        <v>1899</v>
      </c>
      <c r="F2795" s="0" t="s">
        <v>204</v>
      </c>
      <c r="I2795" s="0" t="n">
        <v>698</v>
      </c>
      <c r="J2795" s="0" t="n">
        <v>77465</v>
      </c>
      <c r="K2795" s="0" t="n">
        <v>774666</v>
      </c>
      <c r="L2795" s="0" t="s">
        <v>2446</v>
      </c>
      <c r="N2795" s="0" t="n">
        <v>15</v>
      </c>
      <c r="O2795" s="0" t="n">
        <v>74.85</v>
      </c>
      <c r="P2795" s="0" t="s">
        <v>2444</v>
      </c>
    </row>
    <row r="2796" customFormat="false" ht="15" hidden="false" customHeight="true" outlineLevel="0" collapsed="false">
      <c r="A2796" s="0" t="n">
        <v>2</v>
      </c>
      <c r="B2796" s="71" t="n">
        <v>46207</v>
      </c>
      <c r="C2796" s="0" t="n">
        <v>1</v>
      </c>
      <c r="D2796" s="0" t="s">
        <v>2442</v>
      </c>
      <c r="E2796" s="0" t="n">
        <v>1899</v>
      </c>
      <c r="F2796" s="0" t="s">
        <v>204</v>
      </c>
      <c r="I2796" s="0" t="n">
        <v>698</v>
      </c>
      <c r="J2796" s="0" t="n">
        <v>77903</v>
      </c>
      <c r="K2796" s="0" t="n">
        <v>779043</v>
      </c>
      <c r="L2796" s="0" t="s">
        <v>2945</v>
      </c>
      <c r="N2796" s="0" t="n">
        <v>5</v>
      </c>
      <c r="O2796" s="0" t="n">
        <v>22.5</v>
      </c>
      <c r="P2796" s="0" t="s">
        <v>2444</v>
      </c>
    </row>
    <row r="2797" customFormat="false" ht="15" hidden="false" customHeight="true" outlineLevel="0" collapsed="false">
      <c r="A2797" s="0" t="n">
        <v>2</v>
      </c>
      <c r="B2797" s="71" t="n">
        <v>46207</v>
      </c>
      <c r="C2797" s="0" t="n">
        <v>1</v>
      </c>
      <c r="D2797" s="0" t="s">
        <v>2442</v>
      </c>
      <c r="E2797" s="0" t="n">
        <v>1899</v>
      </c>
      <c r="F2797" s="0" t="s">
        <v>204</v>
      </c>
      <c r="I2797" s="0" t="n">
        <v>698</v>
      </c>
      <c r="J2797" s="0" t="n">
        <v>78013</v>
      </c>
      <c r="K2797" s="0" t="n">
        <v>780148</v>
      </c>
      <c r="L2797" s="0" t="s">
        <v>2584</v>
      </c>
      <c r="N2797" s="0" t="n">
        <v>5</v>
      </c>
      <c r="O2797" s="0" t="n">
        <v>22.5</v>
      </c>
      <c r="P2797" s="0" t="s">
        <v>2444</v>
      </c>
    </row>
    <row r="2798" customFormat="false" ht="15" hidden="false" customHeight="true" outlineLevel="0" collapsed="false">
      <c r="A2798" s="0" t="n">
        <v>2</v>
      </c>
      <c r="B2798" s="71" t="n">
        <v>46207</v>
      </c>
      <c r="C2798" s="0" t="n">
        <v>1</v>
      </c>
      <c r="D2798" s="0" t="s">
        <v>2442</v>
      </c>
      <c r="E2798" s="0" t="n">
        <v>1899</v>
      </c>
      <c r="F2798" s="0" t="s">
        <v>204</v>
      </c>
      <c r="I2798" s="0" t="n">
        <v>698</v>
      </c>
      <c r="J2798" s="0" t="n">
        <v>78015</v>
      </c>
      <c r="K2798" s="0" t="n">
        <v>780162</v>
      </c>
      <c r="L2798" s="0" t="s">
        <v>2447</v>
      </c>
      <c r="N2798" s="0" t="n">
        <v>10</v>
      </c>
      <c r="O2798" s="0" t="n">
        <v>49.9</v>
      </c>
      <c r="P2798" s="0" t="s">
        <v>2444</v>
      </c>
    </row>
    <row r="2799" customFormat="false" ht="15" hidden="false" customHeight="true" outlineLevel="0" collapsed="false">
      <c r="A2799" s="0" t="n">
        <v>2</v>
      </c>
      <c r="B2799" s="71" t="n">
        <v>46207</v>
      </c>
      <c r="C2799" s="0" t="n">
        <v>1</v>
      </c>
      <c r="D2799" s="0" t="s">
        <v>2442</v>
      </c>
      <c r="E2799" s="0" t="n">
        <v>1625</v>
      </c>
      <c r="F2799" s="0" t="s">
        <v>270</v>
      </c>
      <c r="I2799" s="0" t="n">
        <v>14615</v>
      </c>
      <c r="J2799" s="0" t="n">
        <v>29079</v>
      </c>
      <c r="K2799" s="0" t="n">
        <v>55515</v>
      </c>
      <c r="L2799" s="0" t="s">
        <v>2449</v>
      </c>
      <c r="N2799" s="0" t="n">
        <v>67.6</v>
      </c>
      <c r="O2799" s="0" t="n">
        <v>2224.04</v>
      </c>
      <c r="P2799" s="0" t="s">
        <v>2444</v>
      </c>
    </row>
    <row r="2800" customFormat="false" ht="15" hidden="false" customHeight="true" outlineLevel="0" collapsed="false">
      <c r="A2800" s="0" t="n">
        <v>2</v>
      </c>
      <c r="B2800" s="71" t="n">
        <v>46207</v>
      </c>
      <c r="C2800" s="0" t="n">
        <v>1</v>
      </c>
      <c r="D2800" s="0" t="s">
        <v>2442</v>
      </c>
      <c r="E2800" s="0" t="n">
        <v>1625</v>
      </c>
      <c r="F2800" s="0" t="s">
        <v>270</v>
      </c>
      <c r="I2800" s="0" t="n">
        <v>14615</v>
      </c>
      <c r="J2800" s="0" t="n">
        <v>29080</v>
      </c>
      <c r="K2800" s="0" t="n">
        <v>55516</v>
      </c>
      <c r="L2800" s="0" t="s">
        <v>2450</v>
      </c>
      <c r="N2800" s="0" t="n">
        <v>67.4</v>
      </c>
      <c r="O2800" s="0" t="n">
        <v>1543.46</v>
      </c>
      <c r="P2800" s="0" t="s">
        <v>2444</v>
      </c>
    </row>
    <row r="2801" customFormat="false" ht="15" hidden="false" customHeight="true" outlineLevel="0" collapsed="false">
      <c r="A2801" s="0" t="n">
        <v>2</v>
      </c>
      <c r="B2801" s="71" t="n">
        <v>46207</v>
      </c>
      <c r="C2801" s="0" t="n">
        <v>1</v>
      </c>
      <c r="D2801" s="0" t="s">
        <v>2442</v>
      </c>
      <c r="E2801" s="0" t="n">
        <v>1625</v>
      </c>
      <c r="F2801" s="0" t="s">
        <v>270</v>
      </c>
      <c r="I2801" s="0" t="n">
        <v>14615</v>
      </c>
      <c r="J2801" s="0" t="n">
        <v>77455</v>
      </c>
      <c r="K2801" s="0" t="n">
        <v>774567</v>
      </c>
      <c r="L2801" s="0" t="s">
        <v>2624</v>
      </c>
      <c r="N2801" s="0" t="n">
        <v>20.4</v>
      </c>
      <c r="O2801" s="0" t="n">
        <v>671.16</v>
      </c>
      <c r="P2801" s="0" t="s">
        <v>2444</v>
      </c>
    </row>
    <row r="2802" customFormat="false" ht="15" hidden="false" customHeight="true" outlineLevel="0" collapsed="false">
      <c r="A2802" s="0" t="n">
        <v>2</v>
      </c>
      <c r="B2802" s="71" t="n">
        <v>46207</v>
      </c>
      <c r="C2802" s="0" t="n">
        <v>1</v>
      </c>
      <c r="D2802" s="0" t="s">
        <v>2442</v>
      </c>
      <c r="E2802" s="0" t="n">
        <v>1625</v>
      </c>
      <c r="F2802" s="0" t="s">
        <v>270</v>
      </c>
      <c r="I2802" s="0" t="n">
        <v>14615</v>
      </c>
      <c r="J2802" s="0" t="n">
        <v>77455</v>
      </c>
      <c r="K2802" s="0" t="n">
        <v>774567</v>
      </c>
      <c r="L2802" s="0" t="s">
        <v>2624</v>
      </c>
      <c r="N2802" s="0" t="n">
        <v>20</v>
      </c>
      <c r="O2802" s="0" t="n">
        <v>658</v>
      </c>
      <c r="P2802" s="0" t="s">
        <v>2444</v>
      </c>
    </row>
    <row r="2803" customFormat="false" ht="15" hidden="false" customHeight="true" outlineLevel="0" collapsed="false">
      <c r="A2803" s="0" t="n">
        <v>2</v>
      </c>
      <c r="B2803" s="71" t="n">
        <v>46207</v>
      </c>
      <c r="C2803" s="0" t="n">
        <v>1</v>
      </c>
      <c r="D2803" s="0" t="s">
        <v>2442</v>
      </c>
      <c r="E2803" s="0" t="n">
        <v>1625</v>
      </c>
      <c r="F2803" s="0" t="s">
        <v>270</v>
      </c>
      <c r="I2803" s="0" t="n">
        <v>14615</v>
      </c>
      <c r="J2803" s="0" t="n">
        <v>77455</v>
      </c>
      <c r="K2803" s="0" t="n">
        <v>774567</v>
      </c>
      <c r="L2803" s="0" t="s">
        <v>2624</v>
      </c>
      <c r="N2803" s="0" t="n">
        <v>19.5</v>
      </c>
      <c r="O2803" s="0" t="n">
        <v>641.55</v>
      </c>
      <c r="P2803" s="0" t="s">
        <v>2444</v>
      </c>
    </row>
    <row r="2804" customFormat="false" ht="15" hidden="false" customHeight="true" outlineLevel="0" collapsed="false">
      <c r="A2804" s="0" t="n">
        <v>2</v>
      </c>
      <c r="B2804" s="71" t="n">
        <v>46207</v>
      </c>
      <c r="C2804" s="0" t="n">
        <v>22</v>
      </c>
      <c r="D2804" s="0" t="s">
        <v>2479</v>
      </c>
      <c r="E2804" s="0" t="n">
        <v>48</v>
      </c>
      <c r="F2804" s="0" t="s">
        <v>153</v>
      </c>
      <c r="I2804" s="0" t="n">
        <v>2524</v>
      </c>
      <c r="J2804" s="0" t="n">
        <v>100000</v>
      </c>
      <c r="K2804" s="0" t="n">
        <v>1</v>
      </c>
      <c r="L2804" s="0" t="s">
        <v>2480</v>
      </c>
      <c r="N2804" s="0" t="n">
        <v>2.86</v>
      </c>
      <c r="O2804" s="0" t="n">
        <v>59.62</v>
      </c>
      <c r="P2804" s="0" t="s">
        <v>2444</v>
      </c>
    </row>
    <row r="2805" customFormat="false" ht="15" hidden="false" customHeight="true" outlineLevel="0" collapsed="false">
      <c r="A2805" s="0" t="n">
        <v>2</v>
      </c>
      <c r="B2805" s="71" t="n">
        <v>46207</v>
      </c>
      <c r="C2805" s="0" t="n">
        <v>22</v>
      </c>
      <c r="D2805" s="0" t="s">
        <v>2479</v>
      </c>
      <c r="E2805" s="0" t="n">
        <v>48</v>
      </c>
      <c r="F2805" s="0" t="s">
        <v>153</v>
      </c>
      <c r="I2805" s="0" t="n">
        <v>2524</v>
      </c>
      <c r="J2805" s="0" t="n">
        <v>100000</v>
      </c>
      <c r="K2805" s="0" t="n">
        <v>1</v>
      </c>
      <c r="L2805" s="0" t="s">
        <v>2480</v>
      </c>
      <c r="N2805" s="0" t="n">
        <v>2.7</v>
      </c>
      <c r="O2805" s="0" t="n">
        <v>56.89</v>
      </c>
      <c r="P2805" s="0" t="s">
        <v>2444</v>
      </c>
    </row>
    <row r="2806" customFormat="false" ht="15" hidden="false" customHeight="true" outlineLevel="0" collapsed="false">
      <c r="A2806" s="0" t="n">
        <v>2</v>
      </c>
      <c r="B2806" s="71" t="n">
        <v>46207</v>
      </c>
      <c r="C2806" s="0" t="n">
        <v>22</v>
      </c>
      <c r="D2806" s="0" t="s">
        <v>2479</v>
      </c>
      <c r="E2806" s="0" t="n">
        <v>48</v>
      </c>
      <c r="F2806" s="0" t="s">
        <v>153</v>
      </c>
      <c r="I2806" s="0" t="n">
        <v>2524</v>
      </c>
      <c r="J2806" s="0" t="n">
        <v>100001</v>
      </c>
      <c r="K2806" s="0" t="n">
        <v>2</v>
      </c>
      <c r="L2806" s="0" t="s">
        <v>2481</v>
      </c>
      <c r="N2806" s="0" t="n">
        <v>9.94</v>
      </c>
      <c r="O2806" s="0" t="n">
        <v>224.49</v>
      </c>
      <c r="P2806" s="0" t="s">
        <v>2444</v>
      </c>
    </row>
    <row r="2807" customFormat="false" ht="15" hidden="false" customHeight="true" outlineLevel="0" collapsed="false">
      <c r="A2807" s="0" t="n">
        <v>2</v>
      </c>
      <c r="B2807" s="71" t="n">
        <v>46207</v>
      </c>
      <c r="C2807" s="0" t="n">
        <v>22</v>
      </c>
      <c r="D2807" s="0" t="s">
        <v>2479</v>
      </c>
      <c r="E2807" s="0" t="n">
        <v>48</v>
      </c>
      <c r="F2807" s="0" t="s">
        <v>153</v>
      </c>
      <c r="I2807" s="0" t="n">
        <v>2524</v>
      </c>
      <c r="J2807" s="0" t="n">
        <v>100002</v>
      </c>
      <c r="K2807" s="0" t="n">
        <v>3</v>
      </c>
      <c r="L2807" s="0" t="s">
        <v>2482</v>
      </c>
      <c r="N2807" s="0" t="n">
        <v>21.48</v>
      </c>
      <c r="O2807" s="0" t="n">
        <v>559.77</v>
      </c>
      <c r="P2807" s="0" t="s">
        <v>2444</v>
      </c>
    </row>
    <row r="2808" customFormat="false" ht="15" hidden="false" customHeight="true" outlineLevel="0" collapsed="false">
      <c r="A2808" s="0" t="n">
        <v>2</v>
      </c>
      <c r="B2808" s="71" t="n">
        <v>46207</v>
      </c>
      <c r="C2808" s="0" t="n">
        <v>22</v>
      </c>
      <c r="D2808" s="0" t="s">
        <v>2479</v>
      </c>
      <c r="E2808" s="0" t="n">
        <v>48</v>
      </c>
      <c r="F2808" s="0" t="s">
        <v>153</v>
      </c>
      <c r="I2808" s="0" t="n">
        <v>2524</v>
      </c>
      <c r="J2808" s="0" t="n">
        <v>100003</v>
      </c>
      <c r="K2808" s="0" t="n">
        <v>4</v>
      </c>
      <c r="L2808" s="0" t="s">
        <v>2483</v>
      </c>
      <c r="N2808" s="0" t="n">
        <v>19.73</v>
      </c>
      <c r="O2808" s="0" t="n">
        <v>548.46</v>
      </c>
      <c r="P2808" s="0" t="s">
        <v>2444</v>
      </c>
    </row>
    <row r="2809" customFormat="false" ht="15" hidden="false" customHeight="true" outlineLevel="0" collapsed="false">
      <c r="A2809" s="0" t="n">
        <v>2</v>
      </c>
      <c r="B2809" s="71" t="n">
        <v>46207</v>
      </c>
      <c r="C2809" s="0" t="n">
        <v>22</v>
      </c>
      <c r="D2809" s="0" t="s">
        <v>2479</v>
      </c>
      <c r="E2809" s="0" t="n">
        <v>48</v>
      </c>
      <c r="F2809" s="0" t="s">
        <v>153</v>
      </c>
      <c r="I2809" s="0" t="n">
        <v>2524</v>
      </c>
      <c r="J2809" s="0" t="n">
        <v>100004</v>
      </c>
      <c r="K2809" s="0" t="n">
        <v>5</v>
      </c>
      <c r="L2809" s="0" t="s">
        <v>2484</v>
      </c>
      <c r="N2809" s="0" t="n">
        <v>1.798</v>
      </c>
      <c r="O2809" s="0" t="n">
        <v>43.73</v>
      </c>
      <c r="P2809" s="0" t="s">
        <v>2444</v>
      </c>
    </row>
    <row r="2810" customFormat="false" ht="15" hidden="false" customHeight="true" outlineLevel="0" collapsed="false">
      <c r="A2810" s="0" t="n">
        <v>2</v>
      </c>
      <c r="B2810" s="71" t="n">
        <v>46207</v>
      </c>
      <c r="C2810" s="0" t="n">
        <v>22</v>
      </c>
      <c r="D2810" s="0" t="s">
        <v>2479</v>
      </c>
      <c r="E2810" s="0" t="n">
        <v>48</v>
      </c>
      <c r="F2810" s="0" t="s">
        <v>153</v>
      </c>
      <c r="I2810" s="0" t="n">
        <v>2524</v>
      </c>
      <c r="J2810" s="0" t="n">
        <v>100006</v>
      </c>
      <c r="K2810" s="0" t="n">
        <v>7</v>
      </c>
      <c r="L2810" s="0" t="s">
        <v>2485</v>
      </c>
      <c r="N2810" s="0" t="n">
        <v>2.2</v>
      </c>
      <c r="O2810" s="0" t="n">
        <v>65.68</v>
      </c>
      <c r="P2810" s="0" t="s">
        <v>2444</v>
      </c>
    </row>
    <row r="2811" customFormat="false" ht="15" hidden="false" customHeight="true" outlineLevel="0" collapsed="false">
      <c r="A2811" s="0" t="n">
        <v>2</v>
      </c>
      <c r="B2811" s="71" t="n">
        <v>46207</v>
      </c>
      <c r="C2811" s="0" t="n">
        <v>22</v>
      </c>
      <c r="D2811" s="0" t="s">
        <v>2479</v>
      </c>
      <c r="E2811" s="0" t="n">
        <v>48</v>
      </c>
      <c r="F2811" s="0" t="s">
        <v>153</v>
      </c>
      <c r="I2811" s="0" t="n">
        <v>2524</v>
      </c>
      <c r="J2811" s="0" t="n">
        <v>100007</v>
      </c>
      <c r="K2811" s="0" t="n">
        <v>8</v>
      </c>
      <c r="L2811" s="0" t="s">
        <v>2486</v>
      </c>
      <c r="N2811" s="0" t="n">
        <v>3.877</v>
      </c>
      <c r="O2811" s="0" t="n">
        <v>98.63</v>
      </c>
      <c r="P2811" s="0" t="s">
        <v>2444</v>
      </c>
    </row>
    <row r="2812" customFormat="false" ht="15" hidden="false" customHeight="true" outlineLevel="0" collapsed="false">
      <c r="A2812" s="0" t="n">
        <v>2</v>
      </c>
      <c r="B2812" s="71" t="n">
        <v>46207</v>
      </c>
      <c r="C2812" s="0" t="n">
        <v>22</v>
      </c>
      <c r="D2812" s="0" t="s">
        <v>2479</v>
      </c>
      <c r="E2812" s="0" t="n">
        <v>48</v>
      </c>
      <c r="F2812" s="0" t="s">
        <v>153</v>
      </c>
      <c r="I2812" s="0" t="n">
        <v>2524</v>
      </c>
      <c r="J2812" s="0" t="n">
        <v>100007</v>
      </c>
      <c r="K2812" s="0" t="n">
        <v>8</v>
      </c>
      <c r="L2812" s="0" t="s">
        <v>2486</v>
      </c>
      <c r="N2812" s="0" t="n">
        <v>2.9</v>
      </c>
      <c r="O2812" s="0" t="n">
        <v>76.39</v>
      </c>
      <c r="P2812" s="0" t="s">
        <v>2444</v>
      </c>
    </row>
    <row r="2813" customFormat="false" ht="15" hidden="false" customHeight="true" outlineLevel="0" collapsed="false">
      <c r="A2813" s="0" t="n">
        <v>2</v>
      </c>
      <c r="B2813" s="71" t="n">
        <v>46207</v>
      </c>
      <c r="C2813" s="0" t="n">
        <v>22</v>
      </c>
      <c r="D2813" s="0" t="s">
        <v>2479</v>
      </c>
      <c r="E2813" s="0" t="n">
        <v>48</v>
      </c>
      <c r="F2813" s="0" t="s">
        <v>153</v>
      </c>
      <c r="I2813" s="0" t="n">
        <v>2524</v>
      </c>
      <c r="J2813" s="0" t="n">
        <v>100007</v>
      </c>
      <c r="K2813" s="0" t="n">
        <v>8</v>
      </c>
      <c r="L2813" s="0" t="s">
        <v>2486</v>
      </c>
      <c r="N2813" s="0" t="n">
        <v>3.082</v>
      </c>
      <c r="O2813" s="0" t="n">
        <v>80.32</v>
      </c>
      <c r="P2813" s="0" t="s">
        <v>2444</v>
      </c>
    </row>
    <row r="2814" customFormat="false" ht="15" hidden="false" customHeight="true" outlineLevel="0" collapsed="false">
      <c r="A2814" s="0" t="n">
        <v>2</v>
      </c>
      <c r="B2814" s="71" t="n">
        <v>46207</v>
      </c>
      <c r="C2814" s="0" t="n">
        <v>22</v>
      </c>
      <c r="D2814" s="0" t="s">
        <v>2479</v>
      </c>
      <c r="E2814" s="0" t="n">
        <v>48</v>
      </c>
      <c r="F2814" s="0" t="s">
        <v>153</v>
      </c>
      <c r="I2814" s="0" t="n">
        <v>2524</v>
      </c>
      <c r="J2814" s="0" t="n">
        <v>100008</v>
      </c>
      <c r="K2814" s="0" t="n">
        <v>9</v>
      </c>
      <c r="L2814" s="0" t="s">
        <v>2487</v>
      </c>
      <c r="N2814" s="0" t="n">
        <v>22.947</v>
      </c>
      <c r="O2814" s="0" t="n">
        <v>753.72</v>
      </c>
      <c r="P2814" s="0" t="s">
        <v>2444</v>
      </c>
    </row>
    <row r="2815" customFormat="false" ht="15" hidden="false" customHeight="true" outlineLevel="0" collapsed="false">
      <c r="A2815" s="0" t="n">
        <v>2</v>
      </c>
      <c r="B2815" s="71" t="n">
        <v>46207</v>
      </c>
      <c r="C2815" s="0" t="n">
        <v>22</v>
      </c>
      <c r="D2815" s="0" t="s">
        <v>2479</v>
      </c>
      <c r="E2815" s="0" t="n">
        <v>48</v>
      </c>
      <c r="F2815" s="0" t="s">
        <v>153</v>
      </c>
      <c r="I2815" s="0" t="n">
        <v>2524</v>
      </c>
      <c r="J2815" s="0" t="n">
        <v>100008</v>
      </c>
      <c r="K2815" s="0" t="n">
        <v>9</v>
      </c>
      <c r="L2815" s="0" t="s">
        <v>2487</v>
      </c>
      <c r="N2815" s="0" t="n">
        <v>13.6</v>
      </c>
      <c r="O2815" s="0" t="n">
        <v>465.73</v>
      </c>
      <c r="P2815" s="0" t="s">
        <v>2444</v>
      </c>
    </row>
    <row r="2816" customFormat="false" ht="15" hidden="false" customHeight="true" outlineLevel="0" collapsed="false">
      <c r="A2816" s="0" t="n">
        <v>2</v>
      </c>
      <c r="B2816" s="71" t="n">
        <v>46207</v>
      </c>
      <c r="C2816" s="0" t="n">
        <v>22</v>
      </c>
      <c r="D2816" s="0" t="s">
        <v>2479</v>
      </c>
      <c r="E2816" s="0" t="n">
        <v>48</v>
      </c>
      <c r="F2816" s="0" t="s">
        <v>153</v>
      </c>
      <c r="I2816" s="0" t="n">
        <v>2524</v>
      </c>
      <c r="J2816" s="0" t="n">
        <v>100011</v>
      </c>
      <c r="K2816" s="0" t="n">
        <v>12</v>
      </c>
      <c r="L2816" s="0" t="s">
        <v>2488</v>
      </c>
      <c r="N2816" s="0" t="n">
        <v>8.8</v>
      </c>
      <c r="O2816" s="0" t="n">
        <v>340</v>
      </c>
      <c r="P2816" s="0" t="s">
        <v>2444</v>
      </c>
    </row>
    <row r="2817" customFormat="false" ht="15" hidden="false" customHeight="true" outlineLevel="0" collapsed="false">
      <c r="A2817" s="0" t="n">
        <v>2</v>
      </c>
      <c r="B2817" s="71" t="n">
        <v>46207</v>
      </c>
      <c r="C2817" s="0" t="n">
        <v>22</v>
      </c>
      <c r="D2817" s="0" t="s">
        <v>2479</v>
      </c>
      <c r="E2817" s="0" t="n">
        <v>48</v>
      </c>
      <c r="F2817" s="0" t="s">
        <v>153</v>
      </c>
      <c r="I2817" s="0" t="n">
        <v>2524</v>
      </c>
      <c r="J2817" s="0" t="n">
        <v>100012</v>
      </c>
      <c r="K2817" s="0" t="n">
        <v>13</v>
      </c>
      <c r="L2817" s="0" t="s">
        <v>2489</v>
      </c>
      <c r="N2817" s="0" t="n">
        <v>5.1</v>
      </c>
      <c r="O2817" s="0" t="n">
        <v>223.92</v>
      </c>
      <c r="P2817" s="0" t="s">
        <v>2444</v>
      </c>
    </row>
    <row r="2818" customFormat="false" ht="15" hidden="false" customHeight="true" outlineLevel="0" collapsed="false">
      <c r="A2818" s="0" t="n">
        <v>2</v>
      </c>
      <c r="B2818" s="71" t="n">
        <v>46207</v>
      </c>
      <c r="C2818" s="0" t="n">
        <v>22</v>
      </c>
      <c r="D2818" s="0" t="s">
        <v>2479</v>
      </c>
      <c r="E2818" s="0" t="n">
        <v>48</v>
      </c>
      <c r="F2818" s="0" t="s">
        <v>153</v>
      </c>
      <c r="I2818" s="0" t="n">
        <v>2524</v>
      </c>
      <c r="J2818" s="0" t="n">
        <v>100013</v>
      </c>
      <c r="K2818" s="0" t="n">
        <v>14</v>
      </c>
      <c r="L2818" s="0" t="s">
        <v>2490</v>
      </c>
      <c r="N2818" s="0" t="n">
        <v>9.3</v>
      </c>
      <c r="O2818" s="0" t="n">
        <v>432.83</v>
      </c>
      <c r="P2818" s="0" t="s">
        <v>2444</v>
      </c>
    </row>
    <row r="2819" customFormat="false" ht="15" hidden="false" customHeight="true" outlineLevel="0" collapsed="false">
      <c r="A2819" s="0" t="n">
        <v>2</v>
      </c>
      <c r="B2819" s="71" t="n">
        <v>46207</v>
      </c>
      <c r="C2819" s="0" t="n">
        <v>22</v>
      </c>
      <c r="D2819" s="0" t="s">
        <v>2479</v>
      </c>
      <c r="E2819" s="0" t="n">
        <v>48</v>
      </c>
      <c r="F2819" s="0" t="s">
        <v>153</v>
      </c>
      <c r="I2819" s="0" t="n">
        <v>2524</v>
      </c>
      <c r="J2819" s="0" t="n">
        <v>100014</v>
      </c>
      <c r="K2819" s="0" t="n">
        <v>15</v>
      </c>
      <c r="L2819" s="0" t="s">
        <v>2491</v>
      </c>
      <c r="N2819" s="0" t="n">
        <v>3.7</v>
      </c>
      <c r="O2819" s="0" t="n">
        <v>175.45</v>
      </c>
      <c r="P2819" s="0" t="s">
        <v>2444</v>
      </c>
    </row>
    <row r="2820" customFormat="false" ht="15" hidden="false" customHeight="true" outlineLevel="0" collapsed="false">
      <c r="A2820" s="0" t="n">
        <v>2</v>
      </c>
      <c r="B2820" s="71" t="n">
        <v>46207</v>
      </c>
      <c r="C2820" s="0" t="n">
        <v>22</v>
      </c>
      <c r="D2820" s="0" t="s">
        <v>2479</v>
      </c>
      <c r="E2820" s="0" t="n">
        <v>48</v>
      </c>
      <c r="F2820" s="0" t="s">
        <v>153</v>
      </c>
      <c r="I2820" s="0" t="n">
        <v>2524</v>
      </c>
      <c r="J2820" s="0" t="n">
        <v>100015</v>
      </c>
      <c r="K2820" s="0" t="n">
        <v>16</v>
      </c>
      <c r="L2820" s="0" t="s">
        <v>2492</v>
      </c>
      <c r="N2820" s="0" t="n">
        <v>1.5</v>
      </c>
      <c r="O2820" s="0" t="n">
        <v>63.22</v>
      </c>
      <c r="P2820" s="0" t="s">
        <v>2444</v>
      </c>
    </row>
    <row r="2821" customFormat="false" ht="15" hidden="false" customHeight="true" outlineLevel="0" collapsed="false">
      <c r="A2821" s="0" t="n">
        <v>2</v>
      </c>
      <c r="B2821" s="71" t="n">
        <v>46207</v>
      </c>
      <c r="C2821" s="0" t="n">
        <v>22</v>
      </c>
      <c r="D2821" s="0" t="s">
        <v>2479</v>
      </c>
      <c r="E2821" s="0" t="n">
        <v>48</v>
      </c>
      <c r="F2821" s="0" t="s">
        <v>153</v>
      </c>
      <c r="I2821" s="0" t="n">
        <v>2524</v>
      </c>
      <c r="J2821" s="0" t="n">
        <v>100016</v>
      </c>
      <c r="K2821" s="0" t="n">
        <v>17</v>
      </c>
      <c r="L2821" s="0" t="s">
        <v>2493</v>
      </c>
      <c r="N2821" s="0" t="n">
        <v>1.7</v>
      </c>
      <c r="O2821" s="0" t="n">
        <v>104.5</v>
      </c>
      <c r="P2821" s="0" t="s">
        <v>2444</v>
      </c>
    </row>
    <row r="2822" customFormat="false" ht="15" hidden="false" customHeight="true" outlineLevel="0" collapsed="false">
      <c r="A2822" s="0" t="n">
        <v>2</v>
      </c>
      <c r="B2822" s="71" t="n">
        <v>46207</v>
      </c>
      <c r="C2822" s="0" t="n">
        <v>22</v>
      </c>
      <c r="D2822" s="0" t="s">
        <v>2479</v>
      </c>
      <c r="E2822" s="0" t="n">
        <v>48</v>
      </c>
      <c r="F2822" s="0" t="s">
        <v>153</v>
      </c>
      <c r="I2822" s="0" t="n">
        <v>2524</v>
      </c>
      <c r="J2822" s="0" t="n">
        <v>100016</v>
      </c>
      <c r="K2822" s="0" t="n">
        <v>17</v>
      </c>
      <c r="L2822" s="0" t="s">
        <v>2493</v>
      </c>
      <c r="N2822" s="0" t="n">
        <v>5.652</v>
      </c>
      <c r="O2822" s="0" t="n">
        <v>333.43</v>
      </c>
      <c r="P2822" s="0" t="s">
        <v>2444</v>
      </c>
    </row>
    <row r="2823" customFormat="false" ht="15" hidden="false" customHeight="true" outlineLevel="0" collapsed="false">
      <c r="A2823" s="0" t="n">
        <v>2</v>
      </c>
      <c r="B2823" s="71" t="n">
        <v>46207</v>
      </c>
      <c r="C2823" s="0" t="n">
        <v>22</v>
      </c>
      <c r="D2823" s="0" t="s">
        <v>2479</v>
      </c>
      <c r="E2823" s="0" t="n">
        <v>48</v>
      </c>
      <c r="F2823" s="0" t="s">
        <v>153</v>
      </c>
      <c r="I2823" s="0" t="n">
        <v>2524</v>
      </c>
      <c r="J2823" s="0" t="n">
        <v>100017</v>
      </c>
      <c r="K2823" s="0" t="n">
        <v>18</v>
      </c>
      <c r="L2823" s="0" t="s">
        <v>2494</v>
      </c>
      <c r="N2823" s="0" t="n">
        <v>1.7</v>
      </c>
      <c r="O2823" s="0" t="n">
        <v>104.5</v>
      </c>
      <c r="P2823" s="0" t="s">
        <v>2444</v>
      </c>
    </row>
    <row r="2824" customFormat="false" ht="15" hidden="false" customHeight="true" outlineLevel="0" collapsed="false">
      <c r="A2824" s="0" t="n">
        <v>2</v>
      </c>
      <c r="B2824" s="71" t="n">
        <v>46207</v>
      </c>
      <c r="C2824" s="0" t="n">
        <v>22</v>
      </c>
      <c r="D2824" s="0" t="s">
        <v>2479</v>
      </c>
      <c r="E2824" s="0" t="n">
        <v>48</v>
      </c>
      <c r="F2824" s="0" t="s">
        <v>153</v>
      </c>
      <c r="I2824" s="0" t="n">
        <v>2524</v>
      </c>
      <c r="J2824" s="0" t="n">
        <v>100018</v>
      </c>
      <c r="K2824" s="0" t="n">
        <v>19</v>
      </c>
      <c r="L2824" s="0" t="s">
        <v>3883</v>
      </c>
      <c r="N2824" s="0" t="n">
        <v>13.095</v>
      </c>
      <c r="O2824" s="0" t="n">
        <v>607.17</v>
      </c>
      <c r="P2824" s="0" t="s">
        <v>2444</v>
      </c>
    </row>
    <row r="2825" customFormat="false" ht="15" hidden="false" customHeight="true" outlineLevel="0" collapsed="false">
      <c r="A2825" s="0" t="n">
        <v>2</v>
      </c>
      <c r="B2825" s="71" t="n">
        <v>46207</v>
      </c>
      <c r="C2825" s="0" t="n">
        <v>22</v>
      </c>
      <c r="D2825" s="0" t="s">
        <v>2479</v>
      </c>
      <c r="E2825" s="0" t="n">
        <v>48</v>
      </c>
      <c r="F2825" s="0" t="s">
        <v>153</v>
      </c>
      <c r="I2825" s="0" t="n">
        <v>2524</v>
      </c>
      <c r="J2825" s="0" t="n">
        <v>100053</v>
      </c>
      <c r="K2825" s="0" t="n">
        <v>54</v>
      </c>
      <c r="L2825" s="0" t="s">
        <v>2495</v>
      </c>
      <c r="N2825" s="0" t="n">
        <v>1.6</v>
      </c>
      <c r="O2825" s="0" t="n">
        <v>61.82</v>
      </c>
      <c r="P2825" s="0" t="s">
        <v>2444</v>
      </c>
    </row>
    <row r="2826" customFormat="false" ht="15" hidden="false" customHeight="true" outlineLevel="0" collapsed="false">
      <c r="A2826" s="0" t="n">
        <v>2</v>
      </c>
      <c r="B2826" s="71" t="n">
        <v>46207</v>
      </c>
      <c r="C2826" s="0" t="n">
        <v>22</v>
      </c>
      <c r="D2826" s="0" t="s">
        <v>2479</v>
      </c>
      <c r="E2826" s="0" t="n">
        <v>48</v>
      </c>
      <c r="F2826" s="0" t="s">
        <v>153</v>
      </c>
      <c r="I2826" s="0" t="n">
        <v>2524</v>
      </c>
      <c r="J2826" s="0" t="n">
        <v>100053</v>
      </c>
      <c r="K2826" s="0" t="n">
        <v>54</v>
      </c>
      <c r="L2826" s="0" t="s">
        <v>2495</v>
      </c>
      <c r="N2826" s="0" t="n">
        <v>4.112</v>
      </c>
      <c r="O2826" s="0" t="n">
        <v>151.98</v>
      </c>
      <c r="P2826" s="0" t="s">
        <v>2444</v>
      </c>
    </row>
    <row r="2827" customFormat="false" ht="15" hidden="false" customHeight="true" outlineLevel="0" collapsed="false">
      <c r="A2827" s="0" t="n">
        <v>2</v>
      </c>
      <c r="B2827" s="71" t="n">
        <v>46207</v>
      </c>
      <c r="C2827" s="0" t="n">
        <v>22</v>
      </c>
      <c r="D2827" s="0" t="s">
        <v>2479</v>
      </c>
      <c r="E2827" s="0" t="n">
        <v>48</v>
      </c>
      <c r="F2827" s="0" t="s">
        <v>153</v>
      </c>
      <c r="I2827" s="0" t="n">
        <v>2524</v>
      </c>
      <c r="J2827" s="0" t="n">
        <v>100638</v>
      </c>
      <c r="K2827" s="0" t="n">
        <v>508</v>
      </c>
      <c r="L2827" s="0" t="s">
        <v>2496</v>
      </c>
      <c r="N2827" s="0" t="n">
        <v>0.7</v>
      </c>
      <c r="O2827" s="0" t="n">
        <v>1.84</v>
      </c>
      <c r="P2827" s="0" t="s">
        <v>2444</v>
      </c>
    </row>
    <row r="2828" customFormat="false" ht="15" hidden="false" customHeight="true" outlineLevel="0" collapsed="false">
      <c r="A2828" s="0" t="n">
        <v>2</v>
      </c>
      <c r="B2828" s="71" t="n">
        <v>46207</v>
      </c>
      <c r="C2828" s="0" t="n">
        <v>22</v>
      </c>
      <c r="D2828" s="0" t="s">
        <v>2479</v>
      </c>
      <c r="E2828" s="0" t="n">
        <v>48</v>
      </c>
      <c r="F2828" s="0" t="s">
        <v>153</v>
      </c>
      <c r="I2828" s="0" t="n">
        <v>2524</v>
      </c>
      <c r="J2828" s="0" t="n">
        <v>100638</v>
      </c>
      <c r="K2828" s="0" t="n">
        <v>508</v>
      </c>
      <c r="L2828" s="0" t="s">
        <v>2496</v>
      </c>
      <c r="N2828" s="0" t="n">
        <v>5.654</v>
      </c>
      <c r="O2828" s="0" t="n">
        <v>14.69</v>
      </c>
      <c r="P2828" s="0" t="s">
        <v>2444</v>
      </c>
    </row>
    <row r="2829" customFormat="false" ht="15" hidden="false" customHeight="true" outlineLevel="0" collapsed="false">
      <c r="A2829" s="0" t="n">
        <v>2</v>
      </c>
      <c r="B2829" s="71" t="n">
        <v>46207</v>
      </c>
      <c r="C2829" s="0" t="n">
        <v>22</v>
      </c>
      <c r="D2829" s="0" t="s">
        <v>2479</v>
      </c>
      <c r="E2829" s="0" t="n">
        <v>48</v>
      </c>
      <c r="F2829" s="0" t="s">
        <v>153</v>
      </c>
      <c r="I2829" s="0" t="n">
        <v>2524</v>
      </c>
      <c r="J2829" s="0" t="n">
        <v>100638</v>
      </c>
      <c r="K2829" s="0" t="n">
        <v>508</v>
      </c>
      <c r="L2829" s="0" t="s">
        <v>2496</v>
      </c>
      <c r="N2829" s="0" t="n">
        <v>1.321</v>
      </c>
      <c r="O2829" s="0" t="n">
        <v>3.34</v>
      </c>
      <c r="P2829" s="0" t="s">
        <v>2444</v>
      </c>
    </row>
    <row r="2830" customFormat="false" ht="15" hidden="false" customHeight="true" outlineLevel="0" collapsed="false">
      <c r="A2830" s="0" t="n">
        <v>2</v>
      </c>
      <c r="B2830" s="71" t="n">
        <v>46207</v>
      </c>
      <c r="C2830" s="0" t="n">
        <v>22</v>
      </c>
      <c r="D2830" s="0" t="s">
        <v>2479</v>
      </c>
      <c r="E2830" s="0" t="n">
        <v>48</v>
      </c>
      <c r="F2830" s="0" t="s">
        <v>153</v>
      </c>
      <c r="I2830" s="0" t="n">
        <v>2524</v>
      </c>
      <c r="J2830" s="0" t="n">
        <v>100520</v>
      </c>
      <c r="K2830" s="0" t="n">
        <v>507</v>
      </c>
      <c r="L2830" s="0" t="s">
        <v>2497</v>
      </c>
      <c r="N2830" s="0" t="n">
        <v>8.896</v>
      </c>
      <c r="O2830" s="0" t="n">
        <v>22.44</v>
      </c>
      <c r="P2830" s="0" t="s">
        <v>2444</v>
      </c>
    </row>
    <row r="2831" customFormat="false" ht="15" hidden="false" customHeight="true" outlineLevel="0" collapsed="false">
      <c r="A2831" s="0" t="n">
        <v>2</v>
      </c>
      <c r="B2831" s="71" t="n">
        <v>46207</v>
      </c>
      <c r="C2831" s="0" t="n">
        <v>22</v>
      </c>
      <c r="D2831" s="0" t="s">
        <v>2479</v>
      </c>
      <c r="E2831" s="0" t="n">
        <v>48</v>
      </c>
      <c r="F2831" s="0" t="s">
        <v>153</v>
      </c>
      <c r="I2831" s="0" t="n">
        <v>2524</v>
      </c>
      <c r="J2831" s="0" t="n">
        <v>110137</v>
      </c>
      <c r="K2831" s="0" t="n">
        <v>13899</v>
      </c>
      <c r="L2831" s="0" t="s">
        <v>3780</v>
      </c>
      <c r="N2831" s="0" t="n">
        <v>11.7</v>
      </c>
      <c r="O2831" s="0" t="n">
        <v>51.28</v>
      </c>
      <c r="P2831" s="0" t="s">
        <v>2444</v>
      </c>
    </row>
    <row r="2832" customFormat="false" ht="15" hidden="false" customHeight="true" outlineLevel="0" collapsed="false">
      <c r="A2832" s="0" t="n">
        <v>2</v>
      </c>
      <c r="B2832" s="71" t="n">
        <v>46207</v>
      </c>
      <c r="C2832" s="0" t="n">
        <v>22</v>
      </c>
      <c r="D2832" s="0" t="s">
        <v>2479</v>
      </c>
      <c r="E2832" s="0" t="n">
        <v>48</v>
      </c>
      <c r="F2832" s="0" t="s">
        <v>153</v>
      </c>
      <c r="I2832" s="0" t="n">
        <v>2524</v>
      </c>
      <c r="J2832" s="0" t="n">
        <v>110137</v>
      </c>
      <c r="K2832" s="0" t="n">
        <v>13899</v>
      </c>
      <c r="L2832" s="0" t="s">
        <v>3780</v>
      </c>
      <c r="N2832" s="0" t="n">
        <v>2.856</v>
      </c>
      <c r="O2832" s="0" t="n">
        <v>12.38</v>
      </c>
      <c r="P2832" s="0" t="s">
        <v>2444</v>
      </c>
    </row>
    <row r="2833" customFormat="false" ht="15" hidden="false" customHeight="true" outlineLevel="0" collapsed="false">
      <c r="A2833" s="0" t="n">
        <v>2</v>
      </c>
      <c r="B2833" s="71" t="n">
        <v>46207</v>
      </c>
      <c r="C2833" s="0" t="n">
        <v>22</v>
      </c>
      <c r="D2833" s="0" t="s">
        <v>2479</v>
      </c>
      <c r="E2833" s="0" t="n">
        <v>48</v>
      </c>
      <c r="F2833" s="0" t="s">
        <v>153</v>
      </c>
      <c r="I2833" s="0" t="n">
        <v>2524</v>
      </c>
      <c r="J2833" s="0" t="n">
        <v>110455</v>
      </c>
      <c r="K2833" s="0" t="n">
        <v>53212</v>
      </c>
      <c r="L2833" s="0" t="s">
        <v>2498</v>
      </c>
      <c r="N2833" s="0" t="n">
        <v>0.4</v>
      </c>
      <c r="O2833" s="0" t="n">
        <v>0</v>
      </c>
      <c r="P2833" s="0" t="s">
        <v>2444</v>
      </c>
    </row>
    <row r="2834" customFormat="false" ht="15" hidden="false" customHeight="true" outlineLevel="0" collapsed="false">
      <c r="A2834" s="0" t="n">
        <v>2</v>
      </c>
      <c r="B2834" s="71" t="n">
        <v>46207</v>
      </c>
      <c r="C2834" s="0" t="n">
        <v>100</v>
      </c>
      <c r="D2834" s="0" t="s">
        <v>2499</v>
      </c>
      <c r="E2834" s="0" t="n">
        <v>48</v>
      </c>
      <c r="F2834" s="0" t="s">
        <v>153</v>
      </c>
      <c r="I2834" s="0" t="n">
        <v>1348592</v>
      </c>
      <c r="J2834" s="0" t="n">
        <v>100000</v>
      </c>
      <c r="K2834" s="0" t="n">
        <v>1</v>
      </c>
      <c r="L2834" s="0" t="s">
        <v>2480</v>
      </c>
      <c r="N2834" s="0" t="n">
        <v>2.7</v>
      </c>
      <c r="O2834" s="0" t="n">
        <v>56.89</v>
      </c>
      <c r="P2834" s="0" t="s">
        <v>2444</v>
      </c>
    </row>
    <row r="2835" customFormat="false" ht="15" hidden="false" customHeight="true" outlineLevel="0" collapsed="false">
      <c r="A2835" s="0" t="n">
        <v>2</v>
      </c>
      <c r="B2835" s="71" t="n">
        <v>46207</v>
      </c>
      <c r="C2835" s="0" t="n">
        <v>100</v>
      </c>
      <c r="D2835" s="0" t="s">
        <v>2499</v>
      </c>
      <c r="E2835" s="0" t="n">
        <v>48</v>
      </c>
      <c r="F2835" s="0" t="s">
        <v>153</v>
      </c>
      <c r="I2835" s="0" t="n">
        <v>1348592</v>
      </c>
      <c r="J2835" s="0" t="n">
        <v>100006</v>
      </c>
      <c r="K2835" s="0" t="n">
        <v>7</v>
      </c>
      <c r="L2835" s="0" t="s">
        <v>2485</v>
      </c>
      <c r="N2835" s="0" t="n">
        <v>2.2</v>
      </c>
      <c r="O2835" s="0" t="n">
        <v>65.68</v>
      </c>
      <c r="P2835" s="0" t="s">
        <v>2444</v>
      </c>
    </row>
    <row r="2836" customFormat="false" ht="15" hidden="false" customHeight="true" outlineLevel="0" collapsed="false">
      <c r="A2836" s="0" t="n">
        <v>2</v>
      </c>
      <c r="B2836" s="71" t="n">
        <v>46207</v>
      </c>
      <c r="C2836" s="0" t="n">
        <v>100</v>
      </c>
      <c r="D2836" s="0" t="s">
        <v>2499</v>
      </c>
      <c r="E2836" s="0" t="n">
        <v>48</v>
      </c>
      <c r="F2836" s="0" t="s">
        <v>153</v>
      </c>
      <c r="I2836" s="0" t="n">
        <v>1348592</v>
      </c>
      <c r="J2836" s="0" t="n">
        <v>100007</v>
      </c>
      <c r="K2836" s="0" t="n">
        <v>8</v>
      </c>
      <c r="L2836" s="0" t="s">
        <v>2486</v>
      </c>
      <c r="N2836" s="0" t="n">
        <v>2.9</v>
      </c>
      <c r="O2836" s="0" t="n">
        <v>76.39</v>
      </c>
      <c r="P2836" s="0" t="s">
        <v>2444</v>
      </c>
    </row>
    <row r="2837" customFormat="false" ht="15" hidden="false" customHeight="true" outlineLevel="0" collapsed="false">
      <c r="A2837" s="0" t="n">
        <v>2</v>
      </c>
      <c r="B2837" s="71" t="n">
        <v>46207</v>
      </c>
      <c r="C2837" s="0" t="n">
        <v>100</v>
      </c>
      <c r="D2837" s="0" t="s">
        <v>2499</v>
      </c>
      <c r="E2837" s="0" t="n">
        <v>48</v>
      </c>
      <c r="F2837" s="0" t="s">
        <v>153</v>
      </c>
      <c r="I2837" s="0" t="n">
        <v>1348592</v>
      </c>
      <c r="J2837" s="0" t="n">
        <v>100008</v>
      </c>
      <c r="K2837" s="0" t="n">
        <v>9</v>
      </c>
      <c r="L2837" s="0" t="s">
        <v>2487</v>
      </c>
      <c r="N2837" s="0" t="n">
        <v>13.6</v>
      </c>
      <c r="O2837" s="0" t="n">
        <v>465.73</v>
      </c>
      <c r="P2837" s="0" t="s">
        <v>2444</v>
      </c>
    </row>
    <row r="2838" customFormat="false" ht="15" hidden="false" customHeight="true" outlineLevel="0" collapsed="false">
      <c r="A2838" s="0" t="n">
        <v>2</v>
      </c>
      <c r="B2838" s="71" t="n">
        <v>46207</v>
      </c>
      <c r="C2838" s="0" t="n">
        <v>100</v>
      </c>
      <c r="D2838" s="0" t="s">
        <v>2499</v>
      </c>
      <c r="E2838" s="0" t="n">
        <v>48</v>
      </c>
      <c r="F2838" s="0" t="s">
        <v>153</v>
      </c>
      <c r="I2838" s="0" t="n">
        <v>1348592</v>
      </c>
      <c r="J2838" s="0" t="n">
        <v>100011</v>
      </c>
      <c r="K2838" s="0" t="n">
        <v>12</v>
      </c>
      <c r="L2838" s="0" t="s">
        <v>2488</v>
      </c>
      <c r="N2838" s="0" t="n">
        <v>8.8</v>
      </c>
      <c r="O2838" s="0" t="n">
        <v>340</v>
      </c>
      <c r="P2838" s="0" t="s">
        <v>2444</v>
      </c>
    </row>
    <row r="2839" customFormat="false" ht="15" hidden="false" customHeight="true" outlineLevel="0" collapsed="false">
      <c r="A2839" s="0" t="n">
        <v>2</v>
      </c>
      <c r="B2839" s="71" t="n">
        <v>46207</v>
      </c>
      <c r="C2839" s="0" t="n">
        <v>100</v>
      </c>
      <c r="D2839" s="0" t="s">
        <v>2499</v>
      </c>
      <c r="E2839" s="0" t="n">
        <v>48</v>
      </c>
      <c r="F2839" s="0" t="s">
        <v>153</v>
      </c>
      <c r="I2839" s="0" t="n">
        <v>1348592</v>
      </c>
      <c r="J2839" s="0" t="n">
        <v>100012</v>
      </c>
      <c r="K2839" s="0" t="n">
        <v>13</v>
      </c>
      <c r="L2839" s="0" t="s">
        <v>2489</v>
      </c>
      <c r="N2839" s="0" t="n">
        <v>5.1</v>
      </c>
      <c r="O2839" s="0" t="n">
        <v>223.92</v>
      </c>
      <c r="P2839" s="0" t="s">
        <v>2444</v>
      </c>
    </row>
    <row r="2840" customFormat="false" ht="15" hidden="false" customHeight="true" outlineLevel="0" collapsed="false">
      <c r="A2840" s="0" t="n">
        <v>2</v>
      </c>
      <c r="B2840" s="71" t="n">
        <v>46207</v>
      </c>
      <c r="C2840" s="0" t="n">
        <v>100</v>
      </c>
      <c r="D2840" s="0" t="s">
        <v>2499</v>
      </c>
      <c r="E2840" s="0" t="n">
        <v>48</v>
      </c>
      <c r="F2840" s="0" t="s">
        <v>153</v>
      </c>
      <c r="I2840" s="0" t="n">
        <v>1348592</v>
      </c>
      <c r="J2840" s="0" t="n">
        <v>100013</v>
      </c>
      <c r="K2840" s="0" t="n">
        <v>14</v>
      </c>
      <c r="L2840" s="0" t="s">
        <v>2490</v>
      </c>
      <c r="N2840" s="0" t="n">
        <v>9.3</v>
      </c>
      <c r="O2840" s="0" t="n">
        <v>432.83</v>
      </c>
      <c r="P2840" s="0" t="s">
        <v>2444</v>
      </c>
    </row>
    <row r="2841" customFormat="false" ht="15" hidden="false" customHeight="true" outlineLevel="0" collapsed="false">
      <c r="A2841" s="0" t="n">
        <v>2</v>
      </c>
      <c r="B2841" s="71" t="n">
        <v>46207</v>
      </c>
      <c r="C2841" s="0" t="n">
        <v>100</v>
      </c>
      <c r="D2841" s="0" t="s">
        <v>2499</v>
      </c>
      <c r="E2841" s="0" t="n">
        <v>48</v>
      </c>
      <c r="F2841" s="0" t="s">
        <v>153</v>
      </c>
      <c r="I2841" s="0" t="n">
        <v>1348592</v>
      </c>
      <c r="J2841" s="0" t="n">
        <v>100014</v>
      </c>
      <c r="K2841" s="0" t="n">
        <v>15</v>
      </c>
      <c r="L2841" s="0" t="s">
        <v>2491</v>
      </c>
      <c r="N2841" s="0" t="n">
        <v>3.7</v>
      </c>
      <c r="O2841" s="0" t="n">
        <v>175.45</v>
      </c>
      <c r="P2841" s="0" t="s">
        <v>2444</v>
      </c>
    </row>
    <row r="2842" customFormat="false" ht="15" hidden="false" customHeight="true" outlineLevel="0" collapsed="false">
      <c r="A2842" s="0" t="n">
        <v>2</v>
      </c>
      <c r="B2842" s="71" t="n">
        <v>46207</v>
      </c>
      <c r="C2842" s="0" t="n">
        <v>100</v>
      </c>
      <c r="D2842" s="0" t="s">
        <v>2499</v>
      </c>
      <c r="E2842" s="0" t="n">
        <v>48</v>
      </c>
      <c r="F2842" s="0" t="s">
        <v>153</v>
      </c>
      <c r="I2842" s="0" t="n">
        <v>1348592</v>
      </c>
      <c r="J2842" s="0" t="n">
        <v>100015</v>
      </c>
      <c r="K2842" s="0" t="n">
        <v>16</v>
      </c>
      <c r="L2842" s="0" t="s">
        <v>2492</v>
      </c>
      <c r="N2842" s="0" t="n">
        <v>1.5</v>
      </c>
      <c r="O2842" s="0" t="n">
        <v>63.22</v>
      </c>
      <c r="P2842" s="0" t="s">
        <v>2444</v>
      </c>
    </row>
    <row r="2843" customFormat="false" ht="15" hidden="false" customHeight="true" outlineLevel="0" collapsed="false">
      <c r="A2843" s="0" t="n">
        <v>2</v>
      </c>
      <c r="B2843" s="71" t="n">
        <v>46207</v>
      </c>
      <c r="C2843" s="0" t="n">
        <v>100</v>
      </c>
      <c r="D2843" s="0" t="s">
        <v>2499</v>
      </c>
      <c r="E2843" s="0" t="n">
        <v>48</v>
      </c>
      <c r="F2843" s="0" t="s">
        <v>153</v>
      </c>
      <c r="I2843" s="0" t="n">
        <v>1348592</v>
      </c>
      <c r="J2843" s="0" t="n">
        <v>100016</v>
      </c>
      <c r="K2843" s="0" t="n">
        <v>17</v>
      </c>
      <c r="L2843" s="0" t="s">
        <v>2493</v>
      </c>
      <c r="N2843" s="0" t="n">
        <v>1.7</v>
      </c>
      <c r="O2843" s="0" t="n">
        <v>104.5</v>
      </c>
      <c r="P2843" s="0" t="s">
        <v>2444</v>
      </c>
    </row>
    <row r="2844" customFormat="false" ht="15" hidden="false" customHeight="true" outlineLevel="0" collapsed="false">
      <c r="A2844" s="0" t="n">
        <v>2</v>
      </c>
      <c r="B2844" s="71" t="n">
        <v>46207</v>
      </c>
      <c r="C2844" s="0" t="n">
        <v>100</v>
      </c>
      <c r="D2844" s="0" t="s">
        <v>2499</v>
      </c>
      <c r="E2844" s="0" t="n">
        <v>48</v>
      </c>
      <c r="F2844" s="0" t="s">
        <v>153</v>
      </c>
      <c r="I2844" s="0" t="n">
        <v>1348592</v>
      </c>
      <c r="J2844" s="0" t="n">
        <v>100017</v>
      </c>
      <c r="K2844" s="0" t="n">
        <v>18</v>
      </c>
      <c r="L2844" s="0" t="s">
        <v>2494</v>
      </c>
      <c r="N2844" s="0" t="n">
        <v>1.7</v>
      </c>
      <c r="O2844" s="0" t="n">
        <v>104.5</v>
      </c>
      <c r="P2844" s="0" t="s">
        <v>2444</v>
      </c>
    </row>
    <row r="2845" customFormat="false" ht="15" hidden="false" customHeight="true" outlineLevel="0" collapsed="false">
      <c r="A2845" s="0" t="n">
        <v>2</v>
      </c>
      <c r="B2845" s="71" t="n">
        <v>46207</v>
      </c>
      <c r="C2845" s="0" t="n">
        <v>100</v>
      </c>
      <c r="D2845" s="0" t="s">
        <v>2499</v>
      </c>
      <c r="E2845" s="0" t="n">
        <v>48</v>
      </c>
      <c r="F2845" s="0" t="s">
        <v>153</v>
      </c>
      <c r="I2845" s="0" t="n">
        <v>1348592</v>
      </c>
      <c r="J2845" s="0" t="n">
        <v>100053</v>
      </c>
      <c r="K2845" s="0" t="n">
        <v>54</v>
      </c>
      <c r="L2845" s="0" t="s">
        <v>2495</v>
      </c>
      <c r="N2845" s="0" t="n">
        <v>1.6</v>
      </c>
      <c r="O2845" s="0" t="n">
        <v>61.82</v>
      </c>
      <c r="P2845" s="0" t="s">
        <v>2444</v>
      </c>
    </row>
    <row r="2846" customFormat="false" ht="15" hidden="false" customHeight="true" outlineLevel="0" collapsed="false">
      <c r="A2846" s="0" t="n">
        <v>2</v>
      </c>
      <c r="B2846" s="71" t="n">
        <v>46207</v>
      </c>
      <c r="C2846" s="0" t="n">
        <v>100</v>
      </c>
      <c r="D2846" s="0" t="s">
        <v>2499</v>
      </c>
      <c r="E2846" s="0" t="n">
        <v>48</v>
      </c>
      <c r="F2846" s="0" t="s">
        <v>153</v>
      </c>
      <c r="I2846" s="0" t="n">
        <v>1348592</v>
      </c>
      <c r="J2846" s="0" t="n">
        <v>100638</v>
      </c>
      <c r="K2846" s="0" t="n">
        <v>508</v>
      </c>
      <c r="L2846" s="0" t="s">
        <v>2496</v>
      </c>
      <c r="N2846" s="0" t="n">
        <v>0.7</v>
      </c>
      <c r="O2846" s="0" t="n">
        <v>1.84</v>
      </c>
      <c r="P2846" s="0" t="s">
        <v>2444</v>
      </c>
    </row>
    <row r="2847" customFormat="false" ht="15" hidden="false" customHeight="true" outlineLevel="0" collapsed="false">
      <c r="A2847" s="0" t="n">
        <v>2</v>
      </c>
      <c r="B2847" s="71" t="n">
        <v>46207</v>
      </c>
      <c r="C2847" s="0" t="n">
        <v>100</v>
      </c>
      <c r="D2847" s="0" t="s">
        <v>2499</v>
      </c>
      <c r="E2847" s="0" t="n">
        <v>48</v>
      </c>
      <c r="F2847" s="0" t="s">
        <v>153</v>
      </c>
      <c r="I2847" s="0" t="n">
        <v>1348592</v>
      </c>
      <c r="J2847" s="0" t="n">
        <v>110137</v>
      </c>
      <c r="K2847" s="0" t="n">
        <v>13899</v>
      </c>
      <c r="L2847" s="0" t="s">
        <v>3780</v>
      </c>
      <c r="N2847" s="0" t="n">
        <v>11.7</v>
      </c>
      <c r="O2847" s="0" t="n">
        <v>51.28</v>
      </c>
      <c r="P2847" s="0" t="s">
        <v>2444</v>
      </c>
    </row>
    <row r="2848" customFormat="false" ht="15" hidden="false" customHeight="true" outlineLevel="0" collapsed="false">
      <c r="A2848" s="0" t="n">
        <v>2</v>
      </c>
      <c r="B2848" s="71" t="n">
        <v>46207</v>
      </c>
      <c r="C2848" s="0" t="n">
        <v>100</v>
      </c>
      <c r="D2848" s="0" t="s">
        <v>2499</v>
      </c>
      <c r="E2848" s="0" t="n">
        <v>48</v>
      </c>
      <c r="F2848" s="0" t="s">
        <v>153</v>
      </c>
      <c r="I2848" s="0" t="n">
        <v>1348592</v>
      </c>
      <c r="J2848" s="0" t="n">
        <v>110455</v>
      </c>
      <c r="K2848" s="0" t="n">
        <v>53212</v>
      </c>
      <c r="L2848" s="0" t="s">
        <v>2498</v>
      </c>
      <c r="N2848" s="0" t="n">
        <v>0.4</v>
      </c>
      <c r="O2848" s="0" t="n">
        <v>0</v>
      </c>
      <c r="P2848" s="0" t="s">
        <v>2444</v>
      </c>
    </row>
    <row r="2849" customFormat="false" ht="15" hidden="false" customHeight="true" outlineLevel="0" collapsed="false">
      <c r="A2849" s="0" t="n">
        <v>2</v>
      </c>
      <c r="B2849" s="71" t="n">
        <v>46207</v>
      </c>
      <c r="C2849" s="0" t="n">
        <v>100</v>
      </c>
      <c r="D2849" s="0" t="s">
        <v>2499</v>
      </c>
      <c r="E2849" s="0" t="n">
        <v>48</v>
      </c>
      <c r="F2849" s="0" t="s">
        <v>153</v>
      </c>
      <c r="I2849" s="0" t="n">
        <v>1348594</v>
      </c>
      <c r="J2849" s="0" t="n">
        <v>100000</v>
      </c>
      <c r="K2849" s="0" t="n">
        <v>1</v>
      </c>
      <c r="L2849" s="0" t="s">
        <v>2480</v>
      </c>
      <c r="N2849" s="0" t="n">
        <v>2.86</v>
      </c>
      <c r="O2849" s="0" t="n">
        <v>59.62</v>
      </c>
      <c r="P2849" s="0" t="s">
        <v>2444</v>
      </c>
    </row>
    <row r="2850" customFormat="false" ht="15" hidden="false" customHeight="true" outlineLevel="0" collapsed="false">
      <c r="A2850" s="0" t="n">
        <v>2</v>
      </c>
      <c r="B2850" s="71" t="n">
        <v>46207</v>
      </c>
      <c r="C2850" s="0" t="n">
        <v>100</v>
      </c>
      <c r="D2850" s="0" t="s">
        <v>2499</v>
      </c>
      <c r="E2850" s="0" t="n">
        <v>48</v>
      </c>
      <c r="F2850" s="0" t="s">
        <v>153</v>
      </c>
      <c r="I2850" s="0" t="n">
        <v>1348594</v>
      </c>
      <c r="J2850" s="0" t="n">
        <v>100001</v>
      </c>
      <c r="K2850" s="0" t="n">
        <v>2</v>
      </c>
      <c r="L2850" s="0" t="s">
        <v>2481</v>
      </c>
      <c r="N2850" s="0" t="n">
        <v>9.94</v>
      </c>
      <c r="O2850" s="0" t="n">
        <v>224.49</v>
      </c>
      <c r="P2850" s="0" t="s">
        <v>2444</v>
      </c>
    </row>
    <row r="2851" customFormat="false" ht="15" hidden="false" customHeight="true" outlineLevel="0" collapsed="false">
      <c r="A2851" s="0" t="n">
        <v>2</v>
      </c>
      <c r="B2851" s="71" t="n">
        <v>46207</v>
      </c>
      <c r="C2851" s="0" t="n">
        <v>100</v>
      </c>
      <c r="D2851" s="0" t="s">
        <v>2499</v>
      </c>
      <c r="E2851" s="0" t="n">
        <v>48</v>
      </c>
      <c r="F2851" s="0" t="s">
        <v>153</v>
      </c>
      <c r="I2851" s="0" t="n">
        <v>1348594</v>
      </c>
      <c r="J2851" s="0" t="n">
        <v>100002</v>
      </c>
      <c r="K2851" s="0" t="n">
        <v>3</v>
      </c>
      <c r="L2851" s="0" t="s">
        <v>2482</v>
      </c>
      <c r="N2851" s="0" t="n">
        <v>21.48</v>
      </c>
      <c r="O2851" s="0" t="n">
        <v>559.77</v>
      </c>
      <c r="P2851" s="0" t="s">
        <v>2444</v>
      </c>
    </row>
    <row r="2852" customFormat="false" ht="15" hidden="false" customHeight="true" outlineLevel="0" collapsed="false">
      <c r="A2852" s="0" t="n">
        <v>2</v>
      </c>
      <c r="B2852" s="71" t="n">
        <v>46207</v>
      </c>
      <c r="C2852" s="0" t="n">
        <v>100</v>
      </c>
      <c r="D2852" s="0" t="s">
        <v>2499</v>
      </c>
      <c r="E2852" s="0" t="n">
        <v>48</v>
      </c>
      <c r="F2852" s="0" t="s">
        <v>153</v>
      </c>
      <c r="I2852" s="0" t="n">
        <v>1348594</v>
      </c>
      <c r="J2852" s="0" t="n">
        <v>100003</v>
      </c>
      <c r="K2852" s="0" t="n">
        <v>4</v>
      </c>
      <c r="L2852" s="0" t="s">
        <v>2483</v>
      </c>
      <c r="N2852" s="0" t="n">
        <v>19.73</v>
      </c>
      <c r="O2852" s="0" t="n">
        <v>548.46</v>
      </c>
      <c r="P2852" s="0" t="s">
        <v>2444</v>
      </c>
    </row>
    <row r="2853" customFormat="false" ht="15" hidden="false" customHeight="true" outlineLevel="0" collapsed="false">
      <c r="A2853" s="0" t="n">
        <v>2</v>
      </c>
      <c r="B2853" s="71" t="n">
        <v>46207</v>
      </c>
      <c r="C2853" s="0" t="n">
        <v>100</v>
      </c>
      <c r="D2853" s="0" t="s">
        <v>2499</v>
      </c>
      <c r="E2853" s="0" t="n">
        <v>48</v>
      </c>
      <c r="F2853" s="0" t="s">
        <v>153</v>
      </c>
      <c r="I2853" s="0" t="n">
        <v>1348594</v>
      </c>
      <c r="J2853" s="0" t="n">
        <v>100004</v>
      </c>
      <c r="K2853" s="0" t="n">
        <v>5</v>
      </c>
      <c r="L2853" s="0" t="s">
        <v>2484</v>
      </c>
      <c r="N2853" s="0" t="n">
        <v>1.798</v>
      </c>
      <c r="O2853" s="0" t="n">
        <v>43.73</v>
      </c>
      <c r="P2853" s="0" t="s">
        <v>2444</v>
      </c>
    </row>
    <row r="2854" customFormat="false" ht="15" hidden="false" customHeight="true" outlineLevel="0" collapsed="false">
      <c r="A2854" s="0" t="n">
        <v>2</v>
      </c>
      <c r="B2854" s="71" t="n">
        <v>46207</v>
      </c>
      <c r="C2854" s="0" t="n">
        <v>100</v>
      </c>
      <c r="D2854" s="0" t="s">
        <v>2499</v>
      </c>
      <c r="E2854" s="0" t="n">
        <v>48</v>
      </c>
      <c r="F2854" s="0" t="s">
        <v>153</v>
      </c>
      <c r="I2854" s="0" t="n">
        <v>1348594</v>
      </c>
      <c r="J2854" s="0" t="n">
        <v>100007</v>
      </c>
      <c r="K2854" s="0" t="n">
        <v>8</v>
      </c>
      <c r="L2854" s="0" t="s">
        <v>2486</v>
      </c>
      <c r="N2854" s="0" t="n">
        <v>3.082</v>
      </c>
      <c r="O2854" s="0" t="n">
        <v>80.32</v>
      </c>
      <c r="P2854" s="0" t="s">
        <v>2444</v>
      </c>
    </row>
    <row r="2855" customFormat="false" ht="15" hidden="false" customHeight="true" outlineLevel="0" collapsed="false">
      <c r="A2855" s="0" t="n">
        <v>2</v>
      </c>
      <c r="B2855" s="71" t="n">
        <v>46207</v>
      </c>
      <c r="C2855" s="0" t="n">
        <v>100</v>
      </c>
      <c r="D2855" s="0" t="s">
        <v>2499</v>
      </c>
      <c r="E2855" s="0" t="n">
        <v>48</v>
      </c>
      <c r="F2855" s="0" t="s">
        <v>153</v>
      </c>
      <c r="I2855" s="0" t="n">
        <v>1348594</v>
      </c>
      <c r="J2855" s="0" t="n">
        <v>100638</v>
      </c>
      <c r="K2855" s="0" t="n">
        <v>508</v>
      </c>
      <c r="L2855" s="0" t="s">
        <v>2496</v>
      </c>
      <c r="N2855" s="0" t="n">
        <v>5.654</v>
      </c>
      <c r="O2855" s="0" t="n">
        <v>14.69</v>
      </c>
      <c r="P2855" s="0" t="s">
        <v>2444</v>
      </c>
    </row>
    <row r="2856" customFormat="false" ht="15" hidden="false" customHeight="true" outlineLevel="0" collapsed="false">
      <c r="A2856" s="0" t="n">
        <v>2</v>
      </c>
      <c r="B2856" s="71" t="n">
        <v>46207</v>
      </c>
      <c r="C2856" s="0" t="n">
        <v>100</v>
      </c>
      <c r="D2856" s="0" t="s">
        <v>2499</v>
      </c>
      <c r="E2856" s="0" t="n">
        <v>48</v>
      </c>
      <c r="F2856" s="0" t="s">
        <v>153</v>
      </c>
      <c r="I2856" s="0" t="n">
        <v>1348594</v>
      </c>
      <c r="J2856" s="0" t="n">
        <v>110137</v>
      </c>
      <c r="K2856" s="0" t="n">
        <v>13899</v>
      </c>
      <c r="L2856" s="0" t="s">
        <v>3780</v>
      </c>
      <c r="N2856" s="0" t="n">
        <v>2.856</v>
      </c>
      <c r="O2856" s="0" t="n">
        <v>12.38</v>
      </c>
      <c r="P2856" s="0" t="s">
        <v>2444</v>
      </c>
    </row>
    <row r="2857" customFormat="false" ht="15" hidden="false" customHeight="true" outlineLevel="0" collapsed="false">
      <c r="A2857" s="0" t="n">
        <v>2</v>
      </c>
      <c r="B2857" s="71" t="n">
        <v>46207</v>
      </c>
      <c r="C2857" s="0" t="n">
        <v>100</v>
      </c>
      <c r="D2857" s="0" t="s">
        <v>2499</v>
      </c>
      <c r="E2857" s="0" t="n">
        <v>48</v>
      </c>
      <c r="F2857" s="0" t="s">
        <v>153</v>
      </c>
      <c r="I2857" s="0" t="n">
        <v>1348598</v>
      </c>
      <c r="J2857" s="0" t="n">
        <v>100007</v>
      </c>
      <c r="K2857" s="0" t="n">
        <v>8</v>
      </c>
      <c r="L2857" s="0" t="s">
        <v>2486</v>
      </c>
      <c r="N2857" s="0" t="n">
        <v>0.776</v>
      </c>
      <c r="O2857" s="0" t="n">
        <v>19.19</v>
      </c>
      <c r="P2857" s="0" t="s">
        <v>2444</v>
      </c>
    </row>
    <row r="2858" customFormat="false" ht="15" hidden="false" customHeight="true" outlineLevel="0" collapsed="false">
      <c r="A2858" s="0" t="n">
        <v>2</v>
      </c>
      <c r="B2858" s="71" t="n">
        <v>46207</v>
      </c>
      <c r="C2858" s="0" t="n">
        <v>100</v>
      </c>
      <c r="D2858" s="0" t="s">
        <v>2499</v>
      </c>
      <c r="E2858" s="0" t="n">
        <v>48</v>
      </c>
      <c r="F2858" s="0" t="s">
        <v>153</v>
      </c>
      <c r="I2858" s="0" t="n">
        <v>1348598</v>
      </c>
      <c r="J2858" s="0" t="n">
        <v>100008</v>
      </c>
      <c r="K2858" s="0" t="n">
        <v>9</v>
      </c>
      <c r="L2858" s="0" t="s">
        <v>2487</v>
      </c>
      <c r="N2858" s="0" t="n">
        <v>4.742</v>
      </c>
      <c r="O2858" s="0" t="n">
        <v>152.49</v>
      </c>
      <c r="P2858" s="0" t="s">
        <v>2444</v>
      </c>
    </row>
    <row r="2859" customFormat="false" ht="15" hidden="false" customHeight="true" outlineLevel="0" collapsed="false">
      <c r="A2859" s="0" t="n">
        <v>2</v>
      </c>
      <c r="B2859" s="71" t="n">
        <v>46207</v>
      </c>
      <c r="C2859" s="0" t="n">
        <v>100</v>
      </c>
      <c r="D2859" s="0" t="s">
        <v>2499</v>
      </c>
      <c r="E2859" s="0" t="n">
        <v>48</v>
      </c>
      <c r="F2859" s="0" t="s">
        <v>153</v>
      </c>
      <c r="I2859" s="0" t="n">
        <v>1348598</v>
      </c>
      <c r="J2859" s="0" t="n">
        <v>100016</v>
      </c>
      <c r="K2859" s="0" t="n">
        <v>17</v>
      </c>
      <c r="L2859" s="0" t="s">
        <v>2493</v>
      </c>
      <c r="N2859" s="0" t="n">
        <v>1.808</v>
      </c>
      <c r="O2859" s="0" t="n">
        <v>104.36</v>
      </c>
      <c r="P2859" s="0" t="s">
        <v>2444</v>
      </c>
    </row>
    <row r="2860" customFormat="false" ht="15" hidden="false" customHeight="true" outlineLevel="0" collapsed="false">
      <c r="A2860" s="0" t="n">
        <v>2</v>
      </c>
      <c r="B2860" s="71" t="n">
        <v>46207</v>
      </c>
      <c r="C2860" s="0" t="n">
        <v>100</v>
      </c>
      <c r="D2860" s="0" t="s">
        <v>2499</v>
      </c>
      <c r="E2860" s="0" t="n">
        <v>48</v>
      </c>
      <c r="F2860" s="0" t="s">
        <v>153</v>
      </c>
      <c r="I2860" s="0" t="n">
        <v>1348598</v>
      </c>
      <c r="J2860" s="0" t="n">
        <v>100018</v>
      </c>
      <c r="K2860" s="0" t="n">
        <v>19</v>
      </c>
      <c r="L2860" s="0" t="s">
        <v>3883</v>
      </c>
      <c r="N2860" s="0" t="n">
        <v>6.64</v>
      </c>
      <c r="O2860" s="0" t="n">
        <v>301.14</v>
      </c>
      <c r="P2860" s="0" t="s">
        <v>2444</v>
      </c>
    </row>
    <row r="2861" customFormat="false" ht="15" hidden="false" customHeight="true" outlineLevel="0" collapsed="false">
      <c r="A2861" s="0" t="n">
        <v>2</v>
      </c>
      <c r="B2861" s="71" t="n">
        <v>46207</v>
      </c>
      <c r="C2861" s="0" t="n">
        <v>100</v>
      </c>
      <c r="D2861" s="0" t="s">
        <v>2499</v>
      </c>
      <c r="E2861" s="0" t="n">
        <v>48</v>
      </c>
      <c r="F2861" s="0" t="s">
        <v>153</v>
      </c>
      <c r="I2861" s="0" t="n">
        <v>1348598</v>
      </c>
      <c r="J2861" s="0" t="n">
        <v>100053</v>
      </c>
      <c r="K2861" s="0" t="n">
        <v>54</v>
      </c>
      <c r="L2861" s="0" t="s">
        <v>2495</v>
      </c>
      <c r="N2861" s="0" t="n">
        <v>1.95</v>
      </c>
      <c r="O2861" s="0" t="n">
        <v>70.75</v>
      </c>
      <c r="P2861" s="0" t="s">
        <v>2444</v>
      </c>
    </row>
    <row r="2862" customFormat="false" ht="15" hidden="false" customHeight="true" outlineLevel="0" collapsed="false">
      <c r="A2862" s="0" t="n">
        <v>2</v>
      </c>
      <c r="B2862" s="71" t="n">
        <v>46207</v>
      </c>
      <c r="C2862" s="0" t="n">
        <v>100</v>
      </c>
      <c r="D2862" s="0" t="s">
        <v>2499</v>
      </c>
      <c r="E2862" s="0" t="n">
        <v>48</v>
      </c>
      <c r="F2862" s="0" t="s">
        <v>153</v>
      </c>
      <c r="I2862" s="0" t="n">
        <v>1348598</v>
      </c>
      <c r="J2862" s="0" t="n">
        <v>100638</v>
      </c>
      <c r="K2862" s="0" t="n">
        <v>508</v>
      </c>
      <c r="L2862" s="0" t="s">
        <v>2496</v>
      </c>
      <c r="N2862" s="0" t="n">
        <v>0.138</v>
      </c>
      <c r="O2862" s="0" t="n">
        <v>0.34</v>
      </c>
      <c r="P2862" s="0" t="s">
        <v>2444</v>
      </c>
    </row>
    <row r="2863" customFormat="false" ht="15" hidden="false" customHeight="true" outlineLevel="0" collapsed="false">
      <c r="A2863" s="0" t="n">
        <v>2</v>
      </c>
      <c r="B2863" s="71" t="n">
        <v>46207</v>
      </c>
      <c r="C2863" s="0" t="n">
        <v>100</v>
      </c>
      <c r="D2863" s="0" t="s">
        <v>2499</v>
      </c>
      <c r="E2863" s="0" t="n">
        <v>48</v>
      </c>
      <c r="F2863" s="0" t="s">
        <v>153</v>
      </c>
      <c r="I2863" s="0" t="n">
        <v>1348598</v>
      </c>
      <c r="J2863" s="0" t="n">
        <v>100520</v>
      </c>
      <c r="K2863" s="0" t="n">
        <v>507</v>
      </c>
      <c r="L2863" s="0" t="s">
        <v>2497</v>
      </c>
      <c r="N2863" s="0" t="n">
        <v>3.946</v>
      </c>
      <c r="O2863" s="0" t="n">
        <v>9.73</v>
      </c>
      <c r="P2863" s="0" t="s">
        <v>2444</v>
      </c>
    </row>
    <row r="2864" customFormat="false" ht="15" hidden="false" customHeight="true" outlineLevel="0" collapsed="false">
      <c r="A2864" s="0" t="n">
        <v>2</v>
      </c>
      <c r="B2864" s="71" t="n">
        <v>46207</v>
      </c>
      <c r="C2864" s="0" t="n">
        <v>100</v>
      </c>
      <c r="D2864" s="0" t="s">
        <v>2499</v>
      </c>
      <c r="E2864" s="0" t="n">
        <v>48</v>
      </c>
      <c r="F2864" s="0" t="s">
        <v>153</v>
      </c>
      <c r="I2864" s="0" t="n">
        <v>1348601</v>
      </c>
      <c r="J2864" s="0" t="n">
        <v>100007</v>
      </c>
      <c r="K2864" s="0" t="n">
        <v>8</v>
      </c>
      <c r="L2864" s="0" t="s">
        <v>2486</v>
      </c>
      <c r="N2864" s="0" t="n">
        <v>1.801</v>
      </c>
      <c r="O2864" s="0" t="n">
        <v>46.57</v>
      </c>
      <c r="P2864" s="0" t="s">
        <v>2444</v>
      </c>
    </row>
    <row r="2865" customFormat="false" ht="15" hidden="false" customHeight="true" outlineLevel="0" collapsed="false">
      <c r="A2865" s="0" t="n">
        <v>2</v>
      </c>
      <c r="B2865" s="71" t="n">
        <v>46207</v>
      </c>
      <c r="C2865" s="0" t="n">
        <v>100</v>
      </c>
      <c r="D2865" s="0" t="s">
        <v>2499</v>
      </c>
      <c r="E2865" s="0" t="n">
        <v>48</v>
      </c>
      <c r="F2865" s="0" t="s">
        <v>153</v>
      </c>
      <c r="I2865" s="0" t="n">
        <v>1348601</v>
      </c>
      <c r="J2865" s="0" t="n">
        <v>100008</v>
      </c>
      <c r="K2865" s="0" t="n">
        <v>9</v>
      </c>
      <c r="L2865" s="0" t="s">
        <v>2487</v>
      </c>
      <c r="N2865" s="0" t="n">
        <v>3.81</v>
      </c>
      <c r="O2865" s="0" t="n">
        <v>128.07</v>
      </c>
      <c r="P2865" s="0" t="s">
        <v>2444</v>
      </c>
    </row>
    <row r="2866" customFormat="false" ht="15" hidden="false" customHeight="true" outlineLevel="0" collapsed="false">
      <c r="A2866" s="0" t="n">
        <v>2</v>
      </c>
      <c r="B2866" s="71" t="n">
        <v>46207</v>
      </c>
      <c r="C2866" s="0" t="n">
        <v>100</v>
      </c>
      <c r="D2866" s="0" t="s">
        <v>2499</v>
      </c>
      <c r="E2866" s="0" t="n">
        <v>48</v>
      </c>
      <c r="F2866" s="0" t="s">
        <v>153</v>
      </c>
      <c r="I2866" s="0" t="n">
        <v>1348601</v>
      </c>
      <c r="J2866" s="0" t="n">
        <v>100016</v>
      </c>
      <c r="K2866" s="0" t="n">
        <v>17</v>
      </c>
      <c r="L2866" s="0" t="s">
        <v>2493</v>
      </c>
      <c r="N2866" s="0" t="n">
        <v>1.686</v>
      </c>
      <c r="O2866" s="0" t="n">
        <v>101.74</v>
      </c>
      <c r="P2866" s="0" t="s">
        <v>2444</v>
      </c>
    </row>
    <row r="2867" customFormat="false" ht="15" hidden="false" customHeight="true" outlineLevel="0" collapsed="false">
      <c r="A2867" s="0" t="n">
        <v>2</v>
      </c>
      <c r="B2867" s="71" t="n">
        <v>46207</v>
      </c>
      <c r="C2867" s="0" t="n">
        <v>100</v>
      </c>
      <c r="D2867" s="0" t="s">
        <v>2499</v>
      </c>
      <c r="E2867" s="0" t="n">
        <v>48</v>
      </c>
      <c r="F2867" s="0" t="s">
        <v>153</v>
      </c>
      <c r="I2867" s="0" t="n">
        <v>1348601</v>
      </c>
      <c r="J2867" s="0" t="n">
        <v>100018</v>
      </c>
      <c r="K2867" s="0" t="n">
        <v>19</v>
      </c>
      <c r="L2867" s="0" t="s">
        <v>3883</v>
      </c>
      <c r="N2867" s="0" t="n">
        <v>6.455</v>
      </c>
      <c r="O2867" s="0" t="n">
        <v>306.03</v>
      </c>
      <c r="P2867" s="0" t="s">
        <v>2444</v>
      </c>
    </row>
    <row r="2868" customFormat="false" ht="15" hidden="false" customHeight="true" outlineLevel="0" collapsed="false">
      <c r="A2868" s="0" t="n">
        <v>2</v>
      </c>
      <c r="B2868" s="71" t="n">
        <v>46207</v>
      </c>
      <c r="C2868" s="0" t="n">
        <v>100</v>
      </c>
      <c r="D2868" s="0" t="s">
        <v>2499</v>
      </c>
      <c r="E2868" s="0" t="n">
        <v>48</v>
      </c>
      <c r="F2868" s="0" t="s">
        <v>153</v>
      </c>
      <c r="I2868" s="0" t="n">
        <v>1348601</v>
      </c>
      <c r="J2868" s="0" t="n">
        <v>100053</v>
      </c>
      <c r="K2868" s="0" t="n">
        <v>54</v>
      </c>
      <c r="L2868" s="0" t="s">
        <v>2495</v>
      </c>
      <c r="N2868" s="0" t="n">
        <v>1.254</v>
      </c>
      <c r="O2868" s="0" t="n">
        <v>47.56</v>
      </c>
      <c r="P2868" s="0" t="s">
        <v>2444</v>
      </c>
    </row>
    <row r="2869" customFormat="false" ht="15" hidden="false" customHeight="true" outlineLevel="0" collapsed="false">
      <c r="A2869" s="0" t="n">
        <v>2</v>
      </c>
      <c r="B2869" s="71" t="n">
        <v>46207</v>
      </c>
      <c r="C2869" s="0" t="n">
        <v>100</v>
      </c>
      <c r="D2869" s="0" t="s">
        <v>2499</v>
      </c>
      <c r="E2869" s="0" t="n">
        <v>48</v>
      </c>
      <c r="F2869" s="0" t="s">
        <v>153</v>
      </c>
      <c r="I2869" s="0" t="n">
        <v>1348601</v>
      </c>
      <c r="J2869" s="0" t="n">
        <v>100638</v>
      </c>
      <c r="K2869" s="0" t="n">
        <v>508</v>
      </c>
      <c r="L2869" s="0" t="s">
        <v>2496</v>
      </c>
      <c r="N2869" s="0" t="n">
        <v>0.5</v>
      </c>
      <c r="O2869" s="0" t="n">
        <v>1.28</v>
      </c>
      <c r="P2869" s="0" t="s">
        <v>2444</v>
      </c>
    </row>
    <row r="2870" customFormat="false" ht="15" hidden="false" customHeight="true" outlineLevel="0" collapsed="false">
      <c r="A2870" s="0" t="n">
        <v>2</v>
      </c>
      <c r="B2870" s="71" t="n">
        <v>46207</v>
      </c>
      <c r="C2870" s="0" t="n">
        <v>100</v>
      </c>
      <c r="D2870" s="0" t="s">
        <v>2499</v>
      </c>
      <c r="E2870" s="0" t="n">
        <v>48</v>
      </c>
      <c r="F2870" s="0" t="s">
        <v>153</v>
      </c>
      <c r="I2870" s="0" t="n">
        <v>1348601</v>
      </c>
      <c r="J2870" s="0" t="n">
        <v>100520</v>
      </c>
      <c r="K2870" s="0" t="n">
        <v>507</v>
      </c>
      <c r="L2870" s="0" t="s">
        <v>2497</v>
      </c>
      <c r="N2870" s="0" t="n">
        <v>3.994</v>
      </c>
      <c r="O2870" s="0" t="n">
        <v>10.3</v>
      </c>
      <c r="P2870" s="0" t="s">
        <v>2444</v>
      </c>
    </row>
    <row r="2871" customFormat="false" ht="15" hidden="false" customHeight="true" outlineLevel="0" collapsed="false">
      <c r="A2871" s="0" t="n">
        <v>2</v>
      </c>
      <c r="B2871" s="71" t="n">
        <v>46207</v>
      </c>
      <c r="C2871" s="0" t="n">
        <v>100</v>
      </c>
      <c r="D2871" s="0" t="s">
        <v>2499</v>
      </c>
      <c r="E2871" s="0" t="n">
        <v>48</v>
      </c>
      <c r="F2871" s="0" t="s">
        <v>153</v>
      </c>
      <c r="I2871" s="0" t="n">
        <v>1348604</v>
      </c>
      <c r="J2871" s="0" t="n">
        <v>100007</v>
      </c>
      <c r="K2871" s="0" t="n">
        <v>8</v>
      </c>
      <c r="L2871" s="0" t="s">
        <v>2486</v>
      </c>
      <c r="N2871" s="0" t="n">
        <v>1.3</v>
      </c>
      <c r="O2871" s="0" t="n">
        <v>32.87</v>
      </c>
      <c r="P2871" s="0" t="s">
        <v>2444</v>
      </c>
    </row>
    <row r="2872" customFormat="false" ht="15" hidden="false" customHeight="true" outlineLevel="0" collapsed="false">
      <c r="A2872" s="0" t="n">
        <v>2</v>
      </c>
      <c r="B2872" s="71" t="n">
        <v>46207</v>
      </c>
      <c r="C2872" s="0" t="n">
        <v>100</v>
      </c>
      <c r="D2872" s="0" t="s">
        <v>2499</v>
      </c>
      <c r="E2872" s="0" t="n">
        <v>48</v>
      </c>
      <c r="F2872" s="0" t="s">
        <v>153</v>
      </c>
      <c r="I2872" s="0" t="n">
        <v>1348604</v>
      </c>
      <c r="J2872" s="0" t="n">
        <v>100008</v>
      </c>
      <c r="K2872" s="0" t="n">
        <v>9</v>
      </c>
      <c r="L2872" s="0" t="s">
        <v>2487</v>
      </c>
      <c r="N2872" s="0" t="n">
        <v>14.395</v>
      </c>
      <c r="O2872" s="0" t="n">
        <v>473.16</v>
      </c>
      <c r="P2872" s="0" t="s">
        <v>2444</v>
      </c>
    </row>
    <row r="2873" customFormat="false" ht="15" hidden="false" customHeight="true" outlineLevel="0" collapsed="false">
      <c r="A2873" s="0" t="n">
        <v>2</v>
      </c>
      <c r="B2873" s="71" t="n">
        <v>46207</v>
      </c>
      <c r="C2873" s="0" t="n">
        <v>100</v>
      </c>
      <c r="D2873" s="0" t="s">
        <v>2499</v>
      </c>
      <c r="E2873" s="0" t="n">
        <v>48</v>
      </c>
      <c r="F2873" s="0" t="s">
        <v>153</v>
      </c>
      <c r="I2873" s="0" t="n">
        <v>1348604</v>
      </c>
      <c r="J2873" s="0" t="n">
        <v>100016</v>
      </c>
      <c r="K2873" s="0" t="n">
        <v>17</v>
      </c>
      <c r="L2873" s="0" t="s">
        <v>2493</v>
      </c>
      <c r="N2873" s="0" t="n">
        <v>2.158</v>
      </c>
      <c r="O2873" s="0" t="n">
        <v>127.33</v>
      </c>
      <c r="P2873" s="0" t="s">
        <v>2444</v>
      </c>
    </row>
    <row r="2874" customFormat="false" ht="15" hidden="false" customHeight="true" outlineLevel="0" collapsed="false">
      <c r="A2874" s="0" t="n">
        <v>2</v>
      </c>
      <c r="B2874" s="71" t="n">
        <v>46207</v>
      </c>
      <c r="C2874" s="0" t="n">
        <v>100</v>
      </c>
      <c r="D2874" s="0" t="s">
        <v>2499</v>
      </c>
      <c r="E2874" s="0" t="n">
        <v>48</v>
      </c>
      <c r="F2874" s="0" t="s">
        <v>153</v>
      </c>
      <c r="I2874" s="0" t="n">
        <v>1348604</v>
      </c>
      <c r="J2874" s="0" t="n">
        <v>100053</v>
      </c>
      <c r="K2874" s="0" t="n">
        <v>54</v>
      </c>
      <c r="L2874" s="0" t="s">
        <v>2495</v>
      </c>
      <c r="N2874" s="0" t="n">
        <v>0.908</v>
      </c>
      <c r="O2874" s="0" t="n">
        <v>33.67</v>
      </c>
      <c r="P2874" s="0" t="s">
        <v>2444</v>
      </c>
    </row>
    <row r="2875" customFormat="false" ht="15" hidden="false" customHeight="true" outlineLevel="0" collapsed="false">
      <c r="A2875" s="0" t="n">
        <v>2</v>
      </c>
      <c r="B2875" s="71" t="n">
        <v>46207</v>
      </c>
      <c r="C2875" s="0" t="n">
        <v>100</v>
      </c>
      <c r="D2875" s="0" t="s">
        <v>2499</v>
      </c>
      <c r="E2875" s="0" t="n">
        <v>48</v>
      </c>
      <c r="F2875" s="0" t="s">
        <v>153</v>
      </c>
      <c r="I2875" s="0" t="n">
        <v>1348604</v>
      </c>
      <c r="J2875" s="0" t="n">
        <v>100638</v>
      </c>
      <c r="K2875" s="0" t="n">
        <v>508</v>
      </c>
      <c r="L2875" s="0" t="s">
        <v>2496</v>
      </c>
      <c r="N2875" s="0" t="n">
        <v>0.683</v>
      </c>
      <c r="O2875" s="0" t="n">
        <v>1.72</v>
      </c>
      <c r="P2875" s="0" t="s">
        <v>2444</v>
      </c>
    </row>
    <row r="2876" customFormat="false" ht="15" hidden="false" customHeight="true" outlineLevel="0" collapsed="false">
      <c r="A2876" s="0" t="n">
        <v>2</v>
      </c>
      <c r="B2876" s="71" t="n">
        <v>46207</v>
      </c>
      <c r="C2876" s="0" t="n">
        <v>100</v>
      </c>
      <c r="D2876" s="0" t="s">
        <v>2499</v>
      </c>
      <c r="E2876" s="0" t="n">
        <v>48</v>
      </c>
      <c r="F2876" s="0" t="s">
        <v>153</v>
      </c>
      <c r="I2876" s="0" t="n">
        <v>1348604</v>
      </c>
      <c r="J2876" s="0" t="n">
        <v>100520</v>
      </c>
      <c r="K2876" s="0" t="n">
        <v>507</v>
      </c>
      <c r="L2876" s="0" t="s">
        <v>2497</v>
      </c>
      <c r="N2876" s="0" t="n">
        <v>0.956</v>
      </c>
      <c r="O2876" s="0" t="n">
        <v>2.41</v>
      </c>
      <c r="P2876" s="0" t="s">
        <v>2444</v>
      </c>
    </row>
    <row r="2877" customFormat="false" ht="15" hidden="false" customHeight="true" outlineLevel="0" collapsed="false">
      <c r="A2877" s="0" t="n">
        <v>2</v>
      </c>
      <c r="B2877" s="71" t="n">
        <v>46209</v>
      </c>
      <c r="C2877" s="0" t="n">
        <v>1</v>
      </c>
      <c r="D2877" s="0" t="s">
        <v>2442</v>
      </c>
      <c r="E2877" s="0" t="n">
        <v>1783</v>
      </c>
      <c r="F2877" s="0" t="s">
        <v>340</v>
      </c>
      <c r="I2877" s="0" t="n">
        <v>512</v>
      </c>
      <c r="J2877" s="0" t="n">
        <v>39453</v>
      </c>
      <c r="K2877" s="0" t="n">
        <v>4901088061111</v>
      </c>
      <c r="L2877" s="0" t="s">
        <v>2713</v>
      </c>
      <c r="N2877" s="0" t="n">
        <v>96</v>
      </c>
      <c r="O2877" s="0" t="n">
        <v>160.32</v>
      </c>
      <c r="P2877" s="0" t="s">
        <v>2444</v>
      </c>
    </row>
    <row r="2878" customFormat="false" ht="15" hidden="false" customHeight="true" outlineLevel="0" collapsed="false">
      <c r="A2878" s="0" t="n">
        <v>2</v>
      </c>
      <c r="B2878" s="71" t="n">
        <v>46209</v>
      </c>
      <c r="C2878" s="0" t="n">
        <v>1</v>
      </c>
      <c r="D2878" s="0" t="s">
        <v>2442</v>
      </c>
      <c r="E2878" s="0" t="n">
        <v>1363</v>
      </c>
      <c r="F2878" s="0" t="s">
        <v>174</v>
      </c>
      <c r="I2878" s="0" t="n">
        <v>3500</v>
      </c>
      <c r="J2878" s="0" t="n">
        <v>65493</v>
      </c>
      <c r="K2878" s="0" t="n">
        <v>609963171002</v>
      </c>
      <c r="L2878" s="0" t="s">
        <v>2586</v>
      </c>
      <c r="N2878" s="0" t="n">
        <v>2</v>
      </c>
      <c r="O2878" s="0" t="n">
        <v>12</v>
      </c>
      <c r="P2878" s="0" t="s">
        <v>2444</v>
      </c>
    </row>
    <row r="2879" customFormat="false" ht="15" hidden="false" customHeight="true" outlineLevel="0" collapsed="false">
      <c r="A2879" s="0" t="n">
        <v>2</v>
      </c>
      <c r="B2879" s="71" t="n">
        <v>46209</v>
      </c>
      <c r="C2879" s="0" t="n">
        <v>1</v>
      </c>
      <c r="D2879" s="0" t="s">
        <v>2442</v>
      </c>
      <c r="E2879" s="0" t="n">
        <v>1363</v>
      </c>
      <c r="F2879" s="0" t="s">
        <v>174</v>
      </c>
      <c r="I2879" s="0" t="n">
        <v>3500</v>
      </c>
      <c r="J2879" s="0" t="n">
        <v>65494</v>
      </c>
      <c r="K2879" s="0" t="n">
        <v>618231677535</v>
      </c>
      <c r="L2879" s="0" t="s">
        <v>2587</v>
      </c>
      <c r="N2879" s="0" t="n">
        <v>15</v>
      </c>
      <c r="O2879" s="0" t="n">
        <v>90</v>
      </c>
      <c r="P2879" s="0" t="s">
        <v>2444</v>
      </c>
    </row>
    <row r="2880" customFormat="false" ht="15" hidden="false" customHeight="true" outlineLevel="0" collapsed="false">
      <c r="A2880" s="0" t="n">
        <v>2</v>
      </c>
      <c r="B2880" s="71" t="n">
        <v>46209</v>
      </c>
      <c r="C2880" s="0" t="n">
        <v>1</v>
      </c>
      <c r="D2880" s="0" t="s">
        <v>2442</v>
      </c>
      <c r="E2880" s="0" t="n">
        <v>1363</v>
      </c>
      <c r="F2880" s="0" t="s">
        <v>174</v>
      </c>
      <c r="I2880" s="0" t="n">
        <v>3500</v>
      </c>
      <c r="J2880" s="0" t="n">
        <v>65496</v>
      </c>
      <c r="K2880" s="0" t="n">
        <v>618231677528</v>
      </c>
      <c r="L2880" s="0" t="s">
        <v>2588</v>
      </c>
      <c r="N2880" s="0" t="n">
        <v>2</v>
      </c>
      <c r="O2880" s="0" t="n">
        <v>12</v>
      </c>
      <c r="P2880" s="0" t="s">
        <v>2444</v>
      </c>
    </row>
    <row r="2881" customFormat="false" ht="15" hidden="false" customHeight="true" outlineLevel="0" collapsed="false">
      <c r="A2881" s="0" t="n">
        <v>2</v>
      </c>
      <c r="B2881" s="71" t="n">
        <v>46209</v>
      </c>
      <c r="C2881" s="0" t="n">
        <v>1</v>
      </c>
      <c r="D2881" s="0" t="s">
        <v>2442</v>
      </c>
      <c r="E2881" s="0" t="n">
        <v>1363</v>
      </c>
      <c r="F2881" s="0" t="s">
        <v>174</v>
      </c>
      <c r="I2881" s="0" t="n">
        <v>3500</v>
      </c>
      <c r="J2881" s="0" t="n">
        <v>65621</v>
      </c>
      <c r="K2881" s="0" t="n">
        <v>618231677504</v>
      </c>
      <c r="L2881" s="0" t="s">
        <v>2589</v>
      </c>
      <c r="N2881" s="0" t="n">
        <v>4</v>
      </c>
      <c r="O2881" s="0" t="n">
        <v>28</v>
      </c>
      <c r="P2881" s="0" t="s">
        <v>2444</v>
      </c>
    </row>
    <row r="2882" customFormat="false" ht="15" hidden="false" customHeight="true" outlineLevel="0" collapsed="false">
      <c r="A2882" s="0" t="n">
        <v>2</v>
      </c>
      <c r="B2882" s="71" t="n">
        <v>46209</v>
      </c>
      <c r="C2882" s="0" t="n">
        <v>1</v>
      </c>
      <c r="D2882" s="0" t="s">
        <v>2442</v>
      </c>
      <c r="E2882" s="0" t="n">
        <v>1723</v>
      </c>
      <c r="F2882" s="0" t="s">
        <v>371</v>
      </c>
      <c r="I2882" s="0" t="n">
        <v>172659</v>
      </c>
      <c r="J2882" s="0" t="n">
        <v>29079</v>
      </c>
      <c r="K2882" s="0" t="n">
        <v>55515</v>
      </c>
      <c r="L2882" s="0" t="s">
        <v>2449</v>
      </c>
      <c r="N2882" s="0" t="n">
        <v>70.1</v>
      </c>
      <c r="O2882" s="0" t="n">
        <v>2243.2</v>
      </c>
      <c r="P2882" s="0" t="s">
        <v>2444</v>
      </c>
    </row>
    <row r="2883" customFormat="false" ht="15" hidden="false" customHeight="true" outlineLevel="0" collapsed="false">
      <c r="A2883" s="0" t="n">
        <v>2</v>
      </c>
      <c r="B2883" s="71" t="n">
        <v>46209</v>
      </c>
      <c r="C2883" s="0" t="n">
        <v>1</v>
      </c>
      <c r="D2883" s="0" t="s">
        <v>2442</v>
      </c>
      <c r="E2883" s="0" t="n">
        <v>1705</v>
      </c>
      <c r="F2883" s="0" t="s">
        <v>130</v>
      </c>
      <c r="I2883" s="0" t="n">
        <v>1187910</v>
      </c>
      <c r="J2883" s="0" t="n">
        <v>24324</v>
      </c>
      <c r="K2883" s="0" t="n">
        <v>70847022015</v>
      </c>
      <c r="L2883" s="0" t="s">
        <v>2462</v>
      </c>
      <c r="N2883" s="0" t="n">
        <v>48</v>
      </c>
      <c r="O2883" s="0" t="n">
        <v>406.84</v>
      </c>
      <c r="P2883" s="0" t="s">
        <v>2444</v>
      </c>
    </row>
    <row r="2884" customFormat="false" ht="15" hidden="false" customHeight="true" outlineLevel="0" collapsed="false">
      <c r="A2884" s="0" t="n">
        <v>2</v>
      </c>
      <c r="B2884" s="71" t="n">
        <v>46209</v>
      </c>
      <c r="C2884" s="0" t="n">
        <v>1</v>
      </c>
      <c r="D2884" s="0" t="s">
        <v>2442</v>
      </c>
      <c r="E2884" s="0" t="n">
        <v>1705</v>
      </c>
      <c r="F2884" s="0" t="s">
        <v>130</v>
      </c>
      <c r="I2884" s="0" t="n">
        <v>1187910</v>
      </c>
      <c r="J2884" s="0" t="n">
        <v>54315</v>
      </c>
      <c r="K2884" s="0" t="n">
        <v>1220000250222</v>
      </c>
      <c r="L2884" s="0" t="s">
        <v>2464</v>
      </c>
      <c r="N2884" s="0" t="n">
        <v>6</v>
      </c>
      <c r="O2884" s="0" t="n">
        <v>50.85</v>
      </c>
      <c r="P2884" s="0" t="s">
        <v>2444</v>
      </c>
    </row>
    <row r="2885" customFormat="false" ht="15" hidden="false" customHeight="true" outlineLevel="0" collapsed="false">
      <c r="A2885" s="0" t="n">
        <v>2</v>
      </c>
      <c r="B2885" s="71" t="n">
        <v>46209</v>
      </c>
      <c r="C2885" s="0" t="n">
        <v>1</v>
      </c>
      <c r="D2885" s="0" t="s">
        <v>2442</v>
      </c>
      <c r="E2885" s="0" t="n">
        <v>1705</v>
      </c>
      <c r="F2885" s="0" t="s">
        <v>130</v>
      </c>
      <c r="I2885" s="0" t="n">
        <v>1187910</v>
      </c>
      <c r="J2885" s="0" t="n">
        <v>66038</v>
      </c>
      <c r="K2885" s="0" t="n">
        <v>7898938890076</v>
      </c>
      <c r="L2885" s="0" t="s">
        <v>3442</v>
      </c>
      <c r="N2885" s="0" t="n">
        <v>24</v>
      </c>
      <c r="O2885" s="0" t="n">
        <v>203.42</v>
      </c>
      <c r="P2885" s="0" t="s">
        <v>2444</v>
      </c>
    </row>
    <row r="2886" customFormat="false" ht="15" hidden="false" customHeight="true" outlineLevel="0" collapsed="false">
      <c r="A2886" s="0" t="n">
        <v>2</v>
      </c>
      <c r="B2886" s="71" t="n">
        <v>46209</v>
      </c>
      <c r="C2886" s="0" t="n">
        <v>1</v>
      </c>
      <c r="D2886" s="0" t="s">
        <v>2442</v>
      </c>
      <c r="E2886" s="0" t="n">
        <v>1705</v>
      </c>
      <c r="F2886" s="0" t="s">
        <v>130</v>
      </c>
      <c r="I2886" s="0" t="n">
        <v>1187910</v>
      </c>
      <c r="J2886" s="0" t="n">
        <v>81668</v>
      </c>
      <c r="K2886" s="0" t="n">
        <v>7898770420011</v>
      </c>
      <c r="L2886" s="0" t="s">
        <v>3884</v>
      </c>
      <c r="N2886" s="0" t="n">
        <v>12</v>
      </c>
      <c r="O2886" s="0" t="n">
        <v>101.71</v>
      </c>
      <c r="P2886" s="0" t="s">
        <v>2444</v>
      </c>
    </row>
    <row r="2887" customFormat="false" ht="15" hidden="false" customHeight="true" outlineLevel="0" collapsed="false">
      <c r="A2887" s="0" t="n">
        <v>2</v>
      </c>
      <c r="B2887" s="71" t="n">
        <v>46209</v>
      </c>
      <c r="C2887" s="0" t="n">
        <v>1</v>
      </c>
      <c r="D2887" s="0" t="s">
        <v>2442</v>
      </c>
      <c r="E2887" s="0" t="n">
        <v>1705</v>
      </c>
      <c r="F2887" s="0" t="s">
        <v>130</v>
      </c>
      <c r="I2887" s="0" t="n">
        <v>1187912</v>
      </c>
      <c r="J2887" s="0" t="n">
        <v>62624</v>
      </c>
      <c r="K2887" s="0" t="n">
        <v>7896045506873</v>
      </c>
      <c r="L2887" s="0" t="s">
        <v>2965</v>
      </c>
      <c r="N2887" s="0" t="n">
        <v>12</v>
      </c>
      <c r="O2887" s="0" t="n">
        <v>63.37</v>
      </c>
      <c r="P2887" s="0" t="s">
        <v>2444</v>
      </c>
    </row>
    <row r="2888" customFormat="false" ht="15" hidden="false" customHeight="true" outlineLevel="0" collapsed="false">
      <c r="A2888" s="0" t="n">
        <v>2</v>
      </c>
      <c r="B2888" s="71" t="n">
        <v>46209</v>
      </c>
      <c r="C2888" s="0" t="n">
        <v>1</v>
      </c>
      <c r="D2888" s="0" t="s">
        <v>2442</v>
      </c>
      <c r="E2888" s="0" t="n">
        <v>1683</v>
      </c>
      <c r="F2888" s="0" t="s">
        <v>406</v>
      </c>
      <c r="I2888" s="0" t="n">
        <v>1642710</v>
      </c>
      <c r="J2888" s="0" t="n">
        <v>109791</v>
      </c>
      <c r="K2888" s="0" t="n">
        <v>9667</v>
      </c>
      <c r="L2888" s="0" t="s">
        <v>2465</v>
      </c>
      <c r="N2888" s="0" t="n">
        <v>10</v>
      </c>
      <c r="O2888" s="0" t="n">
        <v>15</v>
      </c>
      <c r="P2888" s="0" t="s">
        <v>2444</v>
      </c>
    </row>
    <row r="2889" customFormat="false" ht="15" hidden="false" customHeight="true" outlineLevel="0" collapsed="false">
      <c r="A2889" s="0" t="n">
        <v>2</v>
      </c>
      <c r="B2889" s="71" t="n">
        <v>46209</v>
      </c>
      <c r="C2889" s="0" t="n">
        <v>1</v>
      </c>
      <c r="D2889" s="0" t="s">
        <v>2442</v>
      </c>
      <c r="E2889" s="0" t="n">
        <v>1683</v>
      </c>
      <c r="F2889" s="0" t="s">
        <v>406</v>
      </c>
      <c r="I2889" s="0" t="n">
        <v>1642710</v>
      </c>
      <c r="J2889" s="0" t="n">
        <v>37359</v>
      </c>
      <c r="K2889" s="0" t="n">
        <v>55526</v>
      </c>
      <c r="L2889" s="0" t="s">
        <v>2466</v>
      </c>
      <c r="N2889" s="0" t="n">
        <v>10</v>
      </c>
      <c r="O2889" s="0" t="n">
        <v>35</v>
      </c>
      <c r="P2889" s="0" t="s">
        <v>2444</v>
      </c>
    </row>
    <row r="2890" customFormat="false" ht="15" hidden="false" customHeight="true" outlineLevel="0" collapsed="false">
      <c r="A2890" s="0" t="n">
        <v>2</v>
      </c>
      <c r="B2890" s="71" t="n">
        <v>46209</v>
      </c>
      <c r="C2890" s="0" t="n">
        <v>1</v>
      </c>
      <c r="D2890" s="0" t="s">
        <v>2442</v>
      </c>
      <c r="E2890" s="0" t="n">
        <v>1683</v>
      </c>
      <c r="F2890" s="0" t="s">
        <v>406</v>
      </c>
      <c r="I2890" s="0" t="n">
        <v>1642710</v>
      </c>
      <c r="J2890" s="0" t="n">
        <v>37361</v>
      </c>
      <c r="K2890" s="0" t="n">
        <v>2240817</v>
      </c>
      <c r="L2890" s="0" t="s">
        <v>2467</v>
      </c>
      <c r="N2890" s="0" t="n">
        <v>50</v>
      </c>
      <c r="O2890" s="0" t="n">
        <v>90</v>
      </c>
      <c r="P2890" s="0" t="s">
        <v>2444</v>
      </c>
    </row>
    <row r="2891" customFormat="false" ht="15" hidden="false" customHeight="true" outlineLevel="0" collapsed="false">
      <c r="A2891" s="0" t="n">
        <v>2</v>
      </c>
      <c r="B2891" s="71" t="n">
        <v>46209</v>
      </c>
      <c r="C2891" s="0" t="n">
        <v>1</v>
      </c>
      <c r="D2891" s="0" t="s">
        <v>2442</v>
      </c>
      <c r="E2891" s="0" t="n">
        <v>1705</v>
      </c>
      <c r="F2891" s="0" t="s">
        <v>130</v>
      </c>
      <c r="I2891" s="0" t="n">
        <v>1917880</v>
      </c>
      <c r="J2891" s="0" t="n">
        <v>10830</v>
      </c>
      <c r="K2891" s="0" t="n">
        <v>7894900701517</v>
      </c>
      <c r="L2891" s="0" t="s">
        <v>2573</v>
      </c>
      <c r="N2891" s="0" t="n">
        <v>24</v>
      </c>
      <c r="O2891" s="0" t="n">
        <v>205.13</v>
      </c>
      <c r="P2891" s="0" t="s">
        <v>2444</v>
      </c>
    </row>
    <row r="2892" customFormat="false" ht="15" hidden="false" customHeight="true" outlineLevel="0" collapsed="false">
      <c r="A2892" s="0" t="n">
        <v>2</v>
      </c>
      <c r="B2892" s="71" t="n">
        <v>46209</v>
      </c>
      <c r="C2892" s="0" t="n">
        <v>2</v>
      </c>
      <c r="D2892" s="0" t="s">
        <v>2533</v>
      </c>
      <c r="E2892" s="0" t="n">
        <v>48</v>
      </c>
      <c r="F2892" s="0" t="s">
        <v>153</v>
      </c>
      <c r="I2892" s="0" t="n">
        <v>6726</v>
      </c>
      <c r="J2892" s="0" t="n">
        <v>42564</v>
      </c>
      <c r="K2892" s="0" t="n">
        <v>574</v>
      </c>
      <c r="L2892" s="0" t="s">
        <v>2534</v>
      </c>
      <c r="N2892" s="0" t="n">
        <v>15</v>
      </c>
      <c r="O2892" s="0" t="n">
        <v>210</v>
      </c>
      <c r="P2892" s="0" t="s">
        <v>2444</v>
      </c>
    </row>
    <row r="2893" customFormat="false" ht="15" hidden="false" customHeight="true" outlineLevel="0" collapsed="false">
      <c r="A2893" s="0" t="n">
        <v>2</v>
      </c>
      <c r="B2893" s="71" t="n">
        <v>46209</v>
      </c>
      <c r="C2893" s="0" t="n">
        <v>6</v>
      </c>
      <c r="D2893" s="0" t="s">
        <v>2553</v>
      </c>
      <c r="E2893" s="0" t="n">
        <v>48</v>
      </c>
      <c r="F2893" s="0" t="s">
        <v>153</v>
      </c>
      <c r="I2893" s="0" t="n">
        <v>2527</v>
      </c>
      <c r="J2893" s="0" t="n">
        <v>42564</v>
      </c>
      <c r="K2893" s="0" t="n">
        <v>574</v>
      </c>
      <c r="L2893" s="0" t="s">
        <v>2534</v>
      </c>
      <c r="N2893" s="0" t="n">
        <v>15</v>
      </c>
      <c r="O2893" s="0" t="n">
        <v>210</v>
      </c>
      <c r="P2893" s="0" t="s">
        <v>2444</v>
      </c>
    </row>
    <row r="2894" customFormat="false" ht="15" hidden="false" customHeight="true" outlineLevel="0" collapsed="false">
      <c r="A2894" s="0" t="n">
        <v>2</v>
      </c>
      <c r="B2894" s="71" t="n">
        <v>46209</v>
      </c>
      <c r="C2894" s="0" t="n">
        <v>11</v>
      </c>
      <c r="D2894" s="0" t="s">
        <v>2471</v>
      </c>
      <c r="E2894" s="0" t="n">
        <v>1705</v>
      </c>
      <c r="F2894" s="0" t="s">
        <v>130</v>
      </c>
      <c r="I2894" s="0" t="n">
        <v>1917854</v>
      </c>
      <c r="J2894" s="0" t="n">
        <v>103140</v>
      </c>
      <c r="K2894" s="0" t="n">
        <v>7894900031751</v>
      </c>
      <c r="L2894" s="0" t="s">
        <v>2655</v>
      </c>
      <c r="N2894" s="0" t="n">
        <v>18</v>
      </c>
      <c r="O2894" s="0" t="n">
        <v>93.77</v>
      </c>
      <c r="P2894" s="0" t="s">
        <v>2444</v>
      </c>
    </row>
    <row r="2895" customFormat="false" ht="15" hidden="false" customHeight="true" outlineLevel="0" collapsed="false">
      <c r="A2895" s="0" t="n">
        <v>2</v>
      </c>
      <c r="B2895" s="71" t="n">
        <v>46209</v>
      </c>
      <c r="C2895" s="0" t="n">
        <v>11</v>
      </c>
      <c r="D2895" s="0" t="s">
        <v>2471</v>
      </c>
      <c r="E2895" s="0" t="n">
        <v>1705</v>
      </c>
      <c r="F2895" s="0" t="s">
        <v>130</v>
      </c>
      <c r="I2895" s="0" t="n">
        <v>1917854</v>
      </c>
      <c r="J2895" s="0" t="n">
        <v>103142</v>
      </c>
      <c r="K2895" s="0" t="n">
        <v>7894900011753</v>
      </c>
      <c r="L2895" s="0" t="s">
        <v>2581</v>
      </c>
      <c r="N2895" s="0" t="n">
        <v>60</v>
      </c>
      <c r="O2895" s="0" t="n">
        <v>365.08</v>
      </c>
      <c r="P2895" s="0" t="s">
        <v>2444</v>
      </c>
    </row>
    <row r="2896" customFormat="false" ht="15" hidden="false" customHeight="true" outlineLevel="0" collapsed="false">
      <c r="A2896" s="0" t="n">
        <v>2</v>
      </c>
      <c r="B2896" s="71" t="n">
        <v>46209</v>
      </c>
      <c r="C2896" s="0" t="n">
        <v>11</v>
      </c>
      <c r="D2896" s="0" t="s">
        <v>2471</v>
      </c>
      <c r="E2896" s="0" t="n">
        <v>1705</v>
      </c>
      <c r="F2896" s="0" t="s">
        <v>130</v>
      </c>
      <c r="I2896" s="0" t="n">
        <v>1917854</v>
      </c>
      <c r="J2896" s="0" t="n">
        <v>103145</v>
      </c>
      <c r="K2896" s="0" t="n">
        <v>7894900051513</v>
      </c>
      <c r="L2896" s="0" t="s">
        <v>2995</v>
      </c>
      <c r="N2896" s="0" t="n">
        <v>24</v>
      </c>
      <c r="O2896" s="0" t="n">
        <v>179.98</v>
      </c>
      <c r="P2896" s="0" t="s">
        <v>2444</v>
      </c>
    </row>
    <row r="2897" customFormat="false" ht="15" hidden="false" customHeight="true" outlineLevel="0" collapsed="false">
      <c r="A2897" s="0" t="n">
        <v>2</v>
      </c>
      <c r="B2897" s="71" t="n">
        <v>46209</v>
      </c>
      <c r="C2897" s="0" t="n">
        <v>11</v>
      </c>
      <c r="D2897" s="0" t="s">
        <v>2471</v>
      </c>
      <c r="E2897" s="0" t="n">
        <v>1705</v>
      </c>
      <c r="F2897" s="0" t="s">
        <v>130</v>
      </c>
      <c r="I2897" s="0" t="n">
        <v>1917854</v>
      </c>
      <c r="J2897" s="0" t="n">
        <v>103146</v>
      </c>
      <c r="K2897" s="0" t="n">
        <v>7894900031515</v>
      </c>
      <c r="L2897" s="0" t="s">
        <v>2567</v>
      </c>
      <c r="N2897" s="0" t="n">
        <v>30</v>
      </c>
      <c r="O2897" s="0" t="n">
        <v>224.97</v>
      </c>
      <c r="P2897" s="0" t="s">
        <v>2444</v>
      </c>
    </row>
    <row r="2898" customFormat="false" ht="15" hidden="false" customHeight="true" outlineLevel="0" collapsed="false">
      <c r="A2898" s="0" t="n">
        <v>2</v>
      </c>
      <c r="B2898" s="71" t="n">
        <v>46209</v>
      </c>
      <c r="C2898" s="0" t="n">
        <v>11</v>
      </c>
      <c r="D2898" s="0" t="s">
        <v>2471</v>
      </c>
      <c r="E2898" s="0" t="n">
        <v>1705</v>
      </c>
      <c r="F2898" s="0" t="s">
        <v>130</v>
      </c>
      <c r="I2898" s="0" t="n">
        <v>1917854</v>
      </c>
      <c r="J2898" s="0" t="n">
        <v>104472</v>
      </c>
      <c r="K2898" s="0" t="n">
        <v>7897105200038</v>
      </c>
      <c r="L2898" s="0" t="s">
        <v>2657</v>
      </c>
      <c r="N2898" s="0" t="n">
        <v>27</v>
      </c>
      <c r="O2898" s="0" t="n">
        <v>122.53</v>
      </c>
      <c r="P2898" s="0" t="s">
        <v>2444</v>
      </c>
    </row>
    <row r="2899" customFormat="false" ht="15" hidden="false" customHeight="true" outlineLevel="0" collapsed="false">
      <c r="A2899" s="0" t="n">
        <v>2</v>
      </c>
      <c r="B2899" s="71" t="n">
        <v>46209</v>
      </c>
      <c r="C2899" s="0" t="n">
        <v>11</v>
      </c>
      <c r="D2899" s="0" t="s">
        <v>2471</v>
      </c>
      <c r="E2899" s="0" t="n">
        <v>1705</v>
      </c>
      <c r="F2899" s="0" t="s">
        <v>130</v>
      </c>
      <c r="I2899" s="0" t="n">
        <v>1917854</v>
      </c>
      <c r="J2899" s="0" t="n">
        <v>105323</v>
      </c>
      <c r="K2899" s="0" t="n">
        <v>7894900701753</v>
      </c>
      <c r="L2899" s="0" t="s">
        <v>2570</v>
      </c>
      <c r="N2899" s="0" t="n">
        <v>30</v>
      </c>
      <c r="O2899" s="0" t="n">
        <v>177.35</v>
      </c>
      <c r="P2899" s="0" t="s">
        <v>2444</v>
      </c>
    </row>
    <row r="2900" customFormat="false" ht="15" hidden="false" customHeight="true" outlineLevel="0" collapsed="false">
      <c r="A2900" s="0" t="n">
        <v>2</v>
      </c>
      <c r="B2900" s="71" t="n">
        <v>46209</v>
      </c>
      <c r="C2900" s="0" t="n">
        <v>11</v>
      </c>
      <c r="D2900" s="0" t="s">
        <v>2471</v>
      </c>
      <c r="E2900" s="0" t="n">
        <v>1705</v>
      </c>
      <c r="F2900" s="0" t="s">
        <v>130</v>
      </c>
      <c r="I2900" s="0" t="n">
        <v>1917854</v>
      </c>
      <c r="J2900" s="0" t="n">
        <v>10830</v>
      </c>
      <c r="K2900" s="0" t="n">
        <v>7894900701517</v>
      </c>
      <c r="L2900" s="0" t="s">
        <v>2573</v>
      </c>
      <c r="N2900" s="0" t="n">
        <v>6</v>
      </c>
      <c r="O2900" s="0" t="n">
        <v>51.28</v>
      </c>
      <c r="P2900" s="0" t="s">
        <v>2444</v>
      </c>
    </row>
    <row r="2901" customFormat="false" ht="15" hidden="false" customHeight="true" outlineLevel="0" collapsed="false">
      <c r="A2901" s="0" t="n">
        <v>2</v>
      </c>
      <c r="B2901" s="71" t="n">
        <v>46209</v>
      </c>
      <c r="C2901" s="0" t="n">
        <v>11</v>
      </c>
      <c r="D2901" s="0" t="s">
        <v>2471</v>
      </c>
      <c r="E2901" s="0" t="n">
        <v>1705</v>
      </c>
      <c r="F2901" s="0" t="s">
        <v>130</v>
      </c>
      <c r="I2901" s="0" t="n">
        <v>1917854</v>
      </c>
      <c r="J2901" s="0" t="n">
        <v>11678</v>
      </c>
      <c r="K2901" s="0" t="n">
        <v>7894900701593</v>
      </c>
      <c r="L2901" s="0" t="s">
        <v>2468</v>
      </c>
      <c r="N2901" s="0" t="n">
        <v>30</v>
      </c>
      <c r="O2901" s="0" t="n">
        <v>284.49</v>
      </c>
      <c r="P2901" s="0" t="s">
        <v>2444</v>
      </c>
    </row>
    <row r="2902" customFormat="false" ht="15" hidden="false" customHeight="true" outlineLevel="0" collapsed="false">
      <c r="A2902" s="0" t="n">
        <v>2</v>
      </c>
      <c r="B2902" s="71" t="n">
        <v>46209</v>
      </c>
      <c r="C2902" s="0" t="n">
        <v>11</v>
      </c>
      <c r="D2902" s="0" t="s">
        <v>2471</v>
      </c>
      <c r="E2902" s="0" t="n">
        <v>1705</v>
      </c>
      <c r="F2902" s="0" t="s">
        <v>130</v>
      </c>
      <c r="I2902" s="0" t="n">
        <v>1917854</v>
      </c>
      <c r="J2902" s="0" t="n">
        <v>21425</v>
      </c>
      <c r="K2902" s="0" t="n">
        <v>7894900034219</v>
      </c>
      <c r="L2902" s="0" t="s">
        <v>2469</v>
      </c>
      <c r="N2902" s="0" t="n">
        <v>9</v>
      </c>
      <c r="O2902" s="0" t="n">
        <v>75.09</v>
      </c>
      <c r="P2902" s="0" t="s">
        <v>2444</v>
      </c>
    </row>
    <row r="2903" customFormat="false" ht="15" hidden="false" customHeight="true" outlineLevel="0" collapsed="false">
      <c r="A2903" s="0" t="n">
        <v>2</v>
      </c>
      <c r="B2903" s="71" t="n">
        <v>46209</v>
      </c>
      <c r="C2903" s="0" t="n">
        <v>11</v>
      </c>
      <c r="D2903" s="0" t="s">
        <v>2471</v>
      </c>
      <c r="E2903" s="0" t="n">
        <v>1705</v>
      </c>
      <c r="F2903" s="0" t="s">
        <v>130</v>
      </c>
      <c r="I2903" s="0" t="n">
        <v>1917854</v>
      </c>
      <c r="J2903" s="0" t="n">
        <v>21426</v>
      </c>
      <c r="K2903" s="0" t="n">
        <v>7894900014211</v>
      </c>
      <c r="L2903" s="0" t="s">
        <v>2470</v>
      </c>
      <c r="N2903" s="0" t="n">
        <v>72</v>
      </c>
      <c r="O2903" s="0" t="n">
        <v>479.12</v>
      </c>
      <c r="P2903" s="0" t="s">
        <v>2444</v>
      </c>
    </row>
    <row r="2904" customFormat="false" ht="15" hidden="false" customHeight="true" outlineLevel="0" collapsed="false">
      <c r="A2904" s="0" t="n">
        <v>2</v>
      </c>
      <c r="B2904" s="71" t="n">
        <v>46209</v>
      </c>
      <c r="C2904" s="0" t="n">
        <v>11</v>
      </c>
      <c r="D2904" s="0" t="s">
        <v>2471</v>
      </c>
      <c r="E2904" s="0" t="n">
        <v>1705</v>
      </c>
      <c r="F2904" s="0" t="s">
        <v>130</v>
      </c>
      <c r="I2904" s="0" t="n">
        <v>1917854</v>
      </c>
      <c r="J2904" s="0" t="n">
        <v>22893</v>
      </c>
      <c r="K2904" s="0" t="n">
        <v>7894900550061</v>
      </c>
      <c r="L2904" s="0" t="s">
        <v>3885</v>
      </c>
      <c r="N2904" s="0" t="n">
        <v>12</v>
      </c>
      <c r="O2904" s="0" t="n">
        <v>69.23</v>
      </c>
      <c r="P2904" s="0" t="s">
        <v>2444</v>
      </c>
    </row>
    <row r="2905" customFormat="false" ht="15" hidden="false" customHeight="true" outlineLevel="0" collapsed="false">
      <c r="A2905" s="0" t="n">
        <v>2</v>
      </c>
      <c r="B2905" s="71" t="n">
        <v>46209</v>
      </c>
      <c r="C2905" s="0" t="n">
        <v>11</v>
      </c>
      <c r="D2905" s="0" t="s">
        <v>2471</v>
      </c>
      <c r="E2905" s="0" t="n">
        <v>1705</v>
      </c>
      <c r="F2905" s="0" t="s">
        <v>130</v>
      </c>
      <c r="I2905" s="0" t="n">
        <v>1917854</v>
      </c>
      <c r="J2905" s="0" t="n">
        <v>24122</v>
      </c>
      <c r="K2905" s="0" t="n">
        <v>7894900550085</v>
      </c>
      <c r="L2905" s="0" t="s">
        <v>3886</v>
      </c>
      <c r="N2905" s="0" t="n">
        <v>6</v>
      </c>
      <c r="O2905" s="0" t="n">
        <v>21.18</v>
      </c>
      <c r="P2905" s="0" t="s">
        <v>2444</v>
      </c>
    </row>
    <row r="2906" customFormat="false" ht="15" hidden="false" customHeight="true" outlineLevel="0" collapsed="false">
      <c r="A2906" s="0" t="n">
        <v>2</v>
      </c>
      <c r="B2906" s="71" t="n">
        <v>46209</v>
      </c>
      <c r="C2906" s="0" t="n">
        <v>11</v>
      </c>
      <c r="D2906" s="0" t="s">
        <v>2471</v>
      </c>
      <c r="E2906" s="0" t="n">
        <v>1705</v>
      </c>
      <c r="F2906" s="0" t="s">
        <v>130</v>
      </c>
      <c r="I2906" s="0" t="n">
        <v>1917854</v>
      </c>
      <c r="J2906" s="0" t="n">
        <v>24286</v>
      </c>
      <c r="K2906" s="0" t="n">
        <v>7894900556087</v>
      </c>
      <c r="L2906" s="0" t="s">
        <v>3887</v>
      </c>
      <c r="N2906" s="0" t="n">
        <v>6</v>
      </c>
      <c r="O2906" s="0" t="n">
        <v>21.18</v>
      </c>
      <c r="P2906" s="0" t="s">
        <v>2444</v>
      </c>
    </row>
    <row r="2907" customFormat="false" ht="15" hidden="false" customHeight="true" outlineLevel="0" collapsed="false">
      <c r="A2907" s="0" t="n">
        <v>2</v>
      </c>
      <c r="B2907" s="71" t="n">
        <v>46209</v>
      </c>
      <c r="C2907" s="0" t="n">
        <v>11</v>
      </c>
      <c r="D2907" s="0" t="s">
        <v>2471</v>
      </c>
      <c r="E2907" s="0" t="n">
        <v>1705</v>
      </c>
      <c r="F2907" s="0" t="s">
        <v>130</v>
      </c>
      <c r="I2907" s="0" t="n">
        <v>1917854</v>
      </c>
      <c r="J2907" s="0" t="n">
        <v>28739</v>
      </c>
      <c r="K2907" s="0" t="n">
        <v>7894900027044</v>
      </c>
      <c r="L2907" s="0" t="s">
        <v>2658</v>
      </c>
      <c r="N2907" s="0" t="n">
        <v>60</v>
      </c>
      <c r="O2907" s="0" t="n">
        <v>339.44</v>
      </c>
      <c r="P2907" s="0" t="s">
        <v>2444</v>
      </c>
    </row>
    <row r="2908" customFormat="false" ht="15" hidden="false" customHeight="true" outlineLevel="0" collapsed="false">
      <c r="A2908" s="0" t="n">
        <v>2</v>
      </c>
      <c r="B2908" s="71" t="n">
        <v>46209</v>
      </c>
      <c r="C2908" s="0" t="n">
        <v>11</v>
      </c>
      <c r="D2908" s="0" t="s">
        <v>2471</v>
      </c>
      <c r="E2908" s="0" t="n">
        <v>1705</v>
      </c>
      <c r="F2908" s="0" t="s">
        <v>130</v>
      </c>
      <c r="I2908" s="0" t="n">
        <v>1917854</v>
      </c>
      <c r="J2908" s="0" t="n">
        <v>30017</v>
      </c>
      <c r="K2908" s="0" t="n">
        <v>7894900680508</v>
      </c>
      <c r="L2908" s="0" t="s">
        <v>3589</v>
      </c>
      <c r="N2908" s="0" t="n">
        <v>12</v>
      </c>
      <c r="O2908" s="0" t="n">
        <v>39.07</v>
      </c>
      <c r="P2908" s="0" t="s">
        <v>2444</v>
      </c>
    </row>
    <row r="2909" customFormat="false" ht="15" hidden="false" customHeight="true" outlineLevel="0" collapsed="false">
      <c r="A2909" s="0" t="n">
        <v>2</v>
      </c>
      <c r="B2909" s="71" t="n">
        <v>46209</v>
      </c>
      <c r="C2909" s="0" t="n">
        <v>11</v>
      </c>
      <c r="D2909" s="0" t="s">
        <v>2471</v>
      </c>
      <c r="E2909" s="0" t="n">
        <v>1705</v>
      </c>
      <c r="F2909" s="0" t="s">
        <v>130</v>
      </c>
      <c r="I2909" s="0" t="n">
        <v>1917854</v>
      </c>
      <c r="J2909" s="0" t="n">
        <v>30085</v>
      </c>
      <c r="K2909" s="0" t="n">
        <v>7894900054217</v>
      </c>
      <c r="L2909" s="0" t="s">
        <v>3588</v>
      </c>
      <c r="N2909" s="0" t="n">
        <v>9</v>
      </c>
      <c r="O2909" s="0" t="n">
        <v>75.09</v>
      </c>
      <c r="P2909" s="0" t="s">
        <v>2444</v>
      </c>
    </row>
    <row r="2910" customFormat="false" ht="15" hidden="false" customHeight="true" outlineLevel="0" collapsed="false">
      <c r="A2910" s="0" t="n">
        <v>2</v>
      </c>
      <c r="B2910" s="71" t="n">
        <v>46209</v>
      </c>
      <c r="C2910" s="0" t="n">
        <v>11</v>
      </c>
      <c r="D2910" s="0" t="s">
        <v>2471</v>
      </c>
      <c r="E2910" s="0" t="n">
        <v>1705</v>
      </c>
      <c r="F2910" s="0" t="s">
        <v>130</v>
      </c>
      <c r="I2910" s="0" t="n">
        <v>1917854</v>
      </c>
      <c r="J2910" s="0" t="n">
        <v>31767</v>
      </c>
      <c r="K2910" s="0" t="n">
        <v>7897105250095</v>
      </c>
      <c r="L2910" s="0" t="s">
        <v>3888</v>
      </c>
      <c r="N2910" s="0" t="n">
        <v>9</v>
      </c>
      <c r="O2910" s="0" t="n">
        <v>56.04</v>
      </c>
      <c r="P2910" s="0" t="s">
        <v>2444</v>
      </c>
    </row>
    <row r="2911" customFormat="false" ht="15" hidden="false" customHeight="true" outlineLevel="0" collapsed="false">
      <c r="A2911" s="0" t="n">
        <v>2</v>
      </c>
      <c r="B2911" s="71" t="n">
        <v>46209</v>
      </c>
      <c r="C2911" s="0" t="n">
        <v>11</v>
      </c>
      <c r="D2911" s="0" t="s">
        <v>2471</v>
      </c>
      <c r="E2911" s="0" t="n">
        <v>1705</v>
      </c>
      <c r="F2911" s="0" t="s">
        <v>130</v>
      </c>
      <c r="I2911" s="0" t="n">
        <v>1917854</v>
      </c>
      <c r="J2911" s="0" t="n">
        <v>32339</v>
      </c>
      <c r="K2911" s="0" t="n">
        <v>7894900681000</v>
      </c>
      <c r="L2911" s="0" t="s">
        <v>2996</v>
      </c>
      <c r="N2911" s="0" t="n">
        <v>12</v>
      </c>
      <c r="O2911" s="0" t="n">
        <v>89.99</v>
      </c>
      <c r="P2911" s="0" t="s">
        <v>2444</v>
      </c>
    </row>
    <row r="2912" customFormat="false" ht="15" hidden="false" customHeight="true" outlineLevel="0" collapsed="false">
      <c r="A2912" s="0" t="n">
        <v>2</v>
      </c>
      <c r="B2912" s="71" t="n">
        <v>46209</v>
      </c>
      <c r="C2912" s="0" t="n">
        <v>11</v>
      </c>
      <c r="D2912" s="0" t="s">
        <v>2471</v>
      </c>
      <c r="E2912" s="0" t="n">
        <v>1705</v>
      </c>
      <c r="F2912" s="0" t="s">
        <v>130</v>
      </c>
      <c r="I2912" s="0" t="n">
        <v>1917854</v>
      </c>
      <c r="J2912" s="0" t="n">
        <v>37279</v>
      </c>
      <c r="K2912" s="0" t="n">
        <v>7894900027013</v>
      </c>
      <c r="L2912" s="0" t="s">
        <v>2575</v>
      </c>
      <c r="N2912" s="0" t="n">
        <v>60</v>
      </c>
      <c r="O2912" s="0" t="n">
        <v>528.69</v>
      </c>
      <c r="P2912" s="0" t="s">
        <v>2444</v>
      </c>
    </row>
    <row r="2913" customFormat="false" ht="15" hidden="false" customHeight="true" outlineLevel="0" collapsed="false">
      <c r="A2913" s="0" t="n">
        <v>2</v>
      </c>
      <c r="B2913" s="71" t="n">
        <v>46209</v>
      </c>
      <c r="C2913" s="0" t="n">
        <v>11</v>
      </c>
      <c r="D2913" s="0" t="s">
        <v>2471</v>
      </c>
      <c r="E2913" s="0" t="n">
        <v>1705</v>
      </c>
      <c r="F2913" s="0" t="s">
        <v>130</v>
      </c>
      <c r="I2913" s="0" t="n">
        <v>1917854</v>
      </c>
      <c r="J2913" s="0" t="n">
        <v>38060</v>
      </c>
      <c r="K2913" s="0" t="n">
        <v>7894900701609</v>
      </c>
      <c r="L2913" s="0" t="s">
        <v>2576</v>
      </c>
      <c r="N2913" s="0" t="n">
        <v>60</v>
      </c>
      <c r="O2913" s="0" t="n">
        <v>205.13</v>
      </c>
      <c r="P2913" s="0" t="s">
        <v>2444</v>
      </c>
    </row>
    <row r="2914" customFormat="false" ht="15" hidden="false" customHeight="true" outlineLevel="0" collapsed="false">
      <c r="A2914" s="0" t="n">
        <v>2</v>
      </c>
      <c r="B2914" s="71" t="n">
        <v>46209</v>
      </c>
      <c r="C2914" s="0" t="n">
        <v>11</v>
      </c>
      <c r="D2914" s="0" t="s">
        <v>2471</v>
      </c>
      <c r="E2914" s="0" t="n">
        <v>1705</v>
      </c>
      <c r="F2914" s="0" t="s">
        <v>130</v>
      </c>
      <c r="I2914" s="0" t="n">
        <v>1917854</v>
      </c>
      <c r="J2914" s="0" t="n">
        <v>38331</v>
      </c>
      <c r="K2914" s="0" t="n">
        <v>2241883</v>
      </c>
      <c r="L2914" s="0" t="s">
        <v>3889</v>
      </c>
      <c r="N2914" s="0" t="n">
        <v>9</v>
      </c>
      <c r="O2914" s="0" t="n">
        <v>18</v>
      </c>
      <c r="P2914" s="0" t="s">
        <v>2444</v>
      </c>
    </row>
    <row r="2915" customFormat="false" ht="15" hidden="false" customHeight="true" outlineLevel="0" collapsed="false">
      <c r="A2915" s="0" t="n">
        <v>2</v>
      </c>
      <c r="B2915" s="71" t="n">
        <v>46209</v>
      </c>
      <c r="C2915" s="0" t="n">
        <v>11</v>
      </c>
      <c r="D2915" s="0" t="s">
        <v>2471</v>
      </c>
      <c r="E2915" s="0" t="n">
        <v>1705</v>
      </c>
      <c r="F2915" s="0" t="s">
        <v>130</v>
      </c>
      <c r="I2915" s="0" t="n">
        <v>1917854</v>
      </c>
      <c r="J2915" s="0" t="n">
        <v>38331</v>
      </c>
      <c r="K2915" s="0" t="n">
        <v>2241883</v>
      </c>
      <c r="L2915" s="0" t="s">
        <v>3889</v>
      </c>
      <c r="N2915" s="0" t="n">
        <v>9</v>
      </c>
      <c r="O2915" s="0" t="n">
        <v>18</v>
      </c>
      <c r="P2915" s="0" t="s">
        <v>2444</v>
      </c>
    </row>
    <row r="2916" customFormat="false" ht="15" hidden="false" customHeight="true" outlineLevel="0" collapsed="false">
      <c r="A2916" s="0" t="n">
        <v>2</v>
      </c>
      <c r="B2916" s="71" t="n">
        <v>46209</v>
      </c>
      <c r="C2916" s="0" t="n">
        <v>11</v>
      </c>
      <c r="D2916" s="0" t="s">
        <v>2471</v>
      </c>
      <c r="E2916" s="0" t="n">
        <v>1705</v>
      </c>
      <c r="F2916" s="0" t="s">
        <v>130</v>
      </c>
      <c r="I2916" s="0" t="n">
        <v>1917854</v>
      </c>
      <c r="J2916" s="0" t="n">
        <v>38331</v>
      </c>
      <c r="K2916" s="0" t="n">
        <v>2241883</v>
      </c>
      <c r="L2916" s="0" t="s">
        <v>3889</v>
      </c>
      <c r="N2916" s="0" t="n">
        <v>9</v>
      </c>
      <c r="O2916" s="0" t="n">
        <v>18</v>
      </c>
      <c r="P2916" s="0" t="s">
        <v>2444</v>
      </c>
    </row>
    <row r="2917" customFormat="false" ht="15" hidden="false" customHeight="true" outlineLevel="0" collapsed="false">
      <c r="A2917" s="0" t="n">
        <v>2</v>
      </c>
      <c r="B2917" s="71" t="n">
        <v>46209</v>
      </c>
      <c r="C2917" s="0" t="n">
        <v>11</v>
      </c>
      <c r="D2917" s="0" t="s">
        <v>2471</v>
      </c>
      <c r="E2917" s="0" t="n">
        <v>1705</v>
      </c>
      <c r="F2917" s="0" t="s">
        <v>130</v>
      </c>
      <c r="I2917" s="0" t="n">
        <v>1917854</v>
      </c>
      <c r="J2917" s="0" t="n">
        <v>38978</v>
      </c>
      <c r="K2917" s="0" t="n">
        <v>7894900034097</v>
      </c>
      <c r="L2917" s="0" t="s">
        <v>3890</v>
      </c>
      <c r="N2917" s="0" t="n">
        <v>12</v>
      </c>
      <c r="O2917" s="0" t="n">
        <v>45.3</v>
      </c>
      <c r="P2917" s="0" t="s">
        <v>2444</v>
      </c>
    </row>
    <row r="2918" customFormat="false" ht="15" hidden="false" customHeight="true" outlineLevel="0" collapsed="false">
      <c r="A2918" s="0" t="n">
        <v>2</v>
      </c>
      <c r="B2918" s="71" t="n">
        <v>46209</v>
      </c>
      <c r="C2918" s="0" t="n">
        <v>11</v>
      </c>
      <c r="D2918" s="0" t="s">
        <v>2471</v>
      </c>
      <c r="E2918" s="0" t="n">
        <v>1705</v>
      </c>
      <c r="F2918" s="0" t="s">
        <v>130</v>
      </c>
      <c r="I2918" s="0" t="n">
        <v>1917854</v>
      </c>
      <c r="J2918" s="0" t="n">
        <v>38984</v>
      </c>
      <c r="K2918" s="0" t="n">
        <v>7894900027457</v>
      </c>
      <c r="L2918" s="0" t="s">
        <v>3554</v>
      </c>
      <c r="N2918" s="0" t="n">
        <v>12</v>
      </c>
      <c r="O2918" s="0" t="n">
        <v>45.3</v>
      </c>
      <c r="P2918" s="0" t="s">
        <v>2444</v>
      </c>
    </row>
    <row r="2919" customFormat="false" ht="15" hidden="false" customHeight="true" outlineLevel="0" collapsed="false">
      <c r="A2919" s="0" t="n">
        <v>2</v>
      </c>
      <c r="B2919" s="71" t="n">
        <v>46209</v>
      </c>
      <c r="C2919" s="0" t="n">
        <v>11</v>
      </c>
      <c r="D2919" s="0" t="s">
        <v>2471</v>
      </c>
      <c r="E2919" s="0" t="n">
        <v>1705</v>
      </c>
      <c r="F2919" s="0" t="s">
        <v>130</v>
      </c>
      <c r="I2919" s="0" t="n">
        <v>1917854</v>
      </c>
      <c r="J2919" s="0" t="n">
        <v>47954</v>
      </c>
      <c r="K2919" s="0" t="n">
        <v>7894900666519</v>
      </c>
      <c r="L2919" s="0" t="s">
        <v>2577</v>
      </c>
      <c r="N2919" s="0" t="n">
        <v>12</v>
      </c>
      <c r="O2919" s="0" t="n">
        <v>59.71</v>
      </c>
      <c r="P2919" s="0" t="s">
        <v>2444</v>
      </c>
    </row>
    <row r="2920" customFormat="false" ht="15" hidden="false" customHeight="true" outlineLevel="0" collapsed="false">
      <c r="A2920" s="0" t="n">
        <v>2</v>
      </c>
      <c r="B2920" s="71" t="n">
        <v>46209</v>
      </c>
      <c r="C2920" s="0" t="n">
        <v>22</v>
      </c>
      <c r="D2920" s="0" t="s">
        <v>2479</v>
      </c>
      <c r="E2920" s="0" t="n">
        <v>48</v>
      </c>
      <c r="F2920" s="0" t="s">
        <v>153</v>
      </c>
      <c r="I2920" s="0" t="n">
        <v>2526</v>
      </c>
      <c r="J2920" s="0" t="n">
        <v>100000</v>
      </c>
      <c r="K2920" s="0" t="n">
        <v>1</v>
      </c>
      <c r="L2920" s="0" t="s">
        <v>2480</v>
      </c>
      <c r="N2920" s="0" t="n">
        <v>2.612</v>
      </c>
      <c r="O2920" s="0" t="n">
        <v>52.67</v>
      </c>
      <c r="P2920" s="0" t="s">
        <v>2444</v>
      </c>
    </row>
    <row r="2921" customFormat="false" ht="15" hidden="false" customHeight="true" outlineLevel="0" collapsed="false">
      <c r="A2921" s="0" t="n">
        <v>2</v>
      </c>
      <c r="B2921" s="71" t="n">
        <v>46209</v>
      </c>
      <c r="C2921" s="0" t="n">
        <v>22</v>
      </c>
      <c r="D2921" s="0" t="s">
        <v>2479</v>
      </c>
      <c r="E2921" s="0" t="n">
        <v>48</v>
      </c>
      <c r="F2921" s="0" t="s">
        <v>153</v>
      </c>
      <c r="I2921" s="0" t="n">
        <v>2526</v>
      </c>
      <c r="J2921" s="0" t="n">
        <v>100006</v>
      </c>
      <c r="K2921" s="0" t="n">
        <v>7</v>
      </c>
      <c r="L2921" s="0" t="s">
        <v>2485</v>
      </c>
      <c r="N2921" s="0" t="n">
        <v>2.136</v>
      </c>
      <c r="O2921" s="0" t="n">
        <v>61.02</v>
      </c>
      <c r="P2921" s="0" t="s">
        <v>2444</v>
      </c>
    </row>
    <row r="2922" customFormat="false" ht="15" hidden="false" customHeight="true" outlineLevel="0" collapsed="false">
      <c r="A2922" s="0" t="n">
        <v>2</v>
      </c>
      <c r="B2922" s="71" t="n">
        <v>46209</v>
      </c>
      <c r="C2922" s="0" t="n">
        <v>22</v>
      </c>
      <c r="D2922" s="0" t="s">
        <v>2479</v>
      </c>
      <c r="E2922" s="0" t="n">
        <v>48</v>
      </c>
      <c r="F2922" s="0" t="s">
        <v>153</v>
      </c>
      <c r="I2922" s="0" t="n">
        <v>2526</v>
      </c>
      <c r="J2922" s="0" t="n">
        <v>100007</v>
      </c>
      <c r="K2922" s="0" t="n">
        <v>8</v>
      </c>
      <c r="L2922" s="0" t="s">
        <v>2486</v>
      </c>
      <c r="N2922" s="0" t="n">
        <v>1.572</v>
      </c>
      <c r="O2922" s="0" t="n">
        <v>39.62</v>
      </c>
      <c r="P2922" s="0" t="s">
        <v>2444</v>
      </c>
    </row>
    <row r="2923" customFormat="false" ht="15" hidden="false" customHeight="true" outlineLevel="0" collapsed="false">
      <c r="A2923" s="0" t="n">
        <v>2</v>
      </c>
      <c r="B2923" s="71" t="n">
        <v>46209</v>
      </c>
      <c r="C2923" s="0" t="n">
        <v>22</v>
      </c>
      <c r="D2923" s="0" t="s">
        <v>2479</v>
      </c>
      <c r="E2923" s="0" t="n">
        <v>48</v>
      </c>
      <c r="F2923" s="0" t="s">
        <v>153</v>
      </c>
      <c r="I2923" s="0" t="n">
        <v>2526</v>
      </c>
      <c r="J2923" s="0" t="n">
        <v>100008</v>
      </c>
      <c r="K2923" s="0" t="n">
        <v>9</v>
      </c>
      <c r="L2923" s="0" t="s">
        <v>2487</v>
      </c>
      <c r="N2923" s="0" t="n">
        <v>14.705</v>
      </c>
      <c r="O2923" s="0" t="n">
        <v>481.88</v>
      </c>
      <c r="P2923" s="0" t="s">
        <v>2444</v>
      </c>
    </row>
    <row r="2924" customFormat="false" ht="15" hidden="false" customHeight="true" outlineLevel="0" collapsed="false">
      <c r="A2924" s="0" t="n">
        <v>2</v>
      </c>
      <c r="B2924" s="71" t="n">
        <v>46209</v>
      </c>
      <c r="C2924" s="0" t="n">
        <v>22</v>
      </c>
      <c r="D2924" s="0" t="s">
        <v>2479</v>
      </c>
      <c r="E2924" s="0" t="n">
        <v>48</v>
      </c>
      <c r="F2924" s="0" t="s">
        <v>153</v>
      </c>
      <c r="I2924" s="0" t="n">
        <v>2526</v>
      </c>
      <c r="J2924" s="0" t="n">
        <v>100011</v>
      </c>
      <c r="K2924" s="0" t="n">
        <v>12</v>
      </c>
      <c r="L2924" s="0" t="s">
        <v>2488</v>
      </c>
      <c r="N2924" s="0" t="n">
        <v>9.87</v>
      </c>
      <c r="O2924" s="0" t="n">
        <v>364.92</v>
      </c>
      <c r="P2924" s="0" t="s">
        <v>2444</v>
      </c>
    </row>
    <row r="2925" customFormat="false" ht="15" hidden="false" customHeight="true" outlineLevel="0" collapsed="false">
      <c r="A2925" s="0" t="n">
        <v>2</v>
      </c>
      <c r="B2925" s="71" t="n">
        <v>46209</v>
      </c>
      <c r="C2925" s="0" t="n">
        <v>22</v>
      </c>
      <c r="D2925" s="0" t="s">
        <v>2479</v>
      </c>
      <c r="E2925" s="0" t="n">
        <v>48</v>
      </c>
      <c r="F2925" s="0" t="s">
        <v>153</v>
      </c>
      <c r="I2925" s="0" t="n">
        <v>2526</v>
      </c>
      <c r="J2925" s="0" t="n">
        <v>100012</v>
      </c>
      <c r="K2925" s="0" t="n">
        <v>13</v>
      </c>
      <c r="L2925" s="0" t="s">
        <v>2489</v>
      </c>
      <c r="N2925" s="0" t="n">
        <v>5.72</v>
      </c>
      <c r="O2925" s="0" t="n">
        <v>240.33</v>
      </c>
      <c r="P2925" s="0" t="s">
        <v>2444</v>
      </c>
    </row>
    <row r="2926" customFormat="false" ht="15" hidden="false" customHeight="true" outlineLevel="0" collapsed="false">
      <c r="A2926" s="0" t="n">
        <v>2</v>
      </c>
      <c r="B2926" s="71" t="n">
        <v>46209</v>
      </c>
      <c r="C2926" s="0" t="n">
        <v>22</v>
      </c>
      <c r="D2926" s="0" t="s">
        <v>2479</v>
      </c>
      <c r="E2926" s="0" t="n">
        <v>48</v>
      </c>
      <c r="F2926" s="0" t="s">
        <v>153</v>
      </c>
      <c r="I2926" s="0" t="n">
        <v>2526</v>
      </c>
      <c r="J2926" s="0" t="n">
        <v>100013</v>
      </c>
      <c r="K2926" s="0" t="n">
        <v>14</v>
      </c>
      <c r="L2926" s="0" t="s">
        <v>2490</v>
      </c>
      <c r="N2926" s="0" t="n">
        <v>10.195</v>
      </c>
      <c r="O2926" s="0" t="n">
        <v>454.05</v>
      </c>
      <c r="P2926" s="0" t="s">
        <v>2444</v>
      </c>
    </row>
    <row r="2927" customFormat="false" ht="15" hidden="false" customHeight="true" outlineLevel="0" collapsed="false">
      <c r="A2927" s="0" t="n">
        <v>2</v>
      </c>
      <c r="B2927" s="71" t="n">
        <v>46209</v>
      </c>
      <c r="C2927" s="0" t="n">
        <v>22</v>
      </c>
      <c r="D2927" s="0" t="s">
        <v>2479</v>
      </c>
      <c r="E2927" s="0" t="n">
        <v>48</v>
      </c>
      <c r="F2927" s="0" t="s">
        <v>153</v>
      </c>
      <c r="I2927" s="0" t="n">
        <v>2526</v>
      </c>
      <c r="J2927" s="0" t="n">
        <v>100014</v>
      </c>
      <c r="K2927" s="0" t="n">
        <v>15</v>
      </c>
      <c r="L2927" s="0" t="s">
        <v>2491</v>
      </c>
      <c r="N2927" s="0" t="n">
        <v>4.138</v>
      </c>
      <c r="O2927" s="0" t="n">
        <v>187.77</v>
      </c>
      <c r="P2927" s="0" t="s">
        <v>2444</v>
      </c>
    </row>
    <row r="2928" customFormat="false" ht="15" hidden="false" customHeight="true" outlineLevel="0" collapsed="false">
      <c r="A2928" s="0" t="n">
        <v>2</v>
      </c>
      <c r="B2928" s="71" t="n">
        <v>46209</v>
      </c>
      <c r="C2928" s="0" t="n">
        <v>22</v>
      </c>
      <c r="D2928" s="0" t="s">
        <v>2479</v>
      </c>
      <c r="E2928" s="0" t="n">
        <v>48</v>
      </c>
      <c r="F2928" s="0" t="s">
        <v>153</v>
      </c>
      <c r="I2928" s="0" t="n">
        <v>2526</v>
      </c>
      <c r="J2928" s="0" t="n">
        <v>100015</v>
      </c>
      <c r="K2928" s="0" t="n">
        <v>16</v>
      </c>
      <c r="L2928" s="0" t="s">
        <v>2492</v>
      </c>
      <c r="N2928" s="0" t="n">
        <v>1.642</v>
      </c>
      <c r="O2928" s="0" t="n">
        <v>66.23</v>
      </c>
      <c r="P2928" s="0" t="s">
        <v>2444</v>
      </c>
    </row>
    <row r="2929" customFormat="false" ht="15" hidden="false" customHeight="true" outlineLevel="0" collapsed="false">
      <c r="A2929" s="0" t="n">
        <v>2</v>
      </c>
      <c r="B2929" s="71" t="n">
        <v>46209</v>
      </c>
      <c r="C2929" s="0" t="n">
        <v>22</v>
      </c>
      <c r="D2929" s="0" t="s">
        <v>2479</v>
      </c>
      <c r="E2929" s="0" t="n">
        <v>48</v>
      </c>
      <c r="F2929" s="0" t="s">
        <v>153</v>
      </c>
      <c r="I2929" s="0" t="n">
        <v>2526</v>
      </c>
      <c r="J2929" s="0" t="n">
        <v>100016</v>
      </c>
      <c r="K2929" s="0" t="n">
        <v>17</v>
      </c>
      <c r="L2929" s="0" t="s">
        <v>2493</v>
      </c>
      <c r="N2929" s="0" t="n">
        <v>1.424</v>
      </c>
      <c r="O2929" s="0" t="n">
        <v>83.77</v>
      </c>
      <c r="P2929" s="0" t="s">
        <v>2444</v>
      </c>
    </row>
    <row r="2930" customFormat="false" ht="15" hidden="false" customHeight="true" outlineLevel="0" collapsed="false">
      <c r="A2930" s="0" t="n">
        <v>2</v>
      </c>
      <c r="B2930" s="71" t="n">
        <v>46209</v>
      </c>
      <c r="C2930" s="0" t="n">
        <v>22</v>
      </c>
      <c r="D2930" s="0" t="s">
        <v>2479</v>
      </c>
      <c r="E2930" s="0" t="n">
        <v>48</v>
      </c>
      <c r="F2930" s="0" t="s">
        <v>153</v>
      </c>
      <c r="I2930" s="0" t="n">
        <v>2526</v>
      </c>
      <c r="J2930" s="0" t="n">
        <v>100017</v>
      </c>
      <c r="K2930" s="0" t="n">
        <v>18</v>
      </c>
      <c r="L2930" s="0" t="s">
        <v>2494</v>
      </c>
      <c r="N2930" s="0" t="n">
        <v>1.728</v>
      </c>
      <c r="O2930" s="0" t="n">
        <v>101.65</v>
      </c>
      <c r="P2930" s="0" t="s">
        <v>2444</v>
      </c>
    </row>
    <row r="2931" customFormat="false" ht="15" hidden="false" customHeight="true" outlineLevel="0" collapsed="false">
      <c r="A2931" s="0" t="n">
        <v>2</v>
      </c>
      <c r="B2931" s="71" t="n">
        <v>46209</v>
      </c>
      <c r="C2931" s="0" t="n">
        <v>22</v>
      </c>
      <c r="D2931" s="0" t="s">
        <v>2479</v>
      </c>
      <c r="E2931" s="0" t="n">
        <v>48</v>
      </c>
      <c r="F2931" s="0" t="s">
        <v>153</v>
      </c>
      <c r="I2931" s="0" t="n">
        <v>2526</v>
      </c>
      <c r="J2931" s="0" t="n">
        <v>100053</v>
      </c>
      <c r="K2931" s="0" t="n">
        <v>54</v>
      </c>
      <c r="L2931" s="0" t="s">
        <v>2495</v>
      </c>
      <c r="N2931" s="0" t="n">
        <v>1.656</v>
      </c>
      <c r="O2931" s="0" t="n">
        <v>61.23</v>
      </c>
      <c r="P2931" s="0" t="s">
        <v>2444</v>
      </c>
    </row>
    <row r="2932" customFormat="false" ht="15" hidden="false" customHeight="true" outlineLevel="0" collapsed="false">
      <c r="A2932" s="0" t="n">
        <v>2</v>
      </c>
      <c r="B2932" s="71" t="n">
        <v>46209</v>
      </c>
      <c r="C2932" s="0" t="n">
        <v>22</v>
      </c>
      <c r="D2932" s="0" t="s">
        <v>2479</v>
      </c>
      <c r="E2932" s="0" t="n">
        <v>48</v>
      </c>
      <c r="F2932" s="0" t="s">
        <v>153</v>
      </c>
      <c r="I2932" s="0" t="n">
        <v>2526</v>
      </c>
      <c r="J2932" s="0" t="n">
        <v>100638</v>
      </c>
      <c r="K2932" s="0" t="n">
        <v>508</v>
      </c>
      <c r="L2932" s="0" t="s">
        <v>2496</v>
      </c>
      <c r="N2932" s="0" t="n">
        <v>1.016</v>
      </c>
      <c r="O2932" s="0" t="n">
        <v>2.55</v>
      </c>
      <c r="P2932" s="0" t="s">
        <v>2444</v>
      </c>
    </row>
    <row r="2933" customFormat="false" ht="15" hidden="false" customHeight="true" outlineLevel="0" collapsed="false">
      <c r="A2933" s="0" t="n">
        <v>2</v>
      </c>
      <c r="B2933" s="71" t="n">
        <v>46209</v>
      </c>
      <c r="C2933" s="0" t="n">
        <v>22</v>
      </c>
      <c r="D2933" s="0" t="s">
        <v>2479</v>
      </c>
      <c r="E2933" s="0" t="n">
        <v>48</v>
      </c>
      <c r="F2933" s="0" t="s">
        <v>153</v>
      </c>
      <c r="I2933" s="0" t="n">
        <v>2526</v>
      </c>
      <c r="J2933" s="0" t="n">
        <v>110137</v>
      </c>
      <c r="K2933" s="0" t="n">
        <v>13899</v>
      </c>
      <c r="L2933" s="0" t="s">
        <v>3780</v>
      </c>
      <c r="N2933" s="0" t="n">
        <v>10.854</v>
      </c>
      <c r="O2933" s="0" t="n">
        <v>45.52</v>
      </c>
      <c r="P2933" s="0" t="s">
        <v>2444</v>
      </c>
    </row>
    <row r="2934" customFormat="false" ht="15" hidden="false" customHeight="true" outlineLevel="0" collapsed="false">
      <c r="A2934" s="0" t="n">
        <v>2</v>
      </c>
      <c r="B2934" s="71" t="n">
        <v>46209</v>
      </c>
      <c r="C2934" s="0" t="n">
        <v>22</v>
      </c>
      <c r="D2934" s="0" t="s">
        <v>2479</v>
      </c>
      <c r="E2934" s="0" t="n">
        <v>48</v>
      </c>
      <c r="F2934" s="0" t="s">
        <v>153</v>
      </c>
      <c r="I2934" s="0" t="n">
        <v>2526</v>
      </c>
      <c r="J2934" s="0" t="n">
        <v>110455</v>
      </c>
      <c r="K2934" s="0" t="n">
        <v>53212</v>
      </c>
      <c r="L2934" s="0" t="s">
        <v>2498</v>
      </c>
      <c r="N2934" s="0" t="n">
        <v>0.832</v>
      </c>
      <c r="O2934" s="0" t="n">
        <v>0</v>
      </c>
      <c r="P2934" s="0" t="s">
        <v>2444</v>
      </c>
    </row>
    <row r="2935" customFormat="false" ht="15" hidden="false" customHeight="true" outlineLevel="0" collapsed="false">
      <c r="A2935" s="0" t="n">
        <v>2</v>
      </c>
      <c r="B2935" s="71" t="n">
        <v>46209</v>
      </c>
      <c r="C2935" s="0" t="n">
        <v>100</v>
      </c>
      <c r="D2935" s="0" t="s">
        <v>2499</v>
      </c>
      <c r="E2935" s="0" t="n">
        <v>48</v>
      </c>
      <c r="F2935" s="0" t="s">
        <v>153</v>
      </c>
      <c r="I2935" s="0" t="n">
        <v>1359613</v>
      </c>
      <c r="J2935" s="0" t="n">
        <v>100000</v>
      </c>
      <c r="K2935" s="0" t="n">
        <v>1</v>
      </c>
      <c r="L2935" s="0" t="s">
        <v>2480</v>
      </c>
      <c r="N2935" s="0" t="n">
        <v>2.612</v>
      </c>
      <c r="O2935" s="0" t="n">
        <v>52.67</v>
      </c>
      <c r="P2935" s="0" t="s">
        <v>2444</v>
      </c>
    </row>
    <row r="2936" customFormat="false" ht="15" hidden="false" customHeight="true" outlineLevel="0" collapsed="false">
      <c r="A2936" s="0" t="n">
        <v>2</v>
      </c>
      <c r="B2936" s="71" t="n">
        <v>46209</v>
      </c>
      <c r="C2936" s="0" t="n">
        <v>100</v>
      </c>
      <c r="D2936" s="0" t="s">
        <v>2499</v>
      </c>
      <c r="E2936" s="0" t="n">
        <v>48</v>
      </c>
      <c r="F2936" s="0" t="s">
        <v>153</v>
      </c>
      <c r="I2936" s="0" t="n">
        <v>1359613</v>
      </c>
      <c r="J2936" s="0" t="n">
        <v>100006</v>
      </c>
      <c r="K2936" s="0" t="n">
        <v>7</v>
      </c>
      <c r="L2936" s="0" t="s">
        <v>2485</v>
      </c>
      <c r="N2936" s="0" t="n">
        <v>2.136</v>
      </c>
      <c r="O2936" s="0" t="n">
        <v>61.02</v>
      </c>
      <c r="P2936" s="0" t="s">
        <v>2444</v>
      </c>
    </row>
    <row r="2937" customFormat="false" ht="15" hidden="false" customHeight="true" outlineLevel="0" collapsed="false">
      <c r="A2937" s="0" t="n">
        <v>2</v>
      </c>
      <c r="B2937" s="71" t="n">
        <v>46209</v>
      </c>
      <c r="C2937" s="0" t="n">
        <v>100</v>
      </c>
      <c r="D2937" s="0" t="s">
        <v>2499</v>
      </c>
      <c r="E2937" s="0" t="n">
        <v>48</v>
      </c>
      <c r="F2937" s="0" t="s">
        <v>153</v>
      </c>
      <c r="I2937" s="0" t="n">
        <v>1359613</v>
      </c>
      <c r="J2937" s="0" t="n">
        <v>100007</v>
      </c>
      <c r="K2937" s="0" t="n">
        <v>8</v>
      </c>
      <c r="L2937" s="0" t="s">
        <v>2486</v>
      </c>
      <c r="N2937" s="0" t="n">
        <v>1.572</v>
      </c>
      <c r="O2937" s="0" t="n">
        <v>39.62</v>
      </c>
      <c r="P2937" s="0" t="s">
        <v>2444</v>
      </c>
    </row>
    <row r="2938" customFormat="false" ht="15" hidden="false" customHeight="true" outlineLevel="0" collapsed="false">
      <c r="A2938" s="0" t="n">
        <v>2</v>
      </c>
      <c r="B2938" s="71" t="n">
        <v>46209</v>
      </c>
      <c r="C2938" s="0" t="n">
        <v>100</v>
      </c>
      <c r="D2938" s="0" t="s">
        <v>2499</v>
      </c>
      <c r="E2938" s="0" t="n">
        <v>48</v>
      </c>
      <c r="F2938" s="0" t="s">
        <v>153</v>
      </c>
      <c r="I2938" s="0" t="n">
        <v>1359613</v>
      </c>
      <c r="J2938" s="0" t="n">
        <v>100008</v>
      </c>
      <c r="K2938" s="0" t="n">
        <v>9</v>
      </c>
      <c r="L2938" s="0" t="s">
        <v>2487</v>
      </c>
      <c r="N2938" s="0" t="n">
        <v>14.705</v>
      </c>
      <c r="O2938" s="0" t="n">
        <v>481.88</v>
      </c>
      <c r="P2938" s="0" t="s">
        <v>2444</v>
      </c>
    </row>
    <row r="2939" customFormat="false" ht="15" hidden="false" customHeight="true" outlineLevel="0" collapsed="false">
      <c r="A2939" s="0" t="n">
        <v>2</v>
      </c>
      <c r="B2939" s="71" t="n">
        <v>46209</v>
      </c>
      <c r="C2939" s="0" t="n">
        <v>100</v>
      </c>
      <c r="D2939" s="0" t="s">
        <v>2499</v>
      </c>
      <c r="E2939" s="0" t="n">
        <v>48</v>
      </c>
      <c r="F2939" s="0" t="s">
        <v>153</v>
      </c>
      <c r="I2939" s="0" t="n">
        <v>1359613</v>
      </c>
      <c r="J2939" s="0" t="n">
        <v>100011</v>
      </c>
      <c r="K2939" s="0" t="n">
        <v>12</v>
      </c>
      <c r="L2939" s="0" t="s">
        <v>2488</v>
      </c>
      <c r="N2939" s="0" t="n">
        <v>9.87</v>
      </c>
      <c r="O2939" s="0" t="n">
        <v>364.92</v>
      </c>
      <c r="P2939" s="0" t="s">
        <v>2444</v>
      </c>
    </row>
    <row r="2940" customFormat="false" ht="15" hidden="false" customHeight="true" outlineLevel="0" collapsed="false">
      <c r="A2940" s="0" t="n">
        <v>2</v>
      </c>
      <c r="B2940" s="71" t="n">
        <v>46209</v>
      </c>
      <c r="C2940" s="0" t="n">
        <v>100</v>
      </c>
      <c r="D2940" s="0" t="s">
        <v>2499</v>
      </c>
      <c r="E2940" s="0" t="n">
        <v>48</v>
      </c>
      <c r="F2940" s="0" t="s">
        <v>153</v>
      </c>
      <c r="I2940" s="0" t="n">
        <v>1359613</v>
      </c>
      <c r="J2940" s="0" t="n">
        <v>100012</v>
      </c>
      <c r="K2940" s="0" t="n">
        <v>13</v>
      </c>
      <c r="L2940" s="0" t="s">
        <v>2489</v>
      </c>
      <c r="N2940" s="0" t="n">
        <v>5.72</v>
      </c>
      <c r="O2940" s="0" t="n">
        <v>240.33</v>
      </c>
      <c r="P2940" s="0" t="s">
        <v>2444</v>
      </c>
    </row>
    <row r="2941" customFormat="false" ht="15" hidden="false" customHeight="true" outlineLevel="0" collapsed="false">
      <c r="A2941" s="0" t="n">
        <v>2</v>
      </c>
      <c r="B2941" s="71" t="n">
        <v>46209</v>
      </c>
      <c r="C2941" s="0" t="n">
        <v>100</v>
      </c>
      <c r="D2941" s="0" t="s">
        <v>2499</v>
      </c>
      <c r="E2941" s="0" t="n">
        <v>48</v>
      </c>
      <c r="F2941" s="0" t="s">
        <v>153</v>
      </c>
      <c r="I2941" s="0" t="n">
        <v>1359613</v>
      </c>
      <c r="J2941" s="0" t="n">
        <v>100013</v>
      </c>
      <c r="K2941" s="0" t="n">
        <v>14</v>
      </c>
      <c r="L2941" s="0" t="s">
        <v>2490</v>
      </c>
      <c r="N2941" s="0" t="n">
        <v>10.195</v>
      </c>
      <c r="O2941" s="0" t="n">
        <v>454.05</v>
      </c>
      <c r="P2941" s="0" t="s">
        <v>2444</v>
      </c>
    </row>
    <row r="2942" customFormat="false" ht="15" hidden="false" customHeight="true" outlineLevel="0" collapsed="false">
      <c r="A2942" s="0" t="n">
        <v>2</v>
      </c>
      <c r="B2942" s="71" t="n">
        <v>46209</v>
      </c>
      <c r="C2942" s="0" t="n">
        <v>100</v>
      </c>
      <c r="D2942" s="0" t="s">
        <v>2499</v>
      </c>
      <c r="E2942" s="0" t="n">
        <v>48</v>
      </c>
      <c r="F2942" s="0" t="s">
        <v>153</v>
      </c>
      <c r="I2942" s="0" t="n">
        <v>1359613</v>
      </c>
      <c r="J2942" s="0" t="n">
        <v>100014</v>
      </c>
      <c r="K2942" s="0" t="n">
        <v>15</v>
      </c>
      <c r="L2942" s="0" t="s">
        <v>2491</v>
      </c>
      <c r="N2942" s="0" t="n">
        <v>4.138</v>
      </c>
      <c r="O2942" s="0" t="n">
        <v>187.77</v>
      </c>
      <c r="P2942" s="0" t="s">
        <v>2444</v>
      </c>
    </row>
    <row r="2943" customFormat="false" ht="15" hidden="false" customHeight="true" outlineLevel="0" collapsed="false">
      <c r="A2943" s="0" t="n">
        <v>2</v>
      </c>
      <c r="B2943" s="71" t="n">
        <v>46209</v>
      </c>
      <c r="C2943" s="0" t="n">
        <v>100</v>
      </c>
      <c r="D2943" s="0" t="s">
        <v>2499</v>
      </c>
      <c r="E2943" s="0" t="n">
        <v>48</v>
      </c>
      <c r="F2943" s="0" t="s">
        <v>153</v>
      </c>
      <c r="I2943" s="0" t="n">
        <v>1359613</v>
      </c>
      <c r="J2943" s="0" t="n">
        <v>100015</v>
      </c>
      <c r="K2943" s="0" t="n">
        <v>16</v>
      </c>
      <c r="L2943" s="0" t="s">
        <v>2492</v>
      </c>
      <c r="N2943" s="0" t="n">
        <v>1.642</v>
      </c>
      <c r="O2943" s="0" t="n">
        <v>66.23</v>
      </c>
      <c r="P2943" s="0" t="s">
        <v>2444</v>
      </c>
    </row>
    <row r="2944" customFormat="false" ht="15" hidden="false" customHeight="true" outlineLevel="0" collapsed="false">
      <c r="A2944" s="0" t="n">
        <v>2</v>
      </c>
      <c r="B2944" s="71" t="n">
        <v>46209</v>
      </c>
      <c r="C2944" s="0" t="n">
        <v>100</v>
      </c>
      <c r="D2944" s="0" t="s">
        <v>2499</v>
      </c>
      <c r="E2944" s="0" t="n">
        <v>48</v>
      </c>
      <c r="F2944" s="0" t="s">
        <v>153</v>
      </c>
      <c r="I2944" s="0" t="n">
        <v>1359613</v>
      </c>
      <c r="J2944" s="0" t="n">
        <v>100016</v>
      </c>
      <c r="K2944" s="0" t="n">
        <v>17</v>
      </c>
      <c r="L2944" s="0" t="s">
        <v>2493</v>
      </c>
      <c r="N2944" s="0" t="n">
        <v>1.424</v>
      </c>
      <c r="O2944" s="0" t="n">
        <v>83.77</v>
      </c>
      <c r="P2944" s="0" t="s">
        <v>2444</v>
      </c>
    </row>
    <row r="2945" customFormat="false" ht="15" hidden="false" customHeight="true" outlineLevel="0" collapsed="false">
      <c r="A2945" s="0" t="n">
        <v>2</v>
      </c>
      <c r="B2945" s="71" t="n">
        <v>46209</v>
      </c>
      <c r="C2945" s="0" t="n">
        <v>100</v>
      </c>
      <c r="D2945" s="0" t="s">
        <v>2499</v>
      </c>
      <c r="E2945" s="0" t="n">
        <v>48</v>
      </c>
      <c r="F2945" s="0" t="s">
        <v>153</v>
      </c>
      <c r="I2945" s="0" t="n">
        <v>1359613</v>
      </c>
      <c r="J2945" s="0" t="n">
        <v>100017</v>
      </c>
      <c r="K2945" s="0" t="n">
        <v>18</v>
      </c>
      <c r="L2945" s="0" t="s">
        <v>2494</v>
      </c>
      <c r="N2945" s="0" t="n">
        <v>1.728</v>
      </c>
      <c r="O2945" s="0" t="n">
        <v>101.65</v>
      </c>
      <c r="P2945" s="0" t="s">
        <v>2444</v>
      </c>
    </row>
    <row r="2946" customFormat="false" ht="15" hidden="false" customHeight="true" outlineLevel="0" collapsed="false">
      <c r="A2946" s="0" t="n">
        <v>2</v>
      </c>
      <c r="B2946" s="71" t="n">
        <v>46209</v>
      </c>
      <c r="C2946" s="0" t="n">
        <v>100</v>
      </c>
      <c r="D2946" s="0" t="s">
        <v>2499</v>
      </c>
      <c r="E2946" s="0" t="n">
        <v>48</v>
      </c>
      <c r="F2946" s="0" t="s">
        <v>153</v>
      </c>
      <c r="I2946" s="0" t="n">
        <v>1359613</v>
      </c>
      <c r="J2946" s="0" t="n">
        <v>100053</v>
      </c>
      <c r="K2946" s="0" t="n">
        <v>54</v>
      </c>
      <c r="L2946" s="0" t="s">
        <v>2495</v>
      </c>
      <c r="N2946" s="0" t="n">
        <v>1.656</v>
      </c>
      <c r="O2946" s="0" t="n">
        <v>61.23</v>
      </c>
      <c r="P2946" s="0" t="s">
        <v>2444</v>
      </c>
    </row>
    <row r="2947" customFormat="false" ht="15" hidden="false" customHeight="true" outlineLevel="0" collapsed="false">
      <c r="A2947" s="0" t="n">
        <v>2</v>
      </c>
      <c r="B2947" s="71" t="n">
        <v>46209</v>
      </c>
      <c r="C2947" s="0" t="n">
        <v>100</v>
      </c>
      <c r="D2947" s="0" t="s">
        <v>2499</v>
      </c>
      <c r="E2947" s="0" t="n">
        <v>48</v>
      </c>
      <c r="F2947" s="0" t="s">
        <v>153</v>
      </c>
      <c r="I2947" s="0" t="n">
        <v>1359613</v>
      </c>
      <c r="J2947" s="0" t="n">
        <v>100638</v>
      </c>
      <c r="K2947" s="0" t="n">
        <v>508</v>
      </c>
      <c r="L2947" s="0" t="s">
        <v>2496</v>
      </c>
      <c r="N2947" s="0" t="n">
        <v>1.016</v>
      </c>
      <c r="O2947" s="0" t="n">
        <v>2.55</v>
      </c>
      <c r="P2947" s="0" t="s">
        <v>2444</v>
      </c>
    </row>
    <row r="2948" customFormat="false" ht="15" hidden="false" customHeight="true" outlineLevel="0" collapsed="false">
      <c r="A2948" s="0" t="n">
        <v>2</v>
      </c>
      <c r="B2948" s="71" t="n">
        <v>46209</v>
      </c>
      <c r="C2948" s="0" t="n">
        <v>100</v>
      </c>
      <c r="D2948" s="0" t="s">
        <v>2499</v>
      </c>
      <c r="E2948" s="0" t="n">
        <v>48</v>
      </c>
      <c r="F2948" s="0" t="s">
        <v>153</v>
      </c>
      <c r="I2948" s="0" t="n">
        <v>1359613</v>
      </c>
      <c r="J2948" s="0" t="n">
        <v>110137</v>
      </c>
      <c r="K2948" s="0" t="n">
        <v>13899</v>
      </c>
      <c r="L2948" s="0" t="s">
        <v>3780</v>
      </c>
      <c r="N2948" s="0" t="n">
        <v>10.854</v>
      </c>
      <c r="O2948" s="0" t="n">
        <v>45.52</v>
      </c>
      <c r="P2948" s="0" t="s">
        <v>2444</v>
      </c>
    </row>
    <row r="2949" customFormat="false" ht="15" hidden="false" customHeight="true" outlineLevel="0" collapsed="false">
      <c r="A2949" s="0" t="n">
        <v>2</v>
      </c>
      <c r="B2949" s="71" t="n">
        <v>46209</v>
      </c>
      <c r="C2949" s="0" t="n">
        <v>100</v>
      </c>
      <c r="D2949" s="0" t="s">
        <v>2499</v>
      </c>
      <c r="E2949" s="0" t="n">
        <v>48</v>
      </c>
      <c r="F2949" s="0" t="s">
        <v>153</v>
      </c>
      <c r="I2949" s="0" t="n">
        <v>1359613</v>
      </c>
      <c r="J2949" s="0" t="n">
        <v>110455</v>
      </c>
      <c r="K2949" s="0" t="n">
        <v>53212</v>
      </c>
      <c r="L2949" s="0" t="s">
        <v>2498</v>
      </c>
      <c r="N2949" s="0" t="n">
        <v>0.832</v>
      </c>
      <c r="O2949" s="0" t="n">
        <v>0</v>
      </c>
      <c r="P2949" s="0" t="s">
        <v>2444</v>
      </c>
    </row>
    <row r="2950" customFormat="false" ht="15" hidden="false" customHeight="true" outlineLevel="0" collapsed="false">
      <c r="A2950" s="0" t="n">
        <v>2</v>
      </c>
      <c r="B2950" s="71" t="n">
        <v>46210</v>
      </c>
      <c r="C2950" s="0" t="n">
        <v>1</v>
      </c>
      <c r="D2950" s="0" t="s">
        <v>2442</v>
      </c>
      <c r="E2950" s="0" t="n">
        <v>1328</v>
      </c>
      <c r="F2950" s="0" t="s">
        <v>95</v>
      </c>
      <c r="I2950" s="0" t="n">
        <v>3993</v>
      </c>
      <c r="J2950" s="0" t="n">
        <v>50310</v>
      </c>
      <c r="K2950" s="0" t="n">
        <v>7898588380101</v>
      </c>
      <c r="L2950" s="0" t="s">
        <v>2502</v>
      </c>
      <c r="N2950" s="0" t="n">
        <v>2</v>
      </c>
      <c r="O2950" s="0" t="n">
        <v>15.4</v>
      </c>
      <c r="P2950" s="0" t="s">
        <v>2444</v>
      </c>
    </row>
    <row r="2951" customFormat="false" ht="15" hidden="false" customHeight="true" outlineLevel="0" collapsed="false">
      <c r="A2951" s="0" t="n">
        <v>2</v>
      </c>
      <c r="B2951" s="71" t="n">
        <v>46210</v>
      </c>
      <c r="C2951" s="0" t="n">
        <v>1</v>
      </c>
      <c r="D2951" s="0" t="s">
        <v>2442</v>
      </c>
      <c r="E2951" s="0" t="n">
        <v>1328</v>
      </c>
      <c r="F2951" s="0" t="s">
        <v>95</v>
      </c>
      <c r="I2951" s="0" t="n">
        <v>3993</v>
      </c>
      <c r="J2951" s="0" t="n">
        <v>21045</v>
      </c>
      <c r="K2951" s="0" t="n">
        <v>7898588380255</v>
      </c>
      <c r="L2951" s="0" t="s">
        <v>2503</v>
      </c>
      <c r="N2951" s="0" t="n">
        <v>2</v>
      </c>
      <c r="O2951" s="0" t="n">
        <v>11.44</v>
      </c>
      <c r="P2951" s="0" t="s">
        <v>2444</v>
      </c>
    </row>
    <row r="2952" customFormat="false" ht="15" hidden="false" customHeight="true" outlineLevel="0" collapsed="false">
      <c r="A2952" s="0" t="n">
        <v>2</v>
      </c>
      <c r="B2952" s="71" t="n">
        <v>46210</v>
      </c>
      <c r="C2952" s="0" t="n">
        <v>1</v>
      </c>
      <c r="D2952" s="0" t="s">
        <v>2442</v>
      </c>
      <c r="E2952" s="0" t="n">
        <v>1328</v>
      </c>
      <c r="F2952" s="0" t="s">
        <v>95</v>
      </c>
      <c r="I2952" s="0" t="n">
        <v>3993</v>
      </c>
      <c r="J2952" s="0" t="n">
        <v>21060</v>
      </c>
      <c r="K2952" s="0" t="n">
        <v>7898588380118</v>
      </c>
      <c r="L2952" s="0" t="s">
        <v>2504</v>
      </c>
      <c r="N2952" s="0" t="n">
        <v>10</v>
      </c>
      <c r="O2952" s="0" t="n">
        <v>70</v>
      </c>
      <c r="P2952" s="0" t="s">
        <v>2444</v>
      </c>
    </row>
    <row r="2953" customFormat="false" ht="15" hidden="false" customHeight="true" outlineLevel="0" collapsed="false">
      <c r="A2953" s="0" t="n">
        <v>2</v>
      </c>
      <c r="B2953" s="71" t="n">
        <v>46210</v>
      </c>
      <c r="C2953" s="0" t="n">
        <v>1</v>
      </c>
      <c r="D2953" s="0" t="s">
        <v>2442</v>
      </c>
      <c r="E2953" s="0" t="n">
        <v>1328</v>
      </c>
      <c r="F2953" s="0" t="s">
        <v>95</v>
      </c>
      <c r="I2953" s="0" t="n">
        <v>3993</v>
      </c>
      <c r="J2953" s="0" t="n">
        <v>31789</v>
      </c>
      <c r="K2953" s="0" t="n">
        <v>7898588380149</v>
      </c>
      <c r="L2953" s="0" t="s">
        <v>2446</v>
      </c>
      <c r="N2953" s="0" t="n">
        <v>3</v>
      </c>
      <c r="O2953" s="0" t="n">
        <v>17.16</v>
      </c>
      <c r="P2953" s="0" t="s">
        <v>2444</v>
      </c>
    </row>
    <row r="2954" customFormat="false" ht="15" hidden="false" customHeight="true" outlineLevel="0" collapsed="false">
      <c r="A2954" s="0" t="n">
        <v>2</v>
      </c>
      <c r="B2954" s="71" t="n">
        <v>46210</v>
      </c>
      <c r="C2954" s="0" t="n">
        <v>1</v>
      </c>
      <c r="D2954" s="0" t="s">
        <v>2442</v>
      </c>
      <c r="E2954" s="0" t="n">
        <v>1328</v>
      </c>
      <c r="F2954" s="0" t="s">
        <v>95</v>
      </c>
      <c r="I2954" s="0" t="n">
        <v>3993</v>
      </c>
      <c r="J2954" s="0" t="n">
        <v>31782</v>
      </c>
      <c r="K2954" s="0" t="n">
        <v>7898588380132</v>
      </c>
      <c r="L2954" s="0" t="s">
        <v>2505</v>
      </c>
      <c r="N2954" s="0" t="n">
        <v>4</v>
      </c>
      <c r="O2954" s="0" t="n">
        <v>22.88</v>
      </c>
      <c r="P2954" s="0" t="s">
        <v>2444</v>
      </c>
    </row>
    <row r="2955" customFormat="false" ht="15" hidden="false" customHeight="true" outlineLevel="0" collapsed="false">
      <c r="A2955" s="0" t="n">
        <v>2</v>
      </c>
      <c r="B2955" s="71" t="n">
        <v>46210</v>
      </c>
      <c r="C2955" s="0" t="n">
        <v>1</v>
      </c>
      <c r="D2955" s="0" t="s">
        <v>2442</v>
      </c>
      <c r="E2955" s="0" t="n">
        <v>1328</v>
      </c>
      <c r="F2955" s="0" t="s">
        <v>95</v>
      </c>
      <c r="I2955" s="0" t="n">
        <v>3993</v>
      </c>
      <c r="J2955" s="0" t="n">
        <v>31784</v>
      </c>
      <c r="K2955" s="0" t="n">
        <v>7898588380545</v>
      </c>
      <c r="L2955" s="0" t="s">
        <v>2590</v>
      </c>
      <c r="N2955" s="0" t="n">
        <v>4</v>
      </c>
      <c r="O2955" s="0" t="n">
        <v>22.88</v>
      </c>
      <c r="P2955" s="0" t="s">
        <v>2444</v>
      </c>
    </row>
    <row r="2956" customFormat="false" ht="15" hidden="false" customHeight="true" outlineLevel="0" collapsed="false">
      <c r="A2956" s="0" t="n">
        <v>2</v>
      </c>
      <c r="B2956" s="71" t="n">
        <v>46210</v>
      </c>
      <c r="C2956" s="0" t="n">
        <v>1</v>
      </c>
      <c r="D2956" s="0" t="s">
        <v>2442</v>
      </c>
      <c r="E2956" s="0" t="n">
        <v>1328</v>
      </c>
      <c r="F2956" s="0" t="s">
        <v>95</v>
      </c>
      <c r="I2956" s="0" t="n">
        <v>3993</v>
      </c>
      <c r="J2956" s="0" t="n">
        <v>31786</v>
      </c>
      <c r="K2956" s="0" t="n">
        <v>7898588380187</v>
      </c>
      <c r="L2956" s="0" t="s">
        <v>2506</v>
      </c>
      <c r="N2956" s="0" t="n">
        <v>4</v>
      </c>
      <c r="O2956" s="0" t="n">
        <v>22.88</v>
      </c>
      <c r="P2956" s="0" t="s">
        <v>2444</v>
      </c>
    </row>
    <row r="2957" customFormat="false" ht="15" hidden="false" customHeight="true" outlineLevel="0" collapsed="false">
      <c r="A2957" s="0" t="n">
        <v>2</v>
      </c>
      <c r="B2957" s="71" t="n">
        <v>46210</v>
      </c>
      <c r="C2957" s="0" t="n">
        <v>1</v>
      </c>
      <c r="D2957" s="0" t="s">
        <v>2442</v>
      </c>
      <c r="E2957" s="0" t="n">
        <v>1328</v>
      </c>
      <c r="F2957" s="0" t="s">
        <v>95</v>
      </c>
      <c r="I2957" s="0" t="n">
        <v>3993</v>
      </c>
      <c r="J2957" s="0" t="n">
        <v>31790</v>
      </c>
      <c r="K2957" s="0" t="n">
        <v>7898588380231</v>
      </c>
      <c r="L2957" s="0" t="s">
        <v>2508</v>
      </c>
      <c r="N2957" s="0" t="n">
        <v>2</v>
      </c>
      <c r="O2957" s="0" t="n">
        <v>11.44</v>
      </c>
      <c r="P2957" s="0" t="s">
        <v>2444</v>
      </c>
    </row>
    <row r="2958" customFormat="false" ht="15" hidden="false" customHeight="true" outlineLevel="0" collapsed="false">
      <c r="A2958" s="0" t="n">
        <v>2</v>
      </c>
      <c r="B2958" s="71" t="n">
        <v>46210</v>
      </c>
      <c r="C2958" s="0" t="n">
        <v>1</v>
      </c>
      <c r="D2958" s="0" t="s">
        <v>2442</v>
      </c>
      <c r="E2958" s="0" t="n">
        <v>703</v>
      </c>
      <c r="F2958" s="0" t="s">
        <v>952</v>
      </c>
      <c r="I2958" s="0" t="n">
        <v>102073</v>
      </c>
      <c r="J2958" s="0" t="n">
        <v>11460</v>
      </c>
      <c r="K2958" s="0" t="n">
        <v>7896005401200</v>
      </c>
      <c r="L2958" s="0" t="s">
        <v>3891</v>
      </c>
      <c r="N2958" s="0" t="n">
        <v>54</v>
      </c>
      <c r="O2958" s="0" t="n">
        <v>72.9</v>
      </c>
      <c r="P2958" s="0" t="s">
        <v>2444</v>
      </c>
    </row>
    <row r="2959" customFormat="false" ht="15" hidden="false" customHeight="true" outlineLevel="0" collapsed="false">
      <c r="A2959" s="0" t="n">
        <v>2</v>
      </c>
      <c r="B2959" s="71" t="n">
        <v>46210</v>
      </c>
      <c r="C2959" s="0" t="n">
        <v>1</v>
      </c>
      <c r="D2959" s="0" t="s">
        <v>2442</v>
      </c>
      <c r="E2959" s="0" t="n">
        <v>703</v>
      </c>
      <c r="F2959" s="0" t="s">
        <v>952</v>
      </c>
      <c r="I2959" s="0" t="n">
        <v>102073</v>
      </c>
      <c r="J2959" s="0" t="n">
        <v>11462</v>
      </c>
      <c r="K2959" s="0" t="n">
        <v>144650</v>
      </c>
      <c r="L2959" s="0" t="s">
        <v>3892</v>
      </c>
      <c r="N2959" s="0" t="n">
        <v>54</v>
      </c>
      <c r="O2959" s="0" t="n">
        <v>72.9</v>
      </c>
      <c r="P2959" s="0" t="s">
        <v>2444</v>
      </c>
    </row>
    <row r="2960" customFormat="false" ht="15" hidden="false" customHeight="true" outlineLevel="0" collapsed="false">
      <c r="A2960" s="0" t="n">
        <v>2</v>
      </c>
      <c r="B2960" s="71" t="n">
        <v>46210</v>
      </c>
      <c r="C2960" s="0" t="n">
        <v>1</v>
      </c>
      <c r="D2960" s="0" t="s">
        <v>2442</v>
      </c>
      <c r="E2960" s="0" t="n">
        <v>703</v>
      </c>
      <c r="F2960" s="0" t="s">
        <v>952</v>
      </c>
      <c r="I2960" s="0" t="n">
        <v>102073</v>
      </c>
      <c r="J2960" s="0" t="n">
        <v>12936</v>
      </c>
      <c r="K2960" s="0" t="n">
        <v>7896005401156</v>
      </c>
      <c r="L2960" s="0" t="s">
        <v>3893</v>
      </c>
      <c r="N2960" s="0" t="n">
        <v>27</v>
      </c>
      <c r="O2960" s="0" t="n">
        <v>36.45</v>
      </c>
      <c r="P2960" s="0" t="s">
        <v>2444</v>
      </c>
    </row>
    <row r="2961" customFormat="false" ht="15" hidden="false" customHeight="true" outlineLevel="0" collapsed="false">
      <c r="A2961" s="0" t="n">
        <v>2</v>
      </c>
      <c r="B2961" s="71" t="n">
        <v>46210</v>
      </c>
      <c r="C2961" s="0" t="n">
        <v>1</v>
      </c>
      <c r="D2961" s="0" t="s">
        <v>2442</v>
      </c>
      <c r="E2961" s="0" t="n">
        <v>703</v>
      </c>
      <c r="F2961" s="0" t="s">
        <v>952</v>
      </c>
      <c r="I2961" s="0" t="n">
        <v>102073</v>
      </c>
      <c r="J2961" s="0" t="n">
        <v>18201</v>
      </c>
      <c r="K2961" s="0" t="n">
        <v>7896000598226</v>
      </c>
      <c r="L2961" s="0" t="s">
        <v>3894</v>
      </c>
      <c r="N2961" s="0" t="n">
        <v>54</v>
      </c>
      <c r="O2961" s="0" t="n">
        <v>72.9</v>
      </c>
      <c r="P2961" s="0" t="s">
        <v>2444</v>
      </c>
    </row>
    <row r="2962" customFormat="false" ht="15" hidden="false" customHeight="true" outlineLevel="0" collapsed="false">
      <c r="A2962" s="0" t="n">
        <v>2</v>
      </c>
      <c r="B2962" s="71" t="n">
        <v>46210</v>
      </c>
      <c r="C2962" s="0" t="n">
        <v>1</v>
      </c>
      <c r="D2962" s="0" t="s">
        <v>2442</v>
      </c>
      <c r="E2962" s="0" t="n">
        <v>703</v>
      </c>
      <c r="F2962" s="0" t="s">
        <v>952</v>
      </c>
      <c r="I2962" s="0" t="n">
        <v>102073</v>
      </c>
      <c r="J2962" s="0" t="n">
        <v>27336</v>
      </c>
      <c r="K2962" s="0" t="n">
        <v>7896000595966</v>
      </c>
      <c r="L2962" s="0" t="s">
        <v>3895</v>
      </c>
      <c r="N2962" s="0" t="n">
        <v>12</v>
      </c>
      <c r="O2962" s="0" t="n">
        <v>33</v>
      </c>
      <c r="P2962" s="0" t="s">
        <v>2444</v>
      </c>
    </row>
    <row r="2963" customFormat="false" ht="15" hidden="false" customHeight="true" outlineLevel="0" collapsed="false">
      <c r="A2963" s="0" t="n">
        <v>2</v>
      </c>
      <c r="B2963" s="71" t="n">
        <v>46210</v>
      </c>
      <c r="C2963" s="0" t="n">
        <v>1</v>
      </c>
      <c r="D2963" s="0" t="s">
        <v>2442</v>
      </c>
      <c r="E2963" s="0" t="n">
        <v>703</v>
      </c>
      <c r="F2963" s="0" t="s">
        <v>952</v>
      </c>
      <c r="I2963" s="0" t="n">
        <v>102073</v>
      </c>
      <c r="J2963" s="0" t="n">
        <v>27337</v>
      </c>
      <c r="K2963" s="0" t="n">
        <v>7896000595980</v>
      </c>
      <c r="L2963" s="0" t="s">
        <v>3896</v>
      </c>
      <c r="N2963" s="0" t="n">
        <v>12</v>
      </c>
      <c r="O2963" s="0" t="n">
        <v>33</v>
      </c>
      <c r="P2963" s="0" t="s">
        <v>2444</v>
      </c>
    </row>
    <row r="2964" customFormat="false" ht="15" hidden="false" customHeight="true" outlineLevel="0" collapsed="false">
      <c r="A2964" s="0" t="n">
        <v>2</v>
      </c>
      <c r="B2964" s="71" t="n">
        <v>46210</v>
      </c>
      <c r="C2964" s="0" t="n">
        <v>1</v>
      </c>
      <c r="D2964" s="0" t="s">
        <v>2442</v>
      </c>
      <c r="E2964" s="0" t="n">
        <v>703</v>
      </c>
      <c r="F2964" s="0" t="s">
        <v>952</v>
      </c>
      <c r="I2964" s="0" t="n">
        <v>102073</v>
      </c>
      <c r="J2964" s="0" t="n">
        <v>27511</v>
      </c>
      <c r="K2964" s="0" t="n">
        <v>7896000595973</v>
      </c>
      <c r="L2964" s="0" t="s">
        <v>3895</v>
      </c>
      <c r="N2964" s="0" t="n">
        <v>6</v>
      </c>
      <c r="O2964" s="0" t="n">
        <v>16.5</v>
      </c>
      <c r="P2964" s="0" t="s">
        <v>2444</v>
      </c>
    </row>
    <row r="2965" customFormat="false" ht="15" hidden="false" customHeight="true" outlineLevel="0" collapsed="false">
      <c r="A2965" s="0" t="n">
        <v>2</v>
      </c>
      <c r="B2965" s="71" t="n">
        <v>46210</v>
      </c>
      <c r="C2965" s="0" t="n">
        <v>1</v>
      </c>
      <c r="D2965" s="0" t="s">
        <v>2442</v>
      </c>
      <c r="E2965" s="0" t="n">
        <v>703</v>
      </c>
      <c r="F2965" s="0" t="s">
        <v>952</v>
      </c>
      <c r="I2965" s="0" t="n">
        <v>102073</v>
      </c>
      <c r="J2965" s="0" t="n">
        <v>29100</v>
      </c>
      <c r="K2965" s="0" t="n">
        <v>7896005403556</v>
      </c>
      <c r="L2965" s="0" t="s">
        <v>3897</v>
      </c>
      <c r="N2965" s="0" t="n">
        <v>27</v>
      </c>
      <c r="O2965" s="0" t="n">
        <v>36.45</v>
      </c>
      <c r="P2965" s="0" t="s">
        <v>2444</v>
      </c>
    </row>
    <row r="2966" customFormat="false" ht="15" hidden="false" customHeight="true" outlineLevel="0" collapsed="false">
      <c r="A2966" s="0" t="n">
        <v>2</v>
      </c>
      <c r="B2966" s="71" t="n">
        <v>46210</v>
      </c>
      <c r="C2966" s="0" t="n">
        <v>1</v>
      </c>
      <c r="D2966" s="0" t="s">
        <v>2442</v>
      </c>
      <c r="E2966" s="0" t="n">
        <v>1642</v>
      </c>
      <c r="F2966" s="0" t="s">
        <v>228</v>
      </c>
      <c r="I2966" s="0" t="n">
        <v>1030653</v>
      </c>
      <c r="J2966" s="0" t="n">
        <v>102033</v>
      </c>
      <c r="K2966" s="0" t="n">
        <v>7896289210192</v>
      </c>
      <c r="L2966" s="0" t="s">
        <v>2962</v>
      </c>
      <c r="N2966" s="0" t="n">
        <v>5</v>
      </c>
      <c r="O2966" s="0" t="n">
        <v>34.87</v>
      </c>
      <c r="P2966" s="0" t="s">
        <v>2444</v>
      </c>
    </row>
    <row r="2967" customFormat="false" ht="15" hidden="false" customHeight="true" outlineLevel="0" collapsed="false">
      <c r="A2967" s="0" t="n">
        <v>2</v>
      </c>
      <c r="B2967" s="71" t="n">
        <v>46210</v>
      </c>
      <c r="C2967" s="0" t="n">
        <v>1</v>
      </c>
      <c r="D2967" s="0" t="s">
        <v>2442</v>
      </c>
      <c r="E2967" s="0" t="n">
        <v>1642</v>
      </c>
      <c r="F2967" s="0" t="s">
        <v>228</v>
      </c>
      <c r="I2967" s="0" t="n">
        <v>1030653</v>
      </c>
      <c r="J2967" s="0" t="n">
        <v>105780</v>
      </c>
      <c r="K2967" s="0" t="n">
        <v>7896289210017</v>
      </c>
      <c r="L2967" s="0" t="s">
        <v>2511</v>
      </c>
      <c r="N2967" s="0" t="n">
        <v>5</v>
      </c>
      <c r="O2967" s="0" t="n">
        <v>53.35</v>
      </c>
      <c r="P2967" s="0" t="s">
        <v>2444</v>
      </c>
    </row>
    <row r="2968" customFormat="false" ht="15" hidden="false" customHeight="true" outlineLevel="0" collapsed="false">
      <c r="A2968" s="0" t="n">
        <v>2</v>
      </c>
      <c r="B2968" s="71" t="n">
        <v>46210</v>
      </c>
      <c r="C2968" s="0" t="n">
        <v>1</v>
      </c>
      <c r="D2968" s="0" t="s">
        <v>2442</v>
      </c>
      <c r="E2968" s="0" t="n">
        <v>1642</v>
      </c>
      <c r="F2968" s="0" t="s">
        <v>228</v>
      </c>
      <c r="I2968" s="0" t="n">
        <v>1030653</v>
      </c>
      <c r="J2968" s="0" t="n">
        <v>105782</v>
      </c>
      <c r="K2968" s="0" t="n">
        <v>7896289210352</v>
      </c>
      <c r="L2968" s="0" t="s">
        <v>2512</v>
      </c>
      <c r="N2968" s="0" t="n">
        <v>5</v>
      </c>
      <c r="O2968" s="0" t="n">
        <v>34.3</v>
      </c>
      <c r="P2968" s="0" t="s">
        <v>2444</v>
      </c>
    </row>
    <row r="2969" customFormat="false" ht="15" hidden="false" customHeight="true" outlineLevel="0" collapsed="false">
      <c r="A2969" s="0" t="n">
        <v>2</v>
      </c>
      <c r="B2969" s="71" t="n">
        <v>46210</v>
      </c>
      <c r="C2969" s="0" t="n">
        <v>1</v>
      </c>
      <c r="D2969" s="0" t="s">
        <v>2442</v>
      </c>
      <c r="E2969" s="0" t="n">
        <v>1642</v>
      </c>
      <c r="F2969" s="0" t="s">
        <v>228</v>
      </c>
      <c r="I2969" s="0" t="n">
        <v>1030653</v>
      </c>
      <c r="J2969" s="0" t="n">
        <v>106079</v>
      </c>
      <c r="K2969" s="0" t="n">
        <v>7896289210130</v>
      </c>
      <c r="L2969" s="0" t="s">
        <v>2513</v>
      </c>
      <c r="N2969" s="0" t="n">
        <v>3</v>
      </c>
      <c r="O2969" s="0" t="n">
        <v>41.1</v>
      </c>
      <c r="P2969" s="0" t="s">
        <v>2444</v>
      </c>
    </row>
    <row r="2970" customFormat="false" ht="15" hidden="false" customHeight="true" outlineLevel="0" collapsed="false">
      <c r="A2970" s="0" t="n">
        <v>2</v>
      </c>
      <c r="B2970" s="71" t="n">
        <v>46210</v>
      </c>
      <c r="C2970" s="0" t="n">
        <v>1</v>
      </c>
      <c r="D2970" s="0" t="s">
        <v>2442</v>
      </c>
      <c r="E2970" s="0" t="n">
        <v>1642</v>
      </c>
      <c r="F2970" s="0" t="s">
        <v>228</v>
      </c>
      <c r="I2970" s="0" t="n">
        <v>1030653</v>
      </c>
      <c r="J2970" s="0" t="n">
        <v>106274</v>
      </c>
      <c r="K2970" s="0" t="n">
        <v>7896289210086</v>
      </c>
      <c r="L2970" s="0" t="s">
        <v>2514</v>
      </c>
      <c r="N2970" s="0" t="n">
        <v>4</v>
      </c>
      <c r="O2970" s="0" t="n">
        <v>50.24</v>
      </c>
      <c r="P2970" s="0" t="s">
        <v>2444</v>
      </c>
    </row>
    <row r="2971" customFormat="false" ht="15" hidden="false" customHeight="true" outlineLevel="0" collapsed="false">
      <c r="A2971" s="0" t="n">
        <v>2</v>
      </c>
      <c r="B2971" s="71" t="n">
        <v>46210</v>
      </c>
      <c r="C2971" s="0" t="n">
        <v>1</v>
      </c>
      <c r="D2971" s="0" t="s">
        <v>2442</v>
      </c>
      <c r="E2971" s="0" t="n">
        <v>1642</v>
      </c>
      <c r="F2971" s="0" t="s">
        <v>228</v>
      </c>
      <c r="I2971" s="0" t="n">
        <v>1030653</v>
      </c>
      <c r="J2971" s="0" t="n">
        <v>106407</v>
      </c>
      <c r="K2971" s="0" t="n">
        <v>7896289210031</v>
      </c>
      <c r="L2971" s="0" t="s">
        <v>2516</v>
      </c>
      <c r="N2971" s="0" t="n">
        <v>3</v>
      </c>
      <c r="O2971" s="0" t="n">
        <v>34.92</v>
      </c>
      <c r="P2971" s="0" t="s">
        <v>2444</v>
      </c>
    </row>
    <row r="2972" customFormat="false" ht="15" hidden="false" customHeight="true" outlineLevel="0" collapsed="false">
      <c r="A2972" s="0" t="n">
        <v>2</v>
      </c>
      <c r="B2972" s="71" t="n">
        <v>46210</v>
      </c>
      <c r="C2972" s="0" t="n">
        <v>1</v>
      </c>
      <c r="D2972" s="0" t="s">
        <v>2442</v>
      </c>
      <c r="E2972" s="0" t="n">
        <v>1613</v>
      </c>
      <c r="F2972" s="0" t="s">
        <v>50</v>
      </c>
      <c r="I2972" s="0" t="n">
        <v>1604119</v>
      </c>
      <c r="J2972" s="0" t="n">
        <v>100030</v>
      </c>
      <c r="K2972" s="0" t="n">
        <v>31</v>
      </c>
      <c r="L2972" s="0" t="s">
        <v>3898</v>
      </c>
      <c r="N2972" s="0" t="n">
        <v>13</v>
      </c>
      <c r="O2972" s="0" t="n">
        <v>252.38</v>
      </c>
      <c r="P2972" s="0" t="s">
        <v>2444</v>
      </c>
    </row>
    <row r="2973" customFormat="false" ht="15" hidden="false" customHeight="true" outlineLevel="0" collapsed="false">
      <c r="A2973" s="0" t="n">
        <v>2</v>
      </c>
      <c r="B2973" s="71" t="n">
        <v>46210</v>
      </c>
      <c r="C2973" s="0" t="n">
        <v>1</v>
      </c>
      <c r="D2973" s="0" t="s">
        <v>2442</v>
      </c>
      <c r="E2973" s="0" t="n">
        <v>1613</v>
      </c>
      <c r="F2973" s="0" t="s">
        <v>50</v>
      </c>
      <c r="I2973" s="0" t="n">
        <v>1604119</v>
      </c>
      <c r="J2973" s="0" t="n">
        <v>100052</v>
      </c>
      <c r="K2973" s="0" t="n">
        <v>53</v>
      </c>
      <c r="L2973" s="0" t="s">
        <v>2967</v>
      </c>
      <c r="N2973" s="0" t="n">
        <v>32</v>
      </c>
      <c r="O2973" s="0" t="n">
        <v>920.96</v>
      </c>
      <c r="P2973" s="0" t="s">
        <v>2444</v>
      </c>
    </row>
    <row r="2974" customFormat="false" ht="15" hidden="false" customHeight="true" outlineLevel="0" collapsed="false">
      <c r="A2974" s="0" t="n">
        <v>2</v>
      </c>
      <c r="B2974" s="71" t="n">
        <v>46210</v>
      </c>
      <c r="C2974" s="0" t="n">
        <v>1</v>
      </c>
      <c r="D2974" s="0" t="s">
        <v>2442</v>
      </c>
      <c r="E2974" s="0" t="n">
        <v>1613</v>
      </c>
      <c r="F2974" s="0" t="s">
        <v>50</v>
      </c>
      <c r="I2974" s="0" t="n">
        <v>1604119</v>
      </c>
      <c r="J2974" s="0" t="n">
        <v>103794</v>
      </c>
      <c r="K2974" s="0" t="n">
        <v>7893000488526</v>
      </c>
      <c r="L2974" s="0" t="s">
        <v>2969</v>
      </c>
      <c r="N2974" s="0" t="n">
        <v>16</v>
      </c>
      <c r="O2974" s="0" t="n">
        <v>177.9</v>
      </c>
      <c r="P2974" s="0" t="s">
        <v>2444</v>
      </c>
    </row>
    <row r="2975" customFormat="false" ht="15" hidden="false" customHeight="true" outlineLevel="0" collapsed="false">
      <c r="A2975" s="0" t="n">
        <v>2</v>
      </c>
      <c r="B2975" s="71" t="n">
        <v>46210</v>
      </c>
      <c r="C2975" s="0" t="n">
        <v>1</v>
      </c>
      <c r="D2975" s="0" t="s">
        <v>2442</v>
      </c>
      <c r="E2975" s="0" t="n">
        <v>1613</v>
      </c>
      <c r="F2975" s="0" t="s">
        <v>50</v>
      </c>
      <c r="I2975" s="0" t="n">
        <v>1604119</v>
      </c>
      <c r="J2975" s="0" t="n">
        <v>103796</v>
      </c>
      <c r="K2975" s="0" t="n">
        <v>7893000436725</v>
      </c>
      <c r="L2975" s="0" t="s">
        <v>2971</v>
      </c>
      <c r="N2975" s="0" t="n">
        <v>12</v>
      </c>
      <c r="O2975" s="0" t="n">
        <v>136.56</v>
      </c>
      <c r="P2975" s="0" t="s">
        <v>2444</v>
      </c>
    </row>
    <row r="2976" customFormat="false" ht="15" hidden="false" customHeight="true" outlineLevel="0" collapsed="false">
      <c r="A2976" s="0" t="n">
        <v>2</v>
      </c>
      <c r="B2976" s="71" t="n">
        <v>46210</v>
      </c>
      <c r="C2976" s="0" t="n">
        <v>1</v>
      </c>
      <c r="D2976" s="0" t="s">
        <v>2442</v>
      </c>
      <c r="E2976" s="0" t="n">
        <v>1613</v>
      </c>
      <c r="F2976" s="0" t="s">
        <v>50</v>
      </c>
      <c r="I2976" s="0" t="n">
        <v>1604119</v>
      </c>
      <c r="J2976" s="0" t="n">
        <v>108584</v>
      </c>
      <c r="K2976" s="0" t="n">
        <v>7893000949430</v>
      </c>
      <c r="L2976" s="0" t="s">
        <v>3899</v>
      </c>
      <c r="N2976" s="0" t="n">
        <v>16</v>
      </c>
      <c r="O2976" s="0" t="n">
        <v>136.72</v>
      </c>
      <c r="P2976" s="0" t="s">
        <v>2444</v>
      </c>
    </row>
    <row r="2977" customFormat="false" ht="15" hidden="false" customHeight="true" outlineLevel="0" collapsed="false">
      <c r="A2977" s="0" t="n">
        <v>2</v>
      </c>
      <c r="B2977" s="71" t="n">
        <v>46210</v>
      </c>
      <c r="C2977" s="0" t="n">
        <v>1</v>
      </c>
      <c r="D2977" s="0" t="s">
        <v>2442</v>
      </c>
      <c r="E2977" s="0" t="n">
        <v>1613</v>
      </c>
      <c r="F2977" s="0" t="s">
        <v>50</v>
      </c>
      <c r="I2977" s="0" t="n">
        <v>1604119</v>
      </c>
      <c r="J2977" s="0" t="n">
        <v>23695</v>
      </c>
      <c r="K2977" s="0" t="n">
        <v>7891515474126</v>
      </c>
      <c r="L2977" s="0" t="s">
        <v>2979</v>
      </c>
      <c r="N2977" s="0" t="n">
        <v>90</v>
      </c>
      <c r="O2977" s="0" t="n">
        <v>155.62</v>
      </c>
      <c r="P2977" s="0" t="s">
        <v>2444</v>
      </c>
    </row>
    <row r="2978" customFormat="false" ht="15" hidden="false" customHeight="true" outlineLevel="0" collapsed="false">
      <c r="A2978" s="0" t="n">
        <v>2</v>
      </c>
      <c r="B2978" s="71" t="n">
        <v>46210</v>
      </c>
      <c r="C2978" s="0" t="n">
        <v>1</v>
      </c>
      <c r="D2978" s="0" t="s">
        <v>2442</v>
      </c>
      <c r="E2978" s="0" t="n">
        <v>1613</v>
      </c>
      <c r="F2978" s="0" t="s">
        <v>50</v>
      </c>
      <c r="I2978" s="0" t="n">
        <v>1604119</v>
      </c>
      <c r="J2978" s="0" t="n">
        <v>25698</v>
      </c>
      <c r="K2978" s="0" t="n">
        <v>7891515485535</v>
      </c>
      <c r="L2978" s="0" t="s">
        <v>3900</v>
      </c>
      <c r="N2978" s="0" t="n">
        <v>15</v>
      </c>
      <c r="O2978" s="0" t="n">
        <v>136.18</v>
      </c>
      <c r="P2978" s="0" t="s">
        <v>2444</v>
      </c>
    </row>
    <row r="2979" customFormat="false" ht="15" hidden="false" customHeight="true" outlineLevel="0" collapsed="false">
      <c r="A2979" s="0" t="n">
        <v>2</v>
      </c>
      <c r="B2979" s="71" t="n">
        <v>46210</v>
      </c>
      <c r="C2979" s="0" t="n">
        <v>1</v>
      </c>
      <c r="D2979" s="0" t="s">
        <v>2442</v>
      </c>
      <c r="E2979" s="0" t="n">
        <v>1613</v>
      </c>
      <c r="F2979" s="0" t="s">
        <v>50</v>
      </c>
      <c r="I2979" s="0" t="n">
        <v>1604119</v>
      </c>
      <c r="J2979" s="0" t="n">
        <v>110181</v>
      </c>
      <c r="K2979" s="0" t="n">
        <v>37389</v>
      </c>
      <c r="L2979" s="0" t="s">
        <v>2981</v>
      </c>
      <c r="N2979" s="0" t="n">
        <v>15</v>
      </c>
      <c r="O2979" s="0" t="n">
        <v>147.23</v>
      </c>
      <c r="P2979" s="0" t="s">
        <v>2444</v>
      </c>
    </row>
    <row r="2980" customFormat="false" ht="15" hidden="false" customHeight="true" outlineLevel="0" collapsed="false">
      <c r="A2980" s="0" t="n">
        <v>2</v>
      </c>
      <c r="B2980" s="71" t="n">
        <v>46210</v>
      </c>
      <c r="C2980" s="0" t="n">
        <v>1</v>
      </c>
      <c r="D2980" s="0" t="s">
        <v>2442</v>
      </c>
      <c r="E2980" s="0" t="n">
        <v>1683</v>
      </c>
      <c r="F2980" s="0" t="s">
        <v>406</v>
      </c>
      <c r="I2980" s="0" t="n">
        <v>1643287</v>
      </c>
      <c r="J2980" s="0" t="n">
        <v>109791</v>
      </c>
      <c r="K2980" s="0" t="n">
        <v>9667</v>
      </c>
      <c r="L2980" s="0" t="s">
        <v>2465</v>
      </c>
      <c r="N2980" s="0" t="n">
        <v>15</v>
      </c>
      <c r="O2980" s="0" t="n">
        <v>22.5</v>
      </c>
      <c r="P2980" s="0" t="s">
        <v>2444</v>
      </c>
    </row>
    <row r="2981" customFormat="false" ht="15" hidden="false" customHeight="true" outlineLevel="0" collapsed="false">
      <c r="A2981" s="0" t="n">
        <v>2</v>
      </c>
      <c r="B2981" s="71" t="n">
        <v>46210</v>
      </c>
      <c r="C2981" s="0" t="n">
        <v>1</v>
      </c>
      <c r="D2981" s="0" t="s">
        <v>2442</v>
      </c>
      <c r="E2981" s="0" t="n">
        <v>1683</v>
      </c>
      <c r="F2981" s="0" t="s">
        <v>406</v>
      </c>
      <c r="I2981" s="0" t="n">
        <v>1643287</v>
      </c>
      <c r="J2981" s="0" t="n">
        <v>37359</v>
      </c>
      <c r="K2981" s="0" t="n">
        <v>55526</v>
      </c>
      <c r="L2981" s="0" t="s">
        <v>2466</v>
      </c>
      <c r="N2981" s="0" t="n">
        <v>5</v>
      </c>
      <c r="O2981" s="0" t="n">
        <v>17.5</v>
      </c>
      <c r="P2981" s="0" t="s">
        <v>2444</v>
      </c>
    </row>
    <row r="2982" customFormat="false" ht="15" hidden="false" customHeight="true" outlineLevel="0" collapsed="false">
      <c r="A2982" s="0" t="n">
        <v>2</v>
      </c>
      <c r="B2982" s="71" t="n">
        <v>46210</v>
      </c>
      <c r="C2982" s="0" t="n">
        <v>1</v>
      </c>
      <c r="D2982" s="0" t="s">
        <v>2442</v>
      </c>
      <c r="E2982" s="0" t="n">
        <v>1683</v>
      </c>
      <c r="F2982" s="0" t="s">
        <v>406</v>
      </c>
      <c r="I2982" s="0" t="n">
        <v>1643287</v>
      </c>
      <c r="J2982" s="0" t="n">
        <v>37361</v>
      </c>
      <c r="K2982" s="0" t="n">
        <v>2240817</v>
      </c>
      <c r="L2982" s="0" t="s">
        <v>2467</v>
      </c>
      <c r="N2982" s="0" t="n">
        <v>50</v>
      </c>
      <c r="O2982" s="0" t="n">
        <v>90</v>
      </c>
      <c r="P2982" s="0" t="s">
        <v>2444</v>
      </c>
    </row>
    <row r="2983" customFormat="false" ht="15" hidden="false" customHeight="true" outlineLevel="0" collapsed="false">
      <c r="A2983" s="0" t="n">
        <v>2</v>
      </c>
      <c r="B2983" s="71" t="n">
        <v>46210</v>
      </c>
      <c r="C2983" s="0" t="n">
        <v>2</v>
      </c>
      <c r="D2983" s="0" t="s">
        <v>2533</v>
      </c>
      <c r="E2983" s="0" t="n">
        <v>48</v>
      </c>
      <c r="F2983" s="0" t="s">
        <v>153</v>
      </c>
      <c r="I2983" s="0" t="n">
        <v>7726</v>
      </c>
      <c r="J2983" s="0" t="n">
        <v>100062</v>
      </c>
      <c r="K2983" s="0" t="n">
        <v>63</v>
      </c>
      <c r="L2983" s="0" t="s">
        <v>2535</v>
      </c>
      <c r="N2983" s="0" t="n">
        <v>13</v>
      </c>
      <c r="O2983" s="0" t="n">
        <v>93.86</v>
      </c>
      <c r="P2983" s="0" t="s">
        <v>2444</v>
      </c>
    </row>
    <row r="2984" customFormat="false" ht="15" hidden="false" customHeight="true" outlineLevel="0" collapsed="false">
      <c r="A2984" s="0" t="n">
        <v>2</v>
      </c>
      <c r="B2984" s="71" t="n">
        <v>46210</v>
      </c>
      <c r="C2984" s="0" t="n">
        <v>2</v>
      </c>
      <c r="D2984" s="0" t="s">
        <v>2533</v>
      </c>
      <c r="E2984" s="0" t="n">
        <v>48</v>
      </c>
      <c r="F2984" s="0" t="s">
        <v>153</v>
      </c>
      <c r="I2984" s="0" t="n">
        <v>7726</v>
      </c>
      <c r="J2984" s="0" t="n">
        <v>100105</v>
      </c>
      <c r="K2984" s="0" t="n">
        <v>106</v>
      </c>
      <c r="L2984" s="0" t="s">
        <v>2536</v>
      </c>
      <c r="N2984" s="0" t="n">
        <v>24</v>
      </c>
      <c r="O2984" s="0" t="n">
        <v>180</v>
      </c>
      <c r="P2984" s="0" t="s">
        <v>2444</v>
      </c>
    </row>
    <row r="2985" customFormat="false" ht="15" hidden="false" customHeight="true" outlineLevel="0" collapsed="false">
      <c r="A2985" s="0" t="n">
        <v>2</v>
      </c>
      <c r="B2985" s="71" t="n">
        <v>46210</v>
      </c>
      <c r="C2985" s="0" t="n">
        <v>2</v>
      </c>
      <c r="D2985" s="0" t="s">
        <v>2533</v>
      </c>
      <c r="E2985" s="0" t="n">
        <v>48</v>
      </c>
      <c r="F2985" s="0" t="s">
        <v>153</v>
      </c>
      <c r="I2985" s="0" t="n">
        <v>7726</v>
      </c>
      <c r="J2985" s="0" t="n">
        <v>100107</v>
      </c>
      <c r="K2985" s="0" t="n">
        <v>108</v>
      </c>
      <c r="L2985" s="0" t="s">
        <v>3259</v>
      </c>
      <c r="N2985" s="0" t="n">
        <v>2</v>
      </c>
      <c r="O2985" s="0" t="n">
        <v>22</v>
      </c>
      <c r="P2985" s="0" t="s">
        <v>2444</v>
      </c>
    </row>
    <row r="2986" customFormat="false" ht="15" hidden="false" customHeight="true" outlineLevel="0" collapsed="false">
      <c r="A2986" s="0" t="n">
        <v>2</v>
      </c>
      <c r="B2986" s="71" t="n">
        <v>46210</v>
      </c>
      <c r="C2986" s="0" t="n">
        <v>2</v>
      </c>
      <c r="D2986" s="0" t="s">
        <v>2533</v>
      </c>
      <c r="E2986" s="0" t="n">
        <v>48</v>
      </c>
      <c r="F2986" s="0" t="s">
        <v>153</v>
      </c>
      <c r="I2986" s="0" t="n">
        <v>7726</v>
      </c>
      <c r="J2986" s="0" t="n">
        <v>100109</v>
      </c>
      <c r="K2986" s="0" t="n">
        <v>110</v>
      </c>
      <c r="L2986" s="0" t="s">
        <v>2537</v>
      </c>
      <c r="N2986" s="0" t="n">
        <v>20</v>
      </c>
      <c r="O2986" s="0" t="n">
        <v>140</v>
      </c>
      <c r="P2986" s="0" t="s">
        <v>2444</v>
      </c>
    </row>
    <row r="2987" customFormat="false" ht="15" hidden="false" customHeight="true" outlineLevel="0" collapsed="false">
      <c r="A2987" s="0" t="n">
        <v>2</v>
      </c>
      <c r="B2987" s="71" t="n">
        <v>46210</v>
      </c>
      <c r="C2987" s="0" t="n">
        <v>2</v>
      </c>
      <c r="D2987" s="0" t="s">
        <v>2533</v>
      </c>
      <c r="E2987" s="0" t="n">
        <v>48</v>
      </c>
      <c r="F2987" s="0" t="s">
        <v>153</v>
      </c>
      <c r="I2987" s="0" t="n">
        <v>7726</v>
      </c>
      <c r="J2987" s="0" t="n">
        <v>100110</v>
      </c>
      <c r="K2987" s="0" t="n">
        <v>111</v>
      </c>
      <c r="L2987" s="0" t="s">
        <v>2997</v>
      </c>
      <c r="N2987" s="0" t="n">
        <v>16</v>
      </c>
      <c r="O2987" s="0" t="n">
        <v>160</v>
      </c>
      <c r="P2987" s="0" t="s">
        <v>2444</v>
      </c>
    </row>
    <row r="2988" customFormat="false" ht="15" hidden="false" customHeight="true" outlineLevel="0" collapsed="false">
      <c r="A2988" s="0" t="n">
        <v>2</v>
      </c>
      <c r="B2988" s="71" t="n">
        <v>46210</v>
      </c>
      <c r="C2988" s="0" t="n">
        <v>2</v>
      </c>
      <c r="D2988" s="0" t="s">
        <v>2533</v>
      </c>
      <c r="E2988" s="0" t="n">
        <v>48</v>
      </c>
      <c r="F2988" s="0" t="s">
        <v>153</v>
      </c>
      <c r="I2988" s="0" t="n">
        <v>7726</v>
      </c>
      <c r="J2988" s="0" t="n">
        <v>100113</v>
      </c>
      <c r="K2988" s="0" t="n">
        <v>114</v>
      </c>
      <c r="L2988" s="0" t="s">
        <v>2539</v>
      </c>
      <c r="N2988" s="0" t="n">
        <v>20</v>
      </c>
      <c r="O2988" s="0" t="n">
        <v>55</v>
      </c>
      <c r="P2988" s="0" t="s">
        <v>2444</v>
      </c>
    </row>
    <row r="2989" customFormat="false" ht="15" hidden="false" customHeight="true" outlineLevel="0" collapsed="false">
      <c r="A2989" s="0" t="n">
        <v>2</v>
      </c>
      <c r="B2989" s="71" t="n">
        <v>46210</v>
      </c>
      <c r="C2989" s="0" t="n">
        <v>2</v>
      </c>
      <c r="D2989" s="0" t="s">
        <v>2533</v>
      </c>
      <c r="E2989" s="0" t="n">
        <v>48</v>
      </c>
      <c r="F2989" s="0" t="s">
        <v>153</v>
      </c>
      <c r="I2989" s="0" t="n">
        <v>7726</v>
      </c>
      <c r="J2989" s="0" t="n">
        <v>100115</v>
      </c>
      <c r="K2989" s="0" t="n">
        <v>116</v>
      </c>
      <c r="L2989" s="0" t="s">
        <v>2694</v>
      </c>
      <c r="N2989" s="0" t="n">
        <v>10</v>
      </c>
      <c r="O2989" s="0" t="n">
        <v>66.6</v>
      </c>
      <c r="P2989" s="0" t="s">
        <v>2444</v>
      </c>
    </row>
    <row r="2990" customFormat="false" ht="15" hidden="false" customHeight="true" outlineLevel="0" collapsed="false">
      <c r="A2990" s="0" t="n">
        <v>2</v>
      </c>
      <c r="B2990" s="71" t="n">
        <v>46210</v>
      </c>
      <c r="C2990" s="0" t="n">
        <v>2</v>
      </c>
      <c r="D2990" s="0" t="s">
        <v>2533</v>
      </c>
      <c r="E2990" s="0" t="n">
        <v>48</v>
      </c>
      <c r="F2990" s="0" t="s">
        <v>153</v>
      </c>
      <c r="I2990" s="0" t="n">
        <v>7726</v>
      </c>
      <c r="J2990" s="0" t="n">
        <v>100116</v>
      </c>
      <c r="K2990" s="0" t="n">
        <v>117</v>
      </c>
      <c r="L2990" s="0" t="s">
        <v>2540</v>
      </c>
      <c r="N2990" s="0" t="n">
        <v>2</v>
      </c>
      <c r="O2990" s="0" t="n">
        <v>16</v>
      </c>
      <c r="P2990" s="0" t="s">
        <v>2444</v>
      </c>
    </row>
    <row r="2991" customFormat="false" ht="15" hidden="false" customHeight="true" outlineLevel="0" collapsed="false">
      <c r="A2991" s="0" t="n">
        <v>2</v>
      </c>
      <c r="B2991" s="71" t="n">
        <v>46210</v>
      </c>
      <c r="C2991" s="0" t="n">
        <v>2</v>
      </c>
      <c r="D2991" s="0" t="s">
        <v>2533</v>
      </c>
      <c r="E2991" s="0" t="n">
        <v>48</v>
      </c>
      <c r="F2991" s="0" t="s">
        <v>153</v>
      </c>
      <c r="I2991" s="0" t="n">
        <v>7726</v>
      </c>
      <c r="J2991" s="0" t="n">
        <v>100118</v>
      </c>
      <c r="K2991" s="0" t="n">
        <v>119</v>
      </c>
      <c r="L2991" s="0" t="s">
        <v>2541</v>
      </c>
      <c r="N2991" s="0" t="n">
        <v>4</v>
      </c>
      <c r="O2991" s="0" t="n">
        <v>14</v>
      </c>
      <c r="P2991" s="0" t="s">
        <v>2444</v>
      </c>
    </row>
    <row r="2992" customFormat="false" ht="15" hidden="false" customHeight="true" outlineLevel="0" collapsed="false">
      <c r="A2992" s="0" t="n">
        <v>2</v>
      </c>
      <c r="B2992" s="71" t="n">
        <v>46210</v>
      </c>
      <c r="C2992" s="0" t="n">
        <v>2</v>
      </c>
      <c r="D2992" s="0" t="s">
        <v>2533</v>
      </c>
      <c r="E2992" s="0" t="n">
        <v>48</v>
      </c>
      <c r="F2992" s="0" t="s">
        <v>153</v>
      </c>
      <c r="I2992" s="0" t="n">
        <v>7726</v>
      </c>
      <c r="J2992" s="0" t="n">
        <v>100121</v>
      </c>
      <c r="K2992" s="0" t="n">
        <v>122</v>
      </c>
      <c r="L2992" s="0" t="s">
        <v>2542</v>
      </c>
      <c r="N2992" s="0" t="n">
        <v>3</v>
      </c>
      <c r="O2992" s="0" t="n">
        <v>60</v>
      </c>
      <c r="P2992" s="0" t="s">
        <v>2444</v>
      </c>
    </row>
    <row r="2993" customFormat="false" ht="15" hidden="false" customHeight="true" outlineLevel="0" collapsed="false">
      <c r="A2993" s="0" t="n">
        <v>2</v>
      </c>
      <c r="B2993" s="71" t="n">
        <v>46210</v>
      </c>
      <c r="C2993" s="0" t="n">
        <v>2</v>
      </c>
      <c r="D2993" s="0" t="s">
        <v>2533</v>
      </c>
      <c r="E2993" s="0" t="n">
        <v>48</v>
      </c>
      <c r="F2993" s="0" t="s">
        <v>153</v>
      </c>
      <c r="I2993" s="0" t="n">
        <v>7726</v>
      </c>
      <c r="J2993" s="0" t="n">
        <v>100122</v>
      </c>
      <c r="K2993" s="0" t="n">
        <v>123</v>
      </c>
      <c r="L2993" s="0" t="s">
        <v>2543</v>
      </c>
      <c r="N2993" s="0" t="n">
        <v>3</v>
      </c>
      <c r="O2993" s="0" t="n">
        <v>39</v>
      </c>
      <c r="P2993" s="0" t="s">
        <v>2444</v>
      </c>
    </row>
    <row r="2994" customFormat="false" ht="15" hidden="false" customHeight="true" outlineLevel="0" collapsed="false">
      <c r="A2994" s="0" t="n">
        <v>2</v>
      </c>
      <c r="B2994" s="71" t="n">
        <v>46210</v>
      </c>
      <c r="C2994" s="0" t="n">
        <v>2</v>
      </c>
      <c r="D2994" s="0" t="s">
        <v>2533</v>
      </c>
      <c r="E2994" s="0" t="n">
        <v>48</v>
      </c>
      <c r="F2994" s="0" t="s">
        <v>153</v>
      </c>
      <c r="I2994" s="0" t="n">
        <v>7726</v>
      </c>
      <c r="J2994" s="0" t="n">
        <v>100123</v>
      </c>
      <c r="K2994" s="0" t="n">
        <v>124</v>
      </c>
      <c r="L2994" s="0" t="s">
        <v>2544</v>
      </c>
      <c r="N2994" s="0" t="n">
        <v>1</v>
      </c>
      <c r="O2994" s="0" t="n">
        <v>10</v>
      </c>
      <c r="P2994" s="0" t="s">
        <v>2444</v>
      </c>
    </row>
    <row r="2995" customFormat="false" ht="15" hidden="false" customHeight="true" outlineLevel="0" collapsed="false">
      <c r="A2995" s="0" t="n">
        <v>2</v>
      </c>
      <c r="B2995" s="71" t="n">
        <v>46210</v>
      </c>
      <c r="C2995" s="0" t="n">
        <v>2</v>
      </c>
      <c r="D2995" s="0" t="s">
        <v>2533</v>
      </c>
      <c r="E2995" s="0" t="n">
        <v>48</v>
      </c>
      <c r="F2995" s="0" t="s">
        <v>153</v>
      </c>
      <c r="I2995" s="0" t="n">
        <v>7726</v>
      </c>
      <c r="J2995" s="0" t="n">
        <v>100124</v>
      </c>
      <c r="K2995" s="0" t="n">
        <v>125</v>
      </c>
      <c r="L2995" s="0" t="s">
        <v>2695</v>
      </c>
      <c r="N2995" s="0" t="n">
        <v>4</v>
      </c>
      <c r="O2995" s="0" t="n">
        <v>44</v>
      </c>
      <c r="P2995" s="0" t="s">
        <v>2444</v>
      </c>
    </row>
    <row r="2996" customFormat="false" ht="15" hidden="false" customHeight="true" outlineLevel="0" collapsed="false">
      <c r="A2996" s="0" t="n">
        <v>2</v>
      </c>
      <c r="B2996" s="71" t="n">
        <v>46210</v>
      </c>
      <c r="C2996" s="0" t="n">
        <v>2</v>
      </c>
      <c r="D2996" s="0" t="s">
        <v>2533</v>
      </c>
      <c r="E2996" s="0" t="n">
        <v>48</v>
      </c>
      <c r="F2996" s="0" t="s">
        <v>153</v>
      </c>
      <c r="I2996" s="0" t="n">
        <v>7726</v>
      </c>
      <c r="J2996" s="0" t="n">
        <v>100125</v>
      </c>
      <c r="K2996" s="0" t="n">
        <v>126</v>
      </c>
      <c r="L2996" s="0" t="s">
        <v>2597</v>
      </c>
      <c r="N2996" s="0" t="n">
        <v>20</v>
      </c>
      <c r="O2996" s="0" t="n">
        <v>140</v>
      </c>
      <c r="P2996" s="0" t="s">
        <v>2444</v>
      </c>
    </row>
    <row r="2997" customFormat="false" ht="15" hidden="false" customHeight="true" outlineLevel="0" collapsed="false">
      <c r="A2997" s="0" t="n">
        <v>2</v>
      </c>
      <c r="B2997" s="71" t="n">
        <v>46210</v>
      </c>
      <c r="C2997" s="0" t="n">
        <v>2</v>
      </c>
      <c r="D2997" s="0" t="s">
        <v>2533</v>
      </c>
      <c r="E2997" s="0" t="n">
        <v>48</v>
      </c>
      <c r="F2997" s="0" t="s">
        <v>153</v>
      </c>
      <c r="I2997" s="0" t="n">
        <v>7726</v>
      </c>
      <c r="J2997" s="0" t="n">
        <v>100129</v>
      </c>
      <c r="K2997" s="0" t="n">
        <v>130</v>
      </c>
      <c r="L2997" s="0" t="s">
        <v>2598</v>
      </c>
      <c r="N2997" s="0" t="n">
        <v>9</v>
      </c>
      <c r="O2997" s="0" t="n">
        <v>41.76</v>
      </c>
      <c r="P2997" s="0" t="s">
        <v>2444</v>
      </c>
    </row>
    <row r="2998" customFormat="false" ht="15" hidden="false" customHeight="true" outlineLevel="0" collapsed="false">
      <c r="A2998" s="0" t="n">
        <v>2</v>
      </c>
      <c r="B2998" s="71" t="n">
        <v>46210</v>
      </c>
      <c r="C2998" s="0" t="n">
        <v>2</v>
      </c>
      <c r="D2998" s="0" t="s">
        <v>2533</v>
      </c>
      <c r="E2998" s="0" t="n">
        <v>48</v>
      </c>
      <c r="F2998" s="0" t="s">
        <v>153</v>
      </c>
      <c r="I2998" s="0" t="n">
        <v>7726</v>
      </c>
      <c r="J2998" s="0" t="n">
        <v>100130</v>
      </c>
      <c r="K2998" s="0" t="n">
        <v>131</v>
      </c>
      <c r="L2998" s="0" t="s">
        <v>2545</v>
      </c>
      <c r="N2998" s="0" t="n">
        <v>20</v>
      </c>
      <c r="O2998" s="0" t="n">
        <v>140</v>
      </c>
      <c r="P2998" s="0" t="s">
        <v>2444</v>
      </c>
    </row>
    <row r="2999" customFormat="false" ht="15" hidden="false" customHeight="true" outlineLevel="0" collapsed="false">
      <c r="A2999" s="0" t="n">
        <v>2</v>
      </c>
      <c r="B2999" s="71" t="n">
        <v>46210</v>
      </c>
      <c r="C2999" s="0" t="n">
        <v>2</v>
      </c>
      <c r="D2999" s="0" t="s">
        <v>2533</v>
      </c>
      <c r="E2999" s="0" t="n">
        <v>48</v>
      </c>
      <c r="F2999" s="0" t="s">
        <v>153</v>
      </c>
      <c r="I2999" s="0" t="n">
        <v>7726</v>
      </c>
      <c r="J2999" s="0" t="n">
        <v>100132</v>
      </c>
      <c r="K2999" s="0" t="n">
        <v>133</v>
      </c>
      <c r="L2999" s="0" t="s">
        <v>2546</v>
      </c>
      <c r="N2999" s="0" t="n">
        <v>46.54</v>
      </c>
      <c r="O2999" s="0" t="n">
        <v>160</v>
      </c>
      <c r="P2999" s="0" t="s">
        <v>2444</v>
      </c>
    </row>
    <row r="3000" customFormat="false" ht="15" hidden="false" customHeight="true" outlineLevel="0" collapsed="false">
      <c r="A3000" s="0" t="n">
        <v>2</v>
      </c>
      <c r="B3000" s="71" t="n">
        <v>46210</v>
      </c>
      <c r="C3000" s="0" t="n">
        <v>2</v>
      </c>
      <c r="D3000" s="0" t="s">
        <v>2533</v>
      </c>
      <c r="E3000" s="0" t="n">
        <v>48</v>
      </c>
      <c r="F3000" s="0" t="s">
        <v>153</v>
      </c>
      <c r="I3000" s="0" t="n">
        <v>7726</v>
      </c>
      <c r="J3000" s="0" t="n">
        <v>100133</v>
      </c>
      <c r="K3000" s="0" t="n">
        <v>134</v>
      </c>
      <c r="L3000" s="0" t="s">
        <v>2547</v>
      </c>
      <c r="N3000" s="0" t="n">
        <v>14</v>
      </c>
      <c r="O3000" s="0" t="n">
        <v>70</v>
      </c>
      <c r="P3000" s="0" t="s">
        <v>2444</v>
      </c>
    </row>
    <row r="3001" customFormat="false" ht="15" hidden="false" customHeight="true" outlineLevel="0" collapsed="false">
      <c r="A3001" s="0" t="n">
        <v>2</v>
      </c>
      <c r="B3001" s="71" t="n">
        <v>46210</v>
      </c>
      <c r="C3001" s="0" t="n">
        <v>2</v>
      </c>
      <c r="D3001" s="0" t="s">
        <v>2533</v>
      </c>
      <c r="E3001" s="0" t="n">
        <v>48</v>
      </c>
      <c r="F3001" s="0" t="s">
        <v>153</v>
      </c>
      <c r="I3001" s="0" t="n">
        <v>7726</v>
      </c>
      <c r="J3001" s="0" t="n">
        <v>100135</v>
      </c>
      <c r="K3001" s="0" t="n">
        <v>136</v>
      </c>
      <c r="L3001" s="0" t="s">
        <v>2599</v>
      </c>
      <c r="N3001" s="0" t="n">
        <v>13</v>
      </c>
      <c r="O3001" s="0" t="n">
        <v>144.43</v>
      </c>
      <c r="P3001" s="0" t="s">
        <v>2444</v>
      </c>
    </row>
    <row r="3002" customFormat="false" ht="15" hidden="false" customHeight="true" outlineLevel="0" collapsed="false">
      <c r="A3002" s="0" t="n">
        <v>2</v>
      </c>
      <c r="B3002" s="71" t="n">
        <v>46210</v>
      </c>
      <c r="C3002" s="0" t="n">
        <v>2</v>
      </c>
      <c r="D3002" s="0" t="s">
        <v>2533</v>
      </c>
      <c r="E3002" s="0" t="n">
        <v>48</v>
      </c>
      <c r="F3002" s="0" t="s">
        <v>153</v>
      </c>
      <c r="I3002" s="0" t="n">
        <v>7726</v>
      </c>
      <c r="J3002" s="0" t="n">
        <v>110142</v>
      </c>
      <c r="K3002" s="0" t="n">
        <v>16699</v>
      </c>
      <c r="L3002" s="0" t="s">
        <v>2549</v>
      </c>
      <c r="N3002" s="0" t="n">
        <v>20</v>
      </c>
      <c r="O3002" s="0" t="n">
        <v>125</v>
      </c>
      <c r="P3002" s="0" t="s">
        <v>2444</v>
      </c>
    </row>
    <row r="3003" customFormat="false" ht="15" hidden="false" customHeight="true" outlineLevel="0" collapsed="false">
      <c r="A3003" s="0" t="n">
        <v>2</v>
      </c>
      <c r="B3003" s="71" t="n">
        <v>46210</v>
      </c>
      <c r="C3003" s="0" t="n">
        <v>2</v>
      </c>
      <c r="D3003" s="0" t="s">
        <v>2533</v>
      </c>
      <c r="E3003" s="0" t="n">
        <v>48</v>
      </c>
      <c r="F3003" s="0" t="s">
        <v>153</v>
      </c>
      <c r="I3003" s="0" t="n">
        <v>7726</v>
      </c>
      <c r="J3003" s="0" t="n">
        <v>110374</v>
      </c>
      <c r="K3003" s="0" t="n">
        <v>48077</v>
      </c>
      <c r="L3003" s="0" t="s">
        <v>2696</v>
      </c>
      <c r="N3003" s="0" t="n">
        <v>6</v>
      </c>
      <c r="O3003" s="0" t="n">
        <v>42</v>
      </c>
      <c r="P3003" s="0" t="s">
        <v>2444</v>
      </c>
    </row>
    <row r="3004" customFormat="false" ht="15" hidden="false" customHeight="true" outlineLevel="0" collapsed="false">
      <c r="A3004" s="0" t="n">
        <v>2</v>
      </c>
      <c r="B3004" s="71" t="n">
        <v>46210</v>
      </c>
      <c r="C3004" s="0" t="n">
        <v>2</v>
      </c>
      <c r="D3004" s="0" t="s">
        <v>2533</v>
      </c>
      <c r="E3004" s="0" t="n">
        <v>48</v>
      </c>
      <c r="F3004" s="0" t="s">
        <v>153</v>
      </c>
      <c r="I3004" s="0" t="n">
        <v>7726</v>
      </c>
      <c r="J3004" s="0" t="n">
        <v>110489</v>
      </c>
      <c r="K3004" s="0" t="n">
        <v>54743</v>
      </c>
      <c r="L3004" s="0" t="s">
        <v>2550</v>
      </c>
      <c r="N3004" s="0" t="n">
        <v>40</v>
      </c>
      <c r="O3004" s="0" t="n">
        <v>240</v>
      </c>
      <c r="P3004" s="0" t="s">
        <v>2444</v>
      </c>
    </row>
    <row r="3005" customFormat="false" ht="15" hidden="false" customHeight="true" outlineLevel="0" collapsed="false">
      <c r="A3005" s="0" t="n">
        <v>2</v>
      </c>
      <c r="B3005" s="71" t="n">
        <v>46210</v>
      </c>
      <c r="C3005" s="0" t="n">
        <v>2</v>
      </c>
      <c r="D3005" s="0" t="s">
        <v>2533</v>
      </c>
      <c r="E3005" s="0" t="n">
        <v>48</v>
      </c>
      <c r="F3005" s="0" t="s">
        <v>153</v>
      </c>
      <c r="I3005" s="0" t="n">
        <v>7726</v>
      </c>
      <c r="J3005" s="0" t="n">
        <v>80308</v>
      </c>
      <c r="K3005" s="0" t="n">
        <v>1250</v>
      </c>
      <c r="L3005" s="0" t="s">
        <v>2552</v>
      </c>
      <c r="N3005" s="0" t="n">
        <v>7</v>
      </c>
      <c r="O3005" s="0" t="n">
        <v>21</v>
      </c>
      <c r="P3005" s="0" t="s">
        <v>2444</v>
      </c>
    </row>
    <row r="3006" customFormat="false" ht="15" hidden="false" customHeight="true" outlineLevel="0" collapsed="false">
      <c r="A3006" s="0" t="n">
        <v>2</v>
      </c>
      <c r="B3006" s="71" t="n">
        <v>46210</v>
      </c>
      <c r="C3006" s="0" t="n">
        <v>6</v>
      </c>
      <c r="D3006" s="0" t="s">
        <v>2553</v>
      </c>
      <c r="E3006" s="0" t="n">
        <v>48</v>
      </c>
      <c r="F3006" s="0" t="s">
        <v>153</v>
      </c>
      <c r="I3006" s="0" t="n">
        <v>2528</v>
      </c>
      <c r="J3006" s="0" t="n">
        <v>100062</v>
      </c>
      <c r="K3006" s="0" t="n">
        <v>63</v>
      </c>
      <c r="L3006" s="0" t="s">
        <v>2535</v>
      </c>
      <c r="N3006" s="0" t="n">
        <v>13</v>
      </c>
      <c r="O3006" s="0" t="n">
        <v>93.86</v>
      </c>
      <c r="P3006" s="0" t="s">
        <v>2444</v>
      </c>
    </row>
    <row r="3007" customFormat="false" ht="15" hidden="false" customHeight="true" outlineLevel="0" collapsed="false">
      <c r="A3007" s="0" t="n">
        <v>2</v>
      </c>
      <c r="B3007" s="71" t="n">
        <v>46210</v>
      </c>
      <c r="C3007" s="0" t="n">
        <v>6</v>
      </c>
      <c r="D3007" s="0" t="s">
        <v>2553</v>
      </c>
      <c r="E3007" s="0" t="n">
        <v>48</v>
      </c>
      <c r="F3007" s="0" t="s">
        <v>153</v>
      </c>
      <c r="I3007" s="0" t="n">
        <v>2528</v>
      </c>
      <c r="J3007" s="0" t="n">
        <v>100105</v>
      </c>
      <c r="K3007" s="0" t="n">
        <v>106</v>
      </c>
      <c r="L3007" s="0" t="s">
        <v>2536</v>
      </c>
      <c r="N3007" s="0" t="n">
        <v>24</v>
      </c>
      <c r="O3007" s="0" t="n">
        <v>180</v>
      </c>
      <c r="P3007" s="0" t="s">
        <v>2444</v>
      </c>
    </row>
    <row r="3008" customFormat="false" ht="15" hidden="false" customHeight="true" outlineLevel="0" collapsed="false">
      <c r="A3008" s="0" t="n">
        <v>2</v>
      </c>
      <c r="B3008" s="71" t="n">
        <v>46210</v>
      </c>
      <c r="C3008" s="0" t="n">
        <v>6</v>
      </c>
      <c r="D3008" s="0" t="s">
        <v>2553</v>
      </c>
      <c r="E3008" s="0" t="n">
        <v>48</v>
      </c>
      <c r="F3008" s="0" t="s">
        <v>153</v>
      </c>
      <c r="I3008" s="0" t="n">
        <v>2528</v>
      </c>
      <c r="J3008" s="0" t="n">
        <v>100107</v>
      </c>
      <c r="K3008" s="0" t="n">
        <v>108</v>
      </c>
      <c r="L3008" s="0" t="s">
        <v>3259</v>
      </c>
      <c r="N3008" s="0" t="n">
        <v>2</v>
      </c>
      <c r="O3008" s="0" t="n">
        <v>22</v>
      </c>
      <c r="P3008" s="0" t="s">
        <v>2444</v>
      </c>
    </row>
    <row r="3009" customFormat="false" ht="15" hidden="false" customHeight="true" outlineLevel="0" collapsed="false">
      <c r="A3009" s="0" t="n">
        <v>2</v>
      </c>
      <c r="B3009" s="71" t="n">
        <v>46210</v>
      </c>
      <c r="C3009" s="0" t="n">
        <v>6</v>
      </c>
      <c r="D3009" s="0" t="s">
        <v>2553</v>
      </c>
      <c r="E3009" s="0" t="n">
        <v>48</v>
      </c>
      <c r="F3009" s="0" t="s">
        <v>153</v>
      </c>
      <c r="I3009" s="0" t="n">
        <v>2528</v>
      </c>
      <c r="J3009" s="0" t="n">
        <v>100109</v>
      </c>
      <c r="K3009" s="0" t="n">
        <v>110</v>
      </c>
      <c r="L3009" s="0" t="s">
        <v>2537</v>
      </c>
      <c r="N3009" s="0" t="n">
        <v>20</v>
      </c>
      <c r="O3009" s="0" t="n">
        <v>140</v>
      </c>
      <c r="P3009" s="0" t="s">
        <v>2444</v>
      </c>
    </row>
    <row r="3010" customFormat="false" ht="15" hidden="false" customHeight="true" outlineLevel="0" collapsed="false">
      <c r="A3010" s="0" t="n">
        <v>2</v>
      </c>
      <c r="B3010" s="71" t="n">
        <v>46210</v>
      </c>
      <c r="C3010" s="0" t="n">
        <v>6</v>
      </c>
      <c r="D3010" s="0" t="s">
        <v>2553</v>
      </c>
      <c r="E3010" s="0" t="n">
        <v>48</v>
      </c>
      <c r="F3010" s="0" t="s">
        <v>153</v>
      </c>
      <c r="I3010" s="0" t="n">
        <v>2528</v>
      </c>
      <c r="J3010" s="0" t="n">
        <v>100110</v>
      </c>
      <c r="K3010" s="0" t="n">
        <v>111</v>
      </c>
      <c r="L3010" s="0" t="s">
        <v>2997</v>
      </c>
      <c r="N3010" s="0" t="n">
        <v>16</v>
      </c>
      <c r="O3010" s="0" t="n">
        <v>160</v>
      </c>
      <c r="P3010" s="0" t="s">
        <v>2444</v>
      </c>
    </row>
    <row r="3011" customFormat="false" ht="15" hidden="false" customHeight="true" outlineLevel="0" collapsed="false">
      <c r="A3011" s="0" t="n">
        <v>2</v>
      </c>
      <c r="B3011" s="71" t="n">
        <v>46210</v>
      </c>
      <c r="C3011" s="0" t="n">
        <v>6</v>
      </c>
      <c r="D3011" s="0" t="s">
        <v>2553</v>
      </c>
      <c r="E3011" s="0" t="n">
        <v>48</v>
      </c>
      <c r="F3011" s="0" t="s">
        <v>153</v>
      </c>
      <c r="I3011" s="0" t="n">
        <v>2528</v>
      </c>
      <c r="J3011" s="0" t="n">
        <v>100113</v>
      </c>
      <c r="K3011" s="0" t="n">
        <v>114</v>
      </c>
      <c r="L3011" s="0" t="s">
        <v>2539</v>
      </c>
      <c r="N3011" s="0" t="n">
        <v>20</v>
      </c>
      <c r="O3011" s="0" t="n">
        <v>55</v>
      </c>
      <c r="P3011" s="0" t="s">
        <v>2444</v>
      </c>
    </row>
    <row r="3012" customFormat="false" ht="15" hidden="false" customHeight="true" outlineLevel="0" collapsed="false">
      <c r="A3012" s="0" t="n">
        <v>2</v>
      </c>
      <c r="B3012" s="71" t="n">
        <v>46210</v>
      </c>
      <c r="C3012" s="0" t="n">
        <v>6</v>
      </c>
      <c r="D3012" s="0" t="s">
        <v>2553</v>
      </c>
      <c r="E3012" s="0" t="n">
        <v>48</v>
      </c>
      <c r="F3012" s="0" t="s">
        <v>153</v>
      </c>
      <c r="I3012" s="0" t="n">
        <v>2528</v>
      </c>
      <c r="J3012" s="0" t="n">
        <v>100115</v>
      </c>
      <c r="K3012" s="0" t="n">
        <v>116</v>
      </c>
      <c r="L3012" s="0" t="s">
        <v>2694</v>
      </c>
      <c r="N3012" s="0" t="n">
        <v>10</v>
      </c>
      <c r="O3012" s="0" t="n">
        <v>66.6</v>
      </c>
      <c r="P3012" s="0" t="s">
        <v>2444</v>
      </c>
    </row>
    <row r="3013" customFormat="false" ht="15" hidden="false" customHeight="true" outlineLevel="0" collapsed="false">
      <c r="A3013" s="0" t="n">
        <v>2</v>
      </c>
      <c r="B3013" s="71" t="n">
        <v>46210</v>
      </c>
      <c r="C3013" s="0" t="n">
        <v>6</v>
      </c>
      <c r="D3013" s="0" t="s">
        <v>2553</v>
      </c>
      <c r="E3013" s="0" t="n">
        <v>48</v>
      </c>
      <c r="F3013" s="0" t="s">
        <v>153</v>
      </c>
      <c r="I3013" s="0" t="n">
        <v>2528</v>
      </c>
      <c r="J3013" s="0" t="n">
        <v>100116</v>
      </c>
      <c r="K3013" s="0" t="n">
        <v>117</v>
      </c>
      <c r="L3013" s="0" t="s">
        <v>2540</v>
      </c>
      <c r="N3013" s="0" t="n">
        <v>2</v>
      </c>
      <c r="O3013" s="0" t="n">
        <v>16</v>
      </c>
      <c r="P3013" s="0" t="s">
        <v>2444</v>
      </c>
    </row>
    <row r="3014" customFormat="false" ht="15" hidden="false" customHeight="true" outlineLevel="0" collapsed="false">
      <c r="A3014" s="0" t="n">
        <v>2</v>
      </c>
      <c r="B3014" s="71" t="n">
        <v>46210</v>
      </c>
      <c r="C3014" s="0" t="n">
        <v>6</v>
      </c>
      <c r="D3014" s="0" t="s">
        <v>2553</v>
      </c>
      <c r="E3014" s="0" t="n">
        <v>48</v>
      </c>
      <c r="F3014" s="0" t="s">
        <v>153</v>
      </c>
      <c r="I3014" s="0" t="n">
        <v>2528</v>
      </c>
      <c r="J3014" s="0" t="n">
        <v>100118</v>
      </c>
      <c r="K3014" s="0" t="n">
        <v>119</v>
      </c>
      <c r="L3014" s="0" t="s">
        <v>2541</v>
      </c>
      <c r="N3014" s="0" t="n">
        <v>4</v>
      </c>
      <c r="O3014" s="0" t="n">
        <v>14</v>
      </c>
      <c r="P3014" s="0" t="s">
        <v>2444</v>
      </c>
    </row>
    <row r="3015" customFormat="false" ht="15" hidden="false" customHeight="true" outlineLevel="0" collapsed="false">
      <c r="A3015" s="0" t="n">
        <v>2</v>
      </c>
      <c r="B3015" s="71" t="n">
        <v>46210</v>
      </c>
      <c r="C3015" s="0" t="n">
        <v>6</v>
      </c>
      <c r="D3015" s="0" t="s">
        <v>2553</v>
      </c>
      <c r="E3015" s="0" t="n">
        <v>48</v>
      </c>
      <c r="F3015" s="0" t="s">
        <v>153</v>
      </c>
      <c r="I3015" s="0" t="n">
        <v>2528</v>
      </c>
      <c r="J3015" s="0" t="n">
        <v>100121</v>
      </c>
      <c r="K3015" s="0" t="n">
        <v>122</v>
      </c>
      <c r="L3015" s="0" t="s">
        <v>2542</v>
      </c>
      <c r="N3015" s="0" t="n">
        <v>3</v>
      </c>
      <c r="O3015" s="0" t="n">
        <v>60</v>
      </c>
      <c r="P3015" s="0" t="s">
        <v>2444</v>
      </c>
    </row>
    <row r="3016" customFormat="false" ht="15" hidden="false" customHeight="true" outlineLevel="0" collapsed="false">
      <c r="A3016" s="0" t="n">
        <v>2</v>
      </c>
      <c r="B3016" s="71" t="n">
        <v>46210</v>
      </c>
      <c r="C3016" s="0" t="n">
        <v>6</v>
      </c>
      <c r="D3016" s="0" t="s">
        <v>2553</v>
      </c>
      <c r="E3016" s="0" t="n">
        <v>48</v>
      </c>
      <c r="F3016" s="0" t="s">
        <v>153</v>
      </c>
      <c r="I3016" s="0" t="n">
        <v>2528</v>
      </c>
      <c r="J3016" s="0" t="n">
        <v>100122</v>
      </c>
      <c r="K3016" s="0" t="n">
        <v>123</v>
      </c>
      <c r="L3016" s="0" t="s">
        <v>2543</v>
      </c>
      <c r="N3016" s="0" t="n">
        <v>3</v>
      </c>
      <c r="O3016" s="0" t="n">
        <v>39</v>
      </c>
      <c r="P3016" s="0" t="s">
        <v>2444</v>
      </c>
    </row>
    <row r="3017" customFormat="false" ht="15" hidden="false" customHeight="true" outlineLevel="0" collapsed="false">
      <c r="A3017" s="0" t="n">
        <v>2</v>
      </c>
      <c r="B3017" s="71" t="n">
        <v>46210</v>
      </c>
      <c r="C3017" s="0" t="n">
        <v>6</v>
      </c>
      <c r="D3017" s="0" t="s">
        <v>2553</v>
      </c>
      <c r="E3017" s="0" t="n">
        <v>48</v>
      </c>
      <c r="F3017" s="0" t="s">
        <v>153</v>
      </c>
      <c r="I3017" s="0" t="n">
        <v>2528</v>
      </c>
      <c r="J3017" s="0" t="n">
        <v>100123</v>
      </c>
      <c r="K3017" s="0" t="n">
        <v>124</v>
      </c>
      <c r="L3017" s="0" t="s">
        <v>2544</v>
      </c>
      <c r="N3017" s="0" t="n">
        <v>1</v>
      </c>
      <c r="O3017" s="0" t="n">
        <v>10</v>
      </c>
      <c r="P3017" s="0" t="s">
        <v>2444</v>
      </c>
    </row>
    <row r="3018" customFormat="false" ht="15" hidden="false" customHeight="true" outlineLevel="0" collapsed="false">
      <c r="A3018" s="0" t="n">
        <v>2</v>
      </c>
      <c r="B3018" s="71" t="n">
        <v>46210</v>
      </c>
      <c r="C3018" s="0" t="n">
        <v>6</v>
      </c>
      <c r="D3018" s="0" t="s">
        <v>2553</v>
      </c>
      <c r="E3018" s="0" t="n">
        <v>48</v>
      </c>
      <c r="F3018" s="0" t="s">
        <v>153</v>
      </c>
      <c r="I3018" s="0" t="n">
        <v>2528</v>
      </c>
      <c r="J3018" s="0" t="n">
        <v>100124</v>
      </c>
      <c r="K3018" s="0" t="n">
        <v>125</v>
      </c>
      <c r="L3018" s="0" t="s">
        <v>2695</v>
      </c>
      <c r="N3018" s="0" t="n">
        <v>4</v>
      </c>
      <c r="O3018" s="0" t="n">
        <v>44</v>
      </c>
      <c r="P3018" s="0" t="s">
        <v>2444</v>
      </c>
    </row>
    <row r="3019" customFormat="false" ht="15" hidden="false" customHeight="true" outlineLevel="0" collapsed="false">
      <c r="A3019" s="0" t="n">
        <v>2</v>
      </c>
      <c r="B3019" s="71" t="n">
        <v>46210</v>
      </c>
      <c r="C3019" s="0" t="n">
        <v>6</v>
      </c>
      <c r="D3019" s="0" t="s">
        <v>2553</v>
      </c>
      <c r="E3019" s="0" t="n">
        <v>48</v>
      </c>
      <c r="F3019" s="0" t="s">
        <v>153</v>
      </c>
      <c r="I3019" s="0" t="n">
        <v>2528</v>
      </c>
      <c r="J3019" s="0" t="n">
        <v>100125</v>
      </c>
      <c r="K3019" s="0" t="n">
        <v>126</v>
      </c>
      <c r="L3019" s="0" t="s">
        <v>2597</v>
      </c>
      <c r="N3019" s="0" t="n">
        <v>20</v>
      </c>
      <c r="O3019" s="0" t="n">
        <v>140</v>
      </c>
      <c r="P3019" s="0" t="s">
        <v>2444</v>
      </c>
    </row>
    <row r="3020" customFormat="false" ht="15" hidden="false" customHeight="true" outlineLevel="0" collapsed="false">
      <c r="A3020" s="0" t="n">
        <v>2</v>
      </c>
      <c r="B3020" s="71" t="n">
        <v>46210</v>
      </c>
      <c r="C3020" s="0" t="n">
        <v>6</v>
      </c>
      <c r="D3020" s="0" t="s">
        <v>2553</v>
      </c>
      <c r="E3020" s="0" t="n">
        <v>48</v>
      </c>
      <c r="F3020" s="0" t="s">
        <v>153</v>
      </c>
      <c r="I3020" s="0" t="n">
        <v>2528</v>
      </c>
      <c r="J3020" s="0" t="n">
        <v>100129</v>
      </c>
      <c r="K3020" s="0" t="n">
        <v>130</v>
      </c>
      <c r="L3020" s="0" t="s">
        <v>2598</v>
      </c>
      <c r="N3020" s="0" t="n">
        <v>9</v>
      </c>
      <c r="O3020" s="0" t="n">
        <v>41.76</v>
      </c>
      <c r="P3020" s="0" t="s">
        <v>2444</v>
      </c>
    </row>
    <row r="3021" customFormat="false" ht="15" hidden="false" customHeight="true" outlineLevel="0" collapsed="false">
      <c r="A3021" s="0" t="n">
        <v>2</v>
      </c>
      <c r="B3021" s="71" t="n">
        <v>46210</v>
      </c>
      <c r="C3021" s="0" t="n">
        <v>6</v>
      </c>
      <c r="D3021" s="0" t="s">
        <v>2553</v>
      </c>
      <c r="E3021" s="0" t="n">
        <v>48</v>
      </c>
      <c r="F3021" s="0" t="s">
        <v>153</v>
      </c>
      <c r="I3021" s="0" t="n">
        <v>2528</v>
      </c>
      <c r="J3021" s="0" t="n">
        <v>100130</v>
      </c>
      <c r="K3021" s="0" t="n">
        <v>131</v>
      </c>
      <c r="L3021" s="0" t="s">
        <v>2545</v>
      </c>
      <c r="N3021" s="0" t="n">
        <v>20</v>
      </c>
      <c r="O3021" s="0" t="n">
        <v>140</v>
      </c>
      <c r="P3021" s="0" t="s">
        <v>2444</v>
      </c>
    </row>
    <row r="3022" customFormat="false" ht="15" hidden="false" customHeight="true" outlineLevel="0" collapsed="false">
      <c r="A3022" s="0" t="n">
        <v>2</v>
      </c>
      <c r="B3022" s="71" t="n">
        <v>46210</v>
      </c>
      <c r="C3022" s="0" t="n">
        <v>6</v>
      </c>
      <c r="D3022" s="0" t="s">
        <v>2553</v>
      </c>
      <c r="E3022" s="0" t="n">
        <v>48</v>
      </c>
      <c r="F3022" s="0" t="s">
        <v>153</v>
      </c>
      <c r="I3022" s="0" t="n">
        <v>2528</v>
      </c>
      <c r="J3022" s="0" t="n">
        <v>100132</v>
      </c>
      <c r="K3022" s="0" t="n">
        <v>133</v>
      </c>
      <c r="L3022" s="0" t="s">
        <v>2546</v>
      </c>
      <c r="N3022" s="0" t="n">
        <v>46.54</v>
      </c>
      <c r="O3022" s="0" t="n">
        <v>160</v>
      </c>
      <c r="P3022" s="0" t="s">
        <v>2444</v>
      </c>
    </row>
    <row r="3023" customFormat="false" ht="15" hidden="false" customHeight="true" outlineLevel="0" collapsed="false">
      <c r="A3023" s="0" t="n">
        <v>2</v>
      </c>
      <c r="B3023" s="71" t="n">
        <v>46210</v>
      </c>
      <c r="C3023" s="0" t="n">
        <v>6</v>
      </c>
      <c r="D3023" s="0" t="s">
        <v>2553</v>
      </c>
      <c r="E3023" s="0" t="n">
        <v>48</v>
      </c>
      <c r="F3023" s="0" t="s">
        <v>153</v>
      </c>
      <c r="I3023" s="0" t="n">
        <v>2528</v>
      </c>
      <c r="J3023" s="0" t="n">
        <v>100133</v>
      </c>
      <c r="K3023" s="0" t="n">
        <v>134</v>
      </c>
      <c r="L3023" s="0" t="s">
        <v>2547</v>
      </c>
      <c r="N3023" s="0" t="n">
        <v>14</v>
      </c>
      <c r="O3023" s="0" t="n">
        <v>70</v>
      </c>
      <c r="P3023" s="0" t="s">
        <v>2444</v>
      </c>
    </row>
    <row r="3024" customFormat="false" ht="15" hidden="false" customHeight="true" outlineLevel="0" collapsed="false">
      <c r="A3024" s="0" t="n">
        <v>2</v>
      </c>
      <c r="B3024" s="71" t="n">
        <v>46210</v>
      </c>
      <c r="C3024" s="0" t="n">
        <v>6</v>
      </c>
      <c r="D3024" s="0" t="s">
        <v>2553</v>
      </c>
      <c r="E3024" s="0" t="n">
        <v>48</v>
      </c>
      <c r="F3024" s="0" t="s">
        <v>153</v>
      </c>
      <c r="I3024" s="0" t="n">
        <v>2528</v>
      </c>
      <c r="J3024" s="0" t="n">
        <v>100135</v>
      </c>
      <c r="K3024" s="0" t="n">
        <v>136</v>
      </c>
      <c r="L3024" s="0" t="s">
        <v>2599</v>
      </c>
      <c r="N3024" s="0" t="n">
        <v>13</v>
      </c>
      <c r="O3024" s="0" t="n">
        <v>144.43</v>
      </c>
      <c r="P3024" s="0" t="s">
        <v>2444</v>
      </c>
    </row>
    <row r="3025" customFormat="false" ht="15" hidden="false" customHeight="true" outlineLevel="0" collapsed="false">
      <c r="A3025" s="0" t="n">
        <v>2</v>
      </c>
      <c r="B3025" s="71" t="n">
        <v>46210</v>
      </c>
      <c r="C3025" s="0" t="n">
        <v>6</v>
      </c>
      <c r="D3025" s="0" t="s">
        <v>2553</v>
      </c>
      <c r="E3025" s="0" t="n">
        <v>48</v>
      </c>
      <c r="F3025" s="0" t="s">
        <v>153</v>
      </c>
      <c r="I3025" s="0" t="n">
        <v>2528</v>
      </c>
      <c r="J3025" s="0" t="n">
        <v>110142</v>
      </c>
      <c r="K3025" s="0" t="n">
        <v>16699</v>
      </c>
      <c r="L3025" s="0" t="s">
        <v>2549</v>
      </c>
      <c r="N3025" s="0" t="n">
        <v>20</v>
      </c>
      <c r="O3025" s="0" t="n">
        <v>125</v>
      </c>
      <c r="P3025" s="0" t="s">
        <v>2444</v>
      </c>
    </row>
    <row r="3026" customFormat="false" ht="15" hidden="false" customHeight="true" outlineLevel="0" collapsed="false">
      <c r="A3026" s="0" t="n">
        <v>2</v>
      </c>
      <c r="B3026" s="71" t="n">
        <v>46210</v>
      </c>
      <c r="C3026" s="0" t="n">
        <v>6</v>
      </c>
      <c r="D3026" s="0" t="s">
        <v>2553</v>
      </c>
      <c r="E3026" s="0" t="n">
        <v>48</v>
      </c>
      <c r="F3026" s="0" t="s">
        <v>153</v>
      </c>
      <c r="I3026" s="0" t="n">
        <v>2528</v>
      </c>
      <c r="J3026" s="0" t="n">
        <v>110374</v>
      </c>
      <c r="K3026" s="0" t="n">
        <v>48077</v>
      </c>
      <c r="L3026" s="0" t="s">
        <v>2696</v>
      </c>
      <c r="N3026" s="0" t="n">
        <v>6</v>
      </c>
      <c r="O3026" s="0" t="n">
        <v>42</v>
      </c>
      <c r="P3026" s="0" t="s">
        <v>2444</v>
      </c>
    </row>
    <row r="3027" customFormat="false" ht="15" hidden="false" customHeight="true" outlineLevel="0" collapsed="false">
      <c r="A3027" s="0" t="n">
        <v>2</v>
      </c>
      <c r="B3027" s="71" t="n">
        <v>46210</v>
      </c>
      <c r="C3027" s="0" t="n">
        <v>6</v>
      </c>
      <c r="D3027" s="0" t="s">
        <v>2553</v>
      </c>
      <c r="E3027" s="0" t="n">
        <v>48</v>
      </c>
      <c r="F3027" s="0" t="s">
        <v>153</v>
      </c>
      <c r="I3027" s="0" t="n">
        <v>2528</v>
      </c>
      <c r="J3027" s="0" t="n">
        <v>110489</v>
      </c>
      <c r="K3027" s="0" t="n">
        <v>54743</v>
      </c>
      <c r="L3027" s="0" t="s">
        <v>2550</v>
      </c>
      <c r="N3027" s="0" t="n">
        <v>40</v>
      </c>
      <c r="O3027" s="0" t="n">
        <v>240</v>
      </c>
      <c r="P3027" s="0" t="s">
        <v>2444</v>
      </c>
    </row>
    <row r="3028" customFormat="false" ht="15" hidden="false" customHeight="true" outlineLevel="0" collapsed="false">
      <c r="A3028" s="0" t="n">
        <v>2</v>
      </c>
      <c r="B3028" s="71" t="n">
        <v>46210</v>
      </c>
      <c r="C3028" s="0" t="n">
        <v>6</v>
      </c>
      <c r="D3028" s="0" t="s">
        <v>2553</v>
      </c>
      <c r="E3028" s="0" t="n">
        <v>48</v>
      </c>
      <c r="F3028" s="0" t="s">
        <v>153</v>
      </c>
      <c r="I3028" s="0" t="n">
        <v>2528</v>
      </c>
      <c r="J3028" s="0" t="n">
        <v>80308</v>
      </c>
      <c r="K3028" s="0" t="n">
        <v>1250</v>
      </c>
      <c r="L3028" s="0" t="s">
        <v>2552</v>
      </c>
      <c r="N3028" s="0" t="n">
        <v>7</v>
      </c>
      <c r="O3028" s="0" t="n">
        <v>21</v>
      </c>
      <c r="P3028" s="0" t="s">
        <v>2444</v>
      </c>
    </row>
    <row r="3029" customFormat="false" ht="15" hidden="false" customHeight="true" outlineLevel="0" collapsed="false">
      <c r="A3029" s="0" t="n">
        <v>2</v>
      </c>
      <c r="B3029" s="71" t="n">
        <v>46210</v>
      </c>
      <c r="C3029" s="0" t="n">
        <v>11</v>
      </c>
      <c r="D3029" s="0" t="s">
        <v>2471</v>
      </c>
      <c r="E3029" s="0" t="n">
        <v>10090</v>
      </c>
      <c r="F3029" s="0" t="s">
        <v>1578</v>
      </c>
      <c r="I3029" s="0" t="n">
        <v>265</v>
      </c>
      <c r="J3029" s="0" t="n">
        <v>105668</v>
      </c>
      <c r="K3029" s="0" t="n">
        <v>7896547500126</v>
      </c>
      <c r="L3029" s="0" t="s">
        <v>3901</v>
      </c>
      <c r="N3029" s="0" t="n">
        <v>120</v>
      </c>
      <c r="O3029" s="0" t="n">
        <v>528</v>
      </c>
      <c r="P3029" s="0" t="s">
        <v>2444</v>
      </c>
    </row>
    <row r="3030" customFormat="false" ht="15" hidden="false" customHeight="true" outlineLevel="0" collapsed="false">
      <c r="A3030" s="0" t="n">
        <v>2</v>
      </c>
      <c r="B3030" s="71" t="n">
        <v>46211</v>
      </c>
      <c r="C3030" s="0" t="n">
        <v>1</v>
      </c>
      <c r="D3030" s="0" t="s">
        <v>2442</v>
      </c>
      <c r="E3030" s="0" t="n">
        <v>10092</v>
      </c>
      <c r="F3030" s="0" t="s">
        <v>814</v>
      </c>
      <c r="I3030" s="0" t="n">
        <v>294</v>
      </c>
      <c r="J3030" s="0" t="n">
        <v>81678</v>
      </c>
      <c r="K3030" s="0" t="n">
        <v>7897507544310</v>
      </c>
      <c r="L3030" s="0" t="s">
        <v>3902</v>
      </c>
      <c r="N3030" s="0" t="n">
        <v>6</v>
      </c>
      <c r="O3030" s="0" t="n">
        <v>28.5</v>
      </c>
      <c r="P3030" s="0" t="s">
        <v>2444</v>
      </c>
    </row>
    <row r="3031" customFormat="false" ht="15" hidden="false" customHeight="true" outlineLevel="0" collapsed="false">
      <c r="A3031" s="0" t="n">
        <v>2</v>
      </c>
      <c r="B3031" s="71" t="n">
        <v>46211</v>
      </c>
      <c r="C3031" s="0" t="n">
        <v>1</v>
      </c>
      <c r="D3031" s="0" t="s">
        <v>2442</v>
      </c>
      <c r="E3031" s="0" t="n">
        <v>10092</v>
      </c>
      <c r="F3031" s="0" t="s">
        <v>814</v>
      </c>
      <c r="I3031" s="0" t="n">
        <v>294</v>
      </c>
      <c r="J3031" s="0" t="n">
        <v>81679</v>
      </c>
      <c r="K3031" s="0" t="n">
        <v>7894537406434</v>
      </c>
      <c r="L3031" s="0" t="s">
        <v>3903</v>
      </c>
      <c r="N3031" s="0" t="n">
        <v>4</v>
      </c>
      <c r="O3031" s="0" t="n">
        <v>19</v>
      </c>
      <c r="P3031" s="0" t="s">
        <v>2444</v>
      </c>
    </row>
    <row r="3032" customFormat="false" ht="15" hidden="false" customHeight="true" outlineLevel="0" collapsed="false">
      <c r="A3032" s="0" t="n">
        <v>2</v>
      </c>
      <c r="B3032" s="71" t="n">
        <v>46211</v>
      </c>
      <c r="C3032" s="0" t="n">
        <v>1</v>
      </c>
      <c r="D3032" s="0" t="s">
        <v>2442</v>
      </c>
      <c r="E3032" s="0" t="n">
        <v>10092</v>
      </c>
      <c r="F3032" s="0" t="s">
        <v>814</v>
      </c>
      <c r="I3032" s="0" t="n">
        <v>294</v>
      </c>
      <c r="J3032" s="0" t="n">
        <v>81680</v>
      </c>
      <c r="K3032" s="0" t="n">
        <v>7898877023214</v>
      </c>
      <c r="L3032" s="0" t="s">
        <v>3904</v>
      </c>
      <c r="N3032" s="0" t="n">
        <v>4</v>
      </c>
      <c r="O3032" s="0" t="n">
        <v>19</v>
      </c>
      <c r="P3032" s="0" t="s">
        <v>2444</v>
      </c>
    </row>
    <row r="3033" customFormat="false" ht="15" hidden="false" customHeight="true" outlineLevel="0" collapsed="false">
      <c r="A3033" s="0" t="n">
        <v>2</v>
      </c>
      <c r="B3033" s="71" t="n">
        <v>46211</v>
      </c>
      <c r="C3033" s="0" t="n">
        <v>1</v>
      </c>
      <c r="D3033" s="0" t="s">
        <v>2442</v>
      </c>
      <c r="E3033" s="0" t="n">
        <v>10092</v>
      </c>
      <c r="F3033" s="0" t="s">
        <v>814</v>
      </c>
      <c r="I3033" s="0" t="n">
        <v>294</v>
      </c>
      <c r="J3033" s="0" t="n">
        <v>81681</v>
      </c>
      <c r="K3033" s="0" t="n">
        <v>7893127665916</v>
      </c>
      <c r="L3033" s="0" t="s">
        <v>3905</v>
      </c>
      <c r="N3033" s="0" t="n">
        <v>6</v>
      </c>
      <c r="O3033" s="0" t="n">
        <v>42</v>
      </c>
      <c r="P3033" s="0" t="s">
        <v>2444</v>
      </c>
    </row>
    <row r="3034" customFormat="false" ht="15" hidden="false" customHeight="true" outlineLevel="0" collapsed="false">
      <c r="A3034" s="0" t="n">
        <v>2</v>
      </c>
      <c r="B3034" s="71" t="n">
        <v>46211</v>
      </c>
      <c r="C3034" s="0" t="n">
        <v>1</v>
      </c>
      <c r="D3034" s="0" t="s">
        <v>2442</v>
      </c>
      <c r="E3034" s="0" t="n">
        <v>10092</v>
      </c>
      <c r="F3034" s="0" t="s">
        <v>814</v>
      </c>
      <c r="I3034" s="0" t="n">
        <v>294</v>
      </c>
      <c r="J3034" s="0" t="n">
        <v>81682</v>
      </c>
      <c r="K3034" s="0" t="n">
        <v>7894498184235</v>
      </c>
      <c r="L3034" s="0" t="s">
        <v>3906</v>
      </c>
      <c r="N3034" s="0" t="n">
        <v>4</v>
      </c>
      <c r="O3034" s="0" t="n">
        <v>28</v>
      </c>
      <c r="P3034" s="0" t="s">
        <v>2444</v>
      </c>
    </row>
    <row r="3035" customFormat="false" ht="15" hidden="false" customHeight="true" outlineLevel="0" collapsed="false">
      <c r="A3035" s="0" t="n">
        <v>2</v>
      </c>
      <c r="B3035" s="71" t="n">
        <v>46211</v>
      </c>
      <c r="C3035" s="0" t="n">
        <v>1</v>
      </c>
      <c r="D3035" s="0" t="s">
        <v>2442</v>
      </c>
      <c r="E3035" s="0" t="n">
        <v>10092</v>
      </c>
      <c r="F3035" s="0" t="s">
        <v>814</v>
      </c>
      <c r="I3035" s="0" t="n">
        <v>294</v>
      </c>
      <c r="J3035" s="0" t="n">
        <v>81683</v>
      </c>
      <c r="K3035" s="0" t="n">
        <v>7897671567078</v>
      </c>
      <c r="L3035" s="0" t="s">
        <v>3907</v>
      </c>
      <c r="N3035" s="0" t="n">
        <v>4</v>
      </c>
      <c r="O3035" s="0" t="n">
        <v>28</v>
      </c>
      <c r="P3035" s="0" t="s">
        <v>2444</v>
      </c>
    </row>
    <row r="3036" customFormat="false" ht="15" hidden="false" customHeight="true" outlineLevel="0" collapsed="false">
      <c r="A3036" s="0" t="n">
        <v>2</v>
      </c>
      <c r="B3036" s="71" t="n">
        <v>46211</v>
      </c>
      <c r="C3036" s="0" t="n">
        <v>1</v>
      </c>
      <c r="D3036" s="0" t="s">
        <v>2442</v>
      </c>
      <c r="E3036" s="0" t="n">
        <v>642</v>
      </c>
      <c r="F3036" s="0" t="s">
        <v>123</v>
      </c>
      <c r="I3036" s="0" t="n">
        <v>524</v>
      </c>
      <c r="J3036" s="0" t="n">
        <v>71766</v>
      </c>
      <c r="K3036" s="0" t="n">
        <v>779180</v>
      </c>
      <c r="L3036" s="0" t="s">
        <v>2501</v>
      </c>
      <c r="N3036" s="0" t="n">
        <v>20</v>
      </c>
      <c r="O3036" s="0" t="n">
        <v>240</v>
      </c>
      <c r="P3036" s="0" t="s">
        <v>2444</v>
      </c>
    </row>
    <row r="3037" customFormat="false" ht="15" hidden="false" customHeight="true" outlineLevel="0" collapsed="false">
      <c r="A3037" s="0" t="n">
        <v>2</v>
      </c>
      <c r="B3037" s="71" t="n">
        <v>46211</v>
      </c>
      <c r="C3037" s="0" t="n">
        <v>1</v>
      </c>
      <c r="D3037" s="0" t="s">
        <v>2442</v>
      </c>
      <c r="E3037" s="0" t="n">
        <v>1899</v>
      </c>
      <c r="F3037" s="0" t="s">
        <v>204</v>
      </c>
      <c r="I3037" s="0" t="n">
        <v>704</v>
      </c>
      <c r="J3037" s="0" t="n">
        <v>77463</v>
      </c>
      <c r="K3037" s="0" t="n">
        <v>774642</v>
      </c>
      <c r="L3037" s="0" t="s">
        <v>2445</v>
      </c>
      <c r="N3037" s="0" t="n">
        <v>20</v>
      </c>
      <c r="O3037" s="0" t="n">
        <v>90</v>
      </c>
      <c r="P3037" s="0" t="s">
        <v>2444</v>
      </c>
    </row>
    <row r="3038" customFormat="false" ht="15" hidden="false" customHeight="true" outlineLevel="0" collapsed="false">
      <c r="A3038" s="0" t="n">
        <v>2</v>
      </c>
      <c r="B3038" s="71" t="n">
        <v>46211</v>
      </c>
      <c r="C3038" s="0" t="n">
        <v>1</v>
      </c>
      <c r="D3038" s="0" t="s">
        <v>2442</v>
      </c>
      <c r="E3038" s="0" t="n">
        <v>1899</v>
      </c>
      <c r="F3038" s="0" t="s">
        <v>204</v>
      </c>
      <c r="I3038" s="0" t="n">
        <v>704</v>
      </c>
      <c r="J3038" s="0" t="n">
        <v>77465</v>
      </c>
      <c r="K3038" s="0" t="n">
        <v>774666</v>
      </c>
      <c r="L3038" s="0" t="s">
        <v>2446</v>
      </c>
      <c r="N3038" s="0" t="n">
        <v>15</v>
      </c>
      <c r="O3038" s="0" t="n">
        <v>74.85</v>
      </c>
      <c r="P3038" s="0" t="s">
        <v>2444</v>
      </c>
    </row>
    <row r="3039" customFormat="false" ht="15" hidden="false" customHeight="true" outlineLevel="0" collapsed="false">
      <c r="A3039" s="0" t="n">
        <v>2</v>
      </c>
      <c r="B3039" s="71" t="n">
        <v>46211</v>
      </c>
      <c r="C3039" s="0" t="n">
        <v>1</v>
      </c>
      <c r="D3039" s="0" t="s">
        <v>2442</v>
      </c>
      <c r="E3039" s="0" t="n">
        <v>1899</v>
      </c>
      <c r="F3039" s="0" t="s">
        <v>204</v>
      </c>
      <c r="I3039" s="0" t="n">
        <v>704</v>
      </c>
      <c r="J3039" s="0" t="n">
        <v>77903</v>
      </c>
      <c r="K3039" s="0" t="n">
        <v>779043</v>
      </c>
      <c r="L3039" s="0" t="s">
        <v>2945</v>
      </c>
      <c r="N3039" s="0" t="n">
        <v>5</v>
      </c>
      <c r="O3039" s="0" t="n">
        <v>22.5</v>
      </c>
      <c r="P3039" s="0" t="s">
        <v>2444</v>
      </c>
    </row>
    <row r="3040" customFormat="false" ht="15" hidden="false" customHeight="true" outlineLevel="0" collapsed="false">
      <c r="A3040" s="0" t="n">
        <v>2</v>
      </c>
      <c r="B3040" s="71" t="n">
        <v>46211</v>
      </c>
      <c r="C3040" s="0" t="n">
        <v>1</v>
      </c>
      <c r="D3040" s="0" t="s">
        <v>2442</v>
      </c>
      <c r="E3040" s="0" t="n">
        <v>1899</v>
      </c>
      <c r="F3040" s="0" t="s">
        <v>204</v>
      </c>
      <c r="I3040" s="0" t="n">
        <v>704</v>
      </c>
      <c r="J3040" s="0" t="n">
        <v>78013</v>
      </c>
      <c r="K3040" s="0" t="n">
        <v>780148</v>
      </c>
      <c r="L3040" s="0" t="s">
        <v>2584</v>
      </c>
      <c r="N3040" s="0" t="n">
        <v>5</v>
      </c>
      <c r="O3040" s="0" t="n">
        <v>22.5</v>
      </c>
      <c r="P3040" s="0" t="s">
        <v>2444</v>
      </c>
    </row>
    <row r="3041" customFormat="false" ht="15" hidden="false" customHeight="true" outlineLevel="0" collapsed="false">
      <c r="A3041" s="0" t="n">
        <v>2</v>
      </c>
      <c r="B3041" s="71" t="n">
        <v>46211</v>
      </c>
      <c r="C3041" s="0" t="n">
        <v>1</v>
      </c>
      <c r="D3041" s="0" t="s">
        <v>2442</v>
      </c>
      <c r="E3041" s="0" t="n">
        <v>1899</v>
      </c>
      <c r="F3041" s="0" t="s">
        <v>204</v>
      </c>
      <c r="I3041" s="0" t="n">
        <v>704</v>
      </c>
      <c r="J3041" s="0" t="n">
        <v>78015</v>
      </c>
      <c r="K3041" s="0" t="n">
        <v>780162</v>
      </c>
      <c r="L3041" s="0" t="s">
        <v>2447</v>
      </c>
      <c r="N3041" s="0" t="n">
        <v>10</v>
      </c>
      <c r="O3041" s="0" t="n">
        <v>49.9</v>
      </c>
      <c r="P3041" s="0" t="s">
        <v>2444</v>
      </c>
    </row>
    <row r="3042" customFormat="false" ht="15" hidden="false" customHeight="true" outlineLevel="0" collapsed="false">
      <c r="A3042" s="0" t="n">
        <v>2</v>
      </c>
      <c r="B3042" s="71" t="n">
        <v>46211</v>
      </c>
      <c r="C3042" s="0" t="n">
        <v>1</v>
      </c>
      <c r="D3042" s="0" t="s">
        <v>2442</v>
      </c>
      <c r="E3042" s="0" t="n">
        <v>1292</v>
      </c>
      <c r="F3042" s="0" t="s">
        <v>209</v>
      </c>
      <c r="I3042" s="0" t="n">
        <v>3570</v>
      </c>
      <c r="J3042" s="0" t="n">
        <v>28574</v>
      </c>
      <c r="K3042" s="0" t="n">
        <v>7898028069009</v>
      </c>
      <c r="L3042" s="0" t="s">
        <v>2607</v>
      </c>
      <c r="N3042" s="0" t="n">
        <v>10</v>
      </c>
      <c r="O3042" s="0" t="n">
        <v>56</v>
      </c>
      <c r="P3042" s="0" t="s">
        <v>2444</v>
      </c>
    </row>
    <row r="3043" customFormat="false" ht="15" hidden="false" customHeight="true" outlineLevel="0" collapsed="false">
      <c r="A3043" s="0" t="n">
        <v>2</v>
      </c>
      <c r="B3043" s="71" t="n">
        <v>46211</v>
      </c>
      <c r="C3043" s="0" t="n">
        <v>1</v>
      </c>
      <c r="D3043" s="0" t="s">
        <v>2442</v>
      </c>
      <c r="E3043" s="0" t="n">
        <v>1292</v>
      </c>
      <c r="F3043" s="0" t="s">
        <v>209</v>
      </c>
      <c r="I3043" s="0" t="n">
        <v>3570</v>
      </c>
      <c r="J3043" s="0" t="n">
        <v>58633</v>
      </c>
      <c r="K3043" s="0" t="n">
        <v>7891164025250</v>
      </c>
      <c r="L3043" s="0" t="s">
        <v>2448</v>
      </c>
      <c r="N3043" s="0" t="n">
        <v>50</v>
      </c>
      <c r="O3043" s="0" t="n">
        <v>449.5</v>
      </c>
      <c r="P3043" s="0" t="s">
        <v>2444</v>
      </c>
    </row>
    <row r="3044" customFormat="false" ht="15" hidden="false" customHeight="true" outlineLevel="0" collapsed="false">
      <c r="A3044" s="0" t="n">
        <v>2</v>
      </c>
      <c r="B3044" s="71" t="n">
        <v>46211</v>
      </c>
      <c r="C3044" s="0" t="n">
        <v>1</v>
      </c>
      <c r="D3044" s="0" t="s">
        <v>2442</v>
      </c>
      <c r="E3044" s="0" t="n">
        <v>1921</v>
      </c>
      <c r="F3044" s="0" t="s">
        <v>167</v>
      </c>
      <c r="I3044" s="0" t="n">
        <v>21032</v>
      </c>
      <c r="J3044" s="0" t="n">
        <v>45435</v>
      </c>
      <c r="K3044" s="0" t="n">
        <v>7908031500694</v>
      </c>
      <c r="L3044" s="0" t="s">
        <v>2664</v>
      </c>
      <c r="N3044" s="0" t="n">
        <v>15</v>
      </c>
      <c r="O3044" s="0" t="n">
        <v>70.23</v>
      </c>
      <c r="P3044" s="0" t="s">
        <v>2444</v>
      </c>
    </row>
    <row r="3045" customFormat="false" ht="15" hidden="false" customHeight="true" outlineLevel="0" collapsed="false">
      <c r="A3045" s="0" t="n">
        <v>2</v>
      </c>
      <c r="B3045" s="71" t="n">
        <v>46211</v>
      </c>
      <c r="C3045" s="0" t="n">
        <v>1</v>
      </c>
      <c r="D3045" s="0" t="s">
        <v>2442</v>
      </c>
      <c r="E3045" s="0" t="n">
        <v>1921</v>
      </c>
      <c r="F3045" s="0" t="s">
        <v>167</v>
      </c>
      <c r="I3045" s="0" t="n">
        <v>21032</v>
      </c>
      <c r="J3045" s="0" t="n">
        <v>45512</v>
      </c>
      <c r="K3045" s="0" t="n">
        <v>7899085120023</v>
      </c>
      <c r="L3045" s="0" t="s">
        <v>2665</v>
      </c>
      <c r="N3045" s="0" t="n">
        <v>80</v>
      </c>
      <c r="O3045" s="0" t="n">
        <v>102.86</v>
      </c>
      <c r="P3045" s="0" t="s">
        <v>2444</v>
      </c>
    </row>
    <row r="3046" customFormat="false" ht="15" hidden="false" customHeight="true" outlineLevel="0" collapsed="false">
      <c r="A3046" s="0" t="n">
        <v>2</v>
      </c>
      <c r="B3046" s="71" t="n">
        <v>46211</v>
      </c>
      <c r="C3046" s="0" t="n">
        <v>1</v>
      </c>
      <c r="D3046" s="0" t="s">
        <v>2442</v>
      </c>
      <c r="E3046" s="0" t="n">
        <v>1921</v>
      </c>
      <c r="F3046" s="0" t="s">
        <v>167</v>
      </c>
      <c r="I3046" s="0" t="n">
        <v>21032</v>
      </c>
      <c r="J3046" s="0" t="n">
        <v>45677</v>
      </c>
      <c r="K3046" s="0" t="n">
        <v>7899085120627</v>
      </c>
      <c r="L3046" s="0" t="s">
        <v>3908</v>
      </c>
      <c r="N3046" s="0" t="n">
        <v>20</v>
      </c>
      <c r="O3046" s="0" t="n">
        <v>44.44</v>
      </c>
      <c r="P3046" s="0" t="s">
        <v>2444</v>
      </c>
    </row>
    <row r="3047" customFormat="false" ht="15" hidden="false" customHeight="true" outlineLevel="0" collapsed="false">
      <c r="A3047" s="0" t="n">
        <v>2</v>
      </c>
      <c r="B3047" s="71" t="n">
        <v>46211</v>
      </c>
      <c r="C3047" s="0" t="n">
        <v>1</v>
      </c>
      <c r="D3047" s="0" t="s">
        <v>2442</v>
      </c>
      <c r="E3047" s="0" t="n">
        <v>1921</v>
      </c>
      <c r="F3047" s="0" t="s">
        <v>167</v>
      </c>
      <c r="I3047" s="0" t="n">
        <v>21032</v>
      </c>
      <c r="J3047" s="0" t="n">
        <v>45856</v>
      </c>
      <c r="K3047" s="0" t="n">
        <v>7899085120443</v>
      </c>
      <c r="L3047" s="0" t="s">
        <v>3909</v>
      </c>
      <c r="N3047" s="0" t="n">
        <v>30</v>
      </c>
      <c r="O3047" s="0" t="n">
        <v>63</v>
      </c>
      <c r="P3047" s="0" t="s">
        <v>2444</v>
      </c>
    </row>
    <row r="3048" customFormat="false" ht="15" hidden="false" customHeight="true" outlineLevel="0" collapsed="false">
      <c r="A3048" s="0" t="n">
        <v>2</v>
      </c>
      <c r="B3048" s="71" t="n">
        <v>46211</v>
      </c>
      <c r="C3048" s="0" t="n">
        <v>1</v>
      </c>
      <c r="D3048" s="0" t="s">
        <v>2442</v>
      </c>
      <c r="E3048" s="0" t="n">
        <v>1921</v>
      </c>
      <c r="F3048" s="0" t="s">
        <v>167</v>
      </c>
      <c r="I3048" s="0" t="n">
        <v>21032</v>
      </c>
      <c r="J3048" s="0" t="n">
        <v>46077</v>
      </c>
      <c r="K3048" s="0" t="n">
        <v>7899085120221</v>
      </c>
      <c r="L3048" s="0" t="s">
        <v>2666</v>
      </c>
      <c r="N3048" s="0" t="n">
        <v>20</v>
      </c>
      <c r="O3048" s="0" t="n">
        <v>40.15</v>
      </c>
      <c r="P3048" s="0" t="s">
        <v>2444</v>
      </c>
    </row>
    <row r="3049" customFormat="false" ht="15" hidden="false" customHeight="true" outlineLevel="0" collapsed="false">
      <c r="A3049" s="0" t="n">
        <v>2</v>
      </c>
      <c r="B3049" s="71" t="n">
        <v>46211</v>
      </c>
      <c r="C3049" s="0" t="n">
        <v>1</v>
      </c>
      <c r="D3049" s="0" t="s">
        <v>2442</v>
      </c>
      <c r="E3049" s="0" t="n">
        <v>1921</v>
      </c>
      <c r="F3049" s="0" t="s">
        <v>167</v>
      </c>
      <c r="I3049" s="0" t="n">
        <v>21032</v>
      </c>
      <c r="J3049" s="0" t="n">
        <v>46078</v>
      </c>
      <c r="K3049" s="0" t="n">
        <v>7899085120016</v>
      </c>
      <c r="L3049" s="0" t="s">
        <v>2667</v>
      </c>
      <c r="N3049" s="0" t="n">
        <v>40</v>
      </c>
      <c r="O3049" s="0" t="n">
        <v>97.5</v>
      </c>
      <c r="P3049" s="0" t="s">
        <v>2444</v>
      </c>
    </row>
    <row r="3050" customFormat="false" ht="15" hidden="false" customHeight="true" outlineLevel="0" collapsed="false">
      <c r="A3050" s="0" t="n">
        <v>2</v>
      </c>
      <c r="B3050" s="71" t="n">
        <v>46211</v>
      </c>
      <c r="C3050" s="0" t="n">
        <v>1</v>
      </c>
      <c r="D3050" s="0" t="s">
        <v>2442</v>
      </c>
      <c r="E3050" s="0" t="n">
        <v>1921</v>
      </c>
      <c r="F3050" s="0" t="s">
        <v>167</v>
      </c>
      <c r="I3050" s="0" t="n">
        <v>21032</v>
      </c>
      <c r="J3050" s="0" t="n">
        <v>46087</v>
      </c>
      <c r="K3050" s="0" t="n">
        <v>7899085120559</v>
      </c>
      <c r="L3050" s="0" t="s">
        <v>2669</v>
      </c>
      <c r="N3050" s="0" t="n">
        <v>20</v>
      </c>
      <c r="O3050" s="0" t="n">
        <v>42.52</v>
      </c>
      <c r="P3050" s="0" t="s">
        <v>2444</v>
      </c>
    </row>
    <row r="3051" customFormat="false" ht="15" hidden="false" customHeight="true" outlineLevel="0" collapsed="false">
      <c r="A3051" s="0" t="n">
        <v>2</v>
      </c>
      <c r="B3051" s="71" t="n">
        <v>46211</v>
      </c>
      <c r="C3051" s="0" t="n">
        <v>1</v>
      </c>
      <c r="D3051" s="0" t="s">
        <v>2442</v>
      </c>
      <c r="E3051" s="0" t="n">
        <v>1921</v>
      </c>
      <c r="F3051" s="0" t="s">
        <v>167</v>
      </c>
      <c r="I3051" s="0" t="n">
        <v>21032</v>
      </c>
      <c r="J3051" s="0" t="n">
        <v>46094</v>
      </c>
      <c r="K3051" s="0" t="n">
        <v>7899085120580</v>
      </c>
      <c r="L3051" s="0" t="s">
        <v>2674</v>
      </c>
      <c r="N3051" s="0" t="n">
        <v>20</v>
      </c>
      <c r="O3051" s="0" t="n">
        <v>43.26</v>
      </c>
      <c r="P3051" s="0" t="s">
        <v>2444</v>
      </c>
    </row>
    <row r="3052" customFormat="false" ht="15" hidden="false" customHeight="true" outlineLevel="0" collapsed="false">
      <c r="A3052" s="0" t="n">
        <v>2</v>
      </c>
      <c r="B3052" s="71" t="n">
        <v>46211</v>
      </c>
      <c r="C3052" s="0" t="n">
        <v>1</v>
      </c>
      <c r="D3052" s="0" t="s">
        <v>2442</v>
      </c>
      <c r="E3052" s="0" t="n">
        <v>1921</v>
      </c>
      <c r="F3052" s="0" t="s">
        <v>167</v>
      </c>
      <c r="I3052" s="0" t="n">
        <v>21032</v>
      </c>
      <c r="J3052" s="0" t="n">
        <v>46095</v>
      </c>
      <c r="K3052" s="0" t="n">
        <v>7899085120641</v>
      </c>
      <c r="L3052" s="0" t="s">
        <v>3910</v>
      </c>
      <c r="N3052" s="0" t="n">
        <v>20</v>
      </c>
      <c r="O3052" s="0" t="n">
        <v>41.22</v>
      </c>
      <c r="P3052" s="0" t="s">
        <v>2444</v>
      </c>
    </row>
    <row r="3053" customFormat="false" ht="15" hidden="false" customHeight="true" outlineLevel="0" collapsed="false">
      <c r="A3053" s="0" t="n">
        <v>2</v>
      </c>
      <c r="B3053" s="71" t="n">
        <v>46211</v>
      </c>
      <c r="C3053" s="0" t="n">
        <v>1</v>
      </c>
      <c r="D3053" s="0" t="s">
        <v>2442</v>
      </c>
      <c r="E3053" s="0" t="n">
        <v>1921</v>
      </c>
      <c r="F3053" s="0" t="s">
        <v>167</v>
      </c>
      <c r="I3053" s="0" t="n">
        <v>21032</v>
      </c>
      <c r="J3053" s="0" t="n">
        <v>46588</v>
      </c>
      <c r="K3053" s="0" t="n">
        <v>7899085120924</v>
      </c>
      <c r="L3053" s="0" t="s">
        <v>3911</v>
      </c>
      <c r="N3053" s="0" t="n">
        <v>30</v>
      </c>
      <c r="O3053" s="0" t="n">
        <v>131.86</v>
      </c>
      <c r="P3053" s="0" t="s">
        <v>2444</v>
      </c>
    </row>
    <row r="3054" customFormat="false" ht="15" hidden="false" customHeight="true" outlineLevel="0" collapsed="false">
      <c r="A3054" s="0" t="n">
        <v>2</v>
      </c>
      <c r="B3054" s="71" t="n">
        <v>46211</v>
      </c>
      <c r="C3054" s="0" t="n">
        <v>1</v>
      </c>
      <c r="D3054" s="0" t="s">
        <v>2442</v>
      </c>
      <c r="E3054" s="0" t="n">
        <v>1921</v>
      </c>
      <c r="F3054" s="0" t="s">
        <v>167</v>
      </c>
      <c r="I3054" s="0" t="n">
        <v>21032</v>
      </c>
      <c r="J3054" s="0" t="n">
        <v>47025</v>
      </c>
      <c r="K3054" s="0" t="n">
        <v>7899085120160</v>
      </c>
      <c r="L3054" s="0" t="s">
        <v>2675</v>
      </c>
      <c r="N3054" s="0" t="n">
        <v>20</v>
      </c>
      <c r="O3054" s="0" t="n">
        <v>49</v>
      </c>
      <c r="P3054" s="0" t="s">
        <v>2444</v>
      </c>
    </row>
    <row r="3055" customFormat="false" ht="15" hidden="false" customHeight="true" outlineLevel="0" collapsed="false">
      <c r="A3055" s="0" t="n">
        <v>2</v>
      </c>
      <c r="B3055" s="71" t="n">
        <v>46211</v>
      </c>
      <c r="C3055" s="0" t="n">
        <v>1</v>
      </c>
      <c r="D3055" s="0" t="s">
        <v>2442</v>
      </c>
      <c r="E3055" s="0" t="n">
        <v>1921</v>
      </c>
      <c r="F3055" s="0" t="s">
        <v>167</v>
      </c>
      <c r="I3055" s="0" t="n">
        <v>21032</v>
      </c>
      <c r="J3055" s="0" t="n">
        <v>47042</v>
      </c>
      <c r="K3055" s="0" t="n">
        <v>7899085120061</v>
      </c>
      <c r="L3055" s="0" t="s">
        <v>3912</v>
      </c>
      <c r="N3055" s="0" t="n">
        <v>20</v>
      </c>
      <c r="O3055" s="0" t="n">
        <v>34.78</v>
      </c>
      <c r="P3055" s="0" t="s">
        <v>2444</v>
      </c>
    </row>
    <row r="3056" customFormat="false" ht="15" hidden="false" customHeight="true" outlineLevel="0" collapsed="false">
      <c r="A3056" s="0" t="n">
        <v>2</v>
      </c>
      <c r="B3056" s="71" t="n">
        <v>46211</v>
      </c>
      <c r="C3056" s="0" t="n">
        <v>1</v>
      </c>
      <c r="D3056" s="0" t="s">
        <v>2442</v>
      </c>
      <c r="E3056" s="0" t="n">
        <v>1921</v>
      </c>
      <c r="F3056" s="0" t="s">
        <v>167</v>
      </c>
      <c r="I3056" s="0" t="n">
        <v>21032</v>
      </c>
      <c r="J3056" s="0" t="n">
        <v>47044</v>
      </c>
      <c r="K3056" s="0" t="n">
        <v>7899085120290</v>
      </c>
      <c r="L3056" s="0" t="s">
        <v>3913</v>
      </c>
      <c r="N3056" s="0" t="n">
        <v>20</v>
      </c>
      <c r="O3056" s="0" t="n">
        <v>51.98</v>
      </c>
      <c r="P3056" s="0" t="s">
        <v>2444</v>
      </c>
    </row>
    <row r="3057" customFormat="false" ht="15" hidden="false" customHeight="true" outlineLevel="0" collapsed="false">
      <c r="A3057" s="0" t="n">
        <v>2</v>
      </c>
      <c r="B3057" s="71" t="n">
        <v>46211</v>
      </c>
      <c r="C3057" s="0" t="n">
        <v>1</v>
      </c>
      <c r="D3057" s="0" t="s">
        <v>2442</v>
      </c>
      <c r="E3057" s="0" t="n">
        <v>1921</v>
      </c>
      <c r="F3057" s="0" t="s">
        <v>167</v>
      </c>
      <c r="I3057" s="0" t="n">
        <v>21032</v>
      </c>
      <c r="J3057" s="0" t="n">
        <v>47046</v>
      </c>
      <c r="K3057" s="0" t="n">
        <v>7899085120436</v>
      </c>
      <c r="L3057" s="0" t="s">
        <v>2678</v>
      </c>
      <c r="N3057" s="0" t="n">
        <v>30</v>
      </c>
      <c r="O3057" s="0" t="n">
        <v>41.22</v>
      </c>
      <c r="P3057" s="0" t="s">
        <v>2444</v>
      </c>
    </row>
    <row r="3058" customFormat="false" ht="15" hidden="false" customHeight="true" outlineLevel="0" collapsed="false">
      <c r="A3058" s="0" t="n">
        <v>2</v>
      </c>
      <c r="B3058" s="71" t="n">
        <v>46211</v>
      </c>
      <c r="C3058" s="0" t="n">
        <v>1</v>
      </c>
      <c r="D3058" s="0" t="s">
        <v>2442</v>
      </c>
      <c r="E3058" s="0" t="n">
        <v>1921</v>
      </c>
      <c r="F3058" s="0" t="s">
        <v>167</v>
      </c>
      <c r="I3058" s="0" t="n">
        <v>21032</v>
      </c>
      <c r="J3058" s="0" t="n">
        <v>47047</v>
      </c>
      <c r="K3058" s="0" t="n">
        <v>7899085120108</v>
      </c>
      <c r="L3058" s="0" t="s">
        <v>3914</v>
      </c>
      <c r="N3058" s="0" t="n">
        <v>20</v>
      </c>
      <c r="O3058" s="0" t="n">
        <v>38</v>
      </c>
      <c r="P3058" s="0" t="s">
        <v>2444</v>
      </c>
    </row>
    <row r="3059" customFormat="false" ht="15" hidden="false" customHeight="true" outlineLevel="0" collapsed="false">
      <c r="A3059" s="0" t="n">
        <v>2</v>
      </c>
      <c r="B3059" s="71" t="n">
        <v>46211</v>
      </c>
      <c r="C3059" s="0" t="n">
        <v>1</v>
      </c>
      <c r="D3059" s="0" t="s">
        <v>2442</v>
      </c>
      <c r="E3059" s="0" t="n">
        <v>1921</v>
      </c>
      <c r="F3059" s="0" t="s">
        <v>167</v>
      </c>
      <c r="I3059" s="0" t="n">
        <v>21032</v>
      </c>
      <c r="J3059" s="0" t="n">
        <v>47048</v>
      </c>
      <c r="K3059" s="0" t="n">
        <v>7899085120498</v>
      </c>
      <c r="L3059" s="0" t="s">
        <v>3915</v>
      </c>
      <c r="N3059" s="0" t="n">
        <v>20</v>
      </c>
      <c r="O3059" s="0" t="n">
        <v>41.22</v>
      </c>
      <c r="P3059" s="0" t="s">
        <v>2444</v>
      </c>
    </row>
    <row r="3060" customFormat="false" ht="15" hidden="false" customHeight="true" outlineLevel="0" collapsed="false">
      <c r="A3060" s="0" t="n">
        <v>2</v>
      </c>
      <c r="B3060" s="71" t="n">
        <v>46211</v>
      </c>
      <c r="C3060" s="0" t="n">
        <v>1</v>
      </c>
      <c r="D3060" s="0" t="s">
        <v>2442</v>
      </c>
      <c r="E3060" s="0" t="n">
        <v>1921</v>
      </c>
      <c r="F3060" s="0" t="s">
        <v>167</v>
      </c>
      <c r="I3060" s="0" t="n">
        <v>21032</v>
      </c>
      <c r="J3060" s="0" t="n">
        <v>47050</v>
      </c>
      <c r="K3060" s="0" t="n">
        <v>7899085120146</v>
      </c>
      <c r="L3060" s="0" t="s">
        <v>2680</v>
      </c>
      <c r="N3060" s="0" t="n">
        <v>20</v>
      </c>
      <c r="O3060" s="0" t="n">
        <v>38</v>
      </c>
      <c r="P3060" s="0" t="s">
        <v>2444</v>
      </c>
    </row>
    <row r="3061" customFormat="false" ht="15" hidden="false" customHeight="true" outlineLevel="0" collapsed="false">
      <c r="A3061" s="0" t="n">
        <v>2</v>
      </c>
      <c r="B3061" s="71" t="n">
        <v>46211</v>
      </c>
      <c r="C3061" s="0" t="n">
        <v>1</v>
      </c>
      <c r="D3061" s="0" t="s">
        <v>2442</v>
      </c>
      <c r="E3061" s="0" t="n">
        <v>1921</v>
      </c>
      <c r="F3061" s="0" t="s">
        <v>167</v>
      </c>
      <c r="I3061" s="0" t="n">
        <v>21032</v>
      </c>
      <c r="J3061" s="0" t="n">
        <v>47067</v>
      </c>
      <c r="K3061" s="0" t="n">
        <v>7899085120573</v>
      </c>
      <c r="L3061" s="0" t="s">
        <v>3916</v>
      </c>
      <c r="N3061" s="0" t="n">
        <v>10</v>
      </c>
      <c r="O3061" s="0" t="n">
        <v>34.78</v>
      </c>
      <c r="P3061" s="0" t="s">
        <v>2444</v>
      </c>
    </row>
    <row r="3062" customFormat="false" ht="15" hidden="false" customHeight="true" outlineLevel="0" collapsed="false">
      <c r="A3062" s="0" t="n">
        <v>2</v>
      </c>
      <c r="B3062" s="71" t="n">
        <v>46211</v>
      </c>
      <c r="C3062" s="0" t="n">
        <v>1</v>
      </c>
      <c r="D3062" s="0" t="s">
        <v>2442</v>
      </c>
      <c r="E3062" s="0" t="n">
        <v>1921</v>
      </c>
      <c r="F3062" s="0" t="s">
        <v>167</v>
      </c>
      <c r="I3062" s="0" t="n">
        <v>21032</v>
      </c>
      <c r="J3062" s="0" t="n">
        <v>48073</v>
      </c>
      <c r="K3062" s="0" t="n">
        <v>7899085120634</v>
      </c>
      <c r="L3062" s="0" t="s">
        <v>3917</v>
      </c>
      <c r="N3062" s="0" t="n">
        <v>20</v>
      </c>
      <c r="O3062" s="0" t="n">
        <v>41.22</v>
      </c>
      <c r="P3062" s="0" t="s">
        <v>2444</v>
      </c>
    </row>
    <row r="3063" customFormat="false" ht="15" hidden="false" customHeight="true" outlineLevel="0" collapsed="false">
      <c r="A3063" s="0" t="n">
        <v>2</v>
      </c>
      <c r="B3063" s="71" t="n">
        <v>46211</v>
      </c>
      <c r="C3063" s="0" t="n">
        <v>1</v>
      </c>
      <c r="D3063" s="0" t="s">
        <v>2442</v>
      </c>
      <c r="E3063" s="0" t="n">
        <v>1921</v>
      </c>
      <c r="F3063" s="0" t="s">
        <v>167</v>
      </c>
      <c r="I3063" s="0" t="n">
        <v>21032</v>
      </c>
      <c r="J3063" s="0" t="n">
        <v>49811</v>
      </c>
      <c r="K3063" s="0" t="n">
        <v>7899085120917</v>
      </c>
      <c r="L3063" s="0" t="s">
        <v>3918</v>
      </c>
      <c r="N3063" s="0" t="n">
        <v>20</v>
      </c>
      <c r="O3063" s="0" t="n">
        <v>41.22</v>
      </c>
      <c r="P3063" s="0" t="s">
        <v>2444</v>
      </c>
    </row>
    <row r="3064" customFormat="false" ht="15" hidden="false" customHeight="true" outlineLevel="0" collapsed="false">
      <c r="A3064" s="0" t="n">
        <v>2</v>
      </c>
      <c r="B3064" s="71" t="n">
        <v>46211</v>
      </c>
      <c r="C3064" s="0" t="n">
        <v>1</v>
      </c>
      <c r="D3064" s="0" t="s">
        <v>2442</v>
      </c>
      <c r="E3064" s="0" t="n">
        <v>1921</v>
      </c>
      <c r="F3064" s="0" t="s">
        <v>167</v>
      </c>
      <c r="I3064" s="0" t="n">
        <v>21032</v>
      </c>
      <c r="J3064" s="0" t="n">
        <v>50031</v>
      </c>
      <c r="K3064" s="0" t="n">
        <v>7899085120702</v>
      </c>
      <c r="L3064" s="0" t="s">
        <v>3919</v>
      </c>
      <c r="N3064" s="0" t="n">
        <v>12</v>
      </c>
      <c r="O3064" s="0" t="n">
        <v>26.18</v>
      </c>
      <c r="P3064" s="0" t="s">
        <v>2444</v>
      </c>
    </row>
    <row r="3065" customFormat="false" ht="15" hidden="false" customHeight="true" outlineLevel="0" collapsed="false">
      <c r="A3065" s="0" t="n">
        <v>2</v>
      </c>
      <c r="B3065" s="71" t="n">
        <v>46211</v>
      </c>
      <c r="C3065" s="0" t="n">
        <v>1</v>
      </c>
      <c r="D3065" s="0" t="s">
        <v>2442</v>
      </c>
      <c r="E3065" s="0" t="n">
        <v>1921</v>
      </c>
      <c r="F3065" s="0" t="s">
        <v>167</v>
      </c>
      <c r="I3065" s="0" t="n">
        <v>21032</v>
      </c>
      <c r="J3065" s="0" t="n">
        <v>50646</v>
      </c>
      <c r="K3065" s="0" t="n">
        <v>7899085120283</v>
      </c>
      <c r="L3065" s="0" t="s">
        <v>3920</v>
      </c>
      <c r="N3065" s="0" t="n">
        <v>20</v>
      </c>
      <c r="O3065" s="0" t="n">
        <v>46.69</v>
      </c>
      <c r="P3065" s="0" t="s">
        <v>2444</v>
      </c>
    </row>
    <row r="3066" customFormat="false" ht="15" hidden="false" customHeight="true" outlineLevel="0" collapsed="false">
      <c r="A3066" s="0" t="n">
        <v>2</v>
      </c>
      <c r="B3066" s="71" t="n">
        <v>46211</v>
      </c>
      <c r="C3066" s="0" t="n">
        <v>1</v>
      </c>
      <c r="D3066" s="0" t="s">
        <v>2442</v>
      </c>
      <c r="E3066" s="0" t="n">
        <v>1921</v>
      </c>
      <c r="F3066" s="0" t="s">
        <v>167</v>
      </c>
      <c r="I3066" s="0" t="n">
        <v>21032</v>
      </c>
      <c r="J3066" s="0" t="n">
        <v>50793</v>
      </c>
      <c r="K3066" s="0" t="n">
        <v>7899085120726</v>
      </c>
      <c r="L3066" s="0" t="s">
        <v>3921</v>
      </c>
      <c r="N3066" s="0" t="n">
        <v>12</v>
      </c>
      <c r="O3066" s="0" t="n">
        <v>26.18</v>
      </c>
      <c r="P3066" s="0" t="s">
        <v>2444</v>
      </c>
    </row>
    <row r="3067" customFormat="false" ht="15" hidden="false" customHeight="true" outlineLevel="0" collapsed="false">
      <c r="A3067" s="0" t="n">
        <v>2</v>
      </c>
      <c r="B3067" s="71" t="n">
        <v>46211</v>
      </c>
      <c r="C3067" s="0" t="n">
        <v>1</v>
      </c>
      <c r="D3067" s="0" t="s">
        <v>2442</v>
      </c>
      <c r="E3067" s="0" t="n">
        <v>1921</v>
      </c>
      <c r="F3067" s="0" t="s">
        <v>167</v>
      </c>
      <c r="I3067" s="0" t="n">
        <v>21032</v>
      </c>
      <c r="J3067" s="0" t="n">
        <v>50796</v>
      </c>
      <c r="K3067" s="0" t="n">
        <v>7899085120689</v>
      </c>
      <c r="L3067" s="0" t="s">
        <v>3922</v>
      </c>
      <c r="N3067" s="0" t="n">
        <v>12</v>
      </c>
      <c r="O3067" s="0" t="n">
        <v>26.18</v>
      </c>
      <c r="P3067" s="0" t="s">
        <v>2444</v>
      </c>
    </row>
    <row r="3068" customFormat="false" ht="15" hidden="false" customHeight="true" outlineLevel="0" collapsed="false">
      <c r="A3068" s="0" t="n">
        <v>2</v>
      </c>
      <c r="B3068" s="71" t="n">
        <v>46211</v>
      </c>
      <c r="C3068" s="0" t="n">
        <v>1</v>
      </c>
      <c r="D3068" s="0" t="s">
        <v>2442</v>
      </c>
      <c r="E3068" s="0" t="n">
        <v>754</v>
      </c>
      <c r="F3068" s="0" t="s">
        <v>162</v>
      </c>
      <c r="I3068" s="0" t="n">
        <v>31674</v>
      </c>
      <c r="J3068" s="0" t="n">
        <v>29080</v>
      </c>
      <c r="K3068" s="0" t="n">
        <v>55516</v>
      </c>
      <c r="L3068" s="0" t="s">
        <v>2450</v>
      </c>
      <c r="N3068" s="0" t="n">
        <v>61.35</v>
      </c>
      <c r="O3068" s="0" t="n">
        <v>1411.05</v>
      </c>
      <c r="P3068" s="0" t="s">
        <v>2444</v>
      </c>
    </row>
    <row r="3069" customFormat="false" ht="15" hidden="false" customHeight="true" outlineLevel="0" collapsed="false">
      <c r="A3069" s="0" t="n">
        <v>2</v>
      </c>
      <c r="B3069" s="71" t="n">
        <v>46211</v>
      </c>
      <c r="C3069" s="0" t="n">
        <v>1</v>
      </c>
      <c r="D3069" s="0" t="s">
        <v>2442</v>
      </c>
      <c r="E3069" s="0" t="n">
        <v>1705</v>
      </c>
      <c r="F3069" s="0" t="s">
        <v>130</v>
      </c>
      <c r="I3069" s="0" t="n">
        <v>1193333</v>
      </c>
      <c r="J3069" s="0" t="n">
        <v>102360</v>
      </c>
      <c r="K3069" s="0" t="n">
        <v>7894900593709</v>
      </c>
      <c r="L3069" s="0" t="s">
        <v>2557</v>
      </c>
      <c r="N3069" s="0" t="n">
        <v>96</v>
      </c>
      <c r="O3069" s="0" t="n">
        <v>192.43</v>
      </c>
      <c r="P3069" s="0" t="s">
        <v>2444</v>
      </c>
    </row>
    <row r="3070" customFormat="false" ht="15" hidden="false" customHeight="true" outlineLevel="0" collapsed="false">
      <c r="A3070" s="0" t="n">
        <v>2</v>
      </c>
      <c r="B3070" s="71" t="n">
        <v>46211</v>
      </c>
      <c r="C3070" s="0" t="n">
        <v>1</v>
      </c>
      <c r="D3070" s="0" t="s">
        <v>2442</v>
      </c>
      <c r="E3070" s="0" t="n">
        <v>1705</v>
      </c>
      <c r="F3070" s="0" t="s">
        <v>130</v>
      </c>
      <c r="I3070" s="0" t="n">
        <v>1193333</v>
      </c>
      <c r="J3070" s="0" t="n">
        <v>102361</v>
      </c>
      <c r="K3070" s="0" t="n">
        <v>7894900573701</v>
      </c>
      <c r="L3070" s="0" t="s">
        <v>3923</v>
      </c>
      <c r="N3070" s="0" t="n">
        <v>24</v>
      </c>
      <c r="O3070" s="0" t="n">
        <v>48.11</v>
      </c>
      <c r="P3070" s="0" t="s">
        <v>2444</v>
      </c>
    </row>
    <row r="3071" customFormat="false" ht="15" hidden="false" customHeight="true" outlineLevel="0" collapsed="false">
      <c r="A3071" s="0" t="n">
        <v>2</v>
      </c>
      <c r="B3071" s="71" t="n">
        <v>46211</v>
      </c>
      <c r="C3071" s="0" t="n">
        <v>1</v>
      </c>
      <c r="D3071" s="0" t="s">
        <v>2442</v>
      </c>
      <c r="E3071" s="0" t="n">
        <v>1705</v>
      </c>
      <c r="F3071" s="0" t="s">
        <v>130</v>
      </c>
      <c r="I3071" s="0" t="n">
        <v>1193333</v>
      </c>
      <c r="J3071" s="0" t="n">
        <v>102362</v>
      </c>
      <c r="K3071" s="0" t="n">
        <v>7894900583700</v>
      </c>
      <c r="L3071" s="0" t="s">
        <v>3255</v>
      </c>
      <c r="N3071" s="0" t="n">
        <v>72</v>
      </c>
      <c r="O3071" s="0" t="n">
        <v>144.32</v>
      </c>
      <c r="P3071" s="0" t="s">
        <v>2444</v>
      </c>
    </row>
    <row r="3072" customFormat="false" ht="15" hidden="false" customHeight="true" outlineLevel="0" collapsed="false">
      <c r="A3072" s="0" t="n">
        <v>2</v>
      </c>
      <c r="B3072" s="71" t="n">
        <v>46211</v>
      </c>
      <c r="C3072" s="0" t="n">
        <v>1</v>
      </c>
      <c r="D3072" s="0" t="s">
        <v>2442</v>
      </c>
      <c r="E3072" s="0" t="n">
        <v>1705</v>
      </c>
      <c r="F3072" s="0" t="s">
        <v>130</v>
      </c>
      <c r="I3072" s="0" t="n">
        <v>1193333</v>
      </c>
      <c r="J3072" s="0" t="n">
        <v>102363</v>
      </c>
      <c r="K3072" s="0" t="n">
        <v>7894900563702</v>
      </c>
      <c r="L3072" s="0" t="s">
        <v>2558</v>
      </c>
      <c r="N3072" s="0" t="n">
        <v>24</v>
      </c>
      <c r="O3072" s="0" t="n">
        <v>48.11</v>
      </c>
      <c r="P3072" s="0" t="s">
        <v>2444</v>
      </c>
    </row>
    <row r="3073" customFormat="false" ht="15" hidden="false" customHeight="true" outlineLevel="0" collapsed="false">
      <c r="A3073" s="0" t="n">
        <v>2</v>
      </c>
      <c r="B3073" s="71" t="n">
        <v>46211</v>
      </c>
      <c r="C3073" s="0" t="n">
        <v>1</v>
      </c>
      <c r="D3073" s="0" t="s">
        <v>2442</v>
      </c>
      <c r="E3073" s="0" t="n">
        <v>1705</v>
      </c>
      <c r="F3073" s="0" t="s">
        <v>130</v>
      </c>
      <c r="I3073" s="0" t="n">
        <v>1193333</v>
      </c>
      <c r="J3073" s="0" t="n">
        <v>24324</v>
      </c>
      <c r="K3073" s="0" t="n">
        <v>70847022015</v>
      </c>
      <c r="L3073" s="0" t="s">
        <v>2462</v>
      </c>
      <c r="N3073" s="0" t="n">
        <v>24</v>
      </c>
      <c r="O3073" s="0" t="n">
        <v>203.42</v>
      </c>
      <c r="P3073" s="0" t="s">
        <v>2444</v>
      </c>
    </row>
    <row r="3074" customFormat="false" ht="15" hidden="false" customHeight="true" outlineLevel="0" collapsed="false">
      <c r="A3074" s="0" t="n">
        <v>2</v>
      </c>
      <c r="B3074" s="71" t="n">
        <v>46211</v>
      </c>
      <c r="C3074" s="0" t="n">
        <v>1</v>
      </c>
      <c r="D3074" s="0" t="s">
        <v>2442</v>
      </c>
      <c r="E3074" s="0" t="n">
        <v>1705</v>
      </c>
      <c r="F3074" s="0" t="s">
        <v>130</v>
      </c>
      <c r="I3074" s="0" t="n">
        <v>1193336</v>
      </c>
      <c r="J3074" s="0" t="n">
        <v>103159</v>
      </c>
      <c r="K3074" s="0" t="n">
        <v>7894900050011</v>
      </c>
      <c r="L3074" s="0" t="s">
        <v>2656</v>
      </c>
      <c r="N3074" s="0" t="n">
        <v>12</v>
      </c>
      <c r="O3074" s="0" t="n">
        <v>33.21</v>
      </c>
      <c r="P3074" s="0" t="s">
        <v>2444</v>
      </c>
    </row>
    <row r="3075" customFormat="false" ht="15" hidden="false" customHeight="true" outlineLevel="0" collapsed="false">
      <c r="A3075" s="0" t="n">
        <v>2</v>
      </c>
      <c r="B3075" s="71" t="n">
        <v>46211</v>
      </c>
      <c r="C3075" s="0" t="n">
        <v>1</v>
      </c>
      <c r="D3075" s="0" t="s">
        <v>2442</v>
      </c>
      <c r="E3075" s="0" t="n">
        <v>1705</v>
      </c>
      <c r="F3075" s="0" t="s">
        <v>130</v>
      </c>
      <c r="I3075" s="0" t="n">
        <v>1193336</v>
      </c>
      <c r="J3075" s="0" t="n">
        <v>103160</v>
      </c>
      <c r="K3075" s="0" t="n">
        <v>7894900030013</v>
      </c>
      <c r="L3075" s="0" t="s">
        <v>2568</v>
      </c>
      <c r="N3075" s="0" t="n">
        <v>12</v>
      </c>
      <c r="O3075" s="0" t="n">
        <v>33.21</v>
      </c>
      <c r="P3075" s="0" t="s">
        <v>2444</v>
      </c>
    </row>
    <row r="3076" customFormat="false" ht="15" hidden="false" customHeight="true" outlineLevel="0" collapsed="false">
      <c r="A3076" s="0" t="n">
        <v>2</v>
      </c>
      <c r="B3076" s="71" t="n">
        <v>46211</v>
      </c>
      <c r="C3076" s="0" t="n">
        <v>1</v>
      </c>
      <c r="D3076" s="0" t="s">
        <v>2442</v>
      </c>
      <c r="E3076" s="0" t="n">
        <v>1705</v>
      </c>
      <c r="F3076" s="0" t="s">
        <v>130</v>
      </c>
      <c r="I3076" s="0" t="n">
        <v>1193336</v>
      </c>
      <c r="J3076" s="0" t="n">
        <v>77914</v>
      </c>
      <c r="K3076" s="0" t="n">
        <v>7894900530001</v>
      </c>
      <c r="L3076" s="0" t="s">
        <v>3257</v>
      </c>
      <c r="N3076" s="0" t="n">
        <v>12</v>
      </c>
      <c r="O3076" s="0" t="n">
        <v>15.14</v>
      </c>
      <c r="P3076" s="0" t="s">
        <v>2444</v>
      </c>
    </row>
    <row r="3077" customFormat="false" ht="15" hidden="false" customHeight="true" outlineLevel="0" collapsed="false">
      <c r="A3077" s="0" t="n">
        <v>2</v>
      </c>
      <c r="B3077" s="71" t="n">
        <v>46211</v>
      </c>
      <c r="C3077" s="0" t="n">
        <v>1</v>
      </c>
      <c r="D3077" s="0" t="s">
        <v>2442</v>
      </c>
      <c r="E3077" s="0" t="n">
        <v>1705</v>
      </c>
      <c r="F3077" s="0" t="s">
        <v>130</v>
      </c>
      <c r="I3077" s="0" t="n">
        <v>1193336</v>
      </c>
      <c r="J3077" s="0" t="n">
        <v>78077</v>
      </c>
      <c r="K3077" s="0" t="n">
        <v>7894900531008</v>
      </c>
      <c r="L3077" s="0" t="s">
        <v>3503</v>
      </c>
      <c r="N3077" s="0" t="n">
        <v>12</v>
      </c>
      <c r="O3077" s="0" t="n">
        <v>22.95</v>
      </c>
      <c r="P3077" s="0" t="s">
        <v>2444</v>
      </c>
    </row>
    <row r="3078" customFormat="false" ht="15" hidden="false" customHeight="true" outlineLevel="0" collapsed="false">
      <c r="A3078" s="0" t="n">
        <v>2</v>
      </c>
      <c r="B3078" s="71" t="n">
        <v>46211</v>
      </c>
      <c r="C3078" s="0" t="n">
        <v>1</v>
      </c>
      <c r="D3078" s="0" t="s">
        <v>2442</v>
      </c>
      <c r="E3078" s="0" t="n">
        <v>1705</v>
      </c>
      <c r="F3078" s="0" t="s">
        <v>130</v>
      </c>
      <c r="I3078" s="0" t="n">
        <v>1193391</v>
      </c>
      <c r="J3078" s="0" t="n">
        <v>102360</v>
      </c>
      <c r="K3078" s="0" t="n">
        <v>7894900593709</v>
      </c>
      <c r="L3078" s="0" t="s">
        <v>2557</v>
      </c>
      <c r="N3078" s="0" t="n">
        <v>96</v>
      </c>
      <c r="O3078" s="0" t="n">
        <v>192.43</v>
      </c>
      <c r="P3078" s="0" t="s">
        <v>2444</v>
      </c>
    </row>
    <row r="3079" customFormat="false" ht="15" hidden="false" customHeight="true" outlineLevel="0" collapsed="false">
      <c r="A3079" s="0" t="n">
        <v>2</v>
      </c>
      <c r="B3079" s="71" t="n">
        <v>46211</v>
      </c>
      <c r="C3079" s="0" t="n">
        <v>1</v>
      </c>
      <c r="D3079" s="0" t="s">
        <v>2442</v>
      </c>
      <c r="E3079" s="0" t="n">
        <v>1705</v>
      </c>
      <c r="F3079" s="0" t="s">
        <v>130</v>
      </c>
      <c r="I3079" s="0" t="n">
        <v>1193391</v>
      </c>
      <c r="J3079" s="0" t="n">
        <v>102361</v>
      </c>
      <c r="K3079" s="0" t="n">
        <v>7894900573701</v>
      </c>
      <c r="L3079" s="0" t="s">
        <v>3923</v>
      </c>
      <c r="N3079" s="0" t="n">
        <v>24</v>
      </c>
      <c r="O3079" s="0" t="n">
        <v>48.11</v>
      </c>
      <c r="P3079" s="0" t="s">
        <v>2444</v>
      </c>
    </row>
    <row r="3080" customFormat="false" ht="15" hidden="false" customHeight="true" outlineLevel="0" collapsed="false">
      <c r="A3080" s="0" t="n">
        <v>2</v>
      </c>
      <c r="B3080" s="71" t="n">
        <v>46211</v>
      </c>
      <c r="C3080" s="0" t="n">
        <v>1</v>
      </c>
      <c r="D3080" s="0" t="s">
        <v>2442</v>
      </c>
      <c r="E3080" s="0" t="n">
        <v>1705</v>
      </c>
      <c r="F3080" s="0" t="s">
        <v>130</v>
      </c>
      <c r="I3080" s="0" t="n">
        <v>1193391</v>
      </c>
      <c r="J3080" s="0" t="n">
        <v>102362</v>
      </c>
      <c r="K3080" s="0" t="n">
        <v>7894900583700</v>
      </c>
      <c r="L3080" s="0" t="s">
        <v>3255</v>
      </c>
      <c r="N3080" s="0" t="n">
        <v>72</v>
      </c>
      <c r="O3080" s="0" t="n">
        <v>144.32</v>
      </c>
      <c r="P3080" s="0" t="s">
        <v>2444</v>
      </c>
    </row>
    <row r="3081" customFormat="false" ht="15" hidden="false" customHeight="true" outlineLevel="0" collapsed="false">
      <c r="A3081" s="0" t="n">
        <v>2</v>
      </c>
      <c r="B3081" s="71" t="n">
        <v>46211</v>
      </c>
      <c r="C3081" s="0" t="n">
        <v>1</v>
      </c>
      <c r="D3081" s="0" t="s">
        <v>2442</v>
      </c>
      <c r="E3081" s="0" t="n">
        <v>1705</v>
      </c>
      <c r="F3081" s="0" t="s">
        <v>130</v>
      </c>
      <c r="I3081" s="0" t="n">
        <v>1193391</v>
      </c>
      <c r="J3081" s="0" t="n">
        <v>102363</v>
      </c>
      <c r="K3081" s="0" t="n">
        <v>7894900563702</v>
      </c>
      <c r="L3081" s="0" t="s">
        <v>2558</v>
      </c>
      <c r="N3081" s="0" t="n">
        <v>24</v>
      </c>
      <c r="O3081" s="0" t="n">
        <v>48.11</v>
      </c>
      <c r="P3081" s="0" t="s">
        <v>2444</v>
      </c>
    </row>
    <row r="3082" customFormat="false" ht="15" hidden="false" customHeight="true" outlineLevel="0" collapsed="false">
      <c r="A3082" s="0" t="n">
        <v>2</v>
      </c>
      <c r="B3082" s="71" t="n">
        <v>46211</v>
      </c>
      <c r="C3082" s="0" t="n">
        <v>1</v>
      </c>
      <c r="D3082" s="0" t="s">
        <v>2442</v>
      </c>
      <c r="E3082" s="0" t="n">
        <v>1705</v>
      </c>
      <c r="F3082" s="0" t="s">
        <v>130</v>
      </c>
      <c r="I3082" s="0" t="n">
        <v>1193391</v>
      </c>
      <c r="J3082" s="0" t="n">
        <v>24324</v>
      </c>
      <c r="K3082" s="0" t="n">
        <v>70847022015</v>
      </c>
      <c r="L3082" s="0" t="s">
        <v>2462</v>
      </c>
      <c r="N3082" s="0" t="n">
        <v>24</v>
      </c>
      <c r="O3082" s="0" t="n">
        <v>203.42</v>
      </c>
      <c r="P3082" s="0" t="s">
        <v>2444</v>
      </c>
    </row>
    <row r="3083" customFormat="false" ht="15" hidden="false" customHeight="true" outlineLevel="0" collapsed="false">
      <c r="A3083" s="0" t="n">
        <v>2</v>
      </c>
      <c r="B3083" s="71" t="n">
        <v>46211</v>
      </c>
      <c r="C3083" s="0" t="n">
        <v>1</v>
      </c>
      <c r="D3083" s="0" t="s">
        <v>2442</v>
      </c>
      <c r="E3083" s="0" t="n">
        <v>1683</v>
      </c>
      <c r="F3083" s="0" t="s">
        <v>406</v>
      </c>
      <c r="I3083" s="0" t="n">
        <v>1644345</v>
      </c>
      <c r="J3083" s="0" t="n">
        <v>109791</v>
      </c>
      <c r="K3083" s="0" t="n">
        <v>9667</v>
      </c>
      <c r="L3083" s="0" t="s">
        <v>2465</v>
      </c>
      <c r="N3083" s="0" t="n">
        <v>15</v>
      </c>
      <c r="O3083" s="0" t="n">
        <v>22.5</v>
      </c>
      <c r="P3083" s="0" t="s">
        <v>2444</v>
      </c>
    </row>
    <row r="3084" customFormat="false" ht="15" hidden="false" customHeight="true" outlineLevel="0" collapsed="false">
      <c r="A3084" s="0" t="n">
        <v>2</v>
      </c>
      <c r="B3084" s="71" t="n">
        <v>46211</v>
      </c>
      <c r="C3084" s="0" t="n">
        <v>1</v>
      </c>
      <c r="D3084" s="0" t="s">
        <v>2442</v>
      </c>
      <c r="E3084" s="0" t="n">
        <v>1683</v>
      </c>
      <c r="F3084" s="0" t="s">
        <v>406</v>
      </c>
      <c r="I3084" s="0" t="n">
        <v>1644345</v>
      </c>
      <c r="J3084" s="0" t="n">
        <v>37359</v>
      </c>
      <c r="K3084" s="0" t="n">
        <v>55526</v>
      </c>
      <c r="L3084" s="0" t="s">
        <v>2466</v>
      </c>
      <c r="N3084" s="0" t="n">
        <v>10</v>
      </c>
      <c r="O3084" s="0" t="n">
        <v>35</v>
      </c>
      <c r="P3084" s="0" t="s">
        <v>2444</v>
      </c>
    </row>
    <row r="3085" customFormat="false" ht="15" hidden="false" customHeight="true" outlineLevel="0" collapsed="false">
      <c r="A3085" s="0" t="n">
        <v>2</v>
      </c>
      <c r="B3085" s="71" t="n">
        <v>46211</v>
      </c>
      <c r="C3085" s="0" t="n">
        <v>1</v>
      </c>
      <c r="D3085" s="0" t="s">
        <v>2442</v>
      </c>
      <c r="E3085" s="0" t="n">
        <v>1683</v>
      </c>
      <c r="F3085" s="0" t="s">
        <v>406</v>
      </c>
      <c r="I3085" s="0" t="n">
        <v>1644345</v>
      </c>
      <c r="J3085" s="0" t="n">
        <v>37361</v>
      </c>
      <c r="K3085" s="0" t="n">
        <v>2240817</v>
      </c>
      <c r="L3085" s="0" t="s">
        <v>2467</v>
      </c>
      <c r="N3085" s="0" t="n">
        <v>40</v>
      </c>
      <c r="O3085" s="0" t="n">
        <v>72</v>
      </c>
      <c r="P3085" s="0" t="s">
        <v>2444</v>
      </c>
    </row>
    <row r="3086" customFormat="false" ht="15" hidden="false" customHeight="true" outlineLevel="0" collapsed="false">
      <c r="A3086" s="0" t="n">
        <v>2</v>
      </c>
      <c r="B3086" s="71" t="n">
        <v>46211</v>
      </c>
      <c r="C3086" s="0" t="n">
        <v>1</v>
      </c>
      <c r="D3086" s="0" t="s">
        <v>2442</v>
      </c>
      <c r="E3086" s="0" t="n">
        <v>1705</v>
      </c>
      <c r="F3086" s="0" t="s">
        <v>130</v>
      </c>
      <c r="I3086" s="0" t="n">
        <v>1923963</v>
      </c>
      <c r="J3086" s="0" t="n">
        <v>105631</v>
      </c>
      <c r="K3086" s="0" t="n">
        <v>7894900011609</v>
      </c>
      <c r="L3086" s="0" t="s">
        <v>2571</v>
      </c>
      <c r="N3086" s="0" t="n">
        <v>60</v>
      </c>
      <c r="O3086" s="0" t="n">
        <v>221</v>
      </c>
      <c r="P3086" s="0" t="s">
        <v>2444</v>
      </c>
    </row>
    <row r="3087" customFormat="false" ht="15" hidden="false" customHeight="true" outlineLevel="0" collapsed="false">
      <c r="A3087" s="0" t="n">
        <v>2</v>
      </c>
      <c r="B3087" s="71" t="n">
        <v>46211</v>
      </c>
      <c r="C3087" s="0" t="n">
        <v>1</v>
      </c>
      <c r="D3087" s="0" t="s">
        <v>2442</v>
      </c>
      <c r="E3087" s="0" t="n">
        <v>1705</v>
      </c>
      <c r="F3087" s="0" t="s">
        <v>130</v>
      </c>
      <c r="I3087" s="0" t="n">
        <v>1923964</v>
      </c>
      <c r="J3087" s="0" t="n">
        <v>105631</v>
      </c>
      <c r="K3087" s="0" t="n">
        <v>7894900011609</v>
      </c>
      <c r="L3087" s="0" t="s">
        <v>2571</v>
      </c>
      <c r="N3087" s="0" t="n">
        <v>60</v>
      </c>
      <c r="O3087" s="0" t="n">
        <v>221</v>
      </c>
      <c r="P3087" s="0" t="s">
        <v>2444</v>
      </c>
    </row>
    <row r="3088" customFormat="false" ht="15" hidden="false" customHeight="true" outlineLevel="0" collapsed="false">
      <c r="A3088" s="0" t="n">
        <v>2</v>
      </c>
      <c r="B3088" s="71" t="n">
        <v>46211</v>
      </c>
      <c r="C3088" s="0" t="n">
        <v>1</v>
      </c>
      <c r="D3088" s="0" t="s">
        <v>2442</v>
      </c>
      <c r="E3088" s="0" t="n">
        <v>1705</v>
      </c>
      <c r="F3088" s="0" t="s">
        <v>130</v>
      </c>
      <c r="I3088" s="0" t="n">
        <v>1923967</v>
      </c>
      <c r="J3088" s="0" t="n">
        <v>103161</v>
      </c>
      <c r="K3088" s="0" t="n">
        <v>7894900010015</v>
      </c>
      <c r="L3088" s="0" t="s">
        <v>2569</v>
      </c>
      <c r="N3088" s="0" t="n">
        <v>24</v>
      </c>
      <c r="O3088" s="0" t="n">
        <v>76.19</v>
      </c>
      <c r="P3088" s="0" t="s">
        <v>2444</v>
      </c>
    </row>
    <row r="3089" customFormat="false" ht="15" hidden="false" customHeight="true" outlineLevel="0" collapsed="false">
      <c r="A3089" s="0" t="n">
        <v>2</v>
      </c>
      <c r="B3089" s="71" t="n">
        <v>46211</v>
      </c>
      <c r="C3089" s="0" t="n">
        <v>6</v>
      </c>
      <c r="D3089" s="0" t="s">
        <v>2553</v>
      </c>
      <c r="E3089" s="0" t="n">
        <v>48</v>
      </c>
      <c r="F3089" s="0" t="s">
        <v>153</v>
      </c>
      <c r="I3089" s="0" t="n">
        <v>2529</v>
      </c>
      <c r="J3089" s="0" t="n">
        <v>11683</v>
      </c>
      <c r="K3089" s="0" t="n">
        <v>7898934529048</v>
      </c>
      <c r="L3089" s="0" t="s">
        <v>2735</v>
      </c>
      <c r="N3089" s="0" t="n">
        <v>25</v>
      </c>
      <c r="O3089" s="0" t="n">
        <v>110</v>
      </c>
      <c r="P3089" s="0" t="s">
        <v>2444</v>
      </c>
    </row>
    <row r="3090" customFormat="false" ht="15" hidden="false" customHeight="true" outlineLevel="0" collapsed="false">
      <c r="A3090" s="0" t="n">
        <v>2</v>
      </c>
      <c r="B3090" s="71" t="n">
        <v>46211</v>
      </c>
      <c r="C3090" s="0" t="n">
        <v>6</v>
      </c>
      <c r="D3090" s="0" t="s">
        <v>2553</v>
      </c>
      <c r="E3090" s="0" t="n">
        <v>48</v>
      </c>
      <c r="F3090" s="0" t="s">
        <v>153</v>
      </c>
      <c r="I3090" s="0" t="n">
        <v>2529</v>
      </c>
      <c r="J3090" s="0" t="n">
        <v>20452</v>
      </c>
      <c r="K3090" s="0" t="n">
        <v>7898934529086</v>
      </c>
      <c r="L3090" s="0" t="s">
        <v>2736</v>
      </c>
      <c r="N3090" s="0" t="n">
        <v>75</v>
      </c>
      <c r="O3090" s="0" t="n">
        <v>720</v>
      </c>
      <c r="P3090" s="0" t="s">
        <v>2444</v>
      </c>
    </row>
    <row r="3091" customFormat="false" ht="15" hidden="false" customHeight="true" outlineLevel="0" collapsed="false">
      <c r="A3091" s="0" t="n">
        <v>2</v>
      </c>
      <c r="B3091" s="71" t="n">
        <v>46211</v>
      </c>
      <c r="C3091" s="0" t="n">
        <v>6</v>
      </c>
      <c r="D3091" s="0" t="s">
        <v>2553</v>
      </c>
      <c r="E3091" s="0" t="n">
        <v>48</v>
      </c>
      <c r="F3091" s="0" t="s">
        <v>153</v>
      </c>
      <c r="I3091" s="0" t="n">
        <v>2529</v>
      </c>
      <c r="J3091" s="0" t="n">
        <v>26175</v>
      </c>
      <c r="K3091" s="0" t="n">
        <v>7898934529024</v>
      </c>
      <c r="L3091" s="0" t="s">
        <v>2737</v>
      </c>
      <c r="N3091" s="0" t="n">
        <v>50</v>
      </c>
      <c r="O3091" s="0" t="n">
        <v>216</v>
      </c>
      <c r="P3091" s="0" t="s">
        <v>2444</v>
      </c>
    </row>
    <row r="3092" customFormat="false" ht="15" hidden="false" customHeight="true" outlineLevel="0" collapsed="false">
      <c r="A3092" s="0" t="n">
        <v>2</v>
      </c>
      <c r="B3092" s="71" t="n">
        <v>46211</v>
      </c>
      <c r="C3092" s="0" t="n">
        <v>6</v>
      </c>
      <c r="D3092" s="0" t="s">
        <v>2553</v>
      </c>
      <c r="E3092" s="0" t="n">
        <v>48</v>
      </c>
      <c r="F3092" s="0" t="s">
        <v>153</v>
      </c>
      <c r="I3092" s="0" t="n">
        <v>2530</v>
      </c>
      <c r="J3092" s="0" t="n">
        <v>80177</v>
      </c>
      <c r="K3092" s="0" t="n">
        <v>734</v>
      </c>
      <c r="L3092" s="0" t="s">
        <v>3924</v>
      </c>
      <c r="N3092" s="0" t="n">
        <v>80</v>
      </c>
      <c r="O3092" s="0" t="n">
        <v>560</v>
      </c>
      <c r="P3092" s="0" t="s">
        <v>2444</v>
      </c>
    </row>
    <row r="3093" customFormat="false" ht="15" hidden="false" customHeight="true" outlineLevel="0" collapsed="false">
      <c r="A3093" s="0" t="n">
        <v>2</v>
      </c>
      <c r="B3093" s="71" t="n">
        <v>46211</v>
      </c>
      <c r="C3093" s="0" t="n">
        <v>22</v>
      </c>
      <c r="D3093" s="0" t="s">
        <v>2479</v>
      </c>
      <c r="E3093" s="0" t="n">
        <v>48</v>
      </c>
      <c r="F3093" s="0" t="s">
        <v>153</v>
      </c>
      <c r="I3093" s="0" t="n">
        <v>2532</v>
      </c>
      <c r="J3093" s="0" t="n">
        <v>100000</v>
      </c>
      <c r="K3093" s="0" t="n">
        <v>1</v>
      </c>
      <c r="L3093" s="0" t="s">
        <v>2480</v>
      </c>
      <c r="N3093" s="0" t="n">
        <v>2.7</v>
      </c>
      <c r="O3093" s="0" t="n">
        <v>51.07</v>
      </c>
      <c r="P3093" s="0" t="s">
        <v>2444</v>
      </c>
    </row>
    <row r="3094" customFormat="false" ht="15" hidden="false" customHeight="true" outlineLevel="0" collapsed="false">
      <c r="A3094" s="0" t="n">
        <v>2</v>
      </c>
      <c r="B3094" s="71" t="n">
        <v>46211</v>
      </c>
      <c r="C3094" s="0" t="n">
        <v>22</v>
      </c>
      <c r="D3094" s="0" t="s">
        <v>2479</v>
      </c>
      <c r="E3094" s="0" t="n">
        <v>48</v>
      </c>
      <c r="F3094" s="0" t="s">
        <v>153</v>
      </c>
      <c r="I3094" s="0" t="n">
        <v>2532</v>
      </c>
      <c r="J3094" s="0" t="n">
        <v>100001</v>
      </c>
      <c r="K3094" s="0" t="n">
        <v>2</v>
      </c>
      <c r="L3094" s="0" t="s">
        <v>2481</v>
      </c>
      <c r="N3094" s="0" t="n">
        <v>6.9</v>
      </c>
      <c r="O3094" s="0" t="n">
        <v>141.39</v>
      </c>
      <c r="P3094" s="0" t="s">
        <v>2444</v>
      </c>
    </row>
    <row r="3095" customFormat="false" ht="15" hidden="false" customHeight="true" outlineLevel="0" collapsed="false">
      <c r="A3095" s="0" t="n">
        <v>2</v>
      </c>
      <c r="B3095" s="71" t="n">
        <v>46211</v>
      </c>
      <c r="C3095" s="0" t="n">
        <v>22</v>
      </c>
      <c r="D3095" s="0" t="s">
        <v>2479</v>
      </c>
      <c r="E3095" s="0" t="n">
        <v>48</v>
      </c>
      <c r="F3095" s="0" t="s">
        <v>153</v>
      </c>
      <c r="I3095" s="0" t="n">
        <v>2532</v>
      </c>
      <c r="J3095" s="0" t="n">
        <v>100002</v>
      </c>
      <c r="K3095" s="0" t="n">
        <v>3</v>
      </c>
      <c r="L3095" s="0" t="s">
        <v>2482</v>
      </c>
      <c r="N3095" s="0" t="n">
        <v>20</v>
      </c>
      <c r="O3095" s="0" t="n">
        <v>472.89</v>
      </c>
      <c r="P3095" s="0" t="s">
        <v>2444</v>
      </c>
    </row>
    <row r="3096" customFormat="false" ht="15" hidden="false" customHeight="true" outlineLevel="0" collapsed="false">
      <c r="A3096" s="0" t="n">
        <v>2</v>
      </c>
      <c r="B3096" s="71" t="n">
        <v>46211</v>
      </c>
      <c r="C3096" s="0" t="n">
        <v>22</v>
      </c>
      <c r="D3096" s="0" t="s">
        <v>2479</v>
      </c>
      <c r="E3096" s="0" t="n">
        <v>48</v>
      </c>
      <c r="F3096" s="0" t="s">
        <v>153</v>
      </c>
      <c r="I3096" s="0" t="n">
        <v>2532</v>
      </c>
      <c r="J3096" s="0" t="n">
        <v>100003</v>
      </c>
      <c r="K3096" s="0" t="n">
        <v>4</v>
      </c>
      <c r="L3096" s="0" t="s">
        <v>2483</v>
      </c>
      <c r="N3096" s="0" t="n">
        <v>19.5</v>
      </c>
      <c r="O3096" s="0" t="n">
        <v>491.81</v>
      </c>
      <c r="P3096" s="0" t="s">
        <v>2444</v>
      </c>
    </row>
    <row r="3097" customFormat="false" ht="15" hidden="false" customHeight="true" outlineLevel="0" collapsed="false">
      <c r="A3097" s="0" t="n">
        <v>2</v>
      </c>
      <c r="B3097" s="71" t="n">
        <v>46211</v>
      </c>
      <c r="C3097" s="0" t="n">
        <v>22</v>
      </c>
      <c r="D3097" s="0" t="s">
        <v>2479</v>
      </c>
      <c r="E3097" s="0" t="n">
        <v>48</v>
      </c>
      <c r="F3097" s="0" t="s">
        <v>153</v>
      </c>
      <c r="I3097" s="0" t="n">
        <v>2532</v>
      </c>
      <c r="J3097" s="0" t="n">
        <v>100005</v>
      </c>
      <c r="K3097" s="0" t="n">
        <v>6</v>
      </c>
      <c r="L3097" s="0" t="s">
        <v>2582</v>
      </c>
      <c r="N3097" s="0" t="n">
        <v>3.7</v>
      </c>
      <c r="O3097" s="0" t="n">
        <v>87.48</v>
      </c>
      <c r="P3097" s="0" t="s">
        <v>2444</v>
      </c>
    </row>
    <row r="3098" customFormat="false" ht="15" hidden="false" customHeight="true" outlineLevel="0" collapsed="false">
      <c r="A3098" s="0" t="n">
        <v>2</v>
      </c>
      <c r="B3098" s="71" t="n">
        <v>46211</v>
      </c>
      <c r="C3098" s="0" t="n">
        <v>22</v>
      </c>
      <c r="D3098" s="0" t="s">
        <v>2479</v>
      </c>
      <c r="E3098" s="0" t="n">
        <v>48</v>
      </c>
      <c r="F3098" s="0" t="s">
        <v>153</v>
      </c>
      <c r="I3098" s="0" t="n">
        <v>2532</v>
      </c>
      <c r="J3098" s="0" t="n">
        <v>100007</v>
      </c>
      <c r="K3098" s="0" t="n">
        <v>8</v>
      </c>
      <c r="L3098" s="0" t="s">
        <v>2486</v>
      </c>
      <c r="N3098" s="0" t="n">
        <v>3.4</v>
      </c>
      <c r="O3098" s="0" t="n">
        <v>80.39</v>
      </c>
      <c r="P3098" s="0" t="s">
        <v>2444</v>
      </c>
    </row>
    <row r="3099" customFormat="false" ht="15" hidden="false" customHeight="true" outlineLevel="0" collapsed="false">
      <c r="A3099" s="0" t="n">
        <v>2</v>
      </c>
      <c r="B3099" s="71" t="n">
        <v>46211</v>
      </c>
      <c r="C3099" s="0" t="n">
        <v>22</v>
      </c>
      <c r="D3099" s="0" t="s">
        <v>2479</v>
      </c>
      <c r="E3099" s="0" t="n">
        <v>48</v>
      </c>
      <c r="F3099" s="0" t="s">
        <v>153</v>
      </c>
      <c r="I3099" s="0" t="n">
        <v>2532</v>
      </c>
      <c r="J3099" s="0" t="n">
        <v>100019</v>
      </c>
      <c r="K3099" s="0" t="n">
        <v>20</v>
      </c>
      <c r="L3099" s="0" t="s">
        <v>3779</v>
      </c>
      <c r="N3099" s="0" t="n">
        <v>2.4</v>
      </c>
      <c r="O3099" s="0" t="n">
        <v>79.45</v>
      </c>
      <c r="P3099" s="0" t="s">
        <v>2444</v>
      </c>
    </row>
    <row r="3100" customFormat="false" ht="15" hidden="false" customHeight="true" outlineLevel="0" collapsed="false">
      <c r="A3100" s="0" t="n">
        <v>2</v>
      </c>
      <c r="B3100" s="71" t="n">
        <v>46211</v>
      </c>
      <c r="C3100" s="0" t="n">
        <v>22</v>
      </c>
      <c r="D3100" s="0" t="s">
        <v>2479</v>
      </c>
      <c r="E3100" s="0" t="n">
        <v>48</v>
      </c>
      <c r="F3100" s="0" t="s">
        <v>153</v>
      </c>
      <c r="I3100" s="0" t="n">
        <v>2532</v>
      </c>
      <c r="J3100" s="0" t="n">
        <v>100638</v>
      </c>
      <c r="K3100" s="0" t="n">
        <v>508</v>
      </c>
      <c r="L3100" s="0" t="s">
        <v>2496</v>
      </c>
      <c r="N3100" s="0" t="n">
        <v>0.95</v>
      </c>
      <c r="O3100" s="0" t="n">
        <v>2.24</v>
      </c>
      <c r="P3100" s="0" t="s">
        <v>2444</v>
      </c>
    </row>
    <row r="3101" customFormat="false" ht="15" hidden="false" customHeight="true" outlineLevel="0" collapsed="false">
      <c r="A3101" s="0" t="n">
        <v>2</v>
      </c>
      <c r="B3101" s="71" t="n">
        <v>46211</v>
      </c>
      <c r="C3101" s="0" t="n">
        <v>22</v>
      </c>
      <c r="D3101" s="0" t="s">
        <v>2479</v>
      </c>
      <c r="E3101" s="0" t="n">
        <v>48</v>
      </c>
      <c r="F3101" s="0" t="s">
        <v>153</v>
      </c>
      <c r="I3101" s="0" t="n">
        <v>2532</v>
      </c>
      <c r="J3101" s="0" t="n">
        <v>110137</v>
      </c>
      <c r="K3101" s="0" t="n">
        <v>13899</v>
      </c>
      <c r="L3101" s="0" t="s">
        <v>3780</v>
      </c>
      <c r="N3101" s="0" t="n">
        <v>1.1</v>
      </c>
      <c r="O3101" s="0" t="n">
        <v>4.33</v>
      </c>
      <c r="P3101" s="0" t="s">
        <v>2444</v>
      </c>
    </row>
    <row r="3102" customFormat="false" ht="15" hidden="false" customHeight="true" outlineLevel="0" collapsed="false">
      <c r="A3102" s="0" t="n">
        <v>2</v>
      </c>
      <c r="B3102" s="71" t="n">
        <v>46211</v>
      </c>
      <c r="C3102" s="0" t="n">
        <v>22</v>
      </c>
      <c r="D3102" s="0" t="s">
        <v>2479</v>
      </c>
      <c r="E3102" s="0" t="n">
        <v>48</v>
      </c>
      <c r="F3102" s="0" t="s">
        <v>153</v>
      </c>
      <c r="I3102" s="0" t="n">
        <v>2532</v>
      </c>
      <c r="J3102" s="0" t="n">
        <v>110455</v>
      </c>
      <c r="K3102" s="0" t="n">
        <v>53212</v>
      </c>
      <c r="L3102" s="0" t="s">
        <v>2498</v>
      </c>
      <c r="N3102" s="0" t="n">
        <v>0.7</v>
      </c>
      <c r="O3102" s="0" t="n">
        <v>0</v>
      </c>
      <c r="P3102" s="0" t="s">
        <v>2444</v>
      </c>
    </row>
    <row r="3103" customFormat="false" ht="15" hidden="false" customHeight="true" outlineLevel="0" collapsed="false">
      <c r="A3103" s="0" t="n">
        <v>2</v>
      </c>
      <c r="B3103" s="71" t="n">
        <v>46211</v>
      </c>
      <c r="C3103" s="0" t="n">
        <v>100</v>
      </c>
      <c r="D3103" s="0" t="s">
        <v>2499</v>
      </c>
      <c r="E3103" s="0" t="n">
        <v>48</v>
      </c>
      <c r="F3103" s="0" t="s">
        <v>153</v>
      </c>
      <c r="I3103" s="0" t="n">
        <v>1370830</v>
      </c>
      <c r="J3103" s="0" t="n">
        <v>100000</v>
      </c>
      <c r="K3103" s="0" t="n">
        <v>1</v>
      </c>
      <c r="L3103" s="0" t="s">
        <v>2480</v>
      </c>
      <c r="N3103" s="0" t="n">
        <v>2.7</v>
      </c>
      <c r="O3103" s="0" t="n">
        <v>51.07</v>
      </c>
      <c r="P3103" s="0" t="s">
        <v>2444</v>
      </c>
    </row>
    <row r="3104" customFormat="false" ht="15" hidden="false" customHeight="true" outlineLevel="0" collapsed="false">
      <c r="A3104" s="0" t="n">
        <v>2</v>
      </c>
      <c r="B3104" s="71" t="n">
        <v>46211</v>
      </c>
      <c r="C3104" s="0" t="n">
        <v>100</v>
      </c>
      <c r="D3104" s="0" t="s">
        <v>2499</v>
      </c>
      <c r="E3104" s="0" t="n">
        <v>48</v>
      </c>
      <c r="F3104" s="0" t="s">
        <v>153</v>
      </c>
      <c r="I3104" s="0" t="n">
        <v>1370830</v>
      </c>
      <c r="J3104" s="0" t="n">
        <v>100001</v>
      </c>
      <c r="K3104" s="0" t="n">
        <v>2</v>
      </c>
      <c r="L3104" s="0" t="s">
        <v>2481</v>
      </c>
      <c r="N3104" s="0" t="n">
        <v>6.9</v>
      </c>
      <c r="O3104" s="0" t="n">
        <v>141.39</v>
      </c>
      <c r="P3104" s="0" t="s">
        <v>2444</v>
      </c>
    </row>
    <row r="3105" customFormat="false" ht="15" hidden="false" customHeight="true" outlineLevel="0" collapsed="false">
      <c r="A3105" s="0" t="n">
        <v>2</v>
      </c>
      <c r="B3105" s="71" t="n">
        <v>46211</v>
      </c>
      <c r="C3105" s="0" t="n">
        <v>100</v>
      </c>
      <c r="D3105" s="0" t="s">
        <v>2499</v>
      </c>
      <c r="E3105" s="0" t="n">
        <v>48</v>
      </c>
      <c r="F3105" s="0" t="s">
        <v>153</v>
      </c>
      <c r="I3105" s="0" t="n">
        <v>1370830</v>
      </c>
      <c r="J3105" s="0" t="n">
        <v>100002</v>
      </c>
      <c r="K3105" s="0" t="n">
        <v>3</v>
      </c>
      <c r="L3105" s="0" t="s">
        <v>2482</v>
      </c>
      <c r="N3105" s="0" t="n">
        <v>20</v>
      </c>
      <c r="O3105" s="0" t="n">
        <v>472.89</v>
      </c>
      <c r="P3105" s="0" t="s">
        <v>2444</v>
      </c>
    </row>
    <row r="3106" customFormat="false" ht="15" hidden="false" customHeight="true" outlineLevel="0" collapsed="false">
      <c r="A3106" s="0" t="n">
        <v>2</v>
      </c>
      <c r="B3106" s="71" t="n">
        <v>46211</v>
      </c>
      <c r="C3106" s="0" t="n">
        <v>100</v>
      </c>
      <c r="D3106" s="0" t="s">
        <v>2499</v>
      </c>
      <c r="E3106" s="0" t="n">
        <v>48</v>
      </c>
      <c r="F3106" s="0" t="s">
        <v>153</v>
      </c>
      <c r="I3106" s="0" t="n">
        <v>1370830</v>
      </c>
      <c r="J3106" s="0" t="n">
        <v>100003</v>
      </c>
      <c r="K3106" s="0" t="n">
        <v>4</v>
      </c>
      <c r="L3106" s="0" t="s">
        <v>2483</v>
      </c>
      <c r="N3106" s="0" t="n">
        <v>19.5</v>
      </c>
      <c r="O3106" s="0" t="n">
        <v>491.81</v>
      </c>
      <c r="P3106" s="0" t="s">
        <v>2444</v>
      </c>
    </row>
    <row r="3107" customFormat="false" ht="15" hidden="false" customHeight="true" outlineLevel="0" collapsed="false">
      <c r="A3107" s="0" t="n">
        <v>2</v>
      </c>
      <c r="B3107" s="71" t="n">
        <v>46211</v>
      </c>
      <c r="C3107" s="0" t="n">
        <v>100</v>
      </c>
      <c r="D3107" s="0" t="s">
        <v>2499</v>
      </c>
      <c r="E3107" s="0" t="n">
        <v>48</v>
      </c>
      <c r="F3107" s="0" t="s">
        <v>153</v>
      </c>
      <c r="I3107" s="0" t="n">
        <v>1370830</v>
      </c>
      <c r="J3107" s="0" t="n">
        <v>100005</v>
      </c>
      <c r="K3107" s="0" t="n">
        <v>6</v>
      </c>
      <c r="L3107" s="0" t="s">
        <v>2582</v>
      </c>
      <c r="N3107" s="0" t="n">
        <v>3.7</v>
      </c>
      <c r="O3107" s="0" t="n">
        <v>87.48</v>
      </c>
      <c r="P3107" s="0" t="s">
        <v>2444</v>
      </c>
    </row>
    <row r="3108" customFormat="false" ht="15" hidden="false" customHeight="true" outlineLevel="0" collapsed="false">
      <c r="A3108" s="0" t="n">
        <v>2</v>
      </c>
      <c r="B3108" s="71" t="n">
        <v>46211</v>
      </c>
      <c r="C3108" s="0" t="n">
        <v>100</v>
      </c>
      <c r="D3108" s="0" t="s">
        <v>2499</v>
      </c>
      <c r="E3108" s="0" t="n">
        <v>48</v>
      </c>
      <c r="F3108" s="0" t="s">
        <v>153</v>
      </c>
      <c r="I3108" s="0" t="n">
        <v>1370830</v>
      </c>
      <c r="J3108" s="0" t="n">
        <v>100007</v>
      </c>
      <c r="K3108" s="0" t="n">
        <v>8</v>
      </c>
      <c r="L3108" s="0" t="s">
        <v>2486</v>
      </c>
      <c r="N3108" s="0" t="n">
        <v>3.4</v>
      </c>
      <c r="O3108" s="0" t="n">
        <v>80.39</v>
      </c>
      <c r="P3108" s="0" t="s">
        <v>2444</v>
      </c>
    </row>
    <row r="3109" customFormat="false" ht="15" hidden="false" customHeight="true" outlineLevel="0" collapsed="false">
      <c r="A3109" s="0" t="n">
        <v>2</v>
      </c>
      <c r="B3109" s="71" t="n">
        <v>46211</v>
      </c>
      <c r="C3109" s="0" t="n">
        <v>100</v>
      </c>
      <c r="D3109" s="0" t="s">
        <v>2499</v>
      </c>
      <c r="E3109" s="0" t="n">
        <v>48</v>
      </c>
      <c r="F3109" s="0" t="s">
        <v>153</v>
      </c>
      <c r="I3109" s="0" t="n">
        <v>1370830</v>
      </c>
      <c r="J3109" s="0" t="n">
        <v>100019</v>
      </c>
      <c r="K3109" s="0" t="n">
        <v>20</v>
      </c>
      <c r="L3109" s="0" t="s">
        <v>3779</v>
      </c>
      <c r="N3109" s="0" t="n">
        <v>2.4</v>
      </c>
      <c r="O3109" s="0" t="n">
        <v>79.45</v>
      </c>
      <c r="P3109" s="0" t="s">
        <v>2444</v>
      </c>
    </row>
    <row r="3110" customFormat="false" ht="15" hidden="false" customHeight="true" outlineLevel="0" collapsed="false">
      <c r="A3110" s="0" t="n">
        <v>2</v>
      </c>
      <c r="B3110" s="71" t="n">
        <v>46211</v>
      </c>
      <c r="C3110" s="0" t="n">
        <v>100</v>
      </c>
      <c r="D3110" s="0" t="s">
        <v>2499</v>
      </c>
      <c r="E3110" s="0" t="n">
        <v>48</v>
      </c>
      <c r="F3110" s="0" t="s">
        <v>153</v>
      </c>
      <c r="I3110" s="0" t="n">
        <v>1370830</v>
      </c>
      <c r="J3110" s="0" t="n">
        <v>100638</v>
      </c>
      <c r="K3110" s="0" t="n">
        <v>508</v>
      </c>
      <c r="L3110" s="0" t="s">
        <v>2496</v>
      </c>
      <c r="N3110" s="0" t="n">
        <v>0.95</v>
      </c>
      <c r="O3110" s="0" t="n">
        <v>2.24</v>
      </c>
      <c r="P3110" s="0" t="s">
        <v>2444</v>
      </c>
    </row>
    <row r="3111" customFormat="false" ht="15" hidden="false" customHeight="true" outlineLevel="0" collapsed="false">
      <c r="A3111" s="0" t="n">
        <v>2</v>
      </c>
      <c r="B3111" s="71" t="n">
        <v>46211</v>
      </c>
      <c r="C3111" s="0" t="n">
        <v>100</v>
      </c>
      <c r="D3111" s="0" t="s">
        <v>2499</v>
      </c>
      <c r="E3111" s="0" t="n">
        <v>48</v>
      </c>
      <c r="F3111" s="0" t="s">
        <v>153</v>
      </c>
      <c r="I3111" s="0" t="n">
        <v>1370830</v>
      </c>
      <c r="J3111" s="0" t="n">
        <v>110137</v>
      </c>
      <c r="K3111" s="0" t="n">
        <v>13899</v>
      </c>
      <c r="L3111" s="0" t="s">
        <v>3780</v>
      </c>
      <c r="N3111" s="0" t="n">
        <v>1.1</v>
      </c>
      <c r="O3111" s="0" t="n">
        <v>4.33</v>
      </c>
      <c r="P3111" s="0" t="s">
        <v>2444</v>
      </c>
    </row>
    <row r="3112" customFormat="false" ht="15" hidden="false" customHeight="true" outlineLevel="0" collapsed="false">
      <c r="A3112" s="0" t="n">
        <v>2</v>
      </c>
      <c r="B3112" s="71" t="n">
        <v>46211</v>
      </c>
      <c r="C3112" s="0" t="n">
        <v>100</v>
      </c>
      <c r="D3112" s="0" t="s">
        <v>2499</v>
      </c>
      <c r="E3112" s="0" t="n">
        <v>48</v>
      </c>
      <c r="F3112" s="0" t="s">
        <v>153</v>
      </c>
      <c r="I3112" s="0" t="n">
        <v>1370830</v>
      </c>
      <c r="J3112" s="0" t="n">
        <v>110455</v>
      </c>
      <c r="K3112" s="0" t="n">
        <v>53212</v>
      </c>
      <c r="L3112" s="0" t="s">
        <v>2498</v>
      </c>
      <c r="N3112" s="0" t="n">
        <v>0.7</v>
      </c>
      <c r="O3112" s="0" t="n">
        <v>0</v>
      </c>
      <c r="P3112" s="0" t="s">
        <v>2444</v>
      </c>
    </row>
    <row r="3113" customFormat="false" ht="15" hidden="false" customHeight="true" outlineLevel="0" collapsed="false">
      <c r="A3113" s="0" t="n">
        <v>2</v>
      </c>
      <c r="B3113" s="71" t="n">
        <v>46212</v>
      </c>
      <c r="C3113" s="0" t="n">
        <v>1</v>
      </c>
      <c r="D3113" s="0" t="s">
        <v>2442</v>
      </c>
      <c r="E3113" s="0" t="n">
        <v>10018</v>
      </c>
      <c r="F3113" s="0" t="s">
        <v>216</v>
      </c>
      <c r="I3113" s="0" t="n">
        <v>331</v>
      </c>
      <c r="J3113" s="0" t="n">
        <v>100933</v>
      </c>
      <c r="K3113" s="0" t="n">
        <v>7896982100059</v>
      </c>
      <c r="L3113" s="0" t="s">
        <v>2500</v>
      </c>
      <c r="N3113" s="0" t="n">
        <v>1800</v>
      </c>
      <c r="O3113" s="0" t="n">
        <v>915</v>
      </c>
      <c r="P3113" s="0" t="s">
        <v>2444</v>
      </c>
    </row>
    <row r="3114" customFormat="false" ht="15" hidden="false" customHeight="true" outlineLevel="0" collapsed="false">
      <c r="A3114" s="0" t="n">
        <v>2</v>
      </c>
      <c r="B3114" s="71" t="n">
        <v>46212</v>
      </c>
      <c r="C3114" s="0" t="n">
        <v>1</v>
      </c>
      <c r="D3114" s="0" t="s">
        <v>2442</v>
      </c>
      <c r="E3114" s="0" t="n">
        <v>581</v>
      </c>
      <c r="F3114" s="0" t="s">
        <v>147</v>
      </c>
      <c r="I3114" s="0" t="n">
        <v>31344</v>
      </c>
      <c r="J3114" s="0" t="n">
        <v>48008</v>
      </c>
      <c r="K3114" s="0" t="n">
        <v>798190027999</v>
      </c>
      <c r="L3114" s="0" t="s">
        <v>2579</v>
      </c>
      <c r="N3114" s="0" t="n">
        <v>20</v>
      </c>
      <c r="O3114" s="0" t="n">
        <v>130</v>
      </c>
      <c r="P3114" s="0" t="s">
        <v>2444</v>
      </c>
    </row>
    <row r="3115" customFormat="false" ht="15" hidden="false" customHeight="true" outlineLevel="0" collapsed="false">
      <c r="A3115" s="0" t="n">
        <v>2</v>
      </c>
      <c r="B3115" s="71" t="n">
        <v>46212</v>
      </c>
      <c r="C3115" s="0" t="n">
        <v>1</v>
      </c>
      <c r="D3115" s="0" t="s">
        <v>2442</v>
      </c>
      <c r="E3115" s="0" t="n">
        <v>581</v>
      </c>
      <c r="F3115" s="0" t="s">
        <v>147</v>
      </c>
      <c r="I3115" s="0" t="n">
        <v>31344</v>
      </c>
      <c r="J3115" s="0" t="n">
        <v>48009</v>
      </c>
      <c r="K3115" s="0" t="n">
        <v>798190028002</v>
      </c>
      <c r="L3115" s="0" t="s">
        <v>2580</v>
      </c>
      <c r="N3115" s="0" t="n">
        <v>20</v>
      </c>
      <c r="O3115" s="0" t="n">
        <v>69</v>
      </c>
      <c r="P3115" s="0" t="s">
        <v>2444</v>
      </c>
    </row>
    <row r="3116" customFormat="false" ht="15" hidden="false" customHeight="true" outlineLevel="0" collapsed="false">
      <c r="A3116" s="0" t="n">
        <v>2</v>
      </c>
      <c r="B3116" s="71" t="n">
        <v>46212</v>
      </c>
      <c r="C3116" s="0" t="n">
        <v>1</v>
      </c>
      <c r="D3116" s="0" t="s">
        <v>2442</v>
      </c>
      <c r="E3116" s="0" t="n">
        <v>581</v>
      </c>
      <c r="F3116" s="0" t="s">
        <v>147</v>
      </c>
      <c r="I3116" s="0" t="n">
        <v>31344</v>
      </c>
      <c r="J3116" s="0" t="n">
        <v>48380</v>
      </c>
      <c r="K3116" s="0" t="n">
        <v>798190189116</v>
      </c>
      <c r="L3116" s="0" t="s">
        <v>2946</v>
      </c>
      <c r="N3116" s="0" t="n">
        <v>20</v>
      </c>
      <c r="O3116" s="0" t="n">
        <v>130</v>
      </c>
      <c r="P3116" s="0" t="s">
        <v>2444</v>
      </c>
    </row>
    <row r="3117" customFormat="false" ht="15" hidden="false" customHeight="true" outlineLevel="0" collapsed="false">
      <c r="A3117" s="0" t="n">
        <v>2</v>
      </c>
      <c r="B3117" s="71" t="n">
        <v>46212</v>
      </c>
      <c r="C3117" s="0" t="n">
        <v>1</v>
      </c>
      <c r="D3117" s="0" t="s">
        <v>2442</v>
      </c>
      <c r="E3117" s="0" t="n">
        <v>754</v>
      </c>
      <c r="F3117" s="0" t="s">
        <v>162</v>
      </c>
      <c r="I3117" s="0" t="n">
        <v>31703</v>
      </c>
      <c r="J3117" s="0" t="n">
        <v>29079</v>
      </c>
      <c r="K3117" s="0" t="n">
        <v>55515</v>
      </c>
      <c r="L3117" s="0" t="s">
        <v>2449</v>
      </c>
      <c r="N3117" s="0" t="n">
        <v>82.1</v>
      </c>
      <c r="O3117" s="0" t="n">
        <v>2052.5</v>
      </c>
      <c r="P3117" s="0" t="s">
        <v>2444</v>
      </c>
    </row>
    <row r="3118" customFormat="false" ht="15" hidden="false" customHeight="true" outlineLevel="0" collapsed="false">
      <c r="A3118" s="0" t="n">
        <v>2</v>
      </c>
      <c r="B3118" s="71" t="n">
        <v>46212</v>
      </c>
      <c r="C3118" s="0" t="n">
        <v>1</v>
      </c>
      <c r="D3118" s="0" t="s">
        <v>2442</v>
      </c>
      <c r="E3118" s="0" t="n">
        <v>754</v>
      </c>
      <c r="F3118" s="0" t="s">
        <v>162</v>
      </c>
      <c r="I3118" s="0" t="n">
        <v>31703</v>
      </c>
      <c r="J3118" s="0" t="n">
        <v>29080</v>
      </c>
      <c r="K3118" s="0" t="n">
        <v>55516</v>
      </c>
      <c r="L3118" s="0" t="s">
        <v>2450</v>
      </c>
      <c r="N3118" s="0" t="n">
        <v>63.5</v>
      </c>
      <c r="O3118" s="0" t="n">
        <v>1587.5</v>
      </c>
      <c r="P3118" s="0" t="s">
        <v>2444</v>
      </c>
    </row>
    <row r="3119" customFormat="false" ht="15" hidden="false" customHeight="true" outlineLevel="0" collapsed="false">
      <c r="A3119" s="0" t="n">
        <v>2</v>
      </c>
      <c r="B3119" s="71" t="n">
        <v>46212</v>
      </c>
      <c r="C3119" s="0" t="n">
        <v>1</v>
      </c>
      <c r="D3119" s="0" t="s">
        <v>2442</v>
      </c>
      <c r="E3119" s="0" t="n">
        <v>911</v>
      </c>
      <c r="F3119" s="0" t="s">
        <v>487</v>
      </c>
      <c r="I3119" s="0" t="n">
        <v>53410</v>
      </c>
      <c r="J3119" s="0" t="n">
        <v>102391</v>
      </c>
      <c r="K3119" s="0" t="n">
        <v>95188790348</v>
      </c>
      <c r="L3119" s="0" t="s">
        <v>3925</v>
      </c>
      <c r="N3119" s="0" t="n">
        <v>12</v>
      </c>
      <c r="O3119" s="0" t="n">
        <v>90</v>
      </c>
      <c r="P3119" s="0" t="s">
        <v>2444</v>
      </c>
    </row>
    <row r="3120" customFormat="false" ht="15" hidden="false" customHeight="true" outlineLevel="0" collapsed="false">
      <c r="A3120" s="0" t="n">
        <v>2</v>
      </c>
      <c r="B3120" s="71" t="n">
        <v>46212</v>
      </c>
      <c r="C3120" s="0" t="n">
        <v>1</v>
      </c>
      <c r="D3120" s="0" t="s">
        <v>2442</v>
      </c>
      <c r="E3120" s="0" t="n">
        <v>911</v>
      </c>
      <c r="F3120" s="0" t="s">
        <v>487</v>
      </c>
      <c r="I3120" s="0" t="n">
        <v>53410</v>
      </c>
      <c r="J3120" s="0" t="n">
        <v>62654</v>
      </c>
      <c r="K3120" s="0" t="n">
        <v>95188872501</v>
      </c>
      <c r="L3120" s="0" t="s">
        <v>3030</v>
      </c>
      <c r="N3120" s="0" t="n">
        <v>24</v>
      </c>
      <c r="O3120" s="0" t="n">
        <v>75.6</v>
      </c>
      <c r="P3120" s="0" t="s">
        <v>2444</v>
      </c>
    </row>
    <row r="3121" customFormat="false" ht="15" hidden="false" customHeight="true" outlineLevel="0" collapsed="false">
      <c r="A3121" s="0" t="n">
        <v>2</v>
      </c>
      <c r="B3121" s="71" t="n">
        <v>46212</v>
      </c>
      <c r="C3121" s="0" t="n">
        <v>1</v>
      </c>
      <c r="D3121" s="0" t="s">
        <v>2442</v>
      </c>
      <c r="E3121" s="0" t="n">
        <v>911</v>
      </c>
      <c r="F3121" s="0" t="s">
        <v>487</v>
      </c>
      <c r="I3121" s="0" t="n">
        <v>53410</v>
      </c>
      <c r="J3121" s="0" t="n">
        <v>63644</v>
      </c>
      <c r="K3121" s="0" t="n">
        <v>95188870507</v>
      </c>
      <c r="L3121" s="0" t="s">
        <v>3926</v>
      </c>
      <c r="N3121" s="0" t="n">
        <v>12</v>
      </c>
      <c r="O3121" s="0" t="n">
        <v>119.88</v>
      </c>
      <c r="P3121" s="0" t="s">
        <v>2444</v>
      </c>
    </row>
    <row r="3122" customFormat="false" ht="15" hidden="false" customHeight="true" outlineLevel="0" collapsed="false">
      <c r="A3122" s="0" t="n">
        <v>2</v>
      </c>
      <c r="B3122" s="71" t="n">
        <v>46212</v>
      </c>
      <c r="C3122" s="0" t="n">
        <v>1</v>
      </c>
      <c r="D3122" s="0" t="s">
        <v>2442</v>
      </c>
      <c r="E3122" s="0" t="n">
        <v>911</v>
      </c>
      <c r="F3122" s="0" t="s">
        <v>487</v>
      </c>
      <c r="I3122" s="0" t="n">
        <v>53410</v>
      </c>
      <c r="J3122" s="0" t="n">
        <v>71186</v>
      </c>
      <c r="K3122" s="0" t="n">
        <v>7898007222142</v>
      </c>
      <c r="L3122" s="0" t="s">
        <v>3927</v>
      </c>
      <c r="N3122" s="0" t="n">
        <v>12</v>
      </c>
      <c r="O3122" s="0" t="n">
        <v>30.6</v>
      </c>
      <c r="P3122" s="0" t="s">
        <v>2444</v>
      </c>
    </row>
    <row r="3123" customFormat="false" ht="15" hidden="false" customHeight="true" outlineLevel="0" collapsed="false">
      <c r="A3123" s="0" t="n">
        <v>2</v>
      </c>
      <c r="B3123" s="71" t="n">
        <v>46212</v>
      </c>
      <c r="C3123" s="0" t="n">
        <v>1</v>
      </c>
      <c r="D3123" s="0" t="s">
        <v>2442</v>
      </c>
      <c r="E3123" s="0" t="n">
        <v>1718</v>
      </c>
      <c r="F3123" s="0" t="s">
        <v>236</v>
      </c>
      <c r="I3123" s="0" t="n">
        <v>681127</v>
      </c>
      <c r="J3123" s="0" t="n">
        <v>24047</v>
      </c>
      <c r="K3123" s="0" t="n">
        <v>7622300989316</v>
      </c>
      <c r="L3123" s="0" t="s">
        <v>3928</v>
      </c>
      <c r="N3123" s="0" t="n">
        <v>35</v>
      </c>
      <c r="O3123" s="0" t="n">
        <v>190.75</v>
      </c>
      <c r="P3123" s="0" t="s">
        <v>2444</v>
      </c>
    </row>
    <row r="3124" customFormat="false" ht="15" hidden="false" customHeight="true" outlineLevel="0" collapsed="false">
      <c r="A3124" s="0" t="n">
        <v>2</v>
      </c>
      <c r="B3124" s="71" t="n">
        <v>46212</v>
      </c>
      <c r="C3124" s="0" t="n">
        <v>1</v>
      </c>
      <c r="D3124" s="0" t="s">
        <v>2442</v>
      </c>
      <c r="E3124" s="0" t="n">
        <v>1718</v>
      </c>
      <c r="F3124" s="0" t="s">
        <v>236</v>
      </c>
      <c r="I3124" s="0" t="n">
        <v>681127</v>
      </c>
      <c r="J3124" s="0" t="n">
        <v>27639</v>
      </c>
      <c r="K3124" s="0" t="n">
        <v>7622210833389</v>
      </c>
      <c r="L3124" s="0" t="s">
        <v>3929</v>
      </c>
      <c r="N3124" s="0" t="n">
        <v>35</v>
      </c>
      <c r="O3124" s="0" t="n">
        <v>190.75</v>
      </c>
      <c r="P3124" s="0" t="s">
        <v>2444</v>
      </c>
    </row>
    <row r="3125" customFormat="false" ht="15" hidden="false" customHeight="true" outlineLevel="0" collapsed="false">
      <c r="A3125" s="0" t="n">
        <v>2</v>
      </c>
      <c r="B3125" s="71" t="n">
        <v>46212</v>
      </c>
      <c r="C3125" s="0" t="n">
        <v>1</v>
      </c>
      <c r="D3125" s="0" t="s">
        <v>2442</v>
      </c>
      <c r="E3125" s="0" t="n">
        <v>1718</v>
      </c>
      <c r="F3125" s="0" t="s">
        <v>236</v>
      </c>
      <c r="I3125" s="0" t="n">
        <v>681127</v>
      </c>
      <c r="J3125" s="0" t="n">
        <v>28595</v>
      </c>
      <c r="K3125" s="0" t="n">
        <v>78939318</v>
      </c>
      <c r="L3125" s="0" t="s">
        <v>3408</v>
      </c>
      <c r="N3125" s="0" t="n">
        <v>250</v>
      </c>
      <c r="O3125" s="0" t="n">
        <v>232.5</v>
      </c>
      <c r="P3125" s="0" t="s">
        <v>2444</v>
      </c>
    </row>
    <row r="3126" customFormat="false" ht="15" hidden="false" customHeight="true" outlineLevel="0" collapsed="false">
      <c r="A3126" s="0" t="n">
        <v>2</v>
      </c>
      <c r="B3126" s="71" t="n">
        <v>46212</v>
      </c>
      <c r="C3126" s="0" t="n">
        <v>1</v>
      </c>
      <c r="D3126" s="0" t="s">
        <v>2442</v>
      </c>
      <c r="E3126" s="0" t="n">
        <v>1718</v>
      </c>
      <c r="F3126" s="0" t="s">
        <v>236</v>
      </c>
      <c r="I3126" s="0" t="n">
        <v>681127</v>
      </c>
      <c r="J3126" s="0" t="n">
        <v>37772</v>
      </c>
      <c r="K3126" s="0" t="n">
        <v>78939301</v>
      </c>
      <c r="L3126" s="0" t="s">
        <v>3417</v>
      </c>
      <c r="N3126" s="0" t="n">
        <v>250</v>
      </c>
      <c r="O3126" s="0" t="n">
        <v>232.5</v>
      </c>
      <c r="P3126" s="0" t="s">
        <v>2444</v>
      </c>
    </row>
    <row r="3127" customFormat="false" ht="15" hidden="false" customHeight="true" outlineLevel="0" collapsed="false">
      <c r="A3127" s="0" t="n">
        <v>2</v>
      </c>
      <c r="B3127" s="71" t="n">
        <v>46212</v>
      </c>
      <c r="C3127" s="0" t="n">
        <v>1</v>
      </c>
      <c r="D3127" s="0" t="s">
        <v>2442</v>
      </c>
      <c r="E3127" s="0" t="n">
        <v>1718</v>
      </c>
      <c r="F3127" s="0" t="s">
        <v>236</v>
      </c>
      <c r="I3127" s="0" t="n">
        <v>681127</v>
      </c>
      <c r="J3127" s="0" t="n">
        <v>60555</v>
      </c>
      <c r="K3127" s="0" t="n">
        <v>7622210575999</v>
      </c>
      <c r="L3127" s="0" t="s">
        <v>3930</v>
      </c>
      <c r="N3127" s="0" t="n">
        <v>30</v>
      </c>
      <c r="O3127" s="0" t="n">
        <v>163.5</v>
      </c>
      <c r="P3127" s="0" t="s">
        <v>2444</v>
      </c>
    </row>
    <row r="3128" customFormat="false" ht="15" hidden="false" customHeight="true" outlineLevel="0" collapsed="false">
      <c r="A3128" s="0" t="n">
        <v>2</v>
      </c>
      <c r="B3128" s="71" t="n">
        <v>46212</v>
      </c>
      <c r="C3128" s="0" t="n">
        <v>1</v>
      </c>
      <c r="D3128" s="0" t="s">
        <v>2442</v>
      </c>
      <c r="E3128" s="0" t="n">
        <v>1718</v>
      </c>
      <c r="F3128" s="0" t="s">
        <v>236</v>
      </c>
      <c r="I3128" s="0" t="n">
        <v>681127</v>
      </c>
      <c r="J3128" s="0" t="n">
        <v>60942</v>
      </c>
      <c r="K3128" s="0" t="n">
        <v>7622210575975</v>
      </c>
      <c r="L3128" s="0" t="s">
        <v>3931</v>
      </c>
      <c r="N3128" s="0" t="n">
        <v>65</v>
      </c>
      <c r="O3128" s="0" t="n">
        <v>354.25</v>
      </c>
      <c r="P3128" s="0" t="s">
        <v>2444</v>
      </c>
    </row>
    <row r="3129" customFormat="false" ht="15" hidden="false" customHeight="true" outlineLevel="0" collapsed="false">
      <c r="A3129" s="0" t="n">
        <v>2</v>
      </c>
      <c r="B3129" s="71" t="n">
        <v>46212</v>
      </c>
      <c r="C3129" s="0" t="n">
        <v>1</v>
      </c>
      <c r="D3129" s="0" t="s">
        <v>2442</v>
      </c>
      <c r="E3129" s="0" t="n">
        <v>1718</v>
      </c>
      <c r="F3129" s="0" t="s">
        <v>236</v>
      </c>
      <c r="I3129" s="0" t="n">
        <v>681127</v>
      </c>
      <c r="J3129" s="0" t="n">
        <v>72332</v>
      </c>
      <c r="K3129" s="0" t="n">
        <v>7622210535016</v>
      </c>
      <c r="L3129" s="0" t="s">
        <v>3932</v>
      </c>
      <c r="N3129" s="0" t="n">
        <v>30</v>
      </c>
      <c r="O3129" s="0" t="n">
        <v>163.5</v>
      </c>
      <c r="P3129" s="0" t="s">
        <v>2444</v>
      </c>
    </row>
    <row r="3130" customFormat="false" ht="15" hidden="false" customHeight="true" outlineLevel="0" collapsed="false">
      <c r="A3130" s="0" t="n">
        <v>2</v>
      </c>
      <c r="B3130" s="71" t="n">
        <v>46212</v>
      </c>
      <c r="C3130" s="0" t="n">
        <v>1</v>
      </c>
      <c r="D3130" s="0" t="s">
        <v>2442</v>
      </c>
      <c r="E3130" s="0" t="n">
        <v>1601</v>
      </c>
      <c r="F3130" s="0" t="s">
        <v>193</v>
      </c>
      <c r="I3130" s="0" t="n">
        <v>851821</v>
      </c>
      <c r="J3130" s="0" t="n">
        <v>102290</v>
      </c>
      <c r="K3130" s="0" t="n">
        <v>7896593500019</v>
      </c>
      <c r="L3130" s="0" t="s">
        <v>2769</v>
      </c>
      <c r="N3130" s="0" t="n">
        <v>50</v>
      </c>
      <c r="O3130" s="0" t="n">
        <v>212.5</v>
      </c>
      <c r="P3130" s="0" t="s">
        <v>2444</v>
      </c>
    </row>
    <row r="3131" customFormat="false" ht="15" hidden="false" customHeight="true" outlineLevel="0" collapsed="false">
      <c r="A3131" s="0" t="n">
        <v>2</v>
      </c>
      <c r="B3131" s="71" t="n">
        <v>46212</v>
      </c>
      <c r="C3131" s="0" t="n">
        <v>1</v>
      </c>
      <c r="D3131" s="0" t="s">
        <v>2442</v>
      </c>
      <c r="E3131" s="0" t="n">
        <v>1601</v>
      </c>
      <c r="F3131" s="0" t="s">
        <v>193</v>
      </c>
      <c r="I3131" s="0" t="n">
        <v>851821</v>
      </c>
      <c r="J3131" s="0" t="n">
        <v>18478</v>
      </c>
      <c r="K3131" s="0" t="n">
        <v>7898943163011</v>
      </c>
      <c r="L3131" s="0" t="s">
        <v>3933</v>
      </c>
      <c r="N3131" s="0" t="n">
        <v>50</v>
      </c>
      <c r="O3131" s="0" t="n">
        <v>214.45</v>
      </c>
      <c r="P3131" s="0" t="s">
        <v>2444</v>
      </c>
    </row>
    <row r="3132" customFormat="false" ht="15" hidden="false" customHeight="true" outlineLevel="0" collapsed="false">
      <c r="A3132" s="0" t="n">
        <v>2</v>
      </c>
      <c r="B3132" s="71" t="n">
        <v>46212</v>
      </c>
      <c r="C3132" s="0" t="n">
        <v>1</v>
      </c>
      <c r="D3132" s="0" t="s">
        <v>2442</v>
      </c>
      <c r="E3132" s="0" t="n">
        <v>1705</v>
      </c>
      <c r="F3132" s="0" t="s">
        <v>130</v>
      </c>
      <c r="I3132" s="0" t="n">
        <v>1194626</v>
      </c>
      <c r="J3132" s="0" t="n">
        <v>104029</v>
      </c>
      <c r="K3132" s="0" t="n">
        <v>7896045512317</v>
      </c>
      <c r="L3132" s="0" t="s">
        <v>3256</v>
      </c>
      <c r="N3132" s="0" t="n">
        <v>240</v>
      </c>
      <c r="O3132" s="0" t="n">
        <v>659.34</v>
      </c>
      <c r="P3132" s="0" t="s">
        <v>2444</v>
      </c>
    </row>
    <row r="3133" customFormat="false" ht="15" hidden="false" customHeight="true" outlineLevel="0" collapsed="false">
      <c r="A3133" s="0" t="n">
        <v>2</v>
      </c>
      <c r="B3133" s="71" t="n">
        <v>46212</v>
      </c>
      <c r="C3133" s="0" t="n">
        <v>1</v>
      </c>
      <c r="D3133" s="0" t="s">
        <v>2442</v>
      </c>
      <c r="E3133" s="0" t="n">
        <v>1740</v>
      </c>
      <c r="F3133" s="0" t="s">
        <v>468</v>
      </c>
      <c r="I3133" s="0" t="n">
        <v>1245696</v>
      </c>
      <c r="J3133" s="0" t="n">
        <v>14219</v>
      </c>
      <c r="K3133" s="0" t="n">
        <v>7891000072950</v>
      </c>
      <c r="L3133" s="0" t="s">
        <v>2820</v>
      </c>
      <c r="N3133" s="0" t="n">
        <v>3</v>
      </c>
      <c r="O3133" s="0" t="n">
        <v>13.62</v>
      </c>
      <c r="P3133" s="0" t="s">
        <v>2444</v>
      </c>
    </row>
    <row r="3134" customFormat="false" ht="15" hidden="false" customHeight="true" outlineLevel="0" collapsed="false">
      <c r="A3134" s="0" t="n">
        <v>2</v>
      </c>
      <c r="B3134" s="71" t="n">
        <v>46212</v>
      </c>
      <c r="C3134" s="0" t="n">
        <v>1</v>
      </c>
      <c r="D3134" s="0" t="s">
        <v>2442</v>
      </c>
      <c r="E3134" s="0" t="n">
        <v>1740</v>
      </c>
      <c r="F3134" s="0" t="s">
        <v>468</v>
      </c>
      <c r="I3134" s="0" t="n">
        <v>1245696</v>
      </c>
      <c r="J3134" s="0" t="n">
        <v>16602</v>
      </c>
      <c r="K3134" s="0" t="n">
        <v>7891000084649</v>
      </c>
      <c r="L3134" s="0" t="s">
        <v>2821</v>
      </c>
      <c r="N3134" s="0" t="n">
        <v>2</v>
      </c>
      <c r="O3134" s="0" t="n">
        <v>21.98</v>
      </c>
      <c r="P3134" s="0" t="s">
        <v>2444</v>
      </c>
    </row>
    <row r="3135" customFormat="false" ht="15" hidden="false" customHeight="true" outlineLevel="0" collapsed="false">
      <c r="A3135" s="0" t="n">
        <v>2</v>
      </c>
      <c r="B3135" s="71" t="n">
        <v>46212</v>
      </c>
      <c r="C3135" s="0" t="n">
        <v>1</v>
      </c>
      <c r="D3135" s="0" t="s">
        <v>2442</v>
      </c>
      <c r="E3135" s="0" t="n">
        <v>1740</v>
      </c>
      <c r="F3135" s="0" t="s">
        <v>468</v>
      </c>
      <c r="I3135" s="0" t="n">
        <v>1245696</v>
      </c>
      <c r="J3135" s="0" t="n">
        <v>25112</v>
      </c>
      <c r="K3135" s="0" t="n">
        <v>7891000244425</v>
      </c>
      <c r="L3135" s="0" t="s">
        <v>2824</v>
      </c>
      <c r="N3135" s="0" t="n">
        <v>3</v>
      </c>
      <c r="O3135" s="0" t="n">
        <v>36.87</v>
      </c>
      <c r="P3135" s="0" t="s">
        <v>2444</v>
      </c>
    </row>
    <row r="3136" customFormat="false" ht="15" hidden="false" customHeight="true" outlineLevel="0" collapsed="false">
      <c r="A3136" s="0" t="n">
        <v>2</v>
      </c>
      <c r="B3136" s="71" t="n">
        <v>46212</v>
      </c>
      <c r="C3136" s="0" t="n">
        <v>1</v>
      </c>
      <c r="D3136" s="0" t="s">
        <v>2442</v>
      </c>
      <c r="E3136" s="0" t="n">
        <v>1740</v>
      </c>
      <c r="F3136" s="0" t="s">
        <v>468</v>
      </c>
      <c r="I3136" s="0" t="n">
        <v>1245696</v>
      </c>
      <c r="J3136" s="0" t="n">
        <v>25413</v>
      </c>
      <c r="K3136" s="0" t="n">
        <v>7891000241417</v>
      </c>
      <c r="L3136" s="0" t="s">
        <v>2825</v>
      </c>
      <c r="N3136" s="0" t="n">
        <v>2</v>
      </c>
      <c r="O3136" s="0" t="n">
        <v>24.58</v>
      </c>
      <c r="P3136" s="0" t="s">
        <v>2444</v>
      </c>
    </row>
    <row r="3137" customFormat="false" ht="15" hidden="false" customHeight="true" outlineLevel="0" collapsed="false">
      <c r="A3137" s="0" t="n">
        <v>2</v>
      </c>
      <c r="B3137" s="71" t="n">
        <v>46212</v>
      </c>
      <c r="C3137" s="0" t="n">
        <v>1</v>
      </c>
      <c r="D3137" s="0" t="s">
        <v>2442</v>
      </c>
      <c r="E3137" s="0" t="n">
        <v>1740</v>
      </c>
      <c r="F3137" s="0" t="s">
        <v>468</v>
      </c>
      <c r="I3137" s="0" t="n">
        <v>1245696</v>
      </c>
      <c r="J3137" s="0" t="n">
        <v>26803</v>
      </c>
      <c r="K3137" s="0" t="n">
        <v>7891000252833</v>
      </c>
      <c r="L3137" s="0" t="s">
        <v>3934</v>
      </c>
      <c r="N3137" s="0" t="n">
        <v>3</v>
      </c>
      <c r="O3137" s="0" t="n">
        <v>10.65</v>
      </c>
      <c r="P3137" s="0" t="s">
        <v>2444</v>
      </c>
    </row>
    <row r="3138" customFormat="false" ht="15" hidden="false" customHeight="true" outlineLevel="0" collapsed="false">
      <c r="A3138" s="0" t="n">
        <v>2</v>
      </c>
      <c r="B3138" s="71" t="n">
        <v>46212</v>
      </c>
      <c r="C3138" s="0" t="n">
        <v>1</v>
      </c>
      <c r="D3138" s="0" t="s">
        <v>2442</v>
      </c>
      <c r="E3138" s="0" t="n">
        <v>1740</v>
      </c>
      <c r="F3138" s="0" t="s">
        <v>468</v>
      </c>
      <c r="I3138" s="0" t="n">
        <v>1245696</v>
      </c>
      <c r="J3138" s="0" t="n">
        <v>27874</v>
      </c>
      <c r="K3138" s="0" t="n">
        <v>7891000260609</v>
      </c>
      <c r="L3138" s="0" t="s">
        <v>2827</v>
      </c>
      <c r="N3138" s="0" t="n">
        <v>5</v>
      </c>
      <c r="O3138" s="0" t="n">
        <v>17.75</v>
      </c>
      <c r="P3138" s="0" t="s">
        <v>2444</v>
      </c>
    </row>
    <row r="3139" customFormat="false" ht="15" hidden="false" customHeight="true" outlineLevel="0" collapsed="false">
      <c r="A3139" s="0" t="n">
        <v>2</v>
      </c>
      <c r="B3139" s="71" t="n">
        <v>46212</v>
      </c>
      <c r="C3139" s="0" t="n">
        <v>1</v>
      </c>
      <c r="D3139" s="0" t="s">
        <v>2442</v>
      </c>
      <c r="E3139" s="0" t="n">
        <v>1740</v>
      </c>
      <c r="F3139" s="0" t="s">
        <v>468</v>
      </c>
      <c r="I3139" s="0" t="n">
        <v>1245696</v>
      </c>
      <c r="J3139" s="0" t="n">
        <v>27878</v>
      </c>
      <c r="K3139" s="0" t="n">
        <v>7891000261026</v>
      </c>
      <c r="L3139" s="0" t="s">
        <v>2828</v>
      </c>
      <c r="N3139" s="0" t="n">
        <v>6</v>
      </c>
      <c r="O3139" s="0" t="n">
        <v>53.1</v>
      </c>
      <c r="P3139" s="0" t="s">
        <v>2444</v>
      </c>
    </row>
    <row r="3140" customFormat="false" ht="15" hidden="false" customHeight="true" outlineLevel="0" collapsed="false">
      <c r="A3140" s="0" t="n">
        <v>2</v>
      </c>
      <c r="B3140" s="71" t="n">
        <v>46212</v>
      </c>
      <c r="C3140" s="0" t="n">
        <v>1</v>
      </c>
      <c r="D3140" s="0" t="s">
        <v>2442</v>
      </c>
      <c r="E3140" s="0" t="n">
        <v>1740</v>
      </c>
      <c r="F3140" s="0" t="s">
        <v>468</v>
      </c>
      <c r="I3140" s="0" t="n">
        <v>1245696</v>
      </c>
      <c r="J3140" s="0" t="n">
        <v>27994</v>
      </c>
      <c r="K3140" s="0" t="n">
        <v>7891000261484</v>
      </c>
      <c r="L3140" s="0" t="s">
        <v>3935</v>
      </c>
      <c r="N3140" s="0" t="n">
        <v>3</v>
      </c>
      <c r="O3140" s="0" t="n">
        <v>10.65</v>
      </c>
      <c r="P3140" s="0" t="s">
        <v>2444</v>
      </c>
    </row>
    <row r="3141" customFormat="false" ht="15" hidden="false" customHeight="true" outlineLevel="0" collapsed="false">
      <c r="A3141" s="0" t="n">
        <v>2</v>
      </c>
      <c r="B3141" s="71" t="n">
        <v>46212</v>
      </c>
      <c r="C3141" s="0" t="n">
        <v>1</v>
      </c>
      <c r="D3141" s="0" t="s">
        <v>2442</v>
      </c>
      <c r="E3141" s="0" t="n">
        <v>1740</v>
      </c>
      <c r="F3141" s="0" t="s">
        <v>468</v>
      </c>
      <c r="I3141" s="0" t="n">
        <v>1245696</v>
      </c>
      <c r="J3141" s="0" t="n">
        <v>28388</v>
      </c>
      <c r="K3141" s="0" t="n">
        <v>7891000260166</v>
      </c>
      <c r="L3141" s="0" t="s">
        <v>2829</v>
      </c>
      <c r="N3141" s="0" t="n">
        <v>5</v>
      </c>
      <c r="O3141" s="0" t="n">
        <v>23.65</v>
      </c>
      <c r="P3141" s="0" t="s">
        <v>2444</v>
      </c>
    </row>
    <row r="3142" customFormat="false" ht="15" hidden="false" customHeight="true" outlineLevel="0" collapsed="false">
      <c r="A3142" s="0" t="n">
        <v>2</v>
      </c>
      <c r="B3142" s="71" t="n">
        <v>46212</v>
      </c>
      <c r="C3142" s="0" t="n">
        <v>1</v>
      </c>
      <c r="D3142" s="0" t="s">
        <v>2442</v>
      </c>
      <c r="E3142" s="0" t="n">
        <v>1740</v>
      </c>
      <c r="F3142" s="0" t="s">
        <v>468</v>
      </c>
      <c r="I3142" s="0" t="n">
        <v>1245696</v>
      </c>
      <c r="J3142" s="0" t="n">
        <v>38519</v>
      </c>
      <c r="K3142" s="0" t="n">
        <v>7891000261002</v>
      </c>
      <c r="L3142" s="0" t="s">
        <v>3936</v>
      </c>
      <c r="N3142" s="0" t="n">
        <v>2</v>
      </c>
      <c r="O3142" s="0" t="n">
        <v>27.96</v>
      </c>
      <c r="P3142" s="0" t="s">
        <v>2444</v>
      </c>
    </row>
    <row r="3143" customFormat="false" ht="15" hidden="false" customHeight="true" outlineLevel="0" collapsed="false">
      <c r="A3143" s="0" t="n">
        <v>2</v>
      </c>
      <c r="B3143" s="71" t="n">
        <v>46212</v>
      </c>
      <c r="C3143" s="0" t="n">
        <v>1</v>
      </c>
      <c r="D3143" s="0" t="s">
        <v>2442</v>
      </c>
      <c r="E3143" s="0" t="n">
        <v>1740</v>
      </c>
      <c r="F3143" s="0" t="s">
        <v>468</v>
      </c>
      <c r="I3143" s="0" t="n">
        <v>1245696</v>
      </c>
      <c r="J3143" s="0" t="n">
        <v>47789</v>
      </c>
      <c r="K3143" s="0" t="n">
        <v>7891000362037</v>
      </c>
      <c r="L3143" s="0" t="s">
        <v>2831</v>
      </c>
      <c r="N3143" s="0" t="n">
        <v>2</v>
      </c>
      <c r="O3143" s="0" t="n">
        <v>16.38</v>
      </c>
      <c r="P3143" s="0" t="s">
        <v>2444</v>
      </c>
    </row>
    <row r="3144" customFormat="false" ht="15" hidden="false" customHeight="true" outlineLevel="0" collapsed="false">
      <c r="A3144" s="0" t="n">
        <v>2</v>
      </c>
      <c r="B3144" s="71" t="n">
        <v>46212</v>
      </c>
      <c r="C3144" s="0" t="n">
        <v>1</v>
      </c>
      <c r="D3144" s="0" t="s">
        <v>2442</v>
      </c>
      <c r="E3144" s="0" t="n">
        <v>1740</v>
      </c>
      <c r="F3144" s="0" t="s">
        <v>468</v>
      </c>
      <c r="I3144" s="0" t="n">
        <v>1245696</v>
      </c>
      <c r="J3144" s="0" t="n">
        <v>47983</v>
      </c>
      <c r="K3144" s="0" t="n">
        <v>7891000360323</v>
      </c>
      <c r="L3144" s="0" t="s">
        <v>2832</v>
      </c>
      <c r="N3144" s="0" t="n">
        <v>3</v>
      </c>
      <c r="O3144" s="0" t="n">
        <v>24.87</v>
      </c>
      <c r="P3144" s="0" t="s">
        <v>2444</v>
      </c>
    </row>
    <row r="3145" customFormat="false" ht="15" hidden="false" customHeight="true" outlineLevel="0" collapsed="false">
      <c r="A3145" s="0" t="n">
        <v>2</v>
      </c>
      <c r="B3145" s="71" t="n">
        <v>46212</v>
      </c>
      <c r="C3145" s="0" t="n">
        <v>1</v>
      </c>
      <c r="D3145" s="0" t="s">
        <v>2442</v>
      </c>
      <c r="E3145" s="0" t="n">
        <v>1740</v>
      </c>
      <c r="F3145" s="0" t="s">
        <v>468</v>
      </c>
      <c r="I3145" s="0" t="n">
        <v>1245696</v>
      </c>
      <c r="J3145" s="0" t="n">
        <v>61680</v>
      </c>
      <c r="K3145" s="0" t="n">
        <v>7891000394632</v>
      </c>
      <c r="L3145" s="0" t="s">
        <v>2834</v>
      </c>
      <c r="N3145" s="0" t="n">
        <v>3</v>
      </c>
      <c r="O3145" s="0" t="n">
        <v>24.87</v>
      </c>
      <c r="P3145" s="0" t="s">
        <v>2444</v>
      </c>
    </row>
    <row r="3146" customFormat="false" ht="15" hidden="false" customHeight="true" outlineLevel="0" collapsed="false">
      <c r="A3146" s="0" t="n">
        <v>2</v>
      </c>
      <c r="B3146" s="71" t="n">
        <v>46212</v>
      </c>
      <c r="C3146" s="0" t="n">
        <v>1</v>
      </c>
      <c r="D3146" s="0" t="s">
        <v>2442</v>
      </c>
      <c r="E3146" s="0" t="n">
        <v>1740</v>
      </c>
      <c r="F3146" s="0" t="s">
        <v>468</v>
      </c>
      <c r="I3146" s="0" t="n">
        <v>1245696</v>
      </c>
      <c r="J3146" s="0" t="n">
        <v>62922</v>
      </c>
      <c r="K3146" s="0" t="n">
        <v>7891000260623</v>
      </c>
      <c r="L3146" s="0" t="s">
        <v>3937</v>
      </c>
      <c r="N3146" s="0" t="n">
        <v>2</v>
      </c>
      <c r="O3146" s="0" t="n">
        <v>28.42</v>
      </c>
      <c r="P3146" s="0" t="s">
        <v>2444</v>
      </c>
    </row>
    <row r="3147" customFormat="false" ht="15" hidden="false" customHeight="true" outlineLevel="0" collapsed="false">
      <c r="A3147" s="0" t="n">
        <v>2</v>
      </c>
      <c r="B3147" s="71" t="n">
        <v>46212</v>
      </c>
      <c r="C3147" s="0" t="n">
        <v>1</v>
      </c>
      <c r="D3147" s="0" t="s">
        <v>2442</v>
      </c>
      <c r="E3147" s="0" t="n">
        <v>1608</v>
      </c>
      <c r="F3147" s="0" t="s">
        <v>240</v>
      </c>
      <c r="I3147" s="0" t="n">
        <v>1688844</v>
      </c>
      <c r="J3147" s="0" t="n">
        <v>24832</v>
      </c>
      <c r="K3147" s="0" t="n">
        <v>7891025109891</v>
      </c>
      <c r="L3147" s="0" t="s">
        <v>2646</v>
      </c>
      <c r="N3147" s="0" t="n">
        <v>6</v>
      </c>
      <c r="O3147" s="0" t="n">
        <v>50.76</v>
      </c>
      <c r="P3147" s="0" t="s">
        <v>2444</v>
      </c>
    </row>
    <row r="3148" customFormat="false" ht="15" hidden="false" customHeight="true" outlineLevel="0" collapsed="false">
      <c r="A3148" s="0" t="n">
        <v>2</v>
      </c>
      <c r="B3148" s="71" t="n">
        <v>46212</v>
      </c>
      <c r="C3148" s="0" t="n">
        <v>1</v>
      </c>
      <c r="D3148" s="0" t="s">
        <v>2442</v>
      </c>
      <c r="E3148" s="0" t="n">
        <v>1608</v>
      </c>
      <c r="F3148" s="0" t="s">
        <v>240</v>
      </c>
      <c r="I3148" s="0" t="n">
        <v>1688844</v>
      </c>
      <c r="J3148" s="0" t="n">
        <v>31266</v>
      </c>
      <c r="K3148" s="0" t="n">
        <v>7899916900343</v>
      </c>
      <c r="L3148" s="0" t="s">
        <v>2649</v>
      </c>
      <c r="N3148" s="0" t="n">
        <v>3</v>
      </c>
      <c r="O3148" s="0" t="n">
        <v>17.79</v>
      </c>
      <c r="P3148" s="0" t="s">
        <v>2444</v>
      </c>
    </row>
    <row r="3149" customFormat="false" ht="15" hidden="false" customHeight="true" outlineLevel="0" collapsed="false">
      <c r="A3149" s="0" t="n">
        <v>2</v>
      </c>
      <c r="B3149" s="71" t="n">
        <v>46212</v>
      </c>
      <c r="C3149" s="0" t="n">
        <v>1</v>
      </c>
      <c r="D3149" s="0" t="s">
        <v>2442</v>
      </c>
      <c r="E3149" s="0" t="n">
        <v>1608</v>
      </c>
      <c r="F3149" s="0" t="s">
        <v>240</v>
      </c>
      <c r="I3149" s="0" t="n">
        <v>1688844</v>
      </c>
      <c r="J3149" s="0" t="n">
        <v>35359</v>
      </c>
      <c r="K3149" s="0" t="n">
        <v>7891025119869</v>
      </c>
      <c r="L3149" s="0" t="s">
        <v>2651</v>
      </c>
      <c r="N3149" s="0" t="n">
        <v>2</v>
      </c>
      <c r="O3149" s="0" t="n">
        <v>24.4</v>
      </c>
      <c r="P3149" s="0" t="s">
        <v>2444</v>
      </c>
    </row>
    <row r="3150" customFormat="false" ht="15" hidden="false" customHeight="true" outlineLevel="0" collapsed="false">
      <c r="A3150" s="0" t="n">
        <v>2</v>
      </c>
      <c r="B3150" s="71" t="n">
        <v>46212</v>
      </c>
      <c r="C3150" s="0" t="n">
        <v>1</v>
      </c>
      <c r="D3150" s="0" t="s">
        <v>2442</v>
      </c>
      <c r="E3150" s="0" t="n">
        <v>1608</v>
      </c>
      <c r="F3150" s="0" t="s">
        <v>240</v>
      </c>
      <c r="I3150" s="0" t="n">
        <v>1688844</v>
      </c>
      <c r="J3150" s="0" t="n">
        <v>35842</v>
      </c>
      <c r="K3150" s="0" t="n">
        <v>7891025120230</v>
      </c>
      <c r="L3150" s="0" t="s">
        <v>2522</v>
      </c>
      <c r="N3150" s="0" t="n">
        <v>6</v>
      </c>
      <c r="O3150" s="0" t="n">
        <v>21.48</v>
      </c>
      <c r="P3150" s="0" t="s">
        <v>2444</v>
      </c>
    </row>
    <row r="3151" customFormat="false" ht="15" hidden="false" customHeight="true" outlineLevel="0" collapsed="false">
      <c r="A3151" s="0" t="n">
        <v>2</v>
      </c>
      <c r="B3151" s="71" t="n">
        <v>46212</v>
      </c>
      <c r="C3151" s="0" t="n">
        <v>1</v>
      </c>
      <c r="D3151" s="0" t="s">
        <v>2442</v>
      </c>
      <c r="E3151" s="0" t="n">
        <v>1608</v>
      </c>
      <c r="F3151" s="0" t="s">
        <v>240</v>
      </c>
      <c r="I3151" s="0" t="n">
        <v>1688844</v>
      </c>
      <c r="J3151" s="0" t="n">
        <v>37558</v>
      </c>
      <c r="K3151" s="0" t="n">
        <v>7891025101376</v>
      </c>
      <c r="L3151" s="0" t="s">
        <v>2652</v>
      </c>
      <c r="N3151" s="0" t="n">
        <v>4</v>
      </c>
      <c r="O3151" s="0" t="n">
        <v>12.84</v>
      </c>
      <c r="P3151" s="0" t="s">
        <v>2444</v>
      </c>
    </row>
    <row r="3152" customFormat="false" ht="15" hidden="false" customHeight="true" outlineLevel="0" collapsed="false">
      <c r="A3152" s="0" t="n">
        <v>2</v>
      </c>
      <c r="B3152" s="71" t="n">
        <v>46212</v>
      </c>
      <c r="C3152" s="0" t="n">
        <v>1</v>
      </c>
      <c r="D3152" s="0" t="s">
        <v>2442</v>
      </c>
      <c r="E3152" s="0" t="n">
        <v>1608</v>
      </c>
      <c r="F3152" s="0" t="s">
        <v>240</v>
      </c>
      <c r="I3152" s="0" t="n">
        <v>1688844</v>
      </c>
      <c r="J3152" s="0" t="n">
        <v>37980</v>
      </c>
      <c r="K3152" s="0" t="n">
        <v>7891025121640</v>
      </c>
      <c r="L3152" s="0" t="s">
        <v>2989</v>
      </c>
      <c r="N3152" s="0" t="n">
        <v>2</v>
      </c>
      <c r="O3152" s="0" t="n">
        <v>14.72</v>
      </c>
      <c r="P3152" s="0" t="s">
        <v>2444</v>
      </c>
    </row>
    <row r="3153" customFormat="false" ht="15" hidden="false" customHeight="true" outlineLevel="0" collapsed="false">
      <c r="A3153" s="0" t="n">
        <v>2</v>
      </c>
      <c r="B3153" s="71" t="n">
        <v>46212</v>
      </c>
      <c r="C3153" s="0" t="n">
        <v>1</v>
      </c>
      <c r="D3153" s="0" t="s">
        <v>2442</v>
      </c>
      <c r="E3153" s="0" t="n">
        <v>1608</v>
      </c>
      <c r="F3153" s="0" t="s">
        <v>240</v>
      </c>
      <c r="I3153" s="0" t="n">
        <v>1688844</v>
      </c>
      <c r="J3153" s="0" t="n">
        <v>69613</v>
      </c>
      <c r="K3153" s="0" t="n">
        <v>7891025123460</v>
      </c>
      <c r="L3153" s="0" t="s">
        <v>2526</v>
      </c>
      <c r="N3153" s="0" t="n">
        <v>2</v>
      </c>
      <c r="O3153" s="0" t="n">
        <v>24.58</v>
      </c>
      <c r="P3153" s="0" t="s">
        <v>2444</v>
      </c>
    </row>
    <row r="3154" customFormat="false" ht="15" hidden="false" customHeight="true" outlineLevel="0" collapsed="false">
      <c r="A3154" s="0" t="n">
        <v>2</v>
      </c>
      <c r="B3154" s="71" t="n">
        <v>46212</v>
      </c>
      <c r="C3154" s="0" t="n">
        <v>1</v>
      </c>
      <c r="D3154" s="0" t="s">
        <v>2442</v>
      </c>
      <c r="E3154" s="0" t="n">
        <v>1608</v>
      </c>
      <c r="F3154" s="0" t="s">
        <v>240</v>
      </c>
      <c r="I3154" s="0" t="n">
        <v>1688844</v>
      </c>
      <c r="J3154" s="0" t="n">
        <v>80307</v>
      </c>
      <c r="K3154" s="0" t="n">
        <v>7891025125372</v>
      </c>
      <c r="L3154" s="0" t="s">
        <v>2992</v>
      </c>
      <c r="N3154" s="0" t="n">
        <v>2</v>
      </c>
      <c r="O3154" s="0" t="n">
        <v>30.8</v>
      </c>
      <c r="P3154" s="0" t="s">
        <v>2444</v>
      </c>
    </row>
    <row r="3155" customFormat="false" ht="15" hidden="false" customHeight="true" outlineLevel="0" collapsed="false">
      <c r="A3155" s="0" t="n">
        <v>2</v>
      </c>
      <c r="B3155" s="71" t="n">
        <v>46212</v>
      </c>
      <c r="C3155" s="0" t="n">
        <v>1</v>
      </c>
      <c r="D3155" s="0" t="s">
        <v>2442</v>
      </c>
      <c r="E3155" s="0" t="n">
        <v>1705</v>
      </c>
      <c r="F3155" s="0" t="s">
        <v>130</v>
      </c>
      <c r="I3155" s="0" t="n">
        <v>1926959</v>
      </c>
      <c r="J3155" s="0" t="n">
        <v>103161</v>
      </c>
      <c r="K3155" s="0" t="n">
        <v>7894900010015</v>
      </c>
      <c r="L3155" s="0" t="s">
        <v>2569</v>
      </c>
      <c r="N3155" s="0" t="n">
        <v>60</v>
      </c>
      <c r="O3155" s="0" t="n">
        <v>190.48</v>
      </c>
      <c r="P3155" s="0" t="s">
        <v>2444</v>
      </c>
    </row>
    <row r="3156" customFormat="false" ht="15" hidden="false" customHeight="true" outlineLevel="0" collapsed="false">
      <c r="A3156" s="0" t="n">
        <v>2</v>
      </c>
      <c r="B3156" s="71" t="n">
        <v>46212</v>
      </c>
      <c r="C3156" s="0" t="n">
        <v>1</v>
      </c>
      <c r="D3156" s="0" t="s">
        <v>2442</v>
      </c>
      <c r="E3156" s="0" t="n">
        <v>1612</v>
      </c>
      <c r="F3156" s="0" t="s">
        <v>74</v>
      </c>
      <c r="I3156" s="0" t="n">
        <v>2299703</v>
      </c>
      <c r="J3156" s="0" t="n">
        <v>100820</v>
      </c>
      <c r="K3156" s="0" t="n">
        <v>7896013100386</v>
      </c>
      <c r="L3156" s="0" t="s">
        <v>3456</v>
      </c>
      <c r="N3156" s="0" t="n">
        <v>180</v>
      </c>
      <c r="O3156" s="0" t="n">
        <v>415.53</v>
      </c>
      <c r="P3156" s="0" t="s">
        <v>2444</v>
      </c>
    </row>
    <row r="3157" customFormat="false" ht="15" hidden="false" customHeight="true" outlineLevel="0" collapsed="false">
      <c r="A3157" s="0" t="n">
        <v>2</v>
      </c>
      <c r="B3157" s="71" t="n">
        <v>46212</v>
      </c>
      <c r="C3157" s="0" t="n">
        <v>1</v>
      </c>
      <c r="D3157" s="0" t="s">
        <v>2442</v>
      </c>
      <c r="E3157" s="0" t="n">
        <v>1612</v>
      </c>
      <c r="F3157" s="0" t="s">
        <v>74</v>
      </c>
      <c r="I3157" s="0" t="n">
        <v>2299703</v>
      </c>
      <c r="J3157" s="0" t="n">
        <v>103839</v>
      </c>
      <c r="K3157" s="0" t="n">
        <v>7896013101055</v>
      </c>
      <c r="L3157" s="0" t="s">
        <v>3938</v>
      </c>
      <c r="N3157" s="0" t="n">
        <v>12</v>
      </c>
      <c r="O3157" s="0" t="n">
        <v>61.92</v>
      </c>
      <c r="P3157" s="0" t="s">
        <v>2444</v>
      </c>
    </row>
    <row r="3158" customFormat="false" ht="15" hidden="false" customHeight="true" outlineLevel="0" collapsed="false">
      <c r="A3158" s="0" t="n">
        <v>2</v>
      </c>
      <c r="B3158" s="71" t="n">
        <v>46212</v>
      </c>
      <c r="C3158" s="0" t="n">
        <v>1</v>
      </c>
      <c r="D3158" s="0" t="s">
        <v>2442</v>
      </c>
      <c r="E3158" s="0" t="n">
        <v>1612</v>
      </c>
      <c r="F3158" s="0" t="s">
        <v>74</v>
      </c>
      <c r="I3158" s="0" t="n">
        <v>2299703</v>
      </c>
      <c r="J3158" s="0" t="n">
        <v>103880</v>
      </c>
      <c r="K3158" s="0" t="n">
        <v>7896013104438</v>
      </c>
      <c r="L3158" s="0" t="s">
        <v>3939</v>
      </c>
      <c r="N3158" s="0" t="n">
        <v>12</v>
      </c>
      <c r="O3158" s="0" t="n">
        <v>31.86</v>
      </c>
      <c r="P3158" s="0" t="s">
        <v>2444</v>
      </c>
    </row>
    <row r="3159" customFormat="false" ht="15" hidden="false" customHeight="true" outlineLevel="0" collapsed="false">
      <c r="A3159" s="0" t="n">
        <v>2</v>
      </c>
      <c r="B3159" s="71" t="n">
        <v>46212</v>
      </c>
      <c r="C3159" s="0" t="n">
        <v>1</v>
      </c>
      <c r="D3159" s="0" t="s">
        <v>2442</v>
      </c>
      <c r="E3159" s="0" t="n">
        <v>1612</v>
      </c>
      <c r="F3159" s="0" t="s">
        <v>74</v>
      </c>
      <c r="I3159" s="0" t="n">
        <v>2299703</v>
      </c>
      <c r="J3159" s="0" t="n">
        <v>18969</v>
      </c>
      <c r="K3159" s="0" t="n">
        <v>7896013105626</v>
      </c>
      <c r="L3159" s="0" t="s">
        <v>3940</v>
      </c>
      <c r="N3159" s="0" t="n">
        <v>12</v>
      </c>
      <c r="O3159" s="0" t="n">
        <v>28.68</v>
      </c>
      <c r="P3159" s="0" t="s">
        <v>2444</v>
      </c>
    </row>
    <row r="3160" customFormat="false" ht="15" hidden="false" customHeight="true" outlineLevel="0" collapsed="false">
      <c r="A3160" s="0" t="n">
        <v>2</v>
      </c>
      <c r="B3160" s="71" t="n">
        <v>46212</v>
      </c>
      <c r="C3160" s="0" t="n">
        <v>1</v>
      </c>
      <c r="D3160" s="0" t="s">
        <v>2442</v>
      </c>
      <c r="E3160" s="0" t="n">
        <v>1612</v>
      </c>
      <c r="F3160" s="0" t="s">
        <v>74</v>
      </c>
      <c r="I3160" s="0" t="n">
        <v>2299703</v>
      </c>
      <c r="J3160" s="0" t="n">
        <v>21079</v>
      </c>
      <c r="K3160" s="0" t="n">
        <v>7896013106319</v>
      </c>
      <c r="L3160" s="0" t="s">
        <v>3941</v>
      </c>
      <c r="N3160" s="0" t="n">
        <v>12</v>
      </c>
      <c r="O3160" s="0" t="n">
        <v>53.58</v>
      </c>
      <c r="P3160" s="0" t="s">
        <v>2444</v>
      </c>
    </row>
    <row r="3161" customFormat="false" ht="15" hidden="false" customHeight="true" outlineLevel="0" collapsed="false">
      <c r="A3161" s="0" t="n">
        <v>2</v>
      </c>
      <c r="B3161" s="71" t="n">
        <v>46212</v>
      </c>
      <c r="C3161" s="0" t="n">
        <v>1</v>
      </c>
      <c r="D3161" s="0" t="s">
        <v>2442</v>
      </c>
      <c r="E3161" s="0" t="n">
        <v>1612</v>
      </c>
      <c r="F3161" s="0" t="s">
        <v>74</v>
      </c>
      <c r="I3161" s="0" t="n">
        <v>2299703</v>
      </c>
      <c r="J3161" s="0" t="n">
        <v>26690</v>
      </c>
      <c r="K3161" s="0" t="n">
        <v>7898409957970</v>
      </c>
      <c r="L3161" s="0" t="s">
        <v>3942</v>
      </c>
      <c r="N3161" s="0" t="n">
        <v>69</v>
      </c>
      <c r="O3161" s="0" t="n">
        <v>100.4</v>
      </c>
      <c r="P3161" s="0" t="s">
        <v>2444</v>
      </c>
    </row>
    <row r="3162" customFormat="false" ht="15" hidden="false" customHeight="true" outlineLevel="0" collapsed="false">
      <c r="A3162" s="0" t="n">
        <v>2</v>
      </c>
      <c r="B3162" s="71" t="n">
        <v>46212</v>
      </c>
      <c r="C3162" s="0" t="n">
        <v>1</v>
      </c>
      <c r="D3162" s="0" t="s">
        <v>2442</v>
      </c>
      <c r="E3162" s="0" t="n">
        <v>1612</v>
      </c>
      <c r="F3162" s="0" t="s">
        <v>74</v>
      </c>
      <c r="I3162" s="0" t="n">
        <v>2299703</v>
      </c>
      <c r="J3162" s="0" t="n">
        <v>29654</v>
      </c>
      <c r="K3162" s="0" t="n">
        <v>7896013107941</v>
      </c>
      <c r="L3162" s="0" t="s">
        <v>3943</v>
      </c>
      <c r="N3162" s="0" t="n">
        <v>24</v>
      </c>
      <c r="O3162" s="0" t="n">
        <v>52.8</v>
      </c>
      <c r="P3162" s="0" t="s">
        <v>2444</v>
      </c>
    </row>
    <row r="3163" customFormat="false" ht="15" hidden="false" customHeight="true" outlineLevel="0" collapsed="false">
      <c r="A3163" s="0" t="n">
        <v>2</v>
      </c>
      <c r="B3163" s="71" t="n">
        <v>46212</v>
      </c>
      <c r="C3163" s="0" t="n">
        <v>1</v>
      </c>
      <c r="D3163" s="0" t="s">
        <v>2442</v>
      </c>
      <c r="E3163" s="0" t="n">
        <v>1612</v>
      </c>
      <c r="F3163" s="0" t="s">
        <v>74</v>
      </c>
      <c r="I3163" s="0" t="n">
        <v>2299703</v>
      </c>
      <c r="J3163" s="0" t="n">
        <v>29655</v>
      </c>
      <c r="K3163" s="0" t="n">
        <v>7896013107897</v>
      </c>
      <c r="L3163" s="0" t="s">
        <v>3944</v>
      </c>
      <c r="N3163" s="0" t="n">
        <v>24</v>
      </c>
      <c r="O3163" s="0" t="n">
        <v>52.8</v>
      </c>
      <c r="P3163" s="0" t="s">
        <v>2444</v>
      </c>
    </row>
    <row r="3164" customFormat="false" ht="15" hidden="false" customHeight="true" outlineLevel="0" collapsed="false">
      <c r="A3164" s="0" t="n">
        <v>2</v>
      </c>
      <c r="B3164" s="71" t="n">
        <v>46212</v>
      </c>
      <c r="C3164" s="0" t="n">
        <v>1</v>
      </c>
      <c r="D3164" s="0" t="s">
        <v>2442</v>
      </c>
      <c r="E3164" s="0" t="n">
        <v>1612</v>
      </c>
      <c r="F3164" s="0" t="s">
        <v>74</v>
      </c>
      <c r="I3164" s="0" t="n">
        <v>2299703</v>
      </c>
      <c r="J3164" s="0" t="n">
        <v>29657</v>
      </c>
      <c r="K3164" s="0" t="n">
        <v>7896013107859</v>
      </c>
      <c r="L3164" s="0" t="s">
        <v>3945</v>
      </c>
      <c r="N3164" s="0" t="n">
        <v>24</v>
      </c>
      <c r="O3164" s="0" t="n">
        <v>52.8</v>
      </c>
      <c r="P3164" s="0" t="s">
        <v>2444</v>
      </c>
    </row>
    <row r="3165" customFormat="false" ht="15" hidden="false" customHeight="true" outlineLevel="0" collapsed="false">
      <c r="A3165" s="0" t="n">
        <v>2</v>
      </c>
      <c r="B3165" s="71" t="n">
        <v>46212</v>
      </c>
      <c r="C3165" s="0" t="n">
        <v>1</v>
      </c>
      <c r="D3165" s="0" t="s">
        <v>2442</v>
      </c>
      <c r="E3165" s="0" t="n">
        <v>1612</v>
      </c>
      <c r="F3165" s="0" t="s">
        <v>74</v>
      </c>
      <c r="I3165" s="0" t="n">
        <v>2299703</v>
      </c>
      <c r="J3165" s="0" t="n">
        <v>31796</v>
      </c>
      <c r="K3165" s="0" t="n">
        <v>7896013107927</v>
      </c>
      <c r="L3165" s="0" t="s">
        <v>3946</v>
      </c>
      <c r="N3165" s="0" t="n">
        <v>24</v>
      </c>
      <c r="O3165" s="0" t="n">
        <v>52.8</v>
      </c>
      <c r="P3165" s="0" t="s">
        <v>2444</v>
      </c>
    </row>
    <row r="3166" customFormat="false" ht="15" hidden="false" customHeight="true" outlineLevel="0" collapsed="false">
      <c r="A3166" s="0" t="n">
        <v>2</v>
      </c>
      <c r="B3166" s="71" t="n">
        <v>46212</v>
      </c>
      <c r="C3166" s="0" t="n">
        <v>1</v>
      </c>
      <c r="D3166" s="0" t="s">
        <v>2442</v>
      </c>
      <c r="E3166" s="0" t="n">
        <v>1612</v>
      </c>
      <c r="F3166" s="0" t="s">
        <v>74</v>
      </c>
      <c r="I3166" s="0" t="n">
        <v>2299703</v>
      </c>
      <c r="J3166" s="0" t="n">
        <v>32867</v>
      </c>
      <c r="K3166" s="0" t="n">
        <v>7896003737394</v>
      </c>
      <c r="L3166" s="0" t="s">
        <v>3947</v>
      </c>
      <c r="N3166" s="0" t="n">
        <v>16</v>
      </c>
      <c r="O3166" s="0" t="n">
        <v>57.76</v>
      </c>
      <c r="P3166" s="0" t="s">
        <v>2444</v>
      </c>
    </row>
    <row r="3167" customFormat="false" ht="15" hidden="false" customHeight="true" outlineLevel="0" collapsed="false">
      <c r="A3167" s="0" t="n">
        <v>2</v>
      </c>
      <c r="B3167" s="71" t="n">
        <v>46212</v>
      </c>
      <c r="C3167" s="0" t="n">
        <v>1</v>
      </c>
      <c r="D3167" s="0" t="s">
        <v>2442</v>
      </c>
      <c r="E3167" s="0" t="n">
        <v>1612</v>
      </c>
      <c r="F3167" s="0" t="s">
        <v>74</v>
      </c>
      <c r="I3167" s="0" t="n">
        <v>2299703</v>
      </c>
      <c r="J3167" s="0" t="n">
        <v>33987</v>
      </c>
      <c r="K3167" s="0" t="n">
        <v>7896003737400</v>
      </c>
      <c r="L3167" s="0" t="s">
        <v>3948</v>
      </c>
      <c r="N3167" s="0" t="n">
        <v>16</v>
      </c>
      <c r="O3167" s="0" t="n">
        <v>57.76</v>
      </c>
      <c r="P3167" s="0" t="s">
        <v>2444</v>
      </c>
    </row>
    <row r="3168" customFormat="false" ht="15" hidden="false" customHeight="true" outlineLevel="0" collapsed="false">
      <c r="A3168" s="0" t="n">
        <v>2</v>
      </c>
      <c r="B3168" s="71" t="n">
        <v>46212</v>
      </c>
      <c r="C3168" s="0" t="n">
        <v>1</v>
      </c>
      <c r="D3168" s="0" t="s">
        <v>2442</v>
      </c>
      <c r="E3168" s="0" t="n">
        <v>1612</v>
      </c>
      <c r="F3168" s="0" t="s">
        <v>74</v>
      </c>
      <c r="I3168" s="0" t="n">
        <v>2299703</v>
      </c>
      <c r="J3168" s="0" t="n">
        <v>34037</v>
      </c>
      <c r="K3168" s="0" t="n">
        <v>7896003737417</v>
      </c>
      <c r="L3168" s="0" t="s">
        <v>3949</v>
      </c>
      <c r="N3168" s="0" t="n">
        <v>16</v>
      </c>
      <c r="O3168" s="0" t="n">
        <v>57.76</v>
      </c>
      <c r="P3168" s="0" t="s">
        <v>2444</v>
      </c>
    </row>
    <row r="3169" customFormat="false" ht="15" hidden="false" customHeight="true" outlineLevel="0" collapsed="false">
      <c r="A3169" s="0" t="n">
        <v>2</v>
      </c>
      <c r="B3169" s="71" t="n">
        <v>46212</v>
      </c>
      <c r="C3169" s="0" t="n">
        <v>1</v>
      </c>
      <c r="D3169" s="0" t="s">
        <v>2442</v>
      </c>
      <c r="E3169" s="0" t="n">
        <v>1612</v>
      </c>
      <c r="F3169" s="0" t="s">
        <v>74</v>
      </c>
      <c r="I3169" s="0" t="n">
        <v>2299703</v>
      </c>
      <c r="J3169" s="0" t="n">
        <v>63797</v>
      </c>
      <c r="K3169" s="0" t="n">
        <v>7896003739381</v>
      </c>
      <c r="L3169" s="0" t="s">
        <v>3950</v>
      </c>
      <c r="N3169" s="0" t="n">
        <v>6</v>
      </c>
      <c r="O3169" s="0" t="n">
        <v>27.96</v>
      </c>
      <c r="P3169" s="0" t="s">
        <v>2444</v>
      </c>
    </row>
    <row r="3170" customFormat="false" ht="15" hidden="false" customHeight="true" outlineLevel="0" collapsed="false">
      <c r="A3170" s="0" t="n">
        <v>2</v>
      </c>
      <c r="B3170" s="71" t="n">
        <v>46212</v>
      </c>
      <c r="C3170" s="0" t="n">
        <v>1</v>
      </c>
      <c r="D3170" s="0" t="s">
        <v>2442</v>
      </c>
      <c r="E3170" s="0" t="n">
        <v>1612</v>
      </c>
      <c r="F3170" s="0" t="s">
        <v>74</v>
      </c>
      <c r="I3170" s="0" t="n">
        <v>2299703</v>
      </c>
      <c r="J3170" s="0" t="n">
        <v>64200</v>
      </c>
      <c r="K3170" s="0" t="n">
        <v>7896003739367</v>
      </c>
      <c r="L3170" s="0" t="s">
        <v>3951</v>
      </c>
      <c r="N3170" s="0" t="n">
        <v>6</v>
      </c>
      <c r="O3170" s="0" t="n">
        <v>27.96</v>
      </c>
      <c r="P3170" s="0" t="s">
        <v>2444</v>
      </c>
    </row>
    <row r="3171" customFormat="false" ht="15" hidden="false" customHeight="true" outlineLevel="0" collapsed="false">
      <c r="A3171" s="0" t="n">
        <v>2</v>
      </c>
      <c r="B3171" s="71" t="n">
        <v>46212</v>
      </c>
      <c r="C3171" s="0" t="n">
        <v>1</v>
      </c>
      <c r="D3171" s="0" t="s">
        <v>2442</v>
      </c>
      <c r="E3171" s="0" t="n">
        <v>1612</v>
      </c>
      <c r="F3171" s="0" t="s">
        <v>74</v>
      </c>
      <c r="I3171" s="0" t="n">
        <v>2299705</v>
      </c>
      <c r="J3171" s="0" t="n">
        <v>12865</v>
      </c>
      <c r="K3171" s="0" t="n">
        <v>611269101713</v>
      </c>
      <c r="L3171" s="0" t="s">
        <v>3952</v>
      </c>
      <c r="N3171" s="0" t="n">
        <v>12</v>
      </c>
      <c r="O3171" s="0" t="n">
        <v>100.32</v>
      </c>
      <c r="P3171" s="0" t="s">
        <v>2444</v>
      </c>
    </row>
    <row r="3172" customFormat="false" ht="15" hidden="false" customHeight="true" outlineLevel="0" collapsed="false">
      <c r="A3172" s="0" t="n">
        <v>2</v>
      </c>
      <c r="B3172" s="71" t="n">
        <v>46212</v>
      </c>
      <c r="C3172" s="0" t="n">
        <v>1</v>
      </c>
      <c r="D3172" s="0" t="s">
        <v>2442</v>
      </c>
      <c r="E3172" s="0" t="n">
        <v>1612</v>
      </c>
      <c r="F3172" s="0" t="s">
        <v>74</v>
      </c>
      <c r="I3172" s="0" t="n">
        <v>2299705</v>
      </c>
      <c r="J3172" s="0" t="n">
        <v>17734</v>
      </c>
      <c r="K3172" s="0" t="n">
        <v>7898024395232</v>
      </c>
      <c r="L3172" s="0" t="s">
        <v>3953</v>
      </c>
      <c r="N3172" s="0" t="n">
        <v>30</v>
      </c>
      <c r="O3172" s="0" t="n">
        <v>332.85</v>
      </c>
      <c r="P3172" s="0" t="s">
        <v>2444</v>
      </c>
    </row>
    <row r="3173" customFormat="false" ht="15" hidden="false" customHeight="true" outlineLevel="0" collapsed="false">
      <c r="A3173" s="0" t="n">
        <v>2</v>
      </c>
      <c r="B3173" s="71" t="n">
        <v>46212</v>
      </c>
      <c r="C3173" s="0" t="n">
        <v>1</v>
      </c>
      <c r="D3173" s="0" t="s">
        <v>2442</v>
      </c>
      <c r="E3173" s="0" t="n">
        <v>1612</v>
      </c>
      <c r="F3173" s="0" t="s">
        <v>74</v>
      </c>
      <c r="I3173" s="0" t="n">
        <v>2299705</v>
      </c>
      <c r="J3173" s="0" t="n">
        <v>28960</v>
      </c>
      <c r="K3173" s="0" t="n">
        <v>7898024397915</v>
      </c>
      <c r="L3173" s="0" t="s">
        <v>3954</v>
      </c>
      <c r="N3173" s="0" t="n">
        <v>36</v>
      </c>
      <c r="O3173" s="0" t="n">
        <v>134.51</v>
      </c>
      <c r="P3173" s="0" t="s">
        <v>2444</v>
      </c>
    </row>
    <row r="3174" customFormat="false" ht="15" hidden="false" customHeight="true" outlineLevel="0" collapsed="false">
      <c r="A3174" s="0" t="n">
        <v>2</v>
      </c>
      <c r="B3174" s="71" t="n">
        <v>46212</v>
      </c>
      <c r="C3174" s="0" t="n">
        <v>1</v>
      </c>
      <c r="D3174" s="0" t="s">
        <v>2442</v>
      </c>
      <c r="E3174" s="0" t="n">
        <v>1612</v>
      </c>
      <c r="F3174" s="0" t="s">
        <v>74</v>
      </c>
      <c r="I3174" s="0" t="n">
        <v>2299705</v>
      </c>
      <c r="J3174" s="0" t="n">
        <v>29067</v>
      </c>
      <c r="K3174" s="0" t="n">
        <v>78940734</v>
      </c>
      <c r="L3174" s="0" t="s">
        <v>3955</v>
      </c>
      <c r="N3174" s="0" t="n">
        <v>24</v>
      </c>
      <c r="O3174" s="0" t="n">
        <v>188.69</v>
      </c>
      <c r="P3174" s="0" t="s">
        <v>2444</v>
      </c>
    </row>
    <row r="3175" customFormat="false" ht="15" hidden="false" customHeight="true" outlineLevel="0" collapsed="false">
      <c r="A3175" s="0" t="n">
        <v>2</v>
      </c>
      <c r="B3175" s="71" t="n">
        <v>46212</v>
      </c>
      <c r="C3175" s="0" t="n">
        <v>1</v>
      </c>
      <c r="D3175" s="0" t="s">
        <v>2442</v>
      </c>
      <c r="E3175" s="0" t="n">
        <v>1612</v>
      </c>
      <c r="F3175" s="0" t="s">
        <v>74</v>
      </c>
      <c r="I3175" s="0" t="n">
        <v>2299705</v>
      </c>
      <c r="J3175" s="0" t="n">
        <v>29068</v>
      </c>
      <c r="K3175" s="0" t="n">
        <v>78940741</v>
      </c>
      <c r="L3175" s="0" t="s">
        <v>3956</v>
      </c>
      <c r="N3175" s="0" t="n">
        <v>24</v>
      </c>
      <c r="O3175" s="0" t="n">
        <v>132.08</v>
      </c>
      <c r="P3175" s="0" t="s">
        <v>2444</v>
      </c>
    </row>
    <row r="3176" customFormat="false" ht="15" hidden="false" customHeight="true" outlineLevel="0" collapsed="false">
      <c r="A3176" s="0" t="n">
        <v>2</v>
      </c>
      <c r="B3176" s="71" t="n">
        <v>46212</v>
      </c>
      <c r="C3176" s="0" t="n">
        <v>1</v>
      </c>
      <c r="D3176" s="0" t="s">
        <v>2442</v>
      </c>
      <c r="E3176" s="0" t="n">
        <v>1612</v>
      </c>
      <c r="F3176" s="0" t="s">
        <v>74</v>
      </c>
      <c r="I3176" s="0" t="n">
        <v>2299705</v>
      </c>
      <c r="J3176" s="0" t="n">
        <v>44317</v>
      </c>
      <c r="K3176" s="0" t="n">
        <v>78909434</v>
      </c>
      <c r="L3176" s="0" t="s">
        <v>3957</v>
      </c>
      <c r="N3176" s="0" t="n">
        <v>48</v>
      </c>
      <c r="O3176" s="0" t="n">
        <v>360.96</v>
      </c>
      <c r="P3176" s="0" t="s">
        <v>2444</v>
      </c>
    </row>
    <row r="3177" customFormat="false" ht="15" hidden="false" customHeight="true" outlineLevel="0" collapsed="false">
      <c r="A3177" s="0" t="n">
        <v>2</v>
      </c>
      <c r="B3177" s="71" t="n">
        <v>46212</v>
      </c>
      <c r="C3177" s="0" t="n">
        <v>1</v>
      </c>
      <c r="D3177" s="0" t="s">
        <v>2442</v>
      </c>
      <c r="E3177" s="0" t="n">
        <v>1612</v>
      </c>
      <c r="F3177" s="0" t="s">
        <v>74</v>
      </c>
      <c r="I3177" s="0" t="n">
        <v>2299705</v>
      </c>
      <c r="J3177" s="0" t="n">
        <v>75939</v>
      </c>
      <c r="K3177" s="0" t="n">
        <v>9002490275020</v>
      </c>
      <c r="L3177" s="0" t="s">
        <v>3958</v>
      </c>
      <c r="N3177" s="0" t="n">
        <v>4</v>
      </c>
      <c r="O3177" s="0" t="n">
        <v>33.44</v>
      </c>
      <c r="P3177" s="0" t="s">
        <v>2444</v>
      </c>
    </row>
    <row r="3178" customFormat="false" ht="15" hidden="false" customHeight="true" outlineLevel="0" collapsed="false">
      <c r="A3178" s="0" t="n">
        <v>2</v>
      </c>
      <c r="B3178" s="71" t="n">
        <v>46212</v>
      </c>
      <c r="C3178" s="0" t="n">
        <v>1</v>
      </c>
      <c r="D3178" s="0" t="s">
        <v>2442</v>
      </c>
      <c r="E3178" s="0" t="n">
        <v>1612</v>
      </c>
      <c r="F3178" s="0" t="s">
        <v>74</v>
      </c>
      <c r="I3178" s="0" t="n">
        <v>2299705</v>
      </c>
      <c r="J3178" s="0" t="n">
        <v>78209</v>
      </c>
      <c r="K3178" s="0" t="n">
        <v>611269991000</v>
      </c>
      <c r="L3178" s="0" t="s">
        <v>3959</v>
      </c>
      <c r="N3178" s="0" t="n">
        <v>72</v>
      </c>
      <c r="O3178" s="0" t="n">
        <v>601.92</v>
      </c>
      <c r="P3178" s="0" t="s">
        <v>2444</v>
      </c>
    </row>
    <row r="3179" customFormat="false" ht="15" hidden="false" customHeight="true" outlineLevel="0" collapsed="false">
      <c r="A3179" s="0" t="n">
        <v>2</v>
      </c>
      <c r="B3179" s="71" t="n">
        <v>46212</v>
      </c>
      <c r="C3179" s="0" t="n">
        <v>1</v>
      </c>
      <c r="D3179" s="0" t="s">
        <v>2442</v>
      </c>
      <c r="E3179" s="0" t="n">
        <v>1612</v>
      </c>
      <c r="F3179" s="0" t="s">
        <v>74</v>
      </c>
      <c r="I3179" s="0" t="n">
        <v>2299705</v>
      </c>
      <c r="J3179" s="0" t="n">
        <v>79743</v>
      </c>
      <c r="K3179" s="0" t="n">
        <v>9002490290450</v>
      </c>
      <c r="L3179" s="0" t="s">
        <v>3960</v>
      </c>
      <c r="N3179" s="0" t="n">
        <v>4</v>
      </c>
      <c r="O3179" s="0" t="n">
        <v>33.44</v>
      </c>
      <c r="P3179" s="0" t="s">
        <v>2444</v>
      </c>
    </row>
    <row r="3180" customFormat="false" ht="15" hidden="false" customHeight="true" outlineLevel="0" collapsed="false">
      <c r="A3180" s="0" t="n">
        <v>2</v>
      </c>
      <c r="B3180" s="71" t="n">
        <v>46212</v>
      </c>
      <c r="C3180" s="0" t="n">
        <v>1</v>
      </c>
      <c r="D3180" s="0" t="s">
        <v>2442</v>
      </c>
      <c r="E3180" s="0" t="n">
        <v>1612</v>
      </c>
      <c r="F3180" s="0" t="s">
        <v>74</v>
      </c>
      <c r="I3180" s="0" t="n">
        <v>2299705</v>
      </c>
      <c r="J3180" s="0" t="n">
        <v>79944</v>
      </c>
      <c r="K3180" s="0" t="n">
        <v>9002490280604</v>
      </c>
      <c r="L3180" s="0" t="s">
        <v>3961</v>
      </c>
      <c r="N3180" s="0" t="n">
        <v>4</v>
      </c>
      <c r="O3180" s="0" t="n">
        <v>57.6</v>
      </c>
      <c r="P3180" s="0" t="s">
        <v>2444</v>
      </c>
    </row>
    <row r="3181" customFormat="false" ht="15" hidden="false" customHeight="true" outlineLevel="0" collapsed="false">
      <c r="A3181" s="0" t="n">
        <v>2</v>
      </c>
      <c r="B3181" s="71" t="n">
        <v>46212</v>
      </c>
      <c r="C3181" s="0" t="n">
        <v>6</v>
      </c>
      <c r="D3181" s="0" t="s">
        <v>2553</v>
      </c>
      <c r="E3181" s="0" t="n">
        <v>48</v>
      </c>
      <c r="F3181" s="0" t="s">
        <v>153</v>
      </c>
      <c r="I3181" s="0" t="n">
        <v>2533</v>
      </c>
      <c r="J3181" s="0" t="n">
        <v>100007</v>
      </c>
      <c r="K3181" s="0" t="n">
        <v>8</v>
      </c>
      <c r="L3181" s="0" t="s">
        <v>2486</v>
      </c>
      <c r="N3181" s="0" t="n">
        <v>2.758</v>
      </c>
      <c r="O3181" s="0" t="n">
        <v>11.446</v>
      </c>
      <c r="P3181" s="0" t="s">
        <v>2444</v>
      </c>
    </row>
    <row r="3182" customFormat="false" ht="15" hidden="false" customHeight="true" outlineLevel="0" collapsed="false">
      <c r="A3182" s="0" t="n">
        <v>2</v>
      </c>
      <c r="B3182" s="71" t="n">
        <v>46212</v>
      </c>
      <c r="C3182" s="0" t="n">
        <v>6</v>
      </c>
      <c r="D3182" s="0" t="s">
        <v>2553</v>
      </c>
      <c r="E3182" s="0" t="n">
        <v>48</v>
      </c>
      <c r="F3182" s="0" t="s">
        <v>153</v>
      </c>
      <c r="I3182" s="0" t="n">
        <v>2533</v>
      </c>
      <c r="J3182" s="0" t="n">
        <v>100024</v>
      </c>
      <c r="K3182" s="0" t="n">
        <v>25</v>
      </c>
      <c r="L3182" s="0" t="s">
        <v>3345</v>
      </c>
      <c r="N3182" s="0" t="n">
        <v>19.905</v>
      </c>
      <c r="O3182" s="0" t="n">
        <v>82.606</v>
      </c>
      <c r="P3182" s="0" t="s">
        <v>2444</v>
      </c>
    </row>
    <row r="3183" customFormat="false" ht="15" hidden="false" customHeight="true" outlineLevel="0" collapsed="false">
      <c r="A3183" s="0" t="n">
        <v>2</v>
      </c>
      <c r="B3183" s="71" t="n">
        <v>46212</v>
      </c>
      <c r="C3183" s="0" t="n">
        <v>6</v>
      </c>
      <c r="D3183" s="0" t="s">
        <v>2553</v>
      </c>
      <c r="E3183" s="0" t="n">
        <v>48</v>
      </c>
      <c r="F3183" s="0" t="s">
        <v>153</v>
      </c>
      <c r="I3183" s="0" t="n">
        <v>2533</v>
      </c>
      <c r="J3183" s="0" t="n">
        <v>100025</v>
      </c>
      <c r="K3183" s="0" t="n">
        <v>26</v>
      </c>
      <c r="L3183" s="0" t="s">
        <v>3962</v>
      </c>
      <c r="N3183" s="0" t="n">
        <v>2.784</v>
      </c>
      <c r="O3183" s="0" t="n">
        <v>11.554</v>
      </c>
      <c r="P3183" s="0" t="s">
        <v>2444</v>
      </c>
    </row>
    <row r="3184" customFormat="false" ht="15" hidden="false" customHeight="true" outlineLevel="0" collapsed="false">
      <c r="A3184" s="0" t="n">
        <v>2</v>
      </c>
      <c r="B3184" s="71" t="n">
        <v>46212</v>
      </c>
      <c r="C3184" s="0" t="n">
        <v>6</v>
      </c>
      <c r="D3184" s="0" t="s">
        <v>2553</v>
      </c>
      <c r="E3184" s="0" t="n">
        <v>48</v>
      </c>
      <c r="F3184" s="0" t="s">
        <v>153</v>
      </c>
      <c r="I3184" s="0" t="n">
        <v>2533</v>
      </c>
      <c r="J3184" s="0" t="n">
        <v>100026</v>
      </c>
      <c r="K3184" s="0" t="n">
        <v>27</v>
      </c>
      <c r="L3184" s="0" t="s">
        <v>3963</v>
      </c>
      <c r="N3184" s="0" t="n">
        <v>2.916</v>
      </c>
      <c r="O3184" s="0" t="n">
        <v>12.101</v>
      </c>
      <c r="P3184" s="0" t="s">
        <v>2444</v>
      </c>
    </row>
    <row r="3185" customFormat="false" ht="15" hidden="false" customHeight="true" outlineLevel="0" collapsed="false">
      <c r="A3185" s="0" t="n">
        <v>2</v>
      </c>
      <c r="B3185" s="71" t="n">
        <v>46212</v>
      </c>
      <c r="C3185" s="0" t="n">
        <v>6</v>
      </c>
      <c r="D3185" s="0" t="s">
        <v>2553</v>
      </c>
      <c r="E3185" s="0" t="n">
        <v>48</v>
      </c>
      <c r="F3185" s="0" t="s">
        <v>153</v>
      </c>
      <c r="I3185" s="0" t="n">
        <v>2533</v>
      </c>
      <c r="J3185" s="0" t="n">
        <v>100027</v>
      </c>
      <c r="K3185" s="0" t="n">
        <v>28</v>
      </c>
      <c r="L3185" s="0" t="s">
        <v>3964</v>
      </c>
      <c r="N3185" s="0" t="n">
        <v>17.64</v>
      </c>
      <c r="O3185" s="0" t="n">
        <v>70.56</v>
      </c>
      <c r="P3185" s="0" t="s">
        <v>2444</v>
      </c>
    </row>
    <row r="3186" customFormat="false" ht="15" hidden="false" customHeight="true" outlineLevel="0" collapsed="false">
      <c r="A3186" s="0" t="n">
        <v>2</v>
      </c>
      <c r="B3186" s="71" t="n">
        <v>46212</v>
      </c>
      <c r="C3186" s="0" t="n">
        <v>6</v>
      </c>
      <c r="D3186" s="0" t="s">
        <v>2553</v>
      </c>
      <c r="E3186" s="0" t="n">
        <v>48</v>
      </c>
      <c r="F3186" s="0" t="s">
        <v>153</v>
      </c>
      <c r="I3186" s="0" t="n">
        <v>2533</v>
      </c>
      <c r="J3186" s="0" t="n">
        <v>100028</v>
      </c>
      <c r="K3186" s="0" t="n">
        <v>29</v>
      </c>
      <c r="L3186" s="0" t="s">
        <v>3965</v>
      </c>
      <c r="N3186" s="0" t="n">
        <v>19.86</v>
      </c>
      <c r="O3186" s="0" t="n">
        <v>79.44</v>
      </c>
      <c r="P3186" s="0" t="s">
        <v>2444</v>
      </c>
    </row>
    <row r="3187" customFormat="false" ht="15" hidden="false" customHeight="true" outlineLevel="0" collapsed="false">
      <c r="A3187" s="0" t="n">
        <v>2</v>
      </c>
      <c r="B3187" s="71" t="n">
        <v>46212</v>
      </c>
      <c r="C3187" s="0" t="n">
        <v>6</v>
      </c>
      <c r="D3187" s="0" t="s">
        <v>2553</v>
      </c>
      <c r="E3187" s="0" t="n">
        <v>48</v>
      </c>
      <c r="F3187" s="0" t="s">
        <v>153</v>
      </c>
      <c r="I3187" s="0" t="n">
        <v>2533</v>
      </c>
      <c r="J3187" s="0" t="n">
        <v>100638</v>
      </c>
      <c r="K3187" s="0" t="n">
        <v>508</v>
      </c>
      <c r="L3187" s="0" t="s">
        <v>2496</v>
      </c>
      <c r="N3187" s="0" t="n">
        <v>0.686</v>
      </c>
      <c r="O3187" s="0" t="n">
        <v>1.029</v>
      </c>
      <c r="P3187" s="0" t="s">
        <v>2444</v>
      </c>
    </row>
    <row r="3188" customFormat="false" ht="15" hidden="false" customHeight="true" outlineLevel="0" collapsed="false">
      <c r="A3188" s="0" t="n">
        <v>2</v>
      </c>
      <c r="B3188" s="71" t="n">
        <v>46212</v>
      </c>
      <c r="C3188" s="0" t="n">
        <v>6</v>
      </c>
      <c r="D3188" s="0" t="s">
        <v>2553</v>
      </c>
      <c r="E3188" s="0" t="n">
        <v>48</v>
      </c>
      <c r="F3188" s="0" t="s">
        <v>153</v>
      </c>
      <c r="I3188" s="0" t="n">
        <v>2533</v>
      </c>
      <c r="J3188" s="0" t="n">
        <v>110515</v>
      </c>
      <c r="K3188" s="0" t="n">
        <v>56821</v>
      </c>
      <c r="L3188" s="0" t="s">
        <v>3966</v>
      </c>
      <c r="N3188" s="0" t="n">
        <v>10.616</v>
      </c>
      <c r="O3188" s="0" t="n">
        <v>21.264</v>
      </c>
      <c r="P3188" s="0" t="s">
        <v>2444</v>
      </c>
    </row>
    <row r="3189" customFormat="false" ht="15" hidden="false" customHeight="true" outlineLevel="0" collapsed="false">
      <c r="A3189" s="0" t="n">
        <v>2</v>
      </c>
      <c r="B3189" s="71" t="n">
        <v>46212</v>
      </c>
      <c r="C3189" s="0" t="n">
        <v>6</v>
      </c>
      <c r="D3189" s="0" t="s">
        <v>2553</v>
      </c>
      <c r="E3189" s="0" t="n">
        <v>48</v>
      </c>
      <c r="F3189" s="0" t="s">
        <v>153</v>
      </c>
      <c r="I3189" s="0" t="n">
        <v>2535</v>
      </c>
      <c r="J3189" s="0" t="n">
        <v>42564</v>
      </c>
      <c r="K3189" s="0" t="n">
        <v>574</v>
      </c>
      <c r="L3189" s="0" t="s">
        <v>2534</v>
      </c>
      <c r="N3189" s="0" t="n">
        <v>15</v>
      </c>
      <c r="O3189" s="0" t="n">
        <v>210</v>
      </c>
      <c r="P3189" s="0" t="s">
        <v>2444</v>
      </c>
    </row>
    <row r="3190" customFormat="false" ht="15" hidden="false" customHeight="true" outlineLevel="0" collapsed="false">
      <c r="A3190" s="0" t="n">
        <v>2</v>
      </c>
      <c r="B3190" s="71" t="n">
        <v>46212</v>
      </c>
      <c r="C3190" s="0" t="n">
        <v>11</v>
      </c>
      <c r="D3190" s="0" t="s">
        <v>2471</v>
      </c>
      <c r="E3190" s="0" t="n">
        <v>1705</v>
      </c>
      <c r="F3190" s="0" t="s">
        <v>130</v>
      </c>
      <c r="I3190" s="0" t="n">
        <v>1194625</v>
      </c>
      <c r="J3190" s="0" t="n">
        <v>57635</v>
      </c>
      <c r="K3190" s="0" t="n">
        <v>2254500</v>
      </c>
      <c r="L3190" s="0" t="s">
        <v>3967</v>
      </c>
      <c r="N3190" s="0" t="n">
        <v>24</v>
      </c>
      <c r="O3190" s="0" t="n">
        <v>40.8</v>
      </c>
      <c r="P3190" s="0" t="s">
        <v>2444</v>
      </c>
    </row>
    <row r="3191" customFormat="false" ht="15" hidden="false" customHeight="true" outlineLevel="0" collapsed="false">
      <c r="A3191" s="0" t="n">
        <v>2</v>
      </c>
      <c r="B3191" s="71" t="n">
        <v>46212</v>
      </c>
      <c r="C3191" s="0" t="n">
        <v>11</v>
      </c>
      <c r="D3191" s="0" t="s">
        <v>2471</v>
      </c>
      <c r="E3191" s="0" t="n">
        <v>1705</v>
      </c>
      <c r="F3191" s="0" t="s">
        <v>130</v>
      </c>
      <c r="I3191" s="0" t="n">
        <v>1194625</v>
      </c>
      <c r="J3191" s="0" t="n">
        <v>57640</v>
      </c>
      <c r="K3191" s="0" t="n">
        <v>2254517</v>
      </c>
      <c r="L3191" s="0" t="s">
        <v>3968</v>
      </c>
      <c r="N3191" s="0" t="n">
        <v>2</v>
      </c>
      <c r="O3191" s="0" t="n">
        <v>66.94</v>
      </c>
      <c r="P3191" s="0" t="s">
        <v>2444</v>
      </c>
    </row>
    <row r="3192" customFormat="false" ht="15" hidden="false" customHeight="true" outlineLevel="0" collapsed="false">
      <c r="A3192" s="0" t="n">
        <v>2</v>
      </c>
      <c r="B3192" s="71" t="n">
        <v>46212</v>
      </c>
      <c r="C3192" s="0" t="n">
        <v>11</v>
      </c>
      <c r="D3192" s="0" t="s">
        <v>2471</v>
      </c>
      <c r="E3192" s="0" t="n">
        <v>1705</v>
      </c>
      <c r="F3192" s="0" t="s">
        <v>130</v>
      </c>
      <c r="I3192" s="0" t="n">
        <v>1194625</v>
      </c>
      <c r="J3192" s="0" t="n">
        <v>76553</v>
      </c>
      <c r="K3192" s="0" t="n">
        <v>7896045503476</v>
      </c>
      <c r="L3192" s="0" t="s">
        <v>3969</v>
      </c>
      <c r="N3192" s="0" t="n">
        <v>24</v>
      </c>
      <c r="O3192" s="0" t="n">
        <v>152.38</v>
      </c>
      <c r="P3192" s="0" t="s">
        <v>2444</v>
      </c>
    </row>
    <row r="3193" customFormat="false" ht="15" hidden="false" customHeight="true" outlineLevel="0" collapsed="false">
      <c r="A3193" s="0" t="n">
        <v>2</v>
      </c>
      <c r="B3193" s="71" t="n">
        <v>46212</v>
      </c>
      <c r="C3193" s="0" t="n">
        <v>11</v>
      </c>
      <c r="D3193" s="0" t="s">
        <v>2471</v>
      </c>
      <c r="E3193" s="0" t="n">
        <v>1705</v>
      </c>
      <c r="F3193" s="0" t="s">
        <v>130</v>
      </c>
      <c r="I3193" s="0" t="n">
        <v>1194625</v>
      </c>
      <c r="J3193" s="0" t="n">
        <v>76553</v>
      </c>
      <c r="K3193" s="0" t="n">
        <v>7896045503476</v>
      </c>
      <c r="L3193" s="0" t="s">
        <v>3969</v>
      </c>
      <c r="N3193" s="0" t="n">
        <v>12</v>
      </c>
      <c r="O3193" s="0" t="n">
        <v>74.88</v>
      </c>
      <c r="P3193" s="0" t="s">
        <v>2444</v>
      </c>
    </row>
    <row r="3194" customFormat="false" ht="15" hidden="false" customHeight="true" outlineLevel="0" collapsed="false">
      <c r="A3194" s="0" t="n">
        <v>2</v>
      </c>
      <c r="B3194" s="71" t="n">
        <v>46212</v>
      </c>
      <c r="C3194" s="0" t="n">
        <v>22</v>
      </c>
      <c r="D3194" s="0" t="s">
        <v>2479</v>
      </c>
      <c r="E3194" s="0" t="n">
        <v>48</v>
      </c>
      <c r="F3194" s="0" t="s">
        <v>153</v>
      </c>
      <c r="I3194" s="0" t="n">
        <v>2537</v>
      </c>
      <c r="J3194" s="0" t="n">
        <v>100000</v>
      </c>
      <c r="K3194" s="0" t="n">
        <v>1</v>
      </c>
      <c r="L3194" s="0" t="s">
        <v>2480</v>
      </c>
      <c r="N3194" s="0" t="n">
        <v>2.468</v>
      </c>
      <c r="O3194" s="0" t="n">
        <v>51.34</v>
      </c>
      <c r="P3194" s="0" t="s">
        <v>2444</v>
      </c>
    </row>
    <row r="3195" customFormat="false" ht="15" hidden="false" customHeight="true" outlineLevel="0" collapsed="false">
      <c r="A3195" s="0" t="n">
        <v>2</v>
      </c>
      <c r="B3195" s="71" t="n">
        <v>46212</v>
      </c>
      <c r="C3195" s="0" t="n">
        <v>22</v>
      </c>
      <c r="D3195" s="0" t="s">
        <v>2479</v>
      </c>
      <c r="E3195" s="0" t="n">
        <v>48</v>
      </c>
      <c r="F3195" s="0" t="s">
        <v>153</v>
      </c>
      <c r="I3195" s="0" t="n">
        <v>2537</v>
      </c>
      <c r="J3195" s="0" t="n">
        <v>100000</v>
      </c>
      <c r="K3195" s="0" t="n">
        <v>1</v>
      </c>
      <c r="L3195" s="0" t="s">
        <v>2480</v>
      </c>
      <c r="N3195" s="0" t="n">
        <v>3.146</v>
      </c>
      <c r="O3195" s="0" t="n">
        <v>51.37</v>
      </c>
      <c r="P3195" s="0" t="s">
        <v>2444</v>
      </c>
    </row>
    <row r="3196" customFormat="false" ht="15" hidden="false" customHeight="true" outlineLevel="0" collapsed="false">
      <c r="A3196" s="0" t="n">
        <v>2</v>
      </c>
      <c r="B3196" s="71" t="n">
        <v>46212</v>
      </c>
      <c r="C3196" s="0" t="n">
        <v>22</v>
      </c>
      <c r="D3196" s="0" t="s">
        <v>2479</v>
      </c>
      <c r="E3196" s="0" t="n">
        <v>48</v>
      </c>
      <c r="F3196" s="0" t="s">
        <v>153</v>
      </c>
      <c r="I3196" s="0" t="n">
        <v>2537</v>
      </c>
      <c r="J3196" s="0" t="n">
        <v>100001</v>
      </c>
      <c r="K3196" s="0" t="n">
        <v>2</v>
      </c>
      <c r="L3196" s="0" t="s">
        <v>2481</v>
      </c>
      <c r="N3196" s="0" t="n">
        <v>11.69</v>
      </c>
      <c r="O3196" s="0" t="n">
        <v>263.48</v>
      </c>
      <c r="P3196" s="0" t="s">
        <v>2444</v>
      </c>
    </row>
    <row r="3197" customFormat="false" ht="15" hidden="false" customHeight="true" outlineLevel="0" collapsed="false">
      <c r="A3197" s="0" t="n">
        <v>2</v>
      </c>
      <c r="B3197" s="71" t="n">
        <v>46212</v>
      </c>
      <c r="C3197" s="0" t="n">
        <v>22</v>
      </c>
      <c r="D3197" s="0" t="s">
        <v>2479</v>
      </c>
      <c r="E3197" s="0" t="n">
        <v>48</v>
      </c>
      <c r="F3197" s="0" t="s">
        <v>153</v>
      </c>
      <c r="I3197" s="0" t="n">
        <v>2537</v>
      </c>
      <c r="J3197" s="0" t="n">
        <v>100002</v>
      </c>
      <c r="K3197" s="0" t="n">
        <v>3</v>
      </c>
      <c r="L3197" s="0" t="s">
        <v>2482</v>
      </c>
      <c r="N3197" s="0" t="n">
        <v>22.13</v>
      </c>
      <c r="O3197" s="0" t="n">
        <v>575.54</v>
      </c>
      <c r="P3197" s="0" t="s">
        <v>2444</v>
      </c>
    </row>
    <row r="3198" customFormat="false" ht="15" hidden="false" customHeight="true" outlineLevel="0" collapsed="false">
      <c r="A3198" s="0" t="n">
        <v>2</v>
      </c>
      <c r="B3198" s="71" t="n">
        <v>46212</v>
      </c>
      <c r="C3198" s="0" t="n">
        <v>22</v>
      </c>
      <c r="D3198" s="0" t="s">
        <v>2479</v>
      </c>
      <c r="E3198" s="0" t="n">
        <v>48</v>
      </c>
      <c r="F3198" s="0" t="s">
        <v>153</v>
      </c>
      <c r="I3198" s="0" t="n">
        <v>2537</v>
      </c>
      <c r="J3198" s="0" t="n">
        <v>100003</v>
      </c>
      <c r="K3198" s="0" t="n">
        <v>4</v>
      </c>
      <c r="L3198" s="0" t="s">
        <v>2483</v>
      </c>
      <c r="N3198" s="0" t="n">
        <v>13.18</v>
      </c>
      <c r="O3198" s="0" t="n">
        <v>365.64</v>
      </c>
      <c r="P3198" s="0" t="s">
        <v>2444</v>
      </c>
    </row>
    <row r="3199" customFormat="false" ht="15" hidden="false" customHeight="true" outlineLevel="0" collapsed="false">
      <c r="A3199" s="0" t="n">
        <v>2</v>
      </c>
      <c r="B3199" s="71" t="n">
        <v>46212</v>
      </c>
      <c r="C3199" s="0" t="n">
        <v>22</v>
      </c>
      <c r="D3199" s="0" t="s">
        <v>2479</v>
      </c>
      <c r="E3199" s="0" t="n">
        <v>48</v>
      </c>
      <c r="F3199" s="0" t="s">
        <v>153</v>
      </c>
      <c r="I3199" s="0" t="n">
        <v>2537</v>
      </c>
      <c r="J3199" s="0" t="n">
        <v>100004</v>
      </c>
      <c r="K3199" s="0" t="n">
        <v>5</v>
      </c>
      <c r="L3199" s="0" t="s">
        <v>2484</v>
      </c>
      <c r="N3199" s="0" t="n">
        <v>1.466</v>
      </c>
      <c r="O3199" s="0" t="n">
        <v>35.58</v>
      </c>
      <c r="P3199" s="0" t="s">
        <v>2444</v>
      </c>
    </row>
    <row r="3200" customFormat="false" ht="15" hidden="false" customHeight="true" outlineLevel="0" collapsed="false">
      <c r="A3200" s="0" t="n">
        <v>2</v>
      </c>
      <c r="B3200" s="71" t="n">
        <v>46212</v>
      </c>
      <c r="C3200" s="0" t="n">
        <v>22</v>
      </c>
      <c r="D3200" s="0" t="s">
        <v>2479</v>
      </c>
      <c r="E3200" s="0" t="n">
        <v>48</v>
      </c>
      <c r="F3200" s="0" t="s">
        <v>153</v>
      </c>
      <c r="I3200" s="0" t="n">
        <v>2537</v>
      </c>
      <c r="J3200" s="0" t="n">
        <v>100004</v>
      </c>
      <c r="K3200" s="0" t="n">
        <v>5</v>
      </c>
      <c r="L3200" s="0" t="s">
        <v>2484</v>
      </c>
      <c r="N3200" s="0" t="n">
        <v>10.325</v>
      </c>
      <c r="O3200" s="0" t="n">
        <v>196.72</v>
      </c>
      <c r="P3200" s="0" t="s">
        <v>2444</v>
      </c>
    </row>
    <row r="3201" customFormat="false" ht="15" hidden="false" customHeight="true" outlineLevel="0" collapsed="false">
      <c r="A3201" s="0" t="n">
        <v>2</v>
      </c>
      <c r="B3201" s="71" t="n">
        <v>46212</v>
      </c>
      <c r="C3201" s="0" t="n">
        <v>22</v>
      </c>
      <c r="D3201" s="0" t="s">
        <v>2479</v>
      </c>
      <c r="E3201" s="0" t="n">
        <v>48</v>
      </c>
      <c r="F3201" s="0" t="s">
        <v>153</v>
      </c>
      <c r="I3201" s="0" t="n">
        <v>2537</v>
      </c>
      <c r="J3201" s="0" t="n">
        <v>100005</v>
      </c>
      <c r="K3201" s="0" t="n">
        <v>6</v>
      </c>
      <c r="L3201" s="0" t="s">
        <v>2582</v>
      </c>
      <c r="N3201" s="0" t="n">
        <v>0.692</v>
      </c>
      <c r="O3201" s="0" t="n">
        <v>18</v>
      </c>
      <c r="P3201" s="0" t="s">
        <v>2444</v>
      </c>
    </row>
    <row r="3202" customFormat="false" ht="15" hidden="false" customHeight="true" outlineLevel="0" collapsed="false">
      <c r="A3202" s="0" t="n">
        <v>2</v>
      </c>
      <c r="B3202" s="71" t="n">
        <v>46212</v>
      </c>
      <c r="C3202" s="0" t="n">
        <v>22</v>
      </c>
      <c r="D3202" s="0" t="s">
        <v>2479</v>
      </c>
      <c r="E3202" s="0" t="n">
        <v>48</v>
      </c>
      <c r="F3202" s="0" t="s">
        <v>153</v>
      </c>
      <c r="I3202" s="0" t="n">
        <v>2537</v>
      </c>
      <c r="J3202" s="0" t="n">
        <v>100006</v>
      </c>
      <c r="K3202" s="0" t="n">
        <v>7</v>
      </c>
      <c r="L3202" s="0" t="s">
        <v>2485</v>
      </c>
      <c r="N3202" s="0" t="n">
        <v>2.292</v>
      </c>
      <c r="O3202" s="0" t="n">
        <v>53.03</v>
      </c>
      <c r="P3202" s="0" t="s">
        <v>2444</v>
      </c>
    </row>
    <row r="3203" customFormat="false" ht="15" hidden="false" customHeight="true" outlineLevel="0" collapsed="false">
      <c r="A3203" s="0" t="n">
        <v>2</v>
      </c>
      <c r="B3203" s="71" t="n">
        <v>46212</v>
      </c>
      <c r="C3203" s="0" t="n">
        <v>22</v>
      </c>
      <c r="D3203" s="0" t="s">
        <v>2479</v>
      </c>
      <c r="E3203" s="0" t="n">
        <v>48</v>
      </c>
      <c r="F3203" s="0" t="s">
        <v>153</v>
      </c>
      <c r="I3203" s="0" t="n">
        <v>2537</v>
      </c>
      <c r="J3203" s="0" t="n">
        <v>100007</v>
      </c>
      <c r="K3203" s="0" t="n">
        <v>8</v>
      </c>
      <c r="L3203" s="0" t="s">
        <v>2486</v>
      </c>
      <c r="N3203" s="0" t="n">
        <v>2.608</v>
      </c>
      <c r="O3203" s="0" t="n">
        <v>67.83</v>
      </c>
      <c r="P3203" s="0" t="s">
        <v>2444</v>
      </c>
    </row>
    <row r="3204" customFormat="false" ht="15" hidden="false" customHeight="true" outlineLevel="0" collapsed="false">
      <c r="A3204" s="0" t="n">
        <v>2</v>
      </c>
      <c r="B3204" s="71" t="n">
        <v>46212</v>
      </c>
      <c r="C3204" s="0" t="n">
        <v>22</v>
      </c>
      <c r="D3204" s="0" t="s">
        <v>2479</v>
      </c>
      <c r="E3204" s="0" t="n">
        <v>48</v>
      </c>
      <c r="F3204" s="0" t="s">
        <v>153</v>
      </c>
      <c r="I3204" s="0" t="n">
        <v>2537</v>
      </c>
      <c r="J3204" s="0" t="n">
        <v>100007</v>
      </c>
      <c r="K3204" s="0" t="n">
        <v>8</v>
      </c>
      <c r="L3204" s="0" t="s">
        <v>2486</v>
      </c>
      <c r="N3204" s="0" t="n">
        <v>1.988</v>
      </c>
      <c r="O3204" s="0" t="n">
        <v>40.58</v>
      </c>
      <c r="P3204" s="0" t="s">
        <v>2444</v>
      </c>
    </row>
    <row r="3205" customFormat="false" ht="15" hidden="false" customHeight="true" outlineLevel="0" collapsed="false">
      <c r="A3205" s="0" t="n">
        <v>2</v>
      </c>
      <c r="B3205" s="71" t="n">
        <v>46212</v>
      </c>
      <c r="C3205" s="0" t="n">
        <v>22</v>
      </c>
      <c r="D3205" s="0" t="s">
        <v>2479</v>
      </c>
      <c r="E3205" s="0" t="n">
        <v>48</v>
      </c>
      <c r="F3205" s="0" t="s">
        <v>153</v>
      </c>
      <c r="I3205" s="0" t="n">
        <v>2537</v>
      </c>
      <c r="J3205" s="0" t="n">
        <v>100008</v>
      </c>
      <c r="K3205" s="0" t="n">
        <v>9</v>
      </c>
      <c r="L3205" s="0" t="s">
        <v>2487</v>
      </c>
      <c r="N3205" s="0" t="n">
        <v>11.955</v>
      </c>
      <c r="O3205" s="0" t="n">
        <v>317.29</v>
      </c>
      <c r="P3205" s="0" t="s">
        <v>2444</v>
      </c>
    </row>
    <row r="3206" customFormat="false" ht="15" hidden="false" customHeight="true" outlineLevel="0" collapsed="false">
      <c r="A3206" s="0" t="n">
        <v>2</v>
      </c>
      <c r="B3206" s="71" t="n">
        <v>46212</v>
      </c>
      <c r="C3206" s="0" t="n">
        <v>22</v>
      </c>
      <c r="D3206" s="0" t="s">
        <v>2479</v>
      </c>
      <c r="E3206" s="0" t="n">
        <v>48</v>
      </c>
      <c r="F3206" s="0" t="s">
        <v>153</v>
      </c>
      <c r="I3206" s="0" t="n">
        <v>2537</v>
      </c>
      <c r="J3206" s="0" t="n">
        <v>100011</v>
      </c>
      <c r="K3206" s="0" t="n">
        <v>12</v>
      </c>
      <c r="L3206" s="0" t="s">
        <v>2488</v>
      </c>
      <c r="N3206" s="0" t="n">
        <v>8.565</v>
      </c>
      <c r="O3206" s="0" t="n">
        <v>256.47</v>
      </c>
      <c r="P3206" s="0" t="s">
        <v>2444</v>
      </c>
    </row>
    <row r="3207" customFormat="false" ht="15" hidden="false" customHeight="true" outlineLevel="0" collapsed="false">
      <c r="A3207" s="0" t="n">
        <v>2</v>
      </c>
      <c r="B3207" s="71" t="n">
        <v>46212</v>
      </c>
      <c r="C3207" s="0" t="n">
        <v>22</v>
      </c>
      <c r="D3207" s="0" t="s">
        <v>2479</v>
      </c>
      <c r="E3207" s="0" t="n">
        <v>48</v>
      </c>
      <c r="F3207" s="0" t="s">
        <v>153</v>
      </c>
      <c r="I3207" s="0" t="n">
        <v>2537</v>
      </c>
      <c r="J3207" s="0" t="n">
        <v>100012</v>
      </c>
      <c r="K3207" s="0" t="n">
        <v>13</v>
      </c>
      <c r="L3207" s="0" t="s">
        <v>2489</v>
      </c>
      <c r="N3207" s="0" t="n">
        <v>6.35</v>
      </c>
      <c r="O3207" s="0" t="n">
        <v>216.08</v>
      </c>
      <c r="P3207" s="0" t="s">
        <v>2444</v>
      </c>
    </row>
    <row r="3208" customFormat="false" ht="15" hidden="false" customHeight="true" outlineLevel="0" collapsed="false">
      <c r="A3208" s="0" t="n">
        <v>2</v>
      </c>
      <c r="B3208" s="71" t="n">
        <v>46212</v>
      </c>
      <c r="C3208" s="0" t="n">
        <v>22</v>
      </c>
      <c r="D3208" s="0" t="s">
        <v>2479</v>
      </c>
      <c r="E3208" s="0" t="n">
        <v>48</v>
      </c>
      <c r="F3208" s="0" t="s">
        <v>153</v>
      </c>
      <c r="I3208" s="0" t="n">
        <v>2537</v>
      </c>
      <c r="J3208" s="0" t="n">
        <v>100013</v>
      </c>
      <c r="K3208" s="0" t="n">
        <v>14</v>
      </c>
      <c r="L3208" s="0" t="s">
        <v>2490</v>
      </c>
      <c r="N3208" s="0" t="n">
        <v>9.865</v>
      </c>
      <c r="O3208" s="0" t="n">
        <v>355.83</v>
      </c>
      <c r="P3208" s="0" t="s">
        <v>2444</v>
      </c>
    </row>
    <row r="3209" customFormat="false" ht="15" hidden="false" customHeight="true" outlineLevel="0" collapsed="false">
      <c r="A3209" s="0" t="n">
        <v>2</v>
      </c>
      <c r="B3209" s="71" t="n">
        <v>46212</v>
      </c>
      <c r="C3209" s="0" t="n">
        <v>22</v>
      </c>
      <c r="D3209" s="0" t="s">
        <v>2479</v>
      </c>
      <c r="E3209" s="0" t="n">
        <v>48</v>
      </c>
      <c r="F3209" s="0" t="s">
        <v>153</v>
      </c>
      <c r="I3209" s="0" t="n">
        <v>2537</v>
      </c>
      <c r="J3209" s="0" t="n">
        <v>100014</v>
      </c>
      <c r="K3209" s="0" t="n">
        <v>15</v>
      </c>
      <c r="L3209" s="0" t="s">
        <v>2491</v>
      </c>
      <c r="N3209" s="0" t="n">
        <v>4.672</v>
      </c>
      <c r="O3209" s="0" t="n">
        <v>171.7</v>
      </c>
      <c r="P3209" s="0" t="s">
        <v>2444</v>
      </c>
    </row>
    <row r="3210" customFormat="false" ht="15" hidden="false" customHeight="true" outlineLevel="0" collapsed="false">
      <c r="A3210" s="0" t="n">
        <v>2</v>
      </c>
      <c r="B3210" s="71" t="n">
        <v>46212</v>
      </c>
      <c r="C3210" s="0" t="n">
        <v>22</v>
      </c>
      <c r="D3210" s="0" t="s">
        <v>2479</v>
      </c>
      <c r="E3210" s="0" t="n">
        <v>48</v>
      </c>
      <c r="F3210" s="0" t="s">
        <v>153</v>
      </c>
      <c r="I3210" s="0" t="n">
        <v>2537</v>
      </c>
      <c r="J3210" s="0" t="n">
        <v>100015</v>
      </c>
      <c r="K3210" s="0" t="n">
        <v>16</v>
      </c>
      <c r="L3210" s="0" t="s">
        <v>2492</v>
      </c>
      <c r="N3210" s="0" t="n">
        <v>1.558</v>
      </c>
      <c r="O3210" s="0" t="n">
        <v>50.9</v>
      </c>
      <c r="P3210" s="0" t="s">
        <v>2444</v>
      </c>
    </row>
    <row r="3211" customFormat="false" ht="15" hidden="false" customHeight="true" outlineLevel="0" collapsed="false">
      <c r="A3211" s="0" t="n">
        <v>2</v>
      </c>
      <c r="B3211" s="71" t="n">
        <v>46212</v>
      </c>
      <c r="C3211" s="0" t="n">
        <v>22</v>
      </c>
      <c r="D3211" s="0" t="s">
        <v>2479</v>
      </c>
      <c r="E3211" s="0" t="n">
        <v>48</v>
      </c>
      <c r="F3211" s="0" t="s">
        <v>153</v>
      </c>
      <c r="I3211" s="0" t="n">
        <v>2537</v>
      </c>
      <c r="J3211" s="0" t="n">
        <v>100016</v>
      </c>
      <c r="K3211" s="0" t="n">
        <v>17</v>
      </c>
      <c r="L3211" s="0" t="s">
        <v>2493</v>
      </c>
      <c r="N3211" s="0" t="n">
        <v>2.728</v>
      </c>
      <c r="O3211" s="0" t="n">
        <v>129.97</v>
      </c>
      <c r="P3211" s="0" t="s">
        <v>2444</v>
      </c>
    </row>
    <row r="3212" customFormat="false" ht="15" hidden="false" customHeight="true" outlineLevel="0" collapsed="false">
      <c r="A3212" s="0" t="n">
        <v>2</v>
      </c>
      <c r="B3212" s="71" t="n">
        <v>46212</v>
      </c>
      <c r="C3212" s="0" t="n">
        <v>22</v>
      </c>
      <c r="D3212" s="0" t="s">
        <v>2479</v>
      </c>
      <c r="E3212" s="0" t="n">
        <v>48</v>
      </c>
      <c r="F3212" s="0" t="s">
        <v>153</v>
      </c>
      <c r="I3212" s="0" t="n">
        <v>2537</v>
      </c>
      <c r="J3212" s="0" t="n">
        <v>100017</v>
      </c>
      <c r="K3212" s="0" t="n">
        <v>18</v>
      </c>
      <c r="L3212" s="0" t="s">
        <v>2494</v>
      </c>
      <c r="N3212" s="0" t="n">
        <v>1.316</v>
      </c>
      <c r="O3212" s="0" t="n">
        <v>62.7</v>
      </c>
      <c r="P3212" s="0" t="s">
        <v>2444</v>
      </c>
    </row>
    <row r="3213" customFormat="false" ht="15" hidden="false" customHeight="true" outlineLevel="0" collapsed="false">
      <c r="A3213" s="0" t="n">
        <v>2</v>
      </c>
      <c r="B3213" s="71" t="n">
        <v>46212</v>
      </c>
      <c r="C3213" s="0" t="n">
        <v>22</v>
      </c>
      <c r="D3213" s="0" t="s">
        <v>2479</v>
      </c>
      <c r="E3213" s="0" t="n">
        <v>48</v>
      </c>
      <c r="F3213" s="0" t="s">
        <v>153</v>
      </c>
      <c r="I3213" s="0" t="n">
        <v>2537</v>
      </c>
      <c r="J3213" s="0" t="n">
        <v>100019</v>
      </c>
      <c r="K3213" s="0" t="n">
        <v>20</v>
      </c>
      <c r="L3213" s="0" t="s">
        <v>3779</v>
      </c>
      <c r="N3213" s="0" t="n">
        <v>3.696</v>
      </c>
      <c r="O3213" s="0" t="n">
        <v>134.59</v>
      </c>
      <c r="P3213" s="0" t="s">
        <v>2444</v>
      </c>
    </row>
    <row r="3214" customFormat="false" ht="15" hidden="false" customHeight="true" outlineLevel="0" collapsed="false">
      <c r="A3214" s="0" t="n">
        <v>2</v>
      </c>
      <c r="B3214" s="71" t="n">
        <v>46212</v>
      </c>
      <c r="C3214" s="0" t="n">
        <v>22</v>
      </c>
      <c r="D3214" s="0" t="s">
        <v>2479</v>
      </c>
      <c r="E3214" s="0" t="n">
        <v>48</v>
      </c>
      <c r="F3214" s="0" t="s">
        <v>153</v>
      </c>
      <c r="I3214" s="0" t="n">
        <v>2537</v>
      </c>
      <c r="J3214" s="0" t="n">
        <v>100021</v>
      </c>
      <c r="K3214" s="0" t="n">
        <v>22</v>
      </c>
      <c r="L3214" s="0" t="s">
        <v>2662</v>
      </c>
      <c r="N3214" s="0" t="n">
        <v>1.11</v>
      </c>
      <c r="O3214" s="0" t="n">
        <v>22.66</v>
      </c>
      <c r="P3214" s="0" t="s">
        <v>2444</v>
      </c>
    </row>
    <row r="3215" customFormat="false" ht="15" hidden="false" customHeight="true" outlineLevel="0" collapsed="false">
      <c r="A3215" s="0" t="n">
        <v>2</v>
      </c>
      <c r="B3215" s="71" t="n">
        <v>46212</v>
      </c>
      <c r="C3215" s="0" t="n">
        <v>22</v>
      </c>
      <c r="D3215" s="0" t="s">
        <v>2479</v>
      </c>
      <c r="E3215" s="0" t="n">
        <v>48</v>
      </c>
      <c r="F3215" s="0" t="s">
        <v>153</v>
      </c>
      <c r="I3215" s="0" t="n">
        <v>2537</v>
      </c>
      <c r="J3215" s="0" t="n">
        <v>100040</v>
      </c>
      <c r="K3215" s="0" t="n">
        <v>41</v>
      </c>
      <c r="L3215" s="0" t="s">
        <v>2583</v>
      </c>
      <c r="N3215" s="0" t="n">
        <v>2.222</v>
      </c>
      <c r="O3215" s="0" t="n">
        <v>61.64</v>
      </c>
      <c r="P3215" s="0" t="s">
        <v>2444</v>
      </c>
    </row>
    <row r="3216" customFormat="false" ht="15" hidden="false" customHeight="true" outlineLevel="0" collapsed="false">
      <c r="A3216" s="0" t="n">
        <v>2</v>
      </c>
      <c r="B3216" s="71" t="n">
        <v>46212</v>
      </c>
      <c r="C3216" s="0" t="n">
        <v>22</v>
      </c>
      <c r="D3216" s="0" t="s">
        <v>2479</v>
      </c>
      <c r="E3216" s="0" t="n">
        <v>48</v>
      </c>
      <c r="F3216" s="0" t="s">
        <v>153</v>
      </c>
      <c r="I3216" s="0" t="n">
        <v>2537</v>
      </c>
      <c r="J3216" s="0" t="n">
        <v>100053</v>
      </c>
      <c r="K3216" s="0" t="n">
        <v>54</v>
      </c>
      <c r="L3216" s="0" t="s">
        <v>2495</v>
      </c>
      <c r="N3216" s="0" t="n">
        <v>0.748</v>
      </c>
      <c r="O3216" s="0" t="n">
        <v>22.4</v>
      </c>
      <c r="P3216" s="0" t="s">
        <v>2444</v>
      </c>
    </row>
    <row r="3217" customFormat="false" ht="15" hidden="false" customHeight="true" outlineLevel="0" collapsed="false">
      <c r="A3217" s="0" t="n">
        <v>2</v>
      </c>
      <c r="B3217" s="71" t="n">
        <v>46212</v>
      </c>
      <c r="C3217" s="0" t="n">
        <v>22</v>
      </c>
      <c r="D3217" s="0" t="s">
        <v>2479</v>
      </c>
      <c r="E3217" s="0" t="n">
        <v>48</v>
      </c>
      <c r="F3217" s="0" t="s">
        <v>153</v>
      </c>
      <c r="I3217" s="0" t="n">
        <v>2537</v>
      </c>
      <c r="J3217" s="0" t="n">
        <v>100638</v>
      </c>
      <c r="K3217" s="0" t="n">
        <v>508</v>
      </c>
      <c r="L3217" s="0" t="s">
        <v>2496</v>
      </c>
      <c r="N3217" s="0" t="n">
        <v>0.889</v>
      </c>
      <c r="O3217" s="0" t="n">
        <v>1.81</v>
      </c>
      <c r="P3217" s="0" t="s">
        <v>2444</v>
      </c>
    </row>
    <row r="3218" customFormat="false" ht="15" hidden="false" customHeight="true" outlineLevel="0" collapsed="false">
      <c r="A3218" s="0" t="n">
        <v>2</v>
      </c>
      <c r="B3218" s="71" t="n">
        <v>46212</v>
      </c>
      <c r="C3218" s="0" t="n">
        <v>22</v>
      </c>
      <c r="D3218" s="0" t="s">
        <v>2479</v>
      </c>
      <c r="E3218" s="0" t="n">
        <v>48</v>
      </c>
      <c r="F3218" s="0" t="s">
        <v>153</v>
      </c>
      <c r="I3218" s="0" t="n">
        <v>2537</v>
      </c>
      <c r="J3218" s="0" t="n">
        <v>110137</v>
      </c>
      <c r="K3218" s="0" t="n">
        <v>13899</v>
      </c>
      <c r="L3218" s="0" t="s">
        <v>3780</v>
      </c>
      <c r="N3218" s="0" t="n">
        <v>3.204</v>
      </c>
      <c r="O3218" s="0" t="n">
        <v>13.86</v>
      </c>
      <c r="P3218" s="0" t="s">
        <v>2444</v>
      </c>
    </row>
    <row r="3219" customFormat="false" ht="15" hidden="false" customHeight="true" outlineLevel="0" collapsed="false">
      <c r="A3219" s="0" t="n">
        <v>2</v>
      </c>
      <c r="B3219" s="71" t="n">
        <v>46212</v>
      </c>
      <c r="C3219" s="0" t="n">
        <v>22</v>
      </c>
      <c r="D3219" s="0" t="s">
        <v>2479</v>
      </c>
      <c r="E3219" s="0" t="n">
        <v>48</v>
      </c>
      <c r="F3219" s="0" t="s">
        <v>153</v>
      </c>
      <c r="I3219" s="0" t="n">
        <v>2537</v>
      </c>
      <c r="J3219" s="0" t="n">
        <v>110137</v>
      </c>
      <c r="K3219" s="0" t="n">
        <v>13899</v>
      </c>
      <c r="L3219" s="0" t="s">
        <v>3780</v>
      </c>
      <c r="N3219" s="0" t="n">
        <v>12.285</v>
      </c>
      <c r="O3219" s="0" t="n">
        <v>41.73</v>
      </c>
      <c r="P3219" s="0" t="s">
        <v>2444</v>
      </c>
    </row>
    <row r="3220" customFormat="false" ht="15" hidden="false" customHeight="true" outlineLevel="0" collapsed="false">
      <c r="A3220" s="0" t="n">
        <v>2</v>
      </c>
      <c r="B3220" s="71" t="n">
        <v>46212</v>
      </c>
      <c r="C3220" s="0" t="n">
        <v>22</v>
      </c>
      <c r="D3220" s="0" t="s">
        <v>2479</v>
      </c>
      <c r="E3220" s="0" t="n">
        <v>48</v>
      </c>
      <c r="F3220" s="0" t="s">
        <v>153</v>
      </c>
      <c r="I3220" s="0" t="n">
        <v>2537</v>
      </c>
      <c r="J3220" s="0" t="n">
        <v>110455</v>
      </c>
      <c r="K3220" s="0" t="n">
        <v>53212</v>
      </c>
      <c r="L3220" s="0" t="s">
        <v>2498</v>
      </c>
      <c r="N3220" s="0" t="n">
        <v>0.144</v>
      </c>
      <c r="O3220" s="0" t="n">
        <v>0</v>
      </c>
      <c r="P3220" s="0" t="s">
        <v>2444</v>
      </c>
    </row>
    <row r="3221" customFormat="false" ht="15" hidden="false" customHeight="true" outlineLevel="0" collapsed="false">
      <c r="A3221" s="0" t="n">
        <v>2</v>
      </c>
      <c r="B3221" s="71" t="n">
        <v>46212</v>
      </c>
      <c r="C3221" s="0" t="n">
        <v>22</v>
      </c>
      <c r="D3221" s="0" t="s">
        <v>2479</v>
      </c>
      <c r="E3221" s="0" t="n">
        <v>48</v>
      </c>
      <c r="F3221" s="0" t="s">
        <v>153</v>
      </c>
      <c r="I3221" s="0" t="n">
        <v>2537</v>
      </c>
      <c r="J3221" s="0" t="n">
        <v>110487</v>
      </c>
      <c r="K3221" s="0" t="n">
        <v>54688</v>
      </c>
      <c r="L3221" s="0" t="s">
        <v>2663</v>
      </c>
      <c r="N3221" s="0" t="n">
        <v>2.308</v>
      </c>
      <c r="O3221" s="0" t="n">
        <v>61.26</v>
      </c>
      <c r="P3221" s="0" t="s">
        <v>2444</v>
      </c>
    </row>
    <row r="3222" customFormat="false" ht="15" hidden="false" customHeight="true" outlineLevel="0" collapsed="false">
      <c r="A3222" s="0" t="n">
        <v>2</v>
      </c>
      <c r="B3222" s="71" t="n">
        <v>46212</v>
      </c>
      <c r="C3222" s="0" t="n">
        <v>100</v>
      </c>
      <c r="D3222" s="0" t="s">
        <v>2499</v>
      </c>
      <c r="E3222" s="0" t="n">
        <v>48</v>
      </c>
      <c r="F3222" s="0" t="s">
        <v>153</v>
      </c>
      <c r="I3222" s="0" t="n">
        <v>1375067</v>
      </c>
      <c r="J3222" s="0" t="n">
        <v>100000</v>
      </c>
      <c r="K3222" s="0" t="n">
        <v>1</v>
      </c>
      <c r="L3222" s="0" t="s">
        <v>2480</v>
      </c>
      <c r="N3222" s="0" t="n">
        <v>2.468</v>
      </c>
      <c r="O3222" s="0" t="n">
        <v>51.34</v>
      </c>
      <c r="P3222" s="0" t="s">
        <v>2444</v>
      </c>
    </row>
    <row r="3223" customFormat="false" ht="15" hidden="false" customHeight="true" outlineLevel="0" collapsed="false">
      <c r="A3223" s="0" t="n">
        <v>2</v>
      </c>
      <c r="B3223" s="71" t="n">
        <v>46212</v>
      </c>
      <c r="C3223" s="0" t="n">
        <v>100</v>
      </c>
      <c r="D3223" s="0" t="s">
        <v>2499</v>
      </c>
      <c r="E3223" s="0" t="n">
        <v>48</v>
      </c>
      <c r="F3223" s="0" t="s">
        <v>153</v>
      </c>
      <c r="I3223" s="0" t="n">
        <v>1375067</v>
      </c>
      <c r="J3223" s="0" t="n">
        <v>100001</v>
      </c>
      <c r="K3223" s="0" t="n">
        <v>2</v>
      </c>
      <c r="L3223" s="0" t="s">
        <v>2481</v>
      </c>
      <c r="N3223" s="0" t="n">
        <v>11.69</v>
      </c>
      <c r="O3223" s="0" t="n">
        <v>263.48</v>
      </c>
      <c r="P3223" s="0" t="s">
        <v>2444</v>
      </c>
    </row>
    <row r="3224" customFormat="false" ht="15" hidden="false" customHeight="true" outlineLevel="0" collapsed="false">
      <c r="A3224" s="0" t="n">
        <v>2</v>
      </c>
      <c r="B3224" s="71" t="n">
        <v>46212</v>
      </c>
      <c r="C3224" s="0" t="n">
        <v>100</v>
      </c>
      <c r="D3224" s="0" t="s">
        <v>2499</v>
      </c>
      <c r="E3224" s="0" t="n">
        <v>48</v>
      </c>
      <c r="F3224" s="0" t="s">
        <v>153</v>
      </c>
      <c r="I3224" s="0" t="n">
        <v>1375067</v>
      </c>
      <c r="J3224" s="0" t="n">
        <v>100002</v>
      </c>
      <c r="K3224" s="0" t="n">
        <v>3</v>
      </c>
      <c r="L3224" s="0" t="s">
        <v>2482</v>
      </c>
      <c r="N3224" s="0" t="n">
        <v>22.13</v>
      </c>
      <c r="O3224" s="0" t="n">
        <v>575.54</v>
      </c>
      <c r="P3224" s="0" t="s">
        <v>2444</v>
      </c>
    </row>
    <row r="3225" customFormat="false" ht="15" hidden="false" customHeight="true" outlineLevel="0" collapsed="false">
      <c r="A3225" s="0" t="n">
        <v>2</v>
      </c>
      <c r="B3225" s="71" t="n">
        <v>46212</v>
      </c>
      <c r="C3225" s="0" t="n">
        <v>100</v>
      </c>
      <c r="D3225" s="0" t="s">
        <v>2499</v>
      </c>
      <c r="E3225" s="0" t="n">
        <v>48</v>
      </c>
      <c r="F3225" s="0" t="s">
        <v>153</v>
      </c>
      <c r="I3225" s="0" t="n">
        <v>1375067</v>
      </c>
      <c r="J3225" s="0" t="n">
        <v>100003</v>
      </c>
      <c r="K3225" s="0" t="n">
        <v>4</v>
      </c>
      <c r="L3225" s="0" t="s">
        <v>2483</v>
      </c>
      <c r="N3225" s="0" t="n">
        <v>13.18</v>
      </c>
      <c r="O3225" s="0" t="n">
        <v>365.64</v>
      </c>
      <c r="P3225" s="0" t="s">
        <v>2444</v>
      </c>
    </row>
    <row r="3226" customFormat="false" ht="15" hidden="false" customHeight="true" outlineLevel="0" collapsed="false">
      <c r="A3226" s="0" t="n">
        <v>2</v>
      </c>
      <c r="B3226" s="71" t="n">
        <v>46212</v>
      </c>
      <c r="C3226" s="0" t="n">
        <v>100</v>
      </c>
      <c r="D3226" s="0" t="s">
        <v>2499</v>
      </c>
      <c r="E3226" s="0" t="n">
        <v>48</v>
      </c>
      <c r="F3226" s="0" t="s">
        <v>153</v>
      </c>
      <c r="I3226" s="0" t="n">
        <v>1375067</v>
      </c>
      <c r="J3226" s="0" t="n">
        <v>100004</v>
      </c>
      <c r="K3226" s="0" t="n">
        <v>5</v>
      </c>
      <c r="L3226" s="0" t="s">
        <v>2484</v>
      </c>
      <c r="N3226" s="0" t="n">
        <v>1.466</v>
      </c>
      <c r="O3226" s="0" t="n">
        <v>35.58</v>
      </c>
      <c r="P3226" s="0" t="s">
        <v>2444</v>
      </c>
    </row>
    <row r="3227" customFormat="false" ht="15" hidden="false" customHeight="true" outlineLevel="0" collapsed="false">
      <c r="A3227" s="0" t="n">
        <v>2</v>
      </c>
      <c r="B3227" s="71" t="n">
        <v>46212</v>
      </c>
      <c r="C3227" s="0" t="n">
        <v>100</v>
      </c>
      <c r="D3227" s="0" t="s">
        <v>2499</v>
      </c>
      <c r="E3227" s="0" t="n">
        <v>48</v>
      </c>
      <c r="F3227" s="0" t="s">
        <v>153</v>
      </c>
      <c r="I3227" s="0" t="n">
        <v>1375067</v>
      </c>
      <c r="J3227" s="0" t="n">
        <v>100005</v>
      </c>
      <c r="K3227" s="0" t="n">
        <v>6</v>
      </c>
      <c r="L3227" s="0" t="s">
        <v>2582</v>
      </c>
      <c r="N3227" s="0" t="n">
        <v>0.692</v>
      </c>
      <c r="O3227" s="0" t="n">
        <v>18</v>
      </c>
      <c r="P3227" s="0" t="s">
        <v>2444</v>
      </c>
    </row>
    <row r="3228" customFormat="false" ht="15" hidden="false" customHeight="true" outlineLevel="0" collapsed="false">
      <c r="A3228" s="0" t="n">
        <v>2</v>
      </c>
      <c r="B3228" s="71" t="n">
        <v>46212</v>
      </c>
      <c r="C3228" s="0" t="n">
        <v>100</v>
      </c>
      <c r="D3228" s="0" t="s">
        <v>2499</v>
      </c>
      <c r="E3228" s="0" t="n">
        <v>48</v>
      </c>
      <c r="F3228" s="0" t="s">
        <v>153</v>
      </c>
      <c r="I3228" s="0" t="n">
        <v>1375067</v>
      </c>
      <c r="J3228" s="0" t="n">
        <v>100007</v>
      </c>
      <c r="K3228" s="0" t="n">
        <v>8</v>
      </c>
      <c r="L3228" s="0" t="s">
        <v>2486</v>
      </c>
      <c r="N3228" s="0" t="n">
        <v>2.608</v>
      </c>
      <c r="O3228" s="0" t="n">
        <v>67.83</v>
      </c>
      <c r="P3228" s="0" t="s">
        <v>2444</v>
      </c>
    </row>
    <row r="3229" customFormat="false" ht="15" hidden="false" customHeight="true" outlineLevel="0" collapsed="false">
      <c r="A3229" s="0" t="n">
        <v>2</v>
      </c>
      <c r="B3229" s="71" t="n">
        <v>46212</v>
      </c>
      <c r="C3229" s="0" t="n">
        <v>100</v>
      </c>
      <c r="D3229" s="0" t="s">
        <v>2499</v>
      </c>
      <c r="E3229" s="0" t="n">
        <v>48</v>
      </c>
      <c r="F3229" s="0" t="s">
        <v>153</v>
      </c>
      <c r="I3229" s="0" t="n">
        <v>1375067</v>
      </c>
      <c r="J3229" s="0" t="n">
        <v>100019</v>
      </c>
      <c r="K3229" s="0" t="n">
        <v>20</v>
      </c>
      <c r="L3229" s="0" t="s">
        <v>3779</v>
      </c>
      <c r="N3229" s="0" t="n">
        <v>3.696</v>
      </c>
      <c r="O3229" s="0" t="n">
        <v>134.59</v>
      </c>
      <c r="P3229" s="0" t="s">
        <v>2444</v>
      </c>
    </row>
    <row r="3230" customFormat="false" ht="15" hidden="false" customHeight="true" outlineLevel="0" collapsed="false">
      <c r="A3230" s="0" t="n">
        <v>2</v>
      </c>
      <c r="B3230" s="71" t="n">
        <v>46212</v>
      </c>
      <c r="C3230" s="0" t="n">
        <v>100</v>
      </c>
      <c r="D3230" s="0" t="s">
        <v>2499</v>
      </c>
      <c r="E3230" s="0" t="n">
        <v>48</v>
      </c>
      <c r="F3230" s="0" t="s">
        <v>153</v>
      </c>
      <c r="I3230" s="0" t="n">
        <v>1375067</v>
      </c>
      <c r="J3230" s="0" t="n">
        <v>100040</v>
      </c>
      <c r="K3230" s="0" t="n">
        <v>41</v>
      </c>
      <c r="L3230" s="0" t="s">
        <v>2583</v>
      </c>
      <c r="N3230" s="0" t="n">
        <v>2.222</v>
      </c>
      <c r="O3230" s="0" t="n">
        <v>61.64</v>
      </c>
      <c r="P3230" s="0" t="s">
        <v>2444</v>
      </c>
    </row>
    <row r="3231" customFormat="false" ht="15" hidden="false" customHeight="true" outlineLevel="0" collapsed="false">
      <c r="A3231" s="0" t="n">
        <v>2</v>
      </c>
      <c r="B3231" s="71" t="n">
        <v>46212</v>
      </c>
      <c r="C3231" s="0" t="n">
        <v>100</v>
      </c>
      <c r="D3231" s="0" t="s">
        <v>2499</v>
      </c>
      <c r="E3231" s="0" t="n">
        <v>48</v>
      </c>
      <c r="F3231" s="0" t="s">
        <v>153</v>
      </c>
      <c r="I3231" s="0" t="n">
        <v>1375067</v>
      </c>
      <c r="J3231" s="0" t="n">
        <v>110137</v>
      </c>
      <c r="K3231" s="0" t="n">
        <v>13899</v>
      </c>
      <c r="L3231" s="0" t="s">
        <v>3780</v>
      </c>
      <c r="N3231" s="0" t="n">
        <v>3.204</v>
      </c>
      <c r="O3231" s="0" t="n">
        <v>13.86</v>
      </c>
      <c r="P3231" s="0" t="s">
        <v>2444</v>
      </c>
    </row>
    <row r="3232" customFormat="false" ht="15" hidden="false" customHeight="true" outlineLevel="0" collapsed="false">
      <c r="A3232" s="0" t="n">
        <v>2</v>
      </c>
      <c r="B3232" s="71" t="n">
        <v>46212</v>
      </c>
      <c r="C3232" s="0" t="n">
        <v>100</v>
      </c>
      <c r="D3232" s="0" t="s">
        <v>2499</v>
      </c>
      <c r="E3232" s="0" t="n">
        <v>48</v>
      </c>
      <c r="F3232" s="0" t="s">
        <v>153</v>
      </c>
      <c r="I3232" s="0" t="n">
        <v>1375067</v>
      </c>
      <c r="J3232" s="0" t="n">
        <v>110455</v>
      </c>
      <c r="K3232" s="0" t="n">
        <v>53212</v>
      </c>
      <c r="L3232" s="0" t="s">
        <v>2498</v>
      </c>
      <c r="N3232" s="0" t="n">
        <v>0.144</v>
      </c>
      <c r="O3232" s="0" t="n">
        <v>0</v>
      </c>
      <c r="P3232" s="0" t="s">
        <v>2444</v>
      </c>
    </row>
    <row r="3233" customFormat="false" ht="15" hidden="false" customHeight="true" outlineLevel="0" collapsed="false">
      <c r="A3233" s="0" t="n">
        <v>2</v>
      </c>
      <c r="B3233" s="71" t="n">
        <v>46212</v>
      </c>
      <c r="C3233" s="0" t="n">
        <v>100</v>
      </c>
      <c r="D3233" s="0" t="s">
        <v>2499</v>
      </c>
      <c r="E3233" s="0" t="n">
        <v>48</v>
      </c>
      <c r="F3233" s="0" t="s">
        <v>153</v>
      </c>
      <c r="I3233" s="0" t="n">
        <v>1375080</v>
      </c>
      <c r="J3233" s="0" t="n">
        <v>100000</v>
      </c>
      <c r="K3233" s="0" t="n">
        <v>1</v>
      </c>
      <c r="L3233" s="0" t="s">
        <v>2480</v>
      </c>
      <c r="N3233" s="0" t="n">
        <v>3.146</v>
      </c>
      <c r="O3233" s="0" t="n">
        <v>51.37</v>
      </c>
      <c r="P3233" s="0" t="s">
        <v>2444</v>
      </c>
    </row>
    <row r="3234" customFormat="false" ht="15" hidden="false" customHeight="true" outlineLevel="0" collapsed="false">
      <c r="A3234" s="0" t="n">
        <v>2</v>
      </c>
      <c r="B3234" s="71" t="n">
        <v>46212</v>
      </c>
      <c r="C3234" s="0" t="n">
        <v>100</v>
      </c>
      <c r="D3234" s="0" t="s">
        <v>2499</v>
      </c>
      <c r="E3234" s="0" t="n">
        <v>48</v>
      </c>
      <c r="F3234" s="0" t="s">
        <v>153</v>
      </c>
      <c r="I3234" s="0" t="n">
        <v>1375080</v>
      </c>
      <c r="J3234" s="0" t="n">
        <v>100004</v>
      </c>
      <c r="K3234" s="0" t="n">
        <v>5</v>
      </c>
      <c r="L3234" s="0" t="s">
        <v>2484</v>
      </c>
      <c r="N3234" s="0" t="n">
        <v>10.325</v>
      </c>
      <c r="O3234" s="0" t="n">
        <v>196.72</v>
      </c>
      <c r="P3234" s="0" t="s">
        <v>2444</v>
      </c>
    </row>
    <row r="3235" customFormat="false" ht="15" hidden="false" customHeight="true" outlineLevel="0" collapsed="false">
      <c r="A3235" s="0" t="n">
        <v>2</v>
      </c>
      <c r="B3235" s="71" t="n">
        <v>46212</v>
      </c>
      <c r="C3235" s="0" t="n">
        <v>100</v>
      </c>
      <c r="D3235" s="0" t="s">
        <v>2499</v>
      </c>
      <c r="E3235" s="0" t="n">
        <v>48</v>
      </c>
      <c r="F3235" s="0" t="s">
        <v>153</v>
      </c>
      <c r="I3235" s="0" t="n">
        <v>1375080</v>
      </c>
      <c r="J3235" s="0" t="n">
        <v>100006</v>
      </c>
      <c r="K3235" s="0" t="n">
        <v>7</v>
      </c>
      <c r="L3235" s="0" t="s">
        <v>2485</v>
      </c>
      <c r="N3235" s="0" t="n">
        <v>2.292</v>
      </c>
      <c r="O3235" s="0" t="n">
        <v>53.03</v>
      </c>
      <c r="P3235" s="0" t="s">
        <v>2444</v>
      </c>
    </row>
    <row r="3236" customFormat="false" ht="15" hidden="false" customHeight="true" outlineLevel="0" collapsed="false">
      <c r="A3236" s="0" t="n">
        <v>2</v>
      </c>
      <c r="B3236" s="71" t="n">
        <v>46212</v>
      </c>
      <c r="C3236" s="0" t="n">
        <v>100</v>
      </c>
      <c r="D3236" s="0" t="s">
        <v>2499</v>
      </c>
      <c r="E3236" s="0" t="n">
        <v>48</v>
      </c>
      <c r="F3236" s="0" t="s">
        <v>153</v>
      </c>
      <c r="I3236" s="0" t="n">
        <v>1375080</v>
      </c>
      <c r="J3236" s="0" t="n">
        <v>100007</v>
      </c>
      <c r="K3236" s="0" t="n">
        <v>8</v>
      </c>
      <c r="L3236" s="0" t="s">
        <v>2486</v>
      </c>
      <c r="N3236" s="0" t="n">
        <v>1.988</v>
      </c>
      <c r="O3236" s="0" t="n">
        <v>40.58</v>
      </c>
      <c r="P3236" s="0" t="s">
        <v>2444</v>
      </c>
    </row>
    <row r="3237" customFormat="false" ht="15" hidden="false" customHeight="true" outlineLevel="0" collapsed="false">
      <c r="A3237" s="0" t="n">
        <v>2</v>
      </c>
      <c r="B3237" s="71" t="n">
        <v>46212</v>
      </c>
      <c r="C3237" s="0" t="n">
        <v>100</v>
      </c>
      <c r="D3237" s="0" t="s">
        <v>2499</v>
      </c>
      <c r="E3237" s="0" t="n">
        <v>48</v>
      </c>
      <c r="F3237" s="0" t="s">
        <v>153</v>
      </c>
      <c r="I3237" s="0" t="n">
        <v>1375080</v>
      </c>
      <c r="J3237" s="0" t="n">
        <v>100008</v>
      </c>
      <c r="K3237" s="0" t="n">
        <v>9</v>
      </c>
      <c r="L3237" s="0" t="s">
        <v>2487</v>
      </c>
      <c r="N3237" s="0" t="n">
        <v>11.955</v>
      </c>
      <c r="O3237" s="0" t="n">
        <v>317.29</v>
      </c>
      <c r="P3237" s="0" t="s">
        <v>2444</v>
      </c>
    </row>
    <row r="3238" customFormat="false" ht="15" hidden="false" customHeight="true" outlineLevel="0" collapsed="false">
      <c r="A3238" s="0" t="n">
        <v>2</v>
      </c>
      <c r="B3238" s="71" t="n">
        <v>46212</v>
      </c>
      <c r="C3238" s="0" t="n">
        <v>100</v>
      </c>
      <c r="D3238" s="0" t="s">
        <v>2499</v>
      </c>
      <c r="E3238" s="0" t="n">
        <v>48</v>
      </c>
      <c r="F3238" s="0" t="s">
        <v>153</v>
      </c>
      <c r="I3238" s="0" t="n">
        <v>1375080</v>
      </c>
      <c r="J3238" s="0" t="n">
        <v>100011</v>
      </c>
      <c r="K3238" s="0" t="n">
        <v>12</v>
      </c>
      <c r="L3238" s="0" t="s">
        <v>2488</v>
      </c>
      <c r="N3238" s="0" t="n">
        <v>8.565</v>
      </c>
      <c r="O3238" s="0" t="n">
        <v>256.47</v>
      </c>
      <c r="P3238" s="0" t="s">
        <v>2444</v>
      </c>
    </row>
    <row r="3239" customFormat="false" ht="15" hidden="false" customHeight="true" outlineLevel="0" collapsed="false">
      <c r="A3239" s="0" t="n">
        <v>2</v>
      </c>
      <c r="B3239" s="71" t="n">
        <v>46212</v>
      </c>
      <c r="C3239" s="0" t="n">
        <v>100</v>
      </c>
      <c r="D3239" s="0" t="s">
        <v>2499</v>
      </c>
      <c r="E3239" s="0" t="n">
        <v>48</v>
      </c>
      <c r="F3239" s="0" t="s">
        <v>153</v>
      </c>
      <c r="I3239" s="0" t="n">
        <v>1375080</v>
      </c>
      <c r="J3239" s="0" t="n">
        <v>100012</v>
      </c>
      <c r="K3239" s="0" t="n">
        <v>13</v>
      </c>
      <c r="L3239" s="0" t="s">
        <v>2489</v>
      </c>
      <c r="N3239" s="0" t="n">
        <v>6.35</v>
      </c>
      <c r="O3239" s="0" t="n">
        <v>216.08</v>
      </c>
      <c r="P3239" s="0" t="s">
        <v>2444</v>
      </c>
    </row>
    <row r="3240" customFormat="false" ht="15" hidden="false" customHeight="true" outlineLevel="0" collapsed="false">
      <c r="A3240" s="0" t="n">
        <v>2</v>
      </c>
      <c r="B3240" s="71" t="n">
        <v>46212</v>
      </c>
      <c r="C3240" s="0" t="n">
        <v>100</v>
      </c>
      <c r="D3240" s="0" t="s">
        <v>2499</v>
      </c>
      <c r="E3240" s="0" t="n">
        <v>48</v>
      </c>
      <c r="F3240" s="0" t="s">
        <v>153</v>
      </c>
      <c r="I3240" s="0" t="n">
        <v>1375080</v>
      </c>
      <c r="J3240" s="0" t="n">
        <v>100013</v>
      </c>
      <c r="K3240" s="0" t="n">
        <v>14</v>
      </c>
      <c r="L3240" s="0" t="s">
        <v>2490</v>
      </c>
      <c r="N3240" s="0" t="n">
        <v>9.865</v>
      </c>
      <c r="O3240" s="0" t="n">
        <v>355.83</v>
      </c>
      <c r="P3240" s="0" t="s">
        <v>2444</v>
      </c>
    </row>
    <row r="3241" customFormat="false" ht="15" hidden="false" customHeight="true" outlineLevel="0" collapsed="false">
      <c r="A3241" s="0" t="n">
        <v>2</v>
      </c>
      <c r="B3241" s="71" t="n">
        <v>46212</v>
      </c>
      <c r="C3241" s="0" t="n">
        <v>100</v>
      </c>
      <c r="D3241" s="0" t="s">
        <v>2499</v>
      </c>
      <c r="E3241" s="0" t="n">
        <v>48</v>
      </c>
      <c r="F3241" s="0" t="s">
        <v>153</v>
      </c>
      <c r="I3241" s="0" t="n">
        <v>1375080</v>
      </c>
      <c r="J3241" s="0" t="n">
        <v>100014</v>
      </c>
      <c r="K3241" s="0" t="n">
        <v>15</v>
      </c>
      <c r="L3241" s="0" t="s">
        <v>2491</v>
      </c>
      <c r="N3241" s="0" t="n">
        <v>4.672</v>
      </c>
      <c r="O3241" s="0" t="n">
        <v>171.7</v>
      </c>
      <c r="P3241" s="0" t="s">
        <v>2444</v>
      </c>
    </row>
    <row r="3242" customFormat="false" ht="15" hidden="false" customHeight="true" outlineLevel="0" collapsed="false">
      <c r="A3242" s="0" t="n">
        <v>2</v>
      </c>
      <c r="B3242" s="71" t="n">
        <v>46212</v>
      </c>
      <c r="C3242" s="0" t="n">
        <v>100</v>
      </c>
      <c r="D3242" s="0" t="s">
        <v>2499</v>
      </c>
      <c r="E3242" s="0" t="n">
        <v>48</v>
      </c>
      <c r="F3242" s="0" t="s">
        <v>153</v>
      </c>
      <c r="I3242" s="0" t="n">
        <v>1375080</v>
      </c>
      <c r="J3242" s="0" t="n">
        <v>100015</v>
      </c>
      <c r="K3242" s="0" t="n">
        <v>16</v>
      </c>
      <c r="L3242" s="0" t="s">
        <v>2492</v>
      </c>
      <c r="N3242" s="0" t="n">
        <v>1.558</v>
      </c>
      <c r="O3242" s="0" t="n">
        <v>50.9</v>
      </c>
      <c r="P3242" s="0" t="s">
        <v>2444</v>
      </c>
    </row>
    <row r="3243" customFormat="false" ht="15" hidden="false" customHeight="true" outlineLevel="0" collapsed="false">
      <c r="A3243" s="0" t="n">
        <v>2</v>
      </c>
      <c r="B3243" s="71" t="n">
        <v>46212</v>
      </c>
      <c r="C3243" s="0" t="n">
        <v>100</v>
      </c>
      <c r="D3243" s="0" t="s">
        <v>2499</v>
      </c>
      <c r="E3243" s="0" t="n">
        <v>48</v>
      </c>
      <c r="F3243" s="0" t="s">
        <v>153</v>
      </c>
      <c r="I3243" s="0" t="n">
        <v>1375080</v>
      </c>
      <c r="J3243" s="0" t="n">
        <v>100016</v>
      </c>
      <c r="K3243" s="0" t="n">
        <v>17</v>
      </c>
      <c r="L3243" s="0" t="s">
        <v>2493</v>
      </c>
      <c r="N3243" s="0" t="n">
        <v>2.728</v>
      </c>
      <c r="O3243" s="0" t="n">
        <v>129.97</v>
      </c>
      <c r="P3243" s="0" t="s">
        <v>2444</v>
      </c>
    </row>
    <row r="3244" customFormat="false" ht="15" hidden="false" customHeight="true" outlineLevel="0" collapsed="false">
      <c r="A3244" s="0" t="n">
        <v>2</v>
      </c>
      <c r="B3244" s="71" t="n">
        <v>46212</v>
      </c>
      <c r="C3244" s="0" t="n">
        <v>100</v>
      </c>
      <c r="D3244" s="0" t="s">
        <v>2499</v>
      </c>
      <c r="E3244" s="0" t="n">
        <v>48</v>
      </c>
      <c r="F3244" s="0" t="s">
        <v>153</v>
      </c>
      <c r="I3244" s="0" t="n">
        <v>1375080</v>
      </c>
      <c r="J3244" s="0" t="n">
        <v>100017</v>
      </c>
      <c r="K3244" s="0" t="n">
        <v>18</v>
      </c>
      <c r="L3244" s="0" t="s">
        <v>2494</v>
      </c>
      <c r="N3244" s="0" t="n">
        <v>1.316</v>
      </c>
      <c r="O3244" s="0" t="n">
        <v>62.7</v>
      </c>
      <c r="P3244" s="0" t="s">
        <v>2444</v>
      </c>
    </row>
    <row r="3245" customFormat="false" ht="15" hidden="false" customHeight="true" outlineLevel="0" collapsed="false">
      <c r="A3245" s="0" t="n">
        <v>2</v>
      </c>
      <c r="B3245" s="71" t="n">
        <v>46212</v>
      </c>
      <c r="C3245" s="0" t="n">
        <v>100</v>
      </c>
      <c r="D3245" s="0" t="s">
        <v>2499</v>
      </c>
      <c r="E3245" s="0" t="n">
        <v>48</v>
      </c>
      <c r="F3245" s="0" t="s">
        <v>153</v>
      </c>
      <c r="I3245" s="0" t="n">
        <v>1375080</v>
      </c>
      <c r="J3245" s="0" t="n">
        <v>100021</v>
      </c>
      <c r="K3245" s="0" t="n">
        <v>22</v>
      </c>
      <c r="L3245" s="0" t="s">
        <v>2662</v>
      </c>
      <c r="N3245" s="0" t="n">
        <v>1.11</v>
      </c>
      <c r="O3245" s="0" t="n">
        <v>22.66</v>
      </c>
      <c r="P3245" s="0" t="s">
        <v>2444</v>
      </c>
    </row>
    <row r="3246" customFormat="false" ht="15" hidden="false" customHeight="true" outlineLevel="0" collapsed="false">
      <c r="A3246" s="0" t="n">
        <v>2</v>
      </c>
      <c r="B3246" s="71" t="n">
        <v>46212</v>
      </c>
      <c r="C3246" s="0" t="n">
        <v>100</v>
      </c>
      <c r="D3246" s="0" t="s">
        <v>2499</v>
      </c>
      <c r="E3246" s="0" t="n">
        <v>48</v>
      </c>
      <c r="F3246" s="0" t="s">
        <v>153</v>
      </c>
      <c r="I3246" s="0" t="n">
        <v>1375080</v>
      </c>
      <c r="J3246" s="0" t="n">
        <v>100053</v>
      </c>
      <c r="K3246" s="0" t="n">
        <v>54</v>
      </c>
      <c r="L3246" s="0" t="s">
        <v>2495</v>
      </c>
      <c r="N3246" s="0" t="n">
        <v>0.748</v>
      </c>
      <c r="O3246" s="0" t="n">
        <v>22.4</v>
      </c>
      <c r="P3246" s="0" t="s">
        <v>2444</v>
      </c>
    </row>
    <row r="3247" customFormat="false" ht="15" hidden="false" customHeight="true" outlineLevel="0" collapsed="false">
      <c r="A3247" s="0" t="n">
        <v>2</v>
      </c>
      <c r="B3247" s="71" t="n">
        <v>46212</v>
      </c>
      <c r="C3247" s="0" t="n">
        <v>100</v>
      </c>
      <c r="D3247" s="0" t="s">
        <v>2499</v>
      </c>
      <c r="E3247" s="0" t="n">
        <v>48</v>
      </c>
      <c r="F3247" s="0" t="s">
        <v>153</v>
      </c>
      <c r="I3247" s="0" t="n">
        <v>1375080</v>
      </c>
      <c r="J3247" s="0" t="n">
        <v>100638</v>
      </c>
      <c r="K3247" s="0" t="n">
        <v>508</v>
      </c>
      <c r="L3247" s="0" t="s">
        <v>2496</v>
      </c>
      <c r="N3247" s="0" t="n">
        <v>0.889</v>
      </c>
      <c r="O3247" s="0" t="n">
        <v>1.81</v>
      </c>
      <c r="P3247" s="0" t="s">
        <v>2444</v>
      </c>
    </row>
    <row r="3248" customFormat="false" ht="15" hidden="false" customHeight="true" outlineLevel="0" collapsed="false">
      <c r="A3248" s="0" t="n">
        <v>2</v>
      </c>
      <c r="B3248" s="71" t="n">
        <v>46212</v>
      </c>
      <c r="C3248" s="0" t="n">
        <v>100</v>
      </c>
      <c r="D3248" s="0" t="s">
        <v>2499</v>
      </c>
      <c r="E3248" s="0" t="n">
        <v>48</v>
      </c>
      <c r="F3248" s="0" t="s">
        <v>153</v>
      </c>
      <c r="I3248" s="0" t="n">
        <v>1375080</v>
      </c>
      <c r="J3248" s="0" t="n">
        <v>110137</v>
      </c>
      <c r="K3248" s="0" t="n">
        <v>13899</v>
      </c>
      <c r="L3248" s="0" t="s">
        <v>3780</v>
      </c>
      <c r="N3248" s="0" t="n">
        <v>12.285</v>
      </c>
      <c r="O3248" s="0" t="n">
        <v>41.73</v>
      </c>
      <c r="P3248" s="0" t="s">
        <v>2444</v>
      </c>
    </row>
    <row r="3249" customFormat="false" ht="15" hidden="false" customHeight="true" outlineLevel="0" collapsed="false">
      <c r="A3249" s="0" t="n">
        <v>2</v>
      </c>
      <c r="B3249" s="71" t="n">
        <v>46212</v>
      </c>
      <c r="C3249" s="0" t="n">
        <v>100</v>
      </c>
      <c r="D3249" s="0" t="s">
        <v>2499</v>
      </c>
      <c r="E3249" s="0" t="n">
        <v>48</v>
      </c>
      <c r="F3249" s="0" t="s">
        <v>153</v>
      </c>
      <c r="I3249" s="0" t="n">
        <v>1375080</v>
      </c>
      <c r="J3249" s="0" t="n">
        <v>110487</v>
      </c>
      <c r="K3249" s="0" t="n">
        <v>54688</v>
      </c>
      <c r="L3249" s="0" t="s">
        <v>2663</v>
      </c>
      <c r="N3249" s="0" t="n">
        <v>2.308</v>
      </c>
      <c r="O3249" s="0" t="n">
        <v>61.26</v>
      </c>
      <c r="P3249" s="0" t="s">
        <v>2444</v>
      </c>
    </row>
    <row r="3250" customFormat="false" ht="15" hidden="false" customHeight="true" outlineLevel="0" collapsed="false">
      <c r="A3250" s="0" t="n">
        <v>2</v>
      </c>
      <c r="B3250" s="71" t="n">
        <v>46212</v>
      </c>
      <c r="C3250" s="0" t="n">
        <v>171</v>
      </c>
      <c r="D3250" s="0" t="s">
        <v>3017</v>
      </c>
      <c r="E3250" s="0" t="n">
        <v>1612</v>
      </c>
      <c r="F3250" s="0" t="s">
        <v>74</v>
      </c>
      <c r="I3250" s="0" t="n">
        <v>2299702</v>
      </c>
      <c r="J3250" s="0" t="n">
        <v>38584</v>
      </c>
      <c r="K3250" s="0" t="n">
        <v>7898331012532</v>
      </c>
      <c r="L3250" s="0" t="s">
        <v>3970</v>
      </c>
      <c r="N3250" s="0" t="n">
        <v>6</v>
      </c>
      <c r="O3250" s="0" t="n">
        <v>35.7</v>
      </c>
      <c r="P3250" s="0" t="s">
        <v>3019</v>
      </c>
    </row>
    <row r="3251" customFormat="false" ht="15" hidden="false" customHeight="true" outlineLevel="0" collapsed="false">
      <c r="A3251" s="0" t="n">
        <v>2</v>
      </c>
      <c r="B3251" s="71" t="n">
        <v>46212</v>
      </c>
      <c r="C3251" s="0" t="n">
        <v>171</v>
      </c>
      <c r="D3251" s="0" t="s">
        <v>3017</v>
      </c>
      <c r="E3251" s="0" t="n">
        <v>1612</v>
      </c>
      <c r="F3251" s="0" t="s">
        <v>74</v>
      </c>
      <c r="I3251" s="0" t="n">
        <v>2299704</v>
      </c>
      <c r="J3251" s="0" t="n">
        <v>29067</v>
      </c>
      <c r="K3251" s="0" t="n">
        <v>78940734</v>
      </c>
      <c r="L3251" s="0" t="s">
        <v>3955</v>
      </c>
      <c r="N3251" s="0" t="n">
        <v>24</v>
      </c>
      <c r="O3251" s="0" t="n">
        <v>132.13</v>
      </c>
      <c r="P3251" s="0" t="s">
        <v>3019</v>
      </c>
    </row>
    <row r="3252" customFormat="false" ht="15" hidden="false" customHeight="true" outlineLevel="0" collapsed="false">
      <c r="A3252" s="0" t="n">
        <v>2</v>
      </c>
      <c r="B3252" s="71" t="n">
        <v>46212</v>
      </c>
      <c r="C3252" s="0" t="n">
        <v>171</v>
      </c>
      <c r="D3252" s="0" t="s">
        <v>3017</v>
      </c>
      <c r="E3252" s="0" t="n">
        <v>1612</v>
      </c>
      <c r="F3252" s="0" t="s">
        <v>74</v>
      </c>
      <c r="I3252" s="0" t="n">
        <v>2299706</v>
      </c>
      <c r="J3252" s="0" t="n">
        <v>44317</v>
      </c>
      <c r="K3252" s="0" t="n">
        <v>78909434</v>
      </c>
      <c r="L3252" s="0" t="s">
        <v>3957</v>
      </c>
      <c r="N3252" s="0" t="n">
        <v>96</v>
      </c>
      <c r="O3252" s="0" t="n">
        <v>721.92</v>
      </c>
      <c r="P3252" s="0" t="s">
        <v>3019</v>
      </c>
    </row>
    <row r="3253" customFormat="false" ht="15" hidden="false" customHeight="true" outlineLevel="0" collapsed="false">
      <c r="A3253" s="0" t="n">
        <v>2</v>
      </c>
      <c r="B3253" s="71" t="n">
        <v>46213</v>
      </c>
      <c r="C3253" s="0" t="n">
        <v>1</v>
      </c>
      <c r="D3253" s="0" t="s">
        <v>2442</v>
      </c>
      <c r="E3253" s="0" t="n">
        <v>10065</v>
      </c>
      <c r="F3253" s="0" t="s">
        <v>911</v>
      </c>
      <c r="I3253" s="0" t="n">
        <v>66</v>
      </c>
      <c r="J3253" s="0" t="n">
        <v>80611</v>
      </c>
      <c r="K3253" s="0" t="n">
        <v>7893692001003</v>
      </c>
      <c r="L3253" s="0" t="s">
        <v>3971</v>
      </c>
      <c r="N3253" s="0" t="n">
        <v>12</v>
      </c>
      <c r="O3253" s="0" t="n">
        <v>48</v>
      </c>
      <c r="P3253" s="0" t="s">
        <v>2444</v>
      </c>
    </row>
    <row r="3254" customFormat="false" ht="15" hidden="false" customHeight="true" outlineLevel="0" collapsed="false">
      <c r="A3254" s="0" t="n">
        <v>2</v>
      </c>
      <c r="B3254" s="71" t="n">
        <v>46213</v>
      </c>
      <c r="C3254" s="0" t="n">
        <v>1</v>
      </c>
      <c r="D3254" s="0" t="s">
        <v>2442</v>
      </c>
      <c r="E3254" s="0" t="n">
        <v>10065</v>
      </c>
      <c r="F3254" s="0" t="s">
        <v>911</v>
      </c>
      <c r="I3254" s="0" t="n">
        <v>66</v>
      </c>
      <c r="J3254" s="0" t="n">
        <v>80612</v>
      </c>
      <c r="K3254" s="0" t="n">
        <v>7893960211004</v>
      </c>
      <c r="L3254" s="0" t="s">
        <v>3972</v>
      </c>
      <c r="N3254" s="0" t="n">
        <v>12</v>
      </c>
      <c r="O3254" s="0" t="n">
        <v>48</v>
      </c>
      <c r="P3254" s="0" t="s">
        <v>2444</v>
      </c>
    </row>
    <row r="3255" customFormat="false" ht="15" hidden="false" customHeight="true" outlineLevel="0" collapsed="false">
      <c r="A3255" s="0" t="n">
        <v>2</v>
      </c>
      <c r="B3255" s="71" t="n">
        <v>46213</v>
      </c>
      <c r="C3255" s="0" t="n">
        <v>1</v>
      </c>
      <c r="D3255" s="0" t="s">
        <v>2442</v>
      </c>
      <c r="E3255" s="0" t="n">
        <v>10065</v>
      </c>
      <c r="F3255" s="0" t="s">
        <v>911</v>
      </c>
      <c r="I3255" s="0" t="n">
        <v>66</v>
      </c>
      <c r="J3255" s="0" t="n">
        <v>80613</v>
      </c>
      <c r="K3255" s="0" t="n">
        <v>7893960210007</v>
      </c>
      <c r="L3255" s="0" t="s">
        <v>3973</v>
      </c>
      <c r="N3255" s="0" t="n">
        <v>12</v>
      </c>
      <c r="O3255" s="0" t="n">
        <v>96</v>
      </c>
      <c r="P3255" s="0" t="s">
        <v>2444</v>
      </c>
    </row>
    <row r="3256" customFormat="false" ht="15" hidden="false" customHeight="true" outlineLevel="0" collapsed="false">
      <c r="A3256" s="0" t="n">
        <v>2</v>
      </c>
      <c r="B3256" s="71" t="n">
        <v>46213</v>
      </c>
      <c r="C3256" s="0" t="n">
        <v>1</v>
      </c>
      <c r="D3256" s="0" t="s">
        <v>2442</v>
      </c>
      <c r="E3256" s="0" t="n">
        <v>10065</v>
      </c>
      <c r="F3256" s="0" t="s">
        <v>911</v>
      </c>
      <c r="I3256" s="0" t="n">
        <v>66</v>
      </c>
      <c r="J3256" s="0" t="n">
        <v>80614</v>
      </c>
      <c r="K3256" s="0" t="n">
        <v>7896422562409</v>
      </c>
      <c r="L3256" s="0" t="s">
        <v>3974</v>
      </c>
      <c r="N3256" s="0" t="n">
        <v>12</v>
      </c>
      <c r="O3256" s="0" t="n">
        <v>48</v>
      </c>
      <c r="P3256" s="0" t="s">
        <v>2444</v>
      </c>
    </row>
    <row r="3257" customFormat="false" ht="15" hidden="false" customHeight="true" outlineLevel="0" collapsed="false">
      <c r="A3257" s="0" t="n">
        <v>2</v>
      </c>
      <c r="B3257" s="71" t="n">
        <v>46213</v>
      </c>
      <c r="C3257" s="0" t="n">
        <v>1</v>
      </c>
      <c r="D3257" s="0" t="s">
        <v>2442</v>
      </c>
      <c r="E3257" s="0" t="n">
        <v>10065</v>
      </c>
      <c r="F3257" s="0" t="s">
        <v>911</v>
      </c>
      <c r="I3257" s="0" t="n">
        <v>66</v>
      </c>
      <c r="J3257" s="0" t="n">
        <v>80615</v>
      </c>
      <c r="K3257" s="0" t="n">
        <v>7896422562508</v>
      </c>
      <c r="L3257" s="0" t="s">
        <v>3975</v>
      </c>
      <c r="N3257" s="0" t="n">
        <v>12</v>
      </c>
      <c r="O3257" s="0" t="n">
        <v>96</v>
      </c>
      <c r="P3257" s="0" t="s">
        <v>2444</v>
      </c>
    </row>
    <row r="3258" customFormat="false" ht="15" hidden="false" customHeight="true" outlineLevel="0" collapsed="false">
      <c r="A3258" s="0" t="n">
        <v>2</v>
      </c>
      <c r="B3258" s="71" t="n">
        <v>46213</v>
      </c>
      <c r="C3258" s="0" t="n">
        <v>1</v>
      </c>
      <c r="D3258" s="0" t="s">
        <v>2442</v>
      </c>
      <c r="E3258" s="0" t="n">
        <v>10065</v>
      </c>
      <c r="F3258" s="0" t="s">
        <v>911</v>
      </c>
      <c r="I3258" s="0" t="n">
        <v>66</v>
      </c>
      <c r="J3258" s="0" t="n">
        <v>80616</v>
      </c>
      <c r="K3258" s="0" t="n">
        <v>7893969503599</v>
      </c>
      <c r="L3258" s="0" t="s">
        <v>3976</v>
      </c>
      <c r="N3258" s="0" t="n">
        <v>12</v>
      </c>
      <c r="O3258" s="0" t="n">
        <v>96</v>
      </c>
      <c r="P3258" s="0" t="s">
        <v>2444</v>
      </c>
    </row>
    <row r="3259" customFormat="false" ht="15" hidden="false" customHeight="true" outlineLevel="0" collapsed="false">
      <c r="A3259" s="0" t="n">
        <v>2</v>
      </c>
      <c r="B3259" s="71" t="n">
        <v>46213</v>
      </c>
      <c r="C3259" s="0" t="n">
        <v>1</v>
      </c>
      <c r="D3259" s="0" t="s">
        <v>2442</v>
      </c>
      <c r="E3259" s="0" t="n">
        <v>10018</v>
      </c>
      <c r="F3259" s="0" t="s">
        <v>216</v>
      </c>
      <c r="I3259" s="0" t="n">
        <v>333</v>
      </c>
      <c r="J3259" s="0" t="n">
        <v>12541</v>
      </c>
      <c r="K3259" s="0" t="n">
        <v>7896180782392</v>
      </c>
      <c r="L3259" s="0" t="s">
        <v>3977</v>
      </c>
      <c r="N3259" s="0" t="n">
        <v>36</v>
      </c>
      <c r="O3259" s="0" t="n">
        <v>119.97</v>
      </c>
      <c r="P3259" s="0" t="s">
        <v>2444</v>
      </c>
    </row>
    <row r="3260" customFormat="false" ht="15" hidden="false" customHeight="true" outlineLevel="0" collapsed="false">
      <c r="A3260" s="0" t="n">
        <v>2</v>
      </c>
      <c r="B3260" s="71" t="n">
        <v>46213</v>
      </c>
      <c r="C3260" s="0" t="n">
        <v>1</v>
      </c>
      <c r="D3260" s="0" t="s">
        <v>2442</v>
      </c>
      <c r="E3260" s="0" t="n">
        <v>10018</v>
      </c>
      <c r="F3260" s="0" t="s">
        <v>216</v>
      </c>
      <c r="I3260" s="0" t="n">
        <v>333</v>
      </c>
      <c r="J3260" s="0" t="n">
        <v>12855</v>
      </c>
      <c r="K3260" s="0" t="n">
        <v>7898910758127</v>
      </c>
      <c r="L3260" s="0" t="s">
        <v>3458</v>
      </c>
      <c r="N3260" s="0" t="n">
        <v>30</v>
      </c>
      <c r="O3260" s="0" t="n">
        <v>129.5</v>
      </c>
      <c r="P3260" s="0" t="s">
        <v>2444</v>
      </c>
    </row>
    <row r="3261" customFormat="false" ht="15" hidden="false" customHeight="true" outlineLevel="0" collapsed="false">
      <c r="A3261" s="0" t="n">
        <v>2</v>
      </c>
      <c r="B3261" s="71" t="n">
        <v>46213</v>
      </c>
      <c r="C3261" s="0" t="n">
        <v>1</v>
      </c>
      <c r="D3261" s="0" t="s">
        <v>2442</v>
      </c>
      <c r="E3261" s="0" t="n">
        <v>10018</v>
      </c>
      <c r="F3261" s="0" t="s">
        <v>216</v>
      </c>
      <c r="I3261" s="0" t="n">
        <v>333</v>
      </c>
      <c r="J3261" s="0" t="n">
        <v>13018</v>
      </c>
      <c r="K3261" s="0" t="n">
        <v>7898910758097</v>
      </c>
      <c r="L3261" s="0" t="s">
        <v>3978</v>
      </c>
      <c r="N3261" s="0" t="n">
        <v>24</v>
      </c>
      <c r="O3261" s="0" t="n">
        <v>43.8</v>
      </c>
      <c r="P3261" s="0" t="s">
        <v>2444</v>
      </c>
    </row>
    <row r="3262" customFormat="false" ht="15" hidden="false" customHeight="true" outlineLevel="0" collapsed="false">
      <c r="A3262" s="0" t="n">
        <v>2</v>
      </c>
      <c r="B3262" s="71" t="n">
        <v>46213</v>
      </c>
      <c r="C3262" s="0" t="n">
        <v>1</v>
      </c>
      <c r="D3262" s="0" t="s">
        <v>2442</v>
      </c>
      <c r="E3262" s="0" t="n">
        <v>10018</v>
      </c>
      <c r="F3262" s="0" t="s">
        <v>216</v>
      </c>
      <c r="I3262" s="0" t="n">
        <v>333</v>
      </c>
      <c r="J3262" s="0" t="n">
        <v>13019</v>
      </c>
      <c r="K3262" s="0" t="n">
        <v>7898910758103</v>
      </c>
      <c r="L3262" s="0" t="s">
        <v>3979</v>
      </c>
      <c r="N3262" s="0" t="n">
        <v>24</v>
      </c>
      <c r="O3262" s="0" t="n">
        <v>43.8</v>
      </c>
      <c r="P3262" s="0" t="s">
        <v>2444</v>
      </c>
    </row>
    <row r="3263" customFormat="false" ht="15" hidden="false" customHeight="true" outlineLevel="0" collapsed="false">
      <c r="A3263" s="0" t="n">
        <v>2</v>
      </c>
      <c r="B3263" s="71" t="n">
        <v>46213</v>
      </c>
      <c r="C3263" s="0" t="n">
        <v>1</v>
      </c>
      <c r="D3263" s="0" t="s">
        <v>2442</v>
      </c>
      <c r="E3263" s="0" t="n">
        <v>10018</v>
      </c>
      <c r="F3263" s="0" t="s">
        <v>216</v>
      </c>
      <c r="I3263" s="0" t="n">
        <v>333</v>
      </c>
      <c r="J3263" s="0" t="n">
        <v>13912</v>
      </c>
      <c r="K3263" s="0" t="n">
        <v>7898910758189</v>
      </c>
      <c r="L3263" s="0" t="s">
        <v>3459</v>
      </c>
      <c r="N3263" s="0" t="n">
        <v>30</v>
      </c>
      <c r="O3263" s="0" t="n">
        <v>134</v>
      </c>
      <c r="P3263" s="0" t="s">
        <v>2444</v>
      </c>
    </row>
    <row r="3264" customFormat="false" ht="15" hidden="false" customHeight="true" outlineLevel="0" collapsed="false">
      <c r="A3264" s="0" t="n">
        <v>2</v>
      </c>
      <c r="B3264" s="71" t="n">
        <v>46213</v>
      </c>
      <c r="C3264" s="0" t="n">
        <v>1</v>
      </c>
      <c r="D3264" s="0" t="s">
        <v>2442</v>
      </c>
      <c r="E3264" s="0" t="n">
        <v>10018</v>
      </c>
      <c r="F3264" s="0" t="s">
        <v>216</v>
      </c>
      <c r="I3264" s="0" t="n">
        <v>333</v>
      </c>
      <c r="J3264" s="0" t="n">
        <v>14177</v>
      </c>
      <c r="K3264" s="0" t="n">
        <v>7898910758165</v>
      </c>
      <c r="L3264" s="0" t="s">
        <v>3980</v>
      </c>
      <c r="N3264" s="0" t="n">
        <v>30</v>
      </c>
      <c r="O3264" s="0" t="n">
        <v>134</v>
      </c>
      <c r="P3264" s="0" t="s">
        <v>2444</v>
      </c>
    </row>
    <row r="3265" customFormat="false" ht="15" hidden="false" customHeight="true" outlineLevel="0" collapsed="false">
      <c r="A3265" s="0" t="n">
        <v>2</v>
      </c>
      <c r="B3265" s="71" t="n">
        <v>46213</v>
      </c>
      <c r="C3265" s="0" t="n">
        <v>1</v>
      </c>
      <c r="D3265" s="0" t="s">
        <v>2442</v>
      </c>
      <c r="E3265" s="0" t="n">
        <v>10018</v>
      </c>
      <c r="F3265" s="0" t="s">
        <v>216</v>
      </c>
      <c r="I3265" s="0" t="n">
        <v>333</v>
      </c>
      <c r="J3265" s="0" t="n">
        <v>17757</v>
      </c>
      <c r="K3265" s="0" t="n">
        <v>7898910758349</v>
      </c>
      <c r="L3265" s="0" t="s">
        <v>3981</v>
      </c>
      <c r="N3265" s="0" t="n">
        <v>30</v>
      </c>
      <c r="O3265" s="0" t="n">
        <v>129.5</v>
      </c>
      <c r="P3265" s="0" t="s">
        <v>2444</v>
      </c>
    </row>
    <row r="3266" customFormat="false" ht="15" hidden="false" customHeight="true" outlineLevel="0" collapsed="false">
      <c r="A3266" s="0" t="n">
        <v>2</v>
      </c>
      <c r="B3266" s="71" t="n">
        <v>46213</v>
      </c>
      <c r="C3266" s="0" t="n">
        <v>1</v>
      </c>
      <c r="D3266" s="0" t="s">
        <v>2442</v>
      </c>
      <c r="E3266" s="0" t="n">
        <v>10018</v>
      </c>
      <c r="F3266" s="0" t="s">
        <v>216</v>
      </c>
      <c r="I3266" s="0" t="n">
        <v>333</v>
      </c>
      <c r="J3266" s="0" t="n">
        <v>18365</v>
      </c>
      <c r="K3266" s="0" t="n">
        <v>7898910758356</v>
      </c>
      <c r="L3266" s="0" t="s">
        <v>3982</v>
      </c>
      <c r="N3266" s="0" t="n">
        <v>30</v>
      </c>
      <c r="O3266" s="0" t="n">
        <v>134</v>
      </c>
      <c r="P3266" s="0" t="s">
        <v>2444</v>
      </c>
    </row>
    <row r="3267" customFormat="false" ht="15" hidden="false" customHeight="true" outlineLevel="0" collapsed="false">
      <c r="A3267" s="0" t="n">
        <v>2</v>
      </c>
      <c r="B3267" s="71" t="n">
        <v>46213</v>
      </c>
      <c r="C3267" s="0" t="n">
        <v>1</v>
      </c>
      <c r="D3267" s="0" t="s">
        <v>2442</v>
      </c>
      <c r="E3267" s="0" t="n">
        <v>10018</v>
      </c>
      <c r="F3267" s="0" t="s">
        <v>216</v>
      </c>
      <c r="I3267" s="0" t="n">
        <v>333</v>
      </c>
      <c r="J3267" s="0" t="n">
        <v>22931</v>
      </c>
      <c r="K3267" s="0" t="n">
        <v>7898910758509</v>
      </c>
      <c r="L3267" s="0" t="s">
        <v>3983</v>
      </c>
      <c r="N3267" s="0" t="n">
        <v>30</v>
      </c>
      <c r="O3267" s="0" t="n">
        <v>129.5</v>
      </c>
      <c r="P3267" s="0" t="s">
        <v>2444</v>
      </c>
    </row>
    <row r="3268" customFormat="false" ht="15" hidden="false" customHeight="true" outlineLevel="0" collapsed="false">
      <c r="A3268" s="0" t="n">
        <v>2</v>
      </c>
      <c r="B3268" s="71" t="n">
        <v>46213</v>
      </c>
      <c r="C3268" s="0" t="n">
        <v>1</v>
      </c>
      <c r="D3268" s="0" t="s">
        <v>2442</v>
      </c>
      <c r="E3268" s="0" t="n">
        <v>10018</v>
      </c>
      <c r="F3268" s="0" t="s">
        <v>216</v>
      </c>
      <c r="I3268" s="0" t="n">
        <v>333</v>
      </c>
      <c r="J3268" s="0" t="n">
        <v>24889</v>
      </c>
      <c r="K3268" s="0" t="n">
        <v>7898910758363</v>
      </c>
      <c r="L3268" s="0" t="s">
        <v>3984</v>
      </c>
      <c r="N3268" s="0" t="n">
        <v>24</v>
      </c>
      <c r="O3268" s="0" t="n">
        <v>43.8</v>
      </c>
      <c r="P3268" s="0" t="s">
        <v>2444</v>
      </c>
    </row>
    <row r="3269" customFormat="false" ht="15" hidden="false" customHeight="true" outlineLevel="0" collapsed="false">
      <c r="A3269" s="0" t="n">
        <v>2</v>
      </c>
      <c r="B3269" s="71" t="n">
        <v>46213</v>
      </c>
      <c r="C3269" s="0" t="n">
        <v>1</v>
      </c>
      <c r="D3269" s="0" t="s">
        <v>2442</v>
      </c>
      <c r="E3269" s="0" t="n">
        <v>10018</v>
      </c>
      <c r="F3269" s="0" t="s">
        <v>216</v>
      </c>
      <c r="I3269" s="0" t="n">
        <v>333</v>
      </c>
      <c r="J3269" s="0" t="n">
        <v>27415</v>
      </c>
      <c r="K3269" s="0" t="n">
        <v>7898910758684</v>
      </c>
      <c r="L3269" s="0" t="s">
        <v>3983</v>
      </c>
      <c r="N3269" s="0" t="n">
        <v>30</v>
      </c>
      <c r="O3269" s="0" t="n">
        <v>129.5</v>
      </c>
      <c r="P3269" s="0" t="s">
        <v>2444</v>
      </c>
    </row>
    <row r="3270" customFormat="false" ht="15" hidden="false" customHeight="true" outlineLevel="0" collapsed="false">
      <c r="A3270" s="0" t="n">
        <v>2</v>
      </c>
      <c r="B3270" s="71" t="n">
        <v>46213</v>
      </c>
      <c r="C3270" s="0" t="n">
        <v>1</v>
      </c>
      <c r="D3270" s="0" t="s">
        <v>2442</v>
      </c>
      <c r="E3270" s="0" t="n">
        <v>10035</v>
      </c>
      <c r="F3270" s="0" t="s">
        <v>86</v>
      </c>
      <c r="I3270" s="0" t="n">
        <v>351</v>
      </c>
      <c r="J3270" s="0" t="n">
        <v>38652</v>
      </c>
      <c r="K3270" s="0" t="n">
        <v>7898994684220</v>
      </c>
      <c r="L3270" s="0" t="s">
        <v>2711</v>
      </c>
      <c r="N3270" s="0" t="n">
        <v>25</v>
      </c>
      <c r="O3270" s="0" t="n">
        <v>225</v>
      </c>
      <c r="P3270" s="0" t="s">
        <v>2444</v>
      </c>
    </row>
    <row r="3271" customFormat="false" ht="15" hidden="false" customHeight="true" outlineLevel="0" collapsed="false">
      <c r="A3271" s="0" t="n">
        <v>2</v>
      </c>
      <c r="B3271" s="71" t="n">
        <v>46213</v>
      </c>
      <c r="C3271" s="0" t="n">
        <v>1</v>
      </c>
      <c r="D3271" s="0" t="s">
        <v>2442</v>
      </c>
      <c r="E3271" s="0" t="n">
        <v>901</v>
      </c>
      <c r="F3271" s="0" t="s">
        <v>332</v>
      </c>
      <c r="I3271" s="0" t="n">
        <v>462</v>
      </c>
      <c r="J3271" s="0" t="n">
        <v>59105</v>
      </c>
      <c r="K3271" s="0" t="n">
        <v>2255903</v>
      </c>
      <c r="L3271" s="0" t="s">
        <v>3985</v>
      </c>
      <c r="N3271" s="0" t="n">
        <v>29</v>
      </c>
      <c r="O3271" s="0" t="n">
        <v>435</v>
      </c>
      <c r="P3271" s="0" t="s">
        <v>2444</v>
      </c>
    </row>
    <row r="3272" customFormat="false" ht="15" hidden="false" customHeight="true" outlineLevel="0" collapsed="false">
      <c r="A3272" s="0" t="n">
        <v>2</v>
      </c>
      <c r="B3272" s="71" t="n">
        <v>46213</v>
      </c>
      <c r="C3272" s="0" t="n">
        <v>1</v>
      </c>
      <c r="D3272" s="0" t="s">
        <v>2442</v>
      </c>
      <c r="E3272" s="0" t="n">
        <v>1270</v>
      </c>
      <c r="F3272" s="0" t="s">
        <v>925</v>
      </c>
      <c r="I3272" s="0" t="n">
        <v>2635</v>
      </c>
      <c r="J3272" s="0" t="n">
        <v>30611</v>
      </c>
      <c r="K3272" s="0" t="n">
        <v>7688659330568</v>
      </c>
      <c r="L3272" s="0" t="s">
        <v>3986</v>
      </c>
      <c r="N3272" s="0" t="n">
        <v>25</v>
      </c>
      <c r="O3272" s="0" t="n">
        <v>75</v>
      </c>
      <c r="P3272" s="0" t="s">
        <v>2444</v>
      </c>
    </row>
    <row r="3273" customFormat="false" ht="15" hidden="false" customHeight="true" outlineLevel="0" collapsed="false">
      <c r="A3273" s="0" t="n">
        <v>2</v>
      </c>
      <c r="B3273" s="71" t="n">
        <v>46213</v>
      </c>
      <c r="C3273" s="0" t="n">
        <v>1</v>
      </c>
      <c r="D3273" s="0" t="s">
        <v>2442</v>
      </c>
      <c r="E3273" s="0" t="n">
        <v>1270</v>
      </c>
      <c r="F3273" s="0" t="s">
        <v>925</v>
      </c>
      <c r="I3273" s="0" t="n">
        <v>2635</v>
      </c>
      <c r="J3273" s="0" t="n">
        <v>30613</v>
      </c>
      <c r="K3273" s="0" t="n">
        <v>7688659330650</v>
      </c>
      <c r="L3273" s="0" t="s">
        <v>3987</v>
      </c>
      <c r="N3273" s="0" t="n">
        <v>25</v>
      </c>
      <c r="O3273" s="0" t="n">
        <v>75</v>
      </c>
      <c r="P3273" s="0" t="s">
        <v>2444</v>
      </c>
    </row>
    <row r="3274" customFormat="false" ht="15" hidden="false" customHeight="true" outlineLevel="0" collapsed="false">
      <c r="A3274" s="0" t="n">
        <v>2</v>
      </c>
      <c r="B3274" s="71" t="n">
        <v>46213</v>
      </c>
      <c r="C3274" s="0" t="n">
        <v>1</v>
      </c>
      <c r="D3274" s="0" t="s">
        <v>2442</v>
      </c>
      <c r="E3274" s="0" t="n">
        <v>1609</v>
      </c>
      <c r="F3274" s="0" t="s">
        <v>84</v>
      </c>
      <c r="I3274" s="0" t="n">
        <v>5786</v>
      </c>
      <c r="J3274" s="0" t="n">
        <v>13225</v>
      </c>
      <c r="K3274" s="0" t="n">
        <v>7896981601151</v>
      </c>
      <c r="L3274" s="0" t="s">
        <v>3453</v>
      </c>
      <c r="N3274" s="0" t="n">
        <v>12</v>
      </c>
      <c r="O3274" s="0" t="n">
        <v>45</v>
      </c>
      <c r="P3274" s="0" t="s">
        <v>2444</v>
      </c>
    </row>
    <row r="3275" customFormat="false" ht="15" hidden="false" customHeight="true" outlineLevel="0" collapsed="false">
      <c r="A3275" s="0" t="n">
        <v>2</v>
      </c>
      <c r="B3275" s="71" t="n">
        <v>46213</v>
      </c>
      <c r="C3275" s="0" t="n">
        <v>1</v>
      </c>
      <c r="D3275" s="0" t="s">
        <v>2442</v>
      </c>
      <c r="E3275" s="0" t="n">
        <v>1609</v>
      </c>
      <c r="F3275" s="0" t="s">
        <v>84</v>
      </c>
      <c r="I3275" s="0" t="n">
        <v>5786</v>
      </c>
      <c r="J3275" s="0" t="n">
        <v>13720</v>
      </c>
      <c r="K3275" s="0" t="n">
        <v>7896981600307</v>
      </c>
      <c r="L3275" s="0" t="s">
        <v>2608</v>
      </c>
      <c r="N3275" s="0" t="n">
        <v>9</v>
      </c>
      <c r="O3275" s="0" t="n">
        <v>55</v>
      </c>
      <c r="P3275" s="0" t="s">
        <v>2444</v>
      </c>
    </row>
    <row r="3276" customFormat="false" ht="15" hidden="false" customHeight="true" outlineLevel="0" collapsed="false">
      <c r="A3276" s="0" t="n">
        <v>2</v>
      </c>
      <c r="B3276" s="71" t="n">
        <v>46213</v>
      </c>
      <c r="C3276" s="0" t="n">
        <v>1</v>
      </c>
      <c r="D3276" s="0" t="s">
        <v>2442</v>
      </c>
      <c r="E3276" s="0" t="n">
        <v>1609</v>
      </c>
      <c r="F3276" s="0" t="s">
        <v>84</v>
      </c>
      <c r="I3276" s="0" t="n">
        <v>5786</v>
      </c>
      <c r="J3276" s="0" t="n">
        <v>17163</v>
      </c>
      <c r="K3276" s="0" t="n">
        <v>7896981600567</v>
      </c>
      <c r="L3276" s="0" t="s">
        <v>2609</v>
      </c>
      <c r="N3276" s="0" t="n">
        <v>9</v>
      </c>
      <c r="O3276" s="0" t="n">
        <v>80</v>
      </c>
      <c r="P3276" s="0" t="s">
        <v>2444</v>
      </c>
    </row>
    <row r="3277" customFormat="false" ht="15" hidden="false" customHeight="true" outlineLevel="0" collapsed="false">
      <c r="A3277" s="0" t="n">
        <v>2</v>
      </c>
      <c r="B3277" s="71" t="n">
        <v>46213</v>
      </c>
      <c r="C3277" s="0" t="n">
        <v>1</v>
      </c>
      <c r="D3277" s="0" t="s">
        <v>2442</v>
      </c>
      <c r="E3277" s="0" t="n">
        <v>1609</v>
      </c>
      <c r="F3277" s="0" t="s">
        <v>84</v>
      </c>
      <c r="I3277" s="0" t="n">
        <v>5786</v>
      </c>
      <c r="J3277" s="0" t="n">
        <v>18382</v>
      </c>
      <c r="K3277" s="0" t="n">
        <v>7896878801190</v>
      </c>
      <c r="L3277" s="0" t="s">
        <v>2610</v>
      </c>
      <c r="N3277" s="0" t="n">
        <v>30</v>
      </c>
      <c r="O3277" s="0" t="n">
        <v>57</v>
      </c>
      <c r="P3277" s="0" t="s">
        <v>2444</v>
      </c>
    </row>
    <row r="3278" customFormat="false" ht="15" hidden="false" customHeight="true" outlineLevel="0" collapsed="false">
      <c r="A3278" s="0" t="n">
        <v>2</v>
      </c>
      <c r="B3278" s="71" t="n">
        <v>46213</v>
      </c>
      <c r="C3278" s="0" t="n">
        <v>1</v>
      </c>
      <c r="D3278" s="0" t="s">
        <v>2442</v>
      </c>
      <c r="E3278" s="0" t="n">
        <v>1609</v>
      </c>
      <c r="F3278" s="0" t="s">
        <v>84</v>
      </c>
      <c r="I3278" s="0" t="n">
        <v>5786</v>
      </c>
      <c r="J3278" s="0" t="n">
        <v>18385</v>
      </c>
      <c r="K3278" s="0" t="n">
        <v>7896878801220</v>
      </c>
      <c r="L3278" s="0" t="s">
        <v>2613</v>
      </c>
      <c r="N3278" s="0" t="n">
        <v>9</v>
      </c>
      <c r="O3278" s="0" t="n">
        <v>70.65</v>
      </c>
      <c r="P3278" s="0" t="s">
        <v>2444</v>
      </c>
    </row>
    <row r="3279" customFormat="false" ht="15" hidden="false" customHeight="true" outlineLevel="0" collapsed="false">
      <c r="A3279" s="0" t="n">
        <v>2</v>
      </c>
      <c r="B3279" s="71" t="n">
        <v>46213</v>
      </c>
      <c r="C3279" s="0" t="n">
        <v>1</v>
      </c>
      <c r="D3279" s="0" t="s">
        <v>2442</v>
      </c>
      <c r="E3279" s="0" t="n">
        <v>1609</v>
      </c>
      <c r="F3279" s="0" t="s">
        <v>84</v>
      </c>
      <c r="I3279" s="0" t="n">
        <v>5786</v>
      </c>
      <c r="J3279" s="0" t="n">
        <v>18775</v>
      </c>
      <c r="K3279" s="0" t="n">
        <v>7896878801237</v>
      </c>
      <c r="L3279" s="0" t="s">
        <v>2614</v>
      </c>
      <c r="N3279" s="0" t="n">
        <v>20</v>
      </c>
      <c r="O3279" s="0" t="n">
        <v>66</v>
      </c>
      <c r="P3279" s="0" t="s">
        <v>2444</v>
      </c>
    </row>
    <row r="3280" customFormat="false" ht="15" hidden="false" customHeight="true" outlineLevel="0" collapsed="false">
      <c r="A3280" s="0" t="n">
        <v>2</v>
      </c>
      <c r="B3280" s="71" t="n">
        <v>46213</v>
      </c>
      <c r="C3280" s="0" t="n">
        <v>1</v>
      </c>
      <c r="D3280" s="0" t="s">
        <v>2442</v>
      </c>
      <c r="E3280" s="0" t="n">
        <v>1609</v>
      </c>
      <c r="F3280" s="0" t="s">
        <v>84</v>
      </c>
      <c r="I3280" s="0" t="n">
        <v>5786</v>
      </c>
      <c r="J3280" s="0" t="n">
        <v>18968</v>
      </c>
      <c r="K3280" s="0" t="n">
        <v>7896878801244</v>
      </c>
      <c r="L3280" s="0" t="s">
        <v>2616</v>
      </c>
      <c r="N3280" s="0" t="n">
        <v>20</v>
      </c>
      <c r="O3280" s="0" t="n">
        <v>66</v>
      </c>
      <c r="P3280" s="0" t="s">
        <v>2444</v>
      </c>
    </row>
    <row r="3281" customFormat="false" ht="15" hidden="false" customHeight="true" outlineLevel="0" collapsed="false">
      <c r="A3281" s="0" t="n">
        <v>2</v>
      </c>
      <c r="B3281" s="71" t="n">
        <v>46213</v>
      </c>
      <c r="C3281" s="0" t="n">
        <v>1</v>
      </c>
      <c r="D3281" s="0" t="s">
        <v>2442</v>
      </c>
      <c r="E3281" s="0" t="n">
        <v>1609</v>
      </c>
      <c r="F3281" s="0" t="s">
        <v>84</v>
      </c>
      <c r="I3281" s="0" t="n">
        <v>5786</v>
      </c>
      <c r="J3281" s="0" t="n">
        <v>19201</v>
      </c>
      <c r="K3281" s="0" t="n">
        <v>7896878801015</v>
      </c>
      <c r="L3281" s="0" t="s">
        <v>3988</v>
      </c>
      <c r="N3281" s="0" t="n">
        <v>20</v>
      </c>
      <c r="O3281" s="0" t="n">
        <v>80</v>
      </c>
      <c r="P3281" s="0" t="s">
        <v>2444</v>
      </c>
    </row>
    <row r="3282" customFormat="false" ht="15" hidden="false" customHeight="true" outlineLevel="0" collapsed="false">
      <c r="A3282" s="0" t="n">
        <v>2</v>
      </c>
      <c r="B3282" s="71" t="n">
        <v>46213</v>
      </c>
      <c r="C3282" s="0" t="n">
        <v>1</v>
      </c>
      <c r="D3282" s="0" t="s">
        <v>2442</v>
      </c>
      <c r="E3282" s="0" t="n">
        <v>1734</v>
      </c>
      <c r="F3282" s="0" t="s">
        <v>566</v>
      </c>
      <c r="I3282" s="0" t="n">
        <v>255191</v>
      </c>
      <c r="J3282" s="0" t="n">
        <v>38215</v>
      </c>
      <c r="K3282" s="0" t="n">
        <v>7898055450474</v>
      </c>
      <c r="L3282" s="0" t="s">
        <v>3989</v>
      </c>
      <c r="N3282" s="0" t="n">
        <v>20</v>
      </c>
      <c r="O3282" s="0" t="n">
        <v>146.86</v>
      </c>
      <c r="P3282" s="0" t="s">
        <v>2444</v>
      </c>
    </row>
    <row r="3283" customFormat="false" ht="15" hidden="false" customHeight="true" outlineLevel="0" collapsed="false">
      <c r="A3283" s="0" t="n">
        <v>2</v>
      </c>
      <c r="B3283" s="71" t="n">
        <v>46213</v>
      </c>
      <c r="C3283" s="0" t="n">
        <v>1</v>
      </c>
      <c r="D3283" s="0" t="s">
        <v>2442</v>
      </c>
      <c r="E3283" s="0" t="n">
        <v>1734</v>
      </c>
      <c r="F3283" s="0" t="s">
        <v>566</v>
      </c>
      <c r="I3283" s="0" t="n">
        <v>255191</v>
      </c>
      <c r="J3283" s="0" t="n">
        <v>38784</v>
      </c>
      <c r="K3283" s="0" t="n">
        <v>7898055450320</v>
      </c>
      <c r="L3283" s="0" t="s">
        <v>3990</v>
      </c>
      <c r="N3283" s="0" t="n">
        <v>20</v>
      </c>
      <c r="O3283" s="0" t="n">
        <v>52.45</v>
      </c>
      <c r="P3283" s="0" t="s">
        <v>2444</v>
      </c>
    </row>
    <row r="3284" customFormat="false" ht="15" hidden="false" customHeight="true" outlineLevel="0" collapsed="false">
      <c r="A3284" s="0" t="n">
        <v>2</v>
      </c>
      <c r="B3284" s="71" t="n">
        <v>46213</v>
      </c>
      <c r="C3284" s="0" t="n">
        <v>1</v>
      </c>
      <c r="D3284" s="0" t="s">
        <v>2442</v>
      </c>
      <c r="E3284" s="0" t="n">
        <v>1734</v>
      </c>
      <c r="F3284" s="0" t="s">
        <v>566</v>
      </c>
      <c r="I3284" s="0" t="n">
        <v>255191</v>
      </c>
      <c r="J3284" s="0" t="n">
        <v>38787</v>
      </c>
      <c r="K3284" s="0" t="n">
        <v>7898055450849</v>
      </c>
      <c r="L3284" s="0" t="s">
        <v>3991</v>
      </c>
      <c r="N3284" s="0" t="n">
        <v>20</v>
      </c>
      <c r="O3284" s="0" t="n">
        <v>146.86</v>
      </c>
      <c r="P3284" s="0" t="s">
        <v>2444</v>
      </c>
    </row>
    <row r="3285" customFormat="false" ht="15" hidden="false" customHeight="true" outlineLevel="0" collapsed="false">
      <c r="A3285" s="0" t="n">
        <v>2</v>
      </c>
      <c r="B3285" s="71" t="n">
        <v>46213</v>
      </c>
      <c r="C3285" s="0" t="n">
        <v>1</v>
      </c>
      <c r="D3285" s="0" t="s">
        <v>2442</v>
      </c>
      <c r="E3285" s="0" t="n">
        <v>1734</v>
      </c>
      <c r="F3285" s="0" t="s">
        <v>566</v>
      </c>
      <c r="I3285" s="0" t="n">
        <v>255191</v>
      </c>
      <c r="J3285" s="0" t="n">
        <v>38791</v>
      </c>
      <c r="K3285" s="0" t="n">
        <v>7898055450931</v>
      </c>
      <c r="L3285" s="0" t="s">
        <v>3992</v>
      </c>
      <c r="N3285" s="0" t="n">
        <v>30</v>
      </c>
      <c r="O3285" s="0" t="n">
        <v>72.38</v>
      </c>
      <c r="P3285" s="0" t="s">
        <v>2444</v>
      </c>
    </row>
    <row r="3286" customFormat="false" ht="15" hidden="false" customHeight="true" outlineLevel="0" collapsed="false">
      <c r="A3286" s="0" t="n">
        <v>2</v>
      </c>
      <c r="B3286" s="71" t="n">
        <v>46213</v>
      </c>
      <c r="C3286" s="0" t="n">
        <v>1</v>
      </c>
      <c r="D3286" s="0" t="s">
        <v>2442</v>
      </c>
      <c r="E3286" s="0" t="n">
        <v>1734</v>
      </c>
      <c r="F3286" s="0" t="s">
        <v>566</v>
      </c>
      <c r="I3286" s="0" t="n">
        <v>255191</v>
      </c>
      <c r="J3286" s="0" t="n">
        <v>38792</v>
      </c>
      <c r="K3286" s="0" t="n">
        <v>7898055450894</v>
      </c>
      <c r="L3286" s="0" t="s">
        <v>3993</v>
      </c>
      <c r="N3286" s="0" t="n">
        <v>30</v>
      </c>
      <c r="O3286" s="0" t="n">
        <v>72.38</v>
      </c>
      <c r="P3286" s="0" t="s">
        <v>2444</v>
      </c>
    </row>
    <row r="3287" customFormat="false" ht="15" hidden="false" customHeight="true" outlineLevel="0" collapsed="false">
      <c r="A3287" s="0" t="n">
        <v>2</v>
      </c>
      <c r="B3287" s="71" t="n">
        <v>46213</v>
      </c>
      <c r="C3287" s="0" t="n">
        <v>1</v>
      </c>
      <c r="D3287" s="0" t="s">
        <v>2442</v>
      </c>
      <c r="E3287" s="0" t="n">
        <v>1734</v>
      </c>
      <c r="F3287" s="0" t="s">
        <v>566</v>
      </c>
      <c r="I3287" s="0" t="n">
        <v>255191</v>
      </c>
      <c r="J3287" s="0" t="n">
        <v>39028</v>
      </c>
      <c r="K3287" s="0" t="n">
        <v>7898055450368</v>
      </c>
      <c r="L3287" s="0" t="s">
        <v>2780</v>
      </c>
      <c r="N3287" s="0" t="n">
        <v>20</v>
      </c>
      <c r="O3287" s="0" t="n">
        <v>102.8</v>
      </c>
      <c r="P3287" s="0" t="s">
        <v>2444</v>
      </c>
    </row>
    <row r="3288" customFormat="false" ht="15" hidden="false" customHeight="true" outlineLevel="0" collapsed="false">
      <c r="A3288" s="0" t="n">
        <v>2</v>
      </c>
      <c r="B3288" s="71" t="n">
        <v>46213</v>
      </c>
      <c r="C3288" s="0" t="n">
        <v>1</v>
      </c>
      <c r="D3288" s="0" t="s">
        <v>2442</v>
      </c>
      <c r="E3288" s="0" t="n">
        <v>1734</v>
      </c>
      <c r="F3288" s="0" t="s">
        <v>566</v>
      </c>
      <c r="I3288" s="0" t="n">
        <v>255191</v>
      </c>
      <c r="J3288" s="0" t="n">
        <v>43119</v>
      </c>
      <c r="K3288" s="0" t="n">
        <v>7898055450887</v>
      </c>
      <c r="L3288" s="0" t="s">
        <v>3994</v>
      </c>
      <c r="N3288" s="0" t="n">
        <v>30</v>
      </c>
      <c r="O3288" s="0" t="n">
        <v>72.38</v>
      </c>
      <c r="P3288" s="0" t="s">
        <v>2444</v>
      </c>
    </row>
    <row r="3289" customFormat="false" ht="15" hidden="false" customHeight="true" outlineLevel="0" collapsed="false">
      <c r="A3289" s="0" t="n">
        <v>2</v>
      </c>
      <c r="B3289" s="71" t="n">
        <v>46213</v>
      </c>
      <c r="C3289" s="0" t="n">
        <v>1</v>
      </c>
      <c r="D3289" s="0" t="s">
        <v>2442</v>
      </c>
      <c r="E3289" s="0" t="n">
        <v>1734</v>
      </c>
      <c r="F3289" s="0" t="s">
        <v>566</v>
      </c>
      <c r="I3289" s="0" t="n">
        <v>255191</v>
      </c>
      <c r="J3289" s="0" t="n">
        <v>43130</v>
      </c>
      <c r="K3289" s="0" t="n">
        <v>7898055450337</v>
      </c>
      <c r="L3289" s="0" t="s">
        <v>3995</v>
      </c>
      <c r="N3289" s="0" t="n">
        <v>20</v>
      </c>
      <c r="O3289" s="0" t="n">
        <v>52.45</v>
      </c>
      <c r="P3289" s="0" t="s">
        <v>2444</v>
      </c>
    </row>
    <row r="3290" customFormat="false" ht="15" hidden="false" customHeight="true" outlineLevel="0" collapsed="false">
      <c r="A3290" s="0" t="n">
        <v>2</v>
      </c>
      <c r="B3290" s="71" t="n">
        <v>46213</v>
      </c>
      <c r="C3290" s="0" t="n">
        <v>1</v>
      </c>
      <c r="D3290" s="0" t="s">
        <v>2442</v>
      </c>
      <c r="E3290" s="0" t="n">
        <v>1734</v>
      </c>
      <c r="F3290" s="0" t="s">
        <v>566</v>
      </c>
      <c r="I3290" s="0" t="n">
        <v>255191</v>
      </c>
      <c r="J3290" s="0" t="n">
        <v>60525</v>
      </c>
      <c r="K3290" s="0" t="n">
        <v>7898055453130</v>
      </c>
      <c r="L3290" s="0" t="s">
        <v>3996</v>
      </c>
      <c r="N3290" s="0" t="n">
        <v>20</v>
      </c>
      <c r="O3290" s="0" t="n">
        <v>52.45</v>
      </c>
      <c r="P3290" s="0" t="s">
        <v>2444</v>
      </c>
    </row>
    <row r="3291" customFormat="false" ht="15" hidden="false" customHeight="true" outlineLevel="0" collapsed="false">
      <c r="A3291" s="0" t="n">
        <v>2</v>
      </c>
      <c r="B3291" s="71" t="n">
        <v>46213</v>
      </c>
      <c r="C3291" s="0" t="n">
        <v>1</v>
      </c>
      <c r="D3291" s="0" t="s">
        <v>2442</v>
      </c>
      <c r="E3291" s="0" t="n">
        <v>1708</v>
      </c>
      <c r="F3291" s="0" t="s">
        <v>275</v>
      </c>
      <c r="I3291" s="0" t="n">
        <v>262932</v>
      </c>
      <c r="J3291" s="0" t="n">
        <v>105852</v>
      </c>
      <c r="K3291" s="0" t="n">
        <v>7891155043867</v>
      </c>
      <c r="L3291" s="0" t="s">
        <v>3997</v>
      </c>
      <c r="N3291" s="0" t="n">
        <v>12</v>
      </c>
      <c r="O3291" s="0" t="n">
        <v>47.88</v>
      </c>
      <c r="P3291" s="0" t="s">
        <v>2444</v>
      </c>
    </row>
    <row r="3292" customFormat="false" ht="15" hidden="false" customHeight="true" outlineLevel="0" collapsed="false">
      <c r="A3292" s="0" t="n">
        <v>2</v>
      </c>
      <c r="B3292" s="71" t="n">
        <v>46213</v>
      </c>
      <c r="C3292" s="0" t="n">
        <v>1</v>
      </c>
      <c r="D3292" s="0" t="s">
        <v>2442</v>
      </c>
      <c r="E3292" s="0" t="n">
        <v>1708</v>
      </c>
      <c r="F3292" s="0" t="s">
        <v>275</v>
      </c>
      <c r="I3292" s="0" t="n">
        <v>262932</v>
      </c>
      <c r="J3292" s="0" t="n">
        <v>109491</v>
      </c>
      <c r="K3292" s="0" t="n">
        <v>7896058500110</v>
      </c>
      <c r="L3292" s="0" t="s">
        <v>3998</v>
      </c>
      <c r="N3292" s="0" t="n">
        <v>72</v>
      </c>
      <c r="O3292" s="0" t="n">
        <v>71.48</v>
      </c>
      <c r="P3292" s="0" t="s">
        <v>2444</v>
      </c>
    </row>
    <row r="3293" customFormat="false" ht="15" hidden="false" customHeight="true" outlineLevel="0" collapsed="false">
      <c r="A3293" s="0" t="n">
        <v>2</v>
      </c>
      <c r="B3293" s="71" t="n">
        <v>46213</v>
      </c>
      <c r="C3293" s="0" t="n">
        <v>1</v>
      </c>
      <c r="D3293" s="0" t="s">
        <v>2442</v>
      </c>
      <c r="E3293" s="0" t="n">
        <v>1708</v>
      </c>
      <c r="F3293" s="0" t="s">
        <v>275</v>
      </c>
      <c r="I3293" s="0" t="n">
        <v>262932</v>
      </c>
      <c r="J3293" s="0" t="n">
        <v>19127</v>
      </c>
      <c r="K3293" s="0" t="n">
        <v>7891155013235</v>
      </c>
      <c r="L3293" s="0" t="s">
        <v>3999</v>
      </c>
      <c r="N3293" s="0" t="n">
        <v>24</v>
      </c>
      <c r="O3293" s="0" t="n">
        <v>95.76</v>
      </c>
      <c r="P3293" s="0" t="s">
        <v>2444</v>
      </c>
    </row>
    <row r="3294" customFormat="false" ht="15" hidden="false" customHeight="true" outlineLevel="0" collapsed="false">
      <c r="A3294" s="0" t="n">
        <v>2</v>
      </c>
      <c r="B3294" s="71" t="n">
        <v>46213</v>
      </c>
      <c r="C3294" s="0" t="n">
        <v>1</v>
      </c>
      <c r="D3294" s="0" t="s">
        <v>2442</v>
      </c>
      <c r="E3294" s="0" t="n">
        <v>1708</v>
      </c>
      <c r="F3294" s="0" t="s">
        <v>275</v>
      </c>
      <c r="I3294" s="0" t="n">
        <v>262932</v>
      </c>
      <c r="J3294" s="0" t="n">
        <v>20666</v>
      </c>
      <c r="K3294" s="0" t="n">
        <v>7896321000552</v>
      </c>
      <c r="L3294" s="0" t="s">
        <v>3242</v>
      </c>
      <c r="N3294" s="0" t="n">
        <v>10</v>
      </c>
      <c r="O3294" s="0" t="n">
        <v>97.65</v>
      </c>
      <c r="P3294" s="0" t="s">
        <v>2444</v>
      </c>
    </row>
    <row r="3295" customFormat="false" ht="15" hidden="false" customHeight="true" outlineLevel="0" collapsed="false">
      <c r="A3295" s="0" t="n">
        <v>2</v>
      </c>
      <c r="B3295" s="71" t="n">
        <v>46213</v>
      </c>
      <c r="C3295" s="0" t="n">
        <v>1</v>
      </c>
      <c r="D3295" s="0" t="s">
        <v>2442</v>
      </c>
      <c r="E3295" s="0" t="n">
        <v>1708</v>
      </c>
      <c r="F3295" s="0" t="s">
        <v>275</v>
      </c>
      <c r="I3295" s="0" t="n">
        <v>262932</v>
      </c>
      <c r="J3295" s="0" t="n">
        <v>24943</v>
      </c>
      <c r="K3295" s="0" t="n">
        <v>7896058506105</v>
      </c>
      <c r="L3295" s="0" t="s">
        <v>3243</v>
      </c>
      <c r="N3295" s="0" t="n">
        <v>60</v>
      </c>
      <c r="O3295" s="0" t="n">
        <v>43.87</v>
      </c>
      <c r="P3295" s="0" t="s">
        <v>2444</v>
      </c>
    </row>
    <row r="3296" customFormat="false" ht="15" hidden="false" customHeight="true" outlineLevel="0" collapsed="false">
      <c r="A3296" s="0" t="n">
        <v>2</v>
      </c>
      <c r="B3296" s="71" t="n">
        <v>46213</v>
      </c>
      <c r="C3296" s="0" t="n">
        <v>1</v>
      </c>
      <c r="D3296" s="0" t="s">
        <v>2442</v>
      </c>
      <c r="E3296" s="0" t="n">
        <v>1708</v>
      </c>
      <c r="F3296" s="0" t="s">
        <v>275</v>
      </c>
      <c r="I3296" s="0" t="n">
        <v>262932</v>
      </c>
      <c r="J3296" s="0" t="n">
        <v>25681</v>
      </c>
      <c r="K3296" s="0" t="n">
        <v>7896321014948</v>
      </c>
      <c r="L3296" s="0" t="s">
        <v>4000</v>
      </c>
      <c r="N3296" s="0" t="n">
        <v>5</v>
      </c>
      <c r="O3296" s="0" t="n">
        <v>71.78</v>
      </c>
      <c r="P3296" s="0" t="s">
        <v>2444</v>
      </c>
    </row>
    <row r="3297" customFormat="false" ht="15" hidden="false" customHeight="true" outlineLevel="0" collapsed="false">
      <c r="A3297" s="0" t="n">
        <v>2</v>
      </c>
      <c r="B3297" s="71" t="n">
        <v>46213</v>
      </c>
      <c r="C3297" s="0" t="n">
        <v>1</v>
      </c>
      <c r="D3297" s="0" t="s">
        <v>2442</v>
      </c>
      <c r="E3297" s="0" t="n">
        <v>1708</v>
      </c>
      <c r="F3297" s="0" t="s">
        <v>275</v>
      </c>
      <c r="I3297" s="0" t="n">
        <v>262932</v>
      </c>
      <c r="J3297" s="0" t="n">
        <v>30867</v>
      </c>
      <c r="K3297" s="0" t="n">
        <v>7891155037880</v>
      </c>
      <c r="L3297" s="0" t="s">
        <v>4001</v>
      </c>
      <c r="N3297" s="0" t="n">
        <v>12</v>
      </c>
      <c r="O3297" s="0" t="n">
        <v>83.88</v>
      </c>
      <c r="P3297" s="0" t="s">
        <v>2444</v>
      </c>
    </row>
    <row r="3298" customFormat="false" ht="15" hidden="false" customHeight="true" outlineLevel="0" collapsed="false">
      <c r="A3298" s="0" t="n">
        <v>2</v>
      </c>
      <c r="B3298" s="71" t="n">
        <v>46213</v>
      </c>
      <c r="C3298" s="0" t="n">
        <v>1</v>
      </c>
      <c r="D3298" s="0" t="s">
        <v>2442</v>
      </c>
      <c r="E3298" s="0" t="n">
        <v>1708</v>
      </c>
      <c r="F3298" s="0" t="s">
        <v>275</v>
      </c>
      <c r="I3298" s="0" t="n">
        <v>262932</v>
      </c>
      <c r="J3298" s="0" t="n">
        <v>30868</v>
      </c>
      <c r="K3298" s="0" t="n">
        <v>7894993000832</v>
      </c>
      <c r="L3298" s="0" t="s">
        <v>4002</v>
      </c>
      <c r="N3298" s="0" t="n">
        <v>12</v>
      </c>
      <c r="O3298" s="0" t="n">
        <v>58.8</v>
      </c>
      <c r="P3298" s="0" t="s">
        <v>2444</v>
      </c>
    </row>
    <row r="3299" customFormat="false" ht="15" hidden="false" customHeight="true" outlineLevel="0" collapsed="false">
      <c r="A3299" s="0" t="n">
        <v>2</v>
      </c>
      <c r="B3299" s="71" t="n">
        <v>46213</v>
      </c>
      <c r="C3299" s="0" t="n">
        <v>1</v>
      </c>
      <c r="D3299" s="0" t="s">
        <v>2442</v>
      </c>
      <c r="E3299" s="0" t="n">
        <v>1708</v>
      </c>
      <c r="F3299" s="0" t="s">
        <v>275</v>
      </c>
      <c r="I3299" s="0" t="n">
        <v>262932</v>
      </c>
      <c r="J3299" s="0" t="n">
        <v>30926</v>
      </c>
      <c r="K3299" s="0" t="n">
        <v>7891155037873</v>
      </c>
      <c r="L3299" s="0" t="s">
        <v>4003</v>
      </c>
      <c r="N3299" s="0" t="n">
        <v>12</v>
      </c>
      <c r="O3299" s="0" t="n">
        <v>83.88</v>
      </c>
      <c r="P3299" s="0" t="s">
        <v>2444</v>
      </c>
    </row>
    <row r="3300" customFormat="false" ht="15" hidden="false" customHeight="true" outlineLevel="0" collapsed="false">
      <c r="A3300" s="0" t="n">
        <v>2</v>
      </c>
      <c r="B3300" s="71" t="n">
        <v>46213</v>
      </c>
      <c r="C3300" s="0" t="n">
        <v>1</v>
      </c>
      <c r="D3300" s="0" t="s">
        <v>2442</v>
      </c>
      <c r="E3300" s="0" t="n">
        <v>1708</v>
      </c>
      <c r="F3300" s="0" t="s">
        <v>275</v>
      </c>
      <c r="I3300" s="0" t="n">
        <v>262932</v>
      </c>
      <c r="J3300" s="0" t="n">
        <v>38516</v>
      </c>
      <c r="K3300" s="0" t="n">
        <v>7896306615306</v>
      </c>
      <c r="L3300" s="0" t="s">
        <v>4004</v>
      </c>
      <c r="N3300" s="0" t="n">
        <v>3</v>
      </c>
      <c r="O3300" s="0" t="n">
        <v>43.74</v>
      </c>
      <c r="P3300" s="0" t="s">
        <v>2444</v>
      </c>
    </row>
    <row r="3301" customFormat="false" ht="15" hidden="false" customHeight="true" outlineLevel="0" collapsed="false">
      <c r="A3301" s="0" t="n">
        <v>2</v>
      </c>
      <c r="B3301" s="71" t="n">
        <v>46213</v>
      </c>
      <c r="C3301" s="0" t="n">
        <v>1</v>
      </c>
      <c r="D3301" s="0" t="s">
        <v>2442</v>
      </c>
      <c r="E3301" s="0" t="n">
        <v>1708</v>
      </c>
      <c r="F3301" s="0" t="s">
        <v>275</v>
      </c>
      <c r="I3301" s="0" t="n">
        <v>262932</v>
      </c>
      <c r="J3301" s="0" t="n">
        <v>38522</v>
      </c>
      <c r="K3301" s="0" t="n">
        <v>7896306614453</v>
      </c>
      <c r="L3301" s="0" t="s">
        <v>4005</v>
      </c>
      <c r="N3301" s="0" t="n">
        <v>3</v>
      </c>
      <c r="O3301" s="0" t="n">
        <v>35.64</v>
      </c>
      <c r="P3301" s="0" t="s">
        <v>2444</v>
      </c>
    </row>
    <row r="3302" customFormat="false" ht="15" hidden="false" customHeight="true" outlineLevel="0" collapsed="false">
      <c r="A3302" s="0" t="n">
        <v>2</v>
      </c>
      <c r="B3302" s="71" t="n">
        <v>46213</v>
      </c>
      <c r="C3302" s="0" t="n">
        <v>1</v>
      </c>
      <c r="D3302" s="0" t="s">
        <v>2442</v>
      </c>
      <c r="E3302" s="0" t="n">
        <v>1708</v>
      </c>
      <c r="F3302" s="0" t="s">
        <v>275</v>
      </c>
      <c r="I3302" s="0" t="n">
        <v>262932</v>
      </c>
      <c r="J3302" s="0" t="n">
        <v>38523</v>
      </c>
      <c r="K3302" s="0" t="n">
        <v>7896306613722</v>
      </c>
      <c r="L3302" s="0" t="s">
        <v>4006</v>
      </c>
      <c r="N3302" s="0" t="n">
        <v>3</v>
      </c>
      <c r="O3302" s="0" t="n">
        <v>35.64</v>
      </c>
      <c r="P3302" s="0" t="s">
        <v>2444</v>
      </c>
    </row>
    <row r="3303" customFormat="false" ht="15" hidden="false" customHeight="true" outlineLevel="0" collapsed="false">
      <c r="A3303" s="0" t="n">
        <v>2</v>
      </c>
      <c r="B3303" s="71" t="n">
        <v>46213</v>
      </c>
      <c r="C3303" s="0" t="n">
        <v>1</v>
      </c>
      <c r="D3303" s="0" t="s">
        <v>2442</v>
      </c>
      <c r="E3303" s="0" t="n">
        <v>1708</v>
      </c>
      <c r="F3303" s="0" t="s">
        <v>275</v>
      </c>
      <c r="I3303" s="0" t="n">
        <v>262932</v>
      </c>
      <c r="J3303" s="0" t="n">
        <v>45045</v>
      </c>
      <c r="K3303" s="0" t="n">
        <v>7896306615313</v>
      </c>
      <c r="L3303" s="0" t="s">
        <v>4007</v>
      </c>
      <c r="N3303" s="0" t="n">
        <v>3</v>
      </c>
      <c r="O3303" s="0" t="n">
        <v>43.74</v>
      </c>
      <c r="P3303" s="0" t="s">
        <v>2444</v>
      </c>
    </row>
    <row r="3304" customFormat="false" ht="15" hidden="false" customHeight="true" outlineLevel="0" collapsed="false">
      <c r="A3304" s="0" t="n">
        <v>2</v>
      </c>
      <c r="B3304" s="71" t="n">
        <v>46213</v>
      </c>
      <c r="C3304" s="0" t="n">
        <v>1</v>
      </c>
      <c r="D3304" s="0" t="s">
        <v>2442</v>
      </c>
      <c r="E3304" s="0" t="n">
        <v>1708</v>
      </c>
      <c r="F3304" s="0" t="s">
        <v>275</v>
      </c>
      <c r="I3304" s="0" t="n">
        <v>262932</v>
      </c>
      <c r="J3304" s="0" t="n">
        <v>45046</v>
      </c>
      <c r="K3304" s="0" t="n">
        <v>7896306614460</v>
      </c>
      <c r="L3304" s="0" t="s">
        <v>4008</v>
      </c>
      <c r="N3304" s="0" t="n">
        <v>3</v>
      </c>
      <c r="O3304" s="0" t="n">
        <v>35.64</v>
      </c>
      <c r="P3304" s="0" t="s">
        <v>2444</v>
      </c>
    </row>
    <row r="3305" customFormat="false" ht="15" hidden="false" customHeight="true" outlineLevel="0" collapsed="false">
      <c r="A3305" s="0" t="n">
        <v>2</v>
      </c>
      <c r="B3305" s="71" t="n">
        <v>46213</v>
      </c>
      <c r="C3305" s="0" t="n">
        <v>1</v>
      </c>
      <c r="D3305" s="0" t="s">
        <v>2442</v>
      </c>
      <c r="E3305" s="0" t="n">
        <v>1708</v>
      </c>
      <c r="F3305" s="0" t="s">
        <v>275</v>
      </c>
      <c r="I3305" s="0" t="n">
        <v>262932</v>
      </c>
      <c r="J3305" s="0" t="n">
        <v>51415</v>
      </c>
      <c r="K3305" s="0" t="n">
        <v>7894993987102</v>
      </c>
      <c r="L3305" s="0" t="s">
        <v>4009</v>
      </c>
      <c r="N3305" s="0" t="n">
        <v>3</v>
      </c>
      <c r="O3305" s="0" t="n">
        <v>44.7</v>
      </c>
      <c r="P3305" s="0" t="s">
        <v>2444</v>
      </c>
    </row>
    <row r="3306" customFormat="false" ht="15" hidden="false" customHeight="true" outlineLevel="0" collapsed="false">
      <c r="A3306" s="0" t="n">
        <v>2</v>
      </c>
      <c r="B3306" s="71" t="n">
        <v>46213</v>
      </c>
      <c r="C3306" s="0" t="n">
        <v>1</v>
      </c>
      <c r="D3306" s="0" t="s">
        <v>2442</v>
      </c>
      <c r="E3306" s="0" t="n">
        <v>1708</v>
      </c>
      <c r="F3306" s="0" t="s">
        <v>275</v>
      </c>
      <c r="I3306" s="0" t="n">
        <v>262932</v>
      </c>
      <c r="J3306" s="0" t="n">
        <v>59143</v>
      </c>
      <c r="K3306" s="0" t="n">
        <v>7894993987003</v>
      </c>
      <c r="L3306" s="0" t="s">
        <v>4009</v>
      </c>
      <c r="N3306" s="0" t="n">
        <v>3</v>
      </c>
      <c r="O3306" s="0" t="n">
        <v>29.97</v>
      </c>
      <c r="P3306" s="0" t="s">
        <v>2444</v>
      </c>
    </row>
    <row r="3307" customFormat="false" ht="15" hidden="false" customHeight="true" outlineLevel="0" collapsed="false">
      <c r="A3307" s="0" t="n">
        <v>2</v>
      </c>
      <c r="B3307" s="71" t="n">
        <v>46213</v>
      </c>
      <c r="C3307" s="0" t="n">
        <v>1</v>
      </c>
      <c r="D3307" s="0" t="s">
        <v>2442</v>
      </c>
      <c r="E3307" s="0" t="n">
        <v>1708</v>
      </c>
      <c r="F3307" s="0" t="s">
        <v>275</v>
      </c>
      <c r="I3307" s="0" t="n">
        <v>262932</v>
      </c>
      <c r="J3307" s="0" t="n">
        <v>59556</v>
      </c>
      <c r="K3307" s="0" t="n">
        <v>7896058507423</v>
      </c>
      <c r="L3307" s="0" t="s">
        <v>4010</v>
      </c>
      <c r="N3307" s="0" t="n">
        <v>60</v>
      </c>
      <c r="O3307" s="0" t="n">
        <v>43.87</v>
      </c>
      <c r="P3307" s="0" t="s">
        <v>2444</v>
      </c>
    </row>
    <row r="3308" customFormat="false" ht="15" hidden="false" customHeight="true" outlineLevel="0" collapsed="false">
      <c r="A3308" s="0" t="n">
        <v>2</v>
      </c>
      <c r="B3308" s="71" t="n">
        <v>46213</v>
      </c>
      <c r="C3308" s="0" t="n">
        <v>1</v>
      </c>
      <c r="D3308" s="0" t="s">
        <v>2442</v>
      </c>
      <c r="E3308" s="0" t="n">
        <v>1708</v>
      </c>
      <c r="F3308" s="0" t="s">
        <v>275</v>
      </c>
      <c r="I3308" s="0" t="n">
        <v>262932</v>
      </c>
      <c r="J3308" s="0" t="n">
        <v>59642</v>
      </c>
      <c r="K3308" s="0" t="n">
        <v>7891155025337</v>
      </c>
      <c r="L3308" s="0" t="s">
        <v>4011</v>
      </c>
      <c r="N3308" s="0" t="n">
        <v>3</v>
      </c>
      <c r="O3308" s="0" t="n">
        <v>59.7</v>
      </c>
      <c r="P3308" s="0" t="s">
        <v>2444</v>
      </c>
    </row>
    <row r="3309" customFormat="false" ht="15" hidden="false" customHeight="true" outlineLevel="0" collapsed="false">
      <c r="A3309" s="0" t="n">
        <v>2</v>
      </c>
      <c r="B3309" s="71" t="n">
        <v>46213</v>
      </c>
      <c r="C3309" s="0" t="n">
        <v>1</v>
      </c>
      <c r="D3309" s="0" t="s">
        <v>2442</v>
      </c>
      <c r="E3309" s="0" t="n">
        <v>1708</v>
      </c>
      <c r="F3309" s="0" t="s">
        <v>275</v>
      </c>
      <c r="I3309" s="0" t="n">
        <v>262932</v>
      </c>
      <c r="J3309" s="0" t="n">
        <v>71983</v>
      </c>
      <c r="K3309" s="0" t="n">
        <v>793643</v>
      </c>
      <c r="L3309" s="0" t="s">
        <v>4012</v>
      </c>
      <c r="N3309" s="0" t="n">
        <v>3</v>
      </c>
      <c r="O3309" s="0" t="n">
        <v>43.74</v>
      </c>
      <c r="P3309" s="0" t="s">
        <v>2444</v>
      </c>
    </row>
    <row r="3310" customFormat="false" ht="15" hidden="false" customHeight="true" outlineLevel="0" collapsed="false">
      <c r="A3310" s="0" t="n">
        <v>2</v>
      </c>
      <c r="B3310" s="71" t="n">
        <v>46213</v>
      </c>
      <c r="C3310" s="0" t="n">
        <v>1</v>
      </c>
      <c r="D3310" s="0" t="s">
        <v>2442</v>
      </c>
      <c r="E3310" s="0" t="n">
        <v>1708</v>
      </c>
      <c r="F3310" s="0" t="s">
        <v>275</v>
      </c>
      <c r="I3310" s="0" t="n">
        <v>262932</v>
      </c>
      <c r="J3310" s="0" t="n">
        <v>81694</v>
      </c>
      <c r="K3310" s="0" t="n">
        <v>7891155018674</v>
      </c>
      <c r="L3310" s="0" t="s">
        <v>4013</v>
      </c>
      <c r="N3310" s="0" t="n">
        <v>3</v>
      </c>
      <c r="O3310" s="0" t="n">
        <v>52.5</v>
      </c>
      <c r="P3310" s="0" t="s">
        <v>2444</v>
      </c>
    </row>
    <row r="3311" customFormat="false" ht="15" hidden="false" customHeight="true" outlineLevel="0" collapsed="false">
      <c r="A3311" s="0" t="n">
        <v>2</v>
      </c>
      <c r="B3311" s="71" t="n">
        <v>46213</v>
      </c>
      <c r="C3311" s="0" t="n">
        <v>1</v>
      </c>
      <c r="D3311" s="0" t="s">
        <v>2442</v>
      </c>
      <c r="E3311" s="0" t="n">
        <v>1667</v>
      </c>
      <c r="F3311" s="0" t="s">
        <v>77</v>
      </c>
      <c r="I3311" s="0" t="n">
        <v>396261</v>
      </c>
      <c r="J3311" s="0" t="n">
        <v>109859</v>
      </c>
      <c r="K3311" s="0" t="n">
        <v>7898215151784</v>
      </c>
      <c r="L3311" s="0" t="s">
        <v>4014</v>
      </c>
      <c r="N3311" s="0" t="n">
        <v>54</v>
      </c>
      <c r="O3311" s="0" t="n">
        <v>198.49</v>
      </c>
      <c r="P3311" s="0" t="s">
        <v>2444</v>
      </c>
    </row>
    <row r="3312" customFormat="false" ht="15" hidden="false" customHeight="true" outlineLevel="0" collapsed="false">
      <c r="A3312" s="0" t="n">
        <v>2</v>
      </c>
      <c r="B3312" s="71" t="n">
        <v>46213</v>
      </c>
      <c r="C3312" s="0" t="n">
        <v>1</v>
      </c>
      <c r="D3312" s="0" t="s">
        <v>2442</v>
      </c>
      <c r="E3312" s="0" t="n">
        <v>1667</v>
      </c>
      <c r="F3312" s="0" t="s">
        <v>77</v>
      </c>
      <c r="I3312" s="0" t="n">
        <v>396261</v>
      </c>
      <c r="J3312" s="0" t="n">
        <v>20915</v>
      </c>
      <c r="K3312" s="0" t="n">
        <v>7898330150129</v>
      </c>
      <c r="L3312" s="0" t="s">
        <v>3004</v>
      </c>
      <c r="N3312" s="0" t="n">
        <v>12</v>
      </c>
      <c r="O3312" s="0" t="n">
        <v>45.02</v>
      </c>
      <c r="P3312" s="0" t="s">
        <v>2444</v>
      </c>
    </row>
    <row r="3313" customFormat="false" ht="15" hidden="false" customHeight="true" outlineLevel="0" collapsed="false">
      <c r="A3313" s="0" t="n">
        <v>2</v>
      </c>
      <c r="B3313" s="71" t="n">
        <v>46213</v>
      </c>
      <c r="C3313" s="0" t="n">
        <v>1</v>
      </c>
      <c r="D3313" s="0" t="s">
        <v>2442</v>
      </c>
      <c r="E3313" s="0" t="n">
        <v>1667</v>
      </c>
      <c r="F3313" s="0" t="s">
        <v>77</v>
      </c>
      <c r="I3313" s="0" t="n">
        <v>396261</v>
      </c>
      <c r="J3313" s="0" t="n">
        <v>33356</v>
      </c>
      <c r="K3313" s="0" t="n">
        <v>7898215157403</v>
      </c>
      <c r="L3313" s="0" t="s">
        <v>4015</v>
      </c>
      <c r="N3313" s="0" t="n">
        <v>12</v>
      </c>
      <c r="O3313" s="0" t="n">
        <v>99.48</v>
      </c>
      <c r="P3313" s="0" t="s">
        <v>2444</v>
      </c>
    </row>
    <row r="3314" customFormat="false" ht="15" hidden="false" customHeight="true" outlineLevel="0" collapsed="false">
      <c r="A3314" s="0" t="n">
        <v>2</v>
      </c>
      <c r="B3314" s="71" t="n">
        <v>46213</v>
      </c>
      <c r="C3314" s="0" t="n">
        <v>1</v>
      </c>
      <c r="D3314" s="0" t="s">
        <v>2442</v>
      </c>
      <c r="E3314" s="0" t="n">
        <v>1667</v>
      </c>
      <c r="F3314" s="0" t="s">
        <v>77</v>
      </c>
      <c r="I3314" s="0" t="n">
        <v>396261</v>
      </c>
      <c r="J3314" s="0" t="n">
        <v>39694</v>
      </c>
      <c r="K3314" s="0" t="n">
        <v>7898215157410</v>
      </c>
      <c r="L3314" s="0" t="s">
        <v>4016</v>
      </c>
      <c r="N3314" s="0" t="n">
        <v>12</v>
      </c>
      <c r="O3314" s="0" t="n">
        <v>102.36</v>
      </c>
      <c r="P3314" s="0" t="s">
        <v>2444</v>
      </c>
    </row>
    <row r="3315" customFormat="false" ht="15" hidden="false" customHeight="true" outlineLevel="0" collapsed="false">
      <c r="A3315" s="0" t="n">
        <v>2</v>
      </c>
      <c r="B3315" s="71" t="n">
        <v>46213</v>
      </c>
      <c r="C3315" s="0" t="n">
        <v>1</v>
      </c>
      <c r="D3315" s="0" t="s">
        <v>2442</v>
      </c>
      <c r="E3315" s="0" t="n">
        <v>1667</v>
      </c>
      <c r="F3315" s="0" t="s">
        <v>77</v>
      </c>
      <c r="I3315" s="0" t="n">
        <v>396261</v>
      </c>
      <c r="J3315" s="0" t="n">
        <v>50516</v>
      </c>
      <c r="K3315" s="0" t="n">
        <v>7898330152109</v>
      </c>
      <c r="L3315" s="0" t="s">
        <v>4017</v>
      </c>
      <c r="N3315" s="0" t="n">
        <v>12</v>
      </c>
      <c r="O3315" s="0" t="n">
        <v>45.02</v>
      </c>
      <c r="P3315" s="0" t="s">
        <v>2444</v>
      </c>
    </row>
    <row r="3316" customFormat="false" ht="15" hidden="false" customHeight="true" outlineLevel="0" collapsed="false">
      <c r="A3316" s="0" t="n">
        <v>2</v>
      </c>
      <c r="B3316" s="71" t="n">
        <v>46213</v>
      </c>
      <c r="C3316" s="0" t="n">
        <v>1</v>
      </c>
      <c r="D3316" s="0" t="s">
        <v>2442</v>
      </c>
      <c r="E3316" s="0" t="n">
        <v>1667</v>
      </c>
      <c r="F3316" s="0" t="s">
        <v>77</v>
      </c>
      <c r="I3316" s="0" t="n">
        <v>396261</v>
      </c>
      <c r="J3316" s="0" t="n">
        <v>50517</v>
      </c>
      <c r="K3316" s="0" t="n">
        <v>7898330152093</v>
      </c>
      <c r="L3316" s="0" t="s">
        <v>4018</v>
      </c>
      <c r="N3316" s="0" t="n">
        <v>12</v>
      </c>
      <c r="O3316" s="0" t="n">
        <v>45.02</v>
      </c>
      <c r="P3316" s="0" t="s">
        <v>2444</v>
      </c>
    </row>
    <row r="3317" customFormat="false" ht="15" hidden="false" customHeight="true" outlineLevel="0" collapsed="false">
      <c r="A3317" s="0" t="n">
        <v>2</v>
      </c>
      <c r="B3317" s="71" t="n">
        <v>46213</v>
      </c>
      <c r="C3317" s="0" t="n">
        <v>1</v>
      </c>
      <c r="D3317" s="0" t="s">
        <v>2442</v>
      </c>
      <c r="E3317" s="0" t="n">
        <v>1667</v>
      </c>
      <c r="F3317" s="0" t="s">
        <v>77</v>
      </c>
      <c r="I3317" s="0" t="n">
        <v>396261</v>
      </c>
      <c r="J3317" s="0" t="n">
        <v>75914</v>
      </c>
      <c r="K3317" s="0" t="n">
        <v>7898330152499</v>
      </c>
      <c r="L3317" s="0" t="s">
        <v>4019</v>
      </c>
      <c r="N3317" s="0" t="n">
        <v>24</v>
      </c>
      <c r="O3317" s="0" t="n">
        <v>34.38</v>
      </c>
      <c r="P3317" s="0" t="s">
        <v>2444</v>
      </c>
    </row>
    <row r="3318" customFormat="false" ht="15" hidden="false" customHeight="true" outlineLevel="0" collapsed="false">
      <c r="A3318" s="0" t="n">
        <v>2</v>
      </c>
      <c r="B3318" s="71" t="n">
        <v>46213</v>
      </c>
      <c r="C3318" s="0" t="n">
        <v>1</v>
      </c>
      <c r="D3318" s="0" t="s">
        <v>2442</v>
      </c>
      <c r="E3318" s="0" t="n">
        <v>1667</v>
      </c>
      <c r="F3318" s="0" t="s">
        <v>77</v>
      </c>
      <c r="I3318" s="0" t="n">
        <v>396261</v>
      </c>
      <c r="J3318" s="0" t="n">
        <v>76256</v>
      </c>
      <c r="K3318" s="0" t="n">
        <v>7898330152475</v>
      </c>
      <c r="L3318" s="0" t="s">
        <v>4020</v>
      </c>
      <c r="N3318" s="0" t="n">
        <v>24</v>
      </c>
      <c r="O3318" s="0" t="n">
        <v>34.38</v>
      </c>
      <c r="P3318" s="0" t="s">
        <v>2444</v>
      </c>
    </row>
    <row r="3319" customFormat="false" ht="15" hidden="false" customHeight="true" outlineLevel="0" collapsed="false">
      <c r="A3319" s="0" t="n">
        <v>2</v>
      </c>
      <c r="B3319" s="71" t="n">
        <v>46213</v>
      </c>
      <c r="C3319" s="0" t="n">
        <v>1</v>
      </c>
      <c r="D3319" s="0" t="s">
        <v>2442</v>
      </c>
      <c r="E3319" s="0" t="n">
        <v>1667</v>
      </c>
      <c r="F3319" s="0" t="s">
        <v>77</v>
      </c>
      <c r="I3319" s="0" t="n">
        <v>396261</v>
      </c>
      <c r="J3319" s="0" t="n">
        <v>79135</v>
      </c>
      <c r="K3319" s="0" t="n">
        <v>7898330152536</v>
      </c>
      <c r="L3319" s="0" t="s">
        <v>4021</v>
      </c>
      <c r="N3319" s="0" t="n">
        <v>24</v>
      </c>
      <c r="O3319" s="0" t="n">
        <v>34.38</v>
      </c>
      <c r="P3319" s="0" t="s">
        <v>2444</v>
      </c>
    </row>
    <row r="3320" customFormat="false" ht="15" hidden="false" customHeight="true" outlineLevel="0" collapsed="false">
      <c r="A3320" s="0" t="n">
        <v>2</v>
      </c>
      <c r="B3320" s="71" t="n">
        <v>46213</v>
      </c>
      <c r="C3320" s="0" t="n">
        <v>1</v>
      </c>
      <c r="D3320" s="0" t="s">
        <v>2442</v>
      </c>
      <c r="E3320" s="0" t="n">
        <v>1107</v>
      </c>
      <c r="F3320" s="0" t="s">
        <v>254</v>
      </c>
      <c r="I3320" s="0" t="n">
        <v>426652</v>
      </c>
      <c r="J3320" s="0" t="n">
        <v>102900</v>
      </c>
      <c r="K3320" s="0" t="n">
        <v>7891048050057</v>
      </c>
      <c r="L3320" s="0" t="s">
        <v>4022</v>
      </c>
      <c r="N3320" s="0" t="n">
        <v>40</v>
      </c>
      <c r="O3320" s="0" t="n">
        <v>234.35</v>
      </c>
      <c r="P3320" s="0" t="s">
        <v>2444</v>
      </c>
    </row>
    <row r="3321" customFormat="false" ht="15" hidden="false" customHeight="true" outlineLevel="0" collapsed="false">
      <c r="A3321" s="0" t="n">
        <v>2</v>
      </c>
      <c r="B3321" s="71" t="n">
        <v>46213</v>
      </c>
      <c r="C3321" s="0" t="n">
        <v>1</v>
      </c>
      <c r="D3321" s="0" t="s">
        <v>2442</v>
      </c>
      <c r="E3321" s="0" t="n">
        <v>1107</v>
      </c>
      <c r="F3321" s="0" t="s">
        <v>254</v>
      </c>
      <c r="I3321" s="0" t="n">
        <v>426652</v>
      </c>
      <c r="J3321" s="0" t="n">
        <v>103860</v>
      </c>
      <c r="K3321" s="0" t="n">
        <v>7891048040065</v>
      </c>
      <c r="L3321" s="0" t="s">
        <v>4023</v>
      </c>
      <c r="N3321" s="0" t="n">
        <v>60</v>
      </c>
      <c r="O3321" s="0" t="n">
        <v>72.19</v>
      </c>
      <c r="P3321" s="0" t="s">
        <v>2444</v>
      </c>
    </row>
    <row r="3322" customFormat="false" ht="15" hidden="false" customHeight="true" outlineLevel="0" collapsed="false">
      <c r="A3322" s="0" t="n">
        <v>2</v>
      </c>
      <c r="B3322" s="71" t="n">
        <v>46213</v>
      </c>
      <c r="C3322" s="0" t="n">
        <v>1</v>
      </c>
      <c r="D3322" s="0" t="s">
        <v>2442</v>
      </c>
      <c r="E3322" s="0" t="n">
        <v>1107</v>
      </c>
      <c r="F3322" s="0" t="s">
        <v>254</v>
      </c>
      <c r="I3322" s="0" t="n">
        <v>426652</v>
      </c>
      <c r="J3322" s="0" t="n">
        <v>107700</v>
      </c>
      <c r="K3322" s="0" t="n">
        <v>7891048038055</v>
      </c>
      <c r="L3322" s="0" t="s">
        <v>4024</v>
      </c>
      <c r="N3322" s="0" t="n">
        <v>12</v>
      </c>
      <c r="O3322" s="0" t="n">
        <v>40.64</v>
      </c>
      <c r="P3322" s="0" t="s">
        <v>2444</v>
      </c>
    </row>
    <row r="3323" customFormat="false" ht="15" hidden="false" customHeight="true" outlineLevel="0" collapsed="false">
      <c r="A3323" s="0" t="n">
        <v>2</v>
      </c>
      <c r="B3323" s="71" t="n">
        <v>46213</v>
      </c>
      <c r="C3323" s="0" t="n">
        <v>1</v>
      </c>
      <c r="D3323" s="0" t="s">
        <v>2442</v>
      </c>
      <c r="E3323" s="0" t="n">
        <v>1107</v>
      </c>
      <c r="F3323" s="0" t="s">
        <v>254</v>
      </c>
      <c r="I3323" s="0" t="n">
        <v>426652</v>
      </c>
      <c r="J3323" s="0" t="n">
        <v>11279</v>
      </c>
      <c r="K3323" s="0" t="n">
        <v>7891048038031</v>
      </c>
      <c r="L3323" s="0" t="s">
        <v>4025</v>
      </c>
      <c r="N3323" s="0" t="n">
        <v>12</v>
      </c>
      <c r="O3323" s="0" t="n">
        <v>40.64</v>
      </c>
      <c r="P3323" s="0" t="s">
        <v>2444</v>
      </c>
    </row>
    <row r="3324" customFormat="false" ht="15" hidden="false" customHeight="true" outlineLevel="0" collapsed="false">
      <c r="A3324" s="0" t="n">
        <v>2</v>
      </c>
      <c r="B3324" s="71" t="n">
        <v>46213</v>
      </c>
      <c r="C3324" s="0" t="n">
        <v>1</v>
      </c>
      <c r="D3324" s="0" t="s">
        <v>2442</v>
      </c>
      <c r="E3324" s="0" t="n">
        <v>1107</v>
      </c>
      <c r="F3324" s="0" t="s">
        <v>254</v>
      </c>
      <c r="I3324" s="0" t="n">
        <v>426652</v>
      </c>
      <c r="J3324" s="0" t="n">
        <v>11674</v>
      </c>
      <c r="K3324" s="0" t="n">
        <v>7891048038017</v>
      </c>
      <c r="L3324" s="0" t="s">
        <v>4026</v>
      </c>
      <c r="N3324" s="0" t="n">
        <v>12</v>
      </c>
      <c r="O3324" s="0" t="n">
        <v>40.64</v>
      </c>
      <c r="P3324" s="0" t="s">
        <v>2444</v>
      </c>
    </row>
    <row r="3325" customFormat="false" ht="15" hidden="false" customHeight="true" outlineLevel="0" collapsed="false">
      <c r="A3325" s="0" t="n">
        <v>2</v>
      </c>
      <c r="B3325" s="71" t="n">
        <v>46213</v>
      </c>
      <c r="C3325" s="0" t="n">
        <v>1</v>
      </c>
      <c r="D3325" s="0" t="s">
        <v>2442</v>
      </c>
      <c r="E3325" s="0" t="n">
        <v>1107</v>
      </c>
      <c r="F3325" s="0" t="s">
        <v>254</v>
      </c>
      <c r="I3325" s="0" t="n">
        <v>426652</v>
      </c>
      <c r="J3325" s="0" t="n">
        <v>24270</v>
      </c>
      <c r="K3325" s="0" t="n">
        <v>7891962050089</v>
      </c>
      <c r="L3325" s="0" t="s">
        <v>3489</v>
      </c>
      <c r="N3325" s="0" t="n">
        <v>45</v>
      </c>
      <c r="O3325" s="0" t="n">
        <v>172.89</v>
      </c>
      <c r="P3325" s="0" t="s">
        <v>2444</v>
      </c>
    </row>
    <row r="3326" customFormat="false" ht="15" hidden="false" customHeight="true" outlineLevel="0" collapsed="false">
      <c r="A3326" s="0" t="n">
        <v>2</v>
      </c>
      <c r="B3326" s="71" t="n">
        <v>46213</v>
      </c>
      <c r="C3326" s="0" t="n">
        <v>1</v>
      </c>
      <c r="D3326" s="0" t="s">
        <v>2442</v>
      </c>
      <c r="E3326" s="0" t="n">
        <v>1107</v>
      </c>
      <c r="F3326" s="0" t="s">
        <v>254</v>
      </c>
      <c r="I3326" s="0" t="n">
        <v>426652</v>
      </c>
      <c r="J3326" s="0" t="n">
        <v>24523</v>
      </c>
      <c r="K3326" s="0" t="n">
        <v>7891048038321</v>
      </c>
      <c r="L3326" s="0" t="s">
        <v>4027</v>
      </c>
      <c r="N3326" s="0" t="n">
        <v>12</v>
      </c>
      <c r="O3326" s="0" t="n">
        <v>40.64</v>
      </c>
      <c r="P3326" s="0" t="s">
        <v>2444</v>
      </c>
    </row>
    <row r="3327" customFormat="false" ht="15" hidden="false" customHeight="true" outlineLevel="0" collapsed="false">
      <c r="A3327" s="0" t="n">
        <v>2</v>
      </c>
      <c r="B3327" s="71" t="n">
        <v>46213</v>
      </c>
      <c r="C3327" s="0" t="n">
        <v>1</v>
      </c>
      <c r="D3327" s="0" t="s">
        <v>2442</v>
      </c>
      <c r="E3327" s="0" t="n">
        <v>1107</v>
      </c>
      <c r="F3327" s="0" t="s">
        <v>254</v>
      </c>
      <c r="I3327" s="0" t="n">
        <v>426652</v>
      </c>
      <c r="J3327" s="0" t="n">
        <v>24548</v>
      </c>
      <c r="K3327" s="0" t="n">
        <v>7891962050072</v>
      </c>
      <c r="L3327" s="0" t="s">
        <v>3490</v>
      </c>
      <c r="N3327" s="0" t="n">
        <v>45</v>
      </c>
      <c r="O3327" s="0" t="n">
        <v>172.89</v>
      </c>
      <c r="P3327" s="0" t="s">
        <v>2444</v>
      </c>
    </row>
    <row r="3328" customFormat="false" ht="15" hidden="false" customHeight="true" outlineLevel="0" collapsed="false">
      <c r="A3328" s="0" t="n">
        <v>2</v>
      </c>
      <c r="B3328" s="71" t="n">
        <v>46213</v>
      </c>
      <c r="C3328" s="0" t="n">
        <v>1</v>
      </c>
      <c r="D3328" s="0" t="s">
        <v>2442</v>
      </c>
      <c r="E3328" s="0" t="n">
        <v>1107</v>
      </c>
      <c r="F3328" s="0" t="s">
        <v>254</v>
      </c>
      <c r="I3328" s="0" t="n">
        <v>426652</v>
      </c>
      <c r="J3328" s="0" t="n">
        <v>26494</v>
      </c>
      <c r="K3328" s="0" t="n">
        <v>7891048050606</v>
      </c>
      <c r="L3328" s="0" t="s">
        <v>4028</v>
      </c>
      <c r="N3328" s="0" t="n">
        <v>15</v>
      </c>
      <c r="O3328" s="0" t="n">
        <v>22.44</v>
      </c>
      <c r="P3328" s="0" t="s">
        <v>2444</v>
      </c>
    </row>
    <row r="3329" customFormat="false" ht="15" hidden="false" customHeight="true" outlineLevel="0" collapsed="false">
      <c r="A3329" s="0" t="n">
        <v>2</v>
      </c>
      <c r="B3329" s="71" t="n">
        <v>46213</v>
      </c>
      <c r="C3329" s="0" t="n">
        <v>1</v>
      </c>
      <c r="D3329" s="0" t="s">
        <v>2442</v>
      </c>
      <c r="E3329" s="0" t="n">
        <v>1107</v>
      </c>
      <c r="F3329" s="0" t="s">
        <v>254</v>
      </c>
      <c r="I3329" s="0" t="n">
        <v>426652</v>
      </c>
      <c r="J3329" s="0" t="n">
        <v>26496</v>
      </c>
      <c r="K3329" s="0" t="n">
        <v>7891048050668</v>
      </c>
      <c r="L3329" s="0" t="s">
        <v>4029</v>
      </c>
      <c r="N3329" s="0" t="n">
        <v>15</v>
      </c>
      <c r="O3329" s="0" t="n">
        <v>22.44</v>
      </c>
      <c r="P3329" s="0" t="s">
        <v>2444</v>
      </c>
    </row>
    <row r="3330" customFormat="false" ht="15" hidden="false" customHeight="true" outlineLevel="0" collapsed="false">
      <c r="A3330" s="0" t="n">
        <v>2</v>
      </c>
      <c r="B3330" s="71" t="n">
        <v>46213</v>
      </c>
      <c r="C3330" s="0" t="n">
        <v>1</v>
      </c>
      <c r="D3330" s="0" t="s">
        <v>2442</v>
      </c>
      <c r="E3330" s="0" t="n">
        <v>1107</v>
      </c>
      <c r="F3330" s="0" t="s">
        <v>254</v>
      </c>
      <c r="I3330" s="0" t="n">
        <v>426652</v>
      </c>
      <c r="J3330" s="0" t="n">
        <v>27021</v>
      </c>
      <c r="K3330" s="0" t="n">
        <v>7891048050613</v>
      </c>
      <c r="L3330" s="0" t="s">
        <v>4030</v>
      </c>
      <c r="N3330" s="0" t="n">
        <v>15</v>
      </c>
      <c r="O3330" s="0" t="n">
        <v>22.44</v>
      </c>
      <c r="P3330" s="0" t="s">
        <v>2444</v>
      </c>
    </row>
    <row r="3331" customFormat="false" ht="15" hidden="false" customHeight="true" outlineLevel="0" collapsed="false">
      <c r="A3331" s="0" t="n">
        <v>2</v>
      </c>
      <c r="B3331" s="71" t="n">
        <v>46213</v>
      </c>
      <c r="C3331" s="0" t="n">
        <v>1</v>
      </c>
      <c r="D3331" s="0" t="s">
        <v>2442</v>
      </c>
      <c r="E3331" s="0" t="n">
        <v>1107</v>
      </c>
      <c r="F3331" s="0" t="s">
        <v>254</v>
      </c>
      <c r="I3331" s="0" t="n">
        <v>426652</v>
      </c>
      <c r="J3331" s="0" t="n">
        <v>27023</v>
      </c>
      <c r="K3331" s="0" t="n">
        <v>7891048050637</v>
      </c>
      <c r="L3331" s="0" t="s">
        <v>4031</v>
      </c>
      <c r="N3331" s="0" t="n">
        <v>15</v>
      </c>
      <c r="O3331" s="0" t="n">
        <v>22.44</v>
      </c>
      <c r="P3331" s="0" t="s">
        <v>2444</v>
      </c>
    </row>
    <row r="3332" customFormat="false" ht="15" hidden="false" customHeight="true" outlineLevel="0" collapsed="false">
      <c r="A3332" s="0" t="n">
        <v>2</v>
      </c>
      <c r="B3332" s="71" t="n">
        <v>46213</v>
      </c>
      <c r="C3332" s="0" t="n">
        <v>1</v>
      </c>
      <c r="D3332" s="0" t="s">
        <v>2442</v>
      </c>
      <c r="E3332" s="0" t="n">
        <v>1107</v>
      </c>
      <c r="F3332" s="0" t="s">
        <v>254</v>
      </c>
      <c r="I3332" s="0" t="n">
        <v>426652</v>
      </c>
      <c r="J3332" s="0" t="n">
        <v>27395</v>
      </c>
      <c r="K3332" s="0" t="n">
        <v>7891962054117</v>
      </c>
      <c r="L3332" s="0" t="s">
        <v>3491</v>
      </c>
      <c r="N3332" s="0" t="n">
        <v>20</v>
      </c>
      <c r="O3332" s="0" t="n">
        <v>89.58</v>
      </c>
      <c r="P3332" s="0" t="s">
        <v>2444</v>
      </c>
    </row>
    <row r="3333" customFormat="false" ht="15" hidden="false" customHeight="true" outlineLevel="0" collapsed="false">
      <c r="A3333" s="0" t="n">
        <v>2</v>
      </c>
      <c r="B3333" s="71" t="n">
        <v>46213</v>
      </c>
      <c r="C3333" s="0" t="n">
        <v>1</v>
      </c>
      <c r="D3333" s="0" t="s">
        <v>2442</v>
      </c>
      <c r="E3333" s="0" t="n">
        <v>1107</v>
      </c>
      <c r="F3333" s="0" t="s">
        <v>254</v>
      </c>
      <c r="I3333" s="0" t="n">
        <v>426652</v>
      </c>
      <c r="J3333" s="0" t="n">
        <v>27396</v>
      </c>
      <c r="K3333" s="0" t="n">
        <v>7891962054100</v>
      </c>
      <c r="L3333" s="0" t="s">
        <v>3492</v>
      </c>
      <c r="N3333" s="0" t="n">
        <v>20</v>
      </c>
      <c r="O3333" s="0" t="n">
        <v>89.58</v>
      </c>
      <c r="P3333" s="0" t="s">
        <v>2444</v>
      </c>
    </row>
    <row r="3334" customFormat="false" ht="15" hidden="false" customHeight="true" outlineLevel="0" collapsed="false">
      <c r="A3334" s="0" t="n">
        <v>2</v>
      </c>
      <c r="B3334" s="71" t="n">
        <v>46213</v>
      </c>
      <c r="C3334" s="0" t="n">
        <v>1</v>
      </c>
      <c r="D3334" s="0" t="s">
        <v>2442</v>
      </c>
      <c r="E3334" s="0" t="n">
        <v>1107</v>
      </c>
      <c r="F3334" s="0" t="s">
        <v>254</v>
      </c>
      <c r="I3334" s="0" t="n">
        <v>426652</v>
      </c>
      <c r="J3334" s="0" t="n">
        <v>27397</v>
      </c>
      <c r="K3334" s="0" t="n">
        <v>7891962054124</v>
      </c>
      <c r="L3334" s="0" t="s">
        <v>3493</v>
      </c>
      <c r="N3334" s="0" t="n">
        <v>24</v>
      </c>
      <c r="O3334" s="0" t="n">
        <v>107.5</v>
      </c>
      <c r="P3334" s="0" t="s">
        <v>2444</v>
      </c>
    </row>
    <row r="3335" customFormat="false" ht="15" hidden="false" customHeight="true" outlineLevel="0" collapsed="false">
      <c r="A3335" s="0" t="n">
        <v>2</v>
      </c>
      <c r="B3335" s="71" t="n">
        <v>46213</v>
      </c>
      <c r="C3335" s="0" t="n">
        <v>1</v>
      </c>
      <c r="D3335" s="0" t="s">
        <v>2442</v>
      </c>
      <c r="E3335" s="0" t="n">
        <v>1107</v>
      </c>
      <c r="F3335" s="0" t="s">
        <v>254</v>
      </c>
      <c r="I3335" s="0" t="n">
        <v>426652</v>
      </c>
      <c r="J3335" s="0" t="n">
        <v>27481</v>
      </c>
      <c r="K3335" s="0" t="n">
        <v>7891962054810</v>
      </c>
      <c r="L3335" s="0" t="s">
        <v>3492</v>
      </c>
      <c r="N3335" s="0" t="n">
        <v>24</v>
      </c>
      <c r="O3335" s="0" t="n">
        <v>45.86</v>
      </c>
      <c r="P3335" s="0" t="s">
        <v>2444</v>
      </c>
    </row>
    <row r="3336" customFormat="false" ht="15" hidden="false" customHeight="true" outlineLevel="0" collapsed="false">
      <c r="A3336" s="0" t="n">
        <v>2</v>
      </c>
      <c r="B3336" s="71" t="n">
        <v>46213</v>
      </c>
      <c r="C3336" s="0" t="n">
        <v>1</v>
      </c>
      <c r="D3336" s="0" t="s">
        <v>2442</v>
      </c>
      <c r="E3336" s="0" t="n">
        <v>1107</v>
      </c>
      <c r="F3336" s="0" t="s">
        <v>254</v>
      </c>
      <c r="I3336" s="0" t="n">
        <v>426652</v>
      </c>
      <c r="J3336" s="0" t="n">
        <v>27482</v>
      </c>
      <c r="K3336" s="0" t="n">
        <v>7891962054476</v>
      </c>
      <c r="L3336" s="0" t="s">
        <v>3494</v>
      </c>
      <c r="N3336" s="0" t="n">
        <v>24</v>
      </c>
      <c r="O3336" s="0" t="n">
        <v>45.86</v>
      </c>
      <c r="P3336" s="0" t="s">
        <v>2444</v>
      </c>
    </row>
    <row r="3337" customFormat="false" ht="15" hidden="false" customHeight="true" outlineLevel="0" collapsed="false">
      <c r="A3337" s="0" t="n">
        <v>2</v>
      </c>
      <c r="B3337" s="71" t="n">
        <v>46213</v>
      </c>
      <c r="C3337" s="0" t="n">
        <v>1</v>
      </c>
      <c r="D3337" s="0" t="s">
        <v>2442</v>
      </c>
      <c r="E3337" s="0" t="n">
        <v>1107</v>
      </c>
      <c r="F3337" s="0" t="s">
        <v>254</v>
      </c>
      <c r="I3337" s="0" t="n">
        <v>426652</v>
      </c>
      <c r="J3337" s="0" t="n">
        <v>27551</v>
      </c>
      <c r="K3337" s="0" t="n">
        <v>7891048050620</v>
      </c>
      <c r="L3337" s="0" t="s">
        <v>4032</v>
      </c>
      <c r="N3337" s="0" t="n">
        <v>15</v>
      </c>
      <c r="O3337" s="0" t="n">
        <v>22.44</v>
      </c>
      <c r="P3337" s="0" t="s">
        <v>2444</v>
      </c>
    </row>
    <row r="3338" customFormat="false" ht="15" hidden="false" customHeight="true" outlineLevel="0" collapsed="false">
      <c r="A3338" s="0" t="n">
        <v>2</v>
      </c>
      <c r="B3338" s="71" t="n">
        <v>46213</v>
      </c>
      <c r="C3338" s="0" t="n">
        <v>1</v>
      </c>
      <c r="D3338" s="0" t="s">
        <v>2442</v>
      </c>
      <c r="E3338" s="0" t="n">
        <v>1107</v>
      </c>
      <c r="F3338" s="0" t="s">
        <v>254</v>
      </c>
      <c r="I3338" s="0" t="n">
        <v>426652</v>
      </c>
      <c r="J3338" s="0" t="n">
        <v>27552</v>
      </c>
      <c r="K3338" s="0" t="n">
        <v>7891048050644</v>
      </c>
      <c r="L3338" s="0" t="s">
        <v>4033</v>
      </c>
      <c r="N3338" s="0" t="n">
        <v>15</v>
      </c>
      <c r="O3338" s="0" t="n">
        <v>22.44</v>
      </c>
      <c r="P3338" s="0" t="s">
        <v>2444</v>
      </c>
    </row>
    <row r="3339" customFormat="false" ht="15" hidden="false" customHeight="true" outlineLevel="0" collapsed="false">
      <c r="A3339" s="0" t="n">
        <v>2</v>
      </c>
      <c r="B3339" s="71" t="n">
        <v>46213</v>
      </c>
      <c r="C3339" s="0" t="n">
        <v>1</v>
      </c>
      <c r="D3339" s="0" t="s">
        <v>2442</v>
      </c>
      <c r="E3339" s="0" t="n">
        <v>1107</v>
      </c>
      <c r="F3339" s="0" t="s">
        <v>254</v>
      </c>
      <c r="I3339" s="0" t="n">
        <v>426652</v>
      </c>
      <c r="J3339" s="0" t="n">
        <v>28163</v>
      </c>
      <c r="K3339" s="0" t="n">
        <v>7891962052571</v>
      </c>
      <c r="L3339" s="0" t="s">
        <v>4034</v>
      </c>
      <c r="N3339" s="0" t="n">
        <v>10</v>
      </c>
      <c r="O3339" s="0" t="n">
        <v>38.01</v>
      </c>
      <c r="P3339" s="0" t="s">
        <v>2444</v>
      </c>
    </row>
    <row r="3340" customFormat="false" ht="15" hidden="false" customHeight="true" outlineLevel="0" collapsed="false">
      <c r="A3340" s="0" t="n">
        <v>2</v>
      </c>
      <c r="B3340" s="71" t="n">
        <v>46213</v>
      </c>
      <c r="C3340" s="0" t="n">
        <v>1</v>
      </c>
      <c r="D3340" s="0" t="s">
        <v>2442</v>
      </c>
      <c r="E3340" s="0" t="n">
        <v>1107</v>
      </c>
      <c r="F3340" s="0" t="s">
        <v>254</v>
      </c>
      <c r="I3340" s="0" t="n">
        <v>426652</v>
      </c>
      <c r="J3340" s="0" t="n">
        <v>28164</v>
      </c>
      <c r="K3340" s="0" t="n">
        <v>7891962052564</v>
      </c>
      <c r="L3340" s="0" t="s">
        <v>4035</v>
      </c>
      <c r="N3340" s="0" t="n">
        <v>15</v>
      </c>
      <c r="O3340" s="0" t="n">
        <v>51.56</v>
      </c>
      <c r="P3340" s="0" t="s">
        <v>2444</v>
      </c>
    </row>
    <row r="3341" customFormat="false" ht="15" hidden="false" customHeight="true" outlineLevel="0" collapsed="false">
      <c r="A3341" s="0" t="n">
        <v>2</v>
      </c>
      <c r="B3341" s="71" t="n">
        <v>46213</v>
      </c>
      <c r="C3341" s="0" t="n">
        <v>1</v>
      </c>
      <c r="D3341" s="0" t="s">
        <v>2442</v>
      </c>
      <c r="E3341" s="0" t="n">
        <v>1107</v>
      </c>
      <c r="F3341" s="0" t="s">
        <v>254</v>
      </c>
      <c r="I3341" s="0" t="n">
        <v>426652</v>
      </c>
      <c r="J3341" s="0" t="n">
        <v>29485</v>
      </c>
      <c r="K3341" s="0" t="n">
        <v>7891962053196</v>
      </c>
      <c r="L3341" s="0" t="s">
        <v>4036</v>
      </c>
      <c r="N3341" s="0" t="n">
        <v>10</v>
      </c>
      <c r="O3341" s="0" t="n">
        <v>49.64</v>
      </c>
      <c r="P3341" s="0" t="s">
        <v>2444</v>
      </c>
    </row>
    <row r="3342" customFormat="false" ht="15" hidden="false" customHeight="true" outlineLevel="0" collapsed="false">
      <c r="A3342" s="0" t="n">
        <v>2</v>
      </c>
      <c r="B3342" s="71" t="n">
        <v>46213</v>
      </c>
      <c r="C3342" s="0" t="n">
        <v>1</v>
      </c>
      <c r="D3342" s="0" t="s">
        <v>2442</v>
      </c>
      <c r="E3342" s="0" t="n">
        <v>1107</v>
      </c>
      <c r="F3342" s="0" t="s">
        <v>254</v>
      </c>
      <c r="I3342" s="0" t="n">
        <v>426652</v>
      </c>
      <c r="J3342" s="0" t="n">
        <v>32703</v>
      </c>
      <c r="K3342" s="0" t="n">
        <v>7891962060361</v>
      </c>
      <c r="L3342" s="0" t="s">
        <v>3496</v>
      </c>
      <c r="N3342" s="0" t="n">
        <v>36</v>
      </c>
      <c r="O3342" s="0" t="n">
        <v>99.01</v>
      </c>
      <c r="P3342" s="0" t="s">
        <v>2444</v>
      </c>
    </row>
    <row r="3343" customFormat="false" ht="15" hidden="false" customHeight="true" outlineLevel="0" collapsed="false">
      <c r="A3343" s="0" t="n">
        <v>2</v>
      </c>
      <c r="B3343" s="71" t="n">
        <v>46213</v>
      </c>
      <c r="C3343" s="0" t="n">
        <v>1</v>
      </c>
      <c r="D3343" s="0" t="s">
        <v>2442</v>
      </c>
      <c r="E3343" s="0" t="n">
        <v>1107</v>
      </c>
      <c r="F3343" s="0" t="s">
        <v>254</v>
      </c>
      <c r="I3343" s="0" t="n">
        <v>426652</v>
      </c>
      <c r="J3343" s="0" t="n">
        <v>33823</v>
      </c>
      <c r="K3343" s="0" t="n">
        <v>7896259417330</v>
      </c>
      <c r="L3343" s="0" t="s">
        <v>4037</v>
      </c>
      <c r="N3343" s="0" t="n">
        <v>6</v>
      </c>
      <c r="O3343" s="0" t="n">
        <v>124.73</v>
      </c>
      <c r="P3343" s="0" t="s">
        <v>2444</v>
      </c>
    </row>
    <row r="3344" customFormat="false" ht="15" hidden="false" customHeight="true" outlineLevel="0" collapsed="false">
      <c r="A3344" s="0" t="n">
        <v>2</v>
      </c>
      <c r="B3344" s="71" t="n">
        <v>46213</v>
      </c>
      <c r="C3344" s="0" t="n">
        <v>1</v>
      </c>
      <c r="D3344" s="0" t="s">
        <v>2442</v>
      </c>
      <c r="E3344" s="0" t="n">
        <v>1107</v>
      </c>
      <c r="F3344" s="0" t="s">
        <v>254</v>
      </c>
      <c r="I3344" s="0" t="n">
        <v>426652</v>
      </c>
      <c r="J3344" s="0" t="n">
        <v>61192</v>
      </c>
      <c r="K3344" s="0" t="n">
        <v>7891962071763</v>
      </c>
      <c r="L3344" s="0" t="s">
        <v>4038</v>
      </c>
      <c r="N3344" s="0" t="n">
        <v>36</v>
      </c>
      <c r="O3344" s="0" t="n">
        <v>61.51</v>
      </c>
      <c r="P3344" s="0" t="s">
        <v>2444</v>
      </c>
    </row>
    <row r="3345" customFormat="false" ht="15" hidden="false" customHeight="true" outlineLevel="0" collapsed="false">
      <c r="A3345" s="0" t="n">
        <v>2</v>
      </c>
      <c r="B3345" s="71" t="n">
        <v>46213</v>
      </c>
      <c r="C3345" s="0" t="n">
        <v>1</v>
      </c>
      <c r="D3345" s="0" t="s">
        <v>2442</v>
      </c>
      <c r="E3345" s="0" t="n">
        <v>1107</v>
      </c>
      <c r="F3345" s="0" t="s">
        <v>254</v>
      </c>
      <c r="I3345" s="0" t="n">
        <v>426652</v>
      </c>
      <c r="J3345" s="0" t="n">
        <v>62128</v>
      </c>
      <c r="K3345" s="0" t="n">
        <v>7891962071732</v>
      </c>
      <c r="L3345" s="0" t="s">
        <v>3500</v>
      </c>
      <c r="N3345" s="0" t="n">
        <v>36</v>
      </c>
      <c r="O3345" s="0" t="n">
        <v>61.51</v>
      </c>
      <c r="P3345" s="0" t="s">
        <v>2444</v>
      </c>
    </row>
    <row r="3346" customFormat="false" ht="15" hidden="false" customHeight="true" outlineLevel="0" collapsed="false">
      <c r="A3346" s="0" t="n">
        <v>2</v>
      </c>
      <c r="B3346" s="71" t="n">
        <v>46213</v>
      </c>
      <c r="C3346" s="0" t="n">
        <v>1</v>
      </c>
      <c r="D3346" s="0" t="s">
        <v>2442</v>
      </c>
      <c r="E3346" s="0" t="n">
        <v>1107</v>
      </c>
      <c r="F3346" s="0" t="s">
        <v>254</v>
      </c>
      <c r="I3346" s="0" t="n">
        <v>426652</v>
      </c>
      <c r="J3346" s="0" t="n">
        <v>62129</v>
      </c>
      <c r="K3346" s="0" t="n">
        <v>7891962071749</v>
      </c>
      <c r="L3346" s="0" t="s">
        <v>4039</v>
      </c>
      <c r="N3346" s="0" t="n">
        <v>36</v>
      </c>
      <c r="O3346" s="0" t="n">
        <v>61.51</v>
      </c>
      <c r="P3346" s="0" t="s">
        <v>2444</v>
      </c>
    </row>
    <row r="3347" customFormat="false" ht="15" hidden="false" customHeight="true" outlineLevel="0" collapsed="false">
      <c r="A3347" s="0" t="n">
        <v>2</v>
      </c>
      <c r="B3347" s="71" t="n">
        <v>46213</v>
      </c>
      <c r="C3347" s="0" t="n">
        <v>1</v>
      </c>
      <c r="D3347" s="0" t="s">
        <v>2442</v>
      </c>
      <c r="E3347" s="0" t="n">
        <v>1107</v>
      </c>
      <c r="F3347" s="0" t="s">
        <v>254</v>
      </c>
      <c r="I3347" s="0" t="n">
        <v>426652</v>
      </c>
      <c r="J3347" s="0" t="n">
        <v>62130</v>
      </c>
      <c r="K3347" s="0" t="n">
        <v>7891962071756</v>
      </c>
      <c r="L3347" s="0" t="s">
        <v>3501</v>
      </c>
      <c r="N3347" s="0" t="n">
        <v>36</v>
      </c>
      <c r="O3347" s="0" t="n">
        <v>61.51</v>
      </c>
      <c r="P3347" s="0" t="s">
        <v>2444</v>
      </c>
    </row>
    <row r="3348" customFormat="false" ht="15" hidden="false" customHeight="true" outlineLevel="0" collapsed="false">
      <c r="A3348" s="0" t="n">
        <v>2</v>
      </c>
      <c r="B3348" s="71" t="n">
        <v>46213</v>
      </c>
      <c r="C3348" s="0" t="n">
        <v>1</v>
      </c>
      <c r="D3348" s="0" t="s">
        <v>2442</v>
      </c>
      <c r="E3348" s="0" t="n">
        <v>1107</v>
      </c>
      <c r="F3348" s="0" t="s">
        <v>254</v>
      </c>
      <c r="I3348" s="0" t="n">
        <v>426652</v>
      </c>
      <c r="J3348" s="0" t="n">
        <v>65951</v>
      </c>
      <c r="K3348" s="0" t="n">
        <v>7891962071176</v>
      </c>
      <c r="L3348" s="0" t="s">
        <v>4040</v>
      </c>
      <c r="N3348" s="0" t="n">
        <v>36</v>
      </c>
      <c r="O3348" s="0" t="n">
        <v>111.01</v>
      </c>
      <c r="P3348" s="0" t="s">
        <v>2444</v>
      </c>
    </row>
    <row r="3349" customFormat="false" ht="15" hidden="false" customHeight="true" outlineLevel="0" collapsed="false">
      <c r="A3349" s="0" t="n">
        <v>2</v>
      </c>
      <c r="B3349" s="71" t="n">
        <v>46213</v>
      </c>
      <c r="C3349" s="0" t="n">
        <v>1</v>
      </c>
      <c r="D3349" s="0" t="s">
        <v>2442</v>
      </c>
      <c r="E3349" s="0" t="n">
        <v>1024</v>
      </c>
      <c r="F3349" s="0" t="s">
        <v>471</v>
      </c>
      <c r="I3349" s="0" t="n">
        <v>599833</v>
      </c>
      <c r="J3349" s="0" t="n">
        <v>104429</v>
      </c>
      <c r="K3349" s="0" t="n">
        <v>7896792350064</v>
      </c>
      <c r="L3349" s="0" t="s">
        <v>2788</v>
      </c>
      <c r="N3349" s="0" t="n">
        <v>36</v>
      </c>
      <c r="O3349" s="0" t="n">
        <v>33</v>
      </c>
      <c r="P3349" s="0" t="s">
        <v>2444</v>
      </c>
    </row>
    <row r="3350" customFormat="false" ht="15" hidden="false" customHeight="true" outlineLevel="0" collapsed="false">
      <c r="A3350" s="0" t="n">
        <v>2</v>
      </c>
      <c r="B3350" s="71" t="n">
        <v>46213</v>
      </c>
      <c r="C3350" s="0" t="n">
        <v>1</v>
      </c>
      <c r="D3350" s="0" t="s">
        <v>2442</v>
      </c>
      <c r="E3350" s="0" t="n">
        <v>1024</v>
      </c>
      <c r="F3350" s="0" t="s">
        <v>471</v>
      </c>
      <c r="I3350" s="0" t="n">
        <v>599833</v>
      </c>
      <c r="J3350" s="0" t="n">
        <v>23449</v>
      </c>
      <c r="K3350" s="0" t="n">
        <v>7896792510000</v>
      </c>
      <c r="L3350" s="0" t="s">
        <v>2789</v>
      </c>
      <c r="N3350" s="0" t="n">
        <v>120</v>
      </c>
      <c r="O3350" s="0" t="n">
        <v>125</v>
      </c>
      <c r="P3350" s="0" t="s">
        <v>2444</v>
      </c>
    </row>
    <row r="3351" customFormat="false" ht="15" hidden="false" customHeight="true" outlineLevel="0" collapsed="false">
      <c r="A3351" s="0" t="n">
        <v>2</v>
      </c>
      <c r="B3351" s="71" t="n">
        <v>46213</v>
      </c>
      <c r="C3351" s="0" t="n">
        <v>1</v>
      </c>
      <c r="D3351" s="0" t="s">
        <v>2442</v>
      </c>
      <c r="E3351" s="0" t="n">
        <v>1024</v>
      </c>
      <c r="F3351" s="0" t="s">
        <v>471</v>
      </c>
      <c r="I3351" s="0" t="n">
        <v>599833</v>
      </c>
      <c r="J3351" s="0" t="n">
        <v>28733</v>
      </c>
      <c r="K3351" s="0" t="n">
        <v>7898654710108</v>
      </c>
      <c r="L3351" s="0" t="s">
        <v>2791</v>
      </c>
      <c r="N3351" s="0" t="n">
        <v>24</v>
      </c>
      <c r="O3351" s="0" t="n">
        <v>26</v>
      </c>
      <c r="P3351" s="0" t="s">
        <v>2444</v>
      </c>
    </row>
    <row r="3352" customFormat="false" ht="15" hidden="false" customHeight="true" outlineLevel="0" collapsed="false">
      <c r="A3352" s="0" t="n">
        <v>2</v>
      </c>
      <c r="B3352" s="71" t="n">
        <v>46213</v>
      </c>
      <c r="C3352" s="0" t="n">
        <v>1</v>
      </c>
      <c r="D3352" s="0" t="s">
        <v>2442</v>
      </c>
      <c r="E3352" s="0" t="n">
        <v>1024</v>
      </c>
      <c r="F3352" s="0" t="s">
        <v>471</v>
      </c>
      <c r="I3352" s="0" t="n">
        <v>599833</v>
      </c>
      <c r="J3352" s="0" t="n">
        <v>30090</v>
      </c>
      <c r="K3352" s="0" t="n">
        <v>7896792510017</v>
      </c>
      <c r="L3352" s="0" t="s">
        <v>4041</v>
      </c>
      <c r="N3352" s="0" t="n">
        <v>60</v>
      </c>
      <c r="O3352" s="0" t="n">
        <v>70</v>
      </c>
      <c r="P3352" s="0" t="s">
        <v>2444</v>
      </c>
    </row>
    <row r="3353" customFormat="false" ht="15" hidden="false" customHeight="true" outlineLevel="0" collapsed="false">
      <c r="A3353" s="0" t="n">
        <v>2</v>
      </c>
      <c r="B3353" s="71" t="n">
        <v>46213</v>
      </c>
      <c r="C3353" s="0" t="n">
        <v>1</v>
      </c>
      <c r="D3353" s="0" t="s">
        <v>2442</v>
      </c>
      <c r="E3353" s="0" t="n">
        <v>1024</v>
      </c>
      <c r="F3353" s="0" t="s">
        <v>471</v>
      </c>
      <c r="I3353" s="0" t="n">
        <v>599833</v>
      </c>
      <c r="J3353" s="0" t="n">
        <v>46561</v>
      </c>
      <c r="K3353" s="0" t="n">
        <v>7898654710320</v>
      </c>
      <c r="L3353" s="0" t="s">
        <v>2792</v>
      </c>
      <c r="N3353" s="0" t="n">
        <v>24</v>
      </c>
      <c r="O3353" s="0" t="n">
        <v>26</v>
      </c>
      <c r="P3353" s="0" t="s">
        <v>2444</v>
      </c>
    </row>
    <row r="3354" customFormat="false" ht="15" hidden="false" customHeight="true" outlineLevel="0" collapsed="false">
      <c r="A3354" s="0" t="n">
        <v>2</v>
      </c>
      <c r="B3354" s="71" t="n">
        <v>46213</v>
      </c>
      <c r="C3354" s="0" t="n">
        <v>1</v>
      </c>
      <c r="D3354" s="0" t="s">
        <v>2442</v>
      </c>
      <c r="E3354" s="0" t="n">
        <v>1621</v>
      </c>
      <c r="F3354" s="0" t="s">
        <v>232</v>
      </c>
      <c r="I3354" s="0" t="n">
        <v>899238</v>
      </c>
      <c r="J3354" s="0" t="n">
        <v>52560</v>
      </c>
      <c r="K3354" s="0" t="n">
        <v>7891991299619</v>
      </c>
      <c r="L3354" s="0" t="s">
        <v>4042</v>
      </c>
      <c r="N3354" s="0" t="n">
        <v>120</v>
      </c>
      <c r="O3354" s="0" t="n">
        <v>660.180029</v>
      </c>
      <c r="P3354" s="0" t="s">
        <v>2444</v>
      </c>
    </row>
    <row r="3355" customFormat="false" ht="15" hidden="false" customHeight="true" outlineLevel="0" collapsed="false">
      <c r="A3355" s="0" t="n">
        <v>2</v>
      </c>
      <c r="B3355" s="71" t="n">
        <v>46213</v>
      </c>
      <c r="C3355" s="0" t="n">
        <v>1</v>
      </c>
      <c r="D3355" s="0" t="s">
        <v>2442</v>
      </c>
      <c r="E3355" s="0" t="n">
        <v>1642</v>
      </c>
      <c r="F3355" s="0" t="s">
        <v>228</v>
      </c>
      <c r="I3355" s="0" t="n">
        <v>1031214</v>
      </c>
      <c r="J3355" s="0" t="n">
        <v>105782</v>
      </c>
      <c r="K3355" s="0" t="n">
        <v>7896289210352</v>
      </c>
      <c r="L3355" s="0" t="s">
        <v>2512</v>
      </c>
      <c r="N3355" s="0" t="n">
        <v>7</v>
      </c>
      <c r="O3355" s="0" t="n">
        <v>48.02</v>
      </c>
      <c r="P3355" s="0" t="s">
        <v>2444</v>
      </c>
    </row>
    <row r="3356" customFormat="false" ht="15" hidden="false" customHeight="true" outlineLevel="0" collapsed="false">
      <c r="A3356" s="0" t="n">
        <v>2</v>
      </c>
      <c r="B3356" s="71" t="n">
        <v>46213</v>
      </c>
      <c r="C3356" s="0" t="n">
        <v>1</v>
      </c>
      <c r="D3356" s="0" t="s">
        <v>2442</v>
      </c>
      <c r="E3356" s="0" t="n">
        <v>1642</v>
      </c>
      <c r="F3356" s="0" t="s">
        <v>228</v>
      </c>
      <c r="I3356" s="0" t="n">
        <v>1031214</v>
      </c>
      <c r="J3356" s="0" t="n">
        <v>106079</v>
      </c>
      <c r="K3356" s="0" t="n">
        <v>7896289210130</v>
      </c>
      <c r="L3356" s="0" t="s">
        <v>2513</v>
      </c>
      <c r="N3356" s="0" t="n">
        <v>5</v>
      </c>
      <c r="O3356" s="0" t="n">
        <v>68.5</v>
      </c>
      <c r="P3356" s="0" t="s">
        <v>2444</v>
      </c>
    </row>
    <row r="3357" customFormat="false" ht="15" hidden="false" customHeight="true" outlineLevel="0" collapsed="false">
      <c r="A3357" s="0" t="n">
        <v>2</v>
      </c>
      <c r="B3357" s="71" t="n">
        <v>46213</v>
      </c>
      <c r="C3357" s="0" t="n">
        <v>1</v>
      </c>
      <c r="D3357" s="0" t="s">
        <v>2442</v>
      </c>
      <c r="E3357" s="0" t="n">
        <v>1642</v>
      </c>
      <c r="F3357" s="0" t="s">
        <v>228</v>
      </c>
      <c r="I3357" s="0" t="n">
        <v>1031214</v>
      </c>
      <c r="J3357" s="0" t="n">
        <v>106274</v>
      </c>
      <c r="K3357" s="0" t="n">
        <v>7896289210086</v>
      </c>
      <c r="L3357" s="0" t="s">
        <v>2514</v>
      </c>
      <c r="N3357" s="0" t="n">
        <v>3</v>
      </c>
      <c r="O3357" s="0" t="n">
        <v>37.68</v>
      </c>
      <c r="P3357" s="0" t="s">
        <v>2444</v>
      </c>
    </row>
    <row r="3358" customFormat="false" ht="15" hidden="false" customHeight="true" outlineLevel="0" collapsed="false">
      <c r="A3358" s="0" t="n">
        <v>2</v>
      </c>
      <c r="B3358" s="71" t="n">
        <v>46213</v>
      </c>
      <c r="C3358" s="0" t="n">
        <v>1</v>
      </c>
      <c r="D3358" s="0" t="s">
        <v>2442</v>
      </c>
      <c r="E3358" s="0" t="n">
        <v>1642</v>
      </c>
      <c r="F3358" s="0" t="s">
        <v>228</v>
      </c>
      <c r="I3358" s="0" t="n">
        <v>1031214</v>
      </c>
      <c r="J3358" s="0" t="n">
        <v>106280</v>
      </c>
      <c r="K3358" s="0" t="n">
        <v>7896289210062</v>
      </c>
      <c r="L3358" s="0" t="s">
        <v>2515</v>
      </c>
      <c r="N3358" s="0" t="n">
        <v>3</v>
      </c>
      <c r="O3358" s="0" t="n">
        <v>37.68</v>
      </c>
      <c r="P3358" s="0" t="s">
        <v>2444</v>
      </c>
    </row>
    <row r="3359" customFormat="false" ht="15" hidden="false" customHeight="true" outlineLevel="0" collapsed="false">
      <c r="A3359" s="0" t="n">
        <v>2</v>
      </c>
      <c r="B3359" s="71" t="n">
        <v>46213</v>
      </c>
      <c r="C3359" s="0" t="n">
        <v>1</v>
      </c>
      <c r="D3359" s="0" t="s">
        <v>2442</v>
      </c>
      <c r="E3359" s="0" t="n">
        <v>1642</v>
      </c>
      <c r="F3359" s="0" t="s">
        <v>228</v>
      </c>
      <c r="I3359" s="0" t="n">
        <v>1031214</v>
      </c>
      <c r="J3359" s="0" t="n">
        <v>106407</v>
      </c>
      <c r="K3359" s="0" t="n">
        <v>7896289210031</v>
      </c>
      <c r="L3359" s="0" t="s">
        <v>2516</v>
      </c>
      <c r="N3359" s="0" t="n">
        <v>5</v>
      </c>
      <c r="O3359" s="0" t="n">
        <v>58.2</v>
      </c>
      <c r="P3359" s="0" t="s">
        <v>2444</v>
      </c>
    </row>
    <row r="3360" customFormat="false" ht="15" hidden="false" customHeight="true" outlineLevel="0" collapsed="false">
      <c r="A3360" s="0" t="n">
        <v>2</v>
      </c>
      <c r="B3360" s="71" t="n">
        <v>46213</v>
      </c>
      <c r="C3360" s="0" t="n">
        <v>1</v>
      </c>
      <c r="D3360" s="0" t="s">
        <v>2442</v>
      </c>
      <c r="E3360" s="0" t="n">
        <v>1613</v>
      </c>
      <c r="F3360" s="0" t="s">
        <v>50</v>
      </c>
      <c r="I3360" s="0" t="n">
        <v>1605936</v>
      </c>
      <c r="J3360" s="0" t="n">
        <v>110883</v>
      </c>
      <c r="K3360" s="0" t="n">
        <v>45</v>
      </c>
      <c r="L3360" s="0" t="s">
        <v>2637</v>
      </c>
      <c r="N3360" s="0" t="n">
        <v>40</v>
      </c>
      <c r="O3360" s="0" t="n">
        <v>491.24</v>
      </c>
      <c r="P3360" s="0" t="s">
        <v>2444</v>
      </c>
    </row>
    <row r="3361" customFormat="false" ht="15" hidden="false" customHeight="true" outlineLevel="0" collapsed="false">
      <c r="A3361" s="0" t="n">
        <v>2</v>
      </c>
      <c r="B3361" s="71" t="n">
        <v>46213</v>
      </c>
      <c r="C3361" s="0" t="n">
        <v>1</v>
      </c>
      <c r="D3361" s="0" t="s">
        <v>2442</v>
      </c>
      <c r="E3361" s="0" t="n">
        <v>1613</v>
      </c>
      <c r="F3361" s="0" t="s">
        <v>50</v>
      </c>
      <c r="I3361" s="0" t="n">
        <v>1605936</v>
      </c>
      <c r="J3361" s="0" t="n">
        <v>100045</v>
      </c>
      <c r="K3361" s="0" t="n">
        <v>46</v>
      </c>
      <c r="L3361" s="0" t="s">
        <v>2625</v>
      </c>
      <c r="N3361" s="0" t="n">
        <v>60</v>
      </c>
      <c r="O3361" s="0" t="n">
        <v>695.4</v>
      </c>
      <c r="P3361" s="0" t="s">
        <v>2444</v>
      </c>
    </row>
    <row r="3362" customFormat="false" ht="15" hidden="false" customHeight="true" outlineLevel="0" collapsed="false">
      <c r="A3362" s="0" t="n">
        <v>2</v>
      </c>
      <c r="B3362" s="71" t="n">
        <v>46213</v>
      </c>
      <c r="C3362" s="0" t="n">
        <v>1</v>
      </c>
      <c r="D3362" s="0" t="s">
        <v>2442</v>
      </c>
      <c r="E3362" s="0" t="n">
        <v>1613</v>
      </c>
      <c r="F3362" s="0" t="s">
        <v>50</v>
      </c>
      <c r="I3362" s="0" t="n">
        <v>1605936</v>
      </c>
      <c r="J3362" s="0" t="n">
        <v>103848</v>
      </c>
      <c r="K3362" s="0" t="n">
        <v>7893000488878</v>
      </c>
      <c r="L3362" s="0" t="s">
        <v>2972</v>
      </c>
      <c r="N3362" s="0" t="n">
        <v>8</v>
      </c>
      <c r="O3362" s="0" t="n">
        <v>100.1</v>
      </c>
      <c r="P3362" s="0" t="s">
        <v>2444</v>
      </c>
    </row>
    <row r="3363" customFormat="false" ht="15" hidden="false" customHeight="true" outlineLevel="0" collapsed="false">
      <c r="A3363" s="0" t="n">
        <v>2</v>
      </c>
      <c r="B3363" s="71" t="n">
        <v>46213</v>
      </c>
      <c r="C3363" s="0" t="n">
        <v>1</v>
      </c>
      <c r="D3363" s="0" t="s">
        <v>2442</v>
      </c>
      <c r="E3363" s="0" t="n">
        <v>1613</v>
      </c>
      <c r="F3363" s="0" t="s">
        <v>50</v>
      </c>
      <c r="I3363" s="0" t="n">
        <v>1605936</v>
      </c>
      <c r="J3363" s="0" t="n">
        <v>103851</v>
      </c>
      <c r="K3363" s="0" t="n">
        <v>7893000482401</v>
      </c>
      <c r="L3363" s="0" t="s">
        <v>3759</v>
      </c>
      <c r="N3363" s="0" t="n">
        <v>12</v>
      </c>
      <c r="O3363" s="0" t="n">
        <v>186.66</v>
      </c>
      <c r="P3363" s="0" t="s">
        <v>2444</v>
      </c>
    </row>
    <row r="3364" customFormat="false" ht="15" hidden="false" customHeight="true" outlineLevel="0" collapsed="false">
      <c r="A3364" s="0" t="n">
        <v>2</v>
      </c>
      <c r="B3364" s="71" t="n">
        <v>46213</v>
      </c>
      <c r="C3364" s="0" t="n">
        <v>1</v>
      </c>
      <c r="D3364" s="0" t="s">
        <v>2442</v>
      </c>
      <c r="E3364" s="0" t="n">
        <v>1613</v>
      </c>
      <c r="F3364" s="0" t="s">
        <v>50</v>
      </c>
      <c r="I3364" s="0" t="n">
        <v>1605936</v>
      </c>
      <c r="J3364" s="0" t="n">
        <v>104014</v>
      </c>
      <c r="K3364" s="0" t="n">
        <v>7893000863125</v>
      </c>
      <c r="L3364" s="0" t="s">
        <v>2973</v>
      </c>
      <c r="N3364" s="0" t="n">
        <v>12</v>
      </c>
      <c r="O3364" s="0" t="n">
        <v>184.92</v>
      </c>
      <c r="P3364" s="0" t="s">
        <v>2444</v>
      </c>
    </row>
    <row r="3365" customFormat="false" ht="15" hidden="false" customHeight="true" outlineLevel="0" collapsed="false">
      <c r="A3365" s="0" t="n">
        <v>2</v>
      </c>
      <c r="B3365" s="71" t="n">
        <v>46213</v>
      </c>
      <c r="C3365" s="0" t="n">
        <v>1</v>
      </c>
      <c r="D3365" s="0" t="s">
        <v>2442</v>
      </c>
      <c r="E3365" s="0" t="n">
        <v>1613</v>
      </c>
      <c r="F3365" s="0" t="s">
        <v>50</v>
      </c>
      <c r="I3365" s="0" t="n">
        <v>1605936</v>
      </c>
      <c r="J3365" s="0" t="n">
        <v>13255</v>
      </c>
      <c r="K3365" s="0" t="n">
        <v>7893000005969</v>
      </c>
      <c r="L3365" s="0" t="s">
        <v>4043</v>
      </c>
      <c r="N3365" s="0" t="n">
        <v>12</v>
      </c>
      <c r="O3365" s="0" t="n">
        <v>117.4</v>
      </c>
      <c r="P3365" s="0" t="s">
        <v>2444</v>
      </c>
    </row>
    <row r="3366" customFormat="false" ht="15" hidden="false" customHeight="true" outlineLevel="0" collapsed="false">
      <c r="A3366" s="0" t="n">
        <v>2</v>
      </c>
      <c r="B3366" s="71" t="n">
        <v>46213</v>
      </c>
      <c r="C3366" s="0" t="n">
        <v>1</v>
      </c>
      <c r="D3366" s="0" t="s">
        <v>2442</v>
      </c>
      <c r="E3366" s="0" t="n">
        <v>1613</v>
      </c>
      <c r="F3366" s="0" t="s">
        <v>50</v>
      </c>
      <c r="I3366" s="0" t="n">
        <v>1605936</v>
      </c>
      <c r="J3366" s="0" t="n">
        <v>23694</v>
      </c>
      <c r="K3366" s="0" t="n">
        <v>7891515474737</v>
      </c>
      <c r="L3366" s="0" t="s">
        <v>2978</v>
      </c>
      <c r="N3366" s="0" t="n">
        <v>90</v>
      </c>
      <c r="O3366" s="0" t="n">
        <v>155.62</v>
      </c>
      <c r="P3366" s="0" t="s">
        <v>2444</v>
      </c>
    </row>
    <row r="3367" customFormat="false" ht="15" hidden="false" customHeight="true" outlineLevel="0" collapsed="false">
      <c r="A3367" s="0" t="n">
        <v>2</v>
      </c>
      <c r="B3367" s="71" t="n">
        <v>46213</v>
      </c>
      <c r="C3367" s="0" t="n">
        <v>1</v>
      </c>
      <c r="D3367" s="0" t="s">
        <v>2442</v>
      </c>
      <c r="E3367" s="0" t="n">
        <v>1613</v>
      </c>
      <c r="F3367" s="0" t="s">
        <v>50</v>
      </c>
      <c r="I3367" s="0" t="n">
        <v>1605936</v>
      </c>
      <c r="J3367" s="0" t="n">
        <v>55565</v>
      </c>
      <c r="K3367" s="0" t="n">
        <v>7891515598266</v>
      </c>
      <c r="L3367" s="0" t="s">
        <v>4044</v>
      </c>
      <c r="N3367" s="0" t="n">
        <v>16</v>
      </c>
      <c r="O3367" s="0" t="n">
        <v>118.79</v>
      </c>
      <c r="P3367" s="0" t="s">
        <v>2444</v>
      </c>
    </row>
    <row r="3368" customFormat="false" ht="15" hidden="false" customHeight="true" outlineLevel="0" collapsed="false">
      <c r="A3368" s="0" t="n">
        <v>2</v>
      </c>
      <c r="B3368" s="71" t="n">
        <v>46213</v>
      </c>
      <c r="C3368" s="0" t="n">
        <v>6</v>
      </c>
      <c r="D3368" s="0" t="s">
        <v>2553</v>
      </c>
      <c r="E3368" s="0" t="n">
        <v>48</v>
      </c>
      <c r="F3368" s="0" t="s">
        <v>153</v>
      </c>
      <c r="I3368" s="0" t="n">
        <v>2538</v>
      </c>
      <c r="J3368" s="0" t="n">
        <v>100105</v>
      </c>
      <c r="K3368" s="0" t="n">
        <v>106</v>
      </c>
      <c r="L3368" s="0" t="s">
        <v>2536</v>
      </c>
      <c r="N3368" s="0" t="n">
        <v>48</v>
      </c>
      <c r="O3368" s="0" t="n">
        <v>360</v>
      </c>
      <c r="P3368" s="0" t="s">
        <v>2444</v>
      </c>
    </row>
    <row r="3369" customFormat="false" ht="15" hidden="false" customHeight="true" outlineLevel="0" collapsed="false">
      <c r="A3369" s="0" t="n">
        <v>2</v>
      </c>
      <c r="B3369" s="71" t="n">
        <v>46213</v>
      </c>
      <c r="C3369" s="0" t="n">
        <v>6</v>
      </c>
      <c r="D3369" s="0" t="s">
        <v>2553</v>
      </c>
      <c r="E3369" s="0" t="n">
        <v>48</v>
      </c>
      <c r="F3369" s="0" t="s">
        <v>153</v>
      </c>
      <c r="I3369" s="0" t="n">
        <v>2538</v>
      </c>
      <c r="J3369" s="0" t="n">
        <v>100109</v>
      </c>
      <c r="K3369" s="0" t="n">
        <v>110</v>
      </c>
      <c r="L3369" s="0" t="s">
        <v>2537</v>
      </c>
      <c r="N3369" s="0" t="n">
        <v>40</v>
      </c>
      <c r="O3369" s="0" t="n">
        <v>280</v>
      </c>
      <c r="P3369" s="0" t="s">
        <v>2444</v>
      </c>
    </row>
    <row r="3370" customFormat="false" ht="15" hidden="false" customHeight="true" outlineLevel="0" collapsed="false">
      <c r="A3370" s="0" t="n">
        <v>2</v>
      </c>
      <c r="B3370" s="71" t="n">
        <v>46213</v>
      </c>
      <c r="C3370" s="0" t="n">
        <v>6</v>
      </c>
      <c r="D3370" s="0" t="s">
        <v>2553</v>
      </c>
      <c r="E3370" s="0" t="n">
        <v>48</v>
      </c>
      <c r="F3370" s="0" t="s">
        <v>153</v>
      </c>
      <c r="I3370" s="0" t="n">
        <v>2538</v>
      </c>
      <c r="J3370" s="0" t="n">
        <v>100113</v>
      </c>
      <c r="K3370" s="0" t="n">
        <v>114</v>
      </c>
      <c r="L3370" s="0" t="s">
        <v>2539</v>
      </c>
      <c r="N3370" s="0" t="n">
        <v>20</v>
      </c>
      <c r="O3370" s="0" t="n">
        <v>55</v>
      </c>
      <c r="P3370" s="0" t="s">
        <v>2444</v>
      </c>
    </row>
    <row r="3371" customFormat="false" ht="15" hidden="false" customHeight="true" outlineLevel="0" collapsed="false">
      <c r="A3371" s="0" t="n">
        <v>2</v>
      </c>
      <c r="B3371" s="71" t="n">
        <v>46213</v>
      </c>
      <c r="C3371" s="0" t="n">
        <v>6</v>
      </c>
      <c r="D3371" s="0" t="s">
        <v>2553</v>
      </c>
      <c r="E3371" s="0" t="n">
        <v>48</v>
      </c>
      <c r="F3371" s="0" t="s">
        <v>153</v>
      </c>
      <c r="I3371" s="0" t="n">
        <v>2538</v>
      </c>
      <c r="J3371" s="0" t="n">
        <v>100115</v>
      </c>
      <c r="K3371" s="0" t="n">
        <v>116</v>
      </c>
      <c r="L3371" s="0" t="s">
        <v>2694</v>
      </c>
      <c r="N3371" s="0" t="n">
        <v>10</v>
      </c>
      <c r="O3371" s="0" t="n">
        <v>86.6</v>
      </c>
      <c r="P3371" s="0" t="s">
        <v>2444</v>
      </c>
    </row>
    <row r="3372" customFormat="false" ht="15" hidden="false" customHeight="true" outlineLevel="0" collapsed="false">
      <c r="A3372" s="0" t="n">
        <v>2</v>
      </c>
      <c r="B3372" s="71" t="n">
        <v>46213</v>
      </c>
      <c r="C3372" s="0" t="n">
        <v>6</v>
      </c>
      <c r="D3372" s="0" t="s">
        <v>2553</v>
      </c>
      <c r="E3372" s="0" t="n">
        <v>48</v>
      </c>
      <c r="F3372" s="0" t="s">
        <v>153</v>
      </c>
      <c r="I3372" s="0" t="n">
        <v>2538</v>
      </c>
      <c r="J3372" s="0" t="n">
        <v>100116</v>
      </c>
      <c r="K3372" s="0" t="n">
        <v>117</v>
      </c>
      <c r="L3372" s="0" t="s">
        <v>2540</v>
      </c>
      <c r="N3372" s="0" t="n">
        <v>2</v>
      </c>
      <c r="O3372" s="0" t="n">
        <v>24</v>
      </c>
      <c r="P3372" s="0" t="s">
        <v>2444</v>
      </c>
    </row>
    <row r="3373" customFormat="false" ht="15" hidden="false" customHeight="true" outlineLevel="0" collapsed="false">
      <c r="A3373" s="0" t="n">
        <v>2</v>
      </c>
      <c r="B3373" s="71" t="n">
        <v>46213</v>
      </c>
      <c r="C3373" s="0" t="n">
        <v>6</v>
      </c>
      <c r="D3373" s="0" t="s">
        <v>2553</v>
      </c>
      <c r="E3373" s="0" t="n">
        <v>48</v>
      </c>
      <c r="F3373" s="0" t="s">
        <v>153</v>
      </c>
      <c r="I3373" s="0" t="n">
        <v>2538</v>
      </c>
      <c r="J3373" s="0" t="n">
        <v>100121</v>
      </c>
      <c r="K3373" s="0" t="n">
        <v>122</v>
      </c>
      <c r="L3373" s="0" t="s">
        <v>2542</v>
      </c>
      <c r="N3373" s="0" t="n">
        <v>3</v>
      </c>
      <c r="O3373" s="0" t="n">
        <v>60</v>
      </c>
      <c r="P3373" s="0" t="s">
        <v>2444</v>
      </c>
    </row>
    <row r="3374" customFormat="false" ht="15" hidden="false" customHeight="true" outlineLevel="0" collapsed="false">
      <c r="A3374" s="0" t="n">
        <v>2</v>
      </c>
      <c r="B3374" s="71" t="n">
        <v>46213</v>
      </c>
      <c r="C3374" s="0" t="n">
        <v>6</v>
      </c>
      <c r="D3374" s="0" t="s">
        <v>2553</v>
      </c>
      <c r="E3374" s="0" t="n">
        <v>48</v>
      </c>
      <c r="F3374" s="0" t="s">
        <v>153</v>
      </c>
      <c r="I3374" s="0" t="n">
        <v>2538</v>
      </c>
      <c r="J3374" s="0" t="n">
        <v>100122</v>
      </c>
      <c r="K3374" s="0" t="n">
        <v>123</v>
      </c>
      <c r="L3374" s="0" t="s">
        <v>2543</v>
      </c>
      <c r="N3374" s="0" t="n">
        <v>5</v>
      </c>
      <c r="O3374" s="0" t="n">
        <v>65</v>
      </c>
      <c r="P3374" s="0" t="s">
        <v>2444</v>
      </c>
    </row>
    <row r="3375" customFormat="false" ht="15" hidden="false" customHeight="true" outlineLevel="0" collapsed="false">
      <c r="A3375" s="0" t="n">
        <v>2</v>
      </c>
      <c r="B3375" s="71" t="n">
        <v>46213</v>
      </c>
      <c r="C3375" s="0" t="n">
        <v>6</v>
      </c>
      <c r="D3375" s="0" t="s">
        <v>2553</v>
      </c>
      <c r="E3375" s="0" t="n">
        <v>48</v>
      </c>
      <c r="F3375" s="0" t="s">
        <v>153</v>
      </c>
      <c r="I3375" s="0" t="n">
        <v>2538</v>
      </c>
      <c r="J3375" s="0" t="n">
        <v>100123</v>
      </c>
      <c r="K3375" s="0" t="n">
        <v>124</v>
      </c>
      <c r="L3375" s="0" t="s">
        <v>2544</v>
      </c>
      <c r="N3375" s="0" t="n">
        <v>1</v>
      </c>
      <c r="O3375" s="0" t="n">
        <v>10</v>
      </c>
      <c r="P3375" s="0" t="s">
        <v>2444</v>
      </c>
    </row>
    <row r="3376" customFormat="false" ht="15" hidden="false" customHeight="true" outlineLevel="0" collapsed="false">
      <c r="A3376" s="0" t="n">
        <v>2</v>
      </c>
      <c r="B3376" s="71" t="n">
        <v>46213</v>
      </c>
      <c r="C3376" s="0" t="n">
        <v>6</v>
      </c>
      <c r="D3376" s="0" t="s">
        <v>2553</v>
      </c>
      <c r="E3376" s="0" t="n">
        <v>48</v>
      </c>
      <c r="F3376" s="0" t="s">
        <v>153</v>
      </c>
      <c r="I3376" s="0" t="n">
        <v>2538</v>
      </c>
      <c r="J3376" s="0" t="n">
        <v>100124</v>
      </c>
      <c r="K3376" s="0" t="n">
        <v>125</v>
      </c>
      <c r="L3376" s="0" t="s">
        <v>2695</v>
      </c>
      <c r="N3376" s="0" t="n">
        <v>3</v>
      </c>
      <c r="O3376" s="0" t="n">
        <v>33</v>
      </c>
      <c r="P3376" s="0" t="s">
        <v>2444</v>
      </c>
    </row>
    <row r="3377" customFormat="false" ht="15" hidden="false" customHeight="true" outlineLevel="0" collapsed="false">
      <c r="A3377" s="0" t="n">
        <v>2</v>
      </c>
      <c r="B3377" s="71" t="n">
        <v>46213</v>
      </c>
      <c r="C3377" s="0" t="n">
        <v>6</v>
      </c>
      <c r="D3377" s="0" t="s">
        <v>2553</v>
      </c>
      <c r="E3377" s="0" t="n">
        <v>48</v>
      </c>
      <c r="F3377" s="0" t="s">
        <v>153</v>
      </c>
      <c r="I3377" s="0" t="n">
        <v>2538</v>
      </c>
      <c r="J3377" s="0" t="n">
        <v>100130</v>
      </c>
      <c r="K3377" s="0" t="n">
        <v>131</v>
      </c>
      <c r="L3377" s="0" t="s">
        <v>2545</v>
      </c>
      <c r="N3377" s="0" t="n">
        <v>10</v>
      </c>
      <c r="O3377" s="0" t="n">
        <v>70</v>
      </c>
      <c r="P3377" s="0" t="s">
        <v>2444</v>
      </c>
    </row>
    <row r="3378" customFormat="false" ht="15" hidden="false" customHeight="true" outlineLevel="0" collapsed="false">
      <c r="A3378" s="0" t="n">
        <v>2</v>
      </c>
      <c r="B3378" s="71" t="n">
        <v>46213</v>
      </c>
      <c r="C3378" s="0" t="n">
        <v>6</v>
      </c>
      <c r="D3378" s="0" t="s">
        <v>2553</v>
      </c>
      <c r="E3378" s="0" t="n">
        <v>48</v>
      </c>
      <c r="F3378" s="0" t="s">
        <v>153</v>
      </c>
      <c r="I3378" s="0" t="n">
        <v>2538</v>
      </c>
      <c r="J3378" s="0" t="n">
        <v>100132</v>
      </c>
      <c r="K3378" s="0" t="n">
        <v>133</v>
      </c>
      <c r="L3378" s="0" t="s">
        <v>2546</v>
      </c>
      <c r="N3378" s="0" t="n">
        <v>35</v>
      </c>
      <c r="O3378" s="0" t="n">
        <v>120</v>
      </c>
      <c r="P3378" s="0" t="s">
        <v>2444</v>
      </c>
    </row>
    <row r="3379" customFormat="false" ht="15" hidden="false" customHeight="true" outlineLevel="0" collapsed="false">
      <c r="A3379" s="0" t="n">
        <v>2</v>
      </c>
      <c r="B3379" s="71" t="n">
        <v>46213</v>
      </c>
      <c r="C3379" s="0" t="n">
        <v>6</v>
      </c>
      <c r="D3379" s="0" t="s">
        <v>2553</v>
      </c>
      <c r="E3379" s="0" t="n">
        <v>48</v>
      </c>
      <c r="F3379" s="0" t="s">
        <v>153</v>
      </c>
      <c r="I3379" s="0" t="n">
        <v>2538</v>
      </c>
      <c r="J3379" s="0" t="n">
        <v>100133</v>
      </c>
      <c r="K3379" s="0" t="n">
        <v>134</v>
      </c>
      <c r="L3379" s="0" t="s">
        <v>2547</v>
      </c>
      <c r="N3379" s="0" t="n">
        <v>15</v>
      </c>
      <c r="O3379" s="0" t="n">
        <v>90</v>
      </c>
      <c r="P3379" s="0" t="s">
        <v>2444</v>
      </c>
    </row>
    <row r="3380" customFormat="false" ht="15" hidden="false" customHeight="true" outlineLevel="0" collapsed="false">
      <c r="A3380" s="0" t="n">
        <v>2</v>
      </c>
      <c r="B3380" s="71" t="n">
        <v>46213</v>
      </c>
      <c r="C3380" s="0" t="n">
        <v>6</v>
      </c>
      <c r="D3380" s="0" t="s">
        <v>2553</v>
      </c>
      <c r="E3380" s="0" t="n">
        <v>48</v>
      </c>
      <c r="F3380" s="0" t="s">
        <v>153</v>
      </c>
      <c r="I3380" s="0" t="n">
        <v>2538</v>
      </c>
      <c r="J3380" s="0" t="n">
        <v>100227</v>
      </c>
      <c r="K3380" s="0" t="n">
        <v>40538</v>
      </c>
      <c r="L3380" s="0" t="s">
        <v>2548</v>
      </c>
      <c r="N3380" s="0" t="n">
        <v>15</v>
      </c>
      <c r="O3380" s="0" t="n">
        <v>75</v>
      </c>
      <c r="P3380" s="0" t="s">
        <v>2444</v>
      </c>
    </row>
    <row r="3381" customFormat="false" ht="15" hidden="false" customHeight="true" outlineLevel="0" collapsed="false">
      <c r="A3381" s="0" t="n">
        <v>2</v>
      </c>
      <c r="B3381" s="71" t="n">
        <v>46213</v>
      </c>
      <c r="C3381" s="0" t="n">
        <v>6</v>
      </c>
      <c r="D3381" s="0" t="s">
        <v>2553</v>
      </c>
      <c r="E3381" s="0" t="n">
        <v>48</v>
      </c>
      <c r="F3381" s="0" t="s">
        <v>153</v>
      </c>
      <c r="I3381" s="0" t="n">
        <v>2538</v>
      </c>
      <c r="J3381" s="0" t="n">
        <v>110142</v>
      </c>
      <c r="K3381" s="0" t="n">
        <v>16699</v>
      </c>
      <c r="L3381" s="0" t="s">
        <v>2549</v>
      </c>
      <c r="N3381" s="0" t="n">
        <v>20</v>
      </c>
      <c r="O3381" s="0" t="n">
        <v>125</v>
      </c>
      <c r="P3381" s="0" t="s">
        <v>2444</v>
      </c>
    </row>
    <row r="3382" customFormat="false" ht="15" hidden="false" customHeight="true" outlineLevel="0" collapsed="false">
      <c r="A3382" s="0" t="n">
        <v>2</v>
      </c>
      <c r="B3382" s="71" t="n">
        <v>46213</v>
      </c>
      <c r="C3382" s="0" t="n">
        <v>6</v>
      </c>
      <c r="D3382" s="0" t="s">
        <v>2553</v>
      </c>
      <c r="E3382" s="0" t="n">
        <v>48</v>
      </c>
      <c r="F3382" s="0" t="s">
        <v>153</v>
      </c>
      <c r="I3382" s="0" t="n">
        <v>2538</v>
      </c>
      <c r="J3382" s="0" t="n">
        <v>110489</v>
      </c>
      <c r="K3382" s="0" t="n">
        <v>54743</v>
      </c>
      <c r="L3382" s="0" t="s">
        <v>2550</v>
      </c>
      <c r="N3382" s="0" t="n">
        <v>40</v>
      </c>
      <c r="O3382" s="0" t="n">
        <v>240</v>
      </c>
      <c r="P3382" s="0" t="s">
        <v>2444</v>
      </c>
    </row>
    <row r="3383" customFormat="false" ht="15" hidden="false" customHeight="true" outlineLevel="0" collapsed="false">
      <c r="A3383" s="0" t="n">
        <v>2</v>
      </c>
      <c r="B3383" s="71" t="n">
        <v>46213</v>
      </c>
      <c r="C3383" s="0" t="n">
        <v>6</v>
      </c>
      <c r="D3383" s="0" t="s">
        <v>2553</v>
      </c>
      <c r="E3383" s="0" t="n">
        <v>48</v>
      </c>
      <c r="F3383" s="0" t="s">
        <v>153</v>
      </c>
      <c r="I3383" s="0" t="n">
        <v>2538</v>
      </c>
      <c r="J3383" s="0" t="n">
        <v>80078</v>
      </c>
      <c r="K3383" s="0" t="n">
        <v>710</v>
      </c>
      <c r="L3383" s="0" t="s">
        <v>2551</v>
      </c>
      <c r="N3383" s="0" t="n">
        <v>15</v>
      </c>
      <c r="O3383" s="0" t="n">
        <v>45</v>
      </c>
      <c r="P3383" s="0" t="s">
        <v>2444</v>
      </c>
    </row>
    <row r="3384" customFormat="false" ht="15" hidden="false" customHeight="true" outlineLevel="0" collapsed="false">
      <c r="A3384" s="0" t="n">
        <v>2</v>
      </c>
      <c r="B3384" s="71" t="n">
        <v>46213</v>
      </c>
      <c r="C3384" s="0" t="n">
        <v>6</v>
      </c>
      <c r="D3384" s="0" t="s">
        <v>2553</v>
      </c>
      <c r="E3384" s="0" t="n">
        <v>48</v>
      </c>
      <c r="F3384" s="0" t="s">
        <v>153</v>
      </c>
      <c r="I3384" s="0" t="n">
        <v>2538</v>
      </c>
      <c r="J3384" s="0" t="n">
        <v>81699</v>
      </c>
      <c r="K3384" s="0" t="n">
        <v>1311</v>
      </c>
      <c r="L3384" s="0" t="s">
        <v>4045</v>
      </c>
      <c r="N3384" s="0" t="n">
        <v>20</v>
      </c>
      <c r="O3384" s="0" t="n">
        <v>100</v>
      </c>
      <c r="P3384" s="0" t="s">
        <v>2444</v>
      </c>
    </row>
    <row r="3385" customFormat="false" ht="15" hidden="false" customHeight="true" outlineLevel="0" collapsed="false">
      <c r="A3385" s="0" t="n">
        <v>2</v>
      </c>
      <c r="B3385" s="71" t="n">
        <v>46214</v>
      </c>
      <c r="C3385" s="0" t="n">
        <v>1</v>
      </c>
      <c r="D3385" s="0" t="s">
        <v>2442</v>
      </c>
      <c r="E3385" s="0" t="n">
        <v>642</v>
      </c>
      <c r="F3385" s="0" t="s">
        <v>123</v>
      </c>
      <c r="I3385" s="0" t="n">
        <v>527</v>
      </c>
      <c r="J3385" s="0" t="n">
        <v>71766</v>
      </c>
      <c r="K3385" s="0" t="n">
        <v>779180</v>
      </c>
      <c r="L3385" s="0" t="s">
        <v>2501</v>
      </c>
      <c r="N3385" s="0" t="n">
        <v>15</v>
      </c>
      <c r="O3385" s="0" t="n">
        <v>180</v>
      </c>
      <c r="P3385" s="0" t="s">
        <v>2444</v>
      </c>
    </row>
    <row r="3386" customFormat="false" ht="15" hidden="false" customHeight="true" outlineLevel="0" collapsed="false">
      <c r="A3386" s="0" t="n">
        <v>2</v>
      </c>
      <c r="B3386" s="71" t="n">
        <v>46214</v>
      </c>
      <c r="C3386" s="0" t="n">
        <v>1</v>
      </c>
      <c r="D3386" s="0" t="s">
        <v>2442</v>
      </c>
      <c r="E3386" s="0" t="n">
        <v>1899</v>
      </c>
      <c r="F3386" s="0" t="s">
        <v>204</v>
      </c>
      <c r="I3386" s="0" t="n">
        <v>708</v>
      </c>
      <c r="J3386" s="0" t="n">
        <v>44588</v>
      </c>
      <c r="K3386" s="0" t="n">
        <v>7898904331091</v>
      </c>
      <c r="L3386" s="0" t="s">
        <v>2443</v>
      </c>
      <c r="N3386" s="0" t="n">
        <v>12</v>
      </c>
      <c r="O3386" s="0" t="n">
        <v>59.88</v>
      </c>
      <c r="P3386" s="0" t="s">
        <v>2444</v>
      </c>
    </row>
    <row r="3387" customFormat="false" ht="15" hidden="false" customHeight="true" outlineLevel="0" collapsed="false">
      <c r="A3387" s="0" t="n">
        <v>2</v>
      </c>
      <c r="B3387" s="71" t="n">
        <v>46214</v>
      </c>
      <c r="C3387" s="0" t="n">
        <v>1</v>
      </c>
      <c r="D3387" s="0" t="s">
        <v>2442</v>
      </c>
      <c r="E3387" s="0" t="n">
        <v>1899</v>
      </c>
      <c r="F3387" s="0" t="s">
        <v>204</v>
      </c>
      <c r="I3387" s="0" t="n">
        <v>708</v>
      </c>
      <c r="J3387" s="0" t="n">
        <v>77463</v>
      </c>
      <c r="K3387" s="0" t="n">
        <v>774642</v>
      </c>
      <c r="L3387" s="0" t="s">
        <v>2445</v>
      </c>
      <c r="N3387" s="0" t="n">
        <v>20</v>
      </c>
      <c r="O3387" s="0" t="n">
        <v>90</v>
      </c>
      <c r="P3387" s="0" t="s">
        <v>2444</v>
      </c>
    </row>
    <row r="3388" customFormat="false" ht="15" hidden="false" customHeight="true" outlineLevel="0" collapsed="false">
      <c r="A3388" s="0" t="n">
        <v>2</v>
      </c>
      <c r="B3388" s="71" t="n">
        <v>46214</v>
      </c>
      <c r="C3388" s="0" t="n">
        <v>1</v>
      </c>
      <c r="D3388" s="0" t="s">
        <v>2442</v>
      </c>
      <c r="E3388" s="0" t="n">
        <v>1899</v>
      </c>
      <c r="F3388" s="0" t="s">
        <v>204</v>
      </c>
      <c r="I3388" s="0" t="n">
        <v>708</v>
      </c>
      <c r="J3388" s="0" t="n">
        <v>77465</v>
      </c>
      <c r="K3388" s="0" t="n">
        <v>774666</v>
      </c>
      <c r="L3388" s="0" t="s">
        <v>2446</v>
      </c>
      <c r="N3388" s="0" t="n">
        <v>15</v>
      </c>
      <c r="O3388" s="0" t="n">
        <v>74.85</v>
      </c>
      <c r="P3388" s="0" t="s">
        <v>2444</v>
      </c>
    </row>
    <row r="3389" customFormat="false" ht="15" hidden="false" customHeight="true" outlineLevel="0" collapsed="false">
      <c r="A3389" s="0" t="n">
        <v>2</v>
      </c>
      <c r="B3389" s="71" t="n">
        <v>46214</v>
      </c>
      <c r="C3389" s="0" t="n">
        <v>1</v>
      </c>
      <c r="D3389" s="0" t="s">
        <v>2442</v>
      </c>
      <c r="E3389" s="0" t="n">
        <v>1899</v>
      </c>
      <c r="F3389" s="0" t="s">
        <v>204</v>
      </c>
      <c r="I3389" s="0" t="n">
        <v>708</v>
      </c>
      <c r="J3389" s="0" t="n">
        <v>78013</v>
      </c>
      <c r="K3389" s="0" t="n">
        <v>780148</v>
      </c>
      <c r="L3389" s="0" t="s">
        <v>2584</v>
      </c>
      <c r="N3389" s="0" t="n">
        <v>5</v>
      </c>
      <c r="O3389" s="0" t="n">
        <v>22.5</v>
      </c>
      <c r="P3389" s="0" t="s">
        <v>2444</v>
      </c>
    </row>
    <row r="3390" customFormat="false" ht="15" hidden="false" customHeight="true" outlineLevel="0" collapsed="false">
      <c r="A3390" s="0" t="n">
        <v>2</v>
      </c>
      <c r="B3390" s="71" t="n">
        <v>46214</v>
      </c>
      <c r="C3390" s="0" t="n">
        <v>1</v>
      </c>
      <c r="D3390" s="0" t="s">
        <v>2442</v>
      </c>
      <c r="E3390" s="0" t="n">
        <v>1899</v>
      </c>
      <c r="F3390" s="0" t="s">
        <v>204</v>
      </c>
      <c r="I3390" s="0" t="n">
        <v>708</v>
      </c>
      <c r="J3390" s="0" t="n">
        <v>78015</v>
      </c>
      <c r="K3390" s="0" t="n">
        <v>780162</v>
      </c>
      <c r="L3390" s="0" t="s">
        <v>2447</v>
      </c>
      <c r="N3390" s="0" t="n">
        <v>12</v>
      </c>
      <c r="O3390" s="0" t="n">
        <v>59.88</v>
      </c>
      <c r="P3390" s="0" t="s">
        <v>2444</v>
      </c>
    </row>
    <row r="3391" customFormat="false" ht="15" hidden="false" customHeight="true" outlineLevel="0" collapsed="false">
      <c r="A3391" s="0" t="n">
        <v>2</v>
      </c>
      <c r="B3391" s="71" t="n">
        <v>46214</v>
      </c>
      <c r="C3391" s="0" t="n">
        <v>1</v>
      </c>
      <c r="D3391" s="0" t="s">
        <v>2442</v>
      </c>
      <c r="E3391" s="0" t="n">
        <v>666</v>
      </c>
      <c r="F3391" s="0" t="s">
        <v>417</v>
      </c>
      <c r="I3391" s="0" t="n">
        <v>7874</v>
      </c>
      <c r="J3391" s="0" t="n">
        <v>100217</v>
      </c>
      <c r="K3391" s="0" t="n">
        <v>218</v>
      </c>
      <c r="L3391" s="0" t="s">
        <v>2998</v>
      </c>
      <c r="N3391" s="0" t="n">
        <v>80</v>
      </c>
      <c r="O3391" s="0" t="n">
        <v>690.72</v>
      </c>
      <c r="P3391" s="0" t="s">
        <v>2444</v>
      </c>
    </row>
    <row r="3392" customFormat="false" ht="15" hidden="false" customHeight="true" outlineLevel="0" collapsed="false">
      <c r="A3392" s="0" t="n">
        <v>2</v>
      </c>
      <c r="B3392" s="71" t="n">
        <v>46214</v>
      </c>
      <c r="C3392" s="0" t="n">
        <v>1</v>
      </c>
      <c r="D3392" s="0" t="s">
        <v>2442</v>
      </c>
      <c r="E3392" s="0" t="n">
        <v>666</v>
      </c>
      <c r="F3392" s="0" t="s">
        <v>417</v>
      </c>
      <c r="I3392" s="0" t="n">
        <v>7874</v>
      </c>
      <c r="J3392" s="0" t="n">
        <v>110283</v>
      </c>
      <c r="K3392" s="0" t="n">
        <v>42594</v>
      </c>
      <c r="L3392" s="0" t="s">
        <v>4046</v>
      </c>
      <c r="N3392" s="0" t="n">
        <v>80.8</v>
      </c>
      <c r="O3392" s="0" t="n">
        <v>690.72</v>
      </c>
      <c r="P3392" s="0" t="s">
        <v>2444</v>
      </c>
    </row>
    <row r="3393" customFormat="false" ht="15" hidden="false" customHeight="true" outlineLevel="0" collapsed="false">
      <c r="A3393" s="0" t="n">
        <v>2</v>
      </c>
      <c r="B3393" s="71" t="n">
        <v>46214</v>
      </c>
      <c r="C3393" s="0" t="n">
        <v>1</v>
      </c>
      <c r="D3393" s="0" t="s">
        <v>2442</v>
      </c>
      <c r="E3393" s="0" t="n">
        <v>666</v>
      </c>
      <c r="F3393" s="0" t="s">
        <v>417</v>
      </c>
      <c r="I3393" s="0" t="n">
        <v>7874</v>
      </c>
      <c r="J3393" s="0" t="n">
        <v>46771</v>
      </c>
      <c r="K3393" s="0" t="n">
        <v>7898372444811</v>
      </c>
      <c r="L3393" s="0" t="s">
        <v>3000</v>
      </c>
      <c r="N3393" s="0" t="n">
        <v>1</v>
      </c>
      <c r="O3393" s="0" t="n">
        <v>134.09</v>
      </c>
      <c r="P3393" s="0" t="s">
        <v>2444</v>
      </c>
    </row>
    <row r="3394" customFormat="false" ht="15" hidden="false" customHeight="true" outlineLevel="0" collapsed="false">
      <c r="A3394" s="0" t="n">
        <v>2</v>
      </c>
      <c r="B3394" s="71" t="n">
        <v>46214</v>
      </c>
      <c r="C3394" s="0" t="n">
        <v>1</v>
      </c>
      <c r="D3394" s="0" t="s">
        <v>2442</v>
      </c>
      <c r="E3394" s="0" t="n">
        <v>1666</v>
      </c>
      <c r="F3394" s="0" t="s">
        <v>266</v>
      </c>
      <c r="I3394" s="0" t="n">
        <v>566541</v>
      </c>
      <c r="J3394" s="0" t="n">
        <v>104845</v>
      </c>
      <c r="K3394" s="0" t="n">
        <v>70330909229</v>
      </c>
      <c r="L3394" s="0" t="s">
        <v>4047</v>
      </c>
      <c r="N3394" s="0" t="n">
        <v>12</v>
      </c>
      <c r="O3394" s="0" t="n">
        <v>63.48</v>
      </c>
      <c r="P3394" s="0" t="s">
        <v>2444</v>
      </c>
    </row>
    <row r="3395" customFormat="false" ht="15" hidden="false" customHeight="true" outlineLevel="0" collapsed="false">
      <c r="A3395" s="0" t="n">
        <v>2</v>
      </c>
      <c r="B3395" s="71" t="n">
        <v>46214</v>
      </c>
      <c r="C3395" s="0" t="n">
        <v>1</v>
      </c>
      <c r="D3395" s="0" t="s">
        <v>2442</v>
      </c>
      <c r="E3395" s="0" t="n">
        <v>1666</v>
      </c>
      <c r="F3395" s="0" t="s">
        <v>266</v>
      </c>
      <c r="I3395" s="0" t="n">
        <v>566541</v>
      </c>
      <c r="J3395" s="0" t="n">
        <v>20945</v>
      </c>
      <c r="K3395" s="0" t="n">
        <v>7898279799823</v>
      </c>
      <c r="L3395" s="0" t="s">
        <v>4048</v>
      </c>
      <c r="N3395" s="0" t="n">
        <v>24</v>
      </c>
      <c r="O3395" s="0" t="n">
        <v>21.74</v>
      </c>
      <c r="P3395" s="0" t="s">
        <v>2444</v>
      </c>
    </row>
    <row r="3396" customFormat="false" ht="15" hidden="false" customHeight="true" outlineLevel="0" collapsed="false">
      <c r="A3396" s="0" t="n">
        <v>2</v>
      </c>
      <c r="B3396" s="71" t="n">
        <v>46214</v>
      </c>
      <c r="C3396" s="0" t="n">
        <v>1</v>
      </c>
      <c r="D3396" s="0" t="s">
        <v>2442</v>
      </c>
      <c r="E3396" s="0" t="n">
        <v>1666</v>
      </c>
      <c r="F3396" s="0" t="s">
        <v>266</v>
      </c>
      <c r="I3396" s="0" t="n">
        <v>566541</v>
      </c>
      <c r="J3396" s="0" t="n">
        <v>21964</v>
      </c>
      <c r="K3396" s="0" t="n">
        <v>78934412</v>
      </c>
      <c r="L3396" s="0" t="s">
        <v>4049</v>
      </c>
      <c r="N3396" s="0" t="n">
        <v>13</v>
      </c>
      <c r="O3396" s="0" t="n">
        <v>83.31</v>
      </c>
      <c r="P3396" s="0" t="s">
        <v>2444</v>
      </c>
    </row>
    <row r="3397" customFormat="false" ht="15" hidden="false" customHeight="true" outlineLevel="0" collapsed="false">
      <c r="A3397" s="0" t="n">
        <v>2</v>
      </c>
      <c r="B3397" s="71" t="n">
        <v>46214</v>
      </c>
      <c r="C3397" s="0" t="n">
        <v>1</v>
      </c>
      <c r="D3397" s="0" t="s">
        <v>2442</v>
      </c>
      <c r="E3397" s="0" t="n">
        <v>1666</v>
      </c>
      <c r="F3397" s="0" t="s">
        <v>266</v>
      </c>
      <c r="I3397" s="0" t="n">
        <v>566541</v>
      </c>
      <c r="J3397" s="0" t="n">
        <v>24990</v>
      </c>
      <c r="K3397" s="0" t="n">
        <v>78935761</v>
      </c>
      <c r="L3397" s="0" t="s">
        <v>2746</v>
      </c>
      <c r="N3397" s="0" t="n">
        <v>100</v>
      </c>
      <c r="O3397" s="0" t="n">
        <v>1482.28</v>
      </c>
      <c r="P3397" s="0" t="s">
        <v>2444</v>
      </c>
    </row>
    <row r="3398" customFormat="false" ht="15" hidden="false" customHeight="true" outlineLevel="0" collapsed="false">
      <c r="A3398" s="0" t="n">
        <v>2</v>
      </c>
      <c r="B3398" s="71" t="n">
        <v>46214</v>
      </c>
      <c r="C3398" s="0" t="n">
        <v>1</v>
      </c>
      <c r="D3398" s="0" t="s">
        <v>2442</v>
      </c>
      <c r="E3398" s="0" t="n">
        <v>1666</v>
      </c>
      <c r="F3398" s="0" t="s">
        <v>266</v>
      </c>
      <c r="I3398" s="0" t="n">
        <v>566541</v>
      </c>
      <c r="J3398" s="0" t="n">
        <v>25661</v>
      </c>
      <c r="K3398" s="0" t="n">
        <v>7898591450686</v>
      </c>
      <c r="L3398" s="0" t="s">
        <v>4050</v>
      </c>
      <c r="N3398" s="0" t="n">
        <v>24</v>
      </c>
      <c r="O3398" s="0" t="n">
        <v>21.74</v>
      </c>
      <c r="P3398" s="0" t="s">
        <v>2444</v>
      </c>
    </row>
    <row r="3399" customFormat="false" ht="15" hidden="false" customHeight="true" outlineLevel="0" collapsed="false">
      <c r="A3399" s="0" t="n">
        <v>2</v>
      </c>
      <c r="B3399" s="71" t="n">
        <v>46214</v>
      </c>
      <c r="C3399" s="0" t="n">
        <v>1</v>
      </c>
      <c r="D3399" s="0" t="s">
        <v>2442</v>
      </c>
      <c r="E3399" s="0" t="n">
        <v>1666</v>
      </c>
      <c r="F3399" s="0" t="s">
        <v>266</v>
      </c>
      <c r="I3399" s="0" t="n">
        <v>566541</v>
      </c>
      <c r="J3399" s="0" t="n">
        <v>25662</v>
      </c>
      <c r="K3399" s="0" t="n">
        <v>7898591450662</v>
      </c>
      <c r="L3399" s="0" t="s">
        <v>4051</v>
      </c>
      <c r="N3399" s="0" t="n">
        <v>24</v>
      </c>
      <c r="O3399" s="0" t="n">
        <v>21.74</v>
      </c>
      <c r="P3399" s="0" t="s">
        <v>2444</v>
      </c>
    </row>
    <row r="3400" customFormat="false" ht="15" hidden="false" customHeight="true" outlineLevel="0" collapsed="false">
      <c r="A3400" s="0" t="n">
        <v>2</v>
      </c>
      <c r="B3400" s="71" t="n">
        <v>46214</v>
      </c>
      <c r="C3400" s="0" t="n">
        <v>1</v>
      </c>
      <c r="D3400" s="0" t="s">
        <v>2442</v>
      </c>
      <c r="E3400" s="0" t="n">
        <v>1666</v>
      </c>
      <c r="F3400" s="0" t="s">
        <v>266</v>
      </c>
      <c r="I3400" s="0" t="n">
        <v>566541</v>
      </c>
      <c r="J3400" s="0" t="n">
        <v>37535</v>
      </c>
      <c r="K3400" s="0" t="n">
        <v>78942073</v>
      </c>
      <c r="L3400" s="0" t="s">
        <v>2749</v>
      </c>
      <c r="N3400" s="0" t="n">
        <v>30</v>
      </c>
      <c r="O3400" s="0" t="n">
        <v>388.21</v>
      </c>
      <c r="P3400" s="0" t="s">
        <v>2444</v>
      </c>
    </row>
    <row r="3401" customFormat="false" ht="15" hidden="false" customHeight="true" outlineLevel="0" collapsed="false">
      <c r="A3401" s="0" t="n">
        <v>2</v>
      </c>
      <c r="B3401" s="71" t="n">
        <v>46214</v>
      </c>
      <c r="C3401" s="0" t="n">
        <v>1</v>
      </c>
      <c r="D3401" s="0" t="s">
        <v>2442</v>
      </c>
      <c r="E3401" s="0" t="n">
        <v>1666</v>
      </c>
      <c r="F3401" s="0" t="s">
        <v>266</v>
      </c>
      <c r="I3401" s="0" t="n">
        <v>566541</v>
      </c>
      <c r="J3401" s="0" t="n">
        <v>37536</v>
      </c>
      <c r="K3401" s="0" t="n">
        <v>78942066</v>
      </c>
      <c r="L3401" s="0" t="s">
        <v>2750</v>
      </c>
      <c r="N3401" s="0" t="n">
        <v>60</v>
      </c>
      <c r="O3401" s="0" t="n">
        <v>804.66</v>
      </c>
      <c r="P3401" s="0" t="s">
        <v>2444</v>
      </c>
    </row>
    <row r="3402" customFormat="false" ht="15" hidden="false" customHeight="true" outlineLevel="0" collapsed="false">
      <c r="A3402" s="0" t="n">
        <v>2</v>
      </c>
      <c r="B3402" s="71" t="n">
        <v>46214</v>
      </c>
      <c r="C3402" s="0" t="n">
        <v>1</v>
      </c>
      <c r="D3402" s="0" t="s">
        <v>2442</v>
      </c>
      <c r="E3402" s="0" t="n">
        <v>1666</v>
      </c>
      <c r="F3402" s="0" t="s">
        <v>266</v>
      </c>
      <c r="I3402" s="0" t="n">
        <v>566541</v>
      </c>
      <c r="J3402" s="0" t="n">
        <v>40750</v>
      </c>
      <c r="K3402" s="0" t="n">
        <v>78943032</v>
      </c>
      <c r="L3402" s="0" t="s">
        <v>2751</v>
      </c>
      <c r="N3402" s="0" t="n">
        <v>50</v>
      </c>
      <c r="O3402" s="0" t="n">
        <v>635.26</v>
      </c>
      <c r="P3402" s="0" t="s">
        <v>2444</v>
      </c>
    </row>
    <row r="3403" customFormat="false" ht="15" hidden="false" customHeight="true" outlineLevel="0" collapsed="false">
      <c r="A3403" s="0" t="n">
        <v>2</v>
      </c>
      <c r="B3403" s="71" t="n">
        <v>46214</v>
      </c>
      <c r="C3403" s="0" t="n">
        <v>1</v>
      </c>
      <c r="D3403" s="0" t="s">
        <v>2442</v>
      </c>
      <c r="E3403" s="0" t="n">
        <v>1666</v>
      </c>
      <c r="F3403" s="0" t="s">
        <v>266</v>
      </c>
      <c r="I3403" s="0" t="n">
        <v>566541</v>
      </c>
      <c r="J3403" s="0" t="n">
        <v>41581</v>
      </c>
      <c r="K3403" s="0" t="n">
        <v>7896280835165</v>
      </c>
      <c r="L3403" s="0" t="s">
        <v>4052</v>
      </c>
      <c r="N3403" s="0" t="n">
        <v>20</v>
      </c>
      <c r="O3403" s="0" t="n">
        <v>73</v>
      </c>
      <c r="P3403" s="0" t="s">
        <v>2444</v>
      </c>
    </row>
    <row r="3404" customFormat="false" ht="15" hidden="false" customHeight="true" outlineLevel="0" collapsed="false">
      <c r="A3404" s="0" t="n">
        <v>2</v>
      </c>
      <c r="B3404" s="71" t="n">
        <v>46214</v>
      </c>
      <c r="C3404" s="0" t="n">
        <v>1</v>
      </c>
      <c r="D3404" s="0" t="s">
        <v>2442</v>
      </c>
      <c r="E3404" s="0" t="n">
        <v>1666</v>
      </c>
      <c r="F3404" s="0" t="s">
        <v>266</v>
      </c>
      <c r="I3404" s="0" t="n">
        <v>566541</v>
      </c>
      <c r="J3404" s="0" t="n">
        <v>49090</v>
      </c>
      <c r="K3404" s="0" t="n">
        <v>78942813</v>
      </c>
      <c r="L3404" s="0" t="s">
        <v>2752</v>
      </c>
      <c r="N3404" s="0" t="n">
        <v>20</v>
      </c>
      <c r="O3404" s="0" t="n">
        <v>225.87</v>
      </c>
      <c r="P3404" s="0" t="s">
        <v>2444</v>
      </c>
    </row>
    <row r="3405" customFormat="false" ht="15" hidden="false" customHeight="true" outlineLevel="0" collapsed="false">
      <c r="A3405" s="0" t="n">
        <v>2</v>
      </c>
      <c r="B3405" s="71" t="n">
        <v>46214</v>
      </c>
      <c r="C3405" s="0" t="n">
        <v>1</v>
      </c>
      <c r="D3405" s="0" t="s">
        <v>2442</v>
      </c>
      <c r="E3405" s="0" t="n">
        <v>1666</v>
      </c>
      <c r="F3405" s="0" t="s">
        <v>266</v>
      </c>
      <c r="I3405" s="0" t="n">
        <v>566541</v>
      </c>
      <c r="J3405" s="0" t="n">
        <v>50760</v>
      </c>
      <c r="K3405" s="0" t="n">
        <v>78943087</v>
      </c>
      <c r="L3405" s="0" t="s">
        <v>2753</v>
      </c>
      <c r="N3405" s="0" t="n">
        <v>60</v>
      </c>
      <c r="O3405" s="0" t="n">
        <v>705.84</v>
      </c>
      <c r="P3405" s="0" t="s">
        <v>2444</v>
      </c>
    </row>
    <row r="3406" customFormat="false" ht="15" hidden="false" customHeight="true" outlineLevel="0" collapsed="false">
      <c r="A3406" s="0" t="n">
        <v>2</v>
      </c>
      <c r="B3406" s="71" t="n">
        <v>46214</v>
      </c>
      <c r="C3406" s="0" t="n">
        <v>1</v>
      </c>
      <c r="D3406" s="0" t="s">
        <v>2442</v>
      </c>
      <c r="E3406" s="0" t="n">
        <v>1666</v>
      </c>
      <c r="F3406" s="0" t="s">
        <v>266</v>
      </c>
      <c r="I3406" s="0" t="n">
        <v>566541</v>
      </c>
      <c r="J3406" s="0" t="n">
        <v>57287</v>
      </c>
      <c r="K3406" s="0" t="n">
        <v>78944251</v>
      </c>
      <c r="L3406" s="0" t="s">
        <v>2755</v>
      </c>
      <c r="N3406" s="0" t="n">
        <v>30</v>
      </c>
      <c r="O3406" s="0" t="n">
        <v>388.21</v>
      </c>
      <c r="P3406" s="0" t="s">
        <v>2444</v>
      </c>
    </row>
    <row r="3407" customFormat="false" ht="15" hidden="false" customHeight="true" outlineLevel="0" collapsed="false">
      <c r="A3407" s="0" t="n">
        <v>2</v>
      </c>
      <c r="B3407" s="71" t="n">
        <v>46214</v>
      </c>
      <c r="C3407" s="0" t="n">
        <v>1</v>
      </c>
      <c r="D3407" s="0" t="s">
        <v>2442</v>
      </c>
      <c r="E3407" s="0" t="n">
        <v>1666</v>
      </c>
      <c r="F3407" s="0" t="s">
        <v>266</v>
      </c>
      <c r="I3407" s="0" t="n">
        <v>566541</v>
      </c>
      <c r="J3407" s="0" t="n">
        <v>67177</v>
      </c>
      <c r="K3407" s="0" t="n">
        <v>78944466</v>
      </c>
      <c r="L3407" s="0" t="s">
        <v>2757</v>
      </c>
      <c r="N3407" s="0" t="n">
        <v>200</v>
      </c>
      <c r="O3407" s="0" t="n">
        <v>2023.43</v>
      </c>
      <c r="P3407" s="0" t="s">
        <v>2444</v>
      </c>
    </row>
    <row r="3408" customFormat="false" ht="15" hidden="false" customHeight="true" outlineLevel="0" collapsed="false">
      <c r="A3408" s="0" t="n">
        <v>2</v>
      </c>
      <c r="B3408" s="71" t="n">
        <v>46214</v>
      </c>
      <c r="C3408" s="0" t="n">
        <v>1</v>
      </c>
      <c r="D3408" s="0" t="s">
        <v>2442</v>
      </c>
      <c r="E3408" s="0" t="n">
        <v>1666</v>
      </c>
      <c r="F3408" s="0" t="s">
        <v>266</v>
      </c>
      <c r="I3408" s="0" t="n">
        <v>566541</v>
      </c>
      <c r="J3408" s="0" t="n">
        <v>67622</v>
      </c>
      <c r="K3408" s="0" t="n">
        <v>78944503</v>
      </c>
      <c r="L3408" s="0" t="s">
        <v>2758</v>
      </c>
      <c r="N3408" s="0" t="n">
        <v>20</v>
      </c>
      <c r="O3408" s="0" t="n">
        <v>188.22</v>
      </c>
      <c r="P3408" s="0" t="s">
        <v>2444</v>
      </c>
    </row>
    <row r="3409" customFormat="false" ht="15" hidden="false" customHeight="true" outlineLevel="0" collapsed="false">
      <c r="A3409" s="0" t="n">
        <v>2</v>
      </c>
      <c r="B3409" s="71" t="n">
        <v>46214</v>
      </c>
      <c r="C3409" s="0" t="n">
        <v>1</v>
      </c>
      <c r="D3409" s="0" t="s">
        <v>2442</v>
      </c>
      <c r="E3409" s="0" t="n">
        <v>1666</v>
      </c>
      <c r="F3409" s="0" t="s">
        <v>266</v>
      </c>
      <c r="I3409" s="0" t="n">
        <v>566541</v>
      </c>
      <c r="J3409" s="0" t="n">
        <v>71518</v>
      </c>
      <c r="K3409" s="0" t="n">
        <v>78946200</v>
      </c>
      <c r="L3409" s="0" t="s">
        <v>2759</v>
      </c>
      <c r="N3409" s="0" t="n">
        <v>40</v>
      </c>
      <c r="O3409" s="0" t="n">
        <v>291.75</v>
      </c>
      <c r="P3409" s="0" t="s">
        <v>2444</v>
      </c>
    </row>
    <row r="3410" customFormat="false" ht="15" hidden="false" customHeight="true" outlineLevel="0" collapsed="false">
      <c r="A3410" s="0" t="n">
        <v>2</v>
      </c>
      <c r="B3410" s="71" t="n">
        <v>46214</v>
      </c>
      <c r="C3410" s="0" t="n">
        <v>1</v>
      </c>
      <c r="D3410" s="0" t="s">
        <v>2442</v>
      </c>
      <c r="E3410" s="0" t="n">
        <v>1666</v>
      </c>
      <c r="F3410" s="0" t="s">
        <v>266</v>
      </c>
      <c r="I3410" s="0" t="n">
        <v>566541</v>
      </c>
      <c r="J3410" s="0" t="n">
        <v>78026</v>
      </c>
      <c r="K3410" s="0" t="n">
        <v>78947504</v>
      </c>
      <c r="L3410" s="0" t="s">
        <v>2761</v>
      </c>
      <c r="N3410" s="0" t="n">
        <v>80</v>
      </c>
      <c r="O3410" s="0" t="n">
        <v>997.6</v>
      </c>
      <c r="P3410" s="0" t="s">
        <v>2444</v>
      </c>
    </row>
    <row r="3411" customFormat="false" ht="15" hidden="false" customHeight="true" outlineLevel="0" collapsed="false">
      <c r="A3411" s="0" t="n">
        <v>2</v>
      </c>
      <c r="B3411" s="71" t="n">
        <v>46214</v>
      </c>
      <c r="C3411" s="0" t="n">
        <v>1</v>
      </c>
      <c r="D3411" s="0" t="s">
        <v>2442</v>
      </c>
      <c r="E3411" s="0" t="n">
        <v>1666</v>
      </c>
      <c r="F3411" s="0" t="s">
        <v>266</v>
      </c>
      <c r="I3411" s="0" t="n">
        <v>566541</v>
      </c>
      <c r="J3411" s="0" t="n">
        <v>81691</v>
      </c>
      <c r="K3411" s="0" t="n">
        <v>78947610</v>
      </c>
      <c r="L3411" s="0" t="s">
        <v>4053</v>
      </c>
      <c r="N3411" s="0" t="n">
        <v>100</v>
      </c>
      <c r="O3411" s="0" t="n">
        <v>729.38</v>
      </c>
      <c r="P3411" s="0" t="s">
        <v>2444</v>
      </c>
    </row>
    <row r="3412" customFormat="false" ht="15" hidden="false" customHeight="true" outlineLevel="0" collapsed="false">
      <c r="A3412" s="0" t="n">
        <v>2</v>
      </c>
      <c r="B3412" s="71" t="n">
        <v>46214</v>
      </c>
      <c r="C3412" s="0" t="n">
        <v>1</v>
      </c>
      <c r="D3412" s="0" t="s">
        <v>2442</v>
      </c>
      <c r="E3412" s="0" t="n">
        <v>1683</v>
      </c>
      <c r="F3412" s="0" t="s">
        <v>406</v>
      </c>
      <c r="I3412" s="0" t="n">
        <v>1645747</v>
      </c>
      <c r="J3412" s="0" t="n">
        <v>109791</v>
      </c>
      <c r="K3412" s="0" t="n">
        <v>9667</v>
      </c>
      <c r="L3412" s="0" t="s">
        <v>2465</v>
      </c>
      <c r="N3412" s="0" t="n">
        <v>5</v>
      </c>
      <c r="O3412" s="0" t="n">
        <v>7.5</v>
      </c>
      <c r="P3412" s="0" t="s">
        <v>2444</v>
      </c>
    </row>
    <row r="3413" customFormat="false" ht="15" hidden="false" customHeight="true" outlineLevel="0" collapsed="false">
      <c r="A3413" s="0" t="n">
        <v>2</v>
      </c>
      <c r="B3413" s="71" t="n">
        <v>46214</v>
      </c>
      <c r="C3413" s="0" t="n">
        <v>1</v>
      </c>
      <c r="D3413" s="0" t="s">
        <v>2442</v>
      </c>
      <c r="E3413" s="0" t="n">
        <v>1683</v>
      </c>
      <c r="F3413" s="0" t="s">
        <v>406</v>
      </c>
      <c r="I3413" s="0" t="n">
        <v>1645747</v>
      </c>
      <c r="J3413" s="0" t="n">
        <v>37361</v>
      </c>
      <c r="K3413" s="0" t="n">
        <v>2240817</v>
      </c>
      <c r="L3413" s="0" t="s">
        <v>2467</v>
      </c>
      <c r="N3413" s="0" t="n">
        <v>30</v>
      </c>
      <c r="O3413" s="0" t="n">
        <v>54</v>
      </c>
      <c r="P3413" s="0" t="s">
        <v>2444</v>
      </c>
    </row>
    <row r="3414" customFormat="false" ht="15" hidden="false" customHeight="true" outlineLevel="0" collapsed="false">
      <c r="A3414" s="0" t="n">
        <v>2</v>
      </c>
      <c r="B3414" s="71" t="n">
        <v>46214</v>
      </c>
      <c r="C3414" s="0" t="n">
        <v>39</v>
      </c>
      <c r="D3414" s="0" t="s">
        <v>3298</v>
      </c>
      <c r="E3414" s="0" t="n">
        <v>1842</v>
      </c>
      <c r="F3414" s="0" t="s">
        <v>1090</v>
      </c>
      <c r="I3414" s="0" t="n">
        <v>7646</v>
      </c>
      <c r="J3414" s="0" t="n">
        <v>66206</v>
      </c>
      <c r="K3414" s="0" t="n">
        <v>7891060803006</v>
      </c>
      <c r="L3414" s="0" t="s">
        <v>4054</v>
      </c>
      <c r="N3414" s="0" t="n">
        <v>1</v>
      </c>
      <c r="O3414" s="0" t="n">
        <v>155</v>
      </c>
      <c r="P3414" s="0" t="s">
        <v>2444</v>
      </c>
    </row>
    <row r="3415" customFormat="false" ht="15" hidden="false" customHeight="true" outlineLevel="0" collapsed="false">
      <c r="A3415" s="0" t="n">
        <v>2</v>
      </c>
      <c r="B3415" s="71" t="n">
        <v>46214</v>
      </c>
      <c r="C3415" s="0" t="n">
        <v>39</v>
      </c>
      <c r="D3415" s="0" t="s">
        <v>3298</v>
      </c>
      <c r="E3415" s="0" t="n">
        <v>1842</v>
      </c>
      <c r="F3415" s="0" t="s">
        <v>1090</v>
      </c>
      <c r="I3415" s="0" t="n">
        <v>7646</v>
      </c>
      <c r="J3415" s="0" t="n">
        <v>78220</v>
      </c>
      <c r="K3415" s="0" t="n">
        <v>782210</v>
      </c>
      <c r="L3415" s="0" t="s">
        <v>4055</v>
      </c>
      <c r="N3415" s="0" t="n">
        <v>2</v>
      </c>
      <c r="O3415" s="0" t="n">
        <v>60</v>
      </c>
      <c r="P3415" s="0" t="s">
        <v>2444</v>
      </c>
    </row>
    <row r="3416" customFormat="false" ht="15" hidden="false" customHeight="true" outlineLevel="0" collapsed="false">
      <c r="A3416" s="0" t="n">
        <v>2</v>
      </c>
      <c r="B3416" s="71" t="n">
        <v>46216</v>
      </c>
      <c r="C3416" s="0" t="n">
        <v>1</v>
      </c>
      <c r="D3416" s="0" t="s">
        <v>2442</v>
      </c>
      <c r="E3416" s="0" t="n">
        <v>1899</v>
      </c>
      <c r="F3416" s="0" t="s">
        <v>204</v>
      </c>
      <c r="I3416" s="0" t="n">
        <v>711</v>
      </c>
      <c r="J3416" s="0" t="n">
        <v>77463</v>
      </c>
      <c r="K3416" s="0" t="n">
        <v>774642</v>
      </c>
      <c r="L3416" s="0" t="s">
        <v>2445</v>
      </c>
      <c r="N3416" s="0" t="n">
        <v>30</v>
      </c>
      <c r="O3416" s="0" t="n">
        <v>135</v>
      </c>
      <c r="P3416" s="0" t="s">
        <v>2444</v>
      </c>
    </row>
    <row r="3417" customFormat="false" ht="15" hidden="false" customHeight="true" outlineLevel="0" collapsed="false">
      <c r="A3417" s="0" t="n">
        <v>2</v>
      </c>
      <c r="B3417" s="71" t="n">
        <v>46216</v>
      </c>
      <c r="C3417" s="0" t="n">
        <v>1</v>
      </c>
      <c r="D3417" s="0" t="s">
        <v>2442</v>
      </c>
      <c r="E3417" s="0" t="n">
        <v>560</v>
      </c>
      <c r="F3417" s="0" t="s">
        <v>453</v>
      </c>
      <c r="I3417" s="0" t="n">
        <v>1791</v>
      </c>
      <c r="J3417" s="0" t="n">
        <v>72591</v>
      </c>
      <c r="K3417" s="0" t="n">
        <v>7891985925401</v>
      </c>
      <c r="L3417" s="0" t="s">
        <v>2714</v>
      </c>
      <c r="N3417" s="0" t="n">
        <v>50</v>
      </c>
      <c r="O3417" s="0" t="n">
        <v>250</v>
      </c>
      <c r="P3417" s="0" t="s">
        <v>2444</v>
      </c>
    </row>
    <row r="3418" customFormat="false" ht="15" hidden="false" customHeight="true" outlineLevel="0" collapsed="false">
      <c r="A3418" s="0" t="n">
        <v>2</v>
      </c>
      <c r="B3418" s="71" t="n">
        <v>46216</v>
      </c>
      <c r="C3418" s="0" t="n">
        <v>1</v>
      </c>
      <c r="D3418" s="0" t="s">
        <v>2442</v>
      </c>
      <c r="E3418" s="0" t="n">
        <v>1626</v>
      </c>
      <c r="F3418" s="0" t="s">
        <v>77</v>
      </c>
      <c r="I3418" s="0" t="n">
        <v>312916</v>
      </c>
      <c r="J3418" s="0" t="n">
        <v>15731</v>
      </c>
      <c r="K3418" s="0" t="n">
        <v>7898268720050</v>
      </c>
      <c r="L3418" s="0" t="s">
        <v>4056</v>
      </c>
      <c r="N3418" s="0" t="n">
        <v>6</v>
      </c>
      <c r="O3418" s="0" t="n">
        <v>29.72</v>
      </c>
      <c r="P3418" s="0" t="s">
        <v>2444</v>
      </c>
    </row>
    <row r="3419" customFormat="false" ht="15" hidden="false" customHeight="true" outlineLevel="0" collapsed="false">
      <c r="A3419" s="0" t="n">
        <v>2</v>
      </c>
      <c r="B3419" s="71" t="n">
        <v>46216</v>
      </c>
      <c r="C3419" s="0" t="n">
        <v>1</v>
      </c>
      <c r="D3419" s="0" t="s">
        <v>2442</v>
      </c>
      <c r="E3419" s="0" t="n">
        <v>1626</v>
      </c>
      <c r="F3419" s="0" t="s">
        <v>77</v>
      </c>
      <c r="I3419" s="0" t="n">
        <v>312916</v>
      </c>
      <c r="J3419" s="0" t="n">
        <v>16273</v>
      </c>
      <c r="K3419" s="0" t="n">
        <v>7894904003495</v>
      </c>
      <c r="L3419" s="0" t="s">
        <v>4057</v>
      </c>
      <c r="N3419" s="0" t="n">
        <v>72</v>
      </c>
      <c r="O3419" s="0" t="n">
        <v>115.48</v>
      </c>
      <c r="P3419" s="0" t="s">
        <v>2444</v>
      </c>
    </row>
    <row r="3420" customFormat="false" ht="15" hidden="false" customHeight="true" outlineLevel="0" collapsed="false">
      <c r="A3420" s="0" t="n">
        <v>2</v>
      </c>
      <c r="B3420" s="71" t="n">
        <v>46216</v>
      </c>
      <c r="C3420" s="0" t="n">
        <v>1</v>
      </c>
      <c r="D3420" s="0" t="s">
        <v>2442</v>
      </c>
      <c r="E3420" s="0" t="n">
        <v>1626</v>
      </c>
      <c r="F3420" s="0" t="s">
        <v>77</v>
      </c>
      <c r="I3420" s="0" t="n">
        <v>312916</v>
      </c>
      <c r="J3420" s="0" t="n">
        <v>36202</v>
      </c>
      <c r="K3420" s="0" t="n">
        <v>7898268720531</v>
      </c>
      <c r="L3420" s="0" t="s">
        <v>4058</v>
      </c>
      <c r="N3420" s="0" t="n">
        <v>6</v>
      </c>
      <c r="O3420" s="0" t="n">
        <v>34.82</v>
      </c>
      <c r="P3420" s="0" t="s">
        <v>2444</v>
      </c>
    </row>
    <row r="3421" customFormat="false" ht="15" hidden="false" customHeight="true" outlineLevel="0" collapsed="false">
      <c r="A3421" s="0" t="n">
        <v>2</v>
      </c>
      <c r="B3421" s="71" t="n">
        <v>46216</v>
      </c>
      <c r="C3421" s="0" t="n">
        <v>1</v>
      </c>
      <c r="D3421" s="0" t="s">
        <v>2442</v>
      </c>
      <c r="E3421" s="0" t="n">
        <v>1626</v>
      </c>
      <c r="F3421" s="0" t="s">
        <v>77</v>
      </c>
      <c r="I3421" s="0" t="n">
        <v>312916</v>
      </c>
      <c r="J3421" s="0" t="n">
        <v>37747</v>
      </c>
      <c r="K3421" s="0" t="n">
        <v>7898968009004</v>
      </c>
      <c r="L3421" s="0" t="s">
        <v>2604</v>
      </c>
      <c r="N3421" s="0" t="n">
        <v>64</v>
      </c>
      <c r="O3421" s="0" t="n">
        <v>516.52</v>
      </c>
      <c r="P3421" s="0" t="s">
        <v>2444</v>
      </c>
    </row>
    <row r="3422" customFormat="false" ht="15" hidden="false" customHeight="true" outlineLevel="0" collapsed="false">
      <c r="A3422" s="0" t="n">
        <v>2</v>
      </c>
      <c r="B3422" s="71" t="n">
        <v>46216</v>
      </c>
      <c r="C3422" s="0" t="n">
        <v>1</v>
      </c>
      <c r="D3422" s="0" t="s">
        <v>2442</v>
      </c>
      <c r="E3422" s="0" t="n">
        <v>1626</v>
      </c>
      <c r="F3422" s="0" t="s">
        <v>77</v>
      </c>
      <c r="I3422" s="0" t="n">
        <v>312916</v>
      </c>
      <c r="J3422" s="0" t="n">
        <v>38003</v>
      </c>
      <c r="K3422" s="0" t="n">
        <v>7898968009066</v>
      </c>
      <c r="L3422" s="0" t="s">
        <v>3585</v>
      </c>
      <c r="N3422" s="0" t="n">
        <v>64</v>
      </c>
      <c r="O3422" s="0" t="n">
        <v>282.95</v>
      </c>
      <c r="P3422" s="0" t="s">
        <v>2444</v>
      </c>
    </row>
    <row r="3423" customFormat="false" ht="15" hidden="false" customHeight="true" outlineLevel="0" collapsed="false">
      <c r="A3423" s="0" t="n">
        <v>2</v>
      </c>
      <c r="B3423" s="71" t="n">
        <v>46216</v>
      </c>
      <c r="C3423" s="0" t="n">
        <v>1</v>
      </c>
      <c r="D3423" s="0" t="s">
        <v>2442</v>
      </c>
      <c r="E3423" s="0" t="n">
        <v>1626</v>
      </c>
      <c r="F3423" s="0" t="s">
        <v>77</v>
      </c>
      <c r="I3423" s="0" t="n">
        <v>312916</v>
      </c>
      <c r="J3423" s="0" t="n">
        <v>79706</v>
      </c>
      <c r="K3423" s="0" t="n">
        <v>7894904605002</v>
      </c>
      <c r="L3423" s="0" t="s">
        <v>4059</v>
      </c>
      <c r="N3423" s="0" t="n">
        <v>6</v>
      </c>
      <c r="O3423" s="0" t="n">
        <v>53.4</v>
      </c>
      <c r="P3423" s="0" t="s">
        <v>2444</v>
      </c>
    </row>
    <row r="3424" customFormat="false" ht="15" hidden="false" customHeight="true" outlineLevel="0" collapsed="false">
      <c r="A3424" s="0" t="n">
        <v>2</v>
      </c>
      <c r="B3424" s="71" t="n">
        <v>46216</v>
      </c>
      <c r="C3424" s="0" t="n">
        <v>1</v>
      </c>
      <c r="D3424" s="0" t="s">
        <v>2442</v>
      </c>
      <c r="E3424" s="0" t="n">
        <v>1626</v>
      </c>
      <c r="F3424" s="0" t="s">
        <v>77</v>
      </c>
      <c r="I3424" s="0" t="n">
        <v>312916</v>
      </c>
      <c r="J3424" s="0" t="n">
        <v>80139</v>
      </c>
      <c r="K3424" s="0" t="n">
        <v>7898516368850</v>
      </c>
      <c r="L3424" s="0" t="s">
        <v>2605</v>
      </c>
      <c r="N3424" s="0" t="n">
        <v>5</v>
      </c>
      <c r="O3424" s="0" t="n">
        <v>63.78</v>
      </c>
      <c r="P3424" s="0" t="s">
        <v>2444</v>
      </c>
    </row>
    <row r="3425" customFormat="false" ht="15" hidden="false" customHeight="true" outlineLevel="0" collapsed="false">
      <c r="A3425" s="0" t="n">
        <v>2</v>
      </c>
      <c r="B3425" s="71" t="n">
        <v>46216</v>
      </c>
      <c r="C3425" s="0" t="n">
        <v>1</v>
      </c>
      <c r="D3425" s="0" t="s">
        <v>2442</v>
      </c>
      <c r="E3425" s="0" t="n">
        <v>1675</v>
      </c>
      <c r="F3425" s="0" t="s">
        <v>289</v>
      </c>
      <c r="I3425" s="0" t="n">
        <v>501201</v>
      </c>
      <c r="J3425" s="0" t="n">
        <v>100196</v>
      </c>
      <c r="K3425" s="0" t="n">
        <v>7896064443982</v>
      </c>
      <c r="L3425" s="0" t="s">
        <v>4060</v>
      </c>
      <c r="N3425" s="0" t="n">
        <v>60</v>
      </c>
      <c r="O3425" s="0" t="n">
        <v>124.9</v>
      </c>
      <c r="P3425" s="0" t="s">
        <v>2444</v>
      </c>
    </row>
    <row r="3426" customFormat="false" ht="15" hidden="false" customHeight="true" outlineLevel="0" collapsed="false">
      <c r="A3426" s="0" t="n">
        <v>2</v>
      </c>
      <c r="B3426" s="71" t="n">
        <v>46216</v>
      </c>
      <c r="C3426" s="0" t="n">
        <v>1</v>
      </c>
      <c r="D3426" s="0" t="s">
        <v>2442</v>
      </c>
      <c r="E3426" s="0" t="n">
        <v>1675</v>
      </c>
      <c r="F3426" s="0" t="s">
        <v>289</v>
      </c>
      <c r="I3426" s="0" t="n">
        <v>501201</v>
      </c>
      <c r="J3426" s="0" t="n">
        <v>100367</v>
      </c>
      <c r="K3426" s="0" t="n">
        <v>7896806700014</v>
      </c>
      <c r="L3426" s="0" t="s">
        <v>4061</v>
      </c>
      <c r="N3426" s="0" t="n">
        <v>12</v>
      </c>
      <c r="O3426" s="0" t="n">
        <v>26.28</v>
      </c>
      <c r="P3426" s="0" t="s">
        <v>2444</v>
      </c>
    </row>
    <row r="3427" customFormat="false" ht="15" hidden="false" customHeight="true" outlineLevel="0" collapsed="false">
      <c r="A3427" s="0" t="n">
        <v>2</v>
      </c>
      <c r="B3427" s="71" t="n">
        <v>46216</v>
      </c>
      <c r="C3427" s="0" t="n">
        <v>1</v>
      </c>
      <c r="D3427" s="0" t="s">
        <v>2442</v>
      </c>
      <c r="E3427" s="0" t="n">
        <v>1675</v>
      </c>
      <c r="F3427" s="0" t="s">
        <v>289</v>
      </c>
      <c r="I3427" s="0" t="n">
        <v>501201</v>
      </c>
      <c r="J3427" s="0" t="n">
        <v>100372</v>
      </c>
      <c r="K3427" s="0" t="n">
        <v>7896806700045</v>
      </c>
      <c r="L3427" s="0" t="s">
        <v>4062</v>
      </c>
      <c r="N3427" s="0" t="n">
        <v>6</v>
      </c>
      <c r="O3427" s="0" t="n">
        <v>45.78</v>
      </c>
      <c r="P3427" s="0" t="s">
        <v>2444</v>
      </c>
    </row>
    <row r="3428" customFormat="false" ht="15" hidden="false" customHeight="true" outlineLevel="0" collapsed="false">
      <c r="A3428" s="0" t="n">
        <v>2</v>
      </c>
      <c r="B3428" s="71" t="n">
        <v>46216</v>
      </c>
      <c r="C3428" s="0" t="n">
        <v>1</v>
      </c>
      <c r="D3428" s="0" t="s">
        <v>2442</v>
      </c>
      <c r="E3428" s="0" t="n">
        <v>1675</v>
      </c>
      <c r="F3428" s="0" t="s">
        <v>289</v>
      </c>
      <c r="I3428" s="0" t="n">
        <v>501201</v>
      </c>
      <c r="J3428" s="0" t="n">
        <v>100453</v>
      </c>
      <c r="K3428" s="0" t="n">
        <v>7896806700076</v>
      </c>
      <c r="L3428" s="0" t="s">
        <v>4063</v>
      </c>
      <c r="N3428" s="0" t="n">
        <v>24</v>
      </c>
      <c r="O3428" s="0" t="n">
        <v>118.1</v>
      </c>
      <c r="P3428" s="0" t="s">
        <v>2444</v>
      </c>
    </row>
    <row r="3429" customFormat="false" ht="15" hidden="false" customHeight="true" outlineLevel="0" collapsed="false">
      <c r="A3429" s="0" t="n">
        <v>2</v>
      </c>
      <c r="B3429" s="71" t="n">
        <v>46216</v>
      </c>
      <c r="C3429" s="0" t="n">
        <v>1</v>
      </c>
      <c r="D3429" s="0" t="s">
        <v>2442</v>
      </c>
      <c r="E3429" s="0" t="n">
        <v>1675</v>
      </c>
      <c r="F3429" s="0" t="s">
        <v>289</v>
      </c>
      <c r="I3429" s="0" t="n">
        <v>501201</v>
      </c>
      <c r="J3429" s="0" t="n">
        <v>103221</v>
      </c>
      <c r="K3429" s="0" t="n">
        <v>78914957</v>
      </c>
      <c r="L3429" s="0" t="s">
        <v>4064</v>
      </c>
      <c r="N3429" s="0" t="n">
        <v>6</v>
      </c>
      <c r="O3429" s="0" t="n">
        <v>54.3</v>
      </c>
      <c r="P3429" s="0" t="s">
        <v>2444</v>
      </c>
    </row>
    <row r="3430" customFormat="false" ht="15" hidden="false" customHeight="true" outlineLevel="0" collapsed="false">
      <c r="A3430" s="0" t="n">
        <v>2</v>
      </c>
      <c r="B3430" s="71" t="n">
        <v>46216</v>
      </c>
      <c r="C3430" s="0" t="n">
        <v>1</v>
      </c>
      <c r="D3430" s="0" t="s">
        <v>2442</v>
      </c>
      <c r="E3430" s="0" t="n">
        <v>1675</v>
      </c>
      <c r="F3430" s="0" t="s">
        <v>289</v>
      </c>
      <c r="I3430" s="0" t="n">
        <v>501201</v>
      </c>
      <c r="J3430" s="0" t="n">
        <v>103222</v>
      </c>
      <c r="K3430" s="0" t="n">
        <v>78907850</v>
      </c>
      <c r="L3430" s="0" t="s">
        <v>4065</v>
      </c>
      <c r="N3430" s="0" t="n">
        <v>6</v>
      </c>
      <c r="O3430" s="0" t="n">
        <v>54.3</v>
      </c>
      <c r="P3430" s="0" t="s">
        <v>2444</v>
      </c>
    </row>
    <row r="3431" customFormat="false" ht="15" hidden="false" customHeight="true" outlineLevel="0" collapsed="false">
      <c r="A3431" s="0" t="n">
        <v>2</v>
      </c>
      <c r="B3431" s="71" t="n">
        <v>46216</v>
      </c>
      <c r="C3431" s="0" t="n">
        <v>1</v>
      </c>
      <c r="D3431" s="0" t="s">
        <v>2442</v>
      </c>
      <c r="E3431" s="0" t="n">
        <v>1675</v>
      </c>
      <c r="F3431" s="0" t="s">
        <v>289</v>
      </c>
      <c r="I3431" s="0" t="n">
        <v>501201</v>
      </c>
      <c r="J3431" s="0" t="n">
        <v>103532</v>
      </c>
      <c r="K3431" s="0" t="n">
        <v>7899026400863</v>
      </c>
      <c r="L3431" s="0" t="s">
        <v>4066</v>
      </c>
      <c r="N3431" s="0" t="n">
        <v>6</v>
      </c>
      <c r="O3431" s="0" t="n">
        <v>28.26</v>
      </c>
      <c r="P3431" s="0" t="s">
        <v>2444</v>
      </c>
    </row>
    <row r="3432" customFormat="false" ht="15" hidden="false" customHeight="true" outlineLevel="0" collapsed="false">
      <c r="A3432" s="0" t="n">
        <v>2</v>
      </c>
      <c r="B3432" s="71" t="n">
        <v>46216</v>
      </c>
      <c r="C3432" s="0" t="n">
        <v>1</v>
      </c>
      <c r="D3432" s="0" t="s">
        <v>2442</v>
      </c>
      <c r="E3432" s="0" t="n">
        <v>1675</v>
      </c>
      <c r="F3432" s="0" t="s">
        <v>289</v>
      </c>
      <c r="I3432" s="0" t="n">
        <v>501201</v>
      </c>
      <c r="J3432" s="0" t="n">
        <v>106547</v>
      </c>
      <c r="K3432" s="0" t="n">
        <v>7896064443180</v>
      </c>
      <c r="L3432" s="0" t="s">
        <v>4067</v>
      </c>
      <c r="N3432" s="0" t="n">
        <v>48</v>
      </c>
      <c r="O3432" s="0" t="n">
        <v>169.28</v>
      </c>
      <c r="P3432" s="0" t="s">
        <v>2444</v>
      </c>
    </row>
    <row r="3433" customFormat="false" ht="15" hidden="false" customHeight="true" outlineLevel="0" collapsed="false">
      <c r="A3433" s="0" t="n">
        <v>2</v>
      </c>
      <c r="B3433" s="71" t="n">
        <v>46216</v>
      </c>
      <c r="C3433" s="0" t="n">
        <v>1</v>
      </c>
      <c r="D3433" s="0" t="s">
        <v>2442</v>
      </c>
      <c r="E3433" s="0" t="n">
        <v>1675</v>
      </c>
      <c r="F3433" s="0" t="s">
        <v>289</v>
      </c>
      <c r="I3433" s="0" t="n">
        <v>501201</v>
      </c>
      <c r="J3433" s="0" t="n">
        <v>107123</v>
      </c>
      <c r="K3433" s="0" t="n">
        <v>7899026400849</v>
      </c>
      <c r="L3433" s="0" t="s">
        <v>4068</v>
      </c>
      <c r="N3433" s="0" t="n">
        <v>6</v>
      </c>
      <c r="O3433" s="0" t="n">
        <v>28.26</v>
      </c>
      <c r="P3433" s="0" t="s">
        <v>2444</v>
      </c>
    </row>
    <row r="3434" customFormat="false" ht="15" hidden="false" customHeight="true" outlineLevel="0" collapsed="false">
      <c r="A3434" s="0" t="n">
        <v>2</v>
      </c>
      <c r="B3434" s="71" t="n">
        <v>46216</v>
      </c>
      <c r="C3434" s="0" t="n">
        <v>1</v>
      </c>
      <c r="D3434" s="0" t="s">
        <v>2442</v>
      </c>
      <c r="E3434" s="0" t="n">
        <v>1675</v>
      </c>
      <c r="F3434" s="0" t="s">
        <v>289</v>
      </c>
      <c r="I3434" s="0" t="n">
        <v>501201</v>
      </c>
      <c r="J3434" s="0" t="n">
        <v>10516</v>
      </c>
      <c r="K3434" s="0" t="n">
        <v>7896085862625</v>
      </c>
      <c r="L3434" s="0" t="s">
        <v>4069</v>
      </c>
      <c r="N3434" s="0" t="n">
        <v>3</v>
      </c>
      <c r="O3434" s="0" t="n">
        <v>39.66</v>
      </c>
      <c r="P3434" s="0" t="s">
        <v>2444</v>
      </c>
    </row>
    <row r="3435" customFormat="false" ht="15" hidden="false" customHeight="true" outlineLevel="0" collapsed="false">
      <c r="A3435" s="0" t="n">
        <v>2</v>
      </c>
      <c r="B3435" s="71" t="n">
        <v>46216</v>
      </c>
      <c r="C3435" s="0" t="n">
        <v>1</v>
      </c>
      <c r="D3435" s="0" t="s">
        <v>2442</v>
      </c>
      <c r="E3435" s="0" t="n">
        <v>1675</v>
      </c>
      <c r="F3435" s="0" t="s">
        <v>289</v>
      </c>
      <c r="I3435" s="0" t="n">
        <v>501201</v>
      </c>
      <c r="J3435" s="0" t="n">
        <v>10529</v>
      </c>
      <c r="K3435" s="0" t="n">
        <v>7898157614842</v>
      </c>
      <c r="L3435" s="0" t="s">
        <v>4070</v>
      </c>
      <c r="N3435" s="0" t="n">
        <v>6</v>
      </c>
      <c r="O3435" s="0" t="n">
        <v>33.66</v>
      </c>
      <c r="P3435" s="0" t="s">
        <v>2444</v>
      </c>
    </row>
    <row r="3436" customFormat="false" ht="15" hidden="false" customHeight="true" outlineLevel="0" collapsed="false">
      <c r="A3436" s="0" t="n">
        <v>2</v>
      </c>
      <c r="B3436" s="71" t="n">
        <v>46216</v>
      </c>
      <c r="C3436" s="0" t="n">
        <v>1</v>
      </c>
      <c r="D3436" s="0" t="s">
        <v>2442</v>
      </c>
      <c r="E3436" s="0" t="n">
        <v>1675</v>
      </c>
      <c r="F3436" s="0" t="s">
        <v>289</v>
      </c>
      <c r="I3436" s="0" t="n">
        <v>501201</v>
      </c>
      <c r="J3436" s="0" t="n">
        <v>12152</v>
      </c>
      <c r="K3436" s="0" t="n">
        <v>7899026420571</v>
      </c>
      <c r="L3436" s="0" t="s">
        <v>4071</v>
      </c>
      <c r="N3436" s="0" t="n">
        <v>3</v>
      </c>
      <c r="O3436" s="0" t="n">
        <v>46.44</v>
      </c>
      <c r="P3436" s="0" t="s">
        <v>2444</v>
      </c>
    </row>
    <row r="3437" customFormat="false" ht="15" hidden="false" customHeight="true" outlineLevel="0" collapsed="false">
      <c r="A3437" s="0" t="n">
        <v>2</v>
      </c>
      <c r="B3437" s="71" t="n">
        <v>46216</v>
      </c>
      <c r="C3437" s="0" t="n">
        <v>1</v>
      </c>
      <c r="D3437" s="0" t="s">
        <v>2442</v>
      </c>
      <c r="E3437" s="0" t="n">
        <v>1675</v>
      </c>
      <c r="F3437" s="0" t="s">
        <v>289</v>
      </c>
      <c r="I3437" s="0" t="n">
        <v>501201</v>
      </c>
      <c r="J3437" s="0" t="n">
        <v>12183</v>
      </c>
      <c r="K3437" s="0" t="n">
        <v>78922693</v>
      </c>
      <c r="L3437" s="0" t="s">
        <v>4072</v>
      </c>
      <c r="N3437" s="0" t="n">
        <v>6</v>
      </c>
      <c r="O3437" s="0" t="n">
        <v>118.26</v>
      </c>
      <c r="P3437" s="0" t="s">
        <v>2444</v>
      </c>
    </row>
    <row r="3438" customFormat="false" ht="15" hidden="false" customHeight="true" outlineLevel="0" collapsed="false">
      <c r="A3438" s="0" t="n">
        <v>2</v>
      </c>
      <c r="B3438" s="71" t="n">
        <v>46216</v>
      </c>
      <c r="C3438" s="0" t="n">
        <v>1</v>
      </c>
      <c r="D3438" s="0" t="s">
        <v>2442</v>
      </c>
      <c r="E3438" s="0" t="n">
        <v>1675</v>
      </c>
      <c r="F3438" s="0" t="s">
        <v>289</v>
      </c>
      <c r="I3438" s="0" t="n">
        <v>501201</v>
      </c>
      <c r="J3438" s="0" t="n">
        <v>16977</v>
      </c>
      <c r="K3438" s="0" t="n">
        <v>7899026459960</v>
      </c>
      <c r="L3438" s="0" t="s">
        <v>4073</v>
      </c>
      <c r="N3438" s="0" t="n">
        <v>6</v>
      </c>
      <c r="O3438" s="0" t="n">
        <v>87.9</v>
      </c>
      <c r="P3438" s="0" t="s">
        <v>2444</v>
      </c>
    </row>
    <row r="3439" customFormat="false" ht="15" hidden="false" customHeight="true" outlineLevel="0" collapsed="false">
      <c r="A3439" s="0" t="n">
        <v>2</v>
      </c>
      <c r="B3439" s="71" t="n">
        <v>46216</v>
      </c>
      <c r="C3439" s="0" t="n">
        <v>1</v>
      </c>
      <c r="D3439" s="0" t="s">
        <v>2442</v>
      </c>
      <c r="E3439" s="0" t="n">
        <v>1675</v>
      </c>
      <c r="F3439" s="0" t="s">
        <v>289</v>
      </c>
      <c r="I3439" s="0" t="n">
        <v>501201</v>
      </c>
      <c r="J3439" s="0" t="n">
        <v>20374</v>
      </c>
      <c r="K3439" s="0" t="n">
        <v>7899026423398</v>
      </c>
      <c r="L3439" s="0" t="s">
        <v>4074</v>
      </c>
      <c r="N3439" s="0" t="n">
        <v>6</v>
      </c>
      <c r="O3439" s="0" t="n">
        <v>28.26</v>
      </c>
      <c r="P3439" s="0" t="s">
        <v>2444</v>
      </c>
    </row>
    <row r="3440" customFormat="false" ht="15" hidden="false" customHeight="true" outlineLevel="0" collapsed="false">
      <c r="A3440" s="0" t="n">
        <v>2</v>
      </c>
      <c r="B3440" s="71" t="n">
        <v>46216</v>
      </c>
      <c r="C3440" s="0" t="n">
        <v>1</v>
      </c>
      <c r="D3440" s="0" t="s">
        <v>2442</v>
      </c>
      <c r="E3440" s="0" t="n">
        <v>1675</v>
      </c>
      <c r="F3440" s="0" t="s">
        <v>289</v>
      </c>
      <c r="I3440" s="0" t="n">
        <v>501201</v>
      </c>
      <c r="J3440" s="0" t="n">
        <v>22246</v>
      </c>
      <c r="K3440" s="0" t="n">
        <v>7896000705952</v>
      </c>
      <c r="L3440" s="0" t="s">
        <v>4075</v>
      </c>
      <c r="N3440" s="0" t="n">
        <v>6</v>
      </c>
      <c r="O3440" s="0" t="n">
        <v>59.22</v>
      </c>
      <c r="P3440" s="0" t="s">
        <v>2444</v>
      </c>
    </row>
    <row r="3441" customFormat="false" ht="15" hidden="false" customHeight="true" outlineLevel="0" collapsed="false">
      <c r="A3441" s="0" t="n">
        <v>2</v>
      </c>
      <c r="B3441" s="71" t="n">
        <v>46216</v>
      </c>
      <c r="C3441" s="0" t="n">
        <v>1</v>
      </c>
      <c r="D3441" s="0" t="s">
        <v>2442</v>
      </c>
      <c r="E3441" s="0" t="n">
        <v>1675</v>
      </c>
      <c r="F3441" s="0" t="s">
        <v>289</v>
      </c>
      <c r="I3441" s="0" t="n">
        <v>501201</v>
      </c>
      <c r="J3441" s="0" t="n">
        <v>22253</v>
      </c>
      <c r="K3441" s="0" t="n">
        <v>7896000705969</v>
      </c>
      <c r="L3441" s="0" t="s">
        <v>4076</v>
      </c>
      <c r="N3441" s="0" t="n">
        <v>6</v>
      </c>
      <c r="O3441" s="0" t="n">
        <v>59.22</v>
      </c>
      <c r="P3441" s="0" t="s">
        <v>2444</v>
      </c>
    </row>
    <row r="3442" customFormat="false" ht="15" hidden="false" customHeight="true" outlineLevel="0" collapsed="false">
      <c r="A3442" s="0" t="n">
        <v>2</v>
      </c>
      <c r="B3442" s="71" t="n">
        <v>46216</v>
      </c>
      <c r="C3442" s="0" t="n">
        <v>1</v>
      </c>
      <c r="D3442" s="0" t="s">
        <v>2442</v>
      </c>
      <c r="E3442" s="0" t="n">
        <v>1675</v>
      </c>
      <c r="F3442" s="0" t="s">
        <v>289</v>
      </c>
      <c r="I3442" s="0" t="n">
        <v>501201</v>
      </c>
      <c r="J3442" s="0" t="n">
        <v>22257</v>
      </c>
      <c r="K3442" s="0" t="n">
        <v>7896000705945</v>
      </c>
      <c r="L3442" s="0" t="s">
        <v>4077</v>
      </c>
      <c r="N3442" s="0" t="n">
        <v>6</v>
      </c>
      <c r="O3442" s="0" t="n">
        <v>59.22</v>
      </c>
      <c r="P3442" s="0" t="s">
        <v>2444</v>
      </c>
    </row>
    <row r="3443" customFormat="false" ht="15" hidden="false" customHeight="true" outlineLevel="0" collapsed="false">
      <c r="A3443" s="0" t="n">
        <v>2</v>
      </c>
      <c r="B3443" s="71" t="n">
        <v>46216</v>
      </c>
      <c r="C3443" s="0" t="n">
        <v>1</v>
      </c>
      <c r="D3443" s="0" t="s">
        <v>2442</v>
      </c>
      <c r="E3443" s="0" t="n">
        <v>1675</v>
      </c>
      <c r="F3443" s="0" t="s">
        <v>289</v>
      </c>
      <c r="I3443" s="0" t="n">
        <v>501201</v>
      </c>
      <c r="J3443" s="0" t="n">
        <v>23553</v>
      </c>
      <c r="K3443" s="0" t="n">
        <v>7896000705921</v>
      </c>
      <c r="L3443" s="0" t="s">
        <v>4078</v>
      </c>
      <c r="N3443" s="0" t="n">
        <v>6</v>
      </c>
      <c r="O3443" s="0" t="n">
        <v>59.22</v>
      </c>
      <c r="P3443" s="0" t="s">
        <v>2444</v>
      </c>
    </row>
    <row r="3444" customFormat="false" ht="15" hidden="false" customHeight="true" outlineLevel="0" collapsed="false">
      <c r="A3444" s="0" t="n">
        <v>2</v>
      </c>
      <c r="B3444" s="71" t="n">
        <v>46216</v>
      </c>
      <c r="C3444" s="0" t="n">
        <v>1</v>
      </c>
      <c r="D3444" s="0" t="s">
        <v>2442</v>
      </c>
      <c r="E3444" s="0" t="n">
        <v>1675</v>
      </c>
      <c r="F3444" s="0" t="s">
        <v>289</v>
      </c>
      <c r="I3444" s="0" t="n">
        <v>501201</v>
      </c>
      <c r="J3444" s="0" t="n">
        <v>27731</v>
      </c>
      <c r="K3444" s="0" t="n">
        <v>7896235353249</v>
      </c>
      <c r="L3444" s="0" t="s">
        <v>4079</v>
      </c>
      <c r="N3444" s="0" t="n">
        <v>6</v>
      </c>
      <c r="O3444" s="0" t="n">
        <v>31.62</v>
      </c>
      <c r="P3444" s="0" t="s">
        <v>2444</v>
      </c>
    </row>
    <row r="3445" customFormat="false" ht="15" hidden="false" customHeight="true" outlineLevel="0" collapsed="false">
      <c r="A3445" s="0" t="n">
        <v>2</v>
      </c>
      <c r="B3445" s="71" t="n">
        <v>46216</v>
      </c>
      <c r="C3445" s="0" t="n">
        <v>1</v>
      </c>
      <c r="D3445" s="0" t="s">
        <v>2442</v>
      </c>
      <c r="E3445" s="0" t="n">
        <v>1675</v>
      </c>
      <c r="F3445" s="0" t="s">
        <v>289</v>
      </c>
      <c r="I3445" s="0" t="n">
        <v>501201</v>
      </c>
      <c r="J3445" s="0" t="n">
        <v>28438</v>
      </c>
      <c r="K3445" s="0" t="n">
        <v>7896013544517</v>
      </c>
      <c r="L3445" s="0" t="s">
        <v>4080</v>
      </c>
      <c r="N3445" s="0" t="n">
        <v>6</v>
      </c>
      <c r="O3445" s="0" t="n">
        <v>63.69</v>
      </c>
      <c r="P3445" s="0" t="s">
        <v>2444</v>
      </c>
    </row>
    <row r="3446" customFormat="false" ht="15" hidden="false" customHeight="true" outlineLevel="0" collapsed="false">
      <c r="A3446" s="0" t="n">
        <v>2</v>
      </c>
      <c r="B3446" s="71" t="n">
        <v>46216</v>
      </c>
      <c r="C3446" s="0" t="n">
        <v>1</v>
      </c>
      <c r="D3446" s="0" t="s">
        <v>2442</v>
      </c>
      <c r="E3446" s="0" t="n">
        <v>1675</v>
      </c>
      <c r="F3446" s="0" t="s">
        <v>289</v>
      </c>
      <c r="I3446" s="0" t="n">
        <v>501201</v>
      </c>
      <c r="J3446" s="0" t="n">
        <v>29651</v>
      </c>
      <c r="K3446" s="0" t="n">
        <v>7896000727527</v>
      </c>
      <c r="L3446" s="0" t="s">
        <v>4081</v>
      </c>
      <c r="N3446" s="0" t="n">
        <v>6</v>
      </c>
      <c r="O3446" s="0" t="n">
        <v>99.96</v>
      </c>
      <c r="P3446" s="0" t="s">
        <v>2444</v>
      </c>
    </row>
    <row r="3447" customFormat="false" ht="15" hidden="false" customHeight="true" outlineLevel="0" collapsed="false">
      <c r="A3447" s="0" t="n">
        <v>2</v>
      </c>
      <c r="B3447" s="71" t="n">
        <v>46216</v>
      </c>
      <c r="C3447" s="0" t="n">
        <v>1</v>
      </c>
      <c r="D3447" s="0" t="s">
        <v>2442</v>
      </c>
      <c r="E3447" s="0" t="n">
        <v>1675</v>
      </c>
      <c r="F3447" s="0" t="s">
        <v>289</v>
      </c>
      <c r="I3447" s="0" t="n">
        <v>501201</v>
      </c>
      <c r="J3447" s="0" t="n">
        <v>30437</v>
      </c>
      <c r="K3447" s="0" t="n">
        <v>7896000727534</v>
      </c>
      <c r="L3447" s="0" t="s">
        <v>4082</v>
      </c>
      <c r="N3447" s="0" t="n">
        <v>6</v>
      </c>
      <c r="O3447" s="0" t="n">
        <v>59.22</v>
      </c>
      <c r="P3447" s="0" t="s">
        <v>2444</v>
      </c>
    </row>
    <row r="3448" customFormat="false" ht="15" hidden="false" customHeight="true" outlineLevel="0" collapsed="false">
      <c r="A3448" s="0" t="n">
        <v>2</v>
      </c>
      <c r="B3448" s="71" t="n">
        <v>46216</v>
      </c>
      <c r="C3448" s="0" t="n">
        <v>1</v>
      </c>
      <c r="D3448" s="0" t="s">
        <v>2442</v>
      </c>
      <c r="E3448" s="0" t="n">
        <v>1675</v>
      </c>
      <c r="F3448" s="0" t="s">
        <v>289</v>
      </c>
      <c r="I3448" s="0" t="n">
        <v>501201</v>
      </c>
      <c r="J3448" s="0" t="n">
        <v>31305</v>
      </c>
      <c r="K3448" s="0" t="n">
        <v>7899706170833</v>
      </c>
      <c r="L3448" s="0" t="s">
        <v>4083</v>
      </c>
      <c r="N3448" s="0" t="n">
        <v>6</v>
      </c>
      <c r="O3448" s="0" t="n">
        <v>87.9</v>
      </c>
      <c r="P3448" s="0" t="s">
        <v>2444</v>
      </c>
    </row>
    <row r="3449" customFormat="false" ht="15" hidden="false" customHeight="true" outlineLevel="0" collapsed="false">
      <c r="A3449" s="0" t="n">
        <v>2</v>
      </c>
      <c r="B3449" s="71" t="n">
        <v>46216</v>
      </c>
      <c r="C3449" s="0" t="n">
        <v>1</v>
      </c>
      <c r="D3449" s="0" t="s">
        <v>2442</v>
      </c>
      <c r="E3449" s="0" t="n">
        <v>1675</v>
      </c>
      <c r="F3449" s="0" t="s">
        <v>289</v>
      </c>
      <c r="I3449" s="0" t="n">
        <v>501201</v>
      </c>
      <c r="J3449" s="0" t="n">
        <v>32335</v>
      </c>
      <c r="K3449" s="0" t="n">
        <v>7898965666316</v>
      </c>
      <c r="L3449" s="0" t="s">
        <v>4084</v>
      </c>
      <c r="N3449" s="0" t="n">
        <v>3</v>
      </c>
      <c r="O3449" s="0" t="n">
        <v>45.54</v>
      </c>
      <c r="P3449" s="0" t="s">
        <v>2444</v>
      </c>
    </row>
    <row r="3450" customFormat="false" ht="15" hidden="false" customHeight="true" outlineLevel="0" collapsed="false">
      <c r="A3450" s="0" t="n">
        <v>2</v>
      </c>
      <c r="B3450" s="71" t="n">
        <v>46216</v>
      </c>
      <c r="C3450" s="0" t="n">
        <v>1</v>
      </c>
      <c r="D3450" s="0" t="s">
        <v>2442</v>
      </c>
      <c r="E3450" s="0" t="n">
        <v>1675</v>
      </c>
      <c r="F3450" s="0" t="s">
        <v>289</v>
      </c>
      <c r="I3450" s="0" t="n">
        <v>501201</v>
      </c>
      <c r="J3450" s="0" t="n">
        <v>32347</v>
      </c>
      <c r="K3450" s="0" t="n">
        <v>7896064487313</v>
      </c>
      <c r="L3450" s="0" t="s">
        <v>4085</v>
      </c>
      <c r="N3450" s="0" t="n">
        <v>20</v>
      </c>
      <c r="O3450" s="0" t="n">
        <v>131.77</v>
      </c>
      <c r="P3450" s="0" t="s">
        <v>2444</v>
      </c>
    </row>
    <row r="3451" customFormat="false" ht="15" hidden="false" customHeight="true" outlineLevel="0" collapsed="false">
      <c r="A3451" s="0" t="n">
        <v>2</v>
      </c>
      <c r="B3451" s="71" t="n">
        <v>46216</v>
      </c>
      <c r="C3451" s="0" t="n">
        <v>1</v>
      </c>
      <c r="D3451" s="0" t="s">
        <v>2442</v>
      </c>
      <c r="E3451" s="0" t="n">
        <v>1675</v>
      </c>
      <c r="F3451" s="0" t="s">
        <v>289</v>
      </c>
      <c r="I3451" s="0" t="n">
        <v>501201</v>
      </c>
      <c r="J3451" s="0" t="n">
        <v>32888</v>
      </c>
      <c r="K3451" s="0" t="n">
        <v>7896000724953</v>
      </c>
      <c r="L3451" s="0" t="s">
        <v>4086</v>
      </c>
      <c r="N3451" s="0" t="n">
        <v>6</v>
      </c>
      <c r="O3451" s="0" t="n">
        <v>59.22</v>
      </c>
      <c r="P3451" s="0" t="s">
        <v>2444</v>
      </c>
    </row>
    <row r="3452" customFormat="false" ht="15" hidden="false" customHeight="true" outlineLevel="0" collapsed="false">
      <c r="A3452" s="0" t="n">
        <v>2</v>
      </c>
      <c r="B3452" s="71" t="n">
        <v>46216</v>
      </c>
      <c r="C3452" s="0" t="n">
        <v>1</v>
      </c>
      <c r="D3452" s="0" t="s">
        <v>2442</v>
      </c>
      <c r="E3452" s="0" t="n">
        <v>1675</v>
      </c>
      <c r="F3452" s="0" t="s">
        <v>289</v>
      </c>
      <c r="I3452" s="0" t="n">
        <v>501201</v>
      </c>
      <c r="J3452" s="0" t="n">
        <v>32890</v>
      </c>
      <c r="K3452" s="0" t="n">
        <v>7896000706089</v>
      </c>
      <c r="L3452" s="0" t="s">
        <v>4087</v>
      </c>
      <c r="N3452" s="0" t="n">
        <v>6</v>
      </c>
      <c r="O3452" s="0" t="n">
        <v>59.22</v>
      </c>
      <c r="P3452" s="0" t="s">
        <v>2444</v>
      </c>
    </row>
    <row r="3453" customFormat="false" ht="15" hidden="false" customHeight="true" outlineLevel="0" collapsed="false">
      <c r="A3453" s="0" t="n">
        <v>2</v>
      </c>
      <c r="B3453" s="71" t="n">
        <v>46216</v>
      </c>
      <c r="C3453" s="0" t="n">
        <v>1</v>
      </c>
      <c r="D3453" s="0" t="s">
        <v>2442</v>
      </c>
      <c r="E3453" s="0" t="n">
        <v>1675</v>
      </c>
      <c r="F3453" s="0" t="s">
        <v>289</v>
      </c>
      <c r="I3453" s="0" t="n">
        <v>501201</v>
      </c>
      <c r="J3453" s="0" t="n">
        <v>33501</v>
      </c>
      <c r="K3453" s="0" t="n">
        <v>7898965666552</v>
      </c>
      <c r="L3453" s="0" t="s">
        <v>4088</v>
      </c>
      <c r="N3453" s="0" t="n">
        <v>4</v>
      </c>
      <c r="O3453" s="0" t="n">
        <v>40.8</v>
      </c>
      <c r="P3453" s="0" t="s">
        <v>2444</v>
      </c>
    </row>
    <row r="3454" customFormat="false" ht="15" hidden="false" customHeight="true" outlineLevel="0" collapsed="false">
      <c r="A3454" s="0" t="n">
        <v>2</v>
      </c>
      <c r="B3454" s="71" t="n">
        <v>46216</v>
      </c>
      <c r="C3454" s="0" t="n">
        <v>1</v>
      </c>
      <c r="D3454" s="0" t="s">
        <v>2442</v>
      </c>
      <c r="E3454" s="0" t="n">
        <v>1675</v>
      </c>
      <c r="F3454" s="0" t="s">
        <v>289</v>
      </c>
      <c r="I3454" s="0" t="n">
        <v>501201</v>
      </c>
      <c r="J3454" s="0" t="n">
        <v>36542</v>
      </c>
      <c r="K3454" s="0" t="n">
        <v>7899706180658</v>
      </c>
      <c r="L3454" s="0" t="s">
        <v>4089</v>
      </c>
      <c r="N3454" s="0" t="n">
        <v>6</v>
      </c>
      <c r="O3454" s="0" t="n">
        <v>59.22</v>
      </c>
      <c r="P3454" s="0" t="s">
        <v>2444</v>
      </c>
    </row>
    <row r="3455" customFormat="false" ht="15" hidden="false" customHeight="true" outlineLevel="0" collapsed="false">
      <c r="A3455" s="0" t="n">
        <v>2</v>
      </c>
      <c r="B3455" s="71" t="n">
        <v>46216</v>
      </c>
      <c r="C3455" s="0" t="n">
        <v>1</v>
      </c>
      <c r="D3455" s="0" t="s">
        <v>2442</v>
      </c>
      <c r="E3455" s="0" t="n">
        <v>1675</v>
      </c>
      <c r="F3455" s="0" t="s">
        <v>289</v>
      </c>
      <c r="I3455" s="0" t="n">
        <v>501201</v>
      </c>
      <c r="J3455" s="0" t="n">
        <v>36543</v>
      </c>
      <c r="K3455" s="0" t="n">
        <v>7896000706171</v>
      </c>
      <c r="L3455" s="0" t="s">
        <v>4090</v>
      </c>
      <c r="N3455" s="0" t="n">
        <v>6</v>
      </c>
      <c r="O3455" s="0" t="n">
        <v>59.22</v>
      </c>
      <c r="P3455" s="0" t="s">
        <v>2444</v>
      </c>
    </row>
    <row r="3456" customFormat="false" ht="15" hidden="false" customHeight="true" outlineLevel="0" collapsed="false">
      <c r="A3456" s="0" t="n">
        <v>2</v>
      </c>
      <c r="B3456" s="71" t="n">
        <v>46216</v>
      </c>
      <c r="C3456" s="0" t="n">
        <v>1</v>
      </c>
      <c r="D3456" s="0" t="s">
        <v>2442</v>
      </c>
      <c r="E3456" s="0" t="n">
        <v>1675</v>
      </c>
      <c r="F3456" s="0" t="s">
        <v>289</v>
      </c>
      <c r="I3456" s="0" t="n">
        <v>501201</v>
      </c>
      <c r="J3456" s="0" t="n">
        <v>36612</v>
      </c>
      <c r="K3456" s="0" t="n">
        <v>7898965666996</v>
      </c>
      <c r="L3456" s="0" t="s">
        <v>4091</v>
      </c>
      <c r="N3456" s="0" t="n">
        <v>4</v>
      </c>
      <c r="O3456" s="0" t="n">
        <v>40.8</v>
      </c>
      <c r="P3456" s="0" t="s">
        <v>2444</v>
      </c>
    </row>
    <row r="3457" customFormat="false" ht="15" hidden="false" customHeight="true" outlineLevel="0" collapsed="false">
      <c r="A3457" s="0" t="n">
        <v>2</v>
      </c>
      <c r="B3457" s="71" t="n">
        <v>46216</v>
      </c>
      <c r="C3457" s="0" t="n">
        <v>1</v>
      </c>
      <c r="D3457" s="0" t="s">
        <v>2442</v>
      </c>
      <c r="E3457" s="0" t="n">
        <v>1675</v>
      </c>
      <c r="F3457" s="0" t="s">
        <v>289</v>
      </c>
      <c r="I3457" s="0" t="n">
        <v>501201</v>
      </c>
      <c r="J3457" s="0" t="n">
        <v>37041</v>
      </c>
      <c r="K3457" s="0" t="n">
        <v>7899706187343</v>
      </c>
      <c r="L3457" s="0" t="s">
        <v>4092</v>
      </c>
      <c r="N3457" s="0" t="n">
        <v>6</v>
      </c>
      <c r="O3457" s="0" t="n">
        <v>83.94</v>
      </c>
      <c r="P3457" s="0" t="s">
        <v>2444</v>
      </c>
    </row>
    <row r="3458" customFormat="false" ht="15" hidden="false" customHeight="true" outlineLevel="0" collapsed="false">
      <c r="A3458" s="0" t="n">
        <v>2</v>
      </c>
      <c r="B3458" s="71" t="n">
        <v>46216</v>
      </c>
      <c r="C3458" s="0" t="n">
        <v>1</v>
      </c>
      <c r="D3458" s="0" t="s">
        <v>2442</v>
      </c>
      <c r="E3458" s="0" t="n">
        <v>1675</v>
      </c>
      <c r="F3458" s="0" t="s">
        <v>289</v>
      </c>
      <c r="I3458" s="0" t="n">
        <v>501201</v>
      </c>
      <c r="J3458" s="0" t="n">
        <v>38614</v>
      </c>
      <c r="K3458" s="0" t="n">
        <v>7898965666958</v>
      </c>
      <c r="L3458" s="0" t="s">
        <v>4093</v>
      </c>
      <c r="N3458" s="0" t="n">
        <v>3</v>
      </c>
      <c r="O3458" s="0" t="n">
        <v>45.54</v>
      </c>
      <c r="P3458" s="0" t="s">
        <v>2444</v>
      </c>
    </row>
    <row r="3459" customFormat="false" ht="15" hidden="false" customHeight="true" outlineLevel="0" collapsed="false">
      <c r="A3459" s="0" t="n">
        <v>2</v>
      </c>
      <c r="B3459" s="71" t="n">
        <v>46216</v>
      </c>
      <c r="C3459" s="0" t="n">
        <v>1</v>
      </c>
      <c r="D3459" s="0" t="s">
        <v>2442</v>
      </c>
      <c r="E3459" s="0" t="n">
        <v>1675</v>
      </c>
      <c r="F3459" s="0" t="s">
        <v>289</v>
      </c>
      <c r="I3459" s="0" t="n">
        <v>501201</v>
      </c>
      <c r="J3459" s="0" t="n">
        <v>50555</v>
      </c>
      <c r="K3459" s="0" t="n">
        <v>7896013502302</v>
      </c>
      <c r="L3459" s="0" t="s">
        <v>4094</v>
      </c>
      <c r="N3459" s="0" t="n">
        <v>6</v>
      </c>
      <c r="O3459" s="0" t="n">
        <v>63.69</v>
      </c>
      <c r="P3459" s="0" t="s">
        <v>2444</v>
      </c>
    </row>
    <row r="3460" customFormat="false" ht="15" hidden="false" customHeight="true" outlineLevel="0" collapsed="false">
      <c r="A3460" s="0" t="n">
        <v>2</v>
      </c>
      <c r="B3460" s="71" t="n">
        <v>46216</v>
      </c>
      <c r="C3460" s="0" t="n">
        <v>1</v>
      </c>
      <c r="D3460" s="0" t="s">
        <v>2442</v>
      </c>
      <c r="E3460" s="0" t="n">
        <v>1675</v>
      </c>
      <c r="F3460" s="0" t="s">
        <v>289</v>
      </c>
      <c r="I3460" s="0" t="n">
        <v>501201</v>
      </c>
      <c r="J3460" s="0" t="n">
        <v>50662</v>
      </c>
      <c r="K3460" s="0" t="n">
        <v>7899706197502</v>
      </c>
      <c r="L3460" s="0" t="s">
        <v>4095</v>
      </c>
      <c r="N3460" s="0" t="n">
        <v>4</v>
      </c>
      <c r="O3460" s="0" t="n">
        <v>63.44</v>
      </c>
      <c r="P3460" s="0" t="s">
        <v>2444</v>
      </c>
    </row>
    <row r="3461" customFormat="false" ht="15" hidden="false" customHeight="true" outlineLevel="0" collapsed="false">
      <c r="A3461" s="0" t="n">
        <v>2</v>
      </c>
      <c r="B3461" s="71" t="n">
        <v>46216</v>
      </c>
      <c r="C3461" s="0" t="n">
        <v>1</v>
      </c>
      <c r="D3461" s="0" t="s">
        <v>2442</v>
      </c>
      <c r="E3461" s="0" t="n">
        <v>1675</v>
      </c>
      <c r="F3461" s="0" t="s">
        <v>289</v>
      </c>
      <c r="I3461" s="0" t="n">
        <v>501201</v>
      </c>
      <c r="J3461" s="0" t="n">
        <v>51588</v>
      </c>
      <c r="K3461" s="0" t="n">
        <v>7896013502319</v>
      </c>
      <c r="L3461" s="0" t="s">
        <v>4096</v>
      </c>
      <c r="N3461" s="0" t="n">
        <v>6</v>
      </c>
      <c r="O3461" s="0" t="n">
        <v>63.69</v>
      </c>
      <c r="P3461" s="0" t="s">
        <v>2444</v>
      </c>
    </row>
    <row r="3462" customFormat="false" ht="15" hidden="false" customHeight="true" outlineLevel="0" collapsed="false">
      <c r="A3462" s="0" t="n">
        <v>2</v>
      </c>
      <c r="B3462" s="71" t="n">
        <v>46216</v>
      </c>
      <c r="C3462" s="0" t="n">
        <v>1</v>
      </c>
      <c r="D3462" s="0" t="s">
        <v>2442</v>
      </c>
      <c r="E3462" s="0" t="n">
        <v>1675</v>
      </c>
      <c r="F3462" s="0" t="s">
        <v>289</v>
      </c>
      <c r="I3462" s="0" t="n">
        <v>501201</v>
      </c>
      <c r="J3462" s="0" t="n">
        <v>57408</v>
      </c>
      <c r="K3462" s="0" t="n">
        <v>7891150025929</v>
      </c>
      <c r="L3462" s="0" t="s">
        <v>4097</v>
      </c>
      <c r="N3462" s="0" t="n">
        <v>6</v>
      </c>
      <c r="O3462" s="0" t="n">
        <v>69.48</v>
      </c>
      <c r="P3462" s="0" t="s">
        <v>2444</v>
      </c>
    </row>
    <row r="3463" customFormat="false" ht="15" hidden="false" customHeight="true" outlineLevel="0" collapsed="false">
      <c r="A3463" s="0" t="n">
        <v>2</v>
      </c>
      <c r="B3463" s="71" t="n">
        <v>46216</v>
      </c>
      <c r="C3463" s="0" t="n">
        <v>1</v>
      </c>
      <c r="D3463" s="0" t="s">
        <v>2442</v>
      </c>
      <c r="E3463" s="0" t="n">
        <v>1675</v>
      </c>
      <c r="F3463" s="0" t="s">
        <v>289</v>
      </c>
      <c r="I3463" s="0" t="n">
        <v>501201</v>
      </c>
      <c r="J3463" s="0" t="n">
        <v>57939</v>
      </c>
      <c r="K3463" s="0" t="n">
        <v>7898157613791</v>
      </c>
      <c r="L3463" s="0" t="s">
        <v>4098</v>
      </c>
      <c r="N3463" s="0" t="n">
        <v>6</v>
      </c>
      <c r="O3463" s="0" t="n">
        <v>33.66</v>
      </c>
      <c r="P3463" s="0" t="s">
        <v>2444</v>
      </c>
    </row>
    <row r="3464" customFormat="false" ht="15" hidden="false" customHeight="true" outlineLevel="0" collapsed="false">
      <c r="A3464" s="0" t="n">
        <v>2</v>
      </c>
      <c r="B3464" s="71" t="n">
        <v>46216</v>
      </c>
      <c r="C3464" s="0" t="n">
        <v>1</v>
      </c>
      <c r="D3464" s="0" t="s">
        <v>2442</v>
      </c>
      <c r="E3464" s="0" t="n">
        <v>1675</v>
      </c>
      <c r="F3464" s="0" t="s">
        <v>289</v>
      </c>
      <c r="I3464" s="0" t="n">
        <v>501201</v>
      </c>
      <c r="J3464" s="0" t="n">
        <v>58857</v>
      </c>
      <c r="K3464" s="0" t="n">
        <v>7899706244121</v>
      </c>
      <c r="L3464" s="0" t="s">
        <v>4099</v>
      </c>
      <c r="N3464" s="0" t="n">
        <v>6</v>
      </c>
      <c r="O3464" s="0" t="n">
        <v>87.9</v>
      </c>
      <c r="P3464" s="0" t="s">
        <v>2444</v>
      </c>
    </row>
    <row r="3465" customFormat="false" ht="15" hidden="false" customHeight="true" outlineLevel="0" collapsed="false">
      <c r="A3465" s="0" t="n">
        <v>2</v>
      </c>
      <c r="B3465" s="71" t="n">
        <v>46216</v>
      </c>
      <c r="C3465" s="0" t="n">
        <v>1</v>
      </c>
      <c r="D3465" s="0" t="s">
        <v>2442</v>
      </c>
      <c r="E3465" s="0" t="n">
        <v>1675</v>
      </c>
      <c r="F3465" s="0" t="s">
        <v>289</v>
      </c>
      <c r="I3465" s="0" t="n">
        <v>501201</v>
      </c>
      <c r="J3465" s="0" t="n">
        <v>58861</v>
      </c>
      <c r="K3465" s="0" t="n">
        <v>7899706244084</v>
      </c>
      <c r="L3465" s="0" t="s">
        <v>4100</v>
      </c>
      <c r="N3465" s="0" t="n">
        <v>3</v>
      </c>
      <c r="O3465" s="0" t="n">
        <v>46.44</v>
      </c>
      <c r="P3465" s="0" t="s">
        <v>2444</v>
      </c>
    </row>
    <row r="3466" customFormat="false" ht="15" hidden="false" customHeight="true" outlineLevel="0" collapsed="false">
      <c r="A3466" s="0" t="n">
        <v>2</v>
      </c>
      <c r="B3466" s="71" t="n">
        <v>46216</v>
      </c>
      <c r="C3466" s="0" t="n">
        <v>1</v>
      </c>
      <c r="D3466" s="0" t="s">
        <v>2442</v>
      </c>
      <c r="E3466" s="0" t="n">
        <v>1675</v>
      </c>
      <c r="F3466" s="0" t="s">
        <v>289</v>
      </c>
      <c r="I3466" s="0" t="n">
        <v>501201</v>
      </c>
      <c r="J3466" s="0" t="n">
        <v>58863</v>
      </c>
      <c r="K3466" s="0" t="n">
        <v>7908615017297</v>
      </c>
      <c r="L3466" s="0" t="s">
        <v>4101</v>
      </c>
      <c r="N3466" s="0" t="n">
        <v>6</v>
      </c>
      <c r="O3466" s="0" t="n">
        <v>99.96</v>
      </c>
      <c r="P3466" s="0" t="s">
        <v>2444</v>
      </c>
    </row>
    <row r="3467" customFormat="false" ht="15" hidden="false" customHeight="true" outlineLevel="0" collapsed="false">
      <c r="A3467" s="0" t="n">
        <v>2</v>
      </c>
      <c r="B3467" s="71" t="n">
        <v>46216</v>
      </c>
      <c r="C3467" s="0" t="n">
        <v>1</v>
      </c>
      <c r="D3467" s="0" t="s">
        <v>2442</v>
      </c>
      <c r="E3467" s="0" t="n">
        <v>1675</v>
      </c>
      <c r="F3467" s="0" t="s">
        <v>289</v>
      </c>
      <c r="I3467" s="0" t="n">
        <v>501201</v>
      </c>
      <c r="J3467" s="0" t="n">
        <v>59159</v>
      </c>
      <c r="K3467" s="0" t="n">
        <v>7908448000367</v>
      </c>
      <c r="L3467" s="0" t="s">
        <v>4102</v>
      </c>
      <c r="N3467" s="0" t="n">
        <v>4</v>
      </c>
      <c r="O3467" s="0" t="n">
        <v>40.8</v>
      </c>
      <c r="P3467" s="0" t="s">
        <v>2444</v>
      </c>
    </row>
    <row r="3468" customFormat="false" ht="15" hidden="false" customHeight="true" outlineLevel="0" collapsed="false">
      <c r="A3468" s="0" t="n">
        <v>2</v>
      </c>
      <c r="B3468" s="71" t="n">
        <v>46216</v>
      </c>
      <c r="C3468" s="0" t="n">
        <v>1</v>
      </c>
      <c r="D3468" s="0" t="s">
        <v>2442</v>
      </c>
      <c r="E3468" s="0" t="n">
        <v>1675</v>
      </c>
      <c r="F3468" s="0" t="s">
        <v>289</v>
      </c>
      <c r="I3468" s="0" t="n">
        <v>501201</v>
      </c>
      <c r="J3468" s="0" t="n">
        <v>59162</v>
      </c>
      <c r="K3468" s="0" t="n">
        <v>7896013506317</v>
      </c>
      <c r="L3468" s="0" t="s">
        <v>4103</v>
      </c>
      <c r="N3468" s="0" t="n">
        <v>6</v>
      </c>
      <c r="O3468" s="0" t="n">
        <v>63.69</v>
      </c>
      <c r="P3468" s="0" t="s">
        <v>2444</v>
      </c>
    </row>
    <row r="3469" customFormat="false" ht="15" hidden="false" customHeight="true" outlineLevel="0" collapsed="false">
      <c r="A3469" s="0" t="n">
        <v>2</v>
      </c>
      <c r="B3469" s="71" t="n">
        <v>46216</v>
      </c>
      <c r="C3469" s="0" t="n">
        <v>1</v>
      </c>
      <c r="D3469" s="0" t="s">
        <v>2442</v>
      </c>
      <c r="E3469" s="0" t="n">
        <v>1675</v>
      </c>
      <c r="F3469" s="0" t="s">
        <v>289</v>
      </c>
      <c r="I3469" s="0" t="n">
        <v>501201</v>
      </c>
      <c r="J3469" s="0" t="n">
        <v>64122</v>
      </c>
      <c r="K3469" s="0" t="n">
        <v>7908615055145</v>
      </c>
      <c r="L3469" s="0" t="s">
        <v>4104</v>
      </c>
      <c r="N3469" s="0" t="n">
        <v>3</v>
      </c>
      <c r="O3469" s="0" t="n">
        <v>46.08</v>
      </c>
      <c r="P3469" s="0" t="s">
        <v>2444</v>
      </c>
    </row>
    <row r="3470" customFormat="false" ht="15" hidden="false" customHeight="true" outlineLevel="0" collapsed="false">
      <c r="A3470" s="0" t="n">
        <v>2</v>
      </c>
      <c r="B3470" s="71" t="n">
        <v>46216</v>
      </c>
      <c r="C3470" s="0" t="n">
        <v>1</v>
      </c>
      <c r="D3470" s="0" t="s">
        <v>2442</v>
      </c>
      <c r="E3470" s="0" t="n">
        <v>1675</v>
      </c>
      <c r="F3470" s="0" t="s">
        <v>289</v>
      </c>
      <c r="I3470" s="0" t="n">
        <v>501201</v>
      </c>
      <c r="J3470" s="0" t="n">
        <v>69291</v>
      </c>
      <c r="K3470" s="0" t="n">
        <v>7898416834004</v>
      </c>
      <c r="L3470" s="0" t="s">
        <v>4105</v>
      </c>
      <c r="N3470" s="0" t="n">
        <v>6</v>
      </c>
      <c r="O3470" s="0" t="n">
        <v>105.3</v>
      </c>
      <c r="P3470" s="0" t="s">
        <v>2444</v>
      </c>
    </row>
    <row r="3471" customFormat="false" ht="15" hidden="false" customHeight="true" outlineLevel="0" collapsed="false">
      <c r="A3471" s="0" t="n">
        <v>2</v>
      </c>
      <c r="B3471" s="71" t="n">
        <v>46216</v>
      </c>
      <c r="C3471" s="0" t="n">
        <v>1</v>
      </c>
      <c r="D3471" s="0" t="s">
        <v>2442</v>
      </c>
      <c r="E3471" s="0" t="n">
        <v>1675</v>
      </c>
      <c r="F3471" s="0" t="s">
        <v>289</v>
      </c>
      <c r="I3471" s="0" t="n">
        <v>501201</v>
      </c>
      <c r="J3471" s="0" t="n">
        <v>69755</v>
      </c>
      <c r="K3471" s="0" t="n">
        <v>7898416834011</v>
      </c>
      <c r="L3471" s="0" t="s">
        <v>4106</v>
      </c>
      <c r="N3471" s="0" t="n">
        <v>6</v>
      </c>
      <c r="O3471" s="0" t="n">
        <v>105.3</v>
      </c>
      <c r="P3471" s="0" t="s">
        <v>2444</v>
      </c>
    </row>
    <row r="3472" customFormat="false" ht="15" hidden="false" customHeight="true" outlineLevel="0" collapsed="false">
      <c r="A3472" s="0" t="n">
        <v>2</v>
      </c>
      <c r="B3472" s="71" t="n">
        <v>46216</v>
      </c>
      <c r="C3472" s="0" t="n">
        <v>1</v>
      </c>
      <c r="D3472" s="0" t="s">
        <v>2442</v>
      </c>
      <c r="E3472" s="0" t="n">
        <v>1675</v>
      </c>
      <c r="F3472" s="0" t="s">
        <v>289</v>
      </c>
      <c r="I3472" s="0" t="n">
        <v>501201</v>
      </c>
      <c r="J3472" s="0" t="n">
        <v>69820</v>
      </c>
      <c r="K3472" s="0" t="n">
        <v>7898416833991</v>
      </c>
      <c r="L3472" s="0" t="s">
        <v>4107</v>
      </c>
      <c r="N3472" s="0" t="n">
        <v>6</v>
      </c>
      <c r="O3472" s="0" t="n">
        <v>105.3</v>
      </c>
      <c r="P3472" s="0" t="s">
        <v>2444</v>
      </c>
    </row>
    <row r="3473" customFormat="false" ht="15" hidden="false" customHeight="true" outlineLevel="0" collapsed="false">
      <c r="A3473" s="0" t="n">
        <v>2</v>
      </c>
      <c r="B3473" s="71" t="n">
        <v>46216</v>
      </c>
      <c r="C3473" s="0" t="n">
        <v>1</v>
      </c>
      <c r="D3473" s="0" t="s">
        <v>2442</v>
      </c>
      <c r="E3473" s="0" t="n">
        <v>1675</v>
      </c>
      <c r="F3473" s="0" t="s">
        <v>289</v>
      </c>
      <c r="I3473" s="0" t="n">
        <v>501201</v>
      </c>
      <c r="J3473" s="0" t="n">
        <v>69821</v>
      </c>
      <c r="K3473" s="0" t="n">
        <v>7898416833984</v>
      </c>
      <c r="L3473" s="0" t="s">
        <v>4108</v>
      </c>
      <c r="N3473" s="0" t="n">
        <v>6</v>
      </c>
      <c r="O3473" s="0" t="n">
        <v>105.3</v>
      </c>
      <c r="P3473" s="0" t="s">
        <v>2444</v>
      </c>
    </row>
    <row r="3474" customFormat="false" ht="15" hidden="false" customHeight="true" outlineLevel="0" collapsed="false">
      <c r="A3474" s="0" t="n">
        <v>2</v>
      </c>
      <c r="B3474" s="71" t="n">
        <v>46216</v>
      </c>
      <c r="C3474" s="0" t="n">
        <v>1</v>
      </c>
      <c r="D3474" s="0" t="s">
        <v>2442</v>
      </c>
      <c r="E3474" s="0" t="n">
        <v>1675</v>
      </c>
      <c r="F3474" s="0" t="s">
        <v>289</v>
      </c>
      <c r="I3474" s="0" t="n">
        <v>501201</v>
      </c>
      <c r="J3474" s="0" t="n">
        <v>71200</v>
      </c>
      <c r="K3474" s="0" t="n">
        <v>7908615086170</v>
      </c>
      <c r="L3474" s="0" t="s">
        <v>4109</v>
      </c>
      <c r="N3474" s="0" t="n">
        <v>6</v>
      </c>
      <c r="O3474" s="0" t="n">
        <v>59.22</v>
      </c>
      <c r="P3474" s="0" t="s">
        <v>2444</v>
      </c>
    </row>
    <row r="3475" customFormat="false" ht="15" hidden="false" customHeight="true" outlineLevel="0" collapsed="false">
      <c r="A3475" s="0" t="n">
        <v>2</v>
      </c>
      <c r="B3475" s="71" t="n">
        <v>46216</v>
      </c>
      <c r="C3475" s="0" t="n">
        <v>1</v>
      </c>
      <c r="D3475" s="0" t="s">
        <v>2442</v>
      </c>
      <c r="E3475" s="0" t="n">
        <v>1675</v>
      </c>
      <c r="F3475" s="0" t="s">
        <v>289</v>
      </c>
      <c r="I3475" s="0" t="n">
        <v>501201</v>
      </c>
      <c r="J3475" s="0" t="n">
        <v>72984</v>
      </c>
      <c r="K3475" s="0" t="n">
        <v>7908785461654</v>
      </c>
      <c r="L3475" s="0" t="s">
        <v>4110</v>
      </c>
      <c r="N3475" s="0" t="n">
        <v>3</v>
      </c>
      <c r="O3475" s="0" t="n">
        <v>46.08</v>
      </c>
      <c r="P3475" s="0" t="s">
        <v>2444</v>
      </c>
    </row>
    <row r="3476" customFormat="false" ht="15" hidden="false" customHeight="true" outlineLevel="0" collapsed="false">
      <c r="A3476" s="0" t="n">
        <v>2</v>
      </c>
      <c r="B3476" s="71" t="n">
        <v>46216</v>
      </c>
      <c r="C3476" s="0" t="n">
        <v>1</v>
      </c>
      <c r="D3476" s="0" t="s">
        <v>2442</v>
      </c>
      <c r="E3476" s="0" t="n">
        <v>1675</v>
      </c>
      <c r="F3476" s="0" t="s">
        <v>289</v>
      </c>
      <c r="I3476" s="0" t="n">
        <v>501201</v>
      </c>
      <c r="J3476" s="0" t="n">
        <v>72985</v>
      </c>
      <c r="K3476" s="0" t="n">
        <v>7908785461753</v>
      </c>
      <c r="L3476" s="0" t="s">
        <v>4111</v>
      </c>
      <c r="N3476" s="0" t="n">
        <v>6</v>
      </c>
      <c r="O3476" s="0" t="n">
        <v>83.94</v>
      </c>
      <c r="P3476" s="0" t="s">
        <v>2444</v>
      </c>
    </row>
    <row r="3477" customFormat="false" ht="15" hidden="false" customHeight="true" outlineLevel="0" collapsed="false">
      <c r="A3477" s="0" t="n">
        <v>2</v>
      </c>
      <c r="B3477" s="71" t="n">
        <v>46216</v>
      </c>
      <c r="C3477" s="0" t="n">
        <v>1</v>
      </c>
      <c r="D3477" s="0" t="s">
        <v>2442</v>
      </c>
      <c r="E3477" s="0" t="n">
        <v>1675</v>
      </c>
      <c r="F3477" s="0" t="s">
        <v>289</v>
      </c>
      <c r="I3477" s="0" t="n">
        <v>501201</v>
      </c>
      <c r="J3477" s="0" t="n">
        <v>76417</v>
      </c>
      <c r="K3477" s="0" t="n">
        <v>7908324404104</v>
      </c>
      <c r="L3477" s="0" t="s">
        <v>4112</v>
      </c>
      <c r="N3477" s="0" t="n">
        <v>3</v>
      </c>
      <c r="O3477" s="0" t="n">
        <v>47.22</v>
      </c>
      <c r="P3477" s="0" t="s">
        <v>2444</v>
      </c>
    </row>
    <row r="3478" customFormat="false" ht="15" hidden="false" customHeight="true" outlineLevel="0" collapsed="false">
      <c r="A3478" s="0" t="n">
        <v>2</v>
      </c>
      <c r="B3478" s="71" t="n">
        <v>46216</v>
      </c>
      <c r="C3478" s="0" t="n">
        <v>1</v>
      </c>
      <c r="D3478" s="0" t="s">
        <v>2442</v>
      </c>
      <c r="E3478" s="0" t="n">
        <v>1675</v>
      </c>
      <c r="F3478" s="0" t="s">
        <v>289</v>
      </c>
      <c r="I3478" s="0" t="n">
        <v>501201</v>
      </c>
      <c r="J3478" s="0" t="n">
        <v>76418</v>
      </c>
      <c r="K3478" s="0" t="n">
        <v>7908324405071</v>
      </c>
      <c r="L3478" s="0" t="s">
        <v>4112</v>
      </c>
      <c r="N3478" s="0" t="n">
        <v>3</v>
      </c>
      <c r="O3478" s="0" t="n">
        <v>47.22</v>
      </c>
      <c r="P3478" s="0" t="s">
        <v>2444</v>
      </c>
    </row>
    <row r="3479" customFormat="false" ht="15" hidden="false" customHeight="true" outlineLevel="0" collapsed="false">
      <c r="A3479" s="0" t="n">
        <v>2</v>
      </c>
      <c r="B3479" s="71" t="n">
        <v>46216</v>
      </c>
      <c r="C3479" s="0" t="n">
        <v>1</v>
      </c>
      <c r="D3479" s="0" t="s">
        <v>2442</v>
      </c>
      <c r="E3479" s="0" t="n">
        <v>1675</v>
      </c>
      <c r="F3479" s="0" t="s">
        <v>289</v>
      </c>
      <c r="I3479" s="0" t="n">
        <v>501201</v>
      </c>
      <c r="J3479" s="0" t="n">
        <v>78157</v>
      </c>
      <c r="K3479" s="0" t="n">
        <v>7899026414549</v>
      </c>
      <c r="L3479" s="0" t="s">
        <v>4113</v>
      </c>
      <c r="N3479" s="0" t="n">
        <v>6</v>
      </c>
      <c r="O3479" s="0" t="n">
        <v>28.26</v>
      </c>
      <c r="P3479" s="0" t="s">
        <v>2444</v>
      </c>
    </row>
    <row r="3480" customFormat="false" ht="15" hidden="false" customHeight="true" outlineLevel="0" collapsed="false">
      <c r="A3480" s="0" t="n">
        <v>2</v>
      </c>
      <c r="B3480" s="71" t="n">
        <v>46216</v>
      </c>
      <c r="C3480" s="0" t="n">
        <v>1</v>
      </c>
      <c r="D3480" s="0" t="s">
        <v>2442</v>
      </c>
      <c r="E3480" s="0" t="n">
        <v>1675</v>
      </c>
      <c r="F3480" s="0" t="s">
        <v>289</v>
      </c>
      <c r="I3480" s="0" t="n">
        <v>501201</v>
      </c>
      <c r="J3480" s="0" t="n">
        <v>78212</v>
      </c>
      <c r="K3480" s="0" t="n">
        <v>7896004790633</v>
      </c>
      <c r="L3480" s="0" t="s">
        <v>4114</v>
      </c>
      <c r="N3480" s="0" t="n">
        <v>6</v>
      </c>
      <c r="O3480" s="0" t="n">
        <v>101.76</v>
      </c>
      <c r="P3480" s="0" t="s">
        <v>2444</v>
      </c>
    </row>
    <row r="3481" customFormat="false" ht="15" hidden="false" customHeight="true" outlineLevel="0" collapsed="false">
      <c r="A3481" s="0" t="n">
        <v>2</v>
      </c>
      <c r="B3481" s="71" t="n">
        <v>46216</v>
      </c>
      <c r="C3481" s="0" t="n">
        <v>1</v>
      </c>
      <c r="D3481" s="0" t="s">
        <v>2442</v>
      </c>
      <c r="E3481" s="0" t="n">
        <v>1675</v>
      </c>
      <c r="F3481" s="0" t="s">
        <v>289</v>
      </c>
      <c r="I3481" s="0" t="n">
        <v>501201</v>
      </c>
      <c r="J3481" s="0" t="n">
        <v>79798</v>
      </c>
      <c r="K3481" s="0" t="n">
        <v>7908966528404</v>
      </c>
      <c r="L3481" s="0" t="s">
        <v>4115</v>
      </c>
      <c r="N3481" s="0" t="n">
        <v>6</v>
      </c>
      <c r="O3481" s="0" t="n">
        <v>83.94</v>
      </c>
      <c r="P3481" s="0" t="s">
        <v>2444</v>
      </c>
    </row>
    <row r="3482" customFormat="false" ht="15" hidden="false" customHeight="true" outlineLevel="0" collapsed="false">
      <c r="A3482" s="0" t="n">
        <v>2</v>
      </c>
      <c r="B3482" s="71" t="n">
        <v>46216</v>
      </c>
      <c r="C3482" s="0" t="n">
        <v>1</v>
      </c>
      <c r="D3482" s="0" t="s">
        <v>2442</v>
      </c>
      <c r="E3482" s="0" t="n">
        <v>1675</v>
      </c>
      <c r="F3482" s="0" t="s">
        <v>289</v>
      </c>
      <c r="I3482" s="0" t="n">
        <v>501201</v>
      </c>
      <c r="J3482" s="0" t="n">
        <v>79799</v>
      </c>
      <c r="K3482" s="0" t="n">
        <v>7908966528534</v>
      </c>
      <c r="L3482" s="0" t="s">
        <v>4116</v>
      </c>
      <c r="N3482" s="0" t="n">
        <v>4</v>
      </c>
      <c r="O3482" s="0" t="n">
        <v>63.44</v>
      </c>
      <c r="P3482" s="0" t="s">
        <v>2444</v>
      </c>
    </row>
    <row r="3483" customFormat="false" ht="15" hidden="false" customHeight="true" outlineLevel="0" collapsed="false">
      <c r="A3483" s="0" t="n">
        <v>2</v>
      </c>
      <c r="B3483" s="71" t="n">
        <v>46216</v>
      </c>
      <c r="C3483" s="0" t="n">
        <v>1</v>
      </c>
      <c r="D3483" s="0" t="s">
        <v>2442</v>
      </c>
      <c r="E3483" s="0" t="n">
        <v>1675</v>
      </c>
      <c r="F3483" s="0" t="s">
        <v>289</v>
      </c>
      <c r="I3483" s="0" t="n">
        <v>501201</v>
      </c>
      <c r="J3483" s="0" t="n">
        <v>81717</v>
      </c>
      <c r="K3483" s="0" t="n">
        <v>7891150045316</v>
      </c>
      <c r="L3483" s="0" t="s">
        <v>4117</v>
      </c>
      <c r="N3483" s="0" t="n">
        <v>6</v>
      </c>
      <c r="O3483" s="0" t="n">
        <v>69.48</v>
      </c>
      <c r="P3483" s="0" t="s">
        <v>2444</v>
      </c>
    </row>
    <row r="3484" customFormat="false" ht="15" hidden="false" customHeight="true" outlineLevel="0" collapsed="false">
      <c r="A3484" s="0" t="n">
        <v>2</v>
      </c>
      <c r="B3484" s="71" t="n">
        <v>46216</v>
      </c>
      <c r="C3484" s="0" t="n">
        <v>1</v>
      </c>
      <c r="D3484" s="0" t="s">
        <v>2442</v>
      </c>
      <c r="E3484" s="0" t="n">
        <v>1675</v>
      </c>
      <c r="F3484" s="0" t="s">
        <v>289</v>
      </c>
      <c r="I3484" s="0" t="n">
        <v>501201</v>
      </c>
      <c r="J3484" s="0" t="n">
        <v>81718</v>
      </c>
      <c r="K3484" s="0" t="n">
        <v>7891150044555</v>
      </c>
      <c r="L3484" s="0" t="s">
        <v>4118</v>
      </c>
      <c r="N3484" s="0" t="n">
        <v>6</v>
      </c>
      <c r="O3484" s="0" t="n">
        <v>69.48</v>
      </c>
      <c r="P3484" s="0" t="s">
        <v>2444</v>
      </c>
    </row>
    <row r="3485" customFormat="false" ht="15" hidden="false" customHeight="true" outlineLevel="0" collapsed="false">
      <c r="A3485" s="0" t="n">
        <v>2</v>
      </c>
      <c r="B3485" s="71" t="n">
        <v>46216</v>
      </c>
      <c r="C3485" s="0" t="n">
        <v>1</v>
      </c>
      <c r="D3485" s="0" t="s">
        <v>2442</v>
      </c>
      <c r="E3485" s="0" t="n">
        <v>1675</v>
      </c>
      <c r="F3485" s="0" t="s">
        <v>289</v>
      </c>
      <c r="I3485" s="0" t="n">
        <v>501201</v>
      </c>
      <c r="J3485" s="0" t="n">
        <v>81719</v>
      </c>
      <c r="K3485" s="0" t="n">
        <v>7891150095670</v>
      </c>
      <c r="L3485" s="0" t="s">
        <v>4119</v>
      </c>
      <c r="N3485" s="0" t="n">
        <v>6</v>
      </c>
      <c r="O3485" s="0" t="n">
        <v>39.72</v>
      </c>
      <c r="P3485" s="0" t="s">
        <v>2444</v>
      </c>
    </row>
    <row r="3486" customFormat="false" ht="15" hidden="false" customHeight="true" outlineLevel="0" collapsed="false">
      <c r="A3486" s="0" t="n">
        <v>2</v>
      </c>
      <c r="B3486" s="71" t="n">
        <v>46216</v>
      </c>
      <c r="C3486" s="0" t="n">
        <v>1</v>
      </c>
      <c r="D3486" s="0" t="s">
        <v>2442</v>
      </c>
      <c r="E3486" s="0" t="n">
        <v>1675</v>
      </c>
      <c r="F3486" s="0" t="s">
        <v>289</v>
      </c>
      <c r="I3486" s="0" t="n">
        <v>501201</v>
      </c>
      <c r="J3486" s="0" t="n">
        <v>81720</v>
      </c>
      <c r="K3486" s="0" t="n">
        <v>7891150095694</v>
      </c>
      <c r="L3486" s="0" t="s">
        <v>4120</v>
      </c>
      <c r="N3486" s="0" t="n">
        <v>6</v>
      </c>
      <c r="O3486" s="0" t="n">
        <v>58.68</v>
      </c>
      <c r="P3486" s="0" t="s">
        <v>2444</v>
      </c>
    </row>
    <row r="3487" customFormat="false" ht="15" hidden="false" customHeight="true" outlineLevel="0" collapsed="false">
      <c r="A3487" s="0" t="n">
        <v>2</v>
      </c>
      <c r="B3487" s="71" t="n">
        <v>46216</v>
      </c>
      <c r="C3487" s="0" t="n">
        <v>1</v>
      </c>
      <c r="D3487" s="0" t="s">
        <v>2442</v>
      </c>
      <c r="E3487" s="0" t="n">
        <v>1675</v>
      </c>
      <c r="F3487" s="0" t="s">
        <v>289</v>
      </c>
      <c r="I3487" s="0" t="n">
        <v>501201</v>
      </c>
      <c r="J3487" s="0" t="n">
        <v>81721</v>
      </c>
      <c r="K3487" s="0" t="n">
        <v>7891150044562</v>
      </c>
      <c r="L3487" s="0" t="s">
        <v>4121</v>
      </c>
      <c r="N3487" s="0" t="n">
        <v>3</v>
      </c>
      <c r="O3487" s="0" t="n">
        <v>39.78</v>
      </c>
      <c r="P3487" s="0" t="s">
        <v>2444</v>
      </c>
    </row>
    <row r="3488" customFormat="false" ht="15" hidden="false" customHeight="true" outlineLevel="0" collapsed="false">
      <c r="A3488" s="0" t="n">
        <v>2</v>
      </c>
      <c r="B3488" s="71" t="n">
        <v>46216</v>
      </c>
      <c r="C3488" s="0" t="n">
        <v>1</v>
      </c>
      <c r="D3488" s="0" t="s">
        <v>2442</v>
      </c>
      <c r="E3488" s="0" t="n">
        <v>1675</v>
      </c>
      <c r="F3488" s="0" t="s">
        <v>289</v>
      </c>
      <c r="I3488" s="0" t="n">
        <v>501201</v>
      </c>
      <c r="J3488" s="0" t="n">
        <v>81722</v>
      </c>
      <c r="K3488" s="0" t="n">
        <v>7891150045347</v>
      </c>
      <c r="L3488" s="0" t="s">
        <v>4122</v>
      </c>
      <c r="N3488" s="0" t="n">
        <v>3</v>
      </c>
      <c r="O3488" s="0" t="n">
        <v>39.78</v>
      </c>
      <c r="P3488" s="0" t="s">
        <v>2444</v>
      </c>
    </row>
    <row r="3489" customFormat="false" ht="15" hidden="false" customHeight="true" outlineLevel="0" collapsed="false">
      <c r="A3489" s="0" t="n">
        <v>2</v>
      </c>
      <c r="B3489" s="71" t="n">
        <v>46216</v>
      </c>
      <c r="C3489" s="0" t="n">
        <v>1</v>
      </c>
      <c r="D3489" s="0" t="s">
        <v>2442</v>
      </c>
      <c r="E3489" s="0" t="n">
        <v>1675</v>
      </c>
      <c r="F3489" s="0" t="s">
        <v>289</v>
      </c>
      <c r="I3489" s="0" t="n">
        <v>501201</v>
      </c>
      <c r="J3489" s="0" t="n">
        <v>81723</v>
      </c>
      <c r="K3489" s="0" t="n">
        <v>7891150036390</v>
      </c>
      <c r="L3489" s="0" t="s">
        <v>4123</v>
      </c>
      <c r="N3489" s="0" t="n">
        <v>3</v>
      </c>
      <c r="O3489" s="0" t="n">
        <v>39.78</v>
      </c>
      <c r="P3489" s="0" t="s">
        <v>2444</v>
      </c>
    </row>
    <row r="3490" customFormat="false" ht="15" hidden="false" customHeight="true" outlineLevel="0" collapsed="false">
      <c r="A3490" s="0" t="n">
        <v>2</v>
      </c>
      <c r="B3490" s="71" t="n">
        <v>46216</v>
      </c>
      <c r="C3490" s="0" t="n">
        <v>1</v>
      </c>
      <c r="D3490" s="0" t="s">
        <v>2442</v>
      </c>
      <c r="E3490" s="0" t="n">
        <v>1705</v>
      </c>
      <c r="F3490" s="0" t="s">
        <v>130</v>
      </c>
      <c r="I3490" s="0" t="n">
        <v>1199243</v>
      </c>
      <c r="J3490" s="0" t="n">
        <v>29748</v>
      </c>
      <c r="K3490" s="0" t="n">
        <v>70847033301</v>
      </c>
      <c r="L3490" s="0" t="s">
        <v>2562</v>
      </c>
      <c r="N3490" s="0" t="n">
        <v>12</v>
      </c>
      <c r="O3490" s="0" t="n">
        <v>101.71</v>
      </c>
      <c r="P3490" s="0" t="s">
        <v>2444</v>
      </c>
    </row>
    <row r="3491" customFormat="false" ht="15" hidden="false" customHeight="true" outlineLevel="0" collapsed="false">
      <c r="A3491" s="0" t="n">
        <v>2</v>
      </c>
      <c r="B3491" s="71" t="n">
        <v>46216</v>
      </c>
      <c r="C3491" s="0" t="n">
        <v>1</v>
      </c>
      <c r="D3491" s="0" t="s">
        <v>2442</v>
      </c>
      <c r="E3491" s="0" t="n">
        <v>1705</v>
      </c>
      <c r="F3491" s="0" t="s">
        <v>130</v>
      </c>
      <c r="I3491" s="0" t="n">
        <v>1199257</v>
      </c>
      <c r="J3491" s="0" t="n">
        <v>25136</v>
      </c>
      <c r="K3491" s="0" t="n">
        <v>70847022206</v>
      </c>
      <c r="L3491" s="0" t="s">
        <v>2463</v>
      </c>
      <c r="N3491" s="0" t="n">
        <v>6</v>
      </c>
      <c r="O3491" s="0" t="n">
        <v>50.85</v>
      </c>
      <c r="P3491" s="0" t="s">
        <v>2444</v>
      </c>
    </row>
    <row r="3492" customFormat="false" ht="15" hidden="false" customHeight="true" outlineLevel="0" collapsed="false">
      <c r="A3492" s="0" t="n">
        <v>2</v>
      </c>
      <c r="B3492" s="71" t="n">
        <v>46216</v>
      </c>
      <c r="C3492" s="0" t="n">
        <v>1</v>
      </c>
      <c r="D3492" s="0" t="s">
        <v>2442</v>
      </c>
      <c r="E3492" s="0" t="n">
        <v>1705</v>
      </c>
      <c r="F3492" s="0" t="s">
        <v>130</v>
      </c>
      <c r="I3492" s="0" t="n">
        <v>1199257</v>
      </c>
      <c r="J3492" s="0" t="n">
        <v>29747</v>
      </c>
      <c r="K3492" s="0" t="n">
        <v>70847022305</v>
      </c>
      <c r="L3492" s="0" t="s">
        <v>4124</v>
      </c>
      <c r="N3492" s="0" t="n">
        <v>12</v>
      </c>
      <c r="O3492" s="0" t="n">
        <v>101.71</v>
      </c>
      <c r="P3492" s="0" t="s">
        <v>2444</v>
      </c>
    </row>
    <row r="3493" customFormat="false" ht="15" hidden="false" customHeight="true" outlineLevel="0" collapsed="false">
      <c r="A3493" s="0" t="n">
        <v>2</v>
      </c>
      <c r="B3493" s="71" t="n">
        <v>46216</v>
      </c>
      <c r="C3493" s="0" t="n">
        <v>1</v>
      </c>
      <c r="D3493" s="0" t="s">
        <v>2442</v>
      </c>
      <c r="E3493" s="0" t="n">
        <v>1705</v>
      </c>
      <c r="F3493" s="0" t="s">
        <v>130</v>
      </c>
      <c r="I3493" s="0" t="n">
        <v>1199257</v>
      </c>
      <c r="J3493" s="0" t="n">
        <v>29749</v>
      </c>
      <c r="K3493" s="0" t="n">
        <v>70847033929</v>
      </c>
      <c r="L3493" s="0" t="s">
        <v>2563</v>
      </c>
      <c r="N3493" s="0" t="n">
        <v>6</v>
      </c>
      <c r="O3493" s="0" t="n">
        <v>50.85</v>
      </c>
      <c r="P3493" s="0" t="s">
        <v>2444</v>
      </c>
    </row>
    <row r="3494" customFormat="false" ht="15" hidden="false" customHeight="true" outlineLevel="0" collapsed="false">
      <c r="A3494" s="0" t="n">
        <v>2</v>
      </c>
      <c r="B3494" s="71" t="n">
        <v>46216</v>
      </c>
      <c r="C3494" s="0" t="n">
        <v>1</v>
      </c>
      <c r="D3494" s="0" t="s">
        <v>2442</v>
      </c>
      <c r="E3494" s="0" t="n">
        <v>1683</v>
      </c>
      <c r="F3494" s="0" t="s">
        <v>406</v>
      </c>
      <c r="I3494" s="0" t="n">
        <v>1646001</v>
      </c>
      <c r="J3494" s="0" t="n">
        <v>109791</v>
      </c>
      <c r="K3494" s="0" t="n">
        <v>9667</v>
      </c>
      <c r="L3494" s="0" t="s">
        <v>2465</v>
      </c>
      <c r="N3494" s="0" t="n">
        <v>16</v>
      </c>
      <c r="O3494" s="0" t="n">
        <v>24</v>
      </c>
      <c r="P3494" s="0" t="s">
        <v>2444</v>
      </c>
    </row>
    <row r="3495" customFormat="false" ht="15" hidden="false" customHeight="true" outlineLevel="0" collapsed="false">
      <c r="A3495" s="0" t="n">
        <v>2</v>
      </c>
      <c r="B3495" s="71" t="n">
        <v>46216</v>
      </c>
      <c r="C3495" s="0" t="n">
        <v>1</v>
      </c>
      <c r="D3495" s="0" t="s">
        <v>2442</v>
      </c>
      <c r="E3495" s="0" t="n">
        <v>1683</v>
      </c>
      <c r="F3495" s="0" t="s">
        <v>406</v>
      </c>
      <c r="I3495" s="0" t="n">
        <v>1646001</v>
      </c>
      <c r="J3495" s="0" t="n">
        <v>37359</v>
      </c>
      <c r="K3495" s="0" t="n">
        <v>55526</v>
      </c>
      <c r="L3495" s="0" t="s">
        <v>2466</v>
      </c>
      <c r="N3495" s="0" t="n">
        <v>12</v>
      </c>
      <c r="O3495" s="0" t="n">
        <v>42</v>
      </c>
      <c r="P3495" s="0" t="s">
        <v>2444</v>
      </c>
    </row>
    <row r="3496" customFormat="false" ht="15" hidden="false" customHeight="true" outlineLevel="0" collapsed="false">
      <c r="A3496" s="0" t="n">
        <v>2</v>
      </c>
      <c r="B3496" s="71" t="n">
        <v>46216</v>
      </c>
      <c r="C3496" s="0" t="n">
        <v>1</v>
      </c>
      <c r="D3496" s="0" t="s">
        <v>2442</v>
      </c>
      <c r="E3496" s="0" t="n">
        <v>1683</v>
      </c>
      <c r="F3496" s="0" t="s">
        <v>406</v>
      </c>
      <c r="I3496" s="0" t="n">
        <v>1646001</v>
      </c>
      <c r="J3496" s="0" t="n">
        <v>37361</v>
      </c>
      <c r="K3496" s="0" t="n">
        <v>2240817</v>
      </c>
      <c r="L3496" s="0" t="s">
        <v>2467</v>
      </c>
      <c r="N3496" s="0" t="n">
        <v>60</v>
      </c>
      <c r="O3496" s="0" t="n">
        <v>108</v>
      </c>
      <c r="P3496" s="0" t="s">
        <v>2444</v>
      </c>
    </row>
    <row r="3497" customFormat="false" ht="15" hidden="false" customHeight="true" outlineLevel="0" collapsed="false">
      <c r="A3497" s="0" t="n">
        <v>2</v>
      </c>
      <c r="B3497" s="71" t="n">
        <v>46216</v>
      </c>
      <c r="C3497" s="0" t="n">
        <v>1</v>
      </c>
      <c r="D3497" s="0" t="s">
        <v>2442</v>
      </c>
      <c r="E3497" s="0" t="n">
        <v>1705</v>
      </c>
      <c r="F3497" s="0" t="s">
        <v>130</v>
      </c>
      <c r="I3497" s="0" t="n">
        <v>1931230</v>
      </c>
      <c r="J3497" s="0" t="n">
        <v>21425</v>
      </c>
      <c r="K3497" s="0" t="n">
        <v>7894900034219</v>
      </c>
      <c r="L3497" s="0" t="s">
        <v>2469</v>
      </c>
      <c r="N3497" s="0" t="n">
        <v>9</v>
      </c>
      <c r="O3497" s="0" t="n">
        <v>52.11</v>
      </c>
      <c r="P3497" s="0" t="s">
        <v>2444</v>
      </c>
    </row>
    <row r="3498" customFormat="false" ht="15" hidden="false" customHeight="true" outlineLevel="0" collapsed="false">
      <c r="A3498" s="0" t="n">
        <v>2</v>
      </c>
      <c r="B3498" s="71" t="n">
        <v>46216</v>
      </c>
      <c r="C3498" s="0" t="n">
        <v>1</v>
      </c>
      <c r="D3498" s="0" t="s">
        <v>2442</v>
      </c>
      <c r="E3498" s="0" t="n">
        <v>1705</v>
      </c>
      <c r="F3498" s="0" t="s">
        <v>130</v>
      </c>
      <c r="I3498" s="0" t="n">
        <v>1931230</v>
      </c>
      <c r="J3498" s="0" t="n">
        <v>21426</v>
      </c>
      <c r="K3498" s="0" t="n">
        <v>7894900014211</v>
      </c>
      <c r="L3498" s="0" t="s">
        <v>2470</v>
      </c>
      <c r="N3498" s="0" t="n">
        <v>27</v>
      </c>
      <c r="O3498" s="0" t="n">
        <v>179.67</v>
      </c>
      <c r="P3498" s="0" t="s">
        <v>2444</v>
      </c>
    </row>
    <row r="3499" customFormat="false" ht="15" hidden="false" customHeight="true" outlineLevel="0" collapsed="false">
      <c r="A3499" s="0" t="n">
        <v>2</v>
      </c>
      <c r="B3499" s="71" t="n">
        <v>46216</v>
      </c>
      <c r="C3499" s="0" t="n">
        <v>1</v>
      </c>
      <c r="D3499" s="0" t="s">
        <v>2442</v>
      </c>
      <c r="E3499" s="0" t="n">
        <v>1705</v>
      </c>
      <c r="F3499" s="0" t="s">
        <v>130</v>
      </c>
      <c r="I3499" s="0" t="n">
        <v>1931230</v>
      </c>
      <c r="J3499" s="0" t="n">
        <v>28739</v>
      </c>
      <c r="K3499" s="0" t="n">
        <v>7894900027044</v>
      </c>
      <c r="L3499" s="0" t="s">
        <v>2658</v>
      </c>
      <c r="N3499" s="0" t="n">
        <v>24</v>
      </c>
      <c r="O3499" s="0" t="n">
        <v>135.78</v>
      </c>
      <c r="P3499" s="0" t="s">
        <v>2444</v>
      </c>
    </row>
    <row r="3500" customFormat="false" ht="15" hidden="false" customHeight="true" outlineLevel="0" collapsed="false">
      <c r="A3500" s="0" t="n">
        <v>2</v>
      </c>
      <c r="B3500" s="71" t="n">
        <v>46216</v>
      </c>
      <c r="C3500" s="0" t="n">
        <v>1</v>
      </c>
      <c r="D3500" s="0" t="s">
        <v>2442</v>
      </c>
      <c r="E3500" s="0" t="n">
        <v>1705</v>
      </c>
      <c r="F3500" s="0" t="s">
        <v>130</v>
      </c>
      <c r="I3500" s="0" t="n">
        <v>1931230</v>
      </c>
      <c r="J3500" s="0" t="n">
        <v>31367</v>
      </c>
      <c r="K3500" s="0" t="n">
        <v>7894900704211</v>
      </c>
      <c r="L3500" s="0" t="s">
        <v>3258</v>
      </c>
      <c r="N3500" s="0" t="n">
        <v>9</v>
      </c>
      <c r="O3500" s="0" t="n">
        <v>52.11</v>
      </c>
      <c r="P3500" s="0" t="s">
        <v>2444</v>
      </c>
    </row>
    <row r="3501" customFormat="false" ht="15" hidden="false" customHeight="true" outlineLevel="0" collapsed="false">
      <c r="A3501" s="0" t="n">
        <v>2</v>
      </c>
      <c r="B3501" s="71" t="n">
        <v>46216</v>
      </c>
      <c r="C3501" s="0" t="n">
        <v>1</v>
      </c>
      <c r="D3501" s="0" t="s">
        <v>2442</v>
      </c>
      <c r="E3501" s="0" t="n">
        <v>10012</v>
      </c>
      <c r="F3501" s="0" t="s">
        <v>185</v>
      </c>
      <c r="I3501" s="0" t="n">
        <v>1962669</v>
      </c>
      <c r="J3501" s="0" t="n">
        <v>50250</v>
      </c>
      <c r="K3501" s="0" t="n">
        <v>7891800649314</v>
      </c>
      <c r="L3501" s="0" t="s">
        <v>4125</v>
      </c>
      <c r="N3501" s="0" t="n">
        <v>20</v>
      </c>
      <c r="O3501" s="0" t="n">
        <v>83.4</v>
      </c>
      <c r="P3501" s="0" t="s">
        <v>2444</v>
      </c>
    </row>
    <row r="3502" customFormat="false" ht="15" hidden="false" customHeight="true" outlineLevel="0" collapsed="false">
      <c r="A3502" s="0" t="n">
        <v>2</v>
      </c>
      <c r="B3502" s="71" t="n">
        <v>46216</v>
      </c>
      <c r="C3502" s="0" t="n">
        <v>1</v>
      </c>
      <c r="D3502" s="0" t="s">
        <v>2442</v>
      </c>
      <c r="E3502" s="0" t="n">
        <v>10012</v>
      </c>
      <c r="F3502" s="0" t="s">
        <v>185</v>
      </c>
      <c r="I3502" s="0" t="n">
        <v>1962669</v>
      </c>
      <c r="J3502" s="0" t="n">
        <v>100407</v>
      </c>
      <c r="K3502" s="0" t="n">
        <v>7897161360059</v>
      </c>
      <c r="L3502" s="0" t="s">
        <v>4126</v>
      </c>
      <c r="N3502" s="0" t="n">
        <v>48</v>
      </c>
      <c r="O3502" s="0" t="n">
        <v>138.24</v>
      </c>
      <c r="P3502" s="0" t="s">
        <v>2444</v>
      </c>
    </row>
    <row r="3503" customFormat="false" ht="15" hidden="false" customHeight="true" outlineLevel="0" collapsed="false">
      <c r="A3503" s="0" t="n">
        <v>2</v>
      </c>
      <c r="B3503" s="71" t="n">
        <v>46216</v>
      </c>
      <c r="C3503" s="0" t="n">
        <v>1</v>
      </c>
      <c r="D3503" s="0" t="s">
        <v>2442</v>
      </c>
      <c r="E3503" s="0" t="n">
        <v>10012</v>
      </c>
      <c r="F3503" s="0" t="s">
        <v>185</v>
      </c>
      <c r="I3503" s="0" t="n">
        <v>1962669</v>
      </c>
      <c r="J3503" s="0" t="n">
        <v>100418</v>
      </c>
      <c r="K3503" s="0" t="n">
        <v>7891010560737</v>
      </c>
      <c r="L3503" s="0" t="s">
        <v>4127</v>
      </c>
      <c r="N3503" s="0" t="n">
        <v>60</v>
      </c>
      <c r="O3503" s="0" t="n">
        <v>308.4</v>
      </c>
      <c r="P3503" s="0" t="s">
        <v>2444</v>
      </c>
    </row>
    <row r="3504" customFormat="false" ht="15" hidden="false" customHeight="true" outlineLevel="0" collapsed="false">
      <c r="A3504" s="0" t="n">
        <v>2</v>
      </c>
      <c r="B3504" s="71" t="n">
        <v>46216</v>
      </c>
      <c r="C3504" s="0" t="n">
        <v>1</v>
      </c>
      <c r="D3504" s="0" t="s">
        <v>2442</v>
      </c>
      <c r="E3504" s="0" t="n">
        <v>10012</v>
      </c>
      <c r="F3504" s="0" t="s">
        <v>185</v>
      </c>
      <c r="I3504" s="0" t="n">
        <v>1962669</v>
      </c>
      <c r="J3504" s="0" t="n">
        <v>100463</v>
      </c>
      <c r="K3504" s="0" t="n">
        <v>7896111907689</v>
      </c>
      <c r="L3504" s="0" t="s">
        <v>4128</v>
      </c>
      <c r="N3504" s="0" t="n">
        <v>6</v>
      </c>
      <c r="O3504" s="0" t="n">
        <v>20.66</v>
      </c>
      <c r="P3504" s="0" t="s">
        <v>2444</v>
      </c>
    </row>
    <row r="3505" customFormat="false" ht="15" hidden="false" customHeight="true" outlineLevel="0" collapsed="false">
      <c r="A3505" s="0" t="n">
        <v>2</v>
      </c>
      <c r="B3505" s="71" t="n">
        <v>46216</v>
      </c>
      <c r="C3505" s="0" t="n">
        <v>1</v>
      </c>
      <c r="D3505" s="0" t="s">
        <v>2442</v>
      </c>
      <c r="E3505" s="0" t="n">
        <v>10012</v>
      </c>
      <c r="F3505" s="0" t="s">
        <v>185</v>
      </c>
      <c r="I3505" s="0" t="n">
        <v>1962669</v>
      </c>
      <c r="J3505" s="0" t="n">
        <v>100564</v>
      </c>
      <c r="K3505" s="0" t="n">
        <v>7896046704001</v>
      </c>
      <c r="L3505" s="0" t="s">
        <v>4129</v>
      </c>
      <c r="N3505" s="0" t="n">
        <v>6</v>
      </c>
      <c r="O3505" s="0" t="n">
        <v>58.8</v>
      </c>
      <c r="P3505" s="0" t="s">
        <v>2444</v>
      </c>
    </row>
    <row r="3506" customFormat="false" ht="15" hidden="false" customHeight="true" outlineLevel="0" collapsed="false">
      <c r="A3506" s="0" t="n">
        <v>2</v>
      </c>
      <c r="B3506" s="71" t="n">
        <v>46216</v>
      </c>
      <c r="C3506" s="0" t="n">
        <v>1</v>
      </c>
      <c r="D3506" s="0" t="s">
        <v>2442</v>
      </c>
      <c r="E3506" s="0" t="n">
        <v>10012</v>
      </c>
      <c r="F3506" s="0" t="s">
        <v>185</v>
      </c>
      <c r="I3506" s="0" t="n">
        <v>1962669</v>
      </c>
      <c r="J3506" s="0" t="n">
        <v>100567</v>
      </c>
      <c r="K3506" s="0" t="n">
        <v>7896046705008</v>
      </c>
      <c r="L3506" s="0" t="s">
        <v>4130</v>
      </c>
      <c r="N3506" s="0" t="n">
        <v>6</v>
      </c>
      <c r="O3506" s="0" t="n">
        <v>58.8</v>
      </c>
      <c r="P3506" s="0" t="s">
        <v>2444</v>
      </c>
    </row>
    <row r="3507" customFormat="false" ht="15" hidden="false" customHeight="true" outlineLevel="0" collapsed="false">
      <c r="A3507" s="0" t="n">
        <v>2</v>
      </c>
      <c r="B3507" s="71" t="n">
        <v>46216</v>
      </c>
      <c r="C3507" s="0" t="n">
        <v>1</v>
      </c>
      <c r="D3507" s="0" t="s">
        <v>2442</v>
      </c>
      <c r="E3507" s="0" t="n">
        <v>10012</v>
      </c>
      <c r="F3507" s="0" t="s">
        <v>185</v>
      </c>
      <c r="I3507" s="0" t="n">
        <v>1962669</v>
      </c>
      <c r="J3507" s="0" t="n">
        <v>100568</v>
      </c>
      <c r="K3507" s="0" t="n">
        <v>7896046706005</v>
      </c>
      <c r="L3507" s="0" t="s">
        <v>4131</v>
      </c>
      <c r="N3507" s="0" t="n">
        <v>6</v>
      </c>
      <c r="O3507" s="0" t="n">
        <v>58.8</v>
      </c>
      <c r="P3507" s="0" t="s">
        <v>2444</v>
      </c>
    </row>
    <row r="3508" customFormat="false" ht="15" hidden="false" customHeight="true" outlineLevel="0" collapsed="false">
      <c r="A3508" s="0" t="n">
        <v>2</v>
      </c>
      <c r="B3508" s="71" t="n">
        <v>46216</v>
      </c>
      <c r="C3508" s="0" t="n">
        <v>1</v>
      </c>
      <c r="D3508" s="0" t="s">
        <v>2442</v>
      </c>
      <c r="E3508" s="0" t="n">
        <v>10012</v>
      </c>
      <c r="F3508" s="0" t="s">
        <v>185</v>
      </c>
      <c r="I3508" s="0" t="n">
        <v>1962669</v>
      </c>
      <c r="J3508" s="0" t="n">
        <v>101410</v>
      </c>
      <c r="K3508" s="0" t="n">
        <v>7891010035631</v>
      </c>
      <c r="L3508" s="0" t="s">
        <v>3558</v>
      </c>
      <c r="N3508" s="0" t="n">
        <v>24</v>
      </c>
      <c r="O3508" s="0" t="n">
        <v>147.6</v>
      </c>
      <c r="P3508" s="0" t="s">
        <v>2444</v>
      </c>
    </row>
    <row r="3509" customFormat="false" ht="15" hidden="false" customHeight="true" outlineLevel="0" collapsed="false">
      <c r="A3509" s="0" t="n">
        <v>2</v>
      </c>
      <c r="B3509" s="71" t="n">
        <v>46216</v>
      </c>
      <c r="C3509" s="0" t="n">
        <v>1</v>
      </c>
      <c r="D3509" s="0" t="s">
        <v>2442</v>
      </c>
      <c r="E3509" s="0" t="n">
        <v>10012</v>
      </c>
      <c r="F3509" s="0" t="s">
        <v>185</v>
      </c>
      <c r="I3509" s="0" t="n">
        <v>1962669</v>
      </c>
      <c r="J3509" s="0" t="n">
        <v>102675</v>
      </c>
      <c r="K3509" s="0" t="n">
        <v>7896007200344</v>
      </c>
      <c r="L3509" s="0" t="s">
        <v>4132</v>
      </c>
      <c r="N3509" s="0" t="n">
        <v>12</v>
      </c>
      <c r="O3509" s="0" t="n">
        <v>68.16</v>
      </c>
      <c r="P3509" s="0" t="s">
        <v>2444</v>
      </c>
    </row>
    <row r="3510" customFormat="false" ht="15" hidden="false" customHeight="true" outlineLevel="0" collapsed="false">
      <c r="A3510" s="0" t="n">
        <v>2</v>
      </c>
      <c r="B3510" s="71" t="n">
        <v>46216</v>
      </c>
      <c r="C3510" s="0" t="n">
        <v>1</v>
      </c>
      <c r="D3510" s="0" t="s">
        <v>2442</v>
      </c>
      <c r="E3510" s="0" t="n">
        <v>10012</v>
      </c>
      <c r="F3510" s="0" t="s">
        <v>185</v>
      </c>
      <c r="I3510" s="0" t="n">
        <v>1962669</v>
      </c>
      <c r="J3510" s="0" t="n">
        <v>102676</v>
      </c>
      <c r="K3510" s="0" t="n">
        <v>7896007200306</v>
      </c>
      <c r="L3510" s="0" t="s">
        <v>4133</v>
      </c>
      <c r="N3510" s="0" t="n">
        <v>12</v>
      </c>
      <c r="O3510" s="0" t="n">
        <v>68.16</v>
      </c>
      <c r="P3510" s="0" t="s">
        <v>2444</v>
      </c>
    </row>
    <row r="3511" customFormat="false" ht="15" hidden="false" customHeight="true" outlineLevel="0" collapsed="false">
      <c r="A3511" s="0" t="n">
        <v>2</v>
      </c>
      <c r="B3511" s="71" t="n">
        <v>46216</v>
      </c>
      <c r="C3511" s="0" t="n">
        <v>1</v>
      </c>
      <c r="D3511" s="0" t="s">
        <v>2442</v>
      </c>
      <c r="E3511" s="0" t="n">
        <v>10012</v>
      </c>
      <c r="F3511" s="0" t="s">
        <v>185</v>
      </c>
      <c r="I3511" s="0" t="n">
        <v>1962669</v>
      </c>
      <c r="J3511" s="0" t="n">
        <v>102679</v>
      </c>
      <c r="K3511" s="0" t="n">
        <v>7896007200375</v>
      </c>
      <c r="L3511" s="0" t="s">
        <v>4134</v>
      </c>
      <c r="N3511" s="0" t="n">
        <v>12</v>
      </c>
      <c r="O3511" s="0" t="n">
        <v>102.24</v>
      </c>
      <c r="P3511" s="0" t="s">
        <v>2444</v>
      </c>
    </row>
    <row r="3512" customFormat="false" ht="15" hidden="false" customHeight="true" outlineLevel="0" collapsed="false">
      <c r="A3512" s="0" t="n">
        <v>2</v>
      </c>
      <c r="B3512" s="71" t="n">
        <v>46216</v>
      </c>
      <c r="C3512" s="0" t="n">
        <v>1</v>
      </c>
      <c r="D3512" s="0" t="s">
        <v>2442</v>
      </c>
      <c r="E3512" s="0" t="n">
        <v>10012</v>
      </c>
      <c r="F3512" s="0" t="s">
        <v>185</v>
      </c>
      <c r="I3512" s="0" t="n">
        <v>1962669</v>
      </c>
      <c r="J3512" s="0" t="n">
        <v>103220</v>
      </c>
      <c r="K3512" s="0" t="n">
        <v>7896004814162</v>
      </c>
      <c r="L3512" s="0" t="s">
        <v>4135</v>
      </c>
      <c r="N3512" s="0" t="n">
        <v>60</v>
      </c>
      <c r="O3512" s="0" t="n">
        <v>142.2</v>
      </c>
      <c r="P3512" s="0" t="s">
        <v>2444</v>
      </c>
    </row>
    <row r="3513" customFormat="false" ht="15" hidden="false" customHeight="true" outlineLevel="0" collapsed="false">
      <c r="A3513" s="0" t="n">
        <v>2</v>
      </c>
      <c r="B3513" s="71" t="n">
        <v>46216</v>
      </c>
      <c r="C3513" s="0" t="n">
        <v>1</v>
      </c>
      <c r="D3513" s="0" t="s">
        <v>2442</v>
      </c>
      <c r="E3513" s="0" t="n">
        <v>10012</v>
      </c>
      <c r="F3513" s="0" t="s">
        <v>185</v>
      </c>
      <c r="I3513" s="0" t="n">
        <v>1962669</v>
      </c>
      <c r="J3513" s="0" t="n">
        <v>103295</v>
      </c>
      <c r="K3513" s="0" t="n">
        <v>7896046713157</v>
      </c>
      <c r="L3513" s="0" t="s">
        <v>4136</v>
      </c>
      <c r="N3513" s="0" t="n">
        <v>12</v>
      </c>
      <c r="O3513" s="0" t="n">
        <v>45.6</v>
      </c>
      <c r="P3513" s="0" t="s">
        <v>2444</v>
      </c>
    </row>
    <row r="3514" customFormat="false" ht="15" hidden="false" customHeight="true" outlineLevel="0" collapsed="false">
      <c r="A3514" s="0" t="n">
        <v>2</v>
      </c>
      <c r="B3514" s="71" t="n">
        <v>46216</v>
      </c>
      <c r="C3514" s="0" t="n">
        <v>1</v>
      </c>
      <c r="D3514" s="0" t="s">
        <v>2442</v>
      </c>
      <c r="E3514" s="0" t="n">
        <v>10012</v>
      </c>
      <c r="F3514" s="0" t="s">
        <v>185</v>
      </c>
      <c r="I3514" s="0" t="n">
        <v>1962669</v>
      </c>
      <c r="J3514" s="0" t="n">
        <v>103656</v>
      </c>
      <c r="K3514" s="0" t="n">
        <v>7896004800851</v>
      </c>
      <c r="L3514" s="0" t="s">
        <v>4137</v>
      </c>
      <c r="N3514" s="0" t="n">
        <v>12</v>
      </c>
      <c r="O3514" s="0" t="n">
        <v>80.04</v>
      </c>
      <c r="P3514" s="0" t="s">
        <v>2444</v>
      </c>
    </row>
    <row r="3515" customFormat="false" ht="15" hidden="false" customHeight="true" outlineLevel="0" collapsed="false">
      <c r="A3515" s="0" t="n">
        <v>2</v>
      </c>
      <c r="B3515" s="71" t="n">
        <v>46216</v>
      </c>
      <c r="C3515" s="0" t="n">
        <v>1</v>
      </c>
      <c r="D3515" s="0" t="s">
        <v>2442</v>
      </c>
      <c r="E3515" s="0" t="n">
        <v>10012</v>
      </c>
      <c r="F3515" s="0" t="s">
        <v>185</v>
      </c>
      <c r="I3515" s="0" t="n">
        <v>1962669</v>
      </c>
      <c r="J3515" s="0" t="n">
        <v>104270</v>
      </c>
      <c r="K3515" s="0" t="n">
        <v>7896007200313</v>
      </c>
      <c r="L3515" s="0" t="s">
        <v>4138</v>
      </c>
      <c r="N3515" s="0" t="n">
        <v>12</v>
      </c>
      <c r="O3515" s="0" t="n">
        <v>54.96</v>
      </c>
      <c r="P3515" s="0" t="s">
        <v>2444</v>
      </c>
    </row>
    <row r="3516" customFormat="false" ht="15" hidden="false" customHeight="true" outlineLevel="0" collapsed="false">
      <c r="A3516" s="0" t="n">
        <v>2</v>
      </c>
      <c r="B3516" s="71" t="n">
        <v>46216</v>
      </c>
      <c r="C3516" s="0" t="n">
        <v>1</v>
      </c>
      <c r="D3516" s="0" t="s">
        <v>2442</v>
      </c>
      <c r="E3516" s="0" t="n">
        <v>10012</v>
      </c>
      <c r="F3516" s="0" t="s">
        <v>185</v>
      </c>
      <c r="I3516" s="0" t="n">
        <v>1962669</v>
      </c>
      <c r="J3516" s="0" t="n">
        <v>104306</v>
      </c>
      <c r="K3516" s="0" t="n">
        <v>7891060773071</v>
      </c>
      <c r="L3516" s="0" t="s">
        <v>4139</v>
      </c>
      <c r="N3516" s="0" t="n">
        <v>6</v>
      </c>
      <c r="O3516" s="0" t="n">
        <v>50.28</v>
      </c>
      <c r="P3516" s="0" t="s">
        <v>2444</v>
      </c>
    </row>
    <row r="3517" customFormat="false" ht="15" hidden="false" customHeight="true" outlineLevel="0" collapsed="false">
      <c r="A3517" s="0" t="n">
        <v>2</v>
      </c>
      <c r="B3517" s="71" t="n">
        <v>46216</v>
      </c>
      <c r="C3517" s="0" t="n">
        <v>1</v>
      </c>
      <c r="D3517" s="0" t="s">
        <v>2442</v>
      </c>
      <c r="E3517" s="0" t="n">
        <v>10012</v>
      </c>
      <c r="F3517" s="0" t="s">
        <v>185</v>
      </c>
      <c r="I3517" s="0" t="n">
        <v>1962669</v>
      </c>
      <c r="J3517" s="0" t="n">
        <v>104418</v>
      </c>
      <c r="K3517" s="0" t="n">
        <v>7896007200368</v>
      </c>
      <c r="L3517" s="0" t="s">
        <v>4140</v>
      </c>
      <c r="N3517" s="0" t="n">
        <v>12</v>
      </c>
      <c r="O3517" s="0" t="n">
        <v>68.16</v>
      </c>
      <c r="P3517" s="0" t="s">
        <v>2444</v>
      </c>
    </row>
    <row r="3518" customFormat="false" ht="15" hidden="false" customHeight="true" outlineLevel="0" collapsed="false">
      <c r="A3518" s="0" t="n">
        <v>2</v>
      </c>
      <c r="B3518" s="71" t="n">
        <v>46216</v>
      </c>
      <c r="C3518" s="0" t="n">
        <v>1</v>
      </c>
      <c r="D3518" s="0" t="s">
        <v>2442</v>
      </c>
      <c r="E3518" s="0" t="n">
        <v>10012</v>
      </c>
      <c r="F3518" s="0" t="s">
        <v>185</v>
      </c>
      <c r="I3518" s="0" t="n">
        <v>1962669</v>
      </c>
      <c r="J3518" s="0" t="n">
        <v>104496</v>
      </c>
      <c r="K3518" s="0" t="n">
        <v>7896046703004</v>
      </c>
      <c r="L3518" s="0" t="s">
        <v>4141</v>
      </c>
      <c r="N3518" s="0" t="n">
        <v>6</v>
      </c>
      <c r="O3518" s="0" t="n">
        <v>58.8</v>
      </c>
      <c r="P3518" s="0" t="s">
        <v>2444</v>
      </c>
    </row>
    <row r="3519" customFormat="false" ht="15" hidden="false" customHeight="true" outlineLevel="0" collapsed="false">
      <c r="A3519" s="0" t="n">
        <v>2</v>
      </c>
      <c r="B3519" s="71" t="n">
        <v>46216</v>
      </c>
      <c r="C3519" s="0" t="n">
        <v>1</v>
      </c>
      <c r="D3519" s="0" t="s">
        <v>2442</v>
      </c>
      <c r="E3519" s="0" t="n">
        <v>10012</v>
      </c>
      <c r="F3519" s="0" t="s">
        <v>185</v>
      </c>
      <c r="I3519" s="0" t="n">
        <v>1962669</v>
      </c>
      <c r="J3519" s="0" t="n">
        <v>104777</v>
      </c>
      <c r="K3519" s="0" t="n">
        <v>7896007200399</v>
      </c>
      <c r="L3519" s="0" t="s">
        <v>4142</v>
      </c>
      <c r="N3519" s="0" t="n">
        <v>12</v>
      </c>
      <c r="O3519" s="0" t="n">
        <v>98.28</v>
      </c>
      <c r="P3519" s="0" t="s">
        <v>2444</v>
      </c>
    </row>
    <row r="3520" customFormat="false" ht="15" hidden="false" customHeight="true" outlineLevel="0" collapsed="false">
      <c r="A3520" s="0" t="n">
        <v>2</v>
      </c>
      <c r="B3520" s="71" t="n">
        <v>46216</v>
      </c>
      <c r="C3520" s="0" t="n">
        <v>1</v>
      </c>
      <c r="D3520" s="0" t="s">
        <v>2442</v>
      </c>
      <c r="E3520" s="0" t="n">
        <v>10012</v>
      </c>
      <c r="F3520" s="0" t="s">
        <v>185</v>
      </c>
      <c r="I3520" s="0" t="n">
        <v>1962669</v>
      </c>
      <c r="J3520" s="0" t="n">
        <v>105813</v>
      </c>
      <c r="K3520" s="0" t="n">
        <v>7896007200504</v>
      </c>
      <c r="L3520" s="0" t="s">
        <v>4143</v>
      </c>
      <c r="N3520" s="0" t="n">
        <v>24</v>
      </c>
      <c r="O3520" s="0" t="n">
        <v>35.04</v>
      </c>
      <c r="P3520" s="0" t="s">
        <v>2444</v>
      </c>
    </row>
    <row r="3521" customFormat="false" ht="15" hidden="false" customHeight="true" outlineLevel="0" collapsed="false">
      <c r="A3521" s="0" t="n">
        <v>2</v>
      </c>
      <c r="B3521" s="71" t="n">
        <v>46216</v>
      </c>
      <c r="C3521" s="0" t="n">
        <v>1</v>
      </c>
      <c r="D3521" s="0" t="s">
        <v>2442</v>
      </c>
      <c r="E3521" s="0" t="n">
        <v>10012</v>
      </c>
      <c r="F3521" s="0" t="s">
        <v>185</v>
      </c>
      <c r="I3521" s="0" t="n">
        <v>1962669</v>
      </c>
      <c r="J3521" s="0" t="n">
        <v>106382</v>
      </c>
      <c r="K3521" s="0" t="n">
        <v>7896111907252</v>
      </c>
      <c r="L3521" s="0" t="s">
        <v>4144</v>
      </c>
      <c r="N3521" s="0" t="n">
        <v>6</v>
      </c>
      <c r="O3521" s="0" t="n">
        <v>20.66</v>
      </c>
      <c r="P3521" s="0" t="s">
        <v>2444</v>
      </c>
    </row>
    <row r="3522" customFormat="false" ht="15" hidden="false" customHeight="true" outlineLevel="0" collapsed="false">
      <c r="A3522" s="0" t="n">
        <v>2</v>
      </c>
      <c r="B3522" s="71" t="n">
        <v>46216</v>
      </c>
      <c r="C3522" s="0" t="n">
        <v>1</v>
      </c>
      <c r="D3522" s="0" t="s">
        <v>2442</v>
      </c>
      <c r="E3522" s="0" t="n">
        <v>10012</v>
      </c>
      <c r="F3522" s="0" t="s">
        <v>185</v>
      </c>
      <c r="I3522" s="0" t="n">
        <v>1962669</v>
      </c>
      <c r="J3522" s="0" t="n">
        <v>108864</v>
      </c>
      <c r="K3522" s="0" t="n">
        <v>7896512900043</v>
      </c>
      <c r="L3522" s="0" t="s">
        <v>4145</v>
      </c>
      <c r="N3522" s="0" t="n">
        <v>12</v>
      </c>
      <c r="O3522" s="0" t="n">
        <v>91.68</v>
      </c>
      <c r="P3522" s="0" t="s">
        <v>2444</v>
      </c>
    </row>
    <row r="3523" customFormat="false" ht="15" hidden="false" customHeight="true" outlineLevel="0" collapsed="false">
      <c r="A3523" s="0" t="n">
        <v>2</v>
      </c>
      <c r="B3523" s="71" t="n">
        <v>46216</v>
      </c>
      <c r="C3523" s="0" t="n">
        <v>1</v>
      </c>
      <c r="D3523" s="0" t="s">
        <v>2442</v>
      </c>
      <c r="E3523" s="0" t="n">
        <v>10012</v>
      </c>
      <c r="F3523" s="0" t="s">
        <v>185</v>
      </c>
      <c r="I3523" s="0" t="n">
        <v>1962669</v>
      </c>
      <c r="J3523" s="0" t="n">
        <v>13689</v>
      </c>
      <c r="K3523" s="0" t="n">
        <v>7896111907672</v>
      </c>
      <c r="L3523" s="0" t="s">
        <v>4146</v>
      </c>
      <c r="N3523" s="0" t="n">
        <v>6</v>
      </c>
      <c r="O3523" s="0" t="n">
        <v>20.66</v>
      </c>
      <c r="P3523" s="0" t="s">
        <v>2444</v>
      </c>
    </row>
    <row r="3524" customFormat="false" ht="15" hidden="false" customHeight="true" outlineLevel="0" collapsed="false">
      <c r="A3524" s="0" t="n">
        <v>2</v>
      </c>
      <c r="B3524" s="71" t="n">
        <v>46216</v>
      </c>
      <c r="C3524" s="0" t="n">
        <v>1</v>
      </c>
      <c r="D3524" s="0" t="s">
        <v>2442</v>
      </c>
      <c r="E3524" s="0" t="n">
        <v>10012</v>
      </c>
      <c r="F3524" s="0" t="s">
        <v>185</v>
      </c>
      <c r="I3524" s="0" t="n">
        <v>1962669</v>
      </c>
      <c r="J3524" s="0" t="n">
        <v>14777</v>
      </c>
      <c r="K3524" s="0" t="n">
        <v>7898148110131</v>
      </c>
      <c r="L3524" s="0" t="s">
        <v>4147</v>
      </c>
      <c r="N3524" s="0" t="n">
        <v>6</v>
      </c>
      <c r="O3524" s="0" t="n">
        <v>83.16</v>
      </c>
      <c r="P3524" s="0" t="s">
        <v>2444</v>
      </c>
    </row>
    <row r="3525" customFormat="false" ht="15" hidden="false" customHeight="true" outlineLevel="0" collapsed="false">
      <c r="A3525" s="0" t="n">
        <v>2</v>
      </c>
      <c r="B3525" s="71" t="n">
        <v>46216</v>
      </c>
      <c r="C3525" s="0" t="n">
        <v>1</v>
      </c>
      <c r="D3525" s="0" t="s">
        <v>2442</v>
      </c>
      <c r="E3525" s="0" t="n">
        <v>10012</v>
      </c>
      <c r="F3525" s="0" t="s">
        <v>185</v>
      </c>
      <c r="I3525" s="0" t="n">
        <v>1962669</v>
      </c>
      <c r="J3525" s="0" t="n">
        <v>25538</v>
      </c>
      <c r="K3525" s="0" t="n">
        <v>7896902209138</v>
      </c>
      <c r="L3525" s="0" t="s">
        <v>4148</v>
      </c>
      <c r="N3525" s="0" t="n">
        <v>6</v>
      </c>
      <c r="O3525" s="0" t="n">
        <v>61.02</v>
      </c>
      <c r="P3525" s="0" t="s">
        <v>2444</v>
      </c>
    </row>
    <row r="3526" customFormat="false" ht="15" hidden="false" customHeight="true" outlineLevel="0" collapsed="false">
      <c r="A3526" s="0" t="n">
        <v>2</v>
      </c>
      <c r="B3526" s="71" t="n">
        <v>46216</v>
      </c>
      <c r="C3526" s="0" t="n">
        <v>1</v>
      </c>
      <c r="D3526" s="0" t="s">
        <v>2442</v>
      </c>
      <c r="E3526" s="0" t="n">
        <v>10012</v>
      </c>
      <c r="F3526" s="0" t="s">
        <v>185</v>
      </c>
      <c r="I3526" s="0" t="n">
        <v>1962669</v>
      </c>
      <c r="J3526" s="0" t="n">
        <v>16152</v>
      </c>
      <c r="K3526" s="0" t="n">
        <v>7896111945001</v>
      </c>
      <c r="L3526" s="0" t="s">
        <v>4149</v>
      </c>
      <c r="N3526" s="0" t="n">
        <v>6</v>
      </c>
      <c r="O3526" s="0" t="n">
        <v>20.66</v>
      </c>
      <c r="P3526" s="0" t="s">
        <v>2444</v>
      </c>
    </row>
    <row r="3527" customFormat="false" ht="15" hidden="false" customHeight="true" outlineLevel="0" collapsed="false">
      <c r="A3527" s="0" t="n">
        <v>2</v>
      </c>
      <c r="B3527" s="71" t="n">
        <v>46216</v>
      </c>
      <c r="C3527" s="0" t="n">
        <v>1</v>
      </c>
      <c r="D3527" s="0" t="s">
        <v>2442</v>
      </c>
      <c r="E3527" s="0" t="n">
        <v>10012</v>
      </c>
      <c r="F3527" s="0" t="s">
        <v>185</v>
      </c>
      <c r="I3527" s="0" t="n">
        <v>1962669</v>
      </c>
      <c r="J3527" s="0" t="n">
        <v>16154</v>
      </c>
      <c r="K3527" s="0" t="n">
        <v>7896111941454</v>
      </c>
      <c r="L3527" s="0" t="s">
        <v>4150</v>
      </c>
      <c r="N3527" s="0" t="n">
        <v>6</v>
      </c>
      <c r="O3527" s="0" t="n">
        <v>20.66</v>
      </c>
      <c r="P3527" s="0" t="s">
        <v>2444</v>
      </c>
    </row>
    <row r="3528" customFormat="false" ht="15" hidden="false" customHeight="true" outlineLevel="0" collapsed="false">
      <c r="A3528" s="0" t="n">
        <v>2</v>
      </c>
      <c r="B3528" s="71" t="n">
        <v>46216</v>
      </c>
      <c r="C3528" s="0" t="n">
        <v>1</v>
      </c>
      <c r="D3528" s="0" t="s">
        <v>2442</v>
      </c>
      <c r="E3528" s="0" t="n">
        <v>10012</v>
      </c>
      <c r="F3528" s="0" t="s">
        <v>185</v>
      </c>
      <c r="I3528" s="0" t="n">
        <v>1962669</v>
      </c>
      <c r="J3528" s="0" t="n">
        <v>16155</v>
      </c>
      <c r="K3528" s="0" t="n">
        <v>7896111944912</v>
      </c>
      <c r="L3528" s="0" t="s">
        <v>4151</v>
      </c>
      <c r="N3528" s="0" t="n">
        <v>6</v>
      </c>
      <c r="O3528" s="0" t="n">
        <v>20.66</v>
      </c>
      <c r="P3528" s="0" t="s">
        <v>2444</v>
      </c>
    </row>
    <row r="3529" customFormat="false" ht="15" hidden="false" customHeight="true" outlineLevel="0" collapsed="false">
      <c r="A3529" s="0" t="n">
        <v>2</v>
      </c>
      <c r="B3529" s="71" t="n">
        <v>46216</v>
      </c>
      <c r="C3529" s="0" t="n">
        <v>1</v>
      </c>
      <c r="D3529" s="0" t="s">
        <v>2442</v>
      </c>
      <c r="E3529" s="0" t="n">
        <v>10012</v>
      </c>
      <c r="F3529" s="0" t="s">
        <v>185</v>
      </c>
      <c r="I3529" s="0" t="n">
        <v>1962669</v>
      </c>
      <c r="J3529" s="0" t="n">
        <v>16156</v>
      </c>
      <c r="K3529" s="0" t="n">
        <v>7896111947869</v>
      </c>
      <c r="L3529" s="0" t="s">
        <v>4152</v>
      </c>
      <c r="N3529" s="0" t="n">
        <v>6</v>
      </c>
      <c r="O3529" s="0" t="n">
        <v>20.66</v>
      </c>
      <c r="P3529" s="0" t="s">
        <v>2444</v>
      </c>
    </row>
    <row r="3530" customFormat="false" ht="15" hidden="false" customHeight="true" outlineLevel="0" collapsed="false">
      <c r="A3530" s="0" t="n">
        <v>2</v>
      </c>
      <c r="B3530" s="71" t="n">
        <v>46216</v>
      </c>
      <c r="C3530" s="0" t="n">
        <v>1</v>
      </c>
      <c r="D3530" s="0" t="s">
        <v>2442</v>
      </c>
      <c r="E3530" s="0" t="n">
        <v>10012</v>
      </c>
      <c r="F3530" s="0" t="s">
        <v>185</v>
      </c>
      <c r="I3530" s="0" t="n">
        <v>1962669</v>
      </c>
      <c r="J3530" s="0" t="n">
        <v>16161</v>
      </c>
      <c r="K3530" s="0" t="n">
        <v>7896111901786</v>
      </c>
      <c r="L3530" s="0" t="s">
        <v>4153</v>
      </c>
      <c r="N3530" s="0" t="n">
        <v>6</v>
      </c>
      <c r="O3530" s="0" t="n">
        <v>20.66</v>
      </c>
      <c r="P3530" s="0" t="s">
        <v>2444</v>
      </c>
    </row>
    <row r="3531" customFormat="false" ht="15" hidden="false" customHeight="true" outlineLevel="0" collapsed="false">
      <c r="A3531" s="0" t="n">
        <v>2</v>
      </c>
      <c r="B3531" s="71" t="n">
        <v>46216</v>
      </c>
      <c r="C3531" s="0" t="n">
        <v>1</v>
      </c>
      <c r="D3531" s="0" t="s">
        <v>2442</v>
      </c>
      <c r="E3531" s="0" t="n">
        <v>10012</v>
      </c>
      <c r="F3531" s="0" t="s">
        <v>185</v>
      </c>
      <c r="I3531" s="0" t="n">
        <v>1962669</v>
      </c>
      <c r="J3531" s="0" t="n">
        <v>16464</v>
      </c>
      <c r="K3531" s="0" t="n">
        <v>7896512905420</v>
      </c>
      <c r="L3531" s="0" t="s">
        <v>4154</v>
      </c>
      <c r="N3531" s="0" t="n">
        <v>12</v>
      </c>
      <c r="O3531" s="0" t="n">
        <v>66.12</v>
      </c>
      <c r="P3531" s="0" t="s">
        <v>2444</v>
      </c>
    </row>
    <row r="3532" customFormat="false" ht="15" hidden="false" customHeight="true" outlineLevel="0" collapsed="false">
      <c r="A3532" s="0" t="n">
        <v>2</v>
      </c>
      <c r="B3532" s="71" t="n">
        <v>46216</v>
      </c>
      <c r="C3532" s="0" t="n">
        <v>1</v>
      </c>
      <c r="D3532" s="0" t="s">
        <v>2442</v>
      </c>
      <c r="E3532" s="0" t="n">
        <v>10012</v>
      </c>
      <c r="F3532" s="0" t="s">
        <v>185</v>
      </c>
      <c r="I3532" s="0" t="n">
        <v>1962669</v>
      </c>
      <c r="J3532" s="0" t="n">
        <v>16470</v>
      </c>
      <c r="K3532" s="0" t="n">
        <v>7898935462252</v>
      </c>
      <c r="L3532" s="0" t="s">
        <v>4155</v>
      </c>
      <c r="N3532" s="0" t="n">
        <v>12</v>
      </c>
      <c r="O3532" s="0" t="n">
        <v>107.16</v>
      </c>
      <c r="P3532" s="0" t="s">
        <v>2444</v>
      </c>
    </row>
    <row r="3533" customFormat="false" ht="15" hidden="false" customHeight="true" outlineLevel="0" collapsed="false">
      <c r="A3533" s="0" t="n">
        <v>2</v>
      </c>
      <c r="B3533" s="71" t="n">
        <v>46216</v>
      </c>
      <c r="C3533" s="0" t="n">
        <v>1</v>
      </c>
      <c r="D3533" s="0" t="s">
        <v>2442</v>
      </c>
      <c r="E3533" s="0" t="n">
        <v>10012</v>
      </c>
      <c r="F3533" s="0" t="s">
        <v>185</v>
      </c>
      <c r="I3533" s="0" t="n">
        <v>1962669</v>
      </c>
      <c r="J3533" s="0" t="n">
        <v>16586</v>
      </c>
      <c r="K3533" s="0" t="n">
        <v>7896111930731</v>
      </c>
      <c r="L3533" s="0" t="s">
        <v>4156</v>
      </c>
      <c r="N3533" s="0" t="n">
        <v>6</v>
      </c>
      <c r="O3533" s="0" t="n">
        <v>20.66</v>
      </c>
      <c r="P3533" s="0" t="s">
        <v>2444</v>
      </c>
    </row>
    <row r="3534" customFormat="false" ht="15" hidden="false" customHeight="true" outlineLevel="0" collapsed="false">
      <c r="A3534" s="0" t="n">
        <v>2</v>
      </c>
      <c r="B3534" s="71" t="n">
        <v>46216</v>
      </c>
      <c r="C3534" s="0" t="n">
        <v>1</v>
      </c>
      <c r="D3534" s="0" t="s">
        <v>2442</v>
      </c>
      <c r="E3534" s="0" t="n">
        <v>10012</v>
      </c>
      <c r="F3534" s="0" t="s">
        <v>185</v>
      </c>
      <c r="I3534" s="0" t="n">
        <v>1962669</v>
      </c>
      <c r="J3534" s="0" t="n">
        <v>16591</v>
      </c>
      <c r="K3534" s="0" t="n">
        <v>7896111927021</v>
      </c>
      <c r="L3534" s="0" t="s">
        <v>4157</v>
      </c>
      <c r="N3534" s="0" t="n">
        <v>6</v>
      </c>
      <c r="O3534" s="0" t="n">
        <v>20.66</v>
      </c>
      <c r="P3534" s="0" t="s">
        <v>2444</v>
      </c>
    </row>
    <row r="3535" customFormat="false" ht="15" hidden="false" customHeight="true" outlineLevel="0" collapsed="false">
      <c r="A3535" s="0" t="n">
        <v>2</v>
      </c>
      <c r="B3535" s="71" t="n">
        <v>46216</v>
      </c>
      <c r="C3535" s="0" t="n">
        <v>1</v>
      </c>
      <c r="D3535" s="0" t="s">
        <v>2442</v>
      </c>
      <c r="E3535" s="0" t="n">
        <v>10012</v>
      </c>
      <c r="F3535" s="0" t="s">
        <v>185</v>
      </c>
      <c r="I3535" s="0" t="n">
        <v>1962669</v>
      </c>
      <c r="J3535" s="0" t="n">
        <v>17531</v>
      </c>
      <c r="K3535" s="0" t="n">
        <v>7896111921722</v>
      </c>
      <c r="L3535" s="0" t="s">
        <v>4158</v>
      </c>
      <c r="N3535" s="0" t="n">
        <v>6</v>
      </c>
      <c r="O3535" s="0" t="n">
        <v>20.66</v>
      </c>
      <c r="P3535" s="0" t="s">
        <v>2444</v>
      </c>
    </row>
    <row r="3536" customFormat="false" ht="15" hidden="false" customHeight="true" outlineLevel="0" collapsed="false">
      <c r="A3536" s="0" t="n">
        <v>2</v>
      </c>
      <c r="B3536" s="71" t="n">
        <v>46216</v>
      </c>
      <c r="C3536" s="0" t="n">
        <v>1</v>
      </c>
      <c r="D3536" s="0" t="s">
        <v>2442</v>
      </c>
      <c r="E3536" s="0" t="n">
        <v>10012</v>
      </c>
      <c r="F3536" s="0" t="s">
        <v>185</v>
      </c>
      <c r="I3536" s="0" t="n">
        <v>1962669</v>
      </c>
      <c r="J3536" s="0" t="n">
        <v>18769</v>
      </c>
      <c r="K3536" s="0" t="n">
        <v>7896512911933</v>
      </c>
      <c r="L3536" s="0" t="s">
        <v>4159</v>
      </c>
      <c r="N3536" s="0" t="n">
        <v>6</v>
      </c>
      <c r="O3536" s="0" t="n">
        <v>117.24</v>
      </c>
      <c r="P3536" s="0" t="s">
        <v>2444</v>
      </c>
    </row>
    <row r="3537" customFormat="false" ht="15" hidden="false" customHeight="true" outlineLevel="0" collapsed="false">
      <c r="A3537" s="0" t="n">
        <v>2</v>
      </c>
      <c r="B3537" s="71" t="n">
        <v>46216</v>
      </c>
      <c r="C3537" s="0" t="n">
        <v>1</v>
      </c>
      <c r="D3537" s="0" t="s">
        <v>2442</v>
      </c>
      <c r="E3537" s="0" t="n">
        <v>10012</v>
      </c>
      <c r="F3537" s="0" t="s">
        <v>185</v>
      </c>
      <c r="I3537" s="0" t="n">
        <v>1962669</v>
      </c>
      <c r="J3537" s="0" t="n">
        <v>19043</v>
      </c>
      <c r="K3537" s="0" t="n">
        <v>7891800630602</v>
      </c>
      <c r="L3537" s="0" t="s">
        <v>4160</v>
      </c>
      <c r="N3537" s="0" t="n">
        <v>12</v>
      </c>
      <c r="O3537" s="0" t="n">
        <v>107.16</v>
      </c>
      <c r="P3537" s="0" t="s">
        <v>2444</v>
      </c>
    </row>
    <row r="3538" customFormat="false" ht="15" hidden="false" customHeight="true" outlineLevel="0" collapsed="false">
      <c r="A3538" s="0" t="n">
        <v>2</v>
      </c>
      <c r="B3538" s="71" t="n">
        <v>46216</v>
      </c>
      <c r="C3538" s="0" t="n">
        <v>1</v>
      </c>
      <c r="D3538" s="0" t="s">
        <v>2442</v>
      </c>
      <c r="E3538" s="0" t="n">
        <v>10012</v>
      </c>
      <c r="F3538" s="0" t="s">
        <v>185</v>
      </c>
      <c r="I3538" s="0" t="n">
        <v>1962669</v>
      </c>
      <c r="J3538" s="0" t="n">
        <v>19730</v>
      </c>
      <c r="K3538" s="0" t="n">
        <v>7896111954492</v>
      </c>
      <c r="L3538" s="0" t="s">
        <v>4161</v>
      </c>
      <c r="N3538" s="0" t="n">
        <v>18</v>
      </c>
      <c r="O3538" s="0" t="n">
        <v>72.63</v>
      </c>
      <c r="P3538" s="0" t="s">
        <v>2444</v>
      </c>
    </row>
    <row r="3539" customFormat="false" ht="15" hidden="false" customHeight="true" outlineLevel="0" collapsed="false">
      <c r="A3539" s="0" t="n">
        <v>2</v>
      </c>
      <c r="B3539" s="71" t="n">
        <v>46216</v>
      </c>
      <c r="C3539" s="0" t="n">
        <v>1</v>
      </c>
      <c r="D3539" s="0" t="s">
        <v>2442</v>
      </c>
      <c r="E3539" s="0" t="n">
        <v>10012</v>
      </c>
      <c r="F3539" s="0" t="s">
        <v>185</v>
      </c>
      <c r="I3539" s="0" t="n">
        <v>1962669</v>
      </c>
      <c r="J3539" s="0" t="n">
        <v>21613</v>
      </c>
      <c r="K3539" s="0" t="n">
        <v>7896902209114</v>
      </c>
      <c r="L3539" s="0" t="s">
        <v>4162</v>
      </c>
      <c r="N3539" s="0" t="n">
        <v>24</v>
      </c>
      <c r="O3539" s="0" t="n">
        <v>60</v>
      </c>
      <c r="P3539" s="0" t="s">
        <v>2444</v>
      </c>
    </row>
    <row r="3540" customFormat="false" ht="15" hidden="false" customHeight="true" outlineLevel="0" collapsed="false">
      <c r="A3540" s="0" t="n">
        <v>2</v>
      </c>
      <c r="B3540" s="71" t="n">
        <v>46216</v>
      </c>
      <c r="C3540" s="0" t="n">
        <v>1</v>
      </c>
      <c r="D3540" s="0" t="s">
        <v>2442</v>
      </c>
      <c r="E3540" s="0" t="n">
        <v>10012</v>
      </c>
      <c r="F3540" s="0" t="s">
        <v>185</v>
      </c>
      <c r="I3540" s="0" t="n">
        <v>1962669</v>
      </c>
      <c r="J3540" s="0" t="n">
        <v>22110</v>
      </c>
      <c r="K3540" s="0" t="n">
        <v>7897161371024</v>
      </c>
      <c r="L3540" s="0" t="s">
        <v>4163</v>
      </c>
      <c r="N3540" s="0" t="n">
        <v>48</v>
      </c>
      <c r="O3540" s="0" t="n">
        <v>84.96</v>
      </c>
      <c r="P3540" s="0" t="s">
        <v>2444</v>
      </c>
    </row>
    <row r="3541" customFormat="false" ht="15" hidden="false" customHeight="true" outlineLevel="0" collapsed="false">
      <c r="A3541" s="0" t="n">
        <v>2</v>
      </c>
      <c r="B3541" s="71" t="n">
        <v>46216</v>
      </c>
      <c r="C3541" s="0" t="n">
        <v>1</v>
      </c>
      <c r="D3541" s="0" t="s">
        <v>2442</v>
      </c>
      <c r="E3541" s="0" t="n">
        <v>10012</v>
      </c>
      <c r="F3541" s="0" t="s">
        <v>185</v>
      </c>
      <c r="I3541" s="0" t="n">
        <v>1962669</v>
      </c>
      <c r="J3541" s="0" t="n">
        <v>23254</v>
      </c>
      <c r="K3541" s="0" t="n">
        <v>7897161371017</v>
      </c>
      <c r="L3541" s="0" t="s">
        <v>4164</v>
      </c>
      <c r="N3541" s="0" t="n">
        <v>48</v>
      </c>
      <c r="O3541" s="0" t="n">
        <v>84.96</v>
      </c>
      <c r="P3541" s="0" t="s">
        <v>2444</v>
      </c>
    </row>
    <row r="3542" customFormat="false" ht="15" hidden="false" customHeight="true" outlineLevel="0" collapsed="false">
      <c r="A3542" s="0" t="n">
        <v>2</v>
      </c>
      <c r="B3542" s="71" t="n">
        <v>46216</v>
      </c>
      <c r="C3542" s="0" t="n">
        <v>1</v>
      </c>
      <c r="D3542" s="0" t="s">
        <v>2442</v>
      </c>
      <c r="E3542" s="0" t="n">
        <v>10012</v>
      </c>
      <c r="F3542" s="0" t="s">
        <v>185</v>
      </c>
      <c r="I3542" s="0" t="n">
        <v>1962669</v>
      </c>
      <c r="J3542" s="0" t="n">
        <v>23457</v>
      </c>
      <c r="K3542" s="0" t="n">
        <v>7896007201129</v>
      </c>
      <c r="L3542" s="0" t="s">
        <v>4165</v>
      </c>
      <c r="N3542" s="0" t="n">
        <v>12</v>
      </c>
      <c r="O3542" s="0" t="n">
        <v>102.24</v>
      </c>
      <c r="P3542" s="0" t="s">
        <v>2444</v>
      </c>
    </row>
    <row r="3543" customFormat="false" ht="15" hidden="false" customHeight="true" outlineLevel="0" collapsed="false">
      <c r="A3543" s="0" t="n">
        <v>2</v>
      </c>
      <c r="B3543" s="71" t="n">
        <v>46216</v>
      </c>
      <c r="C3543" s="0" t="n">
        <v>1</v>
      </c>
      <c r="D3543" s="0" t="s">
        <v>2442</v>
      </c>
      <c r="E3543" s="0" t="n">
        <v>10012</v>
      </c>
      <c r="F3543" s="0" t="s">
        <v>185</v>
      </c>
      <c r="I3543" s="0" t="n">
        <v>1962669</v>
      </c>
      <c r="J3543" s="0" t="n">
        <v>23708</v>
      </c>
      <c r="K3543" s="0" t="n">
        <v>7896902210646</v>
      </c>
      <c r="L3543" s="0" t="s">
        <v>4166</v>
      </c>
      <c r="N3543" s="0" t="n">
        <v>36</v>
      </c>
      <c r="O3543" s="0" t="n">
        <v>60.48</v>
      </c>
      <c r="P3543" s="0" t="s">
        <v>2444</v>
      </c>
    </row>
    <row r="3544" customFormat="false" ht="15" hidden="false" customHeight="true" outlineLevel="0" collapsed="false">
      <c r="A3544" s="0" t="n">
        <v>2</v>
      </c>
      <c r="B3544" s="71" t="n">
        <v>46216</v>
      </c>
      <c r="C3544" s="0" t="n">
        <v>1</v>
      </c>
      <c r="D3544" s="0" t="s">
        <v>2442</v>
      </c>
      <c r="E3544" s="0" t="n">
        <v>10012</v>
      </c>
      <c r="F3544" s="0" t="s">
        <v>185</v>
      </c>
      <c r="I3544" s="0" t="n">
        <v>1962669</v>
      </c>
      <c r="J3544" s="0" t="n">
        <v>25401</v>
      </c>
      <c r="K3544" s="0" t="n">
        <v>7897161300116</v>
      </c>
      <c r="L3544" s="0" t="s">
        <v>4167</v>
      </c>
      <c r="N3544" s="0" t="n">
        <v>3</v>
      </c>
      <c r="O3544" s="0" t="n">
        <v>20.64</v>
      </c>
      <c r="P3544" s="0" t="s">
        <v>2444</v>
      </c>
    </row>
    <row r="3545" customFormat="false" ht="15" hidden="false" customHeight="true" outlineLevel="0" collapsed="false">
      <c r="A3545" s="0" t="n">
        <v>2</v>
      </c>
      <c r="B3545" s="71" t="n">
        <v>46216</v>
      </c>
      <c r="C3545" s="0" t="n">
        <v>1</v>
      </c>
      <c r="D3545" s="0" t="s">
        <v>2442</v>
      </c>
      <c r="E3545" s="0" t="n">
        <v>10012</v>
      </c>
      <c r="F3545" s="0" t="s">
        <v>185</v>
      </c>
      <c r="I3545" s="0" t="n">
        <v>1962669</v>
      </c>
      <c r="J3545" s="0" t="n">
        <v>25921</v>
      </c>
      <c r="K3545" s="0" t="n">
        <v>7891010607135</v>
      </c>
      <c r="L3545" s="0" t="s">
        <v>4168</v>
      </c>
      <c r="N3545" s="0" t="n">
        <v>24</v>
      </c>
      <c r="O3545" s="0" t="n">
        <v>278.64</v>
      </c>
      <c r="P3545" s="0" t="s">
        <v>2444</v>
      </c>
    </row>
    <row r="3546" customFormat="false" ht="15" hidden="false" customHeight="true" outlineLevel="0" collapsed="false">
      <c r="A3546" s="0" t="n">
        <v>2</v>
      </c>
      <c r="B3546" s="71" t="n">
        <v>46216</v>
      </c>
      <c r="C3546" s="0" t="n">
        <v>1</v>
      </c>
      <c r="D3546" s="0" t="s">
        <v>2442</v>
      </c>
      <c r="E3546" s="0" t="n">
        <v>10012</v>
      </c>
      <c r="F3546" s="0" t="s">
        <v>185</v>
      </c>
      <c r="I3546" s="0" t="n">
        <v>1962669</v>
      </c>
      <c r="J3546" s="0" t="n">
        <v>25923</v>
      </c>
      <c r="K3546" s="0" t="n">
        <v>7896007201358</v>
      </c>
      <c r="L3546" s="0" t="s">
        <v>4169</v>
      </c>
      <c r="N3546" s="0" t="n">
        <v>12</v>
      </c>
      <c r="O3546" s="0" t="n">
        <v>158.16</v>
      </c>
      <c r="P3546" s="0" t="s">
        <v>2444</v>
      </c>
    </row>
    <row r="3547" customFormat="false" ht="15" hidden="false" customHeight="true" outlineLevel="0" collapsed="false">
      <c r="A3547" s="0" t="n">
        <v>2</v>
      </c>
      <c r="B3547" s="71" t="n">
        <v>46216</v>
      </c>
      <c r="C3547" s="0" t="n">
        <v>1</v>
      </c>
      <c r="D3547" s="0" t="s">
        <v>2442</v>
      </c>
      <c r="E3547" s="0" t="n">
        <v>10012</v>
      </c>
      <c r="F3547" s="0" t="s">
        <v>185</v>
      </c>
      <c r="I3547" s="0" t="n">
        <v>1962669</v>
      </c>
      <c r="J3547" s="0" t="n">
        <v>26049</v>
      </c>
      <c r="K3547" s="0" t="n">
        <v>7896007201709</v>
      </c>
      <c r="L3547" s="0" t="s">
        <v>4170</v>
      </c>
      <c r="N3547" s="0" t="n">
        <v>12</v>
      </c>
      <c r="O3547" s="0" t="n">
        <v>68.16</v>
      </c>
      <c r="P3547" s="0" t="s">
        <v>2444</v>
      </c>
    </row>
    <row r="3548" customFormat="false" ht="15" hidden="false" customHeight="true" outlineLevel="0" collapsed="false">
      <c r="A3548" s="0" t="n">
        <v>2</v>
      </c>
      <c r="B3548" s="71" t="n">
        <v>46216</v>
      </c>
      <c r="C3548" s="0" t="n">
        <v>1</v>
      </c>
      <c r="D3548" s="0" t="s">
        <v>2442</v>
      </c>
      <c r="E3548" s="0" t="n">
        <v>10012</v>
      </c>
      <c r="F3548" s="0" t="s">
        <v>185</v>
      </c>
      <c r="I3548" s="0" t="n">
        <v>1962669</v>
      </c>
      <c r="J3548" s="0" t="n">
        <v>26555</v>
      </c>
      <c r="K3548" s="0" t="n">
        <v>7896111976968</v>
      </c>
      <c r="L3548" s="0" t="s">
        <v>4171</v>
      </c>
      <c r="N3548" s="0" t="n">
        <v>6</v>
      </c>
      <c r="O3548" s="0" t="n">
        <v>20.66</v>
      </c>
      <c r="P3548" s="0" t="s">
        <v>2444</v>
      </c>
    </row>
    <row r="3549" customFormat="false" ht="15" hidden="false" customHeight="true" outlineLevel="0" collapsed="false">
      <c r="A3549" s="0" t="n">
        <v>2</v>
      </c>
      <c r="B3549" s="71" t="n">
        <v>46216</v>
      </c>
      <c r="C3549" s="0" t="n">
        <v>1</v>
      </c>
      <c r="D3549" s="0" t="s">
        <v>2442</v>
      </c>
      <c r="E3549" s="0" t="n">
        <v>10012</v>
      </c>
      <c r="F3549" s="0" t="s">
        <v>185</v>
      </c>
      <c r="I3549" s="0" t="n">
        <v>1962669</v>
      </c>
      <c r="J3549" s="0" t="n">
        <v>26893</v>
      </c>
      <c r="K3549" s="0" t="n">
        <v>7896111976883</v>
      </c>
      <c r="L3549" s="0" t="s">
        <v>4172</v>
      </c>
      <c r="N3549" s="0" t="n">
        <v>6</v>
      </c>
      <c r="O3549" s="0" t="n">
        <v>20.66</v>
      </c>
      <c r="P3549" s="0" t="s">
        <v>2444</v>
      </c>
    </row>
    <row r="3550" customFormat="false" ht="15" hidden="false" customHeight="true" outlineLevel="0" collapsed="false">
      <c r="A3550" s="0" t="n">
        <v>2</v>
      </c>
      <c r="B3550" s="71" t="n">
        <v>46216</v>
      </c>
      <c r="C3550" s="0" t="n">
        <v>1</v>
      </c>
      <c r="D3550" s="0" t="s">
        <v>2442</v>
      </c>
      <c r="E3550" s="0" t="n">
        <v>10012</v>
      </c>
      <c r="F3550" s="0" t="s">
        <v>185</v>
      </c>
      <c r="I3550" s="0" t="n">
        <v>1962669</v>
      </c>
      <c r="J3550" s="0" t="n">
        <v>27513</v>
      </c>
      <c r="K3550" s="0" t="n">
        <v>7896111976845</v>
      </c>
      <c r="L3550" s="0" t="s">
        <v>4172</v>
      </c>
      <c r="N3550" s="0" t="n">
        <v>6</v>
      </c>
      <c r="O3550" s="0" t="n">
        <v>20.66</v>
      </c>
      <c r="P3550" s="0" t="s">
        <v>2444</v>
      </c>
    </row>
    <row r="3551" customFormat="false" ht="15" hidden="false" customHeight="true" outlineLevel="0" collapsed="false">
      <c r="A3551" s="0" t="n">
        <v>2</v>
      </c>
      <c r="B3551" s="71" t="n">
        <v>46216</v>
      </c>
      <c r="C3551" s="0" t="n">
        <v>1</v>
      </c>
      <c r="D3551" s="0" t="s">
        <v>2442</v>
      </c>
      <c r="E3551" s="0" t="n">
        <v>10012</v>
      </c>
      <c r="F3551" s="0" t="s">
        <v>185</v>
      </c>
      <c r="I3551" s="0" t="n">
        <v>1962669</v>
      </c>
      <c r="J3551" s="0" t="n">
        <v>27670</v>
      </c>
      <c r="K3551" s="0" t="n">
        <v>7896111984772</v>
      </c>
      <c r="L3551" s="0" t="s">
        <v>4173</v>
      </c>
      <c r="N3551" s="0" t="n">
        <v>6</v>
      </c>
      <c r="O3551" s="0" t="n">
        <v>20.66</v>
      </c>
      <c r="P3551" s="0" t="s">
        <v>2444</v>
      </c>
    </row>
    <row r="3552" customFormat="false" ht="15" hidden="false" customHeight="true" outlineLevel="0" collapsed="false">
      <c r="A3552" s="0" t="n">
        <v>2</v>
      </c>
      <c r="B3552" s="71" t="n">
        <v>46216</v>
      </c>
      <c r="C3552" s="0" t="n">
        <v>1</v>
      </c>
      <c r="D3552" s="0" t="s">
        <v>2442</v>
      </c>
      <c r="E3552" s="0" t="n">
        <v>10012</v>
      </c>
      <c r="F3552" s="0" t="s">
        <v>185</v>
      </c>
      <c r="I3552" s="0" t="n">
        <v>1962669</v>
      </c>
      <c r="J3552" s="0" t="n">
        <v>27909</v>
      </c>
      <c r="K3552" s="0" t="n">
        <v>7896902211209</v>
      </c>
      <c r="L3552" s="0" t="s">
        <v>4174</v>
      </c>
      <c r="N3552" s="0" t="n">
        <v>12</v>
      </c>
      <c r="O3552" s="0" t="n">
        <v>67.56</v>
      </c>
      <c r="P3552" s="0" t="s">
        <v>2444</v>
      </c>
    </row>
    <row r="3553" customFormat="false" ht="15" hidden="false" customHeight="true" outlineLevel="0" collapsed="false">
      <c r="A3553" s="0" t="n">
        <v>2</v>
      </c>
      <c r="B3553" s="71" t="n">
        <v>46216</v>
      </c>
      <c r="C3553" s="0" t="n">
        <v>1</v>
      </c>
      <c r="D3553" s="0" t="s">
        <v>2442</v>
      </c>
      <c r="E3553" s="0" t="n">
        <v>10012</v>
      </c>
      <c r="F3553" s="0" t="s">
        <v>185</v>
      </c>
      <c r="I3553" s="0" t="n">
        <v>1962669</v>
      </c>
      <c r="J3553" s="0" t="n">
        <v>28111</v>
      </c>
      <c r="K3553" s="0" t="n">
        <v>7897161345575</v>
      </c>
      <c r="L3553" s="0" t="s">
        <v>4175</v>
      </c>
      <c r="N3553" s="0" t="n">
        <v>3</v>
      </c>
      <c r="O3553" s="0" t="n">
        <v>24.09</v>
      </c>
      <c r="P3553" s="0" t="s">
        <v>2444</v>
      </c>
    </row>
    <row r="3554" customFormat="false" ht="15" hidden="false" customHeight="true" outlineLevel="0" collapsed="false">
      <c r="A3554" s="0" t="n">
        <v>2</v>
      </c>
      <c r="B3554" s="71" t="n">
        <v>46216</v>
      </c>
      <c r="C3554" s="0" t="n">
        <v>1</v>
      </c>
      <c r="D3554" s="0" t="s">
        <v>2442</v>
      </c>
      <c r="E3554" s="0" t="n">
        <v>10012</v>
      </c>
      <c r="F3554" s="0" t="s">
        <v>185</v>
      </c>
      <c r="I3554" s="0" t="n">
        <v>1962669</v>
      </c>
      <c r="J3554" s="0" t="n">
        <v>28403</v>
      </c>
      <c r="K3554" s="0" t="n">
        <v>7898133019241</v>
      </c>
      <c r="L3554" s="0" t="s">
        <v>4176</v>
      </c>
      <c r="N3554" s="0" t="n">
        <v>8</v>
      </c>
      <c r="O3554" s="0" t="n">
        <v>158.48</v>
      </c>
      <c r="P3554" s="0" t="s">
        <v>2444</v>
      </c>
    </row>
    <row r="3555" customFormat="false" ht="15" hidden="false" customHeight="true" outlineLevel="0" collapsed="false">
      <c r="A3555" s="0" t="n">
        <v>2</v>
      </c>
      <c r="B3555" s="71" t="n">
        <v>46216</v>
      </c>
      <c r="C3555" s="0" t="n">
        <v>1</v>
      </c>
      <c r="D3555" s="0" t="s">
        <v>2442</v>
      </c>
      <c r="E3555" s="0" t="n">
        <v>10012</v>
      </c>
      <c r="F3555" s="0" t="s">
        <v>185</v>
      </c>
      <c r="I3555" s="0" t="n">
        <v>1962669</v>
      </c>
      <c r="J3555" s="0" t="n">
        <v>29582</v>
      </c>
      <c r="K3555" s="0" t="n">
        <v>7897161345520</v>
      </c>
      <c r="L3555" s="0" t="s">
        <v>4177</v>
      </c>
      <c r="N3555" s="0" t="n">
        <v>3</v>
      </c>
      <c r="O3555" s="0" t="n">
        <v>24.09</v>
      </c>
      <c r="P3555" s="0" t="s">
        <v>2444</v>
      </c>
    </row>
    <row r="3556" customFormat="false" ht="15" hidden="false" customHeight="true" outlineLevel="0" collapsed="false">
      <c r="A3556" s="0" t="n">
        <v>2</v>
      </c>
      <c r="B3556" s="71" t="n">
        <v>46216</v>
      </c>
      <c r="C3556" s="0" t="n">
        <v>1</v>
      </c>
      <c r="D3556" s="0" t="s">
        <v>2442</v>
      </c>
      <c r="E3556" s="0" t="n">
        <v>10012</v>
      </c>
      <c r="F3556" s="0" t="s">
        <v>185</v>
      </c>
      <c r="I3556" s="0" t="n">
        <v>1962669</v>
      </c>
      <c r="J3556" s="0" t="n">
        <v>31448</v>
      </c>
      <c r="K3556" s="0" t="n">
        <v>7896902212510</v>
      </c>
      <c r="L3556" s="0" t="s">
        <v>4178</v>
      </c>
      <c r="N3556" s="0" t="n">
        <v>12</v>
      </c>
      <c r="O3556" s="0" t="n">
        <v>73.68</v>
      </c>
      <c r="P3556" s="0" t="s">
        <v>2444</v>
      </c>
    </row>
    <row r="3557" customFormat="false" ht="15" hidden="false" customHeight="true" outlineLevel="0" collapsed="false">
      <c r="A3557" s="0" t="n">
        <v>2</v>
      </c>
      <c r="B3557" s="71" t="n">
        <v>46216</v>
      </c>
      <c r="C3557" s="0" t="n">
        <v>1</v>
      </c>
      <c r="D3557" s="0" t="s">
        <v>2442</v>
      </c>
      <c r="E3557" s="0" t="n">
        <v>10012</v>
      </c>
      <c r="F3557" s="0" t="s">
        <v>185</v>
      </c>
      <c r="I3557" s="0" t="n">
        <v>1962669</v>
      </c>
      <c r="J3557" s="0" t="n">
        <v>32882</v>
      </c>
      <c r="K3557" s="0" t="n">
        <v>7898133019548</v>
      </c>
      <c r="L3557" s="0" t="s">
        <v>4179</v>
      </c>
      <c r="N3557" s="0" t="n">
        <v>8</v>
      </c>
      <c r="O3557" s="0" t="n">
        <v>158.48</v>
      </c>
      <c r="P3557" s="0" t="s">
        <v>2444</v>
      </c>
    </row>
    <row r="3558" customFormat="false" ht="15" hidden="false" customHeight="true" outlineLevel="0" collapsed="false">
      <c r="A3558" s="0" t="n">
        <v>2</v>
      </c>
      <c r="B3558" s="71" t="n">
        <v>46216</v>
      </c>
      <c r="C3558" s="0" t="n">
        <v>1</v>
      </c>
      <c r="D3558" s="0" t="s">
        <v>2442</v>
      </c>
      <c r="E3558" s="0" t="n">
        <v>10012</v>
      </c>
      <c r="F3558" s="0" t="s">
        <v>185</v>
      </c>
      <c r="I3558" s="0" t="n">
        <v>1962669</v>
      </c>
      <c r="J3558" s="0" t="n">
        <v>33780</v>
      </c>
      <c r="K3558" s="0" t="n">
        <v>7896111986882</v>
      </c>
      <c r="L3558" s="0" t="s">
        <v>4180</v>
      </c>
      <c r="N3558" s="0" t="n">
        <v>6</v>
      </c>
      <c r="O3558" s="0" t="n">
        <v>24.21</v>
      </c>
      <c r="P3558" s="0" t="s">
        <v>2444</v>
      </c>
    </row>
    <row r="3559" customFormat="false" ht="15" hidden="false" customHeight="true" outlineLevel="0" collapsed="false">
      <c r="A3559" s="0" t="n">
        <v>2</v>
      </c>
      <c r="B3559" s="71" t="n">
        <v>46216</v>
      </c>
      <c r="C3559" s="0" t="n">
        <v>1</v>
      </c>
      <c r="D3559" s="0" t="s">
        <v>2442</v>
      </c>
      <c r="E3559" s="0" t="n">
        <v>10012</v>
      </c>
      <c r="F3559" s="0" t="s">
        <v>185</v>
      </c>
      <c r="I3559" s="0" t="n">
        <v>1962669</v>
      </c>
      <c r="J3559" s="0" t="n">
        <v>33782</v>
      </c>
      <c r="K3559" s="0" t="n">
        <v>7896111986929</v>
      </c>
      <c r="L3559" s="0" t="s">
        <v>4181</v>
      </c>
      <c r="N3559" s="0" t="n">
        <v>6</v>
      </c>
      <c r="O3559" s="0" t="n">
        <v>24.21</v>
      </c>
      <c r="P3559" s="0" t="s">
        <v>2444</v>
      </c>
    </row>
    <row r="3560" customFormat="false" ht="15" hidden="false" customHeight="true" outlineLevel="0" collapsed="false">
      <c r="A3560" s="0" t="n">
        <v>2</v>
      </c>
      <c r="B3560" s="71" t="n">
        <v>46216</v>
      </c>
      <c r="C3560" s="0" t="n">
        <v>1</v>
      </c>
      <c r="D3560" s="0" t="s">
        <v>2442</v>
      </c>
      <c r="E3560" s="0" t="n">
        <v>10012</v>
      </c>
      <c r="F3560" s="0" t="s">
        <v>185</v>
      </c>
      <c r="I3560" s="0" t="n">
        <v>1962669</v>
      </c>
      <c r="J3560" s="0" t="n">
        <v>33787</v>
      </c>
      <c r="K3560" s="0" t="n">
        <v>7896111986967</v>
      </c>
      <c r="L3560" s="0" t="s">
        <v>4182</v>
      </c>
      <c r="N3560" s="0" t="n">
        <v>6</v>
      </c>
      <c r="O3560" s="0" t="n">
        <v>24.21</v>
      </c>
      <c r="P3560" s="0" t="s">
        <v>2444</v>
      </c>
    </row>
    <row r="3561" customFormat="false" ht="15" hidden="false" customHeight="true" outlineLevel="0" collapsed="false">
      <c r="A3561" s="0" t="n">
        <v>2</v>
      </c>
      <c r="B3561" s="71" t="n">
        <v>46216</v>
      </c>
      <c r="C3561" s="0" t="n">
        <v>1</v>
      </c>
      <c r="D3561" s="0" t="s">
        <v>2442</v>
      </c>
      <c r="E3561" s="0" t="n">
        <v>10012</v>
      </c>
      <c r="F3561" s="0" t="s">
        <v>185</v>
      </c>
      <c r="I3561" s="0" t="n">
        <v>1962669</v>
      </c>
      <c r="J3561" s="0" t="n">
        <v>33801</v>
      </c>
      <c r="K3561" s="0" t="n">
        <v>7896111986844</v>
      </c>
      <c r="L3561" s="0" t="s">
        <v>4183</v>
      </c>
      <c r="N3561" s="0" t="n">
        <v>6</v>
      </c>
      <c r="O3561" s="0" t="n">
        <v>24.21</v>
      </c>
      <c r="P3561" s="0" t="s">
        <v>2444</v>
      </c>
    </row>
    <row r="3562" customFormat="false" ht="15" hidden="false" customHeight="true" outlineLevel="0" collapsed="false">
      <c r="A3562" s="0" t="n">
        <v>2</v>
      </c>
      <c r="B3562" s="71" t="n">
        <v>46216</v>
      </c>
      <c r="C3562" s="0" t="n">
        <v>1</v>
      </c>
      <c r="D3562" s="0" t="s">
        <v>2442</v>
      </c>
      <c r="E3562" s="0" t="n">
        <v>10012</v>
      </c>
      <c r="F3562" s="0" t="s">
        <v>185</v>
      </c>
      <c r="I3562" s="0" t="n">
        <v>1962669</v>
      </c>
      <c r="J3562" s="0" t="n">
        <v>33959</v>
      </c>
      <c r="K3562" s="0" t="n">
        <v>7896111987001</v>
      </c>
      <c r="L3562" s="0" t="s">
        <v>4184</v>
      </c>
      <c r="N3562" s="0" t="n">
        <v>6</v>
      </c>
      <c r="O3562" s="0" t="n">
        <v>24.21</v>
      </c>
      <c r="P3562" s="0" t="s">
        <v>2444</v>
      </c>
    </row>
    <row r="3563" customFormat="false" ht="15" hidden="false" customHeight="true" outlineLevel="0" collapsed="false">
      <c r="A3563" s="0" t="n">
        <v>2</v>
      </c>
      <c r="B3563" s="71" t="n">
        <v>46216</v>
      </c>
      <c r="C3563" s="0" t="n">
        <v>1</v>
      </c>
      <c r="D3563" s="0" t="s">
        <v>2442</v>
      </c>
      <c r="E3563" s="0" t="n">
        <v>10012</v>
      </c>
      <c r="F3563" s="0" t="s">
        <v>185</v>
      </c>
      <c r="I3563" s="0" t="n">
        <v>1962669</v>
      </c>
      <c r="J3563" s="0" t="n">
        <v>34215</v>
      </c>
      <c r="K3563" s="0" t="n">
        <v>7896046714376</v>
      </c>
      <c r="L3563" s="0" t="s">
        <v>4185</v>
      </c>
      <c r="N3563" s="0" t="n">
        <v>6</v>
      </c>
      <c r="O3563" s="0" t="n">
        <v>139.08</v>
      </c>
      <c r="P3563" s="0" t="s">
        <v>2444</v>
      </c>
    </row>
    <row r="3564" customFormat="false" ht="15" hidden="false" customHeight="true" outlineLevel="0" collapsed="false">
      <c r="A3564" s="0" t="n">
        <v>2</v>
      </c>
      <c r="B3564" s="71" t="n">
        <v>46216</v>
      </c>
      <c r="C3564" s="0" t="n">
        <v>1</v>
      </c>
      <c r="D3564" s="0" t="s">
        <v>2442</v>
      </c>
      <c r="E3564" s="0" t="n">
        <v>10012</v>
      </c>
      <c r="F3564" s="0" t="s">
        <v>185</v>
      </c>
      <c r="I3564" s="0" t="n">
        <v>1962669</v>
      </c>
      <c r="J3564" s="0" t="n">
        <v>37258</v>
      </c>
      <c r="K3564" s="0" t="n">
        <v>7896111992302</v>
      </c>
      <c r="L3564" s="0" t="s">
        <v>4186</v>
      </c>
      <c r="N3564" s="0" t="n">
        <v>6</v>
      </c>
      <c r="O3564" s="0" t="n">
        <v>20.66</v>
      </c>
      <c r="P3564" s="0" t="s">
        <v>2444</v>
      </c>
    </row>
    <row r="3565" customFormat="false" ht="15" hidden="false" customHeight="true" outlineLevel="0" collapsed="false">
      <c r="A3565" s="0" t="n">
        <v>2</v>
      </c>
      <c r="B3565" s="71" t="n">
        <v>46216</v>
      </c>
      <c r="C3565" s="0" t="n">
        <v>1</v>
      </c>
      <c r="D3565" s="0" t="s">
        <v>2442</v>
      </c>
      <c r="E3565" s="0" t="n">
        <v>10012</v>
      </c>
      <c r="F3565" s="0" t="s">
        <v>185</v>
      </c>
      <c r="I3565" s="0" t="n">
        <v>1962669</v>
      </c>
      <c r="J3565" s="0" t="n">
        <v>37692</v>
      </c>
      <c r="K3565" s="0" t="n">
        <v>7896111908488</v>
      </c>
      <c r="L3565" s="0" t="s">
        <v>4187</v>
      </c>
      <c r="N3565" s="0" t="n">
        <v>12</v>
      </c>
      <c r="O3565" s="0" t="n">
        <v>41.32</v>
      </c>
      <c r="P3565" s="0" t="s">
        <v>2444</v>
      </c>
    </row>
    <row r="3566" customFormat="false" ht="15" hidden="false" customHeight="true" outlineLevel="0" collapsed="false">
      <c r="A3566" s="0" t="n">
        <v>2</v>
      </c>
      <c r="B3566" s="71" t="n">
        <v>46216</v>
      </c>
      <c r="C3566" s="0" t="n">
        <v>1</v>
      </c>
      <c r="D3566" s="0" t="s">
        <v>2442</v>
      </c>
      <c r="E3566" s="0" t="n">
        <v>10012</v>
      </c>
      <c r="F3566" s="0" t="s">
        <v>185</v>
      </c>
      <c r="I3566" s="0" t="n">
        <v>1962669</v>
      </c>
      <c r="J3566" s="0" t="n">
        <v>38589</v>
      </c>
      <c r="K3566" s="0" t="n">
        <v>7896111907580</v>
      </c>
      <c r="L3566" s="0" t="s">
        <v>4188</v>
      </c>
      <c r="N3566" s="0" t="n">
        <v>6</v>
      </c>
      <c r="O3566" s="0" t="n">
        <v>20.66</v>
      </c>
      <c r="P3566" s="0" t="s">
        <v>2444</v>
      </c>
    </row>
    <row r="3567" customFormat="false" ht="15" hidden="false" customHeight="true" outlineLevel="0" collapsed="false">
      <c r="A3567" s="0" t="n">
        <v>2</v>
      </c>
      <c r="B3567" s="71" t="n">
        <v>46216</v>
      </c>
      <c r="C3567" s="0" t="n">
        <v>1</v>
      </c>
      <c r="D3567" s="0" t="s">
        <v>2442</v>
      </c>
      <c r="E3567" s="0" t="n">
        <v>10012</v>
      </c>
      <c r="F3567" s="0" t="s">
        <v>185</v>
      </c>
      <c r="I3567" s="0" t="n">
        <v>1962669</v>
      </c>
      <c r="J3567" s="0" t="n">
        <v>39147</v>
      </c>
      <c r="K3567" s="0" t="n">
        <v>7897161300642</v>
      </c>
      <c r="L3567" s="0" t="s">
        <v>4189</v>
      </c>
      <c r="N3567" s="0" t="n">
        <v>3</v>
      </c>
      <c r="O3567" s="0" t="n">
        <v>20.64</v>
      </c>
      <c r="P3567" s="0" t="s">
        <v>2444</v>
      </c>
    </row>
    <row r="3568" customFormat="false" ht="15" hidden="false" customHeight="true" outlineLevel="0" collapsed="false">
      <c r="A3568" s="0" t="n">
        <v>2</v>
      </c>
      <c r="B3568" s="71" t="n">
        <v>46216</v>
      </c>
      <c r="C3568" s="0" t="n">
        <v>1</v>
      </c>
      <c r="D3568" s="0" t="s">
        <v>2442</v>
      </c>
      <c r="E3568" s="0" t="n">
        <v>10012</v>
      </c>
      <c r="F3568" s="0" t="s">
        <v>185</v>
      </c>
      <c r="I3568" s="0" t="n">
        <v>1962669</v>
      </c>
      <c r="J3568" s="0" t="n">
        <v>41261</v>
      </c>
      <c r="K3568" s="0" t="n">
        <v>7896111907504</v>
      </c>
      <c r="L3568" s="0" t="s">
        <v>4190</v>
      </c>
      <c r="N3568" s="0" t="n">
        <v>6</v>
      </c>
      <c r="O3568" s="0" t="n">
        <v>20.66</v>
      </c>
      <c r="P3568" s="0" t="s">
        <v>2444</v>
      </c>
    </row>
    <row r="3569" customFormat="false" ht="15" hidden="false" customHeight="true" outlineLevel="0" collapsed="false">
      <c r="A3569" s="0" t="n">
        <v>2</v>
      </c>
      <c r="B3569" s="71" t="n">
        <v>46216</v>
      </c>
      <c r="C3569" s="0" t="n">
        <v>1</v>
      </c>
      <c r="D3569" s="0" t="s">
        <v>2442</v>
      </c>
      <c r="E3569" s="0" t="n">
        <v>10012</v>
      </c>
      <c r="F3569" s="0" t="s">
        <v>185</v>
      </c>
      <c r="I3569" s="0" t="n">
        <v>1962669</v>
      </c>
      <c r="J3569" s="0" t="n">
        <v>41654</v>
      </c>
      <c r="K3569" s="0" t="n">
        <v>7896111992265</v>
      </c>
      <c r="L3569" s="0" t="s">
        <v>4191</v>
      </c>
      <c r="N3569" s="0" t="n">
        <v>6</v>
      </c>
      <c r="O3569" s="0" t="n">
        <v>20.66</v>
      </c>
      <c r="P3569" s="0" t="s">
        <v>2444</v>
      </c>
    </row>
    <row r="3570" customFormat="false" ht="15" hidden="false" customHeight="true" outlineLevel="0" collapsed="false">
      <c r="A3570" s="0" t="n">
        <v>2</v>
      </c>
      <c r="B3570" s="71" t="n">
        <v>46216</v>
      </c>
      <c r="C3570" s="0" t="n">
        <v>1</v>
      </c>
      <c r="D3570" s="0" t="s">
        <v>2442</v>
      </c>
      <c r="E3570" s="0" t="n">
        <v>10012</v>
      </c>
      <c r="F3570" s="0" t="s">
        <v>185</v>
      </c>
      <c r="I3570" s="0" t="n">
        <v>1962669</v>
      </c>
      <c r="J3570" s="0" t="n">
        <v>42499</v>
      </c>
      <c r="K3570" s="0" t="n">
        <v>7897161345551</v>
      </c>
      <c r="L3570" s="0" t="s">
        <v>4192</v>
      </c>
      <c r="N3570" s="0" t="n">
        <v>3</v>
      </c>
      <c r="O3570" s="0" t="n">
        <v>24.09</v>
      </c>
      <c r="P3570" s="0" t="s">
        <v>2444</v>
      </c>
    </row>
    <row r="3571" customFormat="false" ht="15" hidden="false" customHeight="true" outlineLevel="0" collapsed="false">
      <c r="A3571" s="0" t="n">
        <v>2</v>
      </c>
      <c r="B3571" s="71" t="n">
        <v>46216</v>
      </c>
      <c r="C3571" s="0" t="n">
        <v>1</v>
      </c>
      <c r="D3571" s="0" t="s">
        <v>2442</v>
      </c>
      <c r="E3571" s="0" t="n">
        <v>10012</v>
      </c>
      <c r="F3571" s="0" t="s">
        <v>185</v>
      </c>
      <c r="I3571" s="0" t="n">
        <v>1962669</v>
      </c>
      <c r="J3571" s="0" t="n">
        <v>45437</v>
      </c>
      <c r="K3571" s="0" t="n">
        <v>7896111992913</v>
      </c>
      <c r="L3571" s="0" t="s">
        <v>4193</v>
      </c>
      <c r="N3571" s="0" t="n">
        <v>6</v>
      </c>
      <c r="O3571" s="0" t="n">
        <v>20.66</v>
      </c>
      <c r="P3571" s="0" t="s">
        <v>2444</v>
      </c>
    </row>
    <row r="3572" customFormat="false" ht="15" hidden="false" customHeight="true" outlineLevel="0" collapsed="false">
      <c r="A3572" s="0" t="n">
        <v>2</v>
      </c>
      <c r="B3572" s="71" t="n">
        <v>46216</v>
      </c>
      <c r="C3572" s="0" t="n">
        <v>1</v>
      </c>
      <c r="D3572" s="0" t="s">
        <v>2442</v>
      </c>
      <c r="E3572" s="0" t="n">
        <v>10012</v>
      </c>
      <c r="F3572" s="0" t="s">
        <v>185</v>
      </c>
      <c r="I3572" s="0" t="n">
        <v>1962669</v>
      </c>
      <c r="J3572" s="0" t="n">
        <v>47784</v>
      </c>
      <c r="K3572" s="0" t="n">
        <v>7897161340358</v>
      </c>
      <c r="L3572" s="0" t="s">
        <v>4194</v>
      </c>
      <c r="N3572" s="0" t="n">
        <v>6</v>
      </c>
      <c r="O3572" s="0" t="n">
        <v>40.74</v>
      </c>
      <c r="P3572" s="0" t="s">
        <v>2444</v>
      </c>
    </row>
    <row r="3573" customFormat="false" ht="15" hidden="false" customHeight="true" outlineLevel="0" collapsed="false">
      <c r="A3573" s="0" t="n">
        <v>2</v>
      </c>
      <c r="B3573" s="71" t="n">
        <v>46216</v>
      </c>
      <c r="C3573" s="0" t="n">
        <v>1</v>
      </c>
      <c r="D3573" s="0" t="s">
        <v>2442</v>
      </c>
      <c r="E3573" s="0" t="n">
        <v>10012</v>
      </c>
      <c r="F3573" s="0" t="s">
        <v>185</v>
      </c>
      <c r="I3573" s="0" t="n">
        <v>1962669</v>
      </c>
      <c r="J3573" s="0" t="n">
        <v>48366</v>
      </c>
      <c r="K3573" s="0" t="n">
        <v>7891800651430</v>
      </c>
      <c r="L3573" s="0" t="s">
        <v>4195</v>
      </c>
      <c r="N3573" s="0" t="n">
        <v>24</v>
      </c>
      <c r="O3573" s="0" t="n">
        <v>151.68</v>
      </c>
      <c r="P3573" s="0" t="s">
        <v>2444</v>
      </c>
    </row>
    <row r="3574" customFormat="false" ht="15" hidden="false" customHeight="true" outlineLevel="0" collapsed="false">
      <c r="A3574" s="0" t="n">
        <v>2</v>
      </c>
      <c r="B3574" s="71" t="n">
        <v>46216</v>
      </c>
      <c r="C3574" s="0" t="n">
        <v>1</v>
      </c>
      <c r="D3574" s="0" t="s">
        <v>2442</v>
      </c>
      <c r="E3574" s="0" t="n">
        <v>10012</v>
      </c>
      <c r="F3574" s="0" t="s">
        <v>185</v>
      </c>
      <c r="I3574" s="0" t="n">
        <v>1962669</v>
      </c>
      <c r="J3574" s="0" t="n">
        <v>49992</v>
      </c>
      <c r="K3574" s="0" t="n">
        <v>7898148117932</v>
      </c>
      <c r="L3574" s="0" t="s">
        <v>4196</v>
      </c>
      <c r="N3574" s="0" t="n">
        <v>6</v>
      </c>
      <c r="O3574" s="0" t="n">
        <v>83.16</v>
      </c>
      <c r="P3574" s="0" t="s">
        <v>2444</v>
      </c>
    </row>
    <row r="3575" customFormat="false" ht="15" hidden="false" customHeight="true" outlineLevel="0" collapsed="false">
      <c r="A3575" s="0" t="n">
        <v>2</v>
      </c>
      <c r="B3575" s="71" t="n">
        <v>46216</v>
      </c>
      <c r="C3575" s="0" t="n">
        <v>1</v>
      </c>
      <c r="D3575" s="0" t="s">
        <v>2442</v>
      </c>
      <c r="E3575" s="0" t="n">
        <v>10012</v>
      </c>
      <c r="F3575" s="0" t="s">
        <v>185</v>
      </c>
      <c r="I3575" s="0" t="n">
        <v>1962669</v>
      </c>
      <c r="J3575" s="0" t="n">
        <v>51620</v>
      </c>
      <c r="K3575" s="0" t="n">
        <v>7896111908471</v>
      </c>
      <c r="L3575" s="0" t="s">
        <v>4197</v>
      </c>
      <c r="N3575" s="0" t="n">
        <v>6</v>
      </c>
      <c r="O3575" s="0" t="n">
        <v>20.66</v>
      </c>
      <c r="P3575" s="0" t="s">
        <v>2444</v>
      </c>
    </row>
    <row r="3576" customFormat="false" ht="15" hidden="false" customHeight="true" outlineLevel="0" collapsed="false">
      <c r="A3576" s="0" t="n">
        <v>2</v>
      </c>
      <c r="B3576" s="71" t="n">
        <v>46216</v>
      </c>
      <c r="C3576" s="0" t="n">
        <v>1</v>
      </c>
      <c r="D3576" s="0" t="s">
        <v>2442</v>
      </c>
      <c r="E3576" s="0" t="n">
        <v>10012</v>
      </c>
      <c r="F3576" s="0" t="s">
        <v>185</v>
      </c>
      <c r="I3576" s="0" t="n">
        <v>1962669</v>
      </c>
      <c r="J3576" s="0" t="n">
        <v>55922</v>
      </c>
      <c r="K3576" s="0" t="n">
        <v>7891800668209</v>
      </c>
      <c r="L3576" s="0" t="s">
        <v>4198</v>
      </c>
      <c r="N3576" s="0" t="n">
        <v>40</v>
      </c>
      <c r="O3576" s="0" t="n">
        <v>97.6</v>
      </c>
      <c r="P3576" s="0" t="s">
        <v>2444</v>
      </c>
    </row>
    <row r="3577" customFormat="false" ht="15" hidden="false" customHeight="true" outlineLevel="0" collapsed="false">
      <c r="A3577" s="0" t="n">
        <v>2</v>
      </c>
      <c r="B3577" s="71" t="n">
        <v>46216</v>
      </c>
      <c r="C3577" s="0" t="n">
        <v>1</v>
      </c>
      <c r="D3577" s="0" t="s">
        <v>2442</v>
      </c>
      <c r="E3577" s="0" t="n">
        <v>10012</v>
      </c>
      <c r="F3577" s="0" t="s">
        <v>185</v>
      </c>
      <c r="I3577" s="0" t="n">
        <v>1962669</v>
      </c>
      <c r="J3577" s="0" t="n">
        <v>62052</v>
      </c>
      <c r="K3577" s="0" t="n">
        <v>7891800673715</v>
      </c>
      <c r="L3577" s="0" t="s">
        <v>4199</v>
      </c>
      <c r="N3577" s="0" t="n">
        <v>60</v>
      </c>
      <c r="O3577" s="0" t="n">
        <v>99</v>
      </c>
      <c r="P3577" s="0" t="s">
        <v>2444</v>
      </c>
    </row>
    <row r="3578" customFormat="false" ht="15" hidden="false" customHeight="true" outlineLevel="0" collapsed="false">
      <c r="A3578" s="0" t="n">
        <v>2</v>
      </c>
      <c r="B3578" s="71" t="n">
        <v>46216</v>
      </c>
      <c r="C3578" s="0" t="n">
        <v>1</v>
      </c>
      <c r="D3578" s="0" t="s">
        <v>2442</v>
      </c>
      <c r="E3578" s="0" t="n">
        <v>10012</v>
      </c>
      <c r="F3578" s="0" t="s">
        <v>185</v>
      </c>
      <c r="I3578" s="0" t="n">
        <v>1962669</v>
      </c>
      <c r="J3578" s="0" t="n">
        <v>66537</v>
      </c>
      <c r="K3578" s="0" t="n">
        <v>7897161327106</v>
      </c>
      <c r="L3578" s="0" t="s">
        <v>4200</v>
      </c>
      <c r="N3578" s="0" t="n">
        <v>6</v>
      </c>
      <c r="O3578" s="0" t="n">
        <v>55.02</v>
      </c>
      <c r="P3578" s="0" t="s">
        <v>2444</v>
      </c>
    </row>
    <row r="3579" customFormat="false" ht="15" hidden="false" customHeight="true" outlineLevel="0" collapsed="false">
      <c r="A3579" s="0" t="n">
        <v>2</v>
      </c>
      <c r="B3579" s="71" t="n">
        <v>46216</v>
      </c>
      <c r="C3579" s="0" t="n">
        <v>1</v>
      </c>
      <c r="D3579" s="0" t="s">
        <v>2442</v>
      </c>
      <c r="E3579" s="0" t="n">
        <v>10012</v>
      </c>
      <c r="F3579" s="0" t="s">
        <v>185</v>
      </c>
      <c r="I3579" s="0" t="n">
        <v>1962669</v>
      </c>
      <c r="J3579" s="0" t="n">
        <v>66538</v>
      </c>
      <c r="K3579" s="0" t="n">
        <v>7897161327021</v>
      </c>
      <c r="L3579" s="0" t="s">
        <v>4200</v>
      </c>
      <c r="N3579" s="0" t="n">
        <v>6</v>
      </c>
      <c r="O3579" s="0" t="n">
        <v>52.44</v>
      </c>
      <c r="P3579" s="0" t="s">
        <v>2444</v>
      </c>
    </row>
    <row r="3580" customFormat="false" ht="15" hidden="false" customHeight="true" outlineLevel="0" collapsed="false">
      <c r="A3580" s="0" t="n">
        <v>2</v>
      </c>
      <c r="B3580" s="71" t="n">
        <v>46216</v>
      </c>
      <c r="C3580" s="0" t="n">
        <v>1</v>
      </c>
      <c r="D3580" s="0" t="s">
        <v>2442</v>
      </c>
      <c r="E3580" s="0" t="n">
        <v>10012</v>
      </c>
      <c r="F3580" s="0" t="s">
        <v>185</v>
      </c>
      <c r="I3580" s="0" t="n">
        <v>1962669</v>
      </c>
      <c r="J3580" s="0" t="n">
        <v>66911</v>
      </c>
      <c r="K3580" s="0" t="n">
        <v>7897161353143</v>
      </c>
      <c r="L3580" s="0" t="s">
        <v>4201</v>
      </c>
      <c r="N3580" s="0" t="n">
        <v>6</v>
      </c>
      <c r="O3580" s="0" t="n">
        <v>36.06</v>
      </c>
      <c r="P3580" s="0" t="s">
        <v>2444</v>
      </c>
    </row>
    <row r="3581" customFormat="false" ht="15" hidden="false" customHeight="true" outlineLevel="0" collapsed="false">
      <c r="A3581" s="0" t="n">
        <v>2</v>
      </c>
      <c r="B3581" s="71" t="n">
        <v>46216</v>
      </c>
      <c r="C3581" s="0" t="n">
        <v>1</v>
      </c>
      <c r="D3581" s="0" t="s">
        <v>2442</v>
      </c>
      <c r="E3581" s="0" t="n">
        <v>10012</v>
      </c>
      <c r="F3581" s="0" t="s">
        <v>185</v>
      </c>
      <c r="I3581" s="0" t="n">
        <v>1962669</v>
      </c>
      <c r="J3581" s="0" t="n">
        <v>66912</v>
      </c>
      <c r="K3581" s="0" t="n">
        <v>7897161353136</v>
      </c>
      <c r="L3581" s="0" t="s">
        <v>4201</v>
      </c>
      <c r="N3581" s="0" t="n">
        <v>6</v>
      </c>
      <c r="O3581" s="0" t="n">
        <v>36.06</v>
      </c>
      <c r="P3581" s="0" t="s">
        <v>2444</v>
      </c>
    </row>
    <row r="3582" customFormat="false" ht="15" hidden="false" customHeight="true" outlineLevel="0" collapsed="false">
      <c r="A3582" s="0" t="n">
        <v>2</v>
      </c>
      <c r="B3582" s="71" t="n">
        <v>46216</v>
      </c>
      <c r="C3582" s="0" t="n">
        <v>1</v>
      </c>
      <c r="D3582" s="0" t="s">
        <v>2442</v>
      </c>
      <c r="E3582" s="0" t="n">
        <v>10012</v>
      </c>
      <c r="F3582" s="0" t="s">
        <v>185</v>
      </c>
      <c r="I3582" s="0" t="n">
        <v>1962669</v>
      </c>
      <c r="J3582" s="0" t="n">
        <v>67454</v>
      </c>
      <c r="K3582" s="0" t="n">
        <v>7896111999639</v>
      </c>
      <c r="L3582" s="0" t="s">
        <v>4202</v>
      </c>
      <c r="N3582" s="0" t="n">
        <v>6</v>
      </c>
      <c r="O3582" s="0" t="n">
        <v>24.64</v>
      </c>
      <c r="P3582" s="0" t="s">
        <v>2444</v>
      </c>
    </row>
    <row r="3583" customFormat="false" ht="15" hidden="false" customHeight="true" outlineLevel="0" collapsed="false">
      <c r="A3583" s="0" t="n">
        <v>2</v>
      </c>
      <c r="B3583" s="71" t="n">
        <v>46216</v>
      </c>
      <c r="C3583" s="0" t="n">
        <v>1</v>
      </c>
      <c r="D3583" s="0" t="s">
        <v>2442</v>
      </c>
      <c r="E3583" s="0" t="n">
        <v>10012</v>
      </c>
      <c r="F3583" s="0" t="s">
        <v>185</v>
      </c>
      <c r="I3583" s="0" t="n">
        <v>1962669</v>
      </c>
      <c r="J3583" s="0" t="n">
        <v>73252</v>
      </c>
      <c r="K3583" s="0" t="n">
        <v>7891060894486</v>
      </c>
      <c r="L3583" s="0" t="s">
        <v>4203</v>
      </c>
      <c r="N3583" s="0" t="n">
        <v>6</v>
      </c>
      <c r="O3583" s="0" t="n">
        <v>47.46</v>
      </c>
      <c r="P3583" s="0" t="s">
        <v>2444</v>
      </c>
    </row>
    <row r="3584" customFormat="false" ht="15" hidden="false" customHeight="true" outlineLevel="0" collapsed="false">
      <c r="A3584" s="0" t="n">
        <v>2</v>
      </c>
      <c r="B3584" s="71" t="n">
        <v>46216</v>
      </c>
      <c r="C3584" s="0" t="n">
        <v>1</v>
      </c>
      <c r="D3584" s="0" t="s">
        <v>2442</v>
      </c>
      <c r="E3584" s="0" t="n">
        <v>10012</v>
      </c>
      <c r="F3584" s="0" t="s">
        <v>185</v>
      </c>
      <c r="I3584" s="0" t="n">
        <v>1962669</v>
      </c>
      <c r="J3584" s="0" t="n">
        <v>76926</v>
      </c>
      <c r="K3584" s="0" t="n">
        <v>7897161327120</v>
      </c>
      <c r="L3584" s="0" t="s">
        <v>4200</v>
      </c>
      <c r="N3584" s="0" t="n">
        <v>6</v>
      </c>
      <c r="O3584" s="0" t="n">
        <v>55.02</v>
      </c>
      <c r="P3584" s="0" t="s">
        <v>2444</v>
      </c>
    </row>
    <row r="3585" customFormat="false" ht="15" hidden="false" customHeight="true" outlineLevel="0" collapsed="false">
      <c r="A3585" s="0" t="n">
        <v>2</v>
      </c>
      <c r="B3585" s="71" t="n">
        <v>46216</v>
      </c>
      <c r="C3585" s="0" t="n">
        <v>1</v>
      </c>
      <c r="D3585" s="0" t="s">
        <v>2442</v>
      </c>
      <c r="E3585" s="0" t="n">
        <v>10012</v>
      </c>
      <c r="F3585" s="0" t="s">
        <v>185</v>
      </c>
      <c r="I3585" s="0" t="n">
        <v>1962669</v>
      </c>
      <c r="J3585" s="0" t="n">
        <v>79961</v>
      </c>
      <c r="K3585" s="0" t="n">
        <v>7896111904282</v>
      </c>
      <c r="L3585" s="0" t="s">
        <v>4204</v>
      </c>
      <c r="N3585" s="0" t="n">
        <v>6</v>
      </c>
      <c r="O3585" s="0" t="n">
        <v>22.7</v>
      </c>
      <c r="P3585" s="0" t="s">
        <v>2444</v>
      </c>
    </row>
    <row r="3586" customFormat="false" ht="15" hidden="false" customHeight="true" outlineLevel="0" collapsed="false">
      <c r="A3586" s="0" t="n">
        <v>2</v>
      </c>
      <c r="B3586" s="71" t="n">
        <v>46216</v>
      </c>
      <c r="C3586" s="0" t="n">
        <v>1</v>
      </c>
      <c r="D3586" s="0" t="s">
        <v>2442</v>
      </c>
      <c r="E3586" s="0" t="n">
        <v>10012</v>
      </c>
      <c r="F3586" s="0" t="s">
        <v>185</v>
      </c>
      <c r="I3586" s="0" t="n">
        <v>1962669</v>
      </c>
      <c r="J3586" s="0" t="n">
        <v>79993</v>
      </c>
      <c r="K3586" s="0" t="n">
        <v>7896111904275</v>
      </c>
      <c r="L3586" s="0" t="s">
        <v>4205</v>
      </c>
      <c r="N3586" s="0" t="n">
        <v>6</v>
      </c>
      <c r="O3586" s="0" t="n">
        <v>24.72</v>
      </c>
      <c r="P3586" s="0" t="s">
        <v>2444</v>
      </c>
    </row>
    <row r="3587" customFormat="false" ht="15" hidden="false" customHeight="true" outlineLevel="0" collapsed="false">
      <c r="A3587" s="0" t="n">
        <v>2</v>
      </c>
      <c r="B3587" s="71" t="n">
        <v>46216</v>
      </c>
      <c r="C3587" s="0" t="n">
        <v>1</v>
      </c>
      <c r="D3587" s="0" t="s">
        <v>2442</v>
      </c>
      <c r="E3587" s="0" t="n">
        <v>10012</v>
      </c>
      <c r="F3587" s="0" t="s">
        <v>185</v>
      </c>
      <c r="I3587" s="0" t="n">
        <v>1962669</v>
      </c>
      <c r="J3587" s="0" t="n">
        <v>79995</v>
      </c>
      <c r="K3587" s="0" t="n">
        <v>7896111904183</v>
      </c>
      <c r="L3587" s="0" t="s">
        <v>4206</v>
      </c>
      <c r="N3587" s="0" t="n">
        <v>6</v>
      </c>
      <c r="O3587" s="0" t="n">
        <v>24.72</v>
      </c>
      <c r="P3587" s="0" t="s">
        <v>2444</v>
      </c>
    </row>
    <row r="3588" customFormat="false" ht="15" hidden="false" customHeight="true" outlineLevel="0" collapsed="false">
      <c r="A3588" s="0" t="n">
        <v>2</v>
      </c>
      <c r="B3588" s="71" t="n">
        <v>46216</v>
      </c>
      <c r="C3588" s="0" t="n">
        <v>1</v>
      </c>
      <c r="D3588" s="0" t="s">
        <v>2442</v>
      </c>
      <c r="E3588" s="0" t="n">
        <v>10012</v>
      </c>
      <c r="F3588" s="0" t="s">
        <v>185</v>
      </c>
      <c r="I3588" s="0" t="n">
        <v>1962669</v>
      </c>
      <c r="J3588" s="0" t="n">
        <v>81607</v>
      </c>
      <c r="K3588" s="0" t="n">
        <v>7896111906729</v>
      </c>
      <c r="L3588" s="0" t="s">
        <v>4207</v>
      </c>
      <c r="N3588" s="0" t="n">
        <v>6</v>
      </c>
      <c r="O3588" s="0" t="n">
        <v>20.66</v>
      </c>
      <c r="P3588" s="0" t="s">
        <v>2444</v>
      </c>
    </row>
    <row r="3589" customFormat="false" ht="15" hidden="false" customHeight="true" outlineLevel="0" collapsed="false">
      <c r="A3589" s="0" t="n">
        <v>2</v>
      </c>
      <c r="B3589" s="71" t="n">
        <v>46216</v>
      </c>
      <c r="C3589" s="0" t="n">
        <v>1</v>
      </c>
      <c r="D3589" s="0" t="s">
        <v>2442</v>
      </c>
      <c r="E3589" s="0" t="n">
        <v>10012</v>
      </c>
      <c r="F3589" s="0" t="s">
        <v>185</v>
      </c>
      <c r="I3589" s="0" t="n">
        <v>1962669</v>
      </c>
      <c r="J3589" s="0" t="n">
        <v>81611</v>
      </c>
      <c r="K3589" s="0" t="n">
        <v>7896111906712</v>
      </c>
      <c r="L3589" s="0" t="s">
        <v>4208</v>
      </c>
      <c r="N3589" s="0" t="n">
        <v>6</v>
      </c>
      <c r="O3589" s="0" t="n">
        <v>20.66</v>
      </c>
      <c r="P3589" s="0" t="s">
        <v>2444</v>
      </c>
    </row>
    <row r="3590" customFormat="false" ht="15" hidden="false" customHeight="true" outlineLevel="0" collapsed="false">
      <c r="A3590" s="0" t="n">
        <v>2</v>
      </c>
      <c r="B3590" s="71" t="n">
        <v>46216</v>
      </c>
      <c r="C3590" s="0" t="n">
        <v>1</v>
      </c>
      <c r="D3590" s="0" t="s">
        <v>2442</v>
      </c>
      <c r="E3590" s="0" t="n">
        <v>10012</v>
      </c>
      <c r="F3590" s="0" t="s">
        <v>185</v>
      </c>
      <c r="I3590" s="0" t="n">
        <v>1962669</v>
      </c>
      <c r="J3590" s="0" t="n">
        <v>81707</v>
      </c>
      <c r="K3590" s="0" t="n">
        <v>7896111906668</v>
      </c>
      <c r="L3590" s="0" t="s">
        <v>4209</v>
      </c>
      <c r="N3590" s="0" t="n">
        <v>6</v>
      </c>
      <c r="O3590" s="0" t="n">
        <v>24.72</v>
      </c>
      <c r="P3590" s="0" t="s">
        <v>2444</v>
      </c>
    </row>
    <row r="3591" customFormat="false" ht="15" hidden="false" customHeight="true" outlineLevel="0" collapsed="false">
      <c r="A3591" s="0" t="n">
        <v>2</v>
      </c>
      <c r="B3591" s="71" t="n">
        <v>46216</v>
      </c>
      <c r="C3591" s="0" t="n">
        <v>1</v>
      </c>
      <c r="D3591" s="0" t="s">
        <v>2442</v>
      </c>
      <c r="E3591" s="0" t="n">
        <v>10012</v>
      </c>
      <c r="F3591" s="0" t="s">
        <v>185</v>
      </c>
      <c r="I3591" s="0" t="n">
        <v>1962669</v>
      </c>
      <c r="J3591" s="0" t="n">
        <v>81708</v>
      </c>
      <c r="K3591" s="0" t="n">
        <v>7898146001783</v>
      </c>
      <c r="L3591" s="0" t="s">
        <v>4210</v>
      </c>
      <c r="N3591" s="0" t="n">
        <v>12</v>
      </c>
      <c r="O3591" s="0" t="n">
        <v>177.6</v>
      </c>
      <c r="P3591" s="0" t="s">
        <v>2444</v>
      </c>
    </row>
    <row r="3592" customFormat="false" ht="15" hidden="false" customHeight="true" outlineLevel="0" collapsed="false">
      <c r="A3592" s="0" t="n">
        <v>2</v>
      </c>
      <c r="B3592" s="71" t="n">
        <v>46216</v>
      </c>
      <c r="C3592" s="0" t="n">
        <v>1</v>
      </c>
      <c r="D3592" s="0" t="s">
        <v>2442</v>
      </c>
      <c r="E3592" s="0" t="n">
        <v>10012</v>
      </c>
      <c r="F3592" s="0" t="s">
        <v>185</v>
      </c>
      <c r="I3592" s="0" t="n">
        <v>1962669</v>
      </c>
      <c r="J3592" s="0" t="n">
        <v>81709</v>
      </c>
      <c r="K3592" s="0" t="n">
        <v>7898146001790</v>
      </c>
      <c r="L3592" s="0" t="s">
        <v>4211</v>
      </c>
      <c r="N3592" s="0" t="n">
        <v>12</v>
      </c>
      <c r="O3592" s="0" t="n">
        <v>177.6</v>
      </c>
      <c r="P3592" s="0" t="s">
        <v>2444</v>
      </c>
    </row>
    <row r="3593" customFormat="false" ht="15" hidden="false" customHeight="true" outlineLevel="0" collapsed="false">
      <c r="A3593" s="0" t="n">
        <v>2</v>
      </c>
      <c r="B3593" s="71" t="n">
        <v>46216</v>
      </c>
      <c r="C3593" s="0" t="n">
        <v>1</v>
      </c>
      <c r="D3593" s="0" t="s">
        <v>2442</v>
      </c>
      <c r="E3593" s="0" t="n">
        <v>10012</v>
      </c>
      <c r="F3593" s="0" t="s">
        <v>185</v>
      </c>
      <c r="I3593" s="0" t="n">
        <v>1962669</v>
      </c>
      <c r="J3593" s="0" t="n">
        <v>81713</v>
      </c>
      <c r="K3593" s="0" t="n">
        <v>7891800810165</v>
      </c>
      <c r="L3593" s="0" t="s">
        <v>4212</v>
      </c>
      <c r="N3593" s="0" t="n">
        <v>12</v>
      </c>
      <c r="O3593" s="0" t="n">
        <v>107.16</v>
      </c>
      <c r="P3593" s="0" t="s">
        <v>2444</v>
      </c>
    </row>
    <row r="3594" customFormat="false" ht="15" hidden="false" customHeight="true" outlineLevel="0" collapsed="false">
      <c r="A3594" s="0" t="n">
        <v>2</v>
      </c>
      <c r="B3594" s="71" t="n">
        <v>46216</v>
      </c>
      <c r="C3594" s="0" t="n">
        <v>6</v>
      </c>
      <c r="D3594" s="0" t="s">
        <v>2553</v>
      </c>
      <c r="E3594" s="0" t="n">
        <v>48</v>
      </c>
      <c r="F3594" s="0" t="s">
        <v>153</v>
      </c>
      <c r="I3594" s="0" t="n">
        <v>2539</v>
      </c>
      <c r="J3594" s="0" t="n">
        <v>42564</v>
      </c>
      <c r="K3594" s="0" t="n">
        <v>574</v>
      </c>
      <c r="L3594" s="0" t="s">
        <v>2534</v>
      </c>
      <c r="N3594" s="0" t="n">
        <v>15</v>
      </c>
      <c r="O3594" s="0" t="n">
        <v>210</v>
      </c>
      <c r="P3594" s="0" t="s">
        <v>2444</v>
      </c>
    </row>
    <row r="3595" customFormat="false" ht="15" hidden="false" customHeight="true" outlineLevel="0" collapsed="false">
      <c r="A3595" s="0" t="n">
        <v>2</v>
      </c>
      <c r="B3595" s="71" t="n">
        <v>46216</v>
      </c>
      <c r="C3595" s="0" t="n">
        <v>39</v>
      </c>
      <c r="D3595" s="0" t="s">
        <v>3298</v>
      </c>
      <c r="E3595" s="0" t="n">
        <v>1636</v>
      </c>
      <c r="F3595" s="0" t="s">
        <v>61</v>
      </c>
      <c r="I3595" s="0" t="n">
        <v>3217924</v>
      </c>
      <c r="J3595" s="0" t="n">
        <v>45631</v>
      </c>
      <c r="K3595" s="0" t="n">
        <v>77896061971333</v>
      </c>
      <c r="L3595" s="0" t="s">
        <v>4213</v>
      </c>
      <c r="N3595" s="0" t="n">
        <v>8</v>
      </c>
      <c r="O3595" s="0" t="n">
        <v>80.87</v>
      </c>
      <c r="P3595" s="0" t="s">
        <v>2444</v>
      </c>
    </row>
    <row r="3596" customFormat="false" ht="15" hidden="false" customHeight="true" outlineLevel="0" collapsed="false">
      <c r="A3596" s="0" t="n">
        <v>2</v>
      </c>
      <c r="B3596" s="71" t="n">
        <v>46216</v>
      </c>
      <c r="C3596" s="0" t="n">
        <v>39</v>
      </c>
      <c r="D3596" s="0" t="s">
        <v>3298</v>
      </c>
      <c r="E3596" s="0" t="n">
        <v>1636</v>
      </c>
      <c r="F3596" s="0" t="s">
        <v>61</v>
      </c>
      <c r="I3596" s="0" t="n">
        <v>3217924</v>
      </c>
      <c r="J3596" s="0" t="n">
        <v>45635</v>
      </c>
      <c r="K3596" s="0" t="n">
        <v>77896061972354</v>
      </c>
      <c r="L3596" s="0" t="s">
        <v>4214</v>
      </c>
      <c r="N3596" s="0" t="n">
        <v>6</v>
      </c>
      <c r="O3596" s="0" t="n">
        <v>153.03</v>
      </c>
      <c r="P3596" s="0" t="s">
        <v>2444</v>
      </c>
    </row>
    <row r="3597" customFormat="false" ht="15" hidden="false" customHeight="true" outlineLevel="0" collapsed="false">
      <c r="A3597" s="0" t="n">
        <v>2</v>
      </c>
      <c r="B3597" s="71" t="n">
        <v>46216</v>
      </c>
      <c r="C3597" s="0" t="n">
        <v>39</v>
      </c>
      <c r="D3597" s="0" t="s">
        <v>3298</v>
      </c>
      <c r="E3597" s="0" t="n">
        <v>1636</v>
      </c>
      <c r="F3597" s="0" t="s">
        <v>61</v>
      </c>
      <c r="I3597" s="0" t="n">
        <v>3217924</v>
      </c>
      <c r="J3597" s="0" t="n">
        <v>47309</v>
      </c>
      <c r="K3597" s="0" t="n">
        <v>7898908483062</v>
      </c>
      <c r="L3597" s="0" t="s">
        <v>4215</v>
      </c>
      <c r="N3597" s="0" t="n">
        <v>2</v>
      </c>
      <c r="O3597" s="0" t="n">
        <v>58.49</v>
      </c>
      <c r="P3597" s="0" t="s">
        <v>2444</v>
      </c>
    </row>
    <row r="3598" customFormat="false" ht="15" hidden="false" customHeight="true" outlineLevel="0" collapsed="false">
      <c r="A3598" s="0" t="n">
        <v>2</v>
      </c>
      <c r="B3598" s="71" t="n">
        <v>46217</v>
      </c>
      <c r="C3598" s="0" t="n">
        <v>1</v>
      </c>
      <c r="D3598" s="0" t="s">
        <v>2442</v>
      </c>
      <c r="E3598" s="0" t="n">
        <v>1625</v>
      </c>
      <c r="F3598" s="0" t="s">
        <v>270</v>
      </c>
      <c r="I3598" s="0" t="n">
        <v>14685</v>
      </c>
      <c r="J3598" s="0" t="n">
        <v>29079</v>
      </c>
      <c r="K3598" s="0" t="n">
        <v>55515</v>
      </c>
      <c r="L3598" s="0" t="s">
        <v>2449</v>
      </c>
      <c r="N3598" s="0" t="n">
        <v>79.2</v>
      </c>
      <c r="O3598" s="0" t="n">
        <v>2605.68</v>
      </c>
      <c r="P3598" s="0" t="s">
        <v>2444</v>
      </c>
    </row>
    <row r="3599" customFormat="false" ht="15" hidden="false" customHeight="true" outlineLevel="0" collapsed="false">
      <c r="A3599" s="0" t="n">
        <v>2</v>
      </c>
      <c r="B3599" s="71" t="n">
        <v>46217</v>
      </c>
      <c r="C3599" s="0" t="n">
        <v>1</v>
      </c>
      <c r="D3599" s="0" t="s">
        <v>2442</v>
      </c>
      <c r="E3599" s="0" t="n">
        <v>1625</v>
      </c>
      <c r="F3599" s="0" t="s">
        <v>270</v>
      </c>
      <c r="I3599" s="0" t="n">
        <v>14685</v>
      </c>
      <c r="J3599" s="0" t="n">
        <v>29080</v>
      </c>
      <c r="K3599" s="0" t="n">
        <v>55516</v>
      </c>
      <c r="L3599" s="0" t="s">
        <v>2450</v>
      </c>
      <c r="N3599" s="0" t="n">
        <v>62.8</v>
      </c>
      <c r="O3599" s="0" t="n">
        <v>1438.12</v>
      </c>
      <c r="P3599" s="0" t="s">
        <v>2444</v>
      </c>
    </row>
    <row r="3600" customFormat="false" ht="15" hidden="false" customHeight="true" outlineLevel="0" collapsed="false">
      <c r="A3600" s="0" t="n">
        <v>2</v>
      </c>
      <c r="B3600" s="71" t="n">
        <v>46217</v>
      </c>
      <c r="C3600" s="0" t="n">
        <v>1</v>
      </c>
      <c r="D3600" s="0" t="s">
        <v>2442</v>
      </c>
      <c r="E3600" s="0" t="n">
        <v>1642</v>
      </c>
      <c r="F3600" s="0" t="s">
        <v>228</v>
      </c>
      <c r="I3600" s="0" t="n">
        <v>1031749</v>
      </c>
      <c r="J3600" s="0" t="n">
        <v>104335</v>
      </c>
      <c r="K3600" s="0" t="n">
        <v>7896289210512</v>
      </c>
      <c r="L3600" s="0" t="s">
        <v>4216</v>
      </c>
      <c r="N3600" s="0" t="n">
        <v>10</v>
      </c>
      <c r="O3600" s="0" t="n">
        <v>86</v>
      </c>
      <c r="P3600" s="0" t="s">
        <v>2444</v>
      </c>
    </row>
    <row r="3601" customFormat="false" ht="15" hidden="false" customHeight="true" outlineLevel="0" collapsed="false">
      <c r="A3601" s="0" t="n">
        <v>2</v>
      </c>
      <c r="B3601" s="71" t="n">
        <v>46217</v>
      </c>
      <c r="C3601" s="0" t="n">
        <v>1</v>
      </c>
      <c r="D3601" s="0" t="s">
        <v>2442</v>
      </c>
      <c r="E3601" s="0" t="n">
        <v>1642</v>
      </c>
      <c r="F3601" s="0" t="s">
        <v>228</v>
      </c>
      <c r="I3601" s="0" t="n">
        <v>1031749</v>
      </c>
      <c r="J3601" s="0" t="n">
        <v>105780</v>
      </c>
      <c r="K3601" s="0" t="n">
        <v>7896289210017</v>
      </c>
      <c r="L3601" s="0" t="s">
        <v>2511</v>
      </c>
      <c r="N3601" s="0" t="n">
        <v>10</v>
      </c>
      <c r="O3601" s="0" t="n">
        <v>106.7</v>
      </c>
      <c r="P3601" s="0" t="s">
        <v>2444</v>
      </c>
    </row>
    <row r="3602" customFormat="false" ht="15" hidden="false" customHeight="true" outlineLevel="0" collapsed="false">
      <c r="A3602" s="0" t="n">
        <v>2</v>
      </c>
      <c r="B3602" s="71" t="n">
        <v>46217</v>
      </c>
      <c r="C3602" s="0" t="n">
        <v>1</v>
      </c>
      <c r="D3602" s="0" t="s">
        <v>2442</v>
      </c>
      <c r="E3602" s="0" t="n">
        <v>1642</v>
      </c>
      <c r="F3602" s="0" t="s">
        <v>228</v>
      </c>
      <c r="I3602" s="0" t="n">
        <v>1031749</v>
      </c>
      <c r="J3602" s="0" t="n">
        <v>105782</v>
      </c>
      <c r="K3602" s="0" t="n">
        <v>7896289210352</v>
      </c>
      <c r="L3602" s="0" t="s">
        <v>2512</v>
      </c>
      <c r="N3602" s="0" t="n">
        <v>5</v>
      </c>
      <c r="O3602" s="0" t="n">
        <v>34.3</v>
      </c>
      <c r="P3602" s="0" t="s">
        <v>2444</v>
      </c>
    </row>
    <row r="3603" customFormat="false" ht="15" hidden="false" customHeight="true" outlineLevel="0" collapsed="false">
      <c r="A3603" s="0" t="n">
        <v>2</v>
      </c>
      <c r="B3603" s="71" t="n">
        <v>46217</v>
      </c>
      <c r="C3603" s="0" t="n">
        <v>1</v>
      </c>
      <c r="D3603" s="0" t="s">
        <v>2442</v>
      </c>
      <c r="E3603" s="0" t="n">
        <v>1642</v>
      </c>
      <c r="F3603" s="0" t="s">
        <v>228</v>
      </c>
      <c r="I3603" s="0" t="n">
        <v>1031749</v>
      </c>
      <c r="J3603" s="0" t="n">
        <v>106407</v>
      </c>
      <c r="K3603" s="0" t="n">
        <v>7896289210031</v>
      </c>
      <c r="L3603" s="0" t="s">
        <v>2516</v>
      </c>
      <c r="N3603" s="0" t="n">
        <v>3</v>
      </c>
      <c r="O3603" s="0" t="n">
        <v>34.92</v>
      </c>
      <c r="P3603" s="0" t="s">
        <v>2444</v>
      </c>
    </row>
    <row r="3604" customFormat="false" ht="15" hidden="false" customHeight="true" outlineLevel="0" collapsed="false">
      <c r="A3604" s="0" t="n">
        <v>2</v>
      </c>
      <c r="B3604" s="71" t="n">
        <v>46217</v>
      </c>
      <c r="C3604" s="0" t="n">
        <v>1</v>
      </c>
      <c r="D3604" s="0" t="s">
        <v>2442</v>
      </c>
      <c r="E3604" s="0" t="n">
        <v>1683</v>
      </c>
      <c r="F3604" s="0" t="s">
        <v>406</v>
      </c>
      <c r="I3604" s="0" t="n">
        <v>1646699</v>
      </c>
      <c r="J3604" s="0" t="n">
        <v>37361</v>
      </c>
      <c r="K3604" s="0" t="n">
        <v>2240817</v>
      </c>
      <c r="L3604" s="0" t="s">
        <v>2467</v>
      </c>
      <c r="N3604" s="0" t="n">
        <v>65</v>
      </c>
      <c r="O3604" s="0" t="n">
        <v>117</v>
      </c>
      <c r="P3604" s="0" t="s">
        <v>2444</v>
      </c>
    </row>
    <row r="3605" customFormat="false" ht="15" hidden="false" customHeight="true" outlineLevel="0" collapsed="false">
      <c r="A3605" s="0" t="n">
        <v>2</v>
      </c>
      <c r="B3605" s="71" t="n">
        <v>46217</v>
      </c>
      <c r="C3605" s="0" t="n">
        <v>6</v>
      </c>
      <c r="D3605" s="0" t="s">
        <v>2553</v>
      </c>
      <c r="E3605" s="0" t="n">
        <v>48</v>
      </c>
      <c r="F3605" s="0" t="s">
        <v>153</v>
      </c>
      <c r="I3605" s="0" t="n">
        <v>2542</v>
      </c>
      <c r="J3605" s="0" t="n">
        <v>100062</v>
      </c>
      <c r="K3605" s="0" t="n">
        <v>63</v>
      </c>
      <c r="L3605" s="0" t="s">
        <v>2535</v>
      </c>
      <c r="N3605" s="0" t="n">
        <v>13</v>
      </c>
      <c r="O3605" s="0" t="n">
        <v>93.86</v>
      </c>
      <c r="P3605" s="0" t="s">
        <v>2444</v>
      </c>
    </row>
    <row r="3606" customFormat="false" ht="15" hidden="false" customHeight="true" outlineLevel="0" collapsed="false">
      <c r="A3606" s="0" t="n">
        <v>2</v>
      </c>
      <c r="B3606" s="71" t="n">
        <v>46217</v>
      </c>
      <c r="C3606" s="0" t="n">
        <v>6</v>
      </c>
      <c r="D3606" s="0" t="s">
        <v>2553</v>
      </c>
      <c r="E3606" s="0" t="n">
        <v>48</v>
      </c>
      <c r="F3606" s="0" t="s">
        <v>153</v>
      </c>
      <c r="I3606" s="0" t="n">
        <v>2542</v>
      </c>
      <c r="J3606" s="0" t="n">
        <v>100100</v>
      </c>
      <c r="K3606" s="0" t="n">
        <v>101</v>
      </c>
      <c r="L3606" s="0" t="s">
        <v>2693</v>
      </c>
      <c r="N3606" s="0" t="n">
        <v>5</v>
      </c>
      <c r="O3606" s="0" t="n">
        <v>25</v>
      </c>
      <c r="P3606" s="0" t="s">
        <v>2444</v>
      </c>
    </row>
    <row r="3607" customFormat="false" ht="15" hidden="false" customHeight="true" outlineLevel="0" collapsed="false">
      <c r="A3607" s="0" t="n">
        <v>2</v>
      </c>
      <c r="B3607" s="71" t="n">
        <v>46217</v>
      </c>
      <c r="C3607" s="0" t="n">
        <v>6</v>
      </c>
      <c r="D3607" s="0" t="s">
        <v>2553</v>
      </c>
      <c r="E3607" s="0" t="n">
        <v>48</v>
      </c>
      <c r="F3607" s="0" t="s">
        <v>153</v>
      </c>
      <c r="I3607" s="0" t="n">
        <v>2542</v>
      </c>
      <c r="J3607" s="0" t="n">
        <v>100105</v>
      </c>
      <c r="K3607" s="0" t="n">
        <v>106</v>
      </c>
      <c r="L3607" s="0" t="s">
        <v>2536</v>
      </c>
      <c r="N3607" s="0" t="n">
        <v>24</v>
      </c>
      <c r="O3607" s="0" t="n">
        <v>170</v>
      </c>
      <c r="P3607" s="0" t="s">
        <v>2444</v>
      </c>
    </row>
    <row r="3608" customFormat="false" ht="15" hidden="false" customHeight="true" outlineLevel="0" collapsed="false">
      <c r="A3608" s="0" t="n">
        <v>2</v>
      </c>
      <c r="B3608" s="71" t="n">
        <v>46217</v>
      </c>
      <c r="C3608" s="0" t="n">
        <v>6</v>
      </c>
      <c r="D3608" s="0" t="s">
        <v>2553</v>
      </c>
      <c r="E3608" s="0" t="n">
        <v>48</v>
      </c>
      <c r="F3608" s="0" t="s">
        <v>153</v>
      </c>
      <c r="I3608" s="0" t="n">
        <v>2542</v>
      </c>
      <c r="J3608" s="0" t="n">
        <v>100107</v>
      </c>
      <c r="K3608" s="0" t="n">
        <v>108</v>
      </c>
      <c r="L3608" s="0" t="s">
        <v>3259</v>
      </c>
      <c r="N3608" s="0" t="n">
        <v>3</v>
      </c>
      <c r="O3608" s="0" t="n">
        <v>36</v>
      </c>
      <c r="P3608" s="0" t="s">
        <v>2444</v>
      </c>
    </row>
    <row r="3609" customFormat="false" ht="15" hidden="false" customHeight="true" outlineLevel="0" collapsed="false">
      <c r="A3609" s="0" t="n">
        <v>2</v>
      </c>
      <c r="B3609" s="71" t="n">
        <v>46217</v>
      </c>
      <c r="C3609" s="0" t="n">
        <v>6</v>
      </c>
      <c r="D3609" s="0" t="s">
        <v>2553</v>
      </c>
      <c r="E3609" s="0" t="n">
        <v>48</v>
      </c>
      <c r="F3609" s="0" t="s">
        <v>153</v>
      </c>
      <c r="I3609" s="0" t="n">
        <v>2542</v>
      </c>
      <c r="J3609" s="0" t="n">
        <v>100109</v>
      </c>
      <c r="K3609" s="0" t="n">
        <v>110</v>
      </c>
      <c r="L3609" s="0" t="s">
        <v>2537</v>
      </c>
      <c r="N3609" s="0" t="n">
        <v>20</v>
      </c>
      <c r="O3609" s="0" t="n">
        <v>140</v>
      </c>
      <c r="P3609" s="0" t="s">
        <v>2444</v>
      </c>
    </row>
    <row r="3610" customFormat="false" ht="15" hidden="false" customHeight="true" outlineLevel="0" collapsed="false">
      <c r="A3610" s="0" t="n">
        <v>2</v>
      </c>
      <c r="B3610" s="71" t="n">
        <v>46217</v>
      </c>
      <c r="C3610" s="0" t="n">
        <v>6</v>
      </c>
      <c r="D3610" s="0" t="s">
        <v>2553</v>
      </c>
      <c r="E3610" s="0" t="n">
        <v>48</v>
      </c>
      <c r="F3610" s="0" t="s">
        <v>153</v>
      </c>
      <c r="I3610" s="0" t="n">
        <v>2542</v>
      </c>
      <c r="J3610" s="0" t="n">
        <v>100113</v>
      </c>
      <c r="K3610" s="0" t="n">
        <v>114</v>
      </c>
      <c r="L3610" s="0" t="s">
        <v>2539</v>
      </c>
      <c r="N3610" s="0" t="n">
        <v>20</v>
      </c>
      <c r="O3610" s="0" t="n">
        <v>55</v>
      </c>
      <c r="P3610" s="0" t="s">
        <v>2444</v>
      </c>
    </row>
    <row r="3611" customFormat="false" ht="15" hidden="false" customHeight="true" outlineLevel="0" collapsed="false">
      <c r="A3611" s="0" t="n">
        <v>2</v>
      </c>
      <c r="B3611" s="71" t="n">
        <v>46217</v>
      </c>
      <c r="C3611" s="0" t="n">
        <v>6</v>
      </c>
      <c r="D3611" s="0" t="s">
        <v>2553</v>
      </c>
      <c r="E3611" s="0" t="n">
        <v>48</v>
      </c>
      <c r="F3611" s="0" t="s">
        <v>153</v>
      </c>
      <c r="I3611" s="0" t="n">
        <v>2542</v>
      </c>
      <c r="J3611" s="0" t="n">
        <v>100115</v>
      </c>
      <c r="K3611" s="0" t="n">
        <v>116</v>
      </c>
      <c r="L3611" s="0" t="s">
        <v>2694</v>
      </c>
      <c r="N3611" s="0" t="n">
        <v>9</v>
      </c>
      <c r="O3611" s="0" t="n">
        <v>77.94</v>
      </c>
      <c r="P3611" s="0" t="s">
        <v>2444</v>
      </c>
    </row>
    <row r="3612" customFormat="false" ht="15" hidden="false" customHeight="true" outlineLevel="0" collapsed="false">
      <c r="A3612" s="0" t="n">
        <v>2</v>
      </c>
      <c r="B3612" s="71" t="n">
        <v>46217</v>
      </c>
      <c r="C3612" s="0" t="n">
        <v>6</v>
      </c>
      <c r="D3612" s="0" t="s">
        <v>2553</v>
      </c>
      <c r="E3612" s="0" t="n">
        <v>48</v>
      </c>
      <c r="F3612" s="0" t="s">
        <v>153</v>
      </c>
      <c r="I3612" s="0" t="n">
        <v>2542</v>
      </c>
      <c r="J3612" s="0" t="n">
        <v>100116</v>
      </c>
      <c r="K3612" s="0" t="n">
        <v>117</v>
      </c>
      <c r="L3612" s="0" t="s">
        <v>2540</v>
      </c>
      <c r="N3612" s="0" t="n">
        <v>2</v>
      </c>
      <c r="O3612" s="0" t="n">
        <v>20</v>
      </c>
      <c r="P3612" s="0" t="s">
        <v>2444</v>
      </c>
    </row>
    <row r="3613" customFormat="false" ht="15" hidden="false" customHeight="true" outlineLevel="0" collapsed="false">
      <c r="A3613" s="0" t="n">
        <v>2</v>
      </c>
      <c r="B3613" s="71" t="n">
        <v>46217</v>
      </c>
      <c r="C3613" s="0" t="n">
        <v>6</v>
      </c>
      <c r="D3613" s="0" t="s">
        <v>2553</v>
      </c>
      <c r="E3613" s="0" t="n">
        <v>48</v>
      </c>
      <c r="F3613" s="0" t="s">
        <v>153</v>
      </c>
      <c r="I3613" s="0" t="n">
        <v>2542</v>
      </c>
      <c r="J3613" s="0" t="n">
        <v>100118</v>
      </c>
      <c r="K3613" s="0" t="n">
        <v>119</v>
      </c>
      <c r="L3613" s="0" t="s">
        <v>2541</v>
      </c>
      <c r="N3613" s="0" t="n">
        <v>6</v>
      </c>
      <c r="O3613" s="0" t="n">
        <v>24</v>
      </c>
      <c r="P3613" s="0" t="s">
        <v>2444</v>
      </c>
    </row>
    <row r="3614" customFormat="false" ht="15" hidden="false" customHeight="true" outlineLevel="0" collapsed="false">
      <c r="A3614" s="0" t="n">
        <v>2</v>
      </c>
      <c r="B3614" s="71" t="n">
        <v>46217</v>
      </c>
      <c r="C3614" s="0" t="n">
        <v>6</v>
      </c>
      <c r="D3614" s="0" t="s">
        <v>2553</v>
      </c>
      <c r="E3614" s="0" t="n">
        <v>48</v>
      </c>
      <c r="F3614" s="0" t="s">
        <v>153</v>
      </c>
      <c r="I3614" s="0" t="n">
        <v>2542</v>
      </c>
      <c r="J3614" s="0" t="n">
        <v>100121</v>
      </c>
      <c r="K3614" s="0" t="n">
        <v>122</v>
      </c>
      <c r="L3614" s="0" t="s">
        <v>2542</v>
      </c>
      <c r="N3614" s="0" t="n">
        <v>13</v>
      </c>
      <c r="O3614" s="0" t="n">
        <v>210</v>
      </c>
      <c r="P3614" s="0" t="s">
        <v>2444</v>
      </c>
    </row>
    <row r="3615" customFormat="false" ht="15" hidden="false" customHeight="true" outlineLevel="0" collapsed="false">
      <c r="A3615" s="0" t="n">
        <v>2</v>
      </c>
      <c r="B3615" s="71" t="n">
        <v>46217</v>
      </c>
      <c r="C3615" s="0" t="n">
        <v>6</v>
      </c>
      <c r="D3615" s="0" t="s">
        <v>2553</v>
      </c>
      <c r="E3615" s="0" t="n">
        <v>48</v>
      </c>
      <c r="F3615" s="0" t="s">
        <v>153</v>
      </c>
      <c r="I3615" s="0" t="n">
        <v>2542</v>
      </c>
      <c r="J3615" s="0" t="n">
        <v>100122</v>
      </c>
      <c r="K3615" s="0" t="n">
        <v>123</v>
      </c>
      <c r="L3615" s="0" t="s">
        <v>2543</v>
      </c>
      <c r="N3615" s="0" t="n">
        <v>3</v>
      </c>
      <c r="O3615" s="0" t="n">
        <v>30</v>
      </c>
      <c r="P3615" s="0" t="s">
        <v>2444</v>
      </c>
    </row>
    <row r="3616" customFormat="false" ht="15" hidden="false" customHeight="true" outlineLevel="0" collapsed="false">
      <c r="A3616" s="0" t="n">
        <v>2</v>
      </c>
      <c r="B3616" s="71" t="n">
        <v>46217</v>
      </c>
      <c r="C3616" s="0" t="n">
        <v>6</v>
      </c>
      <c r="D3616" s="0" t="s">
        <v>2553</v>
      </c>
      <c r="E3616" s="0" t="n">
        <v>48</v>
      </c>
      <c r="F3616" s="0" t="s">
        <v>153</v>
      </c>
      <c r="I3616" s="0" t="n">
        <v>2542</v>
      </c>
      <c r="J3616" s="0" t="n">
        <v>100123</v>
      </c>
      <c r="K3616" s="0" t="n">
        <v>124</v>
      </c>
      <c r="L3616" s="0" t="s">
        <v>2544</v>
      </c>
      <c r="N3616" s="0" t="n">
        <v>1</v>
      </c>
      <c r="O3616" s="0" t="n">
        <v>10</v>
      </c>
      <c r="P3616" s="0" t="s">
        <v>2444</v>
      </c>
    </row>
    <row r="3617" customFormat="false" ht="15" hidden="false" customHeight="true" outlineLevel="0" collapsed="false">
      <c r="A3617" s="0" t="n">
        <v>2</v>
      </c>
      <c r="B3617" s="71" t="n">
        <v>46217</v>
      </c>
      <c r="C3617" s="0" t="n">
        <v>6</v>
      </c>
      <c r="D3617" s="0" t="s">
        <v>2553</v>
      </c>
      <c r="E3617" s="0" t="n">
        <v>48</v>
      </c>
      <c r="F3617" s="0" t="s">
        <v>153</v>
      </c>
      <c r="I3617" s="0" t="n">
        <v>2542</v>
      </c>
      <c r="J3617" s="0" t="n">
        <v>100125</v>
      </c>
      <c r="K3617" s="0" t="n">
        <v>126</v>
      </c>
      <c r="L3617" s="0" t="s">
        <v>2597</v>
      </c>
      <c r="N3617" s="0" t="n">
        <v>20</v>
      </c>
      <c r="O3617" s="0" t="n">
        <v>100</v>
      </c>
      <c r="P3617" s="0" t="s">
        <v>2444</v>
      </c>
    </row>
    <row r="3618" customFormat="false" ht="15" hidden="false" customHeight="true" outlineLevel="0" collapsed="false">
      <c r="A3618" s="0" t="n">
        <v>2</v>
      </c>
      <c r="B3618" s="71" t="n">
        <v>46217</v>
      </c>
      <c r="C3618" s="0" t="n">
        <v>6</v>
      </c>
      <c r="D3618" s="0" t="s">
        <v>2553</v>
      </c>
      <c r="E3618" s="0" t="n">
        <v>48</v>
      </c>
      <c r="F3618" s="0" t="s">
        <v>153</v>
      </c>
      <c r="I3618" s="0" t="n">
        <v>2542</v>
      </c>
      <c r="J3618" s="0" t="n">
        <v>100129</v>
      </c>
      <c r="K3618" s="0" t="n">
        <v>130</v>
      </c>
      <c r="L3618" s="0" t="s">
        <v>2598</v>
      </c>
      <c r="N3618" s="0" t="n">
        <v>8</v>
      </c>
      <c r="O3618" s="0" t="n">
        <v>43.04</v>
      </c>
      <c r="P3618" s="0" t="s">
        <v>2444</v>
      </c>
    </row>
    <row r="3619" customFormat="false" ht="15" hidden="false" customHeight="true" outlineLevel="0" collapsed="false">
      <c r="A3619" s="0" t="n">
        <v>2</v>
      </c>
      <c r="B3619" s="71" t="n">
        <v>46217</v>
      </c>
      <c r="C3619" s="0" t="n">
        <v>6</v>
      </c>
      <c r="D3619" s="0" t="s">
        <v>2553</v>
      </c>
      <c r="E3619" s="0" t="n">
        <v>48</v>
      </c>
      <c r="F3619" s="0" t="s">
        <v>153</v>
      </c>
      <c r="I3619" s="0" t="n">
        <v>2542</v>
      </c>
      <c r="J3619" s="0" t="n">
        <v>100130</v>
      </c>
      <c r="K3619" s="0" t="n">
        <v>131</v>
      </c>
      <c r="L3619" s="0" t="s">
        <v>2545</v>
      </c>
      <c r="N3619" s="0" t="n">
        <v>20</v>
      </c>
      <c r="O3619" s="0" t="n">
        <v>140</v>
      </c>
      <c r="P3619" s="0" t="s">
        <v>2444</v>
      </c>
    </row>
    <row r="3620" customFormat="false" ht="15" hidden="false" customHeight="true" outlineLevel="0" collapsed="false">
      <c r="A3620" s="0" t="n">
        <v>2</v>
      </c>
      <c r="B3620" s="71" t="n">
        <v>46217</v>
      </c>
      <c r="C3620" s="0" t="n">
        <v>6</v>
      </c>
      <c r="D3620" s="0" t="s">
        <v>2553</v>
      </c>
      <c r="E3620" s="0" t="n">
        <v>48</v>
      </c>
      <c r="F3620" s="0" t="s">
        <v>153</v>
      </c>
      <c r="I3620" s="0" t="n">
        <v>2542</v>
      </c>
      <c r="J3620" s="0" t="n">
        <v>100132</v>
      </c>
      <c r="K3620" s="0" t="n">
        <v>133</v>
      </c>
      <c r="L3620" s="0" t="s">
        <v>2546</v>
      </c>
      <c r="N3620" s="0" t="n">
        <v>20.98</v>
      </c>
      <c r="O3620" s="0" t="n">
        <v>80</v>
      </c>
      <c r="P3620" s="0" t="s">
        <v>2444</v>
      </c>
    </row>
    <row r="3621" customFormat="false" ht="15" hidden="false" customHeight="true" outlineLevel="0" collapsed="false">
      <c r="A3621" s="0" t="n">
        <v>2</v>
      </c>
      <c r="B3621" s="71" t="n">
        <v>46217</v>
      </c>
      <c r="C3621" s="0" t="n">
        <v>6</v>
      </c>
      <c r="D3621" s="0" t="s">
        <v>2553</v>
      </c>
      <c r="E3621" s="0" t="n">
        <v>48</v>
      </c>
      <c r="F3621" s="0" t="s">
        <v>153</v>
      </c>
      <c r="I3621" s="0" t="n">
        <v>2542</v>
      </c>
      <c r="J3621" s="0" t="n">
        <v>100133</v>
      </c>
      <c r="K3621" s="0" t="n">
        <v>134</v>
      </c>
      <c r="L3621" s="0" t="s">
        <v>2547</v>
      </c>
      <c r="N3621" s="0" t="n">
        <v>14</v>
      </c>
      <c r="O3621" s="0" t="n">
        <v>70</v>
      </c>
      <c r="P3621" s="0" t="s">
        <v>2444</v>
      </c>
    </row>
    <row r="3622" customFormat="false" ht="15" hidden="false" customHeight="true" outlineLevel="0" collapsed="false">
      <c r="A3622" s="0" t="n">
        <v>2</v>
      </c>
      <c r="B3622" s="71" t="n">
        <v>46217</v>
      </c>
      <c r="C3622" s="0" t="n">
        <v>6</v>
      </c>
      <c r="D3622" s="0" t="s">
        <v>2553</v>
      </c>
      <c r="E3622" s="0" t="n">
        <v>48</v>
      </c>
      <c r="F3622" s="0" t="s">
        <v>153</v>
      </c>
      <c r="I3622" s="0" t="n">
        <v>2542</v>
      </c>
      <c r="J3622" s="0" t="n">
        <v>100141</v>
      </c>
      <c r="K3622" s="0" t="n">
        <v>142</v>
      </c>
      <c r="L3622" s="0" t="s">
        <v>3260</v>
      </c>
      <c r="N3622" s="0" t="n">
        <v>1.1</v>
      </c>
      <c r="O3622" s="0" t="n">
        <v>50</v>
      </c>
      <c r="P3622" s="0" t="s">
        <v>2444</v>
      </c>
    </row>
    <row r="3623" customFormat="false" ht="15" hidden="false" customHeight="true" outlineLevel="0" collapsed="false">
      <c r="A3623" s="0" t="n">
        <v>2</v>
      </c>
      <c r="B3623" s="71" t="n">
        <v>46217</v>
      </c>
      <c r="C3623" s="0" t="n">
        <v>6</v>
      </c>
      <c r="D3623" s="0" t="s">
        <v>2553</v>
      </c>
      <c r="E3623" s="0" t="n">
        <v>48</v>
      </c>
      <c r="F3623" s="0" t="s">
        <v>153</v>
      </c>
      <c r="I3623" s="0" t="n">
        <v>2542</v>
      </c>
      <c r="J3623" s="0" t="n">
        <v>100148</v>
      </c>
      <c r="K3623" s="0" t="n">
        <v>149</v>
      </c>
      <c r="L3623" s="0" t="s">
        <v>2600</v>
      </c>
      <c r="N3623" s="0" t="n">
        <v>13</v>
      </c>
      <c r="O3623" s="0" t="n">
        <v>86.58</v>
      </c>
      <c r="P3623" s="0" t="s">
        <v>2444</v>
      </c>
    </row>
    <row r="3624" customFormat="false" ht="15" hidden="false" customHeight="true" outlineLevel="0" collapsed="false">
      <c r="A3624" s="0" t="n">
        <v>2</v>
      </c>
      <c r="B3624" s="71" t="n">
        <v>46217</v>
      </c>
      <c r="C3624" s="0" t="n">
        <v>6</v>
      </c>
      <c r="D3624" s="0" t="s">
        <v>2553</v>
      </c>
      <c r="E3624" s="0" t="n">
        <v>48</v>
      </c>
      <c r="F3624" s="0" t="s">
        <v>153</v>
      </c>
      <c r="I3624" s="0" t="n">
        <v>2542</v>
      </c>
      <c r="J3624" s="0" t="n">
        <v>110142</v>
      </c>
      <c r="K3624" s="0" t="n">
        <v>16699</v>
      </c>
      <c r="L3624" s="0" t="s">
        <v>2549</v>
      </c>
      <c r="N3624" s="0" t="n">
        <v>20</v>
      </c>
      <c r="O3624" s="0" t="n">
        <v>125</v>
      </c>
      <c r="P3624" s="0" t="s">
        <v>2444</v>
      </c>
    </row>
    <row r="3625" customFormat="false" ht="15" hidden="false" customHeight="true" outlineLevel="0" collapsed="false">
      <c r="A3625" s="0" t="n">
        <v>2</v>
      </c>
      <c r="B3625" s="71" t="n">
        <v>46217</v>
      </c>
      <c r="C3625" s="0" t="n">
        <v>6</v>
      </c>
      <c r="D3625" s="0" t="s">
        <v>2553</v>
      </c>
      <c r="E3625" s="0" t="n">
        <v>48</v>
      </c>
      <c r="F3625" s="0" t="s">
        <v>153</v>
      </c>
      <c r="I3625" s="0" t="n">
        <v>2542</v>
      </c>
      <c r="J3625" s="0" t="n">
        <v>43627</v>
      </c>
      <c r="K3625" s="0" t="n">
        <v>1175</v>
      </c>
      <c r="L3625" s="0" t="s">
        <v>4217</v>
      </c>
      <c r="N3625" s="0" t="n">
        <v>15</v>
      </c>
      <c r="O3625" s="0" t="n">
        <v>45</v>
      </c>
      <c r="P3625" s="0" t="s">
        <v>2444</v>
      </c>
    </row>
    <row r="3626" customFormat="false" ht="15" hidden="false" customHeight="true" outlineLevel="0" collapsed="false">
      <c r="A3626" s="0" t="n">
        <v>2</v>
      </c>
      <c r="B3626" s="71" t="n">
        <v>46217</v>
      </c>
      <c r="C3626" s="0" t="n">
        <v>6</v>
      </c>
      <c r="D3626" s="0" t="s">
        <v>2553</v>
      </c>
      <c r="E3626" s="0" t="n">
        <v>48</v>
      </c>
      <c r="F3626" s="0" t="s">
        <v>153</v>
      </c>
      <c r="I3626" s="0" t="n">
        <v>2542</v>
      </c>
      <c r="J3626" s="0" t="n">
        <v>110374</v>
      </c>
      <c r="K3626" s="0" t="n">
        <v>48077</v>
      </c>
      <c r="L3626" s="0" t="s">
        <v>2696</v>
      </c>
      <c r="N3626" s="0" t="n">
        <v>5</v>
      </c>
      <c r="O3626" s="0" t="n">
        <v>35</v>
      </c>
      <c r="P3626" s="0" t="s">
        <v>2444</v>
      </c>
    </row>
    <row r="3627" customFormat="false" ht="15" hidden="false" customHeight="true" outlineLevel="0" collapsed="false">
      <c r="A3627" s="0" t="n">
        <v>2</v>
      </c>
      <c r="B3627" s="71" t="n">
        <v>46217</v>
      </c>
      <c r="C3627" s="0" t="n">
        <v>6</v>
      </c>
      <c r="D3627" s="0" t="s">
        <v>2553</v>
      </c>
      <c r="E3627" s="0" t="n">
        <v>48</v>
      </c>
      <c r="F3627" s="0" t="s">
        <v>153</v>
      </c>
      <c r="I3627" s="0" t="n">
        <v>2542</v>
      </c>
      <c r="J3627" s="0" t="n">
        <v>110489</v>
      </c>
      <c r="K3627" s="0" t="n">
        <v>54743</v>
      </c>
      <c r="L3627" s="0" t="s">
        <v>2550</v>
      </c>
      <c r="N3627" s="0" t="n">
        <v>40</v>
      </c>
      <c r="O3627" s="0" t="n">
        <v>240</v>
      </c>
      <c r="P3627" s="0" t="s">
        <v>2444</v>
      </c>
    </row>
    <row r="3628" customFormat="false" ht="15" hidden="false" customHeight="true" outlineLevel="0" collapsed="false">
      <c r="A3628" s="0" t="n">
        <v>2</v>
      </c>
      <c r="B3628" s="71" t="n">
        <v>46217</v>
      </c>
      <c r="C3628" s="0" t="n">
        <v>6</v>
      </c>
      <c r="D3628" s="0" t="s">
        <v>2553</v>
      </c>
      <c r="E3628" s="0" t="n">
        <v>48</v>
      </c>
      <c r="F3628" s="0" t="s">
        <v>153</v>
      </c>
      <c r="I3628" s="0" t="n">
        <v>2542</v>
      </c>
      <c r="J3628" s="0" t="n">
        <v>80078</v>
      </c>
      <c r="K3628" s="0" t="n">
        <v>710</v>
      </c>
      <c r="L3628" s="0" t="s">
        <v>2551</v>
      </c>
      <c r="N3628" s="0" t="n">
        <v>10</v>
      </c>
      <c r="O3628" s="0" t="n">
        <v>30</v>
      </c>
      <c r="P3628" s="0" t="s">
        <v>2444</v>
      </c>
    </row>
    <row r="3629" customFormat="false" ht="15" hidden="false" customHeight="true" outlineLevel="0" collapsed="false">
      <c r="A3629" s="0" t="n">
        <v>2</v>
      </c>
      <c r="B3629" s="71" t="n">
        <v>46217</v>
      </c>
      <c r="C3629" s="0" t="n">
        <v>6</v>
      </c>
      <c r="D3629" s="0" t="s">
        <v>2553</v>
      </c>
      <c r="E3629" s="0" t="n">
        <v>48</v>
      </c>
      <c r="F3629" s="0" t="s">
        <v>153</v>
      </c>
      <c r="I3629" s="0" t="n">
        <v>2542</v>
      </c>
      <c r="J3629" s="0" t="n">
        <v>80156</v>
      </c>
      <c r="K3629" s="0" t="n">
        <v>727</v>
      </c>
      <c r="L3629" s="0" t="s">
        <v>4218</v>
      </c>
      <c r="N3629" s="0" t="n">
        <v>7</v>
      </c>
      <c r="O3629" s="0" t="n">
        <v>9.94</v>
      </c>
      <c r="P3629" s="0" t="s">
        <v>2444</v>
      </c>
    </row>
    <row r="3630" customFormat="false" ht="15" hidden="false" customHeight="true" outlineLevel="0" collapsed="false">
      <c r="A3630" s="0" t="n">
        <v>2</v>
      </c>
      <c r="B3630" s="71" t="n">
        <v>46217</v>
      </c>
      <c r="C3630" s="0" t="n">
        <v>6</v>
      </c>
      <c r="D3630" s="0" t="s">
        <v>2553</v>
      </c>
      <c r="E3630" s="0" t="n">
        <v>48</v>
      </c>
      <c r="F3630" s="0" t="s">
        <v>153</v>
      </c>
      <c r="I3630" s="0" t="n">
        <v>2543</v>
      </c>
      <c r="J3630" s="0" t="n">
        <v>42564</v>
      </c>
      <c r="K3630" s="0" t="n">
        <v>574</v>
      </c>
      <c r="L3630" s="0" t="s">
        <v>2534</v>
      </c>
      <c r="N3630" s="0" t="n">
        <v>13</v>
      </c>
      <c r="O3630" s="0" t="n">
        <v>182</v>
      </c>
      <c r="P3630" s="0" t="s">
        <v>2444</v>
      </c>
    </row>
    <row r="3631" customFormat="false" ht="15" hidden="false" customHeight="true" outlineLevel="0" collapsed="false">
      <c r="A3631" s="0" t="n">
        <v>2</v>
      </c>
      <c r="B3631" s="71" t="n">
        <v>46217</v>
      </c>
      <c r="C3631" s="0" t="n">
        <v>11</v>
      </c>
      <c r="D3631" s="0" t="s">
        <v>2471</v>
      </c>
      <c r="E3631" s="0" t="n">
        <v>1328</v>
      </c>
      <c r="F3631" s="0" t="s">
        <v>95</v>
      </c>
      <c r="I3631" s="0" t="n">
        <v>4058</v>
      </c>
      <c r="J3631" s="0" t="n">
        <v>50310</v>
      </c>
      <c r="K3631" s="0" t="n">
        <v>7898588380101</v>
      </c>
      <c r="L3631" s="0" t="s">
        <v>2502</v>
      </c>
      <c r="N3631" s="0" t="n">
        <v>3</v>
      </c>
      <c r="O3631" s="0" t="n">
        <v>21.75</v>
      </c>
      <c r="P3631" s="0" t="s">
        <v>2444</v>
      </c>
    </row>
    <row r="3632" customFormat="false" ht="15" hidden="false" customHeight="true" outlineLevel="0" collapsed="false">
      <c r="A3632" s="0" t="n">
        <v>2</v>
      </c>
      <c r="B3632" s="71" t="n">
        <v>46217</v>
      </c>
      <c r="C3632" s="0" t="n">
        <v>11</v>
      </c>
      <c r="D3632" s="0" t="s">
        <v>2471</v>
      </c>
      <c r="E3632" s="0" t="n">
        <v>1328</v>
      </c>
      <c r="F3632" s="0" t="s">
        <v>95</v>
      </c>
      <c r="I3632" s="0" t="n">
        <v>4058</v>
      </c>
      <c r="J3632" s="0" t="n">
        <v>21045</v>
      </c>
      <c r="K3632" s="0" t="n">
        <v>7898588380255</v>
      </c>
      <c r="L3632" s="0" t="s">
        <v>2503</v>
      </c>
      <c r="N3632" s="0" t="n">
        <v>2</v>
      </c>
      <c r="O3632" s="0" t="n">
        <v>11</v>
      </c>
      <c r="P3632" s="0" t="s">
        <v>2444</v>
      </c>
    </row>
    <row r="3633" customFormat="false" ht="15" hidden="false" customHeight="true" outlineLevel="0" collapsed="false">
      <c r="A3633" s="0" t="n">
        <v>2</v>
      </c>
      <c r="B3633" s="71" t="n">
        <v>46217</v>
      </c>
      <c r="C3633" s="0" t="n">
        <v>11</v>
      </c>
      <c r="D3633" s="0" t="s">
        <v>2471</v>
      </c>
      <c r="E3633" s="0" t="n">
        <v>1328</v>
      </c>
      <c r="F3633" s="0" t="s">
        <v>95</v>
      </c>
      <c r="I3633" s="0" t="n">
        <v>4058</v>
      </c>
      <c r="J3633" s="0" t="n">
        <v>21060</v>
      </c>
      <c r="K3633" s="0" t="n">
        <v>7898588380118</v>
      </c>
      <c r="L3633" s="0" t="s">
        <v>2504</v>
      </c>
      <c r="N3633" s="0" t="n">
        <v>10</v>
      </c>
      <c r="O3633" s="0" t="n">
        <v>65</v>
      </c>
      <c r="P3633" s="0" t="s">
        <v>2444</v>
      </c>
    </row>
    <row r="3634" customFormat="false" ht="15" hidden="false" customHeight="true" outlineLevel="0" collapsed="false">
      <c r="A3634" s="0" t="n">
        <v>2</v>
      </c>
      <c r="B3634" s="71" t="n">
        <v>46217</v>
      </c>
      <c r="C3634" s="0" t="n">
        <v>11</v>
      </c>
      <c r="D3634" s="0" t="s">
        <v>2471</v>
      </c>
      <c r="E3634" s="0" t="n">
        <v>1328</v>
      </c>
      <c r="F3634" s="0" t="s">
        <v>95</v>
      </c>
      <c r="I3634" s="0" t="n">
        <v>4058</v>
      </c>
      <c r="J3634" s="0" t="n">
        <v>31789</v>
      </c>
      <c r="K3634" s="0" t="n">
        <v>7898588380149</v>
      </c>
      <c r="L3634" s="0" t="s">
        <v>2446</v>
      </c>
      <c r="N3634" s="0" t="n">
        <v>2</v>
      </c>
      <c r="O3634" s="0" t="n">
        <v>11</v>
      </c>
      <c r="P3634" s="0" t="s">
        <v>2444</v>
      </c>
    </row>
    <row r="3635" customFormat="false" ht="15" hidden="false" customHeight="true" outlineLevel="0" collapsed="false">
      <c r="A3635" s="0" t="n">
        <v>2</v>
      </c>
      <c r="B3635" s="71" t="n">
        <v>46217</v>
      </c>
      <c r="C3635" s="0" t="n">
        <v>11</v>
      </c>
      <c r="D3635" s="0" t="s">
        <v>2471</v>
      </c>
      <c r="E3635" s="0" t="n">
        <v>1328</v>
      </c>
      <c r="F3635" s="0" t="s">
        <v>95</v>
      </c>
      <c r="I3635" s="0" t="n">
        <v>4058</v>
      </c>
      <c r="J3635" s="0" t="n">
        <v>31782</v>
      </c>
      <c r="K3635" s="0" t="n">
        <v>7898588380132</v>
      </c>
      <c r="L3635" s="0" t="s">
        <v>2505</v>
      </c>
      <c r="N3635" s="0" t="n">
        <v>3</v>
      </c>
      <c r="O3635" s="0" t="n">
        <v>16.5</v>
      </c>
      <c r="P3635" s="0" t="s">
        <v>2444</v>
      </c>
    </row>
    <row r="3636" customFormat="false" ht="15" hidden="false" customHeight="true" outlineLevel="0" collapsed="false">
      <c r="A3636" s="0" t="n">
        <v>2</v>
      </c>
      <c r="B3636" s="71" t="n">
        <v>46217</v>
      </c>
      <c r="C3636" s="0" t="n">
        <v>11</v>
      </c>
      <c r="D3636" s="0" t="s">
        <v>2471</v>
      </c>
      <c r="E3636" s="0" t="n">
        <v>1328</v>
      </c>
      <c r="F3636" s="0" t="s">
        <v>95</v>
      </c>
      <c r="I3636" s="0" t="n">
        <v>4058</v>
      </c>
      <c r="J3636" s="0" t="n">
        <v>31784</v>
      </c>
      <c r="K3636" s="0" t="n">
        <v>7898588380545</v>
      </c>
      <c r="L3636" s="0" t="s">
        <v>2590</v>
      </c>
      <c r="N3636" s="0" t="n">
        <v>3</v>
      </c>
      <c r="O3636" s="0" t="n">
        <v>16.5</v>
      </c>
      <c r="P3636" s="0" t="s">
        <v>2444</v>
      </c>
    </row>
    <row r="3637" customFormat="false" ht="15" hidden="false" customHeight="true" outlineLevel="0" collapsed="false">
      <c r="A3637" s="0" t="n">
        <v>2</v>
      </c>
      <c r="B3637" s="71" t="n">
        <v>46217</v>
      </c>
      <c r="C3637" s="0" t="n">
        <v>11</v>
      </c>
      <c r="D3637" s="0" t="s">
        <v>2471</v>
      </c>
      <c r="E3637" s="0" t="n">
        <v>1328</v>
      </c>
      <c r="F3637" s="0" t="s">
        <v>95</v>
      </c>
      <c r="I3637" s="0" t="n">
        <v>4058</v>
      </c>
      <c r="J3637" s="0" t="n">
        <v>31786</v>
      </c>
      <c r="K3637" s="0" t="n">
        <v>7898588380187</v>
      </c>
      <c r="L3637" s="0" t="s">
        <v>2506</v>
      </c>
      <c r="N3637" s="0" t="n">
        <v>3</v>
      </c>
      <c r="O3637" s="0" t="n">
        <v>16.5</v>
      </c>
      <c r="P3637" s="0" t="s">
        <v>2444</v>
      </c>
    </row>
    <row r="3638" customFormat="false" ht="15" hidden="false" customHeight="true" outlineLevel="0" collapsed="false">
      <c r="A3638" s="0" t="n">
        <v>2</v>
      </c>
      <c r="B3638" s="71" t="n">
        <v>46217</v>
      </c>
      <c r="C3638" s="0" t="n">
        <v>11</v>
      </c>
      <c r="D3638" s="0" t="s">
        <v>2471</v>
      </c>
      <c r="E3638" s="0" t="n">
        <v>1328</v>
      </c>
      <c r="F3638" s="0" t="s">
        <v>95</v>
      </c>
      <c r="I3638" s="0" t="n">
        <v>4058</v>
      </c>
      <c r="J3638" s="0" t="n">
        <v>31787</v>
      </c>
      <c r="K3638" s="0" t="n">
        <v>7898588380125</v>
      </c>
      <c r="L3638" s="0" t="s">
        <v>2507</v>
      </c>
      <c r="N3638" s="0" t="n">
        <v>5</v>
      </c>
      <c r="O3638" s="0" t="n">
        <v>42</v>
      </c>
      <c r="P3638" s="0" t="s">
        <v>2444</v>
      </c>
    </row>
    <row r="3639" customFormat="false" ht="15" hidden="false" customHeight="true" outlineLevel="0" collapsed="false">
      <c r="A3639" s="0" t="n">
        <v>2</v>
      </c>
      <c r="B3639" s="71" t="n">
        <v>46217</v>
      </c>
      <c r="C3639" s="0" t="n">
        <v>11</v>
      </c>
      <c r="D3639" s="0" t="s">
        <v>2471</v>
      </c>
      <c r="E3639" s="0" t="n">
        <v>1328</v>
      </c>
      <c r="F3639" s="0" t="s">
        <v>95</v>
      </c>
      <c r="I3639" s="0" t="n">
        <v>4058</v>
      </c>
      <c r="J3639" s="0" t="n">
        <v>31790</v>
      </c>
      <c r="K3639" s="0" t="n">
        <v>7898588380231</v>
      </c>
      <c r="L3639" s="0" t="s">
        <v>2508</v>
      </c>
      <c r="N3639" s="0" t="n">
        <v>3</v>
      </c>
      <c r="O3639" s="0" t="n">
        <v>16.5</v>
      </c>
      <c r="P3639" s="0" t="s">
        <v>2444</v>
      </c>
    </row>
    <row r="3640" customFormat="false" ht="15" hidden="false" customHeight="true" outlineLevel="0" collapsed="false">
      <c r="A3640" s="0" t="n">
        <v>2</v>
      </c>
      <c r="B3640" s="71" t="n">
        <v>46217</v>
      </c>
      <c r="C3640" s="0" t="n">
        <v>11</v>
      </c>
      <c r="D3640" s="0" t="s">
        <v>2471</v>
      </c>
      <c r="E3640" s="0" t="n">
        <v>1631</v>
      </c>
      <c r="F3640" s="0" t="s">
        <v>299</v>
      </c>
      <c r="I3640" s="0" t="n">
        <v>15127</v>
      </c>
      <c r="J3640" s="0" t="n">
        <v>108539</v>
      </c>
      <c r="K3640" s="0" t="n">
        <v>7898185800170</v>
      </c>
      <c r="L3640" s="0" t="s">
        <v>2451</v>
      </c>
      <c r="N3640" s="0" t="n">
        <v>5</v>
      </c>
      <c r="O3640" s="0" t="n">
        <v>20.67</v>
      </c>
      <c r="P3640" s="0" t="s">
        <v>2444</v>
      </c>
    </row>
    <row r="3641" customFormat="false" ht="15" hidden="false" customHeight="true" outlineLevel="0" collapsed="false">
      <c r="A3641" s="0" t="n">
        <v>2</v>
      </c>
      <c r="B3641" s="71" t="n">
        <v>46217</v>
      </c>
      <c r="C3641" s="0" t="n">
        <v>11</v>
      </c>
      <c r="D3641" s="0" t="s">
        <v>2471</v>
      </c>
      <c r="E3641" s="0" t="n">
        <v>1631</v>
      </c>
      <c r="F3641" s="0" t="s">
        <v>299</v>
      </c>
      <c r="I3641" s="0" t="n">
        <v>15127</v>
      </c>
      <c r="J3641" s="0" t="n">
        <v>108570</v>
      </c>
      <c r="K3641" s="0" t="n">
        <v>7898185800255</v>
      </c>
      <c r="L3641" s="0" t="s">
        <v>2452</v>
      </c>
      <c r="N3641" s="0" t="n">
        <v>20</v>
      </c>
      <c r="O3641" s="0" t="n">
        <v>37.59</v>
      </c>
      <c r="P3641" s="0" t="s">
        <v>2444</v>
      </c>
    </row>
    <row r="3642" customFormat="false" ht="15" hidden="false" customHeight="true" outlineLevel="0" collapsed="false">
      <c r="A3642" s="0" t="n">
        <v>2</v>
      </c>
      <c r="B3642" s="71" t="n">
        <v>46217</v>
      </c>
      <c r="C3642" s="0" t="n">
        <v>11</v>
      </c>
      <c r="D3642" s="0" t="s">
        <v>2471</v>
      </c>
      <c r="E3642" s="0" t="n">
        <v>1631</v>
      </c>
      <c r="F3642" s="0" t="s">
        <v>299</v>
      </c>
      <c r="I3642" s="0" t="n">
        <v>15127</v>
      </c>
      <c r="J3642" s="0" t="n">
        <v>14393</v>
      </c>
      <c r="K3642" s="0" t="n">
        <v>7898185800125</v>
      </c>
      <c r="L3642" s="0" t="s">
        <v>2453</v>
      </c>
      <c r="N3642" s="0" t="n">
        <v>10</v>
      </c>
      <c r="O3642" s="0" t="n">
        <v>41.35</v>
      </c>
      <c r="P3642" s="0" t="s">
        <v>2444</v>
      </c>
    </row>
    <row r="3643" customFormat="false" ht="15" hidden="false" customHeight="true" outlineLevel="0" collapsed="false">
      <c r="A3643" s="0" t="n">
        <v>2</v>
      </c>
      <c r="B3643" s="71" t="n">
        <v>46217</v>
      </c>
      <c r="C3643" s="0" t="n">
        <v>11</v>
      </c>
      <c r="D3643" s="0" t="s">
        <v>2471</v>
      </c>
      <c r="E3643" s="0" t="n">
        <v>1631</v>
      </c>
      <c r="F3643" s="0" t="s">
        <v>299</v>
      </c>
      <c r="I3643" s="0" t="n">
        <v>15127</v>
      </c>
      <c r="J3643" s="0" t="n">
        <v>19882</v>
      </c>
      <c r="K3643" s="0" t="n">
        <v>7898185800156</v>
      </c>
      <c r="L3643" s="0" t="s">
        <v>2454</v>
      </c>
      <c r="N3643" s="0" t="n">
        <v>3</v>
      </c>
      <c r="O3643" s="0" t="n">
        <v>12.4</v>
      </c>
      <c r="P3643" s="0" t="s">
        <v>2444</v>
      </c>
    </row>
    <row r="3644" customFormat="false" ht="15" hidden="false" customHeight="true" outlineLevel="0" collapsed="false">
      <c r="A3644" s="0" t="n">
        <v>2</v>
      </c>
      <c r="B3644" s="71" t="n">
        <v>46217</v>
      </c>
      <c r="C3644" s="0" t="n">
        <v>11</v>
      </c>
      <c r="D3644" s="0" t="s">
        <v>2471</v>
      </c>
      <c r="E3644" s="0" t="n">
        <v>1631</v>
      </c>
      <c r="F3644" s="0" t="s">
        <v>299</v>
      </c>
      <c r="I3644" s="0" t="n">
        <v>15127</v>
      </c>
      <c r="J3644" s="0" t="n">
        <v>24098</v>
      </c>
      <c r="K3644" s="0" t="n">
        <v>7898185800385</v>
      </c>
      <c r="L3644" s="0" t="s">
        <v>2455</v>
      </c>
      <c r="N3644" s="0" t="n">
        <v>20</v>
      </c>
      <c r="O3644" s="0" t="n">
        <v>75.18</v>
      </c>
      <c r="P3644" s="0" t="s">
        <v>2444</v>
      </c>
    </row>
    <row r="3645" customFormat="false" ht="15" hidden="false" customHeight="true" outlineLevel="0" collapsed="false">
      <c r="A3645" s="0" t="n">
        <v>2</v>
      </c>
      <c r="B3645" s="71" t="n">
        <v>46217</v>
      </c>
      <c r="C3645" s="0" t="n">
        <v>11</v>
      </c>
      <c r="D3645" s="0" t="s">
        <v>2471</v>
      </c>
      <c r="E3645" s="0" t="n">
        <v>1631</v>
      </c>
      <c r="F3645" s="0" t="s">
        <v>299</v>
      </c>
      <c r="I3645" s="0" t="n">
        <v>15127</v>
      </c>
      <c r="J3645" s="0" t="n">
        <v>25555</v>
      </c>
      <c r="K3645" s="0" t="n">
        <v>7898185800200</v>
      </c>
      <c r="L3645" s="0" t="s">
        <v>2456</v>
      </c>
      <c r="N3645" s="0" t="n">
        <v>5</v>
      </c>
      <c r="O3645" s="0" t="n">
        <v>41.35</v>
      </c>
      <c r="P3645" s="0" t="s">
        <v>2444</v>
      </c>
    </row>
    <row r="3646" customFormat="false" ht="15" hidden="false" customHeight="true" outlineLevel="0" collapsed="false">
      <c r="A3646" s="0" t="n">
        <v>2</v>
      </c>
      <c r="B3646" s="71" t="n">
        <v>46217</v>
      </c>
      <c r="C3646" s="0" t="n">
        <v>11</v>
      </c>
      <c r="D3646" s="0" t="s">
        <v>2471</v>
      </c>
      <c r="E3646" s="0" t="n">
        <v>1631</v>
      </c>
      <c r="F3646" s="0" t="s">
        <v>299</v>
      </c>
      <c r="I3646" s="0" t="n">
        <v>15127</v>
      </c>
      <c r="J3646" s="0" t="n">
        <v>26573</v>
      </c>
      <c r="K3646" s="0" t="n">
        <v>7898185800347</v>
      </c>
      <c r="L3646" s="0" t="s">
        <v>2457</v>
      </c>
      <c r="N3646" s="0" t="n">
        <v>3</v>
      </c>
      <c r="O3646" s="0" t="n">
        <v>24.81</v>
      </c>
      <c r="P3646" s="0" t="s">
        <v>2444</v>
      </c>
    </row>
    <row r="3647" customFormat="false" ht="15" hidden="false" customHeight="true" outlineLevel="0" collapsed="false">
      <c r="A3647" s="0" t="n">
        <v>2</v>
      </c>
      <c r="B3647" s="71" t="n">
        <v>46217</v>
      </c>
      <c r="C3647" s="0" t="n">
        <v>11</v>
      </c>
      <c r="D3647" s="0" t="s">
        <v>2471</v>
      </c>
      <c r="E3647" s="0" t="n">
        <v>1631</v>
      </c>
      <c r="F3647" s="0" t="s">
        <v>299</v>
      </c>
      <c r="I3647" s="0" t="n">
        <v>15127</v>
      </c>
      <c r="J3647" s="0" t="n">
        <v>26574</v>
      </c>
      <c r="K3647" s="0" t="n">
        <v>7898185800217</v>
      </c>
      <c r="L3647" s="0" t="s">
        <v>2458</v>
      </c>
      <c r="N3647" s="0" t="n">
        <v>5</v>
      </c>
      <c r="O3647" s="0" t="n">
        <v>41.35</v>
      </c>
      <c r="P3647" s="0" t="s">
        <v>2444</v>
      </c>
    </row>
    <row r="3648" customFormat="false" ht="15" hidden="false" customHeight="true" outlineLevel="0" collapsed="false">
      <c r="A3648" s="0" t="n">
        <v>2</v>
      </c>
      <c r="B3648" s="71" t="n">
        <v>46217</v>
      </c>
      <c r="C3648" s="0" t="n">
        <v>11</v>
      </c>
      <c r="D3648" s="0" t="s">
        <v>2471</v>
      </c>
      <c r="E3648" s="0" t="n">
        <v>1631</v>
      </c>
      <c r="F3648" s="0" t="s">
        <v>299</v>
      </c>
      <c r="I3648" s="0" t="n">
        <v>15127</v>
      </c>
      <c r="J3648" s="0" t="n">
        <v>30684</v>
      </c>
      <c r="K3648" s="0" t="n">
        <v>7898185800453</v>
      </c>
      <c r="L3648" s="0" t="s">
        <v>2459</v>
      </c>
      <c r="N3648" s="0" t="n">
        <v>30</v>
      </c>
      <c r="O3648" s="0" t="n">
        <v>33.83</v>
      </c>
      <c r="P3648" s="0" t="s">
        <v>2444</v>
      </c>
    </row>
    <row r="3649" customFormat="false" ht="15" hidden="false" customHeight="true" outlineLevel="0" collapsed="false">
      <c r="A3649" s="0" t="n">
        <v>2</v>
      </c>
      <c r="B3649" s="71" t="n">
        <v>46217</v>
      </c>
      <c r="C3649" s="0" t="n">
        <v>11</v>
      </c>
      <c r="D3649" s="0" t="s">
        <v>2471</v>
      </c>
      <c r="E3649" s="0" t="n">
        <v>1631</v>
      </c>
      <c r="F3649" s="0" t="s">
        <v>299</v>
      </c>
      <c r="I3649" s="0" t="n">
        <v>15127</v>
      </c>
      <c r="J3649" s="0" t="n">
        <v>41356</v>
      </c>
      <c r="K3649" s="0" t="n">
        <v>7898185800163</v>
      </c>
      <c r="L3649" s="0" t="s">
        <v>2460</v>
      </c>
      <c r="N3649" s="0" t="n">
        <v>5</v>
      </c>
      <c r="O3649" s="0" t="n">
        <v>20.67</v>
      </c>
      <c r="P3649" s="0" t="s">
        <v>2444</v>
      </c>
    </row>
    <row r="3650" customFormat="false" ht="15" hidden="false" customHeight="true" outlineLevel="0" collapsed="false">
      <c r="A3650" s="0" t="n">
        <v>2</v>
      </c>
      <c r="B3650" s="71" t="n">
        <v>46217</v>
      </c>
      <c r="C3650" s="0" t="n">
        <v>11</v>
      </c>
      <c r="D3650" s="0" t="s">
        <v>2471</v>
      </c>
      <c r="E3650" s="0" t="n">
        <v>1631</v>
      </c>
      <c r="F3650" s="0" t="s">
        <v>299</v>
      </c>
      <c r="I3650" s="0" t="n">
        <v>15127</v>
      </c>
      <c r="J3650" s="0" t="n">
        <v>41359</v>
      </c>
      <c r="K3650" s="0" t="n">
        <v>7898185800132</v>
      </c>
      <c r="L3650" s="0" t="s">
        <v>2461</v>
      </c>
      <c r="N3650" s="0" t="n">
        <v>3</v>
      </c>
      <c r="O3650" s="0" t="n">
        <v>12.4</v>
      </c>
      <c r="P3650" s="0" t="s">
        <v>2444</v>
      </c>
    </row>
    <row r="3651" customFormat="false" ht="15" hidden="false" customHeight="true" outlineLevel="0" collapsed="false">
      <c r="A3651" s="0" t="n">
        <v>2</v>
      </c>
      <c r="B3651" s="71" t="n">
        <v>46217</v>
      </c>
      <c r="C3651" s="0" t="n">
        <v>11</v>
      </c>
      <c r="D3651" s="0" t="s">
        <v>2471</v>
      </c>
      <c r="E3651" s="0" t="n">
        <v>571</v>
      </c>
      <c r="F3651" s="0" t="s">
        <v>1072</v>
      </c>
      <c r="I3651" s="0" t="n">
        <v>30429</v>
      </c>
      <c r="J3651" s="0" t="n">
        <v>10529</v>
      </c>
      <c r="K3651" s="0" t="n">
        <v>7898157614842</v>
      </c>
      <c r="L3651" s="0" t="s">
        <v>4070</v>
      </c>
      <c r="N3651" s="0" t="n">
        <v>6</v>
      </c>
      <c r="O3651" s="0" t="n">
        <v>44.97</v>
      </c>
      <c r="P3651" s="0" t="s">
        <v>2444</v>
      </c>
    </row>
    <row r="3652" customFormat="false" ht="15" hidden="false" customHeight="true" outlineLevel="0" collapsed="false">
      <c r="A3652" s="0" t="n">
        <v>2</v>
      </c>
      <c r="B3652" s="71" t="n">
        <v>46217</v>
      </c>
      <c r="C3652" s="0" t="n">
        <v>11</v>
      </c>
      <c r="D3652" s="0" t="s">
        <v>2471</v>
      </c>
      <c r="E3652" s="0" t="n">
        <v>571</v>
      </c>
      <c r="F3652" s="0" t="s">
        <v>1072</v>
      </c>
      <c r="I3652" s="0" t="n">
        <v>30429</v>
      </c>
      <c r="J3652" s="0" t="n">
        <v>37182</v>
      </c>
      <c r="K3652" s="0" t="n">
        <v>7898416830099</v>
      </c>
      <c r="L3652" s="0" t="s">
        <v>4219</v>
      </c>
      <c r="N3652" s="0" t="n">
        <v>6</v>
      </c>
      <c r="O3652" s="0" t="n">
        <v>79.24</v>
      </c>
      <c r="P3652" s="0" t="s">
        <v>2444</v>
      </c>
    </row>
    <row r="3653" customFormat="false" ht="15" hidden="false" customHeight="true" outlineLevel="0" collapsed="false">
      <c r="A3653" s="0" t="n">
        <v>2</v>
      </c>
      <c r="B3653" s="71" t="n">
        <v>46217</v>
      </c>
      <c r="C3653" s="0" t="n">
        <v>11</v>
      </c>
      <c r="D3653" s="0" t="s">
        <v>2471</v>
      </c>
      <c r="E3653" s="0" t="n">
        <v>571</v>
      </c>
      <c r="F3653" s="0" t="s">
        <v>1072</v>
      </c>
      <c r="I3653" s="0" t="n">
        <v>30429</v>
      </c>
      <c r="J3653" s="0" t="n">
        <v>37184</v>
      </c>
      <c r="K3653" s="0" t="n">
        <v>7898416830105</v>
      </c>
      <c r="L3653" s="0" t="s">
        <v>4220</v>
      </c>
      <c r="N3653" s="0" t="n">
        <v>4</v>
      </c>
      <c r="O3653" s="0" t="n">
        <v>58.7</v>
      </c>
      <c r="P3653" s="0" t="s">
        <v>2444</v>
      </c>
    </row>
    <row r="3654" customFormat="false" ht="15" hidden="false" customHeight="true" outlineLevel="0" collapsed="false">
      <c r="A3654" s="0" t="n">
        <v>2</v>
      </c>
      <c r="B3654" s="71" t="n">
        <v>46217</v>
      </c>
      <c r="C3654" s="0" t="n">
        <v>11</v>
      </c>
      <c r="D3654" s="0" t="s">
        <v>2471</v>
      </c>
      <c r="E3654" s="0" t="n">
        <v>571</v>
      </c>
      <c r="F3654" s="0" t="s">
        <v>1072</v>
      </c>
      <c r="I3654" s="0" t="n">
        <v>30429</v>
      </c>
      <c r="J3654" s="0" t="n">
        <v>74120</v>
      </c>
      <c r="K3654" s="0" t="n">
        <v>7896978201265</v>
      </c>
      <c r="L3654" s="0" t="s">
        <v>4221</v>
      </c>
      <c r="N3654" s="0" t="n">
        <v>36</v>
      </c>
      <c r="O3654" s="0" t="n">
        <v>111.6</v>
      </c>
      <c r="P3654" s="0" t="s">
        <v>2444</v>
      </c>
    </row>
    <row r="3655" customFormat="false" ht="15" hidden="false" customHeight="true" outlineLevel="0" collapsed="false">
      <c r="A3655" s="0" t="n">
        <v>2</v>
      </c>
      <c r="B3655" s="71" t="n">
        <v>46217</v>
      </c>
      <c r="C3655" s="0" t="n">
        <v>11</v>
      </c>
      <c r="D3655" s="0" t="s">
        <v>2471</v>
      </c>
      <c r="E3655" s="0" t="n">
        <v>571</v>
      </c>
      <c r="F3655" s="0" t="s">
        <v>1072</v>
      </c>
      <c r="I3655" s="0" t="n">
        <v>30429</v>
      </c>
      <c r="J3655" s="0" t="n">
        <v>81733</v>
      </c>
      <c r="K3655" s="0" t="n">
        <v>7896978201258</v>
      </c>
      <c r="L3655" s="0" t="s">
        <v>4222</v>
      </c>
      <c r="N3655" s="0" t="n">
        <v>36</v>
      </c>
      <c r="O3655" s="0" t="n">
        <v>111.6</v>
      </c>
      <c r="P3655" s="0" t="s">
        <v>2444</v>
      </c>
    </row>
    <row r="3656" customFormat="false" ht="15" hidden="false" customHeight="true" outlineLevel="0" collapsed="false">
      <c r="A3656" s="0" t="n">
        <v>2</v>
      </c>
      <c r="B3656" s="71" t="n">
        <v>46217</v>
      </c>
      <c r="C3656" s="0" t="n">
        <v>11</v>
      </c>
      <c r="D3656" s="0" t="s">
        <v>2471</v>
      </c>
      <c r="E3656" s="0" t="n">
        <v>821</v>
      </c>
      <c r="F3656" s="0" t="s">
        <v>394</v>
      </c>
      <c r="I3656" s="0" t="n">
        <v>473151</v>
      </c>
      <c r="J3656" s="0" t="n">
        <v>15100</v>
      </c>
      <c r="K3656" s="0" t="n">
        <v>7897395040246</v>
      </c>
      <c r="L3656" s="0" t="s">
        <v>4223</v>
      </c>
      <c r="N3656" s="0" t="n">
        <v>48</v>
      </c>
      <c r="O3656" s="0" t="n">
        <v>147.6</v>
      </c>
      <c r="P3656" s="0" t="s">
        <v>2444</v>
      </c>
    </row>
    <row r="3657" customFormat="false" ht="15" hidden="false" customHeight="true" outlineLevel="0" collapsed="false">
      <c r="A3657" s="0" t="n">
        <v>2</v>
      </c>
      <c r="B3657" s="71" t="n">
        <v>46217</v>
      </c>
      <c r="C3657" s="0" t="n">
        <v>11</v>
      </c>
      <c r="D3657" s="0" t="s">
        <v>2471</v>
      </c>
      <c r="E3657" s="0" t="n">
        <v>821</v>
      </c>
      <c r="F3657" s="0" t="s">
        <v>394</v>
      </c>
      <c r="I3657" s="0" t="n">
        <v>473151</v>
      </c>
      <c r="J3657" s="0" t="n">
        <v>43512</v>
      </c>
      <c r="K3657" s="0" t="n">
        <v>7897395000509</v>
      </c>
      <c r="L3657" s="0" t="s">
        <v>2742</v>
      </c>
      <c r="N3657" s="0" t="n">
        <v>24</v>
      </c>
      <c r="O3657" s="0" t="n">
        <v>130</v>
      </c>
      <c r="P3657" s="0" t="s">
        <v>2444</v>
      </c>
    </row>
    <row r="3658" customFormat="false" ht="15" hidden="false" customHeight="true" outlineLevel="0" collapsed="false">
      <c r="A3658" s="0" t="n">
        <v>2</v>
      </c>
      <c r="B3658" s="71" t="n">
        <v>46217</v>
      </c>
      <c r="C3658" s="0" t="n">
        <v>11</v>
      </c>
      <c r="D3658" s="0" t="s">
        <v>2471</v>
      </c>
      <c r="E3658" s="0" t="n">
        <v>1611</v>
      </c>
      <c r="F3658" s="0" t="s">
        <v>178</v>
      </c>
      <c r="I3658" s="0" t="n">
        <v>1781169</v>
      </c>
      <c r="J3658" s="0" t="n">
        <v>103329</v>
      </c>
      <c r="K3658" s="0" t="n">
        <v>7891194000326</v>
      </c>
      <c r="L3658" s="0" t="s">
        <v>4224</v>
      </c>
      <c r="N3658" s="0" t="n">
        <v>10</v>
      </c>
      <c r="O3658" s="0" t="n">
        <v>111.9</v>
      </c>
      <c r="P3658" s="0" t="s">
        <v>2444</v>
      </c>
    </row>
    <row r="3659" customFormat="false" ht="15" hidden="false" customHeight="true" outlineLevel="0" collapsed="false">
      <c r="A3659" s="0" t="n">
        <v>2</v>
      </c>
      <c r="B3659" s="71" t="n">
        <v>46217</v>
      </c>
      <c r="C3659" s="0" t="n">
        <v>11</v>
      </c>
      <c r="D3659" s="0" t="s">
        <v>2471</v>
      </c>
      <c r="E3659" s="0" t="n">
        <v>1611</v>
      </c>
      <c r="F3659" s="0" t="s">
        <v>178</v>
      </c>
      <c r="I3659" s="0" t="n">
        <v>1781169</v>
      </c>
      <c r="J3659" s="0" t="n">
        <v>11339</v>
      </c>
      <c r="K3659" s="0" t="n">
        <v>7891194000371</v>
      </c>
      <c r="L3659" s="0" t="s">
        <v>4225</v>
      </c>
      <c r="N3659" s="0" t="n">
        <v>5</v>
      </c>
      <c r="O3659" s="0" t="n">
        <v>153.69</v>
      </c>
      <c r="P3659" s="0" t="s">
        <v>2444</v>
      </c>
    </row>
    <row r="3660" customFormat="false" ht="15" hidden="false" customHeight="true" outlineLevel="0" collapsed="false">
      <c r="A3660" s="0" t="n">
        <v>2</v>
      </c>
      <c r="B3660" s="71" t="n">
        <v>46217</v>
      </c>
      <c r="C3660" s="0" t="n">
        <v>11</v>
      </c>
      <c r="D3660" s="0" t="s">
        <v>2471</v>
      </c>
      <c r="E3660" s="0" t="n">
        <v>1611</v>
      </c>
      <c r="F3660" s="0" t="s">
        <v>178</v>
      </c>
      <c r="I3660" s="0" t="n">
        <v>1781169</v>
      </c>
      <c r="J3660" s="0" t="n">
        <v>22890</v>
      </c>
      <c r="K3660" s="0" t="n">
        <v>7896020417156</v>
      </c>
      <c r="L3660" s="0" t="s">
        <v>4226</v>
      </c>
      <c r="N3660" s="0" t="n">
        <v>24</v>
      </c>
      <c r="O3660" s="0" t="n">
        <v>60.04</v>
      </c>
      <c r="P3660" s="0" t="s">
        <v>2444</v>
      </c>
    </row>
    <row r="3661" customFormat="false" ht="15" hidden="false" customHeight="true" outlineLevel="0" collapsed="false">
      <c r="A3661" s="0" t="n">
        <v>2</v>
      </c>
      <c r="B3661" s="71" t="n">
        <v>46217</v>
      </c>
      <c r="C3661" s="0" t="n">
        <v>11</v>
      </c>
      <c r="D3661" s="0" t="s">
        <v>2471</v>
      </c>
      <c r="E3661" s="0" t="n">
        <v>1611</v>
      </c>
      <c r="F3661" s="0" t="s">
        <v>178</v>
      </c>
      <c r="I3661" s="0" t="n">
        <v>1781169</v>
      </c>
      <c r="J3661" s="0" t="n">
        <v>29818</v>
      </c>
      <c r="K3661" s="0" t="n">
        <v>7891194000319</v>
      </c>
      <c r="L3661" s="0" t="s">
        <v>4227</v>
      </c>
      <c r="N3661" s="0" t="n">
        <v>10</v>
      </c>
      <c r="O3661" s="0" t="n">
        <v>98.32</v>
      </c>
      <c r="P3661" s="0" t="s">
        <v>2444</v>
      </c>
    </row>
    <row r="3662" customFormat="false" ht="15" hidden="false" customHeight="true" outlineLevel="0" collapsed="false">
      <c r="A3662" s="0" t="n">
        <v>2</v>
      </c>
      <c r="B3662" s="71" t="n">
        <v>46217</v>
      </c>
      <c r="C3662" s="0" t="n">
        <v>11</v>
      </c>
      <c r="D3662" s="0" t="s">
        <v>2471</v>
      </c>
      <c r="E3662" s="0" t="n">
        <v>1611</v>
      </c>
      <c r="F3662" s="0" t="s">
        <v>178</v>
      </c>
      <c r="I3662" s="0" t="n">
        <v>1781170</v>
      </c>
      <c r="J3662" s="0" t="n">
        <v>100967</v>
      </c>
      <c r="K3662" s="0" t="n">
        <v>7891024174210</v>
      </c>
      <c r="L3662" s="0" t="s">
        <v>4228</v>
      </c>
      <c r="N3662" s="0" t="n">
        <v>6</v>
      </c>
      <c r="O3662" s="0" t="n">
        <v>49.14</v>
      </c>
      <c r="P3662" s="0" t="s">
        <v>2444</v>
      </c>
    </row>
    <row r="3663" customFormat="false" ht="15" hidden="false" customHeight="true" outlineLevel="0" collapsed="false">
      <c r="A3663" s="0" t="n">
        <v>2</v>
      </c>
      <c r="B3663" s="71" t="n">
        <v>46217</v>
      </c>
      <c r="C3663" s="0" t="n">
        <v>11</v>
      </c>
      <c r="D3663" s="0" t="s">
        <v>2471</v>
      </c>
      <c r="E3663" s="0" t="n">
        <v>1611</v>
      </c>
      <c r="F3663" s="0" t="s">
        <v>178</v>
      </c>
      <c r="I3663" s="0" t="n">
        <v>1781170</v>
      </c>
      <c r="J3663" s="0" t="n">
        <v>101110</v>
      </c>
      <c r="K3663" s="0" t="n">
        <v>7891024171639</v>
      </c>
      <c r="L3663" s="0" t="s">
        <v>4229</v>
      </c>
      <c r="N3663" s="0" t="n">
        <v>6</v>
      </c>
      <c r="O3663" s="0" t="n">
        <v>49.14</v>
      </c>
      <c r="P3663" s="0" t="s">
        <v>2444</v>
      </c>
    </row>
    <row r="3664" customFormat="false" ht="15" hidden="false" customHeight="true" outlineLevel="0" collapsed="false">
      <c r="A3664" s="0" t="n">
        <v>2</v>
      </c>
      <c r="B3664" s="71" t="n">
        <v>46217</v>
      </c>
      <c r="C3664" s="0" t="n">
        <v>11</v>
      </c>
      <c r="D3664" s="0" t="s">
        <v>2471</v>
      </c>
      <c r="E3664" s="0" t="n">
        <v>1611</v>
      </c>
      <c r="F3664" s="0" t="s">
        <v>178</v>
      </c>
      <c r="I3664" s="0" t="n">
        <v>1781170</v>
      </c>
      <c r="J3664" s="0" t="n">
        <v>103506</v>
      </c>
      <c r="K3664" s="0" t="n">
        <v>7891134001819</v>
      </c>
      <c r="L3664" s="0" t="s">
        <v>4230</v>
      </c>
      <c r="N3664" s="0" t="n">
        <v>12</v>
      </c>
      <c r="O3664" s="0" t="n">
        <v>88.52</v>
      </c>
      <c r="P3664" s="0" t="s">
        <v>2444</v>
      </c>
    </row>
    <row r="3665" customFormat="false" ht="15" hidden="false" customHeight="true" outlineLevel="0" collapsed="false">
      <c r="A3665" s="0" t="n">
        <v>2</v>
      </c>
      <c r="B3665" s="71" t="n">
        <v>46217</v>
      </c>
      <c r="C3665" s="0" t="n">
        <v>11</v>
      </c>
      <c r="D3665" s="0" t="s">
        <v>2471</v>
      </c>
      <c r="E3665" s="0" t="n">
        <v>1611</v>
      </c>
      <c r="F3665" s="0" t="s">
        <v>178</v>
      </c>
      <c r="I3665" s="0" t="n">
        <v>1781170</v>
      </c>
      <c r="J3665" s="0" t="n">
        <v>109569</v>
      </c>
      <c r="K3665" s="0" t="n">
        <v>7891134001925</v>
      </c>
      <c r="L3665" s="0" t="s">
        <v>4231</v>
      </c>
      <c r="N3665" s="0" t="n">
        <v>12</v>
      </c>
      <c r="O3665" s="0" t="n">
        <v>88.52</v>
      </c>
      <c r="P3665" s="0" t="s">
        <v>2444</v>
      </c>
    </row>
    <row r="3666" customFormat="false" ht="15" hidden="false" customHeight="true" outlineLevel="0" collapsed="false">
      <c r="A3666" s="0" t="n">
        <v>2</v>
      </c>
      <c r="B3666" s="71" t="n">
        <v>46217</v>
      </c>
      <c r="C3666" s="0" t="n">
        <v>11</v>
      </c>
      <c r="D3666" s="0" t="s">
        <v>2471</v>
      </c>
      <c r="E3666" s="0" t="n">
        <v>1611</v>
      </c>
      <c r="F3666" s="0" t="s">
        <v>178</v>
      </c>
      <c r="I3666" s="0" t="n">
        <v>1781170</v>
      </c>
      <c r="J3666" s="0" t="n">
        <v>19941</v>
      </c>
      <c r="K3666" s="0" t="n">
        <v>7896480657390</v>
      </c>
      <c r="L3666" s="0" t="s">
        <v>4232</v>
      </c>
      <c r="N3666" s="0" t="n">
        <v>12</v>
      </c>
      <c r="O3666" s="0" t="n">
        <v>43.94</v>
      </c>
      <c r="P3666" s="0" t="s">
        <v>2444</v>
      </c>
    </row>
    <row r="3667" customFormat="false" ht="15" hidden="false" customHeight="true" outlineLevel="0" collapsed="false">
      <c r="A3667" s="0" t="n">
        <v>2</v>
      </c>
      <c r="B3667" s="71" t="n">
        <v>46217</v>
      </c>
      <c r="C3667" s="0" t="n">
        <v>11</v>
      </c>
      <c r="D3667" s="0" t="s">
        <v>2471</v>
      </c>
      <c r="E3667" s="0" t="n">
        <v>1611</v>
      </c>
      <c r="F3667" s="0" t="s">
        <v>178</v>
      </c>
      <c r="I3667" s="0" t="n">
        <v>1781170</v>
      </c>
      <c r="J3667" s="0" t="n">
        <v>30489</v>
      </c>
      <c r="K3667" s="0" t="n">
        <v>7891024042908</v>
      </c>
      <c r="L3667" s="0" t="s">
        <v>4233</v>
      </c>
      <c r="N3667" s="0" t="n">
        <v>6</v>
      </c>
      <c r="O3667" s="0" t="n">
        <v>49.14</v>
      </c>
      <c r="P3667" s="0" t="s">
        <v>2444</v>
      </c>
    </row>
    <row r="3668" customFormat="false" ht="15" hidden="false" customHeight="true" outlineLevel="0" collapsed="false">
      <c r="A3668" s="0" t="n">
        <v>2</v>
      </c>
      <c r="B3668" s="71" t="n">
        <v>46217</v>
      </c>
      <c r="C3668" s="0" t="n">
        <v>11</v>
      </c>
      <c r="D3668" s="0" t="s">
        <v>2471</v>
      </c>
      <c r="E3668" s="0" t="n">
        <v>1611</v>
      </c>
      <c r="F3668" s="0" t="s">
        <v>178</v>
      </c>
      <c r="I3668" s="0" t="n">
        <v>1781170</v>
      </c>
      <c r="J3668" s="0" t="n">
        <v>51612</v>
      </c>
      <c r="K3668" s="0" t="n">
        <v>7509546682600</v>
      </c>
      <c r="L3668" s="0" t="s">
        <v>4234</v>
      </c>
      <c r="N3668" s="0" t="n">
        <v>6</v>
      </c>
      <c r="O3668" s="0" t="n">
        <v>42.49</v>
      </c>
      <c r="P3668" s="0" t="s">
        <v>2444</v>
      </c>
    </row>
    <row r="3669" customFormat="false" ht="15" hidden="false" customHeight="true" outlineLevel="0" collapsed="false">
      <c r="A3669" s="0" t="n">
        <v>2</v>
      </c>
      <c r="B3669" s="71" t="n">
        <v>46217</v>
      </c>
      <c r="C3669" s="0" t="n">
        <v>11</v>
      </c>
      <c r="D3669" s="0" t="s">
        <v>2471</v>
      </c>
      <c r="E3669" s="0" t="n">
        <v>1612</v>
      </c>
      <c r="F3669" s="0" t="s">
        <v>74</v>
      </c>
      <c r="I3669" s="0" t="n">
        <v>2300746</v>
      </c>
      <c r="J3669" s="0" t="n">
        <v>21805</v>
      </c>
      <c r="K3669" s="0" t="n">
        <v>7896098900222</v>
      </c>
      <c r="L3669" s="0" t="s">
        <v>4235</v>
      </c>
      <c r="N3669" s="0" t="n">
        <v>96</v>
      </c>
      <c r="O3669" s="0" t="n">
        <v>220.15</v>
      </c>
      <c r="P3669" s="0" t="s">
        <v>2444</v>
      </c>
    </row>
    <row r="3670" customFormat="false" ht="15" hidden="false" customHeight="true" outlineLevel="0" collapsed="false">
      <c r="A3670" s="0" t="n">
        <v>2</v>
      </c>
      <c r="B3670" s="71" t="n">
        <v>46217</v>
      </c>
      <c r="C3670" s="0" t="n">
        <v>11</v>
      </c>
      <c r="D3670" s="0" t="s">
        <v>2471</v>
      </c>
      <c r="E3670" s="0" t="n">
        <v>1612</v>
      </c>
      <c r="F3670" s="0" t="s">
        <v>74</v>
      </c>
      <c r="I3670" s="0" t="n">
        <v>2300746</v>
      </c>
      <c r="J3670" s="0" t="n">
        <v>21848</v>
      </c>
      <c r="K3670" s="0" t="n">
        <v>7896098900239</v>
      </c>
      <c r="L3670" s="0" t="s">
        <v>4236</v>
      </c>
      <c r="N3670" s="0" t="n">
        <v>72</v>
      </c>
      <c r="O3670" s="0" t="n">
        <v>165.11</v>
      </c>
      <c r="P3670" s="0" t="s">
        <v>2444</v>
      </c>
    </row>
    <row r="3671" customFormat="false" ht="15" hidden="false" customHeight="true" outlineLevel="0" collapsed="false">
      <c r="A3671" s="0" t="n">
        <v>2</v>
      </c>
      <c r="B3671" s="71" t="n">
        <v>46217</v>
      </c>
      <c r="C3671" s="0" t="n">
        <v>11</v>
      </c>
      <c r="D3671" s="0" t="s">
        <v>2471</v>
      </c>
      <c r="E3671" s="0" t="n">
        <v>1612</v>
      </c>
      <c r="F3671" s="0" t="s">
        <v>74</v>
      </c>
      <c r="I3671" s="0" t="n">
        <v>2300746</v>
      </c>
      <c r="J3671" s="0" t="n">
        <v>27114</v>
      </c>
      <c r="K3671" s="0" t="n">
        <v>7896098902042</v>
      </c>
      <c r="L3671" s="0" t="s">
        <v>4237</v>
      </c>
      <c r="N3671" s="0" t="n">
        <v>72</v>
      </c>
      <c r="O3671" s="0" t="n">
        <v>165.11</v>
      </c>
      <c r="P3671" s="0" t="s">
        <v>2444</v>
      </c>
    </row>
    <row r="3672" customFormat="false" ht="15" hidden="false" customHeight="true" outlineLevel="0" collapsed="false">
      <c r="A3672" s="0" t="n">
        <v>2</v>
      </c>
      <c r="B3672" s="71" t="n">
        <v>46217</v>
      </c>
      <c r="C3672" s="0" t="n">
        <v>22</v>
      </c>
      <c r="D3672" s="0" t="s">
        <v>2479</v>
      </c>
      <c r="E3672" s="0" t="n">
        <v>48</v>
      </c>
      <c r="F3672" s="0" t="s">
        <v>153</v>
      </c>
      <c r="I3672" s="0" t="n">
        <v>2541</v>
      </c>
      <c r="J3672" s="0" t="n">
        <v>100000</v>
      </c>
      <c r="K3672" s="0" t="n">
        <v>1</v>
      </c>
      <c r="L3672" s="0" t="s">
        <v>2480</v>
      </c>
      <c r="N3672" s="0" t="n">
        <v>2.508</v>
      </c>
      <c r="O3672" s="0" t="n">
        <v>47.83</v>
      </c>
      <c r="P3672" s="0" t="s">
        <v>2444</v>
      </c>
    </row>
    <row r="3673" customFormat="false" ht="15" hidden="false" customHeight="true" outlineLevel="0" collapsed="false">
      <c r="A3673" s="0" t="n">
        <v>2</v>
      </c>
      <c r="B3673" s="71" t="n">
        <v>46217</v>
      </c>
      <c r="C3673" s="0" t="n">
        <v>22</v>
      </c>
      <c r="D3673" s="0" t="s">
        <v>2479</v>
      </c>
      <c r="E3673" s="0" t="n">
        <v>48</v>
      </c>
      <c r="F3673" s="0" t="s">
        <v>153</v>
      </c>
      <c r="I3673" s="0" t="n">
        <v>2541</v>
      </c>
      <c r="J3673" s="0" t="n">
        <v>100000</v>
      </c>
      <c r="K3673" s="0" t="n">
        <v>1</v>
      </c>
      <c r="L3673" s="0" t="s">
        <v>2480</v>
      </c>
      <c r="N3673" s="0" t="n">
        <v>3.118</v>
      </c>
      <c r="O3673" s="0" t="n">
        <v>64.29</v>
      </c>
      <c r="P3673" s="0" t="s">
        <v>2444</v>
      </c>
    </row>
    <row r="3674" customFormat="false" ht="15" hidden="false" customHeight="true" outlineLevel="0" collapsed="false">
      <c r="A3674" s="0" t="n">
        <v>2</v>
      </c>
      <c r="B3674" s="71" t="n">
        <v>46217</v>
      </c>
      <c r="C3674" s="0" t="n">
        <v>22</v>
      </c>
      <c r="D3674" s="0" t="s">
        <v>2479</v>
      </c>
      <c r="E3674" s="0" t="n">
        <v>48</v>
      </c>
      <c r="F3674" s="0" t="s">
        <v>153</v>
      </c>
      <c r="I3674" s="0" t="n">
        <v>2541</v>
      </c>
      <c r="J3674" s="0" t="n">
        <v>100001</v>
      </c>
      <c r="K3674" s="0" t="n">
        <v>2</v>
      </c>
      <c r="L3674" s="0" t="s">
        <v>2481</v>
      </c>
      <c r="N3674" s="0" t="n">
        <v>8.75</v>
      </c>
      <c r="O3674" s="0" t="n">
        <v>180.77</v>
      </c>
      <c r="P3674" s="0" t="s">
        <v>2444</v>
      </c>
    </row>
    <row r="3675" customFormat="false" ht="15" hidden="false" customHeight="true" outlineLevel="0" collapsed="false">
      <c r="A3675" s="0" t="n">
        <v>2</v>
      </c>
      <c r="B3675" s="71" t="n">
        <v>46217</v>
      </c>
      <c r="C3675" s="0" t="n">
        <v>22</v>
      </c>
      <c r="D3675" s="0" t="s">
        <v>2479</v>
      </c>
      <c r="E3675" s="0" t="n">
        <v>48</v>
      </c>
      <c r="F3675" s="0" t="s">
        <v>153</v>
      </c>
      <c r="I3675" s="0" t="n">
        <v>2541</v>
      </c>
      <c r="J3675" s="0" t="n">
        <v>100002</v>
      </c>
      <c r="K3675" s="0" t="n">
        <v>3</v>
      </c>
      <c r="L3675" s="0" t="s">
        <v>2482</v>
      </c>
      <c r="N3675" s="0" t="n">
        <v>25.88</v>
      </c>
      <c r="O3675" s="0" t="n">
        <v>616.95</v>
      </c>
      <c r="P3675" s="0" t="s">
        <v>2444</v>
      </c>
    </row>
    <row r="3676" customFormat="false" ht="15" hidden="false" customHeight="true" outlineLevel="0" collapsed="false">
      <c r="A3676" s="0" t="n">
        <v>2</v>
      </c>
      <c r="B3676" s="71" t="n">
        <v>46217</v>
      </c>
      <c r="C3676" s="0" t="n">
        <v>22</v>
      </c>
      <c r="D3676" s="0" t="s">
        <v>2479</v>
      </c>
      <c r="E3676" s="0" t="n">
        <v>48</v>
      </c>
      <c r="F3676" s="0" t="s">
        <v>153</v>
      </c>
      <c r="I3676" s="0" t="n">
        <v>2541</v>
      </c>
      <c r="J3676" s="0" t="n">
        <v>100003</v>
      </c>
      <c r="K3676" s="0" t="n">
        <v>4</v>
      </c>
      <c r="L3676" s="0" t="s">
        <v>2483</v>
      </c>
      <c r="N3676" s="0" t="n">
        <v>15.38</v>
      </c>
      <c r="O3676" s="0" t="n">
        <v>391.1</v>
      </c>
      <c r="P3676" s="0" t="s">
        <v>2444</v>
      </c>
    </row>
    <row r="3677" customFormat="false" ht="15" hidden="false" customHeight="true" outlineLevel="0" collapsed="false">
      <c r="A3677" s="0" t="n">
        <v>2</v>
      </c>
      <c r="B3677" s="71" t="n">
        <v>46217</v>
      </c>
      <c r="C3677" s="0" t="n">
        <v>22</v>
      </c>
      <c r="D3677" s="0" t="s">
        <v>2479</v>
      </c>
      <c r="E3677" s="0" t="n">
        <v>48</v>
      </c>
      <c r="F3677" s="0" t="s">
        <v>153</v>
      </c>
      <c r="I3677" s="0" t="n">
        <v>2541</v>
      </c>
      <c r="J3677" s="0" t="n">
        <v>100005</v>
      </c>
      <c r="K3677" s="0" t="n">
        <v>6</v>
      </c>
      <c r="L3677" s="0" t="s">
        <v>2582</v>
      </c>
      <c r="N3677" s="0" t="n">
        <v>0.71</v>
      </c>
      <c r="O3677" s="0" t="n">
        <v>16.93</v>
      </c>
      <c r="P3677" s="0" t="s">
        <v>2444</v>
      </c>
    </row>
    <row r="3678" customFormat="false" ht="15" hidden="false" customHeight="true" outlineLevel="0" collapsed="false">
      <c r="A3678" s="0" t="n">
        <v>2</v>
      </c>
      <c r="B3678" s="71" t="n">
        <v>46217</v>
      </c>
      <c r="C3678" s="0" t="n">
        <v>22</v>
      </c>
      <c r="D3678" s="0" t="s">
        <v>2479</v>
      </c>
      <c r="E3678" s="0" t="n">
        <v>48</v>
      </c>
      <c r="F3678" s="0" t="s">
        <v>153</v>
      </c>
      <c r="I3678" s="0" t="n">
        <v>2541</v>
      </c>
      <c r="J3678" s="0" t="n">
        <v>100006</v>
      </c>
      <c r="K3678" s="0" t="n">
        <v>7</v>
      </c>
      <c r="L3678" s="0" t="s">
        <v>2485</v>
      </c>
      <c r="N3678" s="0" t="n">
        <v>2.448</v>
      </c>
      <c r="O3678" s="0" t="n">
        <v>71.52</v>
      </c>
      <c r="P3678" s="0" t="s">
        <v>2444</v>
      </c>
    </row>
    <row r="3679" customFormat="false" ht="15" hidden="false" customHeight="true" outlineLevel="0" collapsed="false">
      <c r="A3679" s="0" t="n">
        <v>2</v>
      </c>
      <c r="B3679" s="71" t="n">
        <v>46217</v>
      </c>
      <c r="C3679" s="0" t="n">
        <v>22</v>
      </c>
      <c r="D3679" s="0" t="s">
        <v>2479</v>
      </c>
      <c r="E3679" s="0" t="n">
        <v>48</v>
      </c>
      <c r="F3679" s="0" t="s">
        <v>153</v>
      </c>
      <c r="I3679" s="0" t="n">
        <v>2541</v>
      </c>
      <c r="J3679" s="0" t="n">
        <v>100007</v>
      </c>
      <c r="K3679" s="0" t="n">
        <v>8</v>
      </c>
      <c r="L3679" s="0" t="s">
        <v>2486</v>
      </c>
      <c r="N3679" s="0" t="n">
        <v>2.792</v>
      </c>
      <c r="O3679" s="0" t="n">
        <v>71.97</v>
      </c>
      <c r="P3679" s="0" t="s">
        <v>2444</v>
      </c>
    </row>
    <row r="3680" customFormat="false" ht="15" hidden="false" customHeight="true" outlineLevel="0" collapsed="false">
      <c r="A3680" s="0" t="n">
        <v>2</v>
      </c>
      <c r="B3680" s="71" t="n">
        <v>46217</v>
      </c>
      <c r="C3680" s="0" t="n">
        <v>22</v>
      </c>
      <c r="D3680" s="0" t="s">
        <v>2479</v>
      </c>
      <c r="E3680" s="0" t="n">
        <v>48</v>
      </c>
      <c r="F3680" s="0" t="s">
        <v>153</v>
      </c>
      <c r="I3680" s="0" t="n">
        <v>2541</v>
      </c>
      <c r="J3680" s="0" t="n">
        <v>100007</v>
      </c>
      <c r="K3680" s="0" t="n">
        <v>8</v>
      </c>
      <c r="L3680" s="0" t="s">
        <v>2486</v>
      </c>
      <c r="N3680" s="0" t="n">
        <v>2.5</v>
      </c>
      <c r="O3680" s="0" t="n">
        <v>59.6</v>
      </c>
      <c r="P3680" s="0" t="s">
        <v>2444</v>
      </c>
    </row>
    <row r="3681" customFormat="false" ht="15" hidden="false" customHeight="true" outlineLevel="0" collapsed="false">
      <c r="A3681" s="0" t="n">
        <v>2</v>
      </c>
      <c r="B3681" s="71" t="n">
        <v>46217</v>
      </c>
      <c r="C3681" s="0" t="n">
        <v>22</v>
      </c>
      <c r="D3681" s="0" t="s">
        <v>2479</v>
      </c>
      <c r="E3681" s="0" t="n">
        <v>48</v>
      </c>
      <c r="F3681" s="0" t="s">
        <v>153</v>
      </c>
      <c r="I3681" s="0" t="n">
        <v>2541</v>
      </c>
      <c r="J3681" s="0" t="n">
        <v>100008</v>
      </c>
      <c r="K3681" s="0" t="n">
        <v>9</v>
      </c>
      <c r="L3681" s="0" t="s">
        <v>2487</v>
      </c>
      <c r="N3681" s="0" t="n">
        <v>14.24</v>
      </c>
      <c r="O3681" s="0" t="n">
        <v>477.2</v>
      </c>
      <c r="P3681" s="0" t="s">
        <v>2444</v>
      </c>
    </row>
    <row r="3682" customFormat="false" ht="15" hidden="false" customHeight="true" outlineLevel="0" collapsed="false">
      <c r="A3682" s="0" t="n">
        <v>2</v>
      </c>
      <c r="B3682" s="71" t="n">
        <v>46217</v>
      </c>
      <c r="C3682" s="0" t="n">
        <v>22</v>
      </c>
      <c r="D3682" s="0" t="s">
        <v>2479</v>
      </c>
      <c r="E3682" s="0" t="n">
        <v>48</v>
      </c>
      <c r="F3682" s="0" t="s">
        <v>153</v>
      </c>
      <c r="I3682" s="0" t="n">
        <v>2541</v>
      </c>
      <c r="J3682" s="0" t="n">
        <v>100011</v>
      </c>
      <c r="K3682" s="0" t="n">
        <v>12</v>
      </c>
      <c r="L3682" s="0" t="s">
        <v>2488</v>
      </c>
      <c r="N3682" s="0" t="n">
        <v>11.71</v>
      </c>
      <c r="O3682" s="0" t="n">
        <v>442.74</v>
      </c>
      <c r="P3682" s="0" t="s">
        <v>2444</v>
      </c>
    </row>
    <row r="3683" customFormat="false" ht="15" hidden="false" customHeight="true" outlineLevel="0" collapsed="false">
      <c r="A3683" s="0" t="n">
        <v>2</v>
      </c>
      <c r="B3683" s="71" t="n">
        <v>46217</v>
      </c>
      <c r="C3683" s="0" t="n">
        <v>22</v>
      </c>
      <c r="D3683" s="0" t="s">
        <v>2479</v>
      </c>
      <c r="E3683" s="0" t="n">
        <v>48</v>
      </c>
      <c r="F3683" s="0" t="s">
        <v>153</v>
      </c>
      <c r="I3683" s="0" t="n">
        <v>2541</v>
      </c>
      <c r="J3683" s="0" t="n">
        <v>100012</v>
      </c>
      <c r="K3683" s="0" t="n">
        <v>13</v>
      </c>
      <c r="L3683" s="0" t="s">
        <v>2489</v>
      </c>
      <c r="N3683" s="0" t="n">
        <v>6.145</v>
      </c>
      <c r="O3683" s="0" t="n">
        <v>264.02</v>
      </c>
      <c r="P3683" s="0" t="s">
        <v>2444</v>
      </c>
    </row>
    <row r="3684" customFormat="false" ht="15" hidden="false" customHeight="true" outlineLevel="0" collapsed="false">
      <c r="A3684" s="0" t="n">
        <v>2</v>
      </c>
      <c r="B3684" s="71" t="n">
        <v>46217</v>
      </c>
      <c r="C3684" s="0" t="n">
        <v>22</v>
      </c>
      <c r="D3684" s="0" t="s">
        <v>2479</v>
      </c>
      <c r="E3684" s="0" t="n">
        <v>48</v>
      </c>
      <c r="F3684" s="0" t="s">
        <v>153</v>
      </c>
      <c r="I3684" s="0" t="n">
        <v>2541</v>
      </c>
      <c r="J3684" s="0" t="n">
        <v>100013</v>
      </c>
      <c r="K3684" s="0" t="n">
        <v>14</v>
      </c>
      <c r="L3684" s="0" t="s">
        <v>2490</v>
      </c>
      <c r="N3684" s="0" t="n">
        <v>12.2</v>
      </c>
      <c r="O3684" s="0" t="n">
        <v>555.63</v>
      </c>
      <c r="P3684" s="0" t="s">
        <v>2444</v>
      </c>
    </row>
    <row r="3685" customFormat="false" ht="15" hidden="false" customHeight="true" outlineLevel="0" collapsed="false">
      <c r="A3685" s="0" t="n">
        <v>2</v>
      </c>
      <c r="B3685" s="71" t="n">
        <v>46217</v>
      </c>
      <c r="C3685" s="0" t="n">
        <v>22</v>
      </c>
      <c r="D3685" s="0" t="s">
        <v>2479</v>
      </c>
      <c r="E3685" s="0" t="n">
        <v>48</v>
      </c>
      <c r="F3685" s="0" t="s">
        <v>153</v>
      </c>
      <c r="I3685" s="0" t="n">
        <v>2541</v>
      </c>
      <c r="J3685" s="0" t="n">
        <v>100014</v>
      </c>
      <c r="K3685" s="0" t="n">
        <v>15</v>
      </c>
      <c r="L3685" s="0" t="s">
        <v>2491</v>
      </c>
      <c r="N3685" s="0" t="n">
        <v>4.694</v>
      </c>
      <c r="O3685" s="0" t="n">
        <v>217.82</v>
      </c>
      <c r="P3685" s="0" t="s">
        <v>2444</v>
      </c>
    </row>
    <row r="3686" customFormat="false" ht="15" hidden="false" customHeight="true" outlineLevel="0" collapsed="false">
      <c r="A3686" s="0" t="n">
        <v>2</v>
      </c>
      <c r="B3686" s="71" t="n">
        <v>46217</v>
      </c>
      <c r="C3686" s="0" t="n">
        <v>22</v>
      </c>
      <c r="D3686" s="0" t="s">
        <v>2479</v>
      </c>
      <c r="E3686" s="0" t="n">
        <v>48</v>
      </c>
      <c r="F3686" s="0" t="s">
        <v>153</v>
      </c>
      <c r="I3686" s="0" t="n">
        <v>2541</v>
      </c>
      <c r="J3686" s="0" t="n">
        <v>100015</v>
      </c>
      <c r="K3686" s="0" t="n">
        <v>16</v>
      </c>
      <c r="L3686" s="0" t="s">
        <v>2492</v>
      </c>
      <c r="N3686" s="0" t="n">
        <v>1.692</v>
      </c>
      <c r="O3686" s="0" t="n">
        <v>69.79</v>
      </c>
      <c r="P3686" s="0" t="s">
        <v>2444</v>
      </c>
    </row>
    <row r="3687" customFormat="false" ht="15" hidden="false" customHeight="true" outlineLevel="0" collapsed="false">
      <c r="A3687" s="0" t="n">
        <v>2</v>
      </c>
      <c r="B3687" s="71" t="n">
        <v>46217</v>
      </c>
      <c r="C3687" s="0" t="n">
        <v>22</v>
      </c>
      <c r="D3687" s="0" t="s">
        <v>2479</v>
      </c>
      <c r="E3687" s="0" t="n">
        <v>48</v>
      </c>
      <c r="F3687" s="0" t="s">
        <v>153</v>
      </c>
      <c r="I3687" s="0" t="n">
        <v>2541</v>
      </c>
      <c r="J3687" s="0" t="n">
        <v>100016</v>
      </c>
      <c r="K3687" s="0" t="n">
        <v>17</v>
      </c>
      <c r="L3687" s="0" t="s">
        <v>2493</v>
      </c>
      <c r="N3687" s="0" t="n">
        <v>1.93</v>
      </c>
      <c r="O3687" s="0" t="n">
        <v>116.1</v>
      </c>
      <c r="P3687" s="0" t="s">
        <v>2444</v>
      </c>
    </row>
    <row r="3688" customFormat="false" ht="15" hidden="false" customHeight="true" outlineLevel="0" collapsed="false">
      <c r="A3688" s="0" t="n">
        <v>2</v>
      </c>
      <c r="B3688" s="71" t="n">
        <v>46217</v>
      </c>
      <c r="C3688" s="0" t="n">
        <v>22</v>
      </c>
      <c r="D3688" s="0" t="s">
        <v>2479</v>
      </c>
      <c r="E3688" s="0" t="n">
        <v>48</v>
      </c>
      <c r="F3688" s="0" t="s">
        <v>153</v>
      </c>
      <c r="I3688" s="0" t="n">
        <v>2541</v>
      </c>
      <c r="J3688" s="0" t="n">
        <v>100017</v>
      </c>
      <c r="K3688" s="0" t="n">
        <v>18</v>
      </c>
      <c r="L3688" s="0" t="s">
        <v>2494</v>
      </c>
      <c r="N3688" s="0" t="n">
        <v>1.444</v>
      </c>
      <c r="O3688" s="0" t="n">
        <v>86.86</v>
      </c>
      <c r="P3688" s="0" t="s">
        <v>2444</v>
      </c>
    </row>
    <row r="3689" customFormat="false" ht="15" hidden="false" customHeight="true" outlineLevel="0" collapsed="false">
      <c r="A3689" s="0" t="n">
        <v>2</v>
      </c>
      <c r="B3689" s="71" t="n">
        <v>46217</v>
      </c>
      <c r="C3689" s="0" t="n">
        <v>22</v>
      </c>
      <c r="D3689" s="0" t="s">
        <v>2479</v>
      </c>
      <c r="E3689" s="0" t="n">
        <v>48</v>
      </c>
      <c r="F3689" s="0" t="s">
        <v>153</v>
      </c>
      <c r="I3689" s="0" t="n">
        <v>2541</v>
      </c>
      <c r="J3689" s="0" t="n">
        <v>100019</v>
      </c>
      <c r="K3689" s="0" t="n">
        <v>20</v>
      </c>
      <c r="L3689" s="0" t="s">
        <v>3779</v>
      </c>
      <c r="N3689" s="0" t="n">
        <v>1.124</v>
      </c>
      <c r="O3689" s="0" t="n">
        <v>40.56</v>
      </c>
      <c r="P3689" s="0" t="s">
        <v>2444</v>
      </c>
    </row>
    <row r="3690" customFormat="false" ht="15" hidden="false" customHeight="true" outlineLevel="0" collapsed="false">
      <c r="A3690" s="0" t="n">
        <v>2</v>
      </c>
      <c r="B3690" s="71" t="n">
        <v>46217</v>
      </c>
      <c r="C3690" s="0" t="n">
        <v>22</v>
      </c>
      <c r="D3690" s="0" t="s">
        <v>2479</v>
      </c>
      <c r="E3690" s="0" t="n">
        <v>48</v>
      </c>
      <c r="F3690" s="0" t="s">
        <v>153</v>
      </c>
      <c r="I3690" s="0" t="n">
        <v>2541</v>
      </c>
      <c r="J3690" s="0" t="n">
        <v>100019</v>
      </c>
      <c r="K3690" s="0" t="n">
        <v>20</v>
      </c>
      <c r="L3690" s="0" t="s">
        <v>3779</v>
      </c>
      <c r="N3690" s="0" t="n">
        <v>3.406</v>
      </c>
      <c r="O3690" s="0" t="n">
        <v>113.68</v>
      </c>
      <c r="P3690" s="0" t="s">
        <v>2444</v>
      </c>
    </row>
    <row r="3691" customFormat="false" ht="15" hidden="false" customHeight="true" outlineLevel="0" collapsed="false">
      <c r="A3691" s="0" t="n">
        <v>2</v>
      </c>
      <c r="B3691" s="71" t="n">
        <v>46217</v>
      </c>
      <c r="C3691" s="0" t="n">
        <v>22</v>
      </c>
      <c r="D3691" s="0" t="s">
        <v>2479</v>
      </c>
      <c r="E3691" s="0" t="n">
        <v>48</v>
      </c>
      <c r="F3691" s="0" t="s">
        <v>153</v>
      </c>
      <c r="I3691" s="0" t="n">
        <v>2541</v>
      </c>
      <c r="J3691" s="0" t="n">
        <v>100053</v>
      </c>
      <c r="K3691" s="0" t="n">
        <v>54</v>
      </c>
      <c r="L3691" s="0" t="s">
        <v>2495</v>
      </c>
      <c r="N3691" s="0" t="n">
        <v>1.884</v>
      </c>
      <c r="O3691" s="0" t="n">
        <v>71.23</v>
      </c>
      <c r="P3691" s="0" t="s">
        <v>2444</v>
      </c>
    </row>
    <row r="3692" customFormat="false" ht="15" hidden="false" customHeight="true" outlineLevel="0" collapsed="false">
      <c r="A3692" s="0" t="n">
        <v>2</v>
      </c>
      <c r="B3692" s="71" t="n">
        <v>46217</v>
      </c>
      <c r="C3692" s="0" t="n">
        <v>22</v>
      </c>
      <c r="D3692" s="0" t="s">
        <v>2479</v>
      </c>
      <c r="E3692" s="0" t="n">
        <v>48</v>
      </c>
      <c r="F3692" s="0" t="s">
        <v>153</v>
      </c>
      <c r="I3692" s="0" t="n">
        <v>2541</v>
      </c>
      <c r="J3692" s="0" t="n">
        <v>100638</v>
      </c>
      <c r="K3692" s="0" t="n">
        <v>508</v>
      </c>
      <c r="L3692" s="0" t="s">
        <v>2496</v>
      </c>
      <c r="N3692" s="0" t="n">
        <v>1.238</v>
      </c>
      <c r="O3692" s="0" t="n">
        <v>3.18</v>
      </c>
      <c r="P3692" s="0" t="s">
        <v>2444</v>
      </c>
    </row>
    <row r="3693" customFormat="false" ht="15" hidden="false" customHeight="true" outlineLevel="0" collapsed="false">
      <c r="A3693" s="0" t="n">
        <v>2</v>
      </c>
      <c r="B3693" s="71" t="n">
        <v>46217</v>
      </c>
      <c r="C3693" s="0" t="n">
        <v>22</v>
      </c>
      <c r="D3693" s="0" t="s">
        <v>2479</v>
      </c>
      <c r="E3693" s="0" t="n">
        <v>48</v>
      </c>
      <c r="F3693" s="0" t="s">
        <v>153</v>
      </c>
      <c r="I3693" s="0" t="n">
        <v>2541</v>
      </c>
      <c r="J3693" s="0" t="n">
        <v>100638</v>
      </c>
      <c r="K3693" s="0" t="n">
        <v>508</v>
      </c>
      <c r="L3693" s="0" t="s">
        <v>2496</v>
      </c>
      <c r="N3693" s="0" t="n">
        <v>0.608</v>
      </c>
      <c r="O3693" s="0" t="n">
        <v>1.45</v>
      </c>
      <c r="P3693" s="0" t="s">
        <v>2444</v>
      </c>
    </row>
    <row r="3694" customFormat="false" ht="15" hidden="false" customHeight="true" outlineLevel="0" collapsed="false">
      <c r="A3694" s="0" t="n">
        <v>2</v>
      </c>
      <c r="B3694" s="71" t="n">
        <v>46217</v>
      </c>
      <c r="C3694" s="0" t="n">
        <v>22</v>
      </c>
      <c r="D3694" s="0" t="s">
        <v>2479</v>
      </c>
      <c r="E3694" s="0" t="n">
        <v>48</v>
      </c>
      <c r="F3694" s="0" t="s">
        <v>153</v>
      </c>
      <c r="I3694" s="0" t="n">
        <v>2541</v>
      </c>
      <c r="J3694" s="0" t="n">
        <v>110137</v>
      </c>
      <c r="K3694" s="0" t="n">
        <v>13899</v>
      </c>
      <c r="L3694" s="0" t="s">
        <v>3780</v>
      </c>
      <c r="N3694" s="0" t="n">
        <v>2.476</v>
      </c>
      <c r="O3694" s="0" t="n">
        <v>9.82</v>
      </c>
      <c r="P3694" s="0" t="s">
        <v>2444</v>
      </c>
    </row>
    <row r="3695" customFormat="false" ht="15" hidden="false" customHeight="true" outlineLevel="0" collapsed="false">
      <c r="A3695" s="0" t="n">
        <v>2</v>
      </c>
      <c r="B3695" s="71" t="n">
        <v>46217</v>
      </c>
      <c r="C3695" s="0" t="n">
        <v>22</v>
      </c>
      <c r="D3695" s="0" t="s">
        <v>2479</v>
      </c>
      <c r="E3695" s="0" t="n">
        <v>48</v>
      </c>
      <c r="F3695" s="0" t="s">
        <v>153</v>
      </c>
      <c r="I3695" s="0" t="n">
        <v>2541</v>
      </c>
      <c r="J3695" s="0" t="n">
        <v>110137</v>
      </c>
      <c r="K3695" s="0" t="n">
        <v>13899</v>
      </c>
      <c r="L3695" s="0" t="s">
        <v>3780</v>
      </c>
      <c r="N3695" s="0" t="n">
        <v>12.305</v>
      </c>
      <c r="O3695" s="0" t="n">
        <v>52.77</v>
      </c>
      <c r="P3695" s="0" t="s">
        <v>2444</v>
      </c>
    </row>
    <row r="3696" customFormat="false" ht="15" hidden="false" customHeight="true" outlineLevel="0" collapsed="false">
      <c r="A3696" s="0" t="n">
        <v>2</v>
      </c>
      <c r="B3696" s="71" t="n">
        <v>46217</v>
      </c>
      <c r="C3696" s="0" t="n">
        <v>22</v>
      </c>
      <c r="D3696" s="0" t="s">
        <v>2479</v>
      </c>
      <c r="E3696" s="0" t="n">
        <v>48</v>
      </c>
      <c r="F3696" s="0" t="s">
        <v>153</v>
      </c>
      <c r="I3696" s="0" t="n">
        <v>2541</v>
      </c>
      <c r="J3696" s="0" t="n">
        <v>110455</v>
      </c>
      <c r="K3696" s="0" t="n">
        <v>53212</v>
      </c>
      <c r="L3696" s="0" t="s">
        <v>2498</v>
      </c>
      <c r="N3696" s="0" t="n">
        <v>0.582</v>
      </c>
      <c r="O3696" s="0" t="n">
        <v>0</v>
      </c>
      <c r="P3696" s="0" t="s">
        <v>2444</v>
      </c>
    </row>
    <row r="3697" customFormat="false" ht="15" hidden="false" customHeight="true" outlineLevel="0" collapsed="false">
      <c r="A3697" s="0" t="n">
        <v>2</v>
      </c>
      <c r="B3697" s="71" t="n">
        <v>46217</v>
      </c>
      <c r="C3697" s="0" t="n">
        <v>22</v>
      </c>
      <c r="D3697" s="0" t="s">
        <v>2479</v>
      </c>
      <c r="E3697" s="0" t="n">
        <v>48</v>
      </c>
      <c r="F3697" s="0" t="s">
        <v>153</v>
      </c>
      <c r="I3697" s="0" t="n">
        <v>2541</v>
      </c>
      <c r="J3697" s="0" t="n">
        <v>110455</v>
      </c>
      <c r="K3697" s="0" t="n">
        <v>53212</v>
      </c>
      <c r="L3697" s="0" t="s">
        <v>2498</v>
      </c>
      <c r="N3697" s="0" t="n">
        <v>0.236</v>
      </c>
      <c r="O3697" s="0" t="n">
        <v>0</v>
      </c>
      <c r="P3697" s="0" t="s">
        <v>2444</v>
      </c>
    </row>
    <row r="3698" customFormat="false" ht="15" hidden="false" customHeight="true" outlineLevel="0" collapsed="false">
      <c r="A3698" s="0" t="n">
        <v>2</v>
      </c>
      <c r="B3698" s="71" t="n">
        <v>46217</v>
      </c>
      <c r="C3698" s="0" t="n">
        <v>100</v>
      </c>
      <c r="D3698" s="0" t="s">
        <v>2499</v>
      </c>
      <c r="E3698" s="0" t="n">
        <v>48</v>
      </c>
      <c r="F3698" s="0" t="s">
        <v>153</v>
      </c>
      <c r="I3698" s="0" t="n">
        <v>1397016</v>
      </c>
      <c r="J3698" s="0" t="n">
        <v>100000</v>
      </c>
      <c r="K3698" s="0" t="n">
        <v>1</v>
      </c>
      <c r="L3698" s="0" t="s">
        <v>2480</v>
      </c>
      <c r="N3698" s="0" t="n">
        <v>3.118</v>
      </c>
      <c r="O3698" s="0" t="n">
        <v>64.29</v>
      </c>
      <c r="P3698" s="0" t="s">
        <v>2444</v>
      </c>
    </row>
    <row r="3699" customFormat="false" ht="15" hidden="false" customHeight="true" outlineLevel="0" collapsed="false">
      <c r="A3699" s="0" t="n">
        <v>2</v>
      </c>
      <c r="B3699" s="71" t="n">
        <v>46217</v>
      </c>
      <c r="C3699" s="0" t="n">
        <v>100</v>
      </c>
      <c r="D3699" s="0" t="s">
        <v>2499</v>
      </c>
      <c r="E3699" s="0" t="n">
        <v>48</v>
      </c>
      <c r="F3699" s="0" t="s">
        <v>153</v>
      </c>
      <c r="I3699" s="0" t="n">
        <v>1397016</v>
      </c>
      <c r="J3699" s="0" t="n">
        <v>100006</v>
      </c>
      <c r="K3699" s="0" t="n">
        <v>7</v>
      </c>
      <c r="L3699" s="0" t="s">
        <v>2485</v>
      </c>
      <c r="N3699" s="0" t="n">
        <v>2.448</v>
      </c>
      <c r="O3699" s="0" t="n">
        <v>71.52</v>
      </c>
      <c r="P3699" s="0" t="s">
        <v>2444</v>
      </c>
    </row>
    <row r="3700" customFormat="false" ht="15" hidden="false" customHeight="true" outlineLevel="0" collapsed="false">
      <c r="A3700" s="0" t="n">
        <v>2</v>
      </c>
      <c r="B3700" s="71" t="n">
        <v>46217</v>
      </c>
      <c r="C3700" s="0" t="n">
        <v>100</v>
      </c>
      <c r="D3700" s="0" t="s">
        <v>2499</v>
      </c>
      <c r="E3700" s="0" t="n">
        <v>48</v>
      </c>
      <c r="F3700" s="0" t="s">
        <v>153</v>
      </c>
      <c r="I3700" s="0" t="n">
        <v>1397016</v>
      </c>
      <c r="J3700" s="0" t="n">
        <v>100007</v>
      </c>
      <c r="K3700" s="0" t="n">
        <v>8</v>
      </c>
      <c r="L3700" s="0" t="s">
        <v>2486</v>
      </c>
      <c r="N3700" s="0" t="n">
        <v>2.792</v>
      </c>
      <c r="O3700" s="0" t="n">
        <v>71.97</v>
      </c>
      <c r="P3700" s="0" t="s">
        <v>2444</v>
      </c>
    </row>
    <row r="3701" customFormat="false" ht="15" hidden="false" customHeight="true" outlineLevel="0" collapsed="false">
      <c r="A3701" s="0" t="n">
        <v>2</v>
      </c>
      <c r="B3701" s="71" t="n">
        <v>46217</v>
      </c>
      <c r="C3701" s="0" t="n">
        <v>100</v>
      </c>
      <c r="D3701" s="0" t="s">
        <v>2499</v>
      </c>
      <c r="E3701" s="0" t="n">
        <v>48</v>
      </c>
      <c r="F3701" s="0" t="s">
        <v>153</v>
      </c>
      <c r="I3701" s="0" t="n">
        <v>1397016</v>
      </c>
      <c r="J3701" s="0" t="n">
        <v>100008</v>
      </c>
      <c r="K3701" s="0" t="n">
        <v>9</v>
      </c>
      <c r="L3701" s="0" t="s">
        <v>2487</v>
      </c>
      <c r="N3701" s="0" t="n">
        <v>14.24</v>
      </c>
      <c r="O3701" s="0" t="n">
        <v>477.2</v>
      </c>
      <c r="P3701" s="0" t="s">
        <v>2444</v>
      </c>
    </row>
    <row r="3702" customFormat="false" ht="15" hidden="false" customHeight="true" outlineLevel="0" collapsed="false">
      <c r="A3702" s="0" t="n">
        <v>2</v>
      </c>
      <c r="B3702" s="71" t="n">
        <v>46217</v>
      </c>
      <c r="C3702" s="0" t="n">
        <v>100</v>
      </c>
      <c r="D3702" s="0" t="s">
        <v>2499</v>
      </c>
      <c r="E3702" s="0" t="n">
        <v>48</v>
      </c>
      <c r="F3702" s="0" t="s">
        <v>153</v>
      </c>
      <c r="I3702" s="0" t="n">
        <v>1397016</v>
      </c>
      <c r="J3702" s="0" t="n">
        <v>100011</v>
      </c>
      <c r="K3702" s="0" t="n">
        <v>12</v>
      </c>
      <c r="L3702" s="0" t="s">
        <v>2488</v>
      </c>
      <c r="N3702" s="0" t="n">
        <v>11.71</v>
      </c>
      <c r="O3702" s="0" t="n">
        <v>442.74</v>
      </c>
      <c r="P3702" s="0" t="s">
        <v>2444</v>
      </c>
    </row>
    <row r="3703" customFormat="false" ht="15" hidden="false" customHeight="true" outlineLevel="0" collapsed="false">
      <c r="A3703" s="0" t="n">
        <v>2</v>
      </c>
      <c r="B3703" s="71" t="n">
        <v>46217</v>
      </c>
      <c r="C3703" s="0" t="n">
        <v>100</v>
      </c>
      <c r="D3703" s="0" t="s">
        <v>2499</v>
      </c>
      <c r="E3703" s="0" t="n">
        <v>48</v>
      </c>
      <c r="F3703" s="0" t="s">
        <v>153</v>
      </c>
      <c r="I3703" s="0" t="n">
        <v>1397016</v>
      </c>
      <c r="J3703" s="0" t="n">
        <v>100012</v>
      </c>
      <c r="K3703" s="0" t="n">
        <v>13</v>
      </c>
      <c r="L3703" s="0" t="s">
        <v>2489</v>
      </c>
      <c r="N3703" s="0" t="n">
        <v>6.145</v>
      </c>
      <c r="O3703" s="0" t="n">
        <v>264.02</v>
      </c>
      <c r="P3703" s="0" t="s">
        <v>2444</v>
      </c>
    </row>
    <row r="3704" customFormat="false" ht="15" hidden="false" customHeight="true" outlineLevel="0" collapsed="false">
      <c r="A3704" s="0" t="n">
        <v>2</v>
      </c>
      <c r="B3704" s="71" t="n">
        <v>46217</v>
      </c>
      <c r="C3704" s="0" t="n">
        <v>100</v>
      </c>
      <c r="D3704" s="0" t="s">
        <v>2499</v>
      </c>
      <c r="E3704" s="0" t="n">
        <v>48</v>
      </c>
      <c r="F3704" s="0" t="s">
        <v>153</v>
      </c>
      <c r="I3704" s="0" t="n">
        <v>1397016</v>
      </c>
      <c r="J3704" s="0" t="n">
        <v>100013</v>
      </c>
      <c r="K3704" s="0" t="n">
        <v>14</v>
      </c>
      <c r="L3704" s="0" t="s">
        <v>2490</v>
      </c>
      <c r="N3704" s="0" t="n">
        <v>12.2</v>
      </c>
      <c r="O3704" s="0" t="n">
        <v>555.63</v>
      </c>
      <c r="P3704" s="0" t="s">
        <v>2444</v>
      </c>
    </row>
    <row r="3705" customFormat="false" ht="15" hidden="false" customHeight="true" outlineLevel="0" collapsed="false">
      <c r="A3705" s="0" t="n">
        <v>2</v>
      </c>
      <c r="B3705" s="71" t="n">
        <v>46217</v>
      </c>
      <c r="C3705" s="0" t="n">
        <v>100</v>
      </c>
      <c r="D3705" s="0" t="s">
        <v>2499</v>
      </c>
      <c r="E3705" s="0" t="n">
        <v>48</v>
      </c>
      <c r="F3705" s="0" t="s">
        <v>153</v>
      </c>
      <c r="I3705" s="0" t="n">
        <v>1397016</v>
      </c>
      <c r="J3705" s="0" t="n">
        <v>100014</v>
      </c>
      <c r="K3705" s="0" t="n">
        <v>15</v>
      </c>
      <c r="L3705" s="0" t="s">
        <v>2491</v>
      </c>
      <c r="N3705" s="0" t="n">
        <v>4.694</v>
      </c>
      <c r="O3705" s="0" t="n">
        <v>217.82</v>
      </c>
      <c r="P3705" s="0" t="s">
        <v>2444</v>
      </c>
    </row>
    <row r="3706" customFormat="false" ht="15" hidden="false" customHeight="true" outlineLevel="0" collapsed="false">
      <c r="A3706" s="0" t="n">
        <v>2</v>
      </c>
      <c r="B3706" s="71" t="n">
        <v>46217</v>
      </c>
      <c r="C3706" s="0" t="n">
        <v>100</v>
      </c>
      <c r="D3706" s="0" t="s">
        <v>2499</v>
      </c>
      <c r="E3706" s="0" t="n">
        <v>48</v>
      </c>
      <c r="F3706" s="0" t="s">
        <v>153</v>
      </c>
      <c r="I3706" s="0" t="n">
        <v>1397016</v>
      </c>
      <c r="J3706" s="0" t="n">
        <v>100015</v>
      </c>
      <c r="K3706" s="0" t="n">
        <v>16</v>
      </c>
      <c r="L3706" s="0" t="s">
        <v>2492</v>
      </c>
      <c r="N3706" s="0" t="n">
        <v>1.692</v>
      </c>
      <c r="O3706" s="0" t="n">
        <v>69.79</v>
      </c>
      <c r="P3706" s="0" t="s">
        <v>2444</v>
      </c>
    </row>
    <row r="3707" customFormat="false" ht="15" hidden="false" customHeight="true" outlineLevel="0" collapsed="false">
      <c r="A3707" s="0" t="n">
        <v>2</v>
      </c>
      <c r="B3707" s="71" t="n">
        <v>46217</v>
      </c>
      <c r="C3707" s="0" t="n">
        <v>100</v>
      </c>
      <c r="D3707" s="0" t="s">
        <v>2499</v>
      </c>
      <c r="E3707" s="0" t="n">
        <v>48</v>
      </c>
      <c r="F3707" s="0" t="s">
        <v>153</v>
      </c>
      <c r="I3707" s="0" t="n">
        <v>1397016</v>
      </c>
      <c r="J3707" s="0" t="n">
        <v>100016</v>
      </c>
      <c r="K3707" s="0" t="n">
        <v>17</v>
      </c>
      <c r="L3707" s="0" t="s">
        <v>2493</v>
      </c>
      <c r="N3707" s="0" t="n">
        <v>1.93</v>
      </c>
      <c r="O3707" s="0" t="n">
        <v>116.1</v>
      </c>
      <c r="P3707" s="0" t="s">
        <v>2444</v>
      </c>
    </row>
    <row r="3708" customFormat="false" ht="15" hidden="false" customHeight="true" outlineLevel="0" collapsed="false">
      <c r="A3708" s="0" t="n">
        <v>2</v>
      </c>
      <c r="B3708" s="71" t="n">
        <v>46217</v>
      </c>
      <c r="C3708" s="0" t="n">
        <v>100</v>
      </c>
      <c r="D3708" s="0" t="s">
        <v>2499</v>
      </c>
      <c r="E3708" s="0" t="n">
        <v>48</v>
      </c>
      <c r="F3708" s="0" t="s">
        <v>153</v>
      </c>
      <c r="I3708" s="0" t="n">
        <v>1397016</v>
      </c>
      <c r="J3708" s="0" t="n">
        <v>100017</v>
      </c>
      <c r="K3708" s="0" t="n">
        <v>18</v>
      </c>
      <c r="L3708" s="0" t="s">
        <v>2494</v>
      </c>
      <c r="N3708" s="0" t="n">
        <v>1.444</v>
      </c>
      <c r="O3708" s="0" t="n">
        <v>86.86</v>
      </c>
      <c r="P3708" s="0" t="s">
        <v>2444</v>
      </c>
    </row>
    <row r="3709" customFormat="false" ht="15" hidden="false" customHeight="true" outlineLevel="0" collapsed="false">
      <c r="A3709" s="0" t="n">
        <v>2</v>
      </c>
      <c r="B3709" s="71" t="n">
        <v>46217</v>
      </c>
      <c r="C3709" s="0" t="n">
        <v>100</v>
      </c>
      <c r="D3709" s="0" t="s">
        <v>2499</v>
      </c>
      <c r="E3709" s="0" t="n">
        <v>48</v>
      </c>
      <c r="F3709" s="0" t="s">
        <v>153</v>
      </c>
      <c r="I3709" s="0" t="n">
        <v>1397016</v>
      </c>
      <c r="J3709" s="0" t="n">
        <v>100019</v>
      </c>
      <c r="K3709" s="0" t="n">
        <v>20</v>
      </c>
      <c r="L3709" s="0" t="s">
        <v>3779</v>
      </c>
      <c r="N3709" s="0" t="n">
        <v>1.124</v>
      </c>
      <c r="O3709" s="0" t="n">
        <v>40.56</v>
      </c>
      <c r="P3709" s="0" t="s">
        <v>2444</v>
      </c>
    </row>
    <row r="3710" customFormat="false" ht="15" hidden="false" customHeight="true" outlineLevel="0" collapsed="false">
      <c r="A3710" s="0" t="n">
        <v>2</v>
      </c>
      <c r="B3710" s="71" t="n">
        <v>46217</v>
      </c>
      <c r="C3710" s="0" t="n">
        <v>100</v>
      </c>
      <c r="D3710" s="0" t="s">
        <v>2499</v>
      </c>
      <c r="E3710" s="0" t="n">
        <v>48</v>
      </c>
      <c r="F3710" s="0" t="s">
        <v>153</v>
      </c>
      <c r="I3710" s="0" t="n">
        <v>1397016</v>
      </c>
      <c r="J3710" s="0" t="n">
        <v>100053</v>
      </c>
      <c r="K3710" s="0" t="n">
        <v>54</v>
      </c>
      <c r="L3710" s="0" t="s">
        <v>2495</v>
      </c>
      <c r="N3710" s="0" t="n">
        <v>1.884</v>
      </c>
      <c r="O3710" s="0" t="n">
        <v>71.23</v>
      </c>
      <c r="P3710" s="0" t="s">
        <v>2444</v>
      </c>
    </row>
    <row r="3711" customFormat="false" ht="15" hidden="false" customHeight="true" outlineLevel="0" collapsed="false">
      <c r="A3711" s="0" t="n">
        <v>2</v>
      </c>
      <c r="B3711" s="71" t="n">
        <v>46217</v>
      </c>
      <c r="C3711" s="0" t="n">
        <v>100</v>
      </c>
      <c r="D3711" s="0" t="s">
        <v>2499</v>
      </c>
      <c r="E3711" s="0" t="n">
        <v>48</v>
      </c>
      <c r="F3711" s="0" t="s">
        <v>153</v>
      </c>
      <c r="I3711" s="0" t="n">
        <v>1397016</v>
      </c>
      <c r="J3711" s="0" t="n">
        <v>100638</v>
      </c>
      <c r="K3711" s="0" t="n">
        <v>508</v>
      </c>
      <c r="L3711" s="0" t="s">
        <v>2496</v>
      </c>
      <c r="N3711" s="0" t="n">
        <v>1.238</v>
      </c>
      <c r="O3711" s="0" t="n">
        <v>3.18</v>
      </c>
      <c r="P3711" s="0" t="s">
        <v>2444</v>
      </c>
    </row>
    <row r="3712" customFormat="false" ht="15" hidden="false" customHeight="true" outlineLevel="0" collapsed="false">
      <c r="A3712" s="0" t="n">
        <v>2</v>
      </c>
      <c r="B3712" s="71" t="n">
        <v>46217</v>
      </c>
      <c r="C3712" s="0" t="n">
        <v>100</v>
      </c>
      <c r="D3712" s="0" t="s">
        <v>2499</v>
      </c>
      <c r="E3712" s="0" t="n">
        <v>48</v>
      </c>
      <c r="F3712" s="0" t="s">
        <v>153</v>
      </c>
      <c r="I3712" s="0" t="n">
        <v>1397016</v>
      </c>
      <c r="J3712" s="0" t="n">
        <v>110137</v>
      </c>
      <c r="K3712" s="0" t="n">
        <v>13899</v>
      </c>
      <c r="L3712" s="0" t="s">
        <v>3780</v>
      </c>
      <c r="N3712" s="0" t="n">
        <v>12.305</v>
      </c>
      <c r="O3712" s="0" t="n">
        <v>52.77</v>
      </c>
      <c r="P3712" s="0" t="s">
        <v>2444</v>
      </c>
    </row>
    <row r="3713" customFormat="false" ht="15" hidden="false" customHeight="true" outlineLevel="0" collapsed="false">
      <c r="A3713" s="0" t="n">
        <v>2</v>
      </c>
      <c r="B3713" s="71" t="n">
        <v>46217</v>
      </c>
      <c r="C3713" s="0" t="n">
        <v>100</v>
      </c>
      <c r="D3713" s="0" t="s">
        <v>2499</v>
      </c>
      <c r="E3713" s="0" t="n">
        <v>48</v>
      </c>
      <c r="F3713" s="0" t="s">
        <v>153</v>
      </c>
      <c r="I3713" s="0" t="n">
        <v>1397016</v>
      </c>
      <c r="J3713" s="0" t="n">
        <v>110455</v>
      </c>
      <c r="K3713" s="0" t="n">
        <v>53212</v>
      </c>
      <c r="L3713" s="0" t="s">
        <v>2498</v>
      </c>
      <c r="N3713" s="0" t="n">
        <v>0.236</v>
      </c>
      <c r="O3713" s="0" t="n">
        <v>0</v>
      </c>
      <c r="P3713" s="0" t="s">
        <v>2444</v>
      </c>
    </row>
    <row r="3714" customFormat="false" ht="15" hidden="false" customHeight="true" outlineLevel="0" collapsed="false">
      <c r="A3714" s="0" t="n">
        <v>2</v>
      </c>
      <c r="B3714" s="71" t="n">
        <v>46217</v>
      </c>
      <c r="C3714" s="0" t="n">
        <v>100</v>
      </c>
      <c r="D3714" s="0" t="s">
        <v>2499</v>
      </c>
      <c r="E3714" s="0" t="n">
        <v>48</v>
      </c>
      <c r="F3714" s="0" t="s">
        <v>153</v>
      </c>
      <c r="I3714" s="0" t="n">
        <v>1397021</v>
      </c>
      <c r="J3714" s="0" t="n">
        <v>100000</v>
      </c>
      <c r="K3714" s="0" t="n">
        <v>1</v>
      </c>
      <c r="L3714" s="0" t="s">
        <v>2480</v>
      </c>
      <c r="N3714" s="0" t="n">
        <v>2.508</v>
      </c>
      <c r="O3714" s="0" t="n">
        <v>47.83</v>
      </c>
      <c r="P3714" s="0" t="s">
        <v>2444</v>
      </c>
    </row>
    <row r="3715" customFormat="false" ht="15" hidden="false" customHeight="true" outlineLevel="0" collapsed="false">
      <c r="A3715" s="0" t="n">
        <v>2</v>
      </c>
      <c r="B3715" s="71" t="n">
        <v>46217</v>
      </c>
      <c r="C3715" s="0" t="n">
        <v>100</v>
      </c>
      <c r="D3715" s="0" t="s">
        <v>2499</v>
      </c>
      <c r="E3715" s="0" t="n">
        <v>48</v>
      </c>
      <c r="F3715" s="0" t="s">
        <v>153</v>
      </c>
      <c r="I3715" s="0" t="n">
        <v>1397021</v>
      </c>
      <c r="J3715" s="0" t="n">
        <v>100001</v>
      </c>
      <c r="K3715" s="0" t="n">
        <v>2</v>
      </c>
      <c r="L3715" s="0" t="s">
        <v>2481</v>
      </c>
      <c r="N3715" s="0" t="n">
        <v>8.75</v>
      </c>
      <c r="O3715" s="0" t="n">
        <v>180.77</v>
      </c>
      <c r="P3715" s="0" t="s">
        <v>2444</v>
      </c>
    </row>
    <row r="3716" customFormat="false" ht="15" hidden="false" customHeight="true" outlineLevel="0" collapsed="false">
      <c r="A3716" s="0" t="n">
        <v>2</v>
      </c>
      <c r="B3716" s="71" t="n">
        <v>46217</v>
      </c>
      <c r="C3716" s="0" t="n">
        <v>100</v>
      </c>
      <c r="D3716" s="0" t="s">
        <v>2499</v>
      </c>
      <c r="E3716" s="0" t="n">
        <v>48</v>
      </c>
      <c r="F3716" s="0" t="s">
        <v>153</v>
      </c>
      <c r="I3716" s="0" t="n">
        <v>1397021</v>
      </c>
      <c r="J3716" s="0" t="n">
        <v>100002</v>
      </c>
      <c r="K3716" s="0" t="n">
        <v>3</v>
      </c>
      <c r="L3716" s="0" t="s">
        <v>2482</v>
      </c>
      <c r="N3716" s="0" t="n">
        <v>25.88</v>
      </c>
      <c r="O3716" s="0" t="n">
        <v>616.95</v>
      </c>
      <c r="P3716" s="0" t="s">
        <v>2444</v>
      </c>
    </row>
    <row r="3717" customFormat="false" ht="15" hidden="false" customHeight="true" outlineLevel="0" collapsed="false">
      <c r="A3717" s="0" t="n">
        <v>2</v>
      </c>
      <c r="B3717" s="71" t="n">
        <v>46217</v>
      </c>
      <c r="C3717" s="0" t="n">
        <v>100</v>
      </c>
      <c r="D3717" s="0" t="s">
        <v>2499</v>
      </c>
      <c r="E3717" s="0" t="n">
        <v>48</v>
      </c>
      <c r="F3717" s="0" t="s">
        <v>153</v>
      </c>
      <c r="I3717" s="0" t="n">
        <v>1397021</v>
      </c>
      <c r="J3717" s="0" t="n">
        <v>100003</v>
      </c>
      <c r="K3717" s="0" t="n">
        <v>4</v>
      </c>
      <c r="L3717" s="0" t="s">
        <v>2483</v>
      </c>
      <c r="N3717" s="0" t="n">
        <v>15.38</v>
      </c>
      <c r="O3717" s="0" t="n">
        <v>391.1</v>
      </c>
      <c r="P3717" s="0" t="s">
        <v>2444</v>
      </c>
    </row>
    <row r="3718" customFormat="false" ht="15" hidden="false" customHeight="true" outlineLevel="0" collapsed="false">
      <c r="A3718" s="0" t="n">
        <v>2</v>
      </c>
      <c r="B3718" s="71" t="n">
        <v>46217</v>
      </c>
      <c r="C3718" s="0" t="n">
        <v>100</v>
      </c>
      <c r="D3718" s="0" t="s">
        <v>2499</v>
      </c>
      <c r="E3718" s="0" t="n">
        <v>48</v>
      </c>
      <c r="F3718" s="0" t="s">
        <v>153</v>
      </c>
      <c r="I3718" s="0" t="n">
        <v>1397021</v>
      </c>
      <c r="J3718" s="0" t="n">
        <v>100005</v>
      </c>
      <c r="K3718" s="0" t="n">
        <v>6</v>
      </c>
      <c r="L3718" s="0" t="s">
        <v>2582</v>
      </c>
      <c r="N3718" s="0" t="n">
        <v>0.71</v>
      </c>
      <c r="O3718" s="0" t="n">
        <v>16.93</v>
      </c>
      <c r="P3718" s="0" t="s">
        <v>2444</v>
      </c>
    </row>
    <row r="3719" customFormat="false" ht="15" hidden="false" customHeight="true" outlineLevel="0" collapsed="false">
      <c r="A3719" s="0" t="n">
        <v>2</v>
      </c>
      <c r="B3719" s="71" t="n">
        <v>46217</v>
      </c>
      <c r="C3719" s="0" t="n">
        <v>100</v>
      </c>
      <c r="D3719" s="0" t="s">
        <v>2499</v>
      </c>
      <c r="E3719" s="0" t="n">
        <v>48</v>
      </c>
      <c r="F3719" s="0" t="s">
        <v>153</v>
      </c>
      <c r="I3719" s="0" t="n">
        <v>1397021</v>
      </c>
      <c r="J3719" s="0" t="n">
        <v>100007</v>
      </c>
      <c r="K3719" s="0" t="n">
        <v>8</v>
      </c>
      <c r="L3719" s="0" t="s">
        <v>2486</v>
      </c>
      <c r="N3719" s="0" t="n">
        <v>2.5</v>
      </c>
      <c r="O3719" s="0" t="n">
        <v>59.6</v>
      </c>
      <c r="P3719" s="0" t="s">
        <v>2444</v>
      </c>
    </row>
    <row r="3720" customFormat="false" ht="15" hidden="false" customHeight="true" outlineLevel="0" collapsed="false">
      <c r="A3720" s="0" t="n">
        <v>2</v>
      </c>
      <c r="B3720" s="71" t="n">
        <v>46217</v>
      </c>
      <c r="C3720" s="0" t="n">
        <v>100</v>
      </c>
      <c r="D3720" s="0" t="s">
        <v>2499</v>
      </c>
      <c r="E3720" s="0" t="n">
        <v>48</v>
      </c>
      <c r="F3720" s="0" t="s">
        <v>153</v>
      </c>
      <c r="I3720" s="0" t="n">
        <v>1397021</v>
      </c>
      <c r="J3720" s="0" t="n">
        <v>100019</v>
      </c>
      <c r="K3720" s="0" t="n">
        <v>20</v>
      </c>
      <c r="L3720" s="0" t="s">
        <v>3779</v>
      </c>
      <c r="N3720" s="0" t="n">
        <v>3.406</v>
      </c>
      <c r="O3720" s="0" t="n">
        <v>113.68</v>
      </c>
      <c r="P3720" s="0" t="s">
        <v>2444</v>
      </c>
    </row>
    <row r="3721" customFormat="false" ht="15" hidden="false" customHeight="true" outlineLevel="0" collapsed="false">
      <c r="A3721" s="0" t="n">
        <v>2</v>
      </c>
      <c r="B3721" s="71" t="n">
        <v>46217</v>
      </c>
      <c r="C3721" s="0" t="n">
        <v>100</v>
      </c>
      <c r="D3721" s="0" t="s">
        <v>2499</v>
      </c>
      <c r="E3721" s="0" t="n">
        <v>48</v>
      </c>
      <c r="F3721" s="0" t="s">
        <v>153</v>
      </c>
      <c r="I3721" s="0" t="n">
        <v>1397021</v>
      </c>
      <c r="J3721" s="0" t="n">
        <v>100638</v>
      </c>
      <c r="K3721" s="0" t="n">
        <v>508</v>
      </c>
      <c r="L3721" s="0" t="s">
        <v>2496</v>
      </c>
      <c r="N3721" s="0" t="n">
        <v>0.608</v>
      </c>
      <c r="O3721" s="0" t="n">
        <v>1.45</v>
      </c>
      <c r="P3721" s="0" t="s">
        <v>2444</v>
      </c>
    </row>
    <row r="3722" customFormat="false" ht="15" hidden="false" customHeight="true" outlineLevel="0" collapsed="false">
      <c r="A3722" s="0" t="n">
        <v>2</v>
      </c>
      <c r="B3722" s="71" t="n">
        <v>46217</v>
      </c>
      <c r="C3722" s="0" t="n">
        <v>100</v>
      </c>
      <c r="D3722" s="0" t="s">
        <v>2499</v>
      </c>
      <c r="E3722" s="0" t="n">
        <v>48</v>
      </c>
      <c r="F3722" s="0" t="s">
        <v>153</v>
      </c>
      <c r="I3722" s="0" t="n">
        <v>1397021</v>
      </c>
      <c r="J3722" s="0" t="n">
        <v>110137</v>
      </c>
      <c r="K3722" s="0" t="n">
        <v>13899</v>
      </c>
      <c r="L3722" s="0" t="s">
        <v>3780</v>
      </c>
      <c r="N3722" s="0" t="n">
        <v>2.476</v>
      </c>
      <c r="O3722" s="0" t="n">
        <v>9.82</v>
      </c>
      <c r="P3722" s="0" t="s">
        <v>2444</v>
      </c>
    </row>
    <row r="3723" customFormat="false" ht="15" hidden="false" customHeight="true" outlineLevel="0" collapsed="false">
      <c r="A3723" s="0" t="n">
        <v>2</v>
      </c>
      <c r="B3723" s="71" t="n">
        <v>46217</v>
      </c>
      <c r="C3723" s="0" t="n">
        <v>100</v>
      </c>
      <c r="D3723" s="0" t="s">
        <v>2499</v>
      </c>
      <c r="E3723" s="0" t="n">
        <v>48</v>
      </c>
      <c r="F3723" s="0" t="s">
        <v>153</v>
      </c>
      <c r="I3723" s="0" t="n">
        <v>1397021</v>
      </c>
      <c r="J3723" s="0" t="n">
        <v>110455</v>
      </c>
      <c r="K3723" s="0" t="n">
        <v>53212</v>
      </c>
      <c r="L3723" s="0" t="s">
        <v>2498</v>
      </c>
      <c r="N3723" s="0" t="n">
        <v>0.582</v>
      </c>
      <c r="O3723" s="0" t="n">
        <v>0</v>
      </c>
      <c r="P3723" s="0" t="s">
        <v>2444</v>
      </c>
    </row>
    <row r="3724" customFormat="false" ht="15" hidden="false" customHeight="true" outlineLevel="0" collapsed="false">
      <c r="A3724" s="0" t="n">
        <v>2</v>
      </c>
      <c r="B3724" s="71" t="n">
        <v>46218</v>
      </c>
      <c r="C3724" s="0" t="n">
        <v>1</v>
      </c>
      <c r="D3724" s="0" t="s">
        <v>2442</v>
      </c>
      <c r="E3724" s="0" t="n">
        <v>1683</v>
      </c>
      <c r="F3724" s="0" t="s">
        <v>406</v>
      </c>
      <c r="I3724" s="0" t="n">
        <v>1647775</v>
      </c>
      <c r="J3724" s="0" t="n">
        <v>109791</v>
      </c>
      <c r="K3724" s="0" t="n">
        <v>9667</v>
      </c>
      <c r="L3724" s="0" t="s">
        <v>2465</v>
      </c>
      <c r="N3724" s="0" t="n">
        <v>15</v>
      </c>
      <c r="O3724" s="0" t="n">
        <v>22.5</v>
      </c>
      <c r="P3724" s="0" t="s">
        <v>2444</v>
      </c>
    </row>
    <row r="3725" customFormat="false" ht="15" hidden="false" customHeight="true" outlineLevel="0" collapsed="false">
      <c r="A3725" s="0" t="n">
        <v>2</v>
      </c>
      <c r="B3725" s="71" t="n">
        <v>46218</v>
      </c>
      <c r="C3725" s="0" t="n">
        <v>1</v>
      </c>
      <c r="D3725" s="0" t="s">
        <v>2442</v>
      </c>
      <c r="E3725" s="0" t="n">
        <v>1683</v>
      </c>
      <c r="F3725" s="0" t="s">
        <v>406</v>
      </c>
      <c r="I3725" s="0" t="n">
        <v>1647775</v>
      </c>
      <c r="J3725" s="0" t="n">
        <v>37361</v>
      </c>
      <c r="K3725" s="0" t="n">
        <v>2240817</v>
      </c>
      <c r="L3725" s="0" t="s">
        <v>2467</v>
      </c>
      <c r="N3725" s="0" t="n">
        <v>30</v>
      </c>
      <c r="O3725" s="0" t="n">
        <v>54</v>
      </c>
      <c r="P3725" s="0" t="s">
        <v>2444</v>
      </c>
    </row>
    <row r="3726" customFormat="false" ht="15" hidden="false" customHeight="true" outlineLevel="0" collapsed="false">
      <c r="A3726" s="0" t="n">
        <v>2</v>
      </c>
      <c r="B3726" s="71" t="n">
        <v>46218</v>
      </c>
      <c r="C3726" s="0" t="n">
        <v>11</v>
      </c>
      <c r="D3726" s="0" t="s">
        <v>2471</v>
      </c>
      <c r="E3726" s="0" t="n">
        <v>1819</v>
      </c>
      <c r="F3726" s="0" t="s">
        <v>984</v>
      </c>
      <c r="I3726" s="0" t="n">
        <v>16645</v>
      </c>
      <c r="J3726" s="0" t="n">
        <v>32208</v>
      </c>
      <c r="K3726" s="0" t="n">
        <v>606529989620</v>
      </c>
      <c r="L3726" s="0" t="s">
        <v>4238</v>
      </c>
      <c r="N3726" s="0" t="n">
        <v>6</v>
      </c>
      <c r="O3726" s="0" t="n">
        <v>60</v>
      </c>
      <c r="P3726" s="0" t="s">
        <v>2444</v>
      </c>
    </row>
    <row r="3727" customFormat="false" ht="15" hidden="false" customHeight="true" outlineLevel="0" collapsed="false">
      <c r="A3727" s="0" t="n">
        <v>2</v>
      </c>
      <c r="B3727" s="71" t="n">
        <v>46218</v>
      </c>
      <c r="C3727" s="0" t="n">
        <v>11</v>
      </c>
      <c r="D3727" s="0" t="s">
        <v>2471</v>
      </c>
      <c r="E3727" s="0" t="n">
        <v>1819</v>
      </c>
      <c r="F3727" s="0" t="s">
        <v>984</v>
      </c>
      <c r="I3727" s="0" t="n">
        <v>16645</v>
      </c>
      <c r="J3727" s="0" t="n">
        <v>32209</v>
      </c>
      <c r="K3727" s="0" t="n">
        <v>606529989651</v>
      </c>
      <c r="L3727" s="0" t="s">
        <v>4239</v>
      </c>
      <c r="N3727" s="0" t="n">
        <v>4</v>
      </c>
      <c r="O3727" s="0" t="n">
        <v>40</v>
      </c>
      <c r="P3727" s="0" t="s">
        <v>2444</v>
      </c>
    </row>
    <row r="3728" customFormat="false" ht="15" hidden="false" customHeight="true" outlineLevel="0" collapsed="false">
      <c r="A3728" s="0" t="n">
        <v>2</v>
      </c>
      <c r="B3728" s="71" t="n">
        <v>46218</v>
      </c>
      <c r="C3728" s="0" t="n">
        <v>11</v>
      </c>
      <c r="D3728" s="0" t="s">
        <v>2471</v>
      </c>
      <c r="E3728" s="0" t="n">
        <v>1819</v>
      </c>
      <c r="F3728" s="0" t="s">
        <v>984</v>
      </c>
      <c r="I3728" s="0" t="n">
        <v>16645</v>
      </c>
      <c r="J3728" s="0" t="n">
        <v>32299</v>
      </c>
      <c r="K3728" s="0" t="n">
        <v>606529989644</v>
      </c>
      <c r="L3728" s="0" t="s">
        <v>4240</v>
      </c>
      <c r="N3728" s="0" t="n">
        <v>4</v>
      </c>
      <c r="O3728" s="0" t="n">
        <v>40</v>
      </c>
      <c r="P3728" s="0" t="s">
        <v>2444</v>
      </c>
    </row>
    <row r="3729" customFormat="false" ht="15" hidden="false" customHeight="true" outlineLevel="0" collapsed="false">
      <c r="A3729" s="0" t="n">
        <v>2</v>
      </c>
      <c r="B3729" s="71" t="n">
        <v>46218</v>
      </c>
      <c r="C3729" s="0" t="n">
        <v>11</v>
      </c>
      <c r="D3729" s="0" t="s">
        <v>2471</v>
      </c>
      <c r="E3729" s="0" t="n">
        <v>1819</v>
      </c>
      <c r="F3729" s="0" t="s">
        <v>984</v>
      </c>
      <c r="I3729" s="0" t="n">
        <v>16645</v>
      </c>
      <c r="J3729" s="0" t="n">
        <v>32300</v>
      </c>
      <c r="K3729" s="0" t="n">
        <v>606529989613</v>
      </c>
      <c r="L3729" s="0" t="s">
        <v>4241</v>
      </c>
      <c r="N3729" s="0" t="n">
        <v>6</v>
      </c>
      <c r="O3729" s="0" t="n">
        <v>60</v>
      </c>
      <c r="P3729" s="0" t="s">
        <v>2444</v>
      </c>
    </row>
    <row r="3730" customFormat="false" ht="15" hidden="false" customHeight="true" outlineLevel="0" collapsed="false">
      <c r="A3730" s="0" t="n">
        <v>2</v>
      </c>
      <c r="B3730" s="71" t="n">
        <v>46218</v>
      </c>
      <c r="C3730" s="0" t="n">
        <v>11</v>
      </c>
      <c r="D3730" s="0" t="s">
        <v>2471</v>
      </c>
      <c r="E3730" s="0" t="n">
        <v>10010</v>
      </c>
      <c r="F3730" s="0" t="s">
        <v>837</v>
      </c>
      <c r="I3730" s="0" t="n">
        <v>42898</v>
      </c>
      <c r="J3730" s="0" t="n">
        <v>63364</v>
      </c>
      <c r="K3730" s="0" t="n">
        <v>7898969820226</v>
      </c>
      <c r="L3730" s="0" t="s">
        <v>3309</v>
      </c>
      <c r="N3730" s="0" t="n">
        <v>12</v>
      </c>
      <c r="O3730" s="0" t="n">
        <v>51.36</v>
      </c>
      <c r="P3730" s="0" t="s">
        <v>2444</v>
      </c>
    </row>
    <row r="3731" customFormat="false" ht="15" hidden="false" customHeight="true" outlineLevel="0" collapsed="false">
      <c r="A3731" s="0" t="n">
        <v>2</v>
      </c>
      <c r="B3731" s="71" t="n">
        <v>46218</v>
      </c>
      <c r="C3731" s="0" t="n">
        <v>11</v>
      </c>
      <c r="D3731" s="0" t="s">
        <v>2471</v>
      </c>
      <c r="E3731" s="0" t="n">
        <v>10010</v>
      </c>
      <c r="F3731" s="0" t="s">
        <v>837</v>
      </c>
      <c r="I3731" s="0" t="n">
        <v>42898</v>
      </c>
      <c r="J3731" s="0" t="n">
        <v>63488</v>
      </c>
      <c r="K3731" s="0" t="n">
        <v>7898969820127</v>
      </c>
      <c r="L3731" s="0" t="s">
        <v>3310</v>
      </c>
      <c r="N3731" s="0" t="n">
        <v>12</v>
      </c>
      <c r="O3731" s="0" t="n">
        <v>24</v>
      </c>
      <c r="P3731" s="0" t="s">
        <v>2444</v>
      </c>
    </row>
    <row r="3732" customFormat="false" ht="15" hidden="false" customHeight="true" outlineLevel="0" collapsed="false">
      <c r="A3732" s="0" t="n">
        <v>2</v>
      </c>
      <c r="B3732" s="71" t="n">
        <v>46218</v>
      </c>
      <c r="C3732" s="0" t="n">
        <v>11</v>
      </c>
      <c r="D3732" s="0" t="s">
        <v>2471</v>
      </c>
      <c r="E3732" s="0" t="n">
        <v>10010</v>
      </c>
      <c r="F3732" s="0" t="s">
        <v>837</v>
      </c>
      <c r="I3732" s="0" t="n">
        <v>42898</v>
      </c>
      <c r="J3732" s="0" t="n">
        <v>64397</v>
      </c>
      <c r="K3732" s="0" t="n">
        <v>7898969820011</v>
      </c>
      <c r="L3732" s="0" t="s">
        <v>3313</v>
      </c>
      <c r="N3732" s="0" t="n">
        <v>12</v>
      </c>
      <c r="O3732" s="0" t="n">
        <v>51.36</v>
      </c>
      <c r="P3732" s="0" t="s">
        <v>2444</v>
      </c>
    </row>
    <row r="3733" customFormat="false" ht="15" hidden="false" customHeight="true" outlineLevel="0" collapsed="false">
      <c r="A3733" s="0" t="n">
        <v>2</v>
      </c>
      <c r="B3733" s="71" t="n">
        <v>46218</v>
      </c>
      <c r="C3733" s="0" t="n">
        <v>11</v>
      </c>
      <c r="D3733" s="0" t="s">
        <v>2471</v>
      </c>
      <c r="E3733" s="0" t="n">
        <v>10010</v>
      </c>
      <c r="F3733" s="0" t="s">
        <v>837</v>
      </c>
      <c r="I3733" s="0" t="n">
        <v>42898</v>
      </c>
      <c r="J3733" s="0" t="n">
        <v>64957</v>
      </c>
      <c r="K3733" s="0" t="n">
        <v>7898969820172</v>
      </c>
      <c r="L3733" s="0" t="s">
        <v>3314</v>
      </c>
      <c r="N3733" s="0" t="n">
        <v>6</v>
      </c>
      <c r="O3733" s="0" t="n">
        <v>25.68</v>
      </c>
      <c r="P3733" s="0" t="s">
        <v>2444</v>
      </c>
    </row>
    <row r="3734" customFormat="false" ht="15" hidden="false" customHeight="true" outlineLevel="0" collapsed="false">
      <c r="A3734" s="0" t="n">
        <v>2</v>
      </c>
      <c r="B3734" s="71" t="n">
        <v>46218</v>
      </c>
      <c r="C3734" s="0" t="n">
        <v>11</v>
      </c>
      <c r="D3734" s="0" t="s">
        <v>2471</v>
      </c>
      <c r="E3734" s="0" t="n">
        <v>10010</v>
      </c>
      <c r="F3734" s="0" t="s">
        <v>837</v>
      </c>
      <c r="I3734" s="0" t="n">
        <v>42898</v>
      </c>
      <c r="J3734" s="0" t="n">
        <v>65071</v>
      </c>
      <c r="K3734" s="0" t="n">
        <v>7898969820189</v>
      </c>
      <c r="L3734" s="0" t="s">
        <v>4242</v>
      </c>
      <c r="N3734" s="0" t="n">
        <v>12</v>
      </c>
      <c r="O3734" s="0" t="n">
        <v>51.36</v>
      </c>
      <c r="P3734" s="0" t="s">
        <v>2444</v>
      </c>
    </row>
    <row r="3735" customFormat="false" ht="15" hidden="false" customHeight="true" outlineLevel="0" collapsed="false">
      <c r="A3735" s="0" t="n">
        <v>2</v>
      </c>
      <c r="B3735" s="71" t="n">
        <v>46218</v>
      </c>
      <c r="C3735" s="0" t="n">
        <v>11</v>
      </c>
      <c r="D3735" s="0" t="s">
        <v>2471</v>
      </c>
      <c r="E3735" s="0" t="n">
        <v>10010</v>
      </c>
      <c r="F3735" s="0" t="s">
        <v>837</v>
      </c>
      <c r="I3735" s="0" t="n">
        <v>42898</v>
      </c>
      <c r="J3735" s="0" t="n">
        <v>67828</v>
      </c>
      <c r="K3735" s="0" t="n">
        <v>7898969820202</v>
      </c>
      <c r="L3735" s="0" t="s">
        <v>3309</v>
      </c>
      <c r="N3735" s="0" t="n">
        <v>12</v>
      </c>
      <c r="O3735" s="0" t="n">
        <v>51.36</v>
      </c>
      <c r="P3735" s="0" t="s">
        <v>2444</v>
      </c>
    </row>
    <row r="3736" customFormat="false" ht="15" hidden="false" customHeight="true" outlineLevel="0" collapsed="false">
      <c r="A3736" s="0" t="n">
        <v>2</v>
      </c>
      <c r="B3736" s="71" t="n">
        <v>46218</v>
      </c>
      <c r="C3736" s="0" t="n">
        <v>11</v>
      </c>
      <c r="D3736" s="0" t="s">
        <v>2471</v>
      </c>
      <c r="E3736" s="0" t="n">
        <v>10010</v>
      </c>
      <c r="F3736" s="0" t="s">
        <v>837</v>
      </c>
      <c r="I3736" s="0" t="n">
        <v>42898</v>
      </c>
      <c r="J3736" s="0" t="n">
        <v>67829</v>
      </c>
      <c r="K3736" s="0" t="n">
        <v>7898969820219</v>
      </c>
      <c r="L3736" s="0" t="s">
        <v>3309</v>
      </c>
      <c r="N3736" s="0" t="n">
        <v>12</v>
      </c>
      <c r="O3736" s="0" t="n">
        <v>51.36</v>
      </c>
      <c r="P3736" s="0" t="s">
        <v>2444</v>
      </c>
    </row>
    <row r="3737" customFormat="false" ht="15" hidden="false" customHeight="true" outlineLevel="0" collapsed="false">
      <c r="A3737" s="0" t="n">
        <v>2</v>
      </c>
      <c r="B3737" s="71" t="n">
        <v>46218</v>
      </c>
      <c r="C3737" s="0" t="n">
        <v>11</v>
      </c>
      <c r="D3737" s="0" t="s">
        <v>2471</v>
      </c>
      <c r="E3737" s="0" t="n">
        <v>1136</v>
      </c>
      <c r="F3737" s="0" t="s">
        <v>1193</v>
      </c>
      <c r="I3737" s="0" t="n">
        <v>51899</v>
      </c>
      <c r="J3737" s="0" t="n">
        <v>102960</v>
      </c>
      <c r="K3737" s="0" t="n">
        <v>7896221400087</v>
      </c>
      <c r="L3737" s="0" t="s">
        <v>4243</v>
      </c>
      <c r="N3737" s="0" t="n">
        <v>10</v>
      </c>
      <c r="O3737" s="0" t="n">
        <v>50.76</v>
      </c>
      <c r="P3737" s="0" t="s">
        <v>2444</v>
      </c>
    </row>
    <row r="3738" customFormat="false" ht="15" hidden="false" customHeight="true" outlineLevel="0" collapsed="false">
      <c r="A3738" s="0" t="n">
        <v>2</v>
      </c>
      <c r="B3738" s="71" t="n">
        <v>46218</v>
      </c>
      <c r="C3738" s="0" t="n">
        <v>11</v>
      </c>
      <c r="D3738" s="0" t="s">
        <v>2471</v>
      </c>
      <c r="E3738" s="0" t="n">
        <v>1136</v>
      </c>
      <c r="F3738" s="0" t="s">
        <v>1193</v>
      </c>
      <c r="I3738" s="0" t="n">
        <v>51899</v>
      </c>
      <c r="J3738" s="0" t="n">
        <v>103992</v>
      </c>
      <c r="K3738" s="0" t="n">
        <v>7896221400018</v>
      </c>
      <c r="L3738" s="0" t="s">
        <v>4244</v>
      </c>
      <c r="N3738" s="0" t="n">
        <v>40</v>
      </c>
      <c r="O3738" s="0" t="n">
        <v>91.69</v>
      </c>
      <c r="P3738" s="0" t="s">
        <v>2444</v>
      </c>
    </row>
    <row r="3739" customFormat="false" ht="15" hidden="false" customHeight="true" outlineLevel="0" collapsed="false">
      <c r="A3739" s="0" t="n">
        <v>2</v>
      </c>
      <c r="B3739" s="71" t="n">
        <v>46218</v>
      </c>
      <c r="C3739" s="0" t="n">
        <v>11</v>
      </c>
      <c r="D3739" s="0" t="s">
        <v>2471</v>
      </c>
      <c r="E3739" s="0" t="n">
        <v>1136</v>
      </c>
      <c r="F3739" s="0" t="s">
        <v>1193</v>
      </c>
      <c r="I3739" s="0" t="n">
        <v>51899</v>
      </c>
      <c r="J3739" s="0" t="n">
        <v>109973</v>
      </c>
      <c r="K3739" s="0" t="n">
        <v>7896067202241</v>
      </c>
      <c r="L3739" s="0" t="s">
        <v>4245</v>
      </c>
      <c r="N3739" s="0" t="n">
        <v>50</v>
      </c>
      <c r="O3739" s="0" t="n">
        <v>244.93</v>
      </c>
      <c r="P3739" s="0" t="s">
        <v>2444</v>
      </c>
    </row>
    <row r="3740" customFormat="false" ht="15" hidden="false" customHeight="true" outlineLevel="0" collapsed="false">
      <c r="A3740" s="0" t="n">
        <v>2</v>
      </c>
      <c r="B3740" s="71" t="n">
        <v>46218</v>
      </c>
      <c r="C3740" s="0" t="n">
        <v>11</v>
      </c>
      <c r="D3740" s="0" t="s">
        <v>2471</v>
      </c>
      <c r="E3740" s="0" t="n">
        <v>1136</v>
      </c>
      <c r="F3740" s="0" t="s">
        <v>1193</v>
      </c>
      <c r="I3740" s="0" t="n">
        <v>51899</v>
      </c>
      <c r="J3740" s="0" t="n">
        <v>17725</v>
      </c>
      <c r="K3740" s="0" t="n">
        <v>7896221401749</v>
      </c>
      <c r="L3740" s="0" t="s">
        <v>4246</v>
      </c>
      <c r="N3740" s="0" t="n">
        <v>10</v>
      </c>
      <c r="O3740" s="0" t="n">
        <v>50.76</v>
      </c>
      <c r="P3740" s="0" t="s">
        <v>2444</v>
      </c>
    </row>
    <row r="3741" customFormat="false" ht="15" hidden="false" customHeight="true" outlineLevel="0" collapsed="false">
      <c r="A3741" s="0" t="n">
        <v>2</v>
      </c>
      <c r="B3741" s="71" t="n">
        <v>46218</v>
      </c>
      <c r="C3741" s="0" t="n">
        <v>11</v>
      </c>
      <c r="D3741" s="0" t="s">
        <v>2471</v>
      </c>
      <c r="E3741" s="0" t="n">
        <v>1136</v>
      </c>
      <c r="F3741" s="0" t="s">
        <v>1193</v>
      </c>
      <c r="I3741" s="0" t="n">
        <v>51899</v>
      </c>
      <c r="J3741" s="0" t="n">
        <v>29863</v>
      </c>
      <c r="K3741" s="0" t="n">
        <v>7896221402456</v>
      </c>
      <c r="L3741" s="0" t="s">
        <v>4247</v>
      </c>
      <c r="N3741" s="0" t="n">
        <v>10</v>
      </c>
      <c r="O3741" s="0" t="n">
        <v>50.76</v>
      </c>
      <c r="P3741" s="0" t="s">
        <v>2444</v>
      </c>
    </row>
    <row r="3742" customFormat="false" ht="15" hidden="false" customHeight="true" outlineLevel="0" collapsed="false">
      <c r="A3742" s="0" t="n">
        <v>2</v>
      </c>
      <c r="B3742" s="71" t="n">
        <v>46218</v>
      </c>
      <c r="C3742" s="0" t="n">
        <v>11</v>
      </c>
      <c r="D3742" s="0" t="s">
        <v>2471</v>
      </c>
      <c r="E3742" s="0" t="n">
        <v>1136</v>
      </c>
      <c r="F3742" s="0" t="s">
        <v>1193</v>
      </c>
      <c r="I3742" s="0" t="n">
        <v>51899</v>
      </c>
      <c r="J3742" s="0" t="n">
        <v>52588</v>
      </c>
      <c r="K3742" s="0" t="n">
        <v>7896221401886</v>
      </c>
      <c r="L3742" s="0" t="s">
        <v>4248</v>
      </c>
      <c r="N3742" s="0" t="n">
        <v>30</v>
      </c>
      <c r="O3742" s="0" t="n">
        <v>88.19</v>
      </c>
      <c r="P3742" s="0" t="s">
        <v>2444</v>
      </c>
    </row>
    <row r="3743" customFormat="false" ht="15" hidden="false" customHeight="true" outlineLevel="0" collapsed="false">
      <c r="A3743" s="0" t="n">
        <v>2</v>
      </c>
      <c r="B3743" s="71" t="n">
        <v>46218</v>
      </c>
      <c r="C3743" s="0" t="n">
        <v>11</v>
      </c>
      <c r="D3743" s="0" t="s">
        <v>2471</v>
      </c>
      <c r="E3743" s="0" t="n">
        <v>1136</v>
      </c>
      <c r="F3743" s="0" t="s">
        <v>1193</v>
      </c>
      <c r="I3743" s="0" t="n">
        <v>51899</v>
      </c>
      <c r="J3743" s="0" t="n">
        <v>53684</v>
      </c>
      <c r="K3743" s="0" t="n">
        <v>7896221401695</v>
      </c>
      <c r="L3743" s="0" t="s">
        <v>4249</v>
      </c>
      <c r="N3743" s="0" t="n">
        <v>30</v>
      </c>
      <c r="O3743" s="0" t="n">
        <v>88.19</v>
      </c>
      <c r="P3743" s="0" t="s">
        <v>2444</v>
      </c>
    </row>
    <row r="3744" customFormat="false" ht="15" hidden="false" customHeight="true" outlineLevel="0" collapsed="false">
      <c r="A3744" s="0" t="n">
        <v>2</v>
      </c>
      <c r="B3744" s="71" t="n">
        <v>46218</v>
      </c>
      <c r="C3744" s="0" t="n">
        <v>11</v>
      </c>
      <c r="D3744" s="0" t="s">
        <v>2471</v>
      </c>
      <c r="E3744" s="0" t="n">
        <v>1815</v>
      </c>
      <c r="F3744" s="0" t="s">
        <v>172</v>
      </c>
      <c r="I3744" s="0" t="n">
        <v>392537</v>
      </c>
      <c r="J3744" s="0" t="n">
        <v>100011</v>
      </c>
      <c r="K3744" s="0" t="n">
        <v>12</v>
      </c>
      <c r="L3744" s="0" t="s">
        <v>2488</v>
      </c>
      <c r="N3744" s="0" t="n">
        <v>29.11</v>
      </c>
      <c r="O3744" s="0" t="n">
        <v>1047.67</v>
      </c>
      <c r="P3744" s="0" t="s">
        <v>2444</v>
      </c>
    </row>
    <row r="3745" customFormat="false" ht="15" hidden="false" customHeight="true" outlineLevel="0" collapsed="false">
      <c r="A3745" s="0" t="n">
        <v>2</v>
      </c>
      <c r="B3745" s="71" t="n">
        <v>46218</v>
      </c>
      <c r="C3745" s="0" t="n">
        <v>11</v>
      </c>
      <c r="D3745" s="0" t="s">
        <v>2471</v>
      </c>
      <c r="E3745" s="0" t="n">
        <v>1815</v>
      </c>
      <c r="F3745" s="0" t="s">
        <v>172</v>
      </c>
      <c r="I3745" s="0" t="n">
        <v>392537</v>
      </c>
      <c r="J3745" s="0" t="n">
        <v>100012</v>
      </c>
      <c r="K3745" s="0" t="n">
        <v>13</v>
      </c>
      <c r="L3745" s="0" t="s">
        <v>2489</v>
      </c>
      <c r="N3745" s="0" t="n">
        <v>48.85</v>
      </c>
      <c r="O3745" s="0" t="n">
        <v>1880.73</v>
      </c>
      <c r="P3745" s="0" t="s">
        <v>2444</v>
      </c>
    </row>
    <row r="3746" customFormat="false" ht="15" hidden="false" customHeight="true" outlineLevel="0" collapsed="false">
      <c r="A3746" s="0" t="n">
        <v>2</v>
      </c>
      <c r="B3746" s="71" t="n">
        <v>46218</v>
      </c>
      <c r="C3746" s="0" t="n">
        <v>11</v>
      </c>
      <c r="D3746" s="0" t="s">
        <v>2471</v>
      </c>
      <c r="E3746" s="0" t="n">
        <v>1815</v>
      </c>
      <c r="F3746" s="0" t="s">
        <v>172</v>
      </c>
      <c r="I3746" s="0" t="n">
        <v>392537</v>
      </c>
      <c r="J3746" s="0" t="n">
        <v>100013</v>
      </c>
      <c r="K3746" s="0" t="n">
        <v>14</v>
      </c>
      <c r="L3746" s="0" t="s">
        <v>2490</v>
      </c>
      <c r="N3746" s="0" t="n">
        <v>101.782</v>
      </c>
      <c r="O3746" s="0" t="n">
        <v>3968.48</v>
      </c>
      <c r="P3746" s="0" t="s">
        <v>2444</v>
      </c>
    </row>
    <row r="3747" customFormat="false" ht="15" hidden="false" customHeight="true" outlineLevel="0" collapsed="false">
      <c r="A3747" s="0" t="n">
        <v>2</v>
      </c>
      <c r="B3747" s="71" t="n">
        <v>46218</v>
      </c>
      <c r="C3747" s="0" t="n">
        <v>11</v>
      </c>
      <c r="D3747" s="0" t="s">
        <v>2471</v>
      </c>
      <c r="E3747" s="0" t="n">
        <v>1815</v>
      </c>
      <c r="F3747" s="0" t="s">
        <v>172</v>
      </c>
      <c r="I3747" s="0" t="n">
        <v>392537</v>
      </c>
      <c r="J3747" s="0" t="n">
        <v>100014</v>
      </c>
      <c r="K3747" s="0" t="n">
        <v>15</v>
      </c>
      <c r="L3747" s="0" t="s">
        <v>2491</v>
      </c>
      <c r="N3747" s="0" t="n">
        <v>20.491</v>
      </c>
      <c r="O3747" s="0" t="n">
        <v>880.91</v>
      </c>
      <c r="P3747" s="0" t="s">
        <v>2444</v>
      </c>
    </row>
    <row r="3748" customFormat="false" ht="15" hidden="false" customHeight="true" outlineLevel="0" collapsed="false">
      <c r="A3748" s="0" t="n">
        <v>2</v>
      </c>
      <c r="B3748" s="71" t="n">
        <v>46218</v>
      </c>
      <c r="C3748" s="0" t="n">
        <v>11</v>
      </c>
      <c r="D3748" s="0" t="s">
        <v>2471</v>
      </c>
      <c r="E3748" s="0" t="n">
        <v>1815</v>
      </c>
      <c r="F3748" s="0" t="s">
        <v>172</v>
      </c>
      <c r="I3748" s="0" t="n">
        <v>392537</v>
      </c>
      <c r="J3748" s="0" t="n">
        <v>100024</v>
      </c>
      <c r="K3748" s="0" t="n">
        <v>25</v>
      </c>
      <c r="L3748" s="0" t="s">
        <v>3345</v>
      </c>
      <c r="N3748" s="0" t="n">
        <v>45.868</v>
      </c>
      <c r="O3748" s="0" t="n">
        <v>641.69</v>
      </c>
      <c r="P3748" s="0" t="s">
        <v>2444</v>
      </c>
    </row>
    <row r="3749" customFormat="false" ht="15" hidden="false" customHeight="true" outlineLevel="0" collapsed="false">
      <c r="A3749" s="0" t="n">
        <v>2</v>
      </c>
      <c r="B3749" s="71" t="n">
        <v>46218</v>
      </c>
      <c r="C3749" s="0" t="n">
        <v>11</v>
      </c>
      <c r="D3749" s="0" t="s">
        <v>2471</v>
      </c>
      <c r="E3749" s="0" t="n">
        <v>1608</v>
      </c>
      <c r="F3749" s="0" t="s">
        <v>240</v>
      </c>
      <c r="I3749" s="0" t="n">
        <v>1692730</v>
      </c>
      <c r="J3749" s="0" t="n">
        <v>102213</v>
      </c>
      <c r="K3749" s="0" t="n">
        <v>7894321711171</v>
      </c>
      <c r="L3749" s="0" t="s">
        <v>4250</v>
      </c>
      <c r="N3749" s="0" t="n">
        <v>6</v>
      </c>
      <c r="O3749" s="0" t="n">
        <v>36</v>
      </c>
      <c r="P3749" s="0" t="s">
        <v>2444</v>
      </c>
    </row>
    <row r="3750" customFormat="false" ht="15" hidden="false" customHeight="true" outlineLevel="0" collapsed="false">
      <c r="A3750" s="0" t="n">
        <v>2</v>
      </c>
      <c r="B3750" s="71" t="n">
        <v>46218</v>
      </c>
      <c r="C3750" s="0" t="n">
        <v>11</v>
      </c>
      <c r="D3750" s="0" t="s">
        <v>2471</v>
      </c>
      <c r="E3750" s="0" t="n">
        <v>1608</v>
      </c>
      <c r="F3750" s="0" t="s">
        <v>240</v>
      </c>
      <c r="I3750" s="0" t="n">
        <v>1692730</v>
      </c>
      <c r="J3750" s="0" t="n">
        <v>104454</v>
      </c>
      <c r="K3750" s="0" t="n">
        <v>7892840142124</v>
      </c>
      <c r="L3750" s="0" t="s">
        <v>4251</v>
      </c>
      <c r="N3750" s="0" t="n">
        <v>25</v>
      </c>
      <c r="O3750" s="0" t="n">
        <v>55</v>
      </c>
      <c r="P3750" s="0" t="s">
        <v>2444</v>
      </c>
    </row>
    <row r="3751" customFormat="false" ht="15" hidden="false" customHeight="true" outlineLevel="0" collapsed="false">
      <c r="A3751" s="0" t="n">
        <v>2</v>
      </c>
      <c r="B3751" s="71" t="n">
        <v>46218</v>
      </c>
      <c r="C3751" s="0" t="n">
        <v>11</v>
      </c>
      <c r="D3751" s="0" t="s">
        <v>2471</v>
      </c>
      <c r="E3751" s="0" t="n">
        <v>1608</v>
      </c>
      <c r="F3751" s="0" t="s">
        <v>240</v>
      </c>
      <c r="I3751" s="0" t="n">
        <v>1692730</v>
      </c>
      <c r="J3751" s="0" t="n">
        <v>107088</v>
      </c>
      <c r="K3751" s="0" t="n">
        <v>7896828000482</v>
      </c>
      <c r="L3751" s="0" t="s">
        <v>3514</v>
      </c>
      <c r="N3751" s="0" t="n">
        <v>12</v>
      </c>
      <c r="O3751" s="0" t="n">
        <v>64.08</v>
      </c>
      <c r="P3751" s="0" t="s">
        <v>2444</v>
      </c>
    </row>
    <row r="3752" customFormat="false" ht="15" hidden="false" customHeight="true" outlineLevel="0" collapsed="false">
      <c r="A3752" s="0" t="n">
        <v>2</v>
      </c>
      <c r="B3752" s="71" t="n">
        <v>46218</v>
      </c>
      <c r="C3752" s="0" t="n">
        <v>11</v>
      </c>
      <c r="D3752" s="0" t="s">
        <v>2471</v>
      </c>
      <c r="E3752" s="0" t="n">
        <v>1608</v>
      </c>
      <c r="F3752" s="0" t="s">
        <v>240</v>
      </c>
      <c r="I3752" s="0" t="n">
        <v>1692730</v>
      </c>
      <c r="J3752" s="0" t="n">
        <v>107532</v>
      </c>
      <c r="K3752" s="0" t="n">
        <v>7896828000017</v>
      </c>
      <c r="L3752" s="0" t="s">
        <v>4252</v>
      </c>
      <c r="N3752" s="0" t="n">
        <v>27</v>
      </c>
      <c r="O3752" s="0" t="n">
        <v>90.18</v>
      </c>
      <c r="P3752" s="0" t="s">
        <v>2444</v>
      </c>
    </row>
    <row r="3753" customFormat="false" ht="15" hidden="false" customHeight="true" outlineLevel="0" collapsed="false">
      <c r="A3753" s="0" t="n">
        <v>2</v>
      </c>
      <c r="B3753" s="71" t="n">
        <v>46218</v>
      </c>
      <c r="C3753" s="0" t="n">
        <v>11</v>
      </c>
      <c r="D3753" s="0" t="s">
        <v>2471</v>
      </c>
      <c r="E3753" s="0" t="n">
        <v>1608</v>
      </c>
      <c r="F3753" s="0" t="s">
        <v>240</v>
      </c>
      <c r="I3753" s="0" t="n">
        <v>1692730</v>
      </c>
      <c r="J3753" s="0" t="n">
        <v>11626</v>
      </c>
      <c r="K3753" s="0" t="n">
        <v>7896828000239</v>
      </c>
      <c r="L3753" s="0" t="s">
        <v>3515</v>
      </c>
      <c r="N3753" s="0" t="n">
        <v>12</v>
      </c>
      <c r="O3753" s="0" t="n">
        <v>167.04</v>
      </c>
      <c r="P3753" s="0" t="s">
        <v>2444</v>
      </c>
    </row>
    <row r="3754" customFormat="false" ht="15" hidden="false" customHeight="true" outlineLevel="0" collapsed="false">
      <c r="A3754" s="0" t="n">
        <v>2</v>
      </c>
      <c r="B3754" s="71" t="n">
        <v>46218</v>
      </c>
      <c r="C3754" s="0" t="n">
        <v>11</v>
      </c>
      <c r="D3754" s="0" t="s">
        <v>2471</v>
      </c>
      <c r="E3754" s="0" t="n">
        <v>1608</v>
      </c>
      <c r="F3754" s="0" t="s">
        <v>240</v>
      </c>
      <c r="I3754" s="0" t="n">
        <v>1692730</v>
      </c>
      <c r="J3754" s="0" t="n">
        <v>29083</v>
      </c>
      <c r="K3754" s="0" t="n">
        <v>7892840818142</v>
      </c>
      <c r="L3754" s="0" t="s">
        <v>3516</v>
      </c>
      <c r="N3754" s="0" t="n">
        <v>5</v>
      </c>
      <c r="O3754" s="0" t="n">
        <v>56.95</v>
      </c>
      <c r="P3754" s="0" t="s">
        <v>2444</v>
      </c>
    </row>
    <row r="3755" customFormat="false" ht="15" hidden="false" customHeight="true" outlineLevel="0" collapsed="false">
      <c r="A3755" s="0" t="n">
        <v>2</v>
      </c>
      <c r="B3755" s="71" t="n">
        <v>46218</v>
      </c>
      <c r="C3755" s="0" t="n">
        <v>11</v>
      </c>
      <c r="D3755" s="0" t="s">
        <v>2471</v>
      </c>
      <c r="E3755" s="0" t="n">
        <v>1608</v>
      </c>
      <c r="F3755" s="0" t="s">
        <v>240</v>
      </c>
      <c r="I3755" s="0" t="n">
        <v>1692730</v>
      </c>
      <c r="J3755" s="0" t="n">
        <v>29659</v>
      </c>
      <c r="K3755" s="0" t="n">
        <v>7896071024839</v>
      </c>
      <c r="L3755" s="0" t="s">
        <v>4253</v>
      </c>
      <c r="N3755" s="0" t="n">
        <v>16</v>
      </c>
      <c r="O3755" s="0" t="n">
        <v>41.44</v>
      </c>
      <c r="P3755" s="0" t="s">
        <v>2444</v>
      </c>
    </row>
    <row r="3756" customFormat="false" ht="15" hidden="false" customHeight="true" outlineLevel="0" collapsed="false">
      <c r="A3756" s="0" t="n">
        <v>2</v>
      </c>
      <c r="B3756" s="71" t="n">
        <v>46218</v>
      </c>
      <c r="C3756" s="0" t="n">
        <v>11</v>
      </c>
      <c r="D3756" s="0" t="s">
        <v>2471</v>
      </c>
      <c r="E3756" s="0" t="n">
        <v>1608</v>
      </c>
      <c r="F3756" s="0" t="s">
        <v>240</v>
      </c>
      <c r="I3756" s="0" t="n">
        <v>1692730</v>
      </c>
      <c r="J3756" s="0" t="n">
        <v>29661</v>
      </c>
      <c r="K3756" s="0" t="n">
        <v>7896071024822</v>
      </c>
      <c r="L3756" s="0" t="s">
        <v>4254</v>
      </c>
      <c r="N3756" s="0" t="n">
        <v>16</v>
      </c>
      <c r="O3756" s="0" t="n">
        <v>41.44</v>
      </c>
      <c r="P3756" s="0" t="s">
        <v>2444</v>
      </c>
    </row>
    <row r="3757" customFormat="false" ht="15" hidden="false" customHeight="true" outlineLevel="0" collapsed="false">
      <c r="A3757" s="0" t="n">
        <v>2</v>
      </c>
      <c r="B3757" s="71" t="n">
        <v>46218</v>
      </c>
      <c r="C3757" s="0" t="n">
        <v>11</v>
      </c>
      <c r="D3757" s="0" t="s">
        <v>2471</v>
      </c>
      <c r="E3757" s="0" t="n">
        <v>1608</v>
      </c>
      <c r="F3757" s="0" t="s">
        <v>240</v>
      </c>
      <c r="I3757" s="0" t="n">
        <v>1692730</v>
      </c>
      <c r="J3757" s="0" t="n">
        <v>32249</v>
      </c>
      <c r="K3757" s="0" t="n">
        <v>7892840815752</v>
      </c>
      <c r="L3757" s="0" t="s">
        <v>3518</v>
      </c>
      <c r="N3757" s="0" t="n">
        <v>14</v>
      </c>
      <c r="O3757" s="0" t="n">
        <v>59.22</v>
      </c>
      <c r="P3757" s="0" t="s">
        <v>2444</v>
      </c>
    </row>
    <row r="3758" customFormat="false" ht="15" hidden="false" customHeight="true" outlineLevel="0" collapsed="false">
      <c r="A3758" s="0" t="n">
        <v>2</v>
      </c>
      <c r="B3758" s="71" t="n">
        <v>46218</v>
      </c>
      <c r="C3758" s="0" t="n">
        <v>11</v>
      </c>
      <c r="D3758" s="0" t="s">
        <v>2471</v>
      </c>
      <c r="E3758" s="0" t="n">
        <v>1608</v>
      </c>
      <c r="F3758" s="0" t="s">
        <v>240</v>
      </c>
      <c r="I3758" s="0" t="n">
        <v>1692730</v>
      </c>
      <c r="J3758" s="0" t="n">
        <v>36474</v>
      </c>
      <c r="K3758" s="0" t="n">
        <v>7892840815745</v>
      </c>
      <c r="L3758" s="0" t="s">
        <v>3520</v>
      </c>
      <c r="N3758" s="0" t="n">
        <v>60</v>
      </c>
      <c r="O3758" s="0" t="n">
        <v>132</v>
      </c>
      <c r="P3758" s="0" t="s">
        <v>2444</v>
      </c>
    </row>
    <row r="3759" customFormat="false" ht="15" hidden="false" customHeight="true" outlineLevel="0" collapsed="false">
      <c r="A3759" s="0" t="n">
        <v>2</v>
      </c>
      <c r="B3759" s="71" t="n">
        <v>46218</v>
      </c>
      <c r="C3759" s="0" t="n">
        <v>11</v>
      </c>
      <c r="D3759" s="0" t="s">
        <v>2471</v>
      </c>
      <c r="E3759" s="0" t="n">
        <v>1608</v>
      </c>
      <c r="F3759" s="0" t="s">
        <v>240</v>
      </c>
      <c r="I3759" s="0" t="n">
        <v>1692730</v>
      </c>
      <c r="J3759" s="0" t="n">
        <v>38353</v>
      </c>
      <c r="K3759" s="0" t="n">
        <v>7892840817978</v>
      </c>
      <c r="L3759" s="0" t="s">
        <v>3521</v>
      </c>
      <c r="N3759" s="0" t="n">
        <v>5</v>
      </c>
      <c r="O3759" s="0" t="n">
        <v>56.95</v>
      </c>
      <c r="P3759" s="0" t="s">
        <v>2444</v>
      </c>
    </row>
    <row r="3760" customFormat="false" ht="15" hidden="false" customHeight="true" outlineLevel="0" collapsed="false">
      <c r="A3760" s="0" t="n">
        <v>2</v>
      </c>
      <c r="B3760" s="71" t="n">
        <v>46218</v>
      </c>
      <c r="C3760" s="0" t="n">
        <v>11</v>
      </c>
      <c r="D3760" s="0" t="s">
        <v>2471</v>
      </c>
      <c r="E3760" s="0" t="n">
        <v>1608</v>
      </c>
      <c r="F3760" s="0" t="s">
        <v>240</v>
      </c>
      <c r="I3760" s="0" t="n">
        <v>1692730</v>
      </c>
      <c r="J3760" s="0" t="n">
        <v>38354</v>
      </c>
      <c r="K3760" s="0" t="n">
        <v>7892840818159</v>
      </c>
      <c r="L3760" s="0" t="s">
        <v>3522</v>
      </c>
      <c r="N3760" s="0" t="n">
        <v>5</v>
      </c>
      <c r="O3760" s="0" t="n">
        <v>56.95</v>
      </c>
      <c r="P3760" s="0" t="s">
        <v>2444</v>
      </c>
    </row>
    <row r="3761" customFormat="false" ht="15" hidden="false" customHeight="true" outlineLevel="0" collapsed="false">
      <c r="A3761" s="0" t="n">
        <v>2</v>
      </c>
      <c r="B3761" s="71" t="n">
        <v>46218</v>
      </c>
      <c r="C3761" s="0" t="n">
        <v>11</v>
      </c>
      <c r="D3761" s="0" t="s">
        <v>2471</v>
      </c>
      <c r="E3761" s="0" t="n">
        <v>1608</v>
      </c>
      <c r="F3761" s="0" t="s">
        <v>240</v>
      </c>
      <c r="I3761" s="0" t="n">
        <v>1692730</v>
      </c>
      <c r="J3761" s="0" t="n">
        <v>42694</v>
      </c>
      <c r="K3761" s="0" t="n">
        <v>7892840814724</v>
      </c>
      <c r="L3761" s="0" t="s">
        <v>4255</v>
      </c>
      <c r="N3761" s="0" t="n">
        <v>16</v>
      </c>
      <c r="O3761" s="0" t="n">
        <v>96.16</v>
      </c>
      <c r="P3761" s="0" t="s">
        <v>2444</v>
      </c>
    </row>
    <row r="3762" customFormat="false" ht="15" hidden="false" customHeight="true" outlineLevel="0" collapsed="false">
      <c r="A3762" s="0" t="n">
        <v>2</v>
      </c>
      <c r="B3762" s="71" t="n">
        <v>46218</v>
      </c>
      <c r="C3762" s="0" t="n">
        <v>11</v>
      </c>
      <c r="D3762" s="0" t="s">
        <v>2471</v>
      </c>
      <c r="E3762" s="0" t="n">
        <v>1608</v>
      </c>
      <c r="F3762" s="0" t="s">
        <v>240</v>
      </c>
      <c r="I3762" s="0" t="n">
        <v>1692730</v>
      </c>
      <c r="J3762" s="0" t="n">
        <v>51628</v>
      </c>
      <c r="K3762" s="0" t="n">
        <v>7892840817749</v>
      </c>
      <c r="L3762" s="0" t="s">
        <v>4256</v>
      </c>
      <c r="N3762" s="0" t="n">
        <v>5</v>
      </c>
      <c r="O3762" s="0" t="n">
        <v>70.45</v>
      </c>
      <c r="P3762" s="0" t="s">
        <v>2444</v>
      </c>
    </row>
    <row r="3763" customFormat="false" ht="15" hidden="false" customHeight="true" outlineLevel="0" collapsed="false">
      <c r="A3763" s="0" t="n">
        <v>2</v>
      </c>
      <c r="B3763" s="71" t="n">
        <v>46218</v>
      </c>
      <c r="C3763" s="0" t="n">
        <v>11</v>
      </c>
      <c r="D3763" s="0" t="s">
        <v>2471</v>
      </c>
      <c r="E3763" s="0" t="n">
        <v>1608</v>
      </c>
      <c r="F3763" s="0" t="s">
        <v>240</v>
      </c>
      <c r="I3763" s="0" t="n">
        <v>1692730</v>
      </c>
      <c r="J3763" s="0" t="n">
        <v>54095</v>
      </c>
      <c r="K3763" s="0" t="n">
        <v>7892840820381</v>
      </c>
      <c r="L3763" s="0" t="s">
        <v>3523</v>
      </c>
      <c r="N3763" s="0" t="n">
        <v>30</v>
      </c>
      <c r="O3763" s="0" t="n">
        <v>189.6</v>
      </c>
      <c r="P3763" s="0" t="s">
        <v>2444</v>
      </c>
    </row>
    <row r="3764" customFormat="false" ht="15" hidden="false" customHeight="true" outlineLevel="0" collapsed="false">
      <c r="A3764" s="0" t="n">
        <v>2</v>
      </c>
      <c r="B3764" s="71" t="n">
        <v>46218</v>
      </c>
      <c r="C3764" s="0" t="n">
        <v>11</v>
      </c>
      <c r="D3764" s="0" t="s">
        <v>2471</v>
      </c>
      <c r="E3764" s="0" t="n">
        <v>1608</v>
      </c>
      <c r="F3764" s="0" t="s">
        <v>240</v>
      </c>
      <c r="I3764" s="0" t="n">
        <v>1692730</v>
      </c>
      <c r="J3764" s="0" t="n">
        <v>65341</v>
      </c>
      <c r="K3764" s="0" t="n">
        <v>7892840822309</v>
      </c>
      <c r="L3764" s="0" t="s">
        <v>3524</v>
      </c>
      <c r="N3764" s="0" t="n">
        <v>56</v>
      </c>
      <c r="O3764" s="0" t="n">
        <v>180.88</v>
      </c>
      <c r="P3764" s="0" t="s">
        <v>2444</v>
      </c>
    </row>
    <row r="3765" customFormat="false" ht="15" hidden="false" customHeight="true" outlineLevel="0" collapsed="false">
      <c r="A3765" s="0" t="n">
        <v>2</v>
      </c>
      <c r="B3765" s="71" t="n">
        <v>46218</v>
      </c>
      <c r="C3765" s="0" t="n">
        <v>11</v>
      </c>
      <c r="D3765" s="0" t="s">
        <v>2471</v>
      </c>
      <c r="E3765" s="0" t="n">
        <v>1608</v>
      </c>
      <c r="F3765" s="0" t="s">
        <v>240</v>
      </c>
      <c r="I3765" s="0" t="n">
        <v>1692730</v>
      </c>
      <c r="J3765" s="0" t="n">
        <v>65342</v>
      </c>
      <c r="K3765" s="0" t="n">
        <v>7892840822446</v>
      </c>
      <c r="L3765" s="0" t="s">
        <v>3525</v>
      </c>
      <c r="N3765" s="0" t="n">
        <v>10</v>
      </c>
      <c r="O3765" s="0" t="n">
        <v>129.6</v>
      </c>
      <c r="P3765" s="0" t="s">
        <v>2444</v>
      </c>
    </row>
    <row r="3766" customFormat="false" ht="15" hidden="false" customHeight="true" outlineLevel="0" collapsed="false">
      <c r="A3766" s="0" t="n">
        <v>2</v>
      </c>
      <c r="B3766" s="71" t="n">
        <v>46218</v>
      </c>
      <c r="C3766" s="0" t="n">
        <v>11</v>
      </c>
      <c r="D3766" s="0" t="s">
        <v>2471</v>
      </c>
      <c r="E3766" s="0" t="n">
        <v>1608</v>
      </c>
      <c r="F3766" s="0" t="s">
        <v>240</v>
      </c>
      <c r="I3766" s="0" t="n">
        <v>1692730</v>
      </c>
      <c r="J3766" s="0" t="n">
        <v>65383</v>
      </c>
      <c r="K3766" s="0" t="n">
        <v>7892840822859</v>
      </c>
      <c r="L3766" s="0" t="s">
        <v>3526</v>
      </c>
      <c r="N3766" s="0" t="n">
        <v>20</v>
      </c>
      <c r="O3766" s="0" t="n">
        <v>51.4</v>
      </c>
      <c r="P3766" s="0" t="s">
        <v>2444</v>
      </c>
    </row>
    <row r="3767" customFormat="false" ht="15" hidden="false" customHeight="true" outlineLevel="0" collapsed="false">
      <c r="A3767" s="0" t="n">
        <v>2</v>
      </c>
      <c r="B3767" s="71" t="n">
        <v>46218</v>
      </c>
      <c r="C3767" s="0" t="n">
        <v>11</v>
      </c>
      <c r="D3767" s="0" t="s">
        <v>2471</v>
      </c>
      <c r="E3767" s="0" t="n">
        <v>1608</v>
      </c>
      <c r="F3767" s="0" t="s">
        <v>240</v>
      </c>
      <c r="I3767" s="0" t="n">
        <v>1692730</v>
      </c>
      <c r="J3767" s="0" t="n">
        <v>65591</v>
      </c>
      <c r="K3767" s="0" t="n">
        <v>7892840822941</v>
      </c>
      <c r="L3767" s="0" t="s">
        <v>3527</v>
      </c>
      <c r="N3767" s="0" t="n">
        <v>6</v>
      </c>
      <c r="O3767" s="0" t="n">
        <v>78.12</v>
      </c>
      <c r="P3767" s="0" t="s">
        <v>2444</v>
      </c>
    </row>
    <row r="3768" customFormat="false" ht="15" hidden="false" customHeight="true" outlineLevel="0" collapsed="false">
      <c r="A3768" s="0" t="n">
        <v>2</v>
      </c>
      <c r="B3768" s="71" t="n">
        <v>46218</v>
      </c>
      <c r="C3768" s="0" t="n">
        <v>11</v>
      </c>
      <c r="D3768" s="0" t="s">
        <v>2471</v>
      </c>
      <c r="E3768" s="0" t="n">
        <v>1608</v>
      </c>
      <c r="F3768" s="0" t="s">
        <v>240</v>
      </c>
      <c r="I3768" s="0" t="n">
        <v>1692730</v>
      </c>
      <c r="J3768" s="0" t="n">
        <v>65592</v>
      </c>
      <c r="K3768" s="0" t="n">
        <v>7892840822286</v>
      </c>
      <c r="L3768" s="0" t="s">
        <v>3528</v>
      </c>
      <c r="N3768" s="0" t="n">
        <v>28</v>
      </c>
      <c r="O3768" s="0" t="n">
        <v>90.44</v>
      </c>
      <c r="P3768" s="0" t="s">
        <v>2444</v>
      </c>
    </row>
    <row r="3769" customFormat="false" ht="15" hidden="false" customHeight="true" outlineLevel="0" collapsed="false">
      <c r="A3769" s="0" t="n">
        <v>2</v>
      </c>
      <c r="B3769" s="71" t="n">
        <v>46218</v>
      </c>
      <c r="C3769" s="0" t="n">
        <v>11</v>
      </c>
      <c r="D3769" s="0" t="s">
        <v>2471</v>
      </c>
      <c r="E3769" s="0" t="n">
        <v>1608</v>
      </c>
      <c r="F3769" s="0" t="s">
        <v>240</v>
      </c>
      <c r="I3769" s="0" t="n">
        <v>1692730</v>
      </c>
      <c r="J3769" s="0" t="n">
        <v>65597</v>
      </c>
      <c r="K3769" s="0" t="n">
        <v>7892840822736</v>
      </c>
      <c r="L3769" s="0" t="s">
        <v>3529</v>
      </c>
      <c r="N3769" s="0" t="n">
        <v>6</v>
      </c>
      <c r="O3769" s="0" t="n">
        <v>73.2</v>
      </c>
      <c r="P3769" s="0" t="s">
        <v>2444</v>
      </c>
    </row>
    <row r="3770" customFormat="false" ht="15" hidden="false" customHeight="true" outlineLevel="0" collapsed="false">
      <c r="A3770" s="0" t="n">
        <v>2</v>
      </c>
      <c r="B3770" s="71" t="n">
        <v>46218</v>
      </c>
      <c r="C3770" s="0" t="n">
        <v>11</v>
      </c>
      <c r="D3770" s="0" t="s">
        <v>2471</v>
      </c>
      <c r="E3770" s="0" t="n">
        <v>1608</v>
      </c>
      <c r="F3770" s="0" t="s">
        <v>240</v>
      </c>
      <c r="I3770" s="0" t="n">
        <v>1692730</v>
      </c>
      <c r="J3770" s="0" t="n">
        <v>65598</v>
      </c>
      <c r="K3770" s="0" t="n">
        <v>7892840822361</v>
      </c>
      <c r="L3770" s="0" t="s">
        <v>3530</v>
      </c>
      <c r="N3770" s="0" t="n">
        <v>10</v>
      </c>
      <c r="O3770" s="0" t="n">
        <v>76.2</v>
      </c>
      <c r="P3770" s="0" t="s">
        <v>2444</v>
      </c>
    </row>
    <row r="3771" customFormat="false" ht="15" hidden="false" customHeight="true" outlineLevel="0" collapsed="false">
      <c r="A3771" s="0" t="n">
        <v>2</v>
      </c>
      <c r="B3771" s="71" t="n">
        <v>46218</v>
      </c>
      <c r="C3771" s="0" t="n">
        <v>11</v>
      </c>
      <c r="D3771" s="0" t="s">
        <v>2471</v>
      </c>
      <c r="E3771" s="0" t="n">
        <v>1608</v>
      </c>
      <c r="F3771" s="0" t="s">
        <v>240</v>
      </c>
      <c r="I3771" s="0" t="n">
        <v>1692730</v>
      </c>
      <c r="J3771" s="0" t="n">
        <v>65734</v>
      </c>
      <c r="K3771" s="0" t="n">
        <v>7892840823047</v>
      </c>
      <c r="L3771" s="0" t="s">
        <v>3531</v>
      </c>
      <c r="N3771" s="0" t="n">
        <v>16</v>
      </c>
      <c r="O3771" s="0" t="n">
        <v>99.36</v>
      </c>
      <c r="P3771" s="0" t="s">
        <v>2444</v>
      </c>
    </row>
    <row r="3772" customFormat="false" ht="15" hidden="false" customHeight="true" outlineLevel="0" collapsed="false">
      <c r="A3772" s="0" t="n">
        <v>2</v>
      </c>
      <c r="B3772" s="71" t="n">
        <v>46218</v>
      </c>
      <c r="C3772" s="0" t="n">
        <v>11</v>
      </c>
      <c r="D3772" s="0" t="s">
        <v>2471</v>
      </c>
      <c r="E3772" s="0" t="n">
        <v>1608</v>
      </c>
      <c r="F3772" s="0" t="s">
        <v>240</v>
      </c>
      <c r="I3772" s="0" t="n">
        <v>1692730</v>
      </c>
      <c r="J3772" s="0" t="n">
        <v>65736</v>
      </c>
      <c r="K3772" s="0" t="n">
        <v>7892840823054</v>
      </c>
      <c r="L3772" s="0" t="s">
        <v>3532</v>
      </c>
      <c r="N3772" s="0" t="n">
        <v>20</v>
      </c>
      <c r="O3772" s="0" t="n">
        <v>124.2</v>
      </c>
      <c r="P3772" s="0" t="s">
        <v>2444</v>
      </c>
    </row>
    <row r="3773" customFormat="false" ht="15" hidden="false" customHeight="true" outlineLevel="0" collapsed="false">
      <c r="A3773" s="0" t="n">
        <v>2</v>
      </c>
      <c r="B3773" s="71" t="n">
        <v>46218</v>
      </c>
      <c r="C3773" s="0" t="n">
        <v>11</v>
      </c>
      <c r="D3773" s="0" t="s">
        <v>2471</v>
      </c>
      <c r="E3773" s="0" t="n">
        <v>1608</v>
      </c>
      <c r="F3773" s="0" t="s">
        <v>240</v>
      </c>
      <c r="I3773" s="0" t="n">
        <v>1692730</v>
      </c>
      <c r="J3773" s="0" t="n">
        <v>65799</v>
      </c>
      <c r="K3773" s="0" t="n">
        <v>7892840822385</v>
      </c>
      <c r="L3773" s="0" t="s">
        <v>3533</v>
      </c>
      <c r="N3773" s="0" t="n">
        <v>58</v>
      </c>
      <c r="O3773" s="0" t="n">
        <v>212.28</v>
      </c>
      <c r="P3773" s="0" t="s">
        <v>2444</v>
      </c>
    </row>
    <row r="3774" customFormat="false" ht="15" hidden="false" customHeight="true" outlineLevel="0" collapsed="false">
      <c r="A3774" s="0" t="n">
        <v>2</v>
      </c>
      <c r="B3774" s="71" t="n">
        <v>46218</v>
      </c>
      <c r="C3774" s="0" t="n">
        <v>11</v>
      </c>
      <c r="D3774" s="0" t="s">
        <v>2471</v>
      </c>
      <c r="E3774" s="0" t="n">
        <v>1608</v>
      </c>
      <c r="F3774" s="0" t="s">
        <v>240</v>
      </c>
      <c r="I3774" s="0" t="n">
        <v>1692730</v>
      </c>
      <c r="J3774" s="0" t="n">
        <v>65964</v>
      </c>
      <c r="K3774" s="0" t="n">
        <v>7892840822422</v>
      </c>
      <c r="L3774" s="0" t="s">
        <v>3534</v>
      </c>
      <c r="N3774" s="0" t="n">
        <v>12</v>
      </c>
      <c r="O3774" s="0" t="n">
        <v>21</v>
      </c>
      <c r="P3774" s="0" t="s">
        <v>2444</v>
      </c>
    </row>
    <row r="3775" customFormat="false" ht="15" hidden="false" customHeight="true" outlineLevel="0" collapsed="false">
      <c r="A3775" s="0" t="n">
        <v>2</v>
      </c>
      <c r="B3775" s="71" t="n">
        <v>46218</v>
      </c>
      <c r="C3775" s="0" t="n">
        <v>11</v>
      </c>
      <c r="D3775" s="0" t="s">
        <v>2471</v>
      </c>
      <c r="E3775" s="0" t="n">
        <v>1608</v>
      </c>
      <c r="F3775" s="0" t="s">
        <v>240</v>
      </c>
      <c r="I3775" s="0" t="n">
        <v>1692730</v>
      </c>
      <c r="J3775" s="0" t="n">
        <v>65965</v>
      </c>
      <c r="K3775" s="0" t="n">
        <v>7892840822507</v>
      </c>
      <c r="L3775" s="0" t="s">
        <v>3535</v>
      </c>
      <c r="N3775" s="0" t="n">
        <v>12</v>
      </c>
      <c r="O3775" s="0" t="n">
        <v>21</v>
      </c>
      <c r="P3775" s="0" t="s">
        <v>2444</v>
      </c>
    </row>
    <row r="3776" customFormat="false" ht="15" hidden="false" customHeight="true" outlineLevel="0" collapsed="false">
      <c r="A3776" s="0" t="n">
        <v>2</v>
      </c>
      <c r="B3776" s="71" t="n">
        <v>46218</v>
      </c>
      <c r="C3776" s="0" t="n">
        <v>11</v>
      </c>
      <c r="D3776" s="0" t="s">
        <v>2471</v>
      </c>
      <c r="E3776" s="0" t="n">
        <v>1608</v>
      </c>
      <c r="F3776" s="0" t="s">
        <v>240</v>
      </c>
      <c r="I3776" s="0" t="n">
        <v>1692730</v>
      </c>
      <c r="J3776" s="0" t="n">
        <v>66000</v>
      </c>
      <c r="K3776" s="0" t="n">
        <v>7892840822484</v>
      </c>
      <c r="L3776" s="0" t="s">
        <v>3537</v>
      </c>
      <c r="N3776" s="0" t="n">
        <v>12</v>
      </c>
      <c r="O3776" s="0" t="n">
        <v>21</v>
      </c>
      <c r="P3776" s="0" t="s">
        <v>2444</v>
      </c>
    </row>
    <row r="3777" customFormat="false" ht="15" hidden="false" customHeight="true" outlineLevel="0" collapsed="false">
      <c r="A3777" s="0" t="n">
        <v>2</v>
      </c>
      <c r="B3777" s="71" t="n">
        <v>46218</v>
      </c>
      <c r="C3777" s="0" t="n">
        <v>11</v>
      </c>
      <c r="D3777" s="0" t="s">
        <v>2471</v>
      </c>
      <c r="E3777" s="0" t="n">
        <v>1608</v>
      </c>
      <c r="F3777" s="0" t="s">
        <v>240</v>
      </c>
      <c r="I3777" s="0" t="n">
        <v>1692730</v>
      </c>
      <c r="J3777" s="0" t="n">
        <v>66002</v>
      </c>
      <c r="K3777" s="0" t="n">
        <v>7892840823481</v>
      </c>
      <c r="L3777" s="0" t="s">
        <v>3538</v>
      </c>
      <c r="N3777" s="0" t="n">
        <v>21</v>
      </c>
      <c r="O3777" s="0" t="n">
        <v>82.74</v>
      </c>
      <c r="P3777" s="0" t="s">
        <v>2444</v>
      </c>
    </row>
    <row r="3778" customFormat="false" ht="15" hidden="false" customHeight="true" outlineLevel="0" collapsed="false">
      <c r="A3778" s="0" t="n">
        <v>2</v>
      </c>
      <c r="B3778" s="71" t="n">
        <v>46218</v>
      </c>
      <c r="C3778" s="0" t="n">
        <v>11</v>
      </c>
      <c r="D3778" s="0" t="s">
        <v>2471</v>
      </c>
      <c r="E3778" s="0" t="n">
        <v>1608</v>
      </c>
      <c r="F3778" s="0" t="s">
        <v>240</v>
      </c>
      <c r="I3778" s="0" t="n">
        <v>1692730</v>
      </c>
      <c r="J3778" s="0" t="n">
        <v>66089</v>
      </c>
      <c r="K3778" s="0" t="n">
        <v>7892840822323</v>
      </c>
      <c r="L3778" s="0" t="s">
        <v>3539</v>
      </c>
      <c r="N3778" s="0" t="n">
        <v>12</v>
      </c>
      <c r="O3778" s="0" t="n">
        <v>153.6</v>
      </c>
      <c r="P3778" s="0" t="s">
        <v>2444</v>
      </c>
    </row>
    <row r="3779" customFormat="false" ht="15" hidden="false" customHeight="true" outlineLevel="0" collapsed="false">
      <c r="A3779" s="0" t="n">
        <v>2</v>
      </c>
      <c r="B3779" s="71" t="n">
        <v>46218</v>
      </c>
      <c r="C3779" s="0" t="n">
        <v>11</v>
      </c>
      <c r="D3779" s="0" t="s">
        <v>2471</v>
      </c>
      <c r="E3779" s="0" t="n">
        <v>1608</v>
      </c>
      <c r="F3779" s="0" t="s">
        <v>240</v>
      </c>
      <c r="I3779" s="0" t="n">
        <v>1692730</v>
      </c>
      <c r="J3779" s="0" t="n">
        <v>66252</v>
      </c>
      <c r="K3779" s="0" t="n">
        <v>7892840822392</v>
      </c>
      <c r="L3779" s="0" t="s">
        <v>3540</v>
      </c>
      <c r="N3779" s="0" t="n">
        <v>16</v>
      </c>
      <c r="O3779" s="0" t="n">
        <v>53.12</v>
      </c>
      <c r="P3779" s="0" t="s">
        <v>2444</v>
      </c>
    </row>
    <row r="3780" customFormat="false" ht="15" hidden="false" customHeight="true" outlineLevel="0" collapsed="false">
      <c r="A3780" s="0" t="n">
        <v>2</v>
      </c>
      <c r="B3780" s="71" t="n">
        <v>46218</v>
      </c>
      <c r="C3780" s="0" t="n">
        <v>11</v>
      </c>
      <c r="D3780" s="0" t="s">
        <v>2471</v>
      </c>
      <c r="E3780" s="0" t="n">
        <v>1608</v>
      </c>
      <c r="F3780" s="0" t="s">
        <v>240</v>
      </c>
      <c r="I3780" s="0" t="n">
        <v>1692730</v>
      </c>
      <c r="J3780" s="0" t="n">
        <v>66366</v>
      </c>
      <c r="K3780" s="0" t="n">
        <v>7892840822378</v>
      </c>
      <c r="L3780" s="0" t="s">
        <v>4257</v>
      </c>
      <c r="N3780" s="0" t="n">
        <v>36</v>
      </c>
      <c r="O3780" s="0" t="n">
        <v>141.84</v>
      </c>
      <c r="P3780" s="0" t="s">
        <v>2444</v>
      </c>
    </row>
    <row r="3781" customFormat="false" ht="15" hidden="false" customHeight="true" outlineLevel="0" collapsed="false">
      <c r="A3781" s="0" t="n">
        <v>2</v>
      </c>
      <c r="B3781" s="71" t="n">
        <v>46218</v>
      </c>
      <c r="C3781" s="0" t="n">
        <v>11</v>
      </c>
      <c r="D3781" s="0" t="s">
        <v>2471</v>
      </c>
      <c r="E3781" s="0" t="n">
        <v>1608</v>
      </c>
      <c r="F3781" s="0" t="s">
        <v>240</v>
      </c>
      <c r="I3781" s="0" t="n">
        <v>1692730</v>
      </c>
      <c r="J3781" s="0" t="n">
        <v>66993</v>
      </c>
      <c r="K3781" s="0" t="n">
        <v>7892840822347</v>
      </c>
      <c r="L3781" s="0" t="s">
        <v>3525</v>
      </c>
      <c r="N3781" s="0" t="n">
        <v>20</v>
      </c>
      <c r="O3781" s="0" t="n">
        <v>167.6</v>
      </c>
      <c r="P3781" s="0" t="s">
        <v>2444</v>
      </c>
    </row>
    <row r="3782" customFormat="false" ht="15" hidden="false" customHeight="true" outlineLevel="0" collapsed="false">
      <c r="A3782" s="0" t="n">
        <v>2</v>
      </c>
      <c r="B3782" s="71" t="n">
        <v>46218</v>
      </c>
      <c r="C3782" s="0" t="n">
        <v>11</v>
      </c>
      <c r="D3782" s="0" t="s">
        <v>2471</v>
      </c>
      <c r="E3782" s="0" t="n">
        <v>1608</v>
      </c>
      <c r="F3782" s="0" t="s">
        <v>240</v>
      </c>
      <c r="I3782" s="0" t="n">
        <v>1692730</v>
      </c>
      <c r="J3782" s="0" t="n">
        <v>67604</v>
      </c>
      <c r="K3782" s="0" t="n">
        <v>7892840823467</v>
      </c>
      <c r="L3782" s="0" t="s">
        <v>2835</v>
      </c>
      <c r="N3782" s="0" t="n">
        <v>14</v>
      </c>
      <c r="O3782" s="0" t="n">
        <v>118.86</v>
      </c>
      <c r="P3782" s="0" t="s">
        <v>2444</v>
      </c>
    </row>
    <row r="3783" customFormat="false" ht="15" hidden="false" customHeight="true" outlineLevel="0" collapsed="false">
      <c r="A3783" s="0" t="n">
        <v>2</v>
      </c>
      <c r="B3783" s="71" t="n">
        <v>46218</v>
      </c>
      <c r="C3783" s="0" t="n">
        <v>11</v>
      </c>
      <c r="D3783" s="0" t="s">
        <v>2471</v>
      </c>
      <c r="E3783" s="0" t="n">
        <v>1608</v>
      </c>
      <c r="F3783" s="0" t="s">
        <v>240</v>
      </c>
      <c r="I3783" s="0" t="n">
        <v>1692730</v>
      </c>
      <c r="J3783" s="0" t="n">
        <v>67725</v>
      </c>
      <c r="K3783" s="0" t="n">
        <v>7892840822477</v>
      </c>
      <c r="L3783" s="0" t="s">
        <v>3542</v>
      </c>
      <c r="N3783" s="0" t="n">
        <v>12</v>
      </c>
      <c r="O3783" s="0" t="n">
        <v>21</v>
      </c>
      <c r="P3783" s="0" t="s">
        <v>2444</v>
      </c>
    </row>
    <row r="3784" customFormat="false" ht="15" hidden="false" customHeight="true" outlineLevel="0" collapsed="false">
      <c r="A3784" s="0" t="n">
        <v>2</v>
      </c>
      <c r="B3784" s="71" t="n">
        <v>46218</v>
      </c>
      <c r="C3784" s="0" t="n">
        <v>11</v>
      </c>
      <c r="D3784" s="0" t="s">
        <v>2471</v>
      </c>
      <c r="E3784" s="0" t="n">
        <v>1608</v>
      </c>
      <c r="F3784" s="0" t="s">
        <v>240</v>
      </c>
      <c r="I3784" s="0" t="n">
        <v>1692730</v>
      </c>
      <c r="J3784" s="0" t="n">
        <v>68927</v>
      </c>
      <c r="K3784" s="0" t="n">
        <v>7892840823030</v>
      </c>
      <c r="L3784" s="0" t="s">
        <v>3543</v>
      </c>
      <c r="N3784" s="0" t="n">
        <v>16</v>
      </c>
      <c r="O3784" s="0" t="n">
        <v>99.36</v>
      </c>
      <c r="P3784" s="0" t="s">
        <v>2444</v>
      </c>
    </row>
    <row r="3785" customFormat="false" ht="15" hidden="false" customHeight="true" outlineLevel="0" collapsed="false">
      <c r="A3785" s="0" t="n">
        <v>2</v>
      </c>
      <c r="B3785" s="71" t="n">
        <v>46218</v>
      </c>
      <c r="C3785" s="0" t="n">
        <v>11</v>
      </c>
      <c r="D3785" s="0" t="s">
        <v>2471</v>
      </c>
      <c r="E3785" s="0" t="n">
        <v>1608</v>
      </c>
      <c r="F3785" s="0" t="s">
        <v>240</v>
      </c>
      <c r="I3785" s="0" t="n">
        <v>1692730</v>
      </c>
      <c r="J3785" s="0" t="n">
        <v>69688</v>
      </c>
      <c r="K3785" s="0" t="n">
        <v>7892840822514</v>
      </c>
      <c r="L3785" s="0" t="s">
        <v>3544</v>
      </c>
      <c r="N3785" s="0" t="n">
        <v>7</v>
      </c>
      <c r="O3785" s="0" t="n">
        <v>56.49</v>
      </c>
      <c r="P3785" s="0" t="s">
        <v>2444</v>
      </c>
    </row>
    <row r="3786" customFormat="false" ht="15" hidden="false" customHeight="true" outlineLevel="0" collapsed="false">
      <c r="A3786" s="0" t="n">
        <v>2</v>
      </c>
      <c r="B3786" s="71" t="n">
        <v>46218</v>
      </c>
      <c r="C3786" s="0" t="n">
        <v>11</v>
      </c>
      <c r="D3786" s="0" t="s">
        <v>2471</v>
      </c>
      <c r="E3786" s="0" t="n">
        <v>1608</v>
      </c>
      <c r="F3786" s="0" t="s">
        <v>240</v>
      </c>
      <c r="I3786" s="0" t="n">
        <v>1692730</v>
      </c>
      <c r="J3786" s="0" t="n">
        <v>80042</v>
      </c>
      <c r="K3786" s="0" t="n">
        <v>7892840825171</v>
      </c>
      <c r="L3786" s="0" t="s">
        <v>4258</v>
      </c>
      <c r="N3786" s="0" t="n">
        <v>16</v>
      </c>
      <c r="O3786" s="0" t="n">
        <v>71.2</v>
      </c>
      <c r="P3786" s="0" t="s">
        <v>2444</v>
      </c>
    </row>
    <row r="3787" customFormat="false" ht="15" hidden="false" customHeight="true" outlineLevel="0" collapsed="false">
      <c r="A3787" s="0" t="n">
        <v>2</v>
      </c>
      <c r="B3787" s="71" t="n">
        <v>46218</v>
      </c>
      <c r="C3787" s="0" t="n">
        <v>11</v>
      </c>
      <c r="D3787" s="0" t="s">
        <v>2471</v>
      </c>
      <c r="E3787" s="0" t="n">
        <v>1608</v>
      </c>
      <c r="F3787" s="0" t="s">
        <v>240</v>
      </c>
      <c r="I3787" s="0" t="n">
        <v>1692730</v>
      </c>
      <c r="J3787" s="0" t="n">
        <v>80196</v>
      </c>
      <c r="K3787" s="0" t="n">
        <v>7892840824662</v>
      </c>
      <c r="L3787" s="0" t="s">
        <v>3547</v>
      </c>
      <c r="N3787" s="0" t="n">
        <v>15</v>
      </c>
      <c r="O3787" s="0" t="n">
        <v>48.45</v>
      </c>
      <c r="P3787" s="0" t="s">
        <v>2444</v>
      </c>
    </row>
    <row r="3788" customFormat="false" ht="15" hidden="false" customHeight="true" outlineLevel="0" collapsed="false">
      <c r="A3788" s="0" t="n">
        <v>2</v>
      </c>
      <c r="B3788" s="71" t="n">
        <v>46218</v>
      </c>
      <c r="C3788" s="0" t="n">
        <v>11</v>
      </c>
      <c r="D3788" s="0" t="s">
        <v>2471</v>
      </c>
      <c r="E3788" s="0" t="n">
        <v>1608</v>
      </c>
      <c r="F3788" s="0" t="s">
        <v>240</v>
      </c>
      <c r="I3788" s="0" t="n">
        <v>1692730</v>
      </c>
      <c r="J3788" s="0" t="n">
        <v>80197</v>
      </c>
      <c r="K3788" s="0" t="n">
        <v>7892840824648</v>
      </c>
      <c r="L3788" s="0" t="s">
        <v>3548</v>
      </c>
      <c r="N3788" s="0" t="n">
        <v>20</v>
      </c>
      <c r="O3788" s="0" t="n">
        <v>64.6</v>
      </c>
      <c r="P3788" s="0" t="s">
        <v>2444</v>
      </c>
    </row>
    <row r="3789" customFormat="false" ht="15" hidden="false" customHeight="true" outlineLevel="0" collapsed="false">
      <c r="A3789" s="0" t="n">
        <v>2</v>
      </c>
      <c r="B3789" s="71" t="n">
        <v>46218</v>
      </c>
      <c r="C3789" s="0" t="n">
        <v>11</v>
      </c>
      <c r="D3789" s="0" t="s">
        <v>2471</v>
      </c>
      <c r="E3789" s="0" t="n">
        <v>1608</v>
      </c>
      <c r="F3789" s="0" t="s">
        <v>240</v>
      </c>
      <c r="I3789" s="0" t="n">
        <v>1692730</v>
      </c>
      <c r="J3789" s="0" t="n">
        <v>80198</v>
      </c>
      <c r="K3789" s="0" t="n">
        <v>7892840824693</v>
      </c>
      <c r="L3789" s="0" t="s">
        <v>3549</v>
      </c>
      <c r="N3789" s="0" t="n">
        <v>25</v>
      </c>
      <c r="O3789" s="0" t="n">
        <v>80.75</v>
      </c>
      <c r="P3789" s="0" t="s">
        <v>2444</v>
      </c>
    </row>
    <row r="3790" customFormat="false" ht="15" hidden="false" customHeight="true" outlineLevel="0" collapsed="false">
      <c r="A3790" s="0" t="n">
        <v>2</v>
      </c>
      <c r="B3790" s="71" t="n">
        <v>46218</v>
      </c>
      <c r="C3790" s="0" t="n">
        <v>11</v>
      </c>
      <c r="D3790" s="0" t="s">
        <v>2471</v>
      </c>
      <c r="E3790" s="0" t="n">
        <v>1608</v>
      </c>
      <c r="F3790" s="0" t="s">
        <v>240</v>
      </c>
      <c r="I3790" s="0" t="n">
        <v>1692730</v>
      </c>
      <c r="J3790" s="0" t="n">
        <v>80207</v>
      </c>
      <c r="K3790" s="0" t="n">
        <v>7892840825317</v>
      </c>
      <c r="L3790" s="0" t="s">
        <v>4259</v>
      </c>
      <c r="N3790" s="0" t="n">
        <v>10</v>
      </c>
      <c r="O3790" s="0" t="n">
        <v>70.1</v>
      </c>
      <c r="P3790" s="0" t="s">
        <v>2444</v>
      </c>
    </row>
    <row r="3791" customFormat="false" ht="15" hidden="false" customHeight="true" outlineLevel="0" collapsed="false">
      <c r="A3791" s="0" t="n">
        <v>2</v>
      </c>
      <c r="B3791" s="71" t="n">
        <v>46218</v>
      </c>
      <c r="C3791" s="0" t="n">
        <v>11</v>
      </c>
      <c r="D3791" s="0" t="s">
        <v>2471</v>
      </c>
      <c r="E3791" s="0" t="n">
        <v>1637</v>
      </c>
      <c r="F3791" s="0" t="s">
        <v>871</v>
      </c>
      <c r="I3791" s="0" t="n">
        <v>1905831</v>
      </c>
      <c r="J3791" s="0" t="n">
        <v>101855</v>
      </c>
      <c r="K3791" s="0" t="n">
        <v>7898071010027</v>
      </c>
      <c r="L3791" s="0" t="s">
        <v>4260</v>
      </c>
      <c r="N3791" s="0" t="n">
        <v>60</v>
      </c>
      <c r="O3791" s="0" t="n">
        <v>479.64</v>
      </c>
      <c r="P3791" s="0" t="s">
        <v>2444</v>
      </c>
    </row>
    <row r="3792" customFormat="false" ht="15" hidden="false" customHeight="true" outlineLevel="0" collapsed="false">
      <c r="A3792" s="0" t="n">
        <v>2</v>
      </c>
      <c r="B3792" s="71" t="n">
        <v>46218</v>
      </c>
      <c r="C3792" s="0" t="n">
        <v>11</v>
      </c>
      <c r="D3792" s="0" t="s">
        <v>2471</v>
      </c>
      <c r="E3792" s="0" t="n">
        <v>1637</v>
      </c>
      <c r="F3792" s="0" t="s">
        <v>871</v>
      </c>
      <c r="I3792" s="0" t="n">
        <v>1905832</v>
      </c>
      <c r="J3792" s="0" t="n">
        <v>101855</v>
      </c>
      <c r="K3792" s="0" t="n">
        <v>7898071010027</v>
      </c>
      <c r="L3792" s="0" t="s">
        <v>4260</v>
      </c>
      <c r="N3792" s="0" t="n">
        <v>80</v>
      </c>
      <c r="O3792" s="0" t="n">
        <v>639.52</v>
      </c>
      <c r="P3792" s="0" t="s">
        <v>2444</v>
      </c>
    </row>
    <row r="3793" customFormat="false" ht="15" hidden="false" customHeight="true" outlineLevel="0" collapsed="false">
      <c r="A3793" s="0" t="n">
        <v>2</v>
      </c>
      <c r="B3793" s="71" t="n">
        <v>46218</v>
      </c>
      <c r="C3793" s="0" t="n">
        <v>11</v>
      </c>
      <c r="D3793" s="0" t="s">
        <v>2471</v>
      </c>
      <c r="E3793" s="0" t="n">
        <v>1637</v>
      </c>
      <c r="F3793" s="0" t="s">
        <v>871</v>
      </c>
      <c r="I3793" s="0" t="n">
        <v>1905833</v>
      </c>
      <c r="J3793" s="0" t="n">
        <v>101855</v>
      </c>
      <c r="K3793" s="0" t="n">
        <v>7898071010027</v>
      </c>
      <c r="L3793" s="0" t="s">
        <v>4260</v>
      </c>
      <c r="N3793" s="0" t="n">
        <v>60</v>
      </c>
      <c r="O3793" s="0" t="n">
        <v>479.64</v>
      </c>
      <c r="P3793" s="0" t="s">
        <v>2444</v>
      </c>
    </row>
    <row r="3794" customFormat="false" ht="15" hidden="false" customHeight="true" outlineLevel="0" collapsed="false">
      <c r="A3794" s="0" t="n">
        <v>2</v>
      </c>
      <c r="B3794" s="71" t="n">
        <v>46218</v>
      </c>
      <c r="C3794" s="0" t="n">
        <v>11</v>
      </c>
      <c r="D3794" s="0" t="s">
        <v>2471</v>
      </c>
      <c r="E3794" s="0" t="n">
        <v>1636</v>
      </c>
      <c r="F3794" s="0" t="s">
        <v>61</v>
      </c>
      <c r="I3794" s="0" t="n">
        <v>3218196</v>
      </c>
      <c r="J3794" s="0" t="n">
        <v>102546</v>
      </c>
      <c r="K3794" s="0" t="n">
        <v>7894000021249</v>
      </c>
      <c r="L3794" s="0" t="s">
        <v>4261</v>
      </c>
      <c r="N3794" s="0" t="n">
        <v>6</v>
      </c>
      <c r="O3794" s="0" t="n">
        <v>109.14</v>
      </c>
      <c r="P3794" s="0" t="s">
        <v>2444</v>
      </c>
    </row>
    <row r="3795" customFormat="false" ht="15" hidden="false" customHeight="true" outlineLevel="0" collapsed="false">
      <c r="A3795" s="0" t="n">
        <v>2</v>
      </c>
      <c r="B3795" s="71" t="n">
        <v>46218</v>
      </c>
      <c r="C3795" s="0" t="n">
        <v>11</v>
      </c>
      <c r="D3795" s="0" t="s">
        <v>2471</v>
      </c>
      <c r="E3795" s="0" t="n">
        <v>1636</v>
      </c>
      <c r="F3795" s="0" t="s">
        <v>61</v>
      </c>
      <c r="I3795" s="0" t="n">
        <v>3218196</v>
      </c>
      <c r="J3795" s="0" t="n">
        <v>103633</v>
      </c>
      <c r="K3795" s="0" t="n">
        <v>7891700023023</v>
      </c>
      <c r="L3795" s="0" t="s">
        <v>4262</v>
      </c>
      <c r="N3795" s="0" t="n">
        <v>72</v>
      </c>
      <c r="O3795" s="0" t="n">
        <v>46.77</v>
      </c>
      <c r="P3795" s="0" t="s">
        <v>2444</v>
      </c>
    </row>
    <row r="3796" customFormat="false" ht="15" hidden="false" customHeight="true" outlineLevel="0" collapsed="false">
      <c r="A3796" s="0" t="n">
        <v>2</v>
      </c>
      <c r="B3796" s="71" t="n">
        <v>46218</v>
      </c>
      <c r="C3796" s="0" t="n">
        <v>11</v>
      </c>
      <c r="D3796" s="0" t="s">
        <v>2471</v>
      </c>
      <c r="E3796" s="0" t="n">
        <v>1636</v>
      </c>
      <c r="F3796" s="0" t="s">
        <v>61</v>
      </c>
      <c r="I3796" s="0" t="n">
        <v>3218196</v>
      </c>
      <c r="J3796" s="0" t="n">
        <v>103634</v>
      </c>
      <c r="K3796" s="0" t="n">
        <v>7891700023009</v>
      </c>
      <c r="L3796" s="0" t="s">
        <v>4263</v>
      </c>
      <c r="N3796" s="0" t="n">
        <v>72</v>
      </c>
      <c r="O3796" s="0" t="n">
        <v>46.77</v>
      </c>
      <c r="P3796" s="0" t="s">
        <v>2444</v>
      </c>
    </row>
    <row r="3797" customFormat="false" ht="15" hidden="false" customHeight="true" outlineLevel="0" collapsed="false">
      <c r="A3797" s="0" t="n">
        <v>2</v>
      </c>
      <c r="B3797" s="71" t="n">
        <v>46218</v>
      </c>
      <c r="C3797" s="0" t="n">
        <v>11</v>
      </c>
      <c r="D3797" s="0" t="s">
        <v>2471</v>
      </c>
      <c r="E3797" s="0" t="n">
        <v>1636</v>
      </c>
      <c r="F3797" s="0" t="s">
        <v>61</v>
      </c>
      <c r="I3797" s="0" t="n">
        <v>3218196</v>
      </c>
      <c r="J3797" s="0" t="n">
        <v>103929</v>
      </c>
      <c r="K3797" s="0" t="n">
        <v>7894000050027</v>
      </c>
      <c r="L3797" s="0" t="s">
        <v>4264</v>
      </c>
      <c r="N3797" s="0" t="n">
        <v>12</v>
      </c>
      <c r="O3797" s="0" t="n">
        <v>97.08</v>
      </c>
      <c r="P3797" s="0" t="s">
        <v>2444</v>
      </c>
    </row>
    <row r="3798" customFormat="false" ht="15" hidden="false" customHeight="true" outlineLevel="0" collapsed="false">
      <c r="A3798" s="0" t="n">
        <v>2</v>
      </c>
      <c r="B3798" s="71" t="n">
        <v>46218</v>
      </c>
      <c r="C3798" s="0" t="n">
        <v>11</v>
      </c>
      <c r="D3798" s="0" t="s">
        <v>2471</v>
      </c>
      <c r="E3798" s="0" t="n">
        <v>1636</v>
      </c>
      <c r="F3798" s="0" t="s">
        <v>61</v>
      </c>
      <c r="I3798" s="0" t="n">
        <v>3218196</v>
      </c>
      <c r="J3798" s="0" t="n">
        <v>19265</v>
      </c>
      <c r="K3798" s="0" t="n">
        <v>7891150022034</v>
      </c>
      <c r="L3798" s="0" t="s">
        <v>4265</v>
      </c>
      <c r="N3798" s="0" t="n">
        <v>6</v>
      </c>
      <c r="O3798" s="0" t="n">
        <v>90.54</v>
      </c>
      <c r="P3798" s="0" t="s">
        <v>2444</v>
      </c>
    </row>
    <row r="3799" customFormat="false" ht="15" hidden="false" customHeight="true" outlineLevel="0" collapsed="false">
      <c r="A3799" s="0" t="n">
        <v>2</v>
      </c>
      <c r="B3799" s="71" t="n">
        <v>46218</v>
      </c>
      <c r="C3799" s="0" t="n">
        <v>11</v>
      </c>
      <c r="D3799" s="0" t="s">
        <v>2471</v>
      </c>
      <c r="E3799" s="0" t="n">
        <v>1636</v>
      </c>
      <c r="F3799" s="0" t="s">
        <v>61</v>
      </c>
      <c r="I3799" s="0" t="n">
        <v>3218196</v>
      </c>
      <c r="J3799" s="0" t="n">
        <v>19269</v>
      </c>
      <c r="K3799" s="0" t="n">
        <v>7891150027800</v>
      </c>
      <c r="L3799" s="0" t="s">
        <v>4266</v>
      </c>
      <c r="N3799" s="0" t="n">
        <v>6</v>
      </c>
      <c r="O3799" s="0" t="n">
        <v>70.74</v>
      </c>
      <c r="P3799" s="0" t="s">
        <v>2444</v>
      </c>
    </row>
    <row r="3800" customFormat="false" ht="15" hidden="false" customHeight="true" outlineLevel="0" collapsed="false">
      <c r="A3800" s="0" t="n">
        <v>2</v>
      </c>
      <c r="B3800" s="71" t="n">
        <v>46218</v>
      </c>
      <c r="C3800" s="0" t="n">
        <v>11</v>
      </c>
      <c r="D3800" s="0" t="s">
        <v>2471</v>
      </c>
      <c r="E3800" s="0" t="n">
        <v>1636</v>
      </c>
      <c r="F3800" s="0" t="s">
        <v>61</v>
      </c>
      <c r="I3800" s="0" t="n">
        <v>3218196</v>
      </c>
      <c r="J3800" s="0" t="n">
        <v>19273</v>
      </c>
      <c r="K3800" s="0" t="n">
        <v>7891150027848</v>
      </c>
      <c r="L3800" s="0" t="s">
        <v>4267</v>
      </c>
      <c r="N3800" s="0" t="n">
        <v>6</v>
      </c>
      <c r="O3800" s="0" t="n">
        <v>66.9</v>
      </c>
      <c r="P3800" s="0" t="s">
        <v>2444</v>
      </c>
    </row>
    <row r="3801" customFormat="false" ht="15" hidden="false" customHeight="true" outlineLevel="0" collapsed="false">
      <c r="A3801" s="0" t="n">
        <v>2</v>
      </c>
      <c r="B3801" s="71" t="n">
        <v>46218</v>
      </c>
      <c r="C3801" s="0" t="n">
        <v>11</v>
      </c>
      <c r="D3801" s="0" t="s">
        <v>2471</v>
      </c>
      <c r="E3801" s="0" t="n">
        <v>1636</v>
      </c>
      <c r="F3801" s="0" t="s">
        <v>61</v>
      </c>
      <c r="I3801" s="0" t="n">
        <v>3218196</v>
      </c>
      <c r="J3801" s="0" t="n">
        <v>21988</v>
      </c>
      <c r="K3801" s="0" t="n">
        <v>7891150022027</v>
      </c>
      <c r="L3801" s="0" t="s">
        <v>4268</v>
      </c>
      <c r="N3801" s="0" t="n">
        <v>6</v>
      </c>
      <c r="O3801" s="0" t="n">
        <v>90.54</v>
      </c>
      <c r="P3801" s="0" t="s">
        <v>2444</v>
      </c>
    </row>
    <row r="3802" customFormat="false" ht="15" hidden="false" customHeight="true" outlineLevel="0" collapsed="false">
      <c r="A3802" s="0" t="n">
        <v>2</v>
      </c>
      <c r="B3802" s="71" t="n">
        <v>46218</v>
      </c>
      <c r="C3802" s="0" t="n">
        <v>11</v>
      </c>
      <c r="D3802" s="0" t="s">
        <v>2471</v>
      </c>
      <c r="E3802" s="0" t="n">
        <v>1636</v>
      </c>
      <c r="F3802" s="0" t="s">
        <v>61</v>
      </c>
      <c r="I3802" s="0" t="n">
        <v>3218196</v>
      </c>
      <c r="J3802" s="0" t="n">
        <v>29235</v>
      </c>
      <c r="K3802" s="0" t="n">
        <v>7891150064539</v>
      </c>
      <c r="L3802" s="0" t="s">
        <v>4269</v>
      </c>
      <c r="N3802" s="0" t="n">
        <v>16</v>
      </c>
      <c r="O3802" s="0" t="n">
        <v>214.24</v>
      </c>
      <c r="P3802" s="0" t="s">
        <v>2444</v>
      </c>
    </row>
    <row r="3803" customFormat="false" ht="15" hidden="false" customHeight="true" outlineLevel="0" collapsed="false">
      <c r="A3803" s="0" t="n">
        <v>2</v>
      </c>
      <c r="B3803" s="71" t="n">
        <v>46218</v>
      </c>
      <c r="C3803" s="0" t="n">
        <v>11</v>
      </c>
      <c r="D3803" s="0" t="s">
        <v>2471</v>
      </c>
      <c r="E3803" s="0" t="n">
        <v>1636</v>
      </c>
      <c r="F3803" s="0" t="s">
        <v>61</v>
      </c>
      <c r="I3803" s="0" t="n">
        <v>3218196</v>
      </c>
      <c r="J3803" s="0" t="n">
        <v>29883</v>
      </c>
      <c r="K3803" s="0" t="n">
        <v>7891150064652</v>
      </c>
      <c r="L3803" s="0" t="s">
        <v>4270</v>
      </c>
      <c r="N3803" s="0" t="n">
        <v>10</v>
      </c>
      <c r="O3803" s="0" t="n">
        <v>133.9</v>
      </c>
      <c r="P3803" s="0" t="s">
        <v>2444</v>
      </c>
    </row>
    <row r="3804" customFormat="false" ht="15" hidden="false" customHeight="true" outlineLevel="0" collapsed="false">
      <c r="A3804" s="0" t="n">
        <v>2</v>
      </c>
      <c r="B3804" s="71" t="n">
        <v>46218</v>
      </c>
      <c r="C3804" s="0" t="n">
        <v>11</v>
      </c>
      <c r="D3804" s="0" t="s">
        <v>2471</v>
      </c>
      <c r="E3804" s="0" t="n">
        <v>1636</v>
      </c>
      <c r="F3804" s="0" t="s">
        <v>61</v>
      </c>
      <c r="I3804" s="0" t="n">
        <v>3218196</v>
      </c>
      <c r="J3804" s="0" t="n">
        <v>30152</v>
      </c>
      <c r="K3804" s="0" t="n">
        <v>7891150064522</v>
      </c>
      <c r="L3804" s="0" t="s">
        <v>4271</v>
      </c>
      <c r="N3804" s="0" t="n">
        <v>27</v>
      </c>
      <c r="O3804" s="0" t="n">
        <v>215.72</v>
      </c>
      <c r="P3804" s="0" t="s">
        <v>2444</v>
      </c>
    </row>
    <row r="3805" customFormat="false" ht="15" hidden="false" customHeight="true" outlineLevel="0" collapsed="false">
      <c r="A3805" s="0" t="n">
        <v>2</v>
      </c>
      <c r="B3805" s="71" t="n">
        <v>46218</v>
      </c>
      <c r="C3805" s="0" t="n">
        <v>11</v>
      </c>
      <c r="D3805" s="0" t="s">
        <v>2471</v>
      </c>
      <c r="E3805" s="0" t="n">
        <v>1636</v>
      </c>
      <c r="F3805" s="0" t="s">
        <v>61</v>
      </c>
      <c r="I3805" s="0" t="n">
        <v>3218196</v>
      </c>
      <c r="J3805" s="0" t="n">
        <v>30904</v>
      </c>
      <c r="K3805" s="0" t="n">
        <v>7891150012370</v>
      </c>
      <c r="L3805" s="0" t="s">
        <v>4272</v>
      </c>
      <c r="N3805" s="0" t="n">
        <v>72</v>
      </c>
      <c r="O3805" s="0" t="n">
        <v>61.05</v>
      </c>
      <c r="P3805" s="0" t="s">
        <v>2444</v>
      </c>
    </row>
    <row r="3806" customFormat="false" ht="15" hidden="false" customHeight="true" outlineLevel="0" collapsed="false">
      <c r="A3806" s="0" t="n">
        <v>2</v>
      </c>
      <c r="B3806" s="71" t="n">
        <v>46218</v>
      </c>
      <c r="C3806" s="0" t="n">
        <v>11</v>
      </c>
      <c r="D3806" s="0" t="s">
        <v>2471</v>
      </c>
      <c r="E3806" s="0" t="n">
        <v>1636</v>
      </c>
      <c r="F3806" s="0" t="s">
        <v>61</v>
      </c>
      <c r="I3806" s="0" t="n">
        <v>3218196</v>
      </c>
      <c r="J3806" s="0" t="n">
        <v>33439</v>
      </c>
      <c r="K3806" s="0" t="n">
        <v>7891150064928</v>
      </c>
      <c r="L3806" s="0" t="s">
        <v>4273</v>
      </c>
      <c r="N3806" s="0" t="n">
        <v>6</v>
      </c>
      <c r="O3806" s="0" t="n">
        <v>81.9</v>
      </c>
      <c r="P3806" s="0" t="s">
        <v>2444</v>
      </c>
    </row>
    <row r="3807" customFormat="false" ht="15" hidden="false" customHeight="true" outlineLevel="0" collapsed="false">
      <c r="A3807" s="0" t="n">
        <v>2</v>
      </c>
      <c r="B3807" s="71" t="n">
        <v>46218</v>
      </c>
      <c r="C3807" s="0" t="n">
        <v>11</v>
      </c>
      <c r="D3807" s="0" t="s">
        <v>2471</v>
      </c>
      <c r="E3807" s="0" t="n">
        <v>1636</v>
      </c>
      <c r="F3807" s="0" t="s">
        <v>61</v>
      </c>
      <c r="I3807" s="0" t="n">
        <v>3218196</v>
      </c>
      <c r="J3807" s="0" t="n">
        <v>33442</v>
      </c>
      <c r="K3807" s="0" t="n">
        <v>7891150066519</v>
      </c>
      <c r="L3807" s="0" t="s">
        <v>4274</v>
      </c>
      <c r="N3807" s="0" t="n">
        <v>6</v>
      </c>
      <c r="O3807" s="0" t="n">
        <v>54.3</v>
      </c>
      <c r="P3807" s="0" t="s">
        <v>2444</v>
      </c>
    </row>
    <row r="3808" customFormat="false" ht="15" hidden="false" customHeight="true" outlineLevel="0" collapsed="false">
      <c r="A3808" s="0" t="n">
        <v>2</v>
      </c>
      <c r="B3808" s="71" t="n">
        <v>46218</v>
      </c>
      <c r="C3808" s="0" t="n">
        <v>11</v>
      </c>
      <c r="D3808" s="0" t="s">
        <v>2471</v>
      </c>
      <c r="E3808" s="0" t="n">
        <v>1636</v>
      </c>
      <c r="F3808" s="0" t="s">
        <v>61</v>
      </c>
      <c r="I3808" s="0" t="n">
        <v>3218196</v>
      </c>
      <c r="J3808" s="0" t="n">
        <v>34441</v>
      </c>
      <c r="K3808" s="0" t="n">
        <v>7891150057517</v>
      </c>
      <c r="L3808" s="0" t="s">
        <v>4275</v>
      </c>
      <c r="N3808" s="0" t="n">
        <v>6</v>
      </c>
      <c r="O3808" s="0" t="n">
        <v>69.9</v>
      </c>
      <c r="P3808" s="0" t="s">
        <v>2444</v>
      </c>
    </row>
    <row r="3809" customFormat="false" ht="15" hidden="false" customHeight="true" outlineLevel="0" collapsed="false">
      <c r="A3809" s="0" t="n">
        <v>2</v>
      </c>
      <c r="B3809" s="71" t="n">
        <v>46218</v>
      </c>
      <c r="C3809" s="0" t="n">
        <v>11</v>
      </c>
      <c r="D3809" s="0" t="s">
        <v>2471</v>
      </c>
      <c r="E3809" s="0" t="n">
        <v>1636</v>
      </c>
      <c r="F3809" s="0" t="s">
        <v>61</v>
      </c>
      <c r="I3809" s="0" t="n">
        <v>3218196</v>
      </c>
      <c r="J3809" s="0" t="n">
        <v>35492</v>
      </c>
      <c r="K3809" s="0" t="n">
        <v>7891150068261</v>
      </c>
      <c r="L3809" s="0" t="s">
        <v>4276</v>
      </c>
      <c r="N3809" s="0" t="n">
        <v>24</v>
      </c>
      <c r="O3809" s="0" t="n">
        <v>83.75</v>
      </c>
      <c r="P3809" s="0" t="s">
        <v>2444</v>
      </c>
    </row>
    <row r="3810" customFormat="false" ht="15" hidden="false" customHeight="true" outlineLevel="0" collapsed="false">
      <c r="A3810" s="0" t="n">
        <v>2</v>
      </c>
      <c r="B3810" s="71" t="n">
        <v>46218</v>
      </c>
      <c r="C3810" s="0" t="n">
        <v>11</v>
      </c>
      <c r="D3810" s="0" t="s">
        <v>2471</v>
      </c>
      <c r="E3810" s="0" t="n">
        <v>1636</v>
      </c>
      <c r="F3810" s="0" t="s">
        <v>61</v>
      </c>
      <c r="I3810" s="0" t="n">
        <v>3218196</v>
      </c>
      <c r="J3810" s="0" t="n">
        <v>38810</v>
      </c>
      <c r="K3810" s="0" t="n">
        <v>7891150080188</v>
      </c>
      <c r="L3810" s="0" t="s">
        <v>4277</v>
      </c>
      <c r="N3810" s="0" t="n">
        <v>10</v>
      </c>
      <c r="O3810" s="0" t="n">
        <v>133.9</v>
      </c>
      <c r="P3810" s="0" t="s">
        <v>2444</v>
      </c>
    </row>
    <row r="3811" customFormat="false" ht="15" hidden="false" customHeight="true" outlineLevel="0" collapsed="false">
      <c r="A3811" s="0" t="n">
        <v>2</v>
      </c>
      <c r="B3811" s="71" t="n">
        <v>46218</v>
      </c>
      <c r="C3811" s="0" t="n">
        <v>11</v>
      </c>
      <c r="D3811" s="0" t="s">
        <v>2471</v>
      </c>
      <c r="E3811" s="0" t="n">
        <v>1636</v>
      </c>
      <c r="F3811" s="0" t="s">
        <v>61</v>
      </c>
      <c r="I3811" s="0" t="n">
        <v>3218196</v>
      </c>
      <c r="J3811" s="0" t="n">
        <v>48384</v>
      </c>
      <c r="K3811" s="0" t="n">
        <v>7891150086432</v>
      </c>
      <c r="L3811" s="0" t="s">
        <v>4278</v>
      </c>
      <c r="N3811" s="0" t="n">
        <v>16</v>
      </c>
      <c r="O3811" s="0" t="n">
        <v>174.24</v>
      </c>
      <c r="P3811" s="0" t="s">
        <v>2444</v>
      </c>
    </row>
    <row r="3812" customFormat="false" ht="15" hidden="false" customHeight="true" outlineLevel="0" collapsed="false">
      <c r="A3812" s="0" t="n">
        <v>2</v>
      </c>
      <c r="B3812" s="71" t="n">
        <v>46218</v>
      </c>
      <c r="C3812" s="0" t="n">
        <v>11</v>
      </c>
      <c r="D3812" s="0" t="s">
        <v>2471</v>
      </c>
      <c r="E3812" s="0" t="n">
        <v>1636</v>
      </c>
      <c r="F3812" s="0" t="s">
        <v>61</v>
      </c>
      <c r="I3812" s="0" t="n">
        <v>3218196</v>
      </c>
      <c r="J3812" s="0" t="n">
        <v>62142</v>
      </c>
      <c r="K3812" s="0" t="n">
        <v>7891150078413</v>
      </c>
      <c r="L3812" s="0" t="s">
        <v>4279</v>
      </c>
      <c r="N3812" s="0" t="n">
        <v>6</v>
      </c>
      <c r="O3812" s="0" t="n">
        <v>81.9</v>
      </c>
      <c r="P3812" s="0" t="s">
        <v>2444</v>
      </c>
    </row>
    <row r="3813" customFormat="false" ht="15" hidden="false" customHeight="true" outlineLevel="0" collapsed="false">
      <c r="A3813" s="0" t="n">
        <v>2</v>
      </c>
      <c r="B3813" s="71" t="n">
        <v>46218</v>
      </c>
      <c r="C3813" s="0" t="n">
        <v>11</v>
      </c>
      <c r="D3813" s="0" t="s">
        <v>2471</v>
      </c>
      <c r="E3813" s="0" t="n">
        <v>1636</v>
      </c>
      <c r="F3813" s="0" t="s">
        <v>61</v>
      </c>
      <c r="I3813" s="0" t="n">
        <v>3218196</v>
      </c>
      <c r="J3813" s="0" t="n">
        <v>64617</v>
      </c>
      <c r="K3813" s="0" t="n">
        <v>7891150092723</v>
      </c>
      <c r="L3813" s="0" t="s">
        <v>4280</v>
      </c>
      <c r="N3813" s="0" t="n">
        <v>6</v>
      </c>
      <c r="O3813" s="0" t="n">
        <v>49.74</v>
      </c>
      <c r="P3813" s="0" t="s">
        <v>2444</v>
      </c>
    </row>
    <row r="3814" customFormat="false" ht="15" hidden="false" customHeight="true" outlineLevel="0" collapsed="false">
      <c r="A3814" s="0" t="n">
        <v>2</v>
      </c>
      <c r="B3814" s="71" t="n">
        <v>46218</v>
      </c>
      <c r="C3814" s="0" t="n">
        <v>11</v>
      </c>
      <c r="D3814" s="0" t="s">
        <v>2471</v>
      </c>
      <c r="E3814" s="0" t="n">
        <v>1636</v>
      </c>
      <c r="F3814" s="0" t="s">
        <v>61</v>
      </c>
      <c r="I3814" s="0" t="n">
        <v>3218196</v>
      </c>
      <c r="J3814" s="0" t="n">
        <v>64676</v>
      </c>
      <c r="K3814" s="0" t="n">
        <v>7891150092754</v>
      </c>
      <c r="L3814" s="0" t="s">
        <v>4281</v>
      </c>
      <c r="N3814" s="0" t="n">
        <v>6</v>
      </c>
      <c r="O3814" s="0" t="n">
        <v>49.74</v>
      </c>
      <c r="P3814" s="0" t="s">
        <v>2444</v>
      </c>
    </row>
    <row r="3815" customFormat="false" ht="15" hidden="false" customHeight="true" outlineLevel="0" collapsed="false">
      <c r="A3815" s="0" t="n">
        <v>2</v>
      </c>
      <c r="B3815" s="71" t="n">
        <v>46218</v>
      </c>
      <c r="C3815" s="0" t="n">
        <v>11</v>
      </c>
      <c r="D3815" s="0" t="s">
        <v>2471</v>
      </c>
      <c r="E3815" s="0" t="n">
        <v>1636</v>
      </c>
      <c r="F3815" s="0" t="s">
        <v>61</v>
      </c>
      <c r="I3815" s="0" t="n">
        <v>3218196</v>
      </c>
      <c r="J3815" s="0" t="n">
        <v>69198</v>
      </c>
      <c r="K3815" s="0" t="n">
        <v>7891150092716</v>
      </c>
      <c r="L3815" s="0" t="s">
        <v>4282</v>
      </c>
      <c r="N3815" s="0" t="n">
        <v>6</v>
      </c>
      <c r="O3815" s="0" t="n">
        <v>49.74</v>
      </c>
      <c r="P3815" s="0" t="s">
        <v>2444</v>
      </c>
    </row>
    <row r="3816" customFormat="false" ht="15" hidden="false" customHeight="true" outlineLevel="0" collapsed="false">
      <c r="A3816" s="0" t="n">
        <v>2</v>
      </c>
      <c r="B3816" s="71" t="n">
        <v>46218</v>
      </c>
      <c r="C3816" s="0" t="n">
        <v>11</v>
      </c>
      <c r="D3816" s="0" t="s">
        <v>2471</v>
      </c>
      <c r="E3816" s="0" t="n">
        <v>1636</v>
      </c>
      <c r="F3816" s="0" t="s">
        <v>61</v>
      </c>
      <c r="I3816" s="0" t="n">
        <v>3218196</v>
      </c>
      <c r="J3816" s="0" t="n">
        <v>71370</v>
      </c>
      <c r="K3816" s="0" t="n">
        <v>7891150097544</v>
      </c>
      <c r="L3816" s="0" t="s">
        <v>3766</v>
      </c>
      <c r="N3816" s="0" t="n">
        <v>81</v>
      </c>
      <c r="O3816" s="0" t="n">
        <v>242.19</v>
      </c>
      <c r="P3816" s="0" t="s">
        <v>2444</v>
      </c>
    </row>
    <row r="3817" customFormat="false" ht="15" hidden="false" customHeight="true" outlineLevel="0" collapsed="false">
      <c r="A3817" s="0" t="n">
        <v>2</v>
      </c>
      <c r="B3817" s="71" t="n">
        <v>46218</v>
      </c>
      <c r="C3817" s="0" t="n">
        <v>11</v>
      </c>
      <c r="D3817" s="0" t="s">
        <v>2471</v>
      </c>
      <c r="E3817" s="0" t="n">
        <v>1636</v>
      </c>
      <c r="F3817" s="0" t="s">
        <v>61</v>
      </c>
      <c r="I3817" s="0" t="n">
        <v>3218196</v>
      </c>
      <c r="J3817" s="0" t="n">
        <v>71371</v>
      </c>
      <c r="K3817" s="0" t="n">
        <v>7891150097582</v>
      </c>
      <c r="L3817" s="0" t="s">
        <v>4283</v>
      </c>
      <c r="N3817" s="0" t="n">
        <v>32</v>
      </c>
      <c r="O3817" s="0" t="n">
        <v>193.61</v>
      </c>
      <c r="P3817" s="0" t="s">
        <v>2444</v>
      </c>
    </row>
    <row r="3818" customFormat="false" ht="15" hidden="false" customHeight="true" outlineLevel="0" collapsed="false">
      <c r="A3818" s="0" t="n">
        <v>2</v>
      </c>
      <c r="B3818" s="71" t="n">
        <v>46218</v>
      </c>
      <c r="C3818" s="0" t="n">
        <v>11</v>
      </c>
      <c r="D3818" s="0" t="s">
        <v>2471</v>
      </c>
      <c r="E3818" s="0" t="n">
        <v>1636</v>
      </c>
      <c r="F3818" s="0" t="s">
        <v>61</v>
      </c>
      <c r="I3818" s="0" t="n">
        <v>3218196</v>
      </c>
      <c r="J3818" s="0" t="n">
        <v>71372</v>
      </c>
      <c r="K3818" s="0" t="n">
        <v>7891150097612</v>
      </c>
      <c r="L3818" s="0" t="s">
        <v>4284</v>
      </c>
      <c r="N3818" s="0" t="n">
        <v>32</v>
      </c>
      <c r="O3818" s="0" t="n">
        <v>193.61</v>
      </c>
      <c r="P3818" s="0" t="s">
        <v>2444</v>
      </c>
    </row>
    <row r="3819" customFormat="false" ht="15" hidden="false" customHeight="true" outlineLevel="0" collapsed="false">
      <c r="A3819" s="0" t="n">
        <v>2</v>
      </c>
      <c r="B3819" s="71" t="n">
        <v>46218</v>
      </c>
      <c r="C3819" s="0" t="n">
        <v>11</v>
      </c>
      <c r="D3819" s="0" t="s">
        <v>2471</v>
      </c>
      <c r="E3819" s="0" t="n">
        <v>1636</v>
      </c>
      <c r="F3819" s="0" t="s">
        <v>61</v>
      </c>
      <c r="I3819" s="0" t="n">
        <v>3218196</v>
      </c>
      <c r="J3819" s="0" t="n">
        <v>71373</v>
      </c>
      <c r="K3819" s="0" t="n">
        <v>7891150097575</v>
      </c>
      <c r="L3819" s="0" t="s">
        <v>3767</v>
      </c>
      <c r="N3819" s="0" t="n">
        <v>81</v>
      </c>
      <c r="O3819" s="0" t="n">
        <v>242.19</v>
      </c>
      <c r="P3819" s="0" t="s">
        <v>2444</v>
      </c>
    </row>
    <row r="3820" customFormat="false" ht="15" hidden="false" customHeight="true" outlineLevel="0" collapsed="false">
      <c r="A3820" s="0" t="n">
        <v>2</v>
      </c>
      <c r="B3820" s="71" t="n">
        <v>46218</v>
      </c>
      <c r="C3820" s="0" t="n">
        <v>11</v>
      </c>
      <c r="D3820" s="0" t="s">
        <v>2471</v>
      </c>
      <c r="E3820" s="0" t="n">
        <v>1636</v>
      </c>
      <c r="F3820" s="0" t="s">
        <v>61</v>
      </c>
      <c r="I3820" s="0" t="n">
        <v>3218196</v>
      </c>
      <c r="J3820" s="0" t="n">
        <v>71624</v>
      </c>
      <c r="K3820" s="0" t="n">
        <v>7891150097568</v>
      </c>
      <c r="L3820" s="0" t="s">
        <v>3768</v>
      </c>
      <c r="N3820" s="0" t="n">
        <v>81</v>
      </c>
      <c r="O3820" s="0" t="n">
        <v>242.19</v>
      </c>
      <c r="P3820" s="0" t="s">
        <v>2444</v>
      </c>
    </row>
    <row r="3821" customFormat="false" ht="15" hidden="false" customHeight="true" outlineLevel="0" collapsed="false">
      <c r="A3821" s="0" t="n">
        <v>2</v>
      </c>
      <c r="B3821" s="71" t="n">
        <v>46218</v>
      </c>
      <c r="C3821" s="0" t="n">
        <v>11</v>
      </c>
      <c r="D3821" s="0" t="s">
        <v>2471</v>
      </c>
      <c r="E3821" s="0" t="n">
        <v>1636</v>
      </c>
      <c r="F3821" s="0" t="s">
        <v>61</v>
      </c>
      <c r="I3821" s="0" t="n">
        <v>3218196</v>
      </c>
      <c r="J3821" s="0" t="n">
        <v>71625</v>
      </c>
      <c r="K3821" s="0" t="n">
        <v>7891150097537</v>
      </c>
      <c r="L3821" s="0" t="s">
        <v>4285</v>
      </c>
      <c r="N3821" s="0" t="n">
        <v>32</v>
      </c>
      <c r="O3821" s="0" t="n">
        <v>193.61</v>
      </c>
      <c r="P3821" s="0" t="s">
        <v>2444</v>
      </c>
    </row>
    <row r="3822" customFormat="false" ht="15" hidden="false" customHeight="true" outlineLevel="0" collapsed="false">
      <c r="A3822" s="0" t="n">
        <v>2</v>
      </c>
      <c r="B3822" s="71" t="n">
        <v>46218</v>
      </c>
      <c r="C3822" s="0" t="n">
        <v>11</v>
      </c>
      <c r="D3822" s="0" t="s">
        <v>2471</v>
      </c>
      <c r="E3822" s="0" t="n">
        <v>1636</v>
      </c>
      <c r="F3822" s="0" t="s">
        <v>61</v>
      </c>
      <c r="I3822" s="0" t="n">
        <v>3218196</v>
      </c>
      <c r="J3822" s="0" t="n">
        <v>71626</v>
      </c>
      <c r="K3822" s="0" t="n">
        <v>7891150097551</v>
      </c>
      <c r="L3822" s="0" t="s">
        <v>4285</v>
      </c>
      <c r="N3822" s="0" t="n">
        <v>32</v>
      </c>
      <c r="O3822" s="0" t="n">
        <v>193.61</v>
      </c>
      <c r="P3822" s="0" t="s">
        <v>2444</v>
      </c>
    </row>
    <row r="3823" customFormat="false" ht="15" hidden="false" customHeight="true" outlineLevel="0" collapsed="false">
      <c r="A3823" s="0" t="n">
        <v>2</v>
      </c>
      <c r="B3823" s="71" t="n">
        <v>46218</v>
      </c>
      <c r="C3823" s="0" t="n">
        <v>11</v>
      </c>
      <c r="D3823" s="0" t="s">
        <v>2471</v>
      </c>
      <c r="E3823" s="0" t="n">
        <v>1636</v>
      </c>
      <c r="F3823" s="0" t="s">
        <v>61</v>
      </c>
      <c r="I3823" s="0" t="n">
        <v>3218196</v>
      </c>
      <c r="J3823" s="0" t="n">
        <v>72229</v>
      </c>
      <c r="K3823" s="0" t="n">
        <v>7891150097605</v>
      </c>
      <c r="L3823" s="0" t="s">
        <v>3768</v>
      </c>
      <c r="N3823" s="0" t="n">
        <v>81</v>
      </c>
      <c r="O3823" s="0" t="n">
        <v>242.19</v>
      </c>
      <c r="P3823" s="0" t="s">
        <v>2444</v>
      </c>
    </row>
    <row r="3824" customFormat="false" ht="15" hidden="false" customHeight="true" outlineLevel="0" collapsed="false">
      <c r="A3824" s="0" t="n">
        <v>2</v>
      </c>
      <c r="B3824" s="71" t="n">
        <v>46218</v>
      </c>
      <c r="C3824" s="0" t="n">
        <v>11</v>
      </c>
      <c r="D3824" s="0" t="s">
        <v>2471</v>
      </c>
      <c r="E3824" s="0" t="n">
        <v>1636</v>
      </c>
      <c r="F3824" s="0" t="s">
        <v>61</v>
      </c>
      <c r="I3824" s="0" t="n">
        <v>3218196</v>
      </c>
      <c r="J3824" s="0" t="n">
        <v>80517</v>
      </c>
      <c r="K3824" s="0" t="n">
        <v>7891150108622</v>
      </c>
      <c r="L3824" s="0" t="s">
        <v>4286</v>
      </c>
      <c r="N3824" s="0" t="n">
        <v>12</v>
      </c>
      <c r="O3824" s="0" t="n">
        <v>125.05</v>
      </c>
      <c r="P3824" s="0" t="s">
        <v>2444</v>
      </c>
    </row>
    <row r="3825" customFormat="false" ht="15" hidden="false" customHeight="true" outlineLevel="0" collapsed="false">
      <c r="A3825" s="0" t="n">
        <v>2</v>
      </c>
      <c r="B3825" s="71" t="n">
        <v>46218</v>
      </c>
      <c r="C3825" s="0" t="n">
        <v>11</v>
      </c>
      <c r="D3825" s="0" t="s">
        <v>2471</v>
      </c>
      <c r="E3825" s="0" t="n">
        <v>1636</v>
      </c>
      <c r="F3825" s="0" t="s">
        <v>61</v>
      </c>
      <c r="I3825" s="0" t="n">
        <v>3218198</v>
      </c>
      <c r="J3825" s="0" t="n">
        <v>109905</v>
      </c>
      <c r="K3825" s="0" t="n">
        <v>7501007499758</v>
      </c>
      <c r="L3825" s="0" t="s">
        <v>4287</v>
      </c>
      <c r="N3825" s="0" t="n">
        <v>12</v>
      </c>
      <c r="O3825" s="0" t="n">
        <v>59.75</v>
      </c>
      <c r="P3825" s="0" t="s">
        <v>2444</v>
      </c>
    </row>
    <row r="3826" customFormat="false" ht="15" hidden="false" customHeight="true" outlineLevel="0" collapsed="false">
      <c r="A3826" s="0" t="n">
        <v>2</v>
      </c>
      <c r="B3826" s="71" t="n">
        <v>46218</v>
      </c>
      <c r="C3826" s="0" t="n">
        <v>11</v>
      </c>
      <c r="D3826" s="0" t="s">
        <v>2471</v>
      </c>
      <c r="E3826" s="0" t="n">
        <v>1636</v>
      </c>
      <c r="F3826" s="0" t="s">
        <v>61</v>
      </c>
      <c r="I3826" s="0" t="n">
        <v>3218198</v>
      </c>
      <c r="J3826" s="0" t="n">
        <v>11610</v>
      </c>
      <c r="K3826" s="0" t="n">
        <v>7702018118823</v>
      </c>
      <c r="L3826" s="0" t="s">
        <v>4288</v>
      </c>
      <c r="N3826" s="0" t="n">
        <v>84</v>
      </c>
      <c r="O3826" s="0" t="n">
        <v>110</v>
      </c>
      <c r="P3826" s="0" t="s">
        <v>2444</v>
      </c>
    </row>
    <row r="3827" customFormat="false" ht="15" hidden="false" customHeight="true" outlineLevel="0" collapsed="false">
      <c r="A3827" s="0" t="n">
        <v>2</v>
      </c>
      <c r="B3827" s="71" t="n">
        <v>46218</v>
      </c>
      <c r="C3827" s="0" t="n">
        <v>11</v>
      </c>
      <c r="D3827" s="0" t="s">
        <v>2471</v>
      </c>
      <c r="E3827" s="0" t="n">
        <v>1636</v>
      </c>
      <c r="F3827" s="0" t="s">
        <v>61</v>
      </c>
      <c r="I3827" s="0" t="n">
        <v>3218198</v>
      </c>
      <c r="J3827" s="0" t="n">
        <v>14290</v>
      </c>
      <c r="K3827" s="0" t="n">
        <v>7506195143834</v>
      </c>
      <c r="L3827" s="0" t="s">
        <v>4289</v>
      </c>
      <c r="N3827" s="0" t="n">
        <v>24</v>
      </c>
      <c r="O3827" s="0" t="n">
        <v>221.18</v>
      </c>
      <c r="P3827" s="0" t="s">
        <v>2444</v>
      </c>
    </row>
    <row r="3828" customFormat="false" ht="15" hidden="false" customHeight="true" outlineLevel="0" collapsed="false">
      <c r="A3828" s="0" t="n">
        <v>2</v>
      </c>
      <c r="B3828" s="71" t="n">
        <v>46218</v>
      </c>
      <c r="C3828" s="0" t="n">
        <v>11</v>
      </c>
      <c r="D3828" s="0" t="s">
        <v>2471</v>
      </c>
      <c r="E3828" s="0" t="n">
        <v>1636</v>
      </c>
      <c r="F3828" s="0" t="s">
        <v>61</v>
      </c>
      <c r="I3828" s="0" t="n">
        <v>3218198</v>
      </c>
      <c r="J3828" s="0" t="n">
        <v>14494</v>
      </c>
      <c r="K3828" s="0" t="n">
        <v>7506195143872</v>
      </c>
      <c r="L3828" s="0" t="s">
        <v>4290</v>
      </c>
      <c r="N3828" s="0" t="n">
        <v>24</v>
      </c>
      <c r="O3828" s="0" t="n">
        <v>221.18</v>
      </c>
      <c r="P3828" s="0" t="s">
        <v>2444</v>
      </c>
    </row>
    <row r="3829" customFormat="false" ht="15" hidden="false" customHeight="true" outlineLevel="0" collapsed="false">
      <c r="A3829" s="0" t="n">
        <v>2</v>
      </c>
      <c r="B3829" s="71" t="n">
        <v>46218</v>
      </c>
      <c r="C3829" s="0" t="n">
        <v>11</v>
      </c>
      <c r="D3829" s="0" t="s">
        <v>2471</v>
      </c>
      <c r="E3829" s="0" t="n">
        <v>1636</v>
      </c>
      <c r="F3829" s="0" t="s">
        <v>61</v>
      </c>
      <c r="I3829" s="0" t="n">
        <v>3218198</v>
      </c>
      <c r="J3829" s="0" t="n">
        <v>14670</v>
      </c>
      <c r="K3829" s="0" t="n">
        <v>7506195143858</v>
      </c>
      <c r="L3829" s="0" t="s">
        <v>4291</v>
      </c>
      <c r="N3829" s="0" t="n">
        <v>24</v>
      </c>
      <c r="O3829" s="0" t="n">
        <v>221.18</v>
      </c>
      <c r="P3829" s="0" t="s">
        <v>2444</v>
      </c>
    </row>
    <row r="3830" customFormat="false" ht="15" hidden="false" customHeight="true" outlineLevel="0" collapsed="false">
      <c r="A3830" s="0" t="n">
        <v>2</v>
      </c>
      <c r="B3830" s="71" t="n">
        <v>46218</v>
      </c>
      <c r="C3830" s="0" t="n">
        <v>11</v>
      </c>
      <c r="D3830" s="0" t="s">
        <v>2471</v>
      </c>
      <c r="E3830" s="0" t="n">
        <v>1636</v>
      </c>
      <c r="F3830" s="0" t="s">
        <v>61</v>
      </c>
      <c r="I3830" s="0" t="n">
        <v>3218198</v>
      </c>
      <c r="J3830" s="0" t="n">
        <v>16820</v>
      </c>
      <c r="K3830" s="0" t="n">
        <v>7702018874781</v>
      </c>
      <c r="L3830" s="0" t="s">
        <v>4292</v>
      </c>
      <c r="N3830" s="0" t="n">
        <v>6</v>
      </c>
      <c r="O3830" s="0" t="n">
        <v>82.81</v>
      </c>
      <c r="P3830" s="0" t="s">
        <v>2444</v>
      </c>
    </row>
    <row r="3831" customFormat="false" ht="15" hidden="false" customHeight="true" outlineLevel="0" collapsed="false">
      <c r="A3831" s="0" t="n">
        <v>2</v>
      </c>
      <c r="B3831" s="71" t="n">
        <v>46218</v>
      </c>
      <c r="C3831" s="0" t="n">
        <v>11</v>
      </c>
      <c r="D3831" s="0" t="s">
        <v>2471</v>
      </c>
      <c r="E3831" s="0" t="n">
        <v>1636</v>
      </c>
      <c r="F3831" s="0" t="s">
        <v>61</v>
      </c>
      <c r="I3831" s="0" t="n">
        <v>3218198</v>
      </c>
      <c r="J3831" s="0" t="n">
        <v>17674</v>
      </c>
      <c r="K3831" s="0" t="n">
        <v>7506295338901</v>
      </c>
      <c r="L3831" s="0" t="s">
        <v>4293</v>
      </c>
      <c r="N3831" s="0" t="n">
        <v>6</v>
      </c>
      <c r="O3831" s="0" t="n">
        <v>68.97</v>
      </c>
      <c r="P3831" s="0" t="s">
        <v>2444</v>
      </c>
    </row>
    <row r="3832" customFormat="false" ht="15" hidden="false" customHeight="true" outlineLevel="0" collapsed="false">
      <c r="A3832" s="0" t="n">
        <v>2</v>
      </c>
      <c r="B3832" s="71" t="n">
        <v>46218</v>
      </c>
      <c r="C3832" s="0" t="n">
        <v>11</v>
      </c>
      <c r="D3832" s="0" t="s">
        <v>2471</v>
      </c>
      <c r="E3832" s="0" t="n">
        <v>1636</v>
      </c>
      <c r="F3832" s="0" t="s">
        <v>61</v>
      </c>
      <c r="I3832" s="0" t="n">
        <v>3218198</v>
      </c>
      <c r="J3832" s="0" t="n">
        <v>18381</v>
      </c>
      <c r="K3832" s="0" t="n">
        <v>7500435244688</v>
      </c>
      <c r="L3832" s="0" t="s">
        <v>4294</v>
      </c>
      <c r="N3832" s="0" t="n">
        <v>36</v>
      </c>
      <c r="O3832" s="0" t="n">
        <v>128.59</v>
      </c>
      <c r="P3832" s="0" t="s">
        <v>2444</v>
      </c>
    </row>
    <row r="3833" customFormat="false" ht="15" hidden="false" customHeight="true" outlineLevel="0" collapsed="false">
      <c r="A3833" s="0" t="n">
        <v>2</v>
      </c>
      <c r="B3833" s="71" t="n">
        <v>46218</v>
      </c>
      <c r="C3833" s="0" t="n">
        <v>11</v>
      </c>
      <c r="D3833" s="0" t="s">
        <v>2471</v>
      </c>
      <c r="E3833" s="0" t="n">
        <v>1636</v>
      </c>
      <c r="F3833" s="0" t="s">
        <v>61</v>
      </c>
      <c r="I3833" s="0" t="n">
        <v>3218198</v>
      </c>
      <c r="J3833" s="0" t="n">
        <v>21100</v>
      </c>
      <c r="K3833" s="0" t="n">
        <v>7506339337525</v>
      </c>
      <c r="L3833" s="0" t="s">
        <v>4295</v>
      </c>
      <c r="N3833" s="0" t="n">
        <v>6</v>
      </c>
      <c r="O3833" s="0" t="n">
        <v>82.81</v>
      </c>
      <c r="P3833" s="0" t="s">
        <v>2444</v>
      </c>
    </row>
    <row r="3834" customFormat="false" ht="15" hidden="false" customHeight="true" outlineLevel="0" collapsed="false">
      <c r="A3834" s="0" t="n">
        <v>2</v>
      </c>
      <c r="B3834" s="71" t="n">
        <v>46218</v>
      </c>
      <c r="C3834" s="0" t="n">
        <v>11</v>
      </c>
      <c r="D3834" s="0" t="s">
        <v>2471</v>
      </c>
      <c r="E3834" s="0" t="n">
        <v>1636</v>
      </c>
      <c r="F3834" s="0" t="s">
        <v>61</v>
      </c>
      <c r="I3834" s="0" t="n">
        <v>3218198</v>
      </c>
      <c r="J3834" s="0" t="n">
        <v>21723</v>
      </c>
      <c r="K3834" s="0" t="n">
        <v>7506339394603</v>
      </c>
      <c r="L3834" s="0" t="s">
        <v>3272</v>
      </c>
      <c r="N3834" s="0" t="n">
        <v>24</v>
      </c>
      <c r="O3834" s="0" t="n">
        <v>165.6</v>
      </c>
      <c r="P3834" s="0" t="s">
        <v>2444</v>
      </c>
    </row>
    <row r="3835" customFormat="false" ht="15" hidden="false" customHeight="true" outlineLevel="0" collapsed="false">
      <c r="A3835" s="0" t="n">
        <v>2</v>
      </c>
      <c r="B3835" s="71" t="n">
        <v>46218</v>
      </c>
      <c r="C3835" s="0" t="n">
        <v>11</v>
      </c>
      <c r="D3835" s="0" t="s">
        <v>2471</v>
      </c>
      <c r="E3835" s="0" t="n">
        <v>1636</v>
      </c>
      <c r="F3835" s="0" t="s">
        <v>61</v>
      </c>
      <c r="I3835" s="0" t="n">
        <v>3218198</v>
      </c>
      <c r="J3835" s="0" t="n">
        <v>21807</v>
      </c>
      <c r="K3835" s="0" t="n">
        <v>7506339394535</v>
      </c>
      <c r="L3835" s="0" t="s">
        <v>3273</v>
      </c>
      <c r="N3835" s="0" t="n">
        <v>12</v>
      </c>
      <c r="O3835" s="0" t="n">
        <v>82.8</v>
      </c>
      <c r="P3835" s="0" t="s">
        <v>2444</v>
      </c>
    </row>
    <row r="3836" customFormat="false" ht="15" hidden="false" customHeight="true" outlineLevel="0" collapsed="false">
      <c r="A3836" s="0" t="n">
        <v>2</v>
      </c>
      <c r="B3836" s="71" t="n">
        <v>46218</v>
      </c>
      <c r="C3836" s="0" t="n">
        <v>11</v>
      </c>
      <c r="D3836" s="0" t="s">
        <v>2471</v>
      </c>
      <c r="E3836" s="0" t="n">
        <v>1636</v>
      </c>
      <c r="F3836" s="0" t="s">
        <v>61</v>
      </c>
      <c r="I3836" s="0" t="n">
        <v>3218198</v>
      </c>
      <c r="J3836" s="0" t="n">
        <v>21921</v>
      </c>
      <c r="K3836" s="0" t="n">
        <v>7506339326031</v>
      </c>
      <c r="L3836" s="0" t="s">
        <v>4296</v>
      </c>
      <c r="N3836" s="0" t="n">
        <v>12</v>
      </c>
      <c r="O3836" s="0" t="n">
        <v>150.19</v>
      </c>
      <c r="P3836" s="0" t="s">
        <v>2444</v>
      </c>
    </row>
    <row r="3837" customFormat="false" ht="15" hidden="false" customHeight="true" outlineLevel="0" collapsed="false">
      <c r="A3837" s="0" t="n">
        <v>2</v>
      </c>
      <c r="B3837" s="71" t="n">
        <v>46218</v>
      </c>
      <c r="C3837" s="0" t="n">
        <v>11</v>
      </c>
      <c r="D3837" s="0" t="s">
        <v>2471</v>
      </c>
      <c r="E3837" s="0" t="n">
        <v>1636</v>
      </c>
      <c r="F3837" s="0" t="s">
        <v>61</v>
      </c>
      <c r="I3837" s="0" t="n">
        <v>3218198</v>
      </c>
      <c r="J3837" s="0" t="n">
        <v>22737</v>
      </c>
      <c r="K3837" s="0" t="n">
        <v>7506339326055</v>
      </c>
      <c r="L3837" s="0" t="s">
        <v>4297</v>
      </c>
      <c r="N3837" s="0" t="n">
        <v>6</v>
      </c>
      <c r="O3837" s="0" t="n">
        <v>148.28</v>
      </c>
      <c r="P3837" s="0" t="s">
        <v>2444</v>
      </c>
    </row>
    <row r="3838" customFormat="false" ht="15" hidden="false" customHeight="true" outlineLevel="0" collapsed="false">
      <c r="A3838" s="0" t="n">
        <v>2</v>
      </c>
      <c r="B3838" s="71" t="n">
        <v>46218</v>
      </c>
      <c r="C3838" s="0" t="n">
        <v>11</v>
      </c>
      <c r="D3838" s="0" t="s">
        <v>2471</v>
      </c>
      <c r="E3838" s="0" t="n">
        <v>1636</v>
      </c>
      <c r="F3838" s="0" t="s">
        <v>61</v>
      </c>
      <c r="I3838" s="0" t="n">
        <v>3218198</v>
      </c>
      <c r="J3838" s="0" t="n">
        <v>32202</v>
      </c>
      <c r="K3838" s="0" t="n">
        <v>7500435154772</v>
      </c>
      <c r="L3838" s="0" t="s">
        <v>4298</v>
      </c>
      <c r="N3838" s="0" t="n">
        <v>36</v>
      </c>
      <c r="O3838" s="0" t="n">
        <v>128.59</v>
      </c>
      <c r="P3838" s="0" t="s">
        <v>2444</v>
      </c>
    </row>
    <row r="3839" customFormat="false" ht="15" hidden="false" customHeight="true" outlineLevel="0" collapsed="false">
      <c r="A3839" s="0" t="n">
        <v>2</v>
      </c>
      <c r="B3839" s="71" t="n">
        <v>46218</v>
      </c>
      <c r="C3839" s="0" t="n">
        <v>11</v>
      </c>
      <c r="D3839" s="0" t="s">
        <v>2471</v>
      </c>
      <c r="E3839" s="0" t="n">
        <v>1636</v>
      </c>
      <c r="F3839" s="0" t="s">
        <v>61</v>
      </c>
      <c r="I3839" s="0" t="n">
        <v>3218198</v>
      </c>
      <c r="J3839" s="0" t="n">
        <v>34052</v>
      </c>
      <c r="K3839" s="0" t="n">
        <v>7500435154437</v>
      </c>
      <c r="L3839" s="0" t="s">
        <v>2747</v>
      </c>
      <c r="N3839" s="0" t="n">
        <v>72</v>
      </c>
      <c r="O3839" s="0" t="n">
        <v>160.35</v>
      </c>
      <c r="P3839" s="0" t="s">
        <v>2444</v>
      </c>
    </row>
    <row r="3840" customFormat="false" ht="15" hidden="false" customHeight="true" outlineLevel="0" collapsed="false">
      <c r="A3840" s="0" t="n">
        <v>2</v>
      </c>
      <c r="B3840" s="71" t="n">
        <v>46218</v>
      </c>
      <c r="C3840" s="0" t="n">
        <v>11</v>
      </c>
      <c r="D3840" s="0" t="s">
        <v>2471</v>
      </c>
      <c r="E3840" s="0" t="n">
        <v>1636</v>
      </c>
      <c r="F3840" s="0" t="s">
        <v>61</v>
      </c>
      <c r="I3840" s="0" t="n">
        <v>3218198</v>
      </c>
      <c r="J3840" s="0" t="n">
        <v>34790</v>
      </c>
      <c r="K3840" s="0" t="n">
        <v>7500435157476</v>
      </c>
      <c r="L3840" s="0" t="s">
        <v>4299</v>
      </c>
      <c r="N3840" s="0" t="n">
        <v>72</v>
      </c>
      <c r="O3840" s="0" t="n">
        <v>160.35</v>
      </c>
      <c r="P3840" s="0" t="s">
        <v>2444</v>
      </c>
    </row>
    <row r="3841" customFormat="false" ht="15" hidden="false" customHeight="true" outlineLevel="0" collapsed="false">
      <c r="A3841" s="0" t="n">
        <v>2</v>
      </c>
      <c r="B3841" s="71" t="n">
        <v>46218</v>
      </c>
      <c r="C3841" s="0" t="n">
        <v>11</v>
      </c>
      <c r="D3841" s="0" t="s">
        <v>2471</v>
      </c>
      <c r="E3841" s="0" t="n">
        <v>1636</v>
      </c>
      <c r="F3841" s="0" t="s">
        <v>61</v>
      </c>
      <c r="I3841" s="0" t="n">
        <v>3218198</v>
      </c>
      <c r="J3841" s="0" t="n">
        <v>35556</v>
      </c>
      <c r="K3841" s="0" t="n">
        <v>7500435154420</v>
      </c>
      <c r="L3841" s="0" t="s">
        <v>2748</v>
      </c>
      <c r="N3841" s="0" t="n">
        <v>72</v>
      </c>
      <c r="O3841" s="0" t="n">
        <v>160.35</v>
      </c>
      <c r="P3841" s="0" t="s">
        <v>2444</v>
      </c>
    </row>
    <row r="3842" customFormat="false" ht="15" hidden="false" customHeight="true" outlineLevel="0" collapsed="false">
      <c r="A3842" s="0" t="n">
        <v>2</v>
      </c>
      <c r="B3842" s="71" t="n">
        <v>46218</v>
      </c>
      <c r="C3842" s="0" t="n">
        <v>11</v>
      </c>
      <c r="D3842" s="0" t="s">
        <v>2471</v>
      </c>
      <c r="E3842" s="0" t="n">
        <v>1636</v>
      </c>
      <c r="F3842" s="0" t="s">
        <v>61</v>
      </c>
      <c r="I3842" s="0" t="n">
        <v>3218198</v>
      </c>
      <c r="J3842" s="0" t="n">
        <v>37516</v>
      </c>
      <c r="K3842" s="0" t="n">
        <v>7500435160759</v>
      </c>
      <c r="L3842" s="0" t="s">
        <v>4300</v>
      </c>
      <c r="N3842" s="0" t="n">
        <v>72</v>
      </c>
      <c r="O3842" s="0" t="n">
        <v>160.35</v>
      </c>
      <c r="P3842" s="0" t="s">
        <v>2444</v>
      </c>
    </row>
    <row r="3843" customFormat="false" ht="15" hidden="false" customHeight="true" outlineLevel="0" collapsed="false">
      <c r="A3843" s="0" t="n">
        <v>2</v>
      </c>
      <c r="B3843" s="71" t="n">
        <v>46218</v>
      </c>
      <c r="C3843" s="0" t="n">
        <v>11</v>
      </c>
      <c r="D3843" s="0" t="s">
        <v>2471</v>
      </c>
      <c r="E3843" s="0" t="n">
        <v>1636</v>
      </c>
      <c r="F3843" s="0" t="s">
        <v>61</v>
      </c>
      <c r="I3843" s="0" t="n">
        <v>3218198</v>
      </c>
      <c r="J3843" s="0" t="n">
        <v>49027</v>
      </c>
      <c r="K3843" s="0" t="n">
        <v>7500435201285</v>
      </c>
      <c r="L3843" s="0" t="s">
        <v>4301</v>
      </c>
      <c r="N3843" s="0" t="n">
        <v>6</v>
      </c>
      <c r="O3843" s="0" t="n">
        <v>106.04</v>
      </c>
      <c r="P3843" s="0" t="s">
        <v>2444</v>
      </c>
    </row>
    <row r="3844" customFormat="false" ht="15" hidden="false" customHeight="true" outlineLevel="0" collapsed="false">
      <c r="A3844" s="0" t="n">
        <v>2</v>
      </c>
      <c r="B3844" s="71" t="n">
        <v>46218</v>
      </c>
      <c r="C3844" s="0" t="n">
        <v>11</v>
      </c>
      <c r="D3844" s="0" t="s">
        <v>2471</v>
      </c>
      <c r="E3844" s="0" t="n">
        <v>1636</v>
      </c>
      <c r="F3844" s="0" t="s">
        <v>61</v>
      </c>
      <c r="I3844" s="0" t="n">
        <v>3218198</v>
      </c>
      <c r="J3844" s="0" t="n">
        <v>56627</v>
      </c>
      <c r="K3844" s="0" t="n">
        <v>7500435214667</v>
      </c>
      <c r="L3844" s="0" t="s">
        <v>4302</v>
      </c>
      <c r="N3844" s="0" t="n">
        <v>12</v>
      </c>
      <c r="O3844" s="0" t="n">
        <v>107.26</v>
      </c>
      <c r="P3844" s="0" t="s">
        <v>2444</v>
      </c>
    </row>
    <row r="3845" customFormat="false" ht="15" hidden="false" customHeight="true" outlineLevel="0" collapsed="false">
      <c r="A3845" s="0" t="n">
        <v>2</v>
      </c>
      <c r="B3845" s="71" t="n">
        <v>46218</v>
      </c>
      <c r="C3845" s="0" t="n">
        <v>11</v>
      </c>
      <c r="D3845" s="0" t="s">
        <v>2471</v>
      </c>
      <c r="E3845" s="0" t="n">
        <v>1636</v>
      </c>
      <c r="F3845" s="0" t="s">
        <v>61</v>
      </c>
      <c r="I3845" s="0" t="n">
        <v>3218198</v>
      </c>
      <c r="J3845" s="0" t="n">
        <v>63607</v>
      </c>
      <c r="K3845" s="0" t="n">
        <v>7500435243612</v>
      </c>
      <c r="L3845" s="0" t="s">
        <v>4301</v>
      </c>
      <c r="N3845" s="0" t="n">
        <v>24</v>
      </c>
      <c r="O3845" s="0" t="n">
        <v>221.18</v>
      </c>
      <c r="P3845" s="0" t="s">
        <v>2444</v>
      </c>
    </row>
    <row r="3846" customFormat="false" ht="15" hidden="false" customHeight="true" outlineLevel="0" collapsed="false">
      <c r="A3846" s="0" t="n">
        <v>2</v>
      </c>
      <c r="B3846" s="71" t="n">
        <v>46218</v>
      </c>
      <c r="C3846" s="0" t="n">
        <v>11</v>
      </c>
      <c r="D3846" s="0" t="s">
        <v>2471</v>
      </c>
      <c r="E3846" s="0" t="n">
        <v>1636</v>
      </c>
      <c r="F3846" s="0" t="s">
        <v>61</v>
      </c>
      <c r="I3846" s="0" t="n">
        <v>3218198</v>
      </c>
      <c r="J3846" s="0" t="n">
        <v>65116</v>
      </c>
      <c r="K3846" s="0" t="n">
        <v>7500435243650</v>
      </c>
      <c r="L3846" s="0" t="s">
        <v>4301</v>
      </c>
      <c r="N3846" s="0" t="n">
        <v>6</v>
      </c>
      <c r="O3846" s="0" t="n">
        <v>106.04</v>
      </c>
      <c r="P3846" s="0" t="s">
        <v>2444</v>
      </c>
    </row>
    <row r="3847" customFormat="false" ht="15" hidden="false" customHeight="true" outlineLevel="0" collapsed="false">
      <c r="A3847" s="0" t="n">
        <v>2</v>
      </c>
      <c r="B3847" s="71" t="n">
        <v>46218</v>
      </c>
      <c r="C3847" s="0" t="n">
        <v>11</v>
      </c>
      <c r="D3847" s="0" t="s">
        <v>2471</v>
      </c>
      <c r="E3847" s="0" t="n">
        <v>1636</v>
      </c>
      <c r="F3847" s="0" t="s">
        <v>61</v>
      </c>
      <c r="I3847" s="0" t="n">
        <v>3218198</v>
      </c>
      <c r="J3847" s="0" t="n">
        <v>68938</v>
      </c>
      <c r="K3847" s="0" t="n">
        <v>4895229119345</v>
      </c>
      <c r="L3847" s="0" t="s">
        <v>4303</v>
      </c>
      <c r="N3847" s="0" t="n">
        <v>3</v>
      </c>
      <c r="O3847" s="0" t="n">
        <v>16.28</v>
      </c>
      <c r="P3847" s="0" t="s">
        <v>2444</v>
      </c>
    </row>
    <row r="3848" customFormat="false" ht="15" hidden="false" customHeight="true" outlineLevel="0" collapsed="false">
      <c r="A3848" s="0" t="n">
        <v>2</v>
      </c>
      <c r="B3848" s="71" t="n">
        <v>46218</v>
      </c>
      <c r="C3848" s="0" t="n">
        <v>11</v>
      </c>
      <c r="D3848" s="0" t="s">
        <v>2471</v>
      </c>
      <c r="E3848" s="0" t="n">
        <v>1636</v>
      </c>
      <c r="F3848" s="0" t="s">
        <v>61</v>
      </c>
      <c r="I3848" s="0" t="n">
        <v>3218198</v>
      </c>
      <c r="J3848" s="0" t="n">
        <v>68939</v>
      </c>
      <c r="K3848" s="0" t="n">
        <v>4895229119369</v>
      </c>
      <c r="L3848" s="0" t="s">
        <v>4303</v>
      </c>
      <c r="N3848" s="0" t="n">
        <v>6</v>
      </c>
      <c r="O3848" s="0" t="n">
        <v>27.78</v>
      </c>
      <c r="P3848" s="0" t="s">
        <v>2444</v>
      </c>
    </row>
    <row r="3849" customFormat="false" ht="15" hidden="false" customHeight="true" outlineLevel="0" collapsed="false">
      <c r="A3849" s="0" t="n">
        <v>2</v>
      </c>
      <c r="B3849" s="71" t="n">
        <v>46218</v>
      </c>
      <c r="C3849" s="0" t="n">
        <v>11</v>
      </c>
      <c r="D3849" s="0" t="s">
        <v>2471</v>
      </c>
      <c r="E3849" s="0" t="n">
        <v>1636</v>
      </c>
      <c r="F3849" s="0" t="s">
        <v>61</v>
      </c>
      <c r="I3849" s="0" t="n">
        <v>3218198</v>
      </c>
      <c r="J3849" s="0" t="n">
        <v>69294</v>
      </c>
      <c r="K3849" s="0" t="n">
        <v>4895229119376</v>
      </c>
      <c r="L3849" s="0" t="s">
        <v>4303</v>
      </c>
      <c r="N3849" s="0" t="n">
        <v>3</v>
      </c>
      <c r="O3849" s="0" t="n">
        <v>26.41</v>
      </c>
      <c r="P3849" s="0" t="s">
        <v>2444</v>
      </c>
    </row>
    <row r="3850" customFormat="false" ht="15" hidden="false" customHeight="true" outlineLevel="0" collapsed="false">
      <c r="A3850" s="0" t="n">
        <v>2</v>
      </c>
      <c r="B3850" s="71" t="n">
        <v>46218</v>
      </c>
      <c r="C3850" s="0" t="n">
        <v>11</v>
      </c>
      <c r="D3850" s="0" t="s">
        <v>2471</v>
      </c>
      <c r="E3850" s="0" t="n">
        <v>1636</v>
      </c>
      <c r="F3850" s="0" t="s">
        <v>61</v>
      </c>
      <c r="I3850" s="0" t="n">
        <v>3218198</v>
      </c>
      <c r="J3850" s="0" t="n">
        <v>69996</v>
      </c>
      <c r="K3850" s="0" t="n">
        <v>4895229119451</v>
      </c>
      <c r="L3850" s="0" t="s">
        <v>4304</v>
      </c>
      <c r="N3850" s="0" t="n">
        <v>2</v>
      </c>
      <c r="O3850" s="0" t="n">
        <v>27.91</v>
      </c>
      <c r="P3850" s="0" t="s">
        <v>2444</v>
      </c>
    </row>
    <row r="3851" customFormat="false" ht="15" hidden="false" customHeight="true" outlineLevel="0" collapsed="false">
      <c r="A3851" s="0" t="n">
        <v>2</v>
      </c>
      <c r="B3851" s="71" t="n">
        <v>46218</v>
      </c>
      <c r="C3851" s="0" t="n">
        <v>11</v>
      </c>
      <c r="D3851" s="0" t="s">
        <v>2471</v>
      </c>
      <c r="E3851" s="0" t="n">
        <v>1636</v>
      </c>
      <c r="F3851" s="0" t="s">
        <v>61</v>
      </c>
      <c r="I3851" s="0" t="n">
        <v>3218198</v>
      </c>
      <c r="J3851" s="0" t="n">
        <v>70741</v>
      </c>
      <c r="K3851" s="0" t="n">
        <v>4895229119352</v>
      </c>
      <c r="L3851" s="0" t="s">
        <v>4303</v>
      </c>
      <c r="N3851" s="0" t="n">
        <v>3</v>
      </c>
      <c r="O3851" s="0" t="n">
        <v>28.24</v>
      </c>
      <c r="P3851" s="0" t="s">
        <v>2444</v>
      </c>
    </row>
    <row r="3852" customFormat="false" ht="15" hidden="false" customHeight="true" outlineLevel="0" collapsed="false">
      <c r="A3852" s="0" t="n">
        <v>2</v>
      </c>
      <c r="B3852" s="71" t="n">
        <v>46218</v>
      </c>
      <c r="C3852" s="0" t="n">
        <v>11</v>
      </c>
      <c r="D3852" s="0" t="s">
        <v>2471</v>
      </c>
      <c r="E3852" s="0" t="n">
        <v>1636</v>
      </c>
      <c r="F3852" s="0" t="s">
        <v>61</v>
      </c>
      <c r="I3852" s="0" t="n">
        <v>3218198</v>
      </c>
      <c r="J3852" s="0" t="n">
        <v>73817</v>
      </c>
      <c r="K3852" s="0" t="n">
        <v>7500435252195</v>
      </c>
      <c r="L3852" s="0" t="s">
        <v>4305</v>
      </c>
      <c r="N3852" s="0" t="n">
        <v>12</v>
      </c>
      <c r="O3852" s="0" t="n">
        <v>110.59</v>
      </c>
      <c r="P3852" s="0" t="s">
        <v>2444</v>
      </c>
    </row>
    <row r="3853" customFormat="false" ht="15" hidden="false" customHeight="true" outlineLevel="0" collapsed="false">
      <c r="A3853" s="0" t="n">
        <v>2</v>
      </c>
      <c r="B3853" s="71" t="n">
        <v>46218</v>
      </c>
      <c r="C3853" s="0" t="n">
        <v>11</v>
      </c>
      <c r="D3853" s="0" t="s">
        <v>2471</v>
      </c>
      <c r="E3853" s="0" t="n">
        <v>1636</v>
      </c>
      <c r="F3853" s="0" t="s">
        <v>61</v>
      </c>
      <c r="I3853" s="0" t="n">
        <v>3218198</v>
      </c>
      <c r="J3853" s="0" t="n">
        <v>74385</v>
      </c>
      <c r="K3853" s="0" t="n">
        <v>7500435251938</v>
      </c>
      <c r="L3853" s="0" t="s">
        <v>4306</v>
      </c>
      <c r="N3853" s="0" t="n">
        <v>36</v>
      </c>
      <c r="O3853" s="0" t="n">
        <v>128.59</v>
      </c>
      <c r="P3853" s="0" t="s">
        <v>2444</v>
      </c>
    </row>
    <row r="3854" customFormat="false" ht="15" hidden="false" customHeight="true" outlineLevel="0" collapsed="false">
      <c r="A3854" s="0" t="n">
        <v>2</v>
      </c>
      <c r="B3854" s="71" t="n">
        <v>46218</v>
      </c>
      <c r="C3854" s="0" t="n">
        <v>11</v>
      </c>
      <c r="D3854" s="0" t="s">
        <v>2471</v>
      </c>
      <c r="E3854" s="0" t="n">
        <v>1636</v>
      </c>
      <c r="F3854" s="0" t="s">
        <v>61</v>
      </c>
      <c r="I3854" s="0" t="n">
        <v>3218198</v>
      </c>
      <c r="J3854" s="0" t="n">
        <v>79676</v>
      </c>
      <c r="K3854" s="0" t="n">
        <v>7500435259552</v>
      </c>
      <c r="L3854" s="0" t="s">
        <v>4307</v>
      </c>
      <c r="N3854" s="0" t="n">
        <v>24</v>
      </c>
      <c r="O3854" s="0" t="n">
        <v>221.18</v>
      </c>
      <c r="P3854" s="0" t="s">
        <v>2444</v>
      </c>
    </row>
    <row r="3855" customFormat="false" ht="15" hidden="false" customHeight="true" outlineLevel="0" collapsed="false">
      <c r="A3855" s="0" t="n">
        <v>2</v>
      </c>
      <c r="B3855" s="71" t="n">
        <v>46218</v>
      </c>
      <c r="C3855" s="0" t="n">
        <v>11</v>
      </c>
      <c r="D3855" s="0" t="s">
        <v>2471</v>
      </c>
      <c r="E3855" s="0" t="n">
        <v>1636</v>
      </c>
      <c r="F3855" s="0" t="s">
        <v>61</v>
      </c>
      <c r="I3855" s="0" t="n">
        <v>3218198</v>
      </c>
      <c r="J3855" s="0" t="n">
        <v>80835</v>
      </c>
      <c r="K3855" s="0" t="n">
        <v>7500435259088</v>
      </c>
      <c r="L3855" s="0" t="s">
        <v>4308</v>
      </c>
      <c r="N3855" s="0" t="n">
        <v>24</v>
      </c>
      <c r="O3855" s="0" t="n">
        <v>200.74</v>
      </c>
      <c r="P3855" s="0" t="s">
        <v>2444</v>
      </c>
    </row>
    <row r="3856" customFormat="false" ht="15" hidden="false" customHeight="true" outlineLevel="0" collapsed="false">
      <c r="A3856" s="0" t="n">
        <v>2</v>
      </c>
      <c r="B3856" s="71" t="n">
        <v>46218</v>
      </c>
      <c r="C3856" s="0" t="n">
        <v>11</v>
      </c>
      <c r="D3856" s="0" t="s">
        <v>2471</v>
      </c>
      <c r="E3856" s="0" t="n">
        <v>1636</v>
      </c>
      <c r="F3856" s="0" t="s">
        <v>61</v>
      </c>
      <c r="I3856" s="0" t="n">
        <v>3218198</v>
      </c>
      <c r="J3856" s="0" t="n">
        <v>81747</v>
      </c>
      <c r="K3856" s="0" t="n">
        <v>7500435251235</v>
      </c>
      <c r="L3856" s="0" t="s">
        <v>4309</v>
      </c>
      <c r="N3856" s="0" t="n">
        <v>3</v>
      </c>
      <c r="O3856" s="0" t="n">
        <v>37.28</v>
      </c>
      <c r="P3856" s="0" t="s">
        <v>2444</v>
      </c>
    </row>
    <row r="3857" customFormat="false" ht="15" hidden="false" customHeight="true" outlineLevel="0" collapsed="false">
      <c r="A3857" s="0" t="n">
        <v>2</v>
      </c>
      <c r="B3857" s="71" t="n">
        <v>46218</v>
      </c>
      <c r="C3857" s="0" t="n">
        <v>11</v>
      </c>
      <c r="D3857" s="0" t="s">
        <v>2471</v>
      </c>
      <c r="E3857" s="0" t="n">
        <v>1636</v>
      </c>
      <c r="F3857" s="0" t="s">
        <v>61</v>
      </c>
      <c r="I3857" s="0" t="n">
        <v>3218198</v>
      </c>
      <c r="J3857" s="0" t="n">
        <v>81748</v>
      </c>
      <c r="K3857" s="0" t="n">
        <v>7500435251242</v>
      </c>
      <c r="L3857" s="0" t="s">
        <v>4310</v>
      </c>
      <c r="N3857" s="0" t="n">
        <v>3</v>
      </c>
      <c r="O3857" s="0" t="n">
        <v>37.28</v>
      </c>
      <c r="P3857" s="0" t="s">
        <v>2444</v>
      </c>
    </row>
    <row r="3858" customFormat="false" ht="15" hidden="false" customHeight="true" outlineLevel="0" collapsed="false">
      <c r="A3858" s="0" t="n">
        <v>2</v>
      </c>
      <c r="B3858" s="71" t="n">
        <v>46218</v>
      </c>
      <c r="C3858" s="0" t="n">
        <v>11</v>
      </c>
      <c r="D3858" s="0" t="s">
        <v>2471</v>
      </c>
      <c r="E3858" s="0" t="n">
        <v>1636</v>
      </c>
      <c r="F3858" s="0" t="s">
        <v>61</v>
      </c>
      <c r="I3858" s="0" t="n">
        <v>3218198</v>
      </c>
      <c r="J3858" s="0" t="n">
        <v>81749</v>
      </c>
      <c r="K3858" s="0" t="n">
        <v>7500435251259</v>
      </c>
      <c r="L3858" s="0" t="s">
        <v>4311</v>
      </c>
      <c r="N3858" s="0" t="n">
        <v>3</v>
      </c>
      <c r="O3858" s="0" t="n">
        <v>37.28</v>
      </c>
      <c r="P3858" s="0" t="s">
        <v>2444</v>
      </c>
    </row>
    <row r="3859" customFormat="false" ht="15" hidden="false" customHeight="true" outlineLevel="0" collapsed="false">
      <c r="A3859" s="0" t="n">
        <v>2</v>
      </c>
      <c r="B3859" s="71" t="n">
        <v>46218</v>
      </c>
      <c r="C3859" s="0" t="n">
        <v>11</v>
      </c>
      <c r="D3859" s="0" t="s">
        <v>2471</v>
      </c>
      <c r="E3859" s="0" t="n">
        <v>1636</v>
      </c>
      <c r="F3859" s="0" t="s">
        <v>61</v>
      </c>
      <c r="I3859" s="0" t="n">
        <v>3218198</v>
      </c>
      <c r="J3859" s="0" t="n">
        <v>81750</v>
      </c>
      <c r="K3859" s="0" t="n">
        <v>4895229119406</v>
      </c>
      <c r="L3859" s="0" t="s">
        <v>4312</v>
      </c>
      <c r="N3859" s="0" t="n">
        <v>3</v>
      </c>
      <c r="O3859" s="0" t="n">
        <v>33.53</v>
      </c>
      <c r="P3859" s="0" t="s">
        <v>2444</v>
      </c>
    </row>
    <row r="3860" customFormat="false" ht="15" hidden="false" customHeight="true" outlineLevel="0" collapsed="false">
      <c r="A3860" s="0" t="n">
        <v>2</v>
      </c>
      <c r="B3860" s="71" t="n">
        <v>46218</v>
      </c>
      <c r="C3860" s="0" t="n">
        <v>11</v>
      </c>
      <c r="D3860" s="0" t="s">
        <v>2471</v>
      </c>
      <c r="E3860" s="0" t="n">
        <v>1636</v>
      </c>
      <c r="F3860" s="0" t="s">
        <v>61</v>
      </c>
      <c r="I3860" s="0" t="n">
        <v>3218198</v>
      </c>
      <c r="J3860" s="0" t="n">
        <v>81751</v>
      </c>
      <c r="K3860" s="0" t="n">
        <v>7896219185019</v>
      </c>
      <c r="L3860" s="0" t="s">
        <v>4313</v>
      </c>
      <c r="N3860" s="0" t="n">
        <v>48</v>
      </c>
      <c r="O3860" s="0" t="n">
        <v>112.33</v>
      </c>
      <c r="P3860" s="0" t="s">
        <v>2444</v>
      </c>
    </row>
    <row r="3861" customFormat="false" ht="15" hidden="false" customHeight="true" outlineLevel="0" collapsed="false">
      <c r="A3861" s="0" t="n">
        <v>2</v>
      </c>
      <c r="B3861" s="71" t="n">
        <v>46218</v>
      </c>
      <c r="C3861" s="0" t="n">
        <v>11</v>
      </c>
      <c r="D3861" s="0" t="s">
        <v>2471</v>
      </c>
      <c r="E3861" s="0" t="n">
        <v>1636</v>
      </c>
      <c r="F3861" s="0" t="s">
        <v>61</v>
      </c>
      <c r="I3861" s="0" t="n">
        <v>3218198</v>
      </c>
      <c r="J3861" s="0" t="n">
        <v>81752</v>
      </c>
      <c r="K3861" s="0" t="n">
        <v>7896219185026</v>
      </c>
      <c r="L3861" s="0" t="s">
        <v>4314</v>
      </c>
      <c r="N3861" s="0" t="n">
        <v>24</v>
      </c>
      <c r="O3861" s="0" t="n">
        <v>56.17</v>
      </c>
      <c r="P3861" s="0" t="s">
        <v>2444</v>
      </c>
    </row>
    <row r="3862" customFormat="false" ht="15" hidden="false" customHeight="true" outlineLevel="0" collapsed="false">
      <c r="A3862" s="0" t="n">
        <v>2</v>
      </c>
      <c r="B3862" s="71" t="n">
        <v>46219</v>
      </c>
      <c r="C3862" s="0" t="n">
        <v>11</v>
      </c>
      <c r="D3862" s="0" t="s">
        <v>2471</v>
      </c>
      <c r="E3862" s="0" t="n">
        <v>1749</v>
      </c>
      <c r="F3862" s="0" t="s">
        <v>585</v>
      </c>
      <c r="I3862" s="0" t="n">
        <v>2624</v>
      </c>
      <c r="J3862" s="0" t="n">
        <v>100814</v>
      </c>
      <c r="K3862" s="0" t="n">
        <v>7897312400054</v>
      </c>
      <c r="L3862" s="0" t="s">
        <v>4315</v>
      </c>
      <c r="N3862" s="0" t="n">
        <v>120</v>
      </c>
      <c r="O3862" s="0" t="n">
        <v>455.7</v>
      </c>
      <c r="P3862" s="0" t="s">
        <v>2444</v>
      </c>
    </row>
    <row r="3863" customFormat="false" ht="15" hidden="false" customHeight="true" outlineLevel="0" collapsed="false">
      <c r="A3863" s="0" t="n">
        <v>2</v>
      </c>
      <c r="B3863" s="71" t="n">
        <v>46219</v>
      </c>
      <c r="C3863" s="0" t="n">
        <v>11</v>
      </c>
      <c r="D3863" s="0" t="s">
        <v>2471</v>
      </c>
      <c r="E3863" s="0" t="n">
        <v>1749</v>
      </c>
      <c r="F3863" s="0" t="s">
        <v>585</v>
      </c>
      <c r="I3863" s="0" t="n">
        <v>2624</v>
      </c>
      <c r="J3863" s="0" t="n">
        <v>100827</v>
      </c>
      <c r="K3863" s="0" t="n">
        <v>7897312400078</v>
      </c>
      <c r="L3863" s="0" t="s">
        <v>3020</v>
      </c>
      <c r="N3863" s="0" t="n">
        <v>48</v>
      </c>
      <c r="O3863" s="0" t="n">
        <v>120</v>
      </c>
      <c r="P3863" s="0" t="s">
        <v>2444</v>
      </c>
    </row>
    <row r="3864" customFormat="false" ht="15" hidden="false" customHeight="true" outlineLevel="0" collapsed="false">
      <c r="A3864" s="0" t="n">
        <v>2</v>
      </c>
      <c r="B3864" s="71" t="n">
        <v>46219</v>
      </c>
      <c r="C3864" s="0" t="n">
        <v>11</v>
      </c>
      <c r="D3864" s="0" t="s">
        <v>2471</v>
      </c>
      <c r="E3864" s="0" t="n">
        <v>1749</v>
      </c>
      <c r="F3864" s="0" t="s">
        <v>585</v>
      </c>
      <c r="I3864" s="0" t="n">
        <v>2624</v>
      </c>
      <c r="J3864" s="0" t="n">
        <v>31860</v>
      </c>
      <c r="K3864" s="0" t="n">
        <v>7898018160082</v>
      </c>
      <c r="L3864" s="0" t="s">
        <v>3667</v>
      </c>
      <c r="N3864" s="0" t="n">
        <v>90</v>
      </c>
      <c r="O3864" s="0" t="n">
        <v>335.7</v>
      </c>
      <c r="P3864" s="0" t="s">
        <v>2444</v>
      </c>
    </row>
    <row r="3865" customFormat="false" ht="15" hidden="false" customHeight="true" outlineLevel="0" collapsed="false">
      <c r="A3865" s="0" t="n">
        <v>2</v>
      </c>
      <c r="B3865" s="71" t="n">
        <v>46219</v>
      </c>
      <c r="C3865" s="0" t="n">
        <v>11</v>
      </c>
      <c r="D3865" s="0" t="s">
        <v>2471</v>
      </c>
      <c r="E3865" s="0" t="n">
        <v>1749</v>
      </c>
      <c r="F3865" s="0" t="s">
        <v>585</v>
      </c>
      <c r="I3865" s="0" t="n">
        <v>2624</v>
      </c>
      <c r="J3865" s="0" t="n">
        <v>38109</v>
      </c>
      <c r="K3865" s="0" t="n">
        <v>602883330382</v>
      </c>
      <c r="L3865" s="0" t="s">
        <v>3024</v>
      </c>
      <c r="N3865" s="0" t="n">
        <v>40</v>
      </c>
      <c r="O3865" s="0" t="n">
        <v>115</v>
      </c>
      <c r="P3865" s="0" t="s">
        <v>2444</v>
      </c>
    </row>
    <row r="3866" customFormat="false" ht="15" hidden="false" customHeight="true" outlineLevel="0" collapsed="false">
      <c r="A3866" s="0" t="n">
        <v>2</v>
      </c>
      <c r="B3866" s="71" t="n">
        <v>46219</v>
      </c>
      <c r="C3866" s="0" t="n">
        <v>11</v>
      </c>
      <c r="D3866" s="0" t="s">
        <v>2471</v>
      </c>
      <c r="E3866" s="0" t="n">
        <v>1749</v>
      </c>
      <c r="F3866" s="0" t="s">
        <v>585</v>
      </c>
      <c r="I3866" s="0" t="n">
        <v>2624</v>
      </c>
      <c r="J3866" s="0" t="n">
        <v>49812</v>
      </c>
      <c r="K3866" s="0" t="n">
        <v>7898018160013</v>
      </c>
      <c r="L3866" s="0" t="s">
        <v>4316</v>
      </c>
      <c r="N3866" s="0" t="n">
        <v>30</v>
      </c>
      <c r="O3866" s="0" t="n">
        <v>115.9</v>
      </c>
      <c r="P3866" s="0" t="s">
        <v>2444</v>
      </c>
    </row>
    <row r="3867" customFormat="false" ht="15" hidden="false" customHeight="true" outlineLevel="0" collapsed="false">
      <c r="A3867" s="0" t="n">
        <v>2</v>
      </c>
      <c r="B3867" s="71" t="n">
        <v>46219</v>
      </c>
      <c r="C3867" s="0" t="n">
        <v>11</v>
      </c>
      <c r="D3867" s="0" t="s">
        <v>2471</v>
      </c>
      <c r="E3867" s="0" t="n">
        <v>1749</v>
      </c>
      <c r="F3867" s="0" t="s">
        <v>585</v>
      </c>
      <c r="I3867" s="0" t="n">
        <v>2624</v>
      </c>
      <c r="J3867" s="0" t="n">
        <v>52561</v>
      </c>
      <c r="K3867" s="0" t="n">
        <v>7897312404120</v>
      </c>
      <c r="L3867" s="0" t="s">
        <v>4317</v>
      </c>
      <c r="N3867" s="0" t="n">
        <v>20</v>
      </c>
      <c r="O3867" s="0" t="n">
        <v>151.9</v>
      </c>
      <c r="P3867" s="0" t="s">
        <v>2444</v>
      </c>
    </row>
    <row r="3868" customFormat="false" ht="15" hidden="false" customHeight="true" outlineLevel="0" collapsed="false">
      <c r="A3868" s="0" t="n">
        <v>2</v>
      </c>
      <c r="B3868" s="71" t="n">
        <v>46219</v>
      </c>
      <c r="C3868" s="0" t="n">
        <v>11</v>
      </c>
      <c r="D3868" s="0" t="s">
        <v>2471</v>
      </c>
      <c r="E3868" s="0" t="n">
        <v>1749</v>
      </c>
      <c r="F3868" s="0" t="s">
        <v>585</v>
      </c>
      <c r="I3868" s="0" t="n">
        <v>2624</v>
      </c>
      <c r="J3868" s="0" t="n">
        <v>72218</v>
      </c>
      <c r="K3868" s="0" t="n">
        <v>7898971278060</v>
      </c>
      <c r="L3868" s="0" t="s">
        <v>3027</v>
      </c>
      <c r="N3868" s="0" t="n">
        <v>40</v>
      </c>
      <c r="O3868" s="0" t="n">
        <v>207</v>
      </c>
      <c r="P3868" s="0" t="s">
        <v>2444</v>
      </c>
    </row>
    <row r="3869" customFormat="false" ht="15" hidden="false" customHeight="true" outlineLevel="0" collapsed="false">
      <c r="A3869" s="0" t="n">
        <v>2</v>
      </c>
      <c r="B3869" s="71" t="n">
        <v>46219</v>
      </c>
      <c r="C3869" s="0" t="n">
        <v>11</v>
      </c>
      <c r="D3869" s="0" t="s">
        <v>2471</v>
      </c>
      <c r="E3869" s="0" t="n">
        <v>1292</v>
      </c>
      <c r="F3869" s="0" t="s">
        <v>209</v>
      </c>
      <c r="I3869" s="0" t="n">
        <v>3627</v>
      </c>
      <c r="J3869" s="0" t="n">
        <v>28574</v>
      </c>
      <c r="K3869" s="0" t="n">
        <v>7898028069009</v>
      </c>
      <c r="L3869" s="0" t="s">
        <v>2607</v>
      </c>
      <c r="N3869" s="0" t="n">
        <v>15</v>
      </c>
      <c r="O3869" s="0" t="n">
        <v>84</v>
      </c>
      <c r="P3869" s="0" t="s">
        <v>2444</v>
      </c>
    </row>
    <row r="3870" customFormat="false" ht="15" hidden="false" customHeight="true" outlineLevel="0" collapsed="false">
      <c r="A3870" s="0" t="n">
        <v>2</v>
      </c>
      <c r="B3870" s="71" t="n">
        <v>46219</v>
      </c>
      <c r="C3870" s="0" t="n">
        <v>11</v>
      </c>
      <c r="D3870" s="0" t="s">
        <v>2471</v>
      </c>
      <c r="E3870" s="0" t="n">
        <v>1292</v>
      </c>
      <c r="F3870" s="0" t="s">
        <v>209</v>
      </c>
      <c r="I3870" s="0" t="n">
        <v>3627</v>
      </c>
      <c r="J3870" s="0" t="n">
        <v>58633</v>
      </c>
      <c r="K3870" s="0" t="n">
        <v>7891164025250</v>
      </c>
      <c r="L3870" s="0" t="s">
        <v>2448</v>
      </c>
      <c r="N3870" s="0" t="n">
        <v>50</v>
      </c>
      <c r="O3870" s="0" t="n">
        <v>449.5</v>
      </c>
      <c r="P3870" s="0" t="s">
        <v>2444</v>
      </c>
    </row>
    <row r="3871" customFormat="false" ht="15" hidden="false" customHeight="true" outlineLevel="0" collapsed="false">
      <c r="A3871" s="0" t="n">
        <v>2</v>
      </c>
      <c r="B3871" s="71" t="n">
        <v>46219</v>
      </c>
      <c r="C3871" s="0" t="n">
        <v>11</v>
      </c>
      <c r="D3871" s="0" t="s">
        <v>2471</v>
      </c>
      <c r="E3871" s="0" t="n">
        <v>1625</v>
      </c>
      <c r="F3871" s="0" t="s">
        <v>270</v>
      </c>
      <c r="I3871" s="0" t="n">
        <v>14718</v>
      </c>
      <c r="J3871" s="0" t="n">
        <v>29079</v>
      </c>
      <c r="K3871" s="0" t="n">
        <v>55515</v>
      </c>
      <c r="L3871" s="0" t="s">
        <v>2449</v>
      </c>
      <c r="N3871" s="0" t="n">
        <v>75</v>
      </c>
      <c r="O3871" s="0" t="n">
        <v>2467.5</v>
      </c>
      <c r="P3871" s="0" t="s">
        <v>2444</v>
      </c>
    </row>
    <row r="3872" customFormat="false" ht="15" hidden="false" customHeight="true" outlineLevel="0" collapsed="false">
      <c r="A3872" s="0" t="n">
        <v>2</v>
      </c>
      <c r="B3872" s="71" t="n">
        <v>46219</v>
      </c>
      <c r="C3872" s="0" t="n">
        <v>11</v>
      </c>
      <c r="D3872" s="0" t="s">
        <v>2471</v>
      </c>
      <c r="E3872" s="0" t="n">
        <v>1625</v>
      </c>
      <c r="F3872" s="0" t="s">
        <v>270</v>
      </c>
      <c r="I3872" s="0" t="n">
        <v>14718</v>
      </c>
      <c r="J3872" s="0" t="n">
        <v>29080</v>
      </c>
      <c r="K3872" s="0" t="n">
        <v>55516</v>
      </c>
      <c r="L3872" s="0" t="s">
        <v>2450</v>
      </c>
      <c r="N3872" s="0" t="n">
        <v>71</v>
      </c>
      <c r="O3872" s="0" t="n">
        <v>1625.9</v>
      </c>
      <c r="P3872" s="0" t="s">
        <v>2444</v>
      </c>
    </row>
    <row r="3873" customFormat="false" ht="15" hidden="false" customHeight="true" outlineLevel="0" collapsed="false">
      <c r="A3873" s="0" t="n">
        <v>2</v>
      </c>
      <c r="B3873" s="71" t="n">
        <v>46219</v>
      </c>
      <c r="C3873" s="0" t="n">
        <v>11</v>
      </c>
      <c r="D3873" s="0" t="s">
        <v>2471</v>
      </c>
      <c r="E3873" s="0" t="n">
        <v>1699</v>
      </c>
      <c r="F3873" s="0" t="s">
        <v>248</v>
      </c>
      <c r="I3873" s="0" t="n">
        <v>307804</v>
      </c>
      <c r="J3873" s="0" t="n">
        <v>101262</v>
      </c>
      <c r="K3873" s="0" t="n">
        <v>7896179500013</v>
      </c>
      <c r="L3873" s="0" t="s">
        <v>2627</v>
      </c>
      <c r="N3873" s="0" t="n">
        <v>60</v>
      </c>
      <c r="O3873" s="0" t="n">
        <v>154.5</v>
      </c>
      <c r="P3873" s="0" t="s">
        <v>2444</v>
      </c>
    </row>
    <row r="3874" customFormat="false" ht="15" hidden="false" customHeight="true" outlineLevel="0" collapsed="false">
      <c r="A3874" s="0" t="n">
        <v>2</v>
      </c>
      <c r="B3874" s="71" t="n">
        <v>46219</v>
      </c>
      <c r="C3874" s="0" t="n">
        <v>11</v>
      </c>
      <c r="D3874" s="0" t="s">
        <v>2471</v>
      </c>
      <c r="E3874" s="0" t="n">
        <v>1699</v>
      </c>
      <c r="F3874" s="0" t="s">
        <v>248</v>
      </c>
      <c r="I3874" s="0" t="n">
        <v>307804</v>
      </c>
      <c r="J3874" s="0" t="n">
        <v>101759</v>
      </c>
      <c r="K3874" s="0" t="n">
        <v>7896179500037</v>
      </c>
      <c r="L3874" s="0" t="s">
        <v>2628</v>
      </c>
      <c r="N3874" s="0" t="n">
        <v>24</v>
      </c>
      <c r="O3874" s="0" t="n">
        <v>75</v>
      </c>
      <c r="P3874" s="0" t="s">
        <v>2444</v>
      </c>
    </row>
    <row r="3875" customFormat="false" ht="15" hidden="false" customHeight="true" outlineLevel="0" collapsed="false">
      <c r="A3875" s="0" t="n">
        <v>2</v>
      </c>
      <c r="B3875" s="71" t="n">
        <v>46219</v>
      </c>
      <c r="C3875" s="0" t="n">
        <v>11</v>
      </c>
      <c r="D3875" s="0" t="s">
        <v>2471</v>
      </c>
      <c r="E3875" s="0" t="n">
        <v>1699</v>
      </c>
      <c r="F3875" s="0" t="s">
        <v>248</v>
      </c>
      <c r="I3875" s="0" t="n">
        <v>307804</v>
      </c>
      <c r="J3875" s="0" t="n">
        <v>102325</v>
      </c>
      <c r="K3875" s="0" t="n">
        <v>7896002100014</v>
      </c>
      <c r="L3875" s="0" t="s">
        <v>4318</v>
      </c>
      <c r="N3875" s="0" t="n">
        <v>12</v>
      </c>
      <c r="O3875" s="0" t="n">
        <v>127.9</v>
      </c>
      <c r="P3875" s="0" t="s">
        <v>2444</v>
      </c>
    </row>
    <row r="3876" customFormat="false" ht="15" hidden="false" customHeight="true" outlineLevel="0" collapsed="false">
      <c r="A3876" s="0" t="n">
        <v>2</v>
      </c>
      <c r="B3876" s="71" t="n">
        <v>46219</v>
      </c>
      <c r="C3876" s="0" t="n">
        <v>11</v>
      </c>
      <c r="D3876" s="0" t="s">
        <v>2471</v>
      </c>
      <c r="E3876" s="0" t="n">
        <v>1699</v>
      </c>
      <c r="F3876" s="0" t="s">
        <v>248</v>
      </c>
      <c r="I3876" s="0" t="n">
        <v>307804</v>
      </c>
      <c r="J3876" s="0" t="n">
        <v>102448</v>
      </c>
      <c r="K3876" s="0" t="n">
        <v>7896037514701</v>
      </c>
      <c r="L3876" s="0" t="s">
        <v>4319</v>
      </c>
      <c r="N3876" s="0" t="n">
        <v>48</v>
      </c>
      <c r="O3876" s="0" t="n">
        <v>371.8</v>
      </c>
      <c r="P3876" s="0" t="s">
        <v>2444</v>
      </c>
    </row>
    <row r="3877" customFormat="false" ht="15" hidden="false" customHeight="true" outlineLevel="0" collapsed="false">
      <c r="A3877" s="0" t="n">
        <v>2</v>
      </c>
      <c r="B3877" s="71" t="n">
        <v>46219</v>
      </c>
      <c r="C3877" s="0" t="n">
        <v>11</v>
      </c>
      <c r="D3877" s="0" t="s">
        <v>2471</v>
      </c>
      <c r="E3877" s="0" t="n">
        <v>1699</v>
      </c>
      <c r="F3877" s="0" t="s">
        <v>248</v>
      </c>
      <c r="I3877" s="0" t="n">
        <v>307804</v>
      </c>
      <c r="J3877" s="0" t="n">
        <v>102457</v>
      </c>
      <c r="K3877" s="0" t="n">
        <v>7896031253347</v>
      </c>
      <c r="L3877" s="0" t="s">
        <v>2632</v>
      </c>
      <c r="N3877" s="0" t="n">
        <v>48</v>
      </c>
      <c r="O3877" s="0" t="n">
        <v>429.8</v>
      </c>
      <c r="P3877" s="0" t="s">
        <v>2444</v>
      </c>
    </row>
    <row r="3878" customFormat="false" ht="15" hidden="false" customHeight="true" outlineLevel="0" collapsed="false">
      <c r="A3878" s="0" t="n">
        <v>2</v>
      </c>
      <c r="B3878" s="71" t="n">
        <v>46219</v>
      </c>
      <c r="C3878" s="0" t="n">
        <v>11</v>
      </c>
      <c r="D3878" s="0" t="s">
        <v>2471</v>
      </c>
      <c r="E3878" s="0" t="n">
        <v>1699</v>
      </c>
      <c r="F3878" s="0" t="s">
        <v>248</v>
      </c>
      <c r="I3878" s="0" t="n">
        <v>307804</v>
      </c>
      <c r="J3878" s="0" t="n">
        <v>11838</v>
      </c>
      <c r="K3878" s="0" t="n">
        <v>7894351099867</v>
      </c>
      <c r="L3878" s="0" t="s">
        <v>4320</v>
      </c>
      <c r="N3878" s="0" t="n">
        <v>48</v>
      </c>
      <c r="O3878" s="0" t="n">
        <v>429.8</v>
      </c>
      <c r="P3878" s="0" t="s">
        <v>2444</v>
      </c>
    </row>
    <row r="3879" customFormat="false" ht="15" hidden="false" customHeight="true" outlineLevel="0" collapsed="false">
      <c r="A3879" s="0" t="n">
        <v>2</v>
      </c>
      <c r="B3879" s="71" t="n">
        <v>46219</v>
      </c>
      <c r="C3879" s="0" t="n">
        <v>11</v>
      </c>
      <c r="D3879" s="0" t="s">
        <v>2471</v>
      </c>
      <c r="E3879" s="0" t="n">
        <v>1699</v>
      </c>
      <c r="F3879" s="0" t="s">
        <v>248</v>
      </c>
      <c r="I3879" s="0" t="n">
        <v>307804</v>
      </c>
      <c r="J3879" s="0" t="n">
        <v>19979</v>
      </c>
      <c r="K3879" s="0" t="n">
        <v>7898141930491</v>
      </c>
      <c r="L3879" s="0" t="s">
        <v>4321</v>
      </c>
      <c r="N3879" s="0" t="n">
        <v>300</v>
      </c>
      <c r="O3879" s="0" t="n">
        <v>809</v>
      </c>
      <c r="P3879" s="0" t="s">
        <v>2444</v>
      </c>
    </row>
    <row r="3880" customFormat="false" ht="15" hidden="false" customHeight="true" outlineLevel="0" collapsed="false">
      <c r="A3880" s="0" t="n">
        <v>2</v>
      </c>
      <c r="B3880" s="71" t="n">
        <v>46219</v>
      </c>
      <c r="C3880" s="0" t="n">
        <v>11</v>
      </c>
      <c r="D3880" s="0" t="s">
        <v>2471</v>
      </c>
      <c r="E3880" s="0" t="n">
        <v>1699</v>
      </c>
      <c r="F3880" s="0" t="s">
        <v>248</v>
      </c>
      <c r="I3880" s="0" t="n">
        <v>307804</v>
      </c>
      <c r="J3880" s="0" t="n">
        <v>34364</v>
      </c>
      <c r="K3880" s="0" t="n">
        <v>7896037918646</v>
      </c>
      <c r="L3880" s="0" t="s">
        <v>4322</v>
      </c>
      <c r="N3880" s="0" t="n">
        <v>6</v>
      </c>
      <c r="O3880" s="0" t="n">
        <v>187.9</v>
      </c>
      <c r="P3880" s="0" t="s">
        <v>2444</v>
      </c>
    </row>
    <row r="3881" customFormat="false" ht="15" hidden="false" customHeight="true" outlineLevel="0" collapsed="false">
      <c r="A3881" s="0" t="n">
        <v>2</v>
      </c>
      <c r="B3881" s="71" t="n">
        <v>46219</v>
      </c>
      <c r="C3881" s="0" t="n">
        <v>11</v>
      </c>
      <c r="D3881" s="0" t="s">
        <v>2471</v>
      </c>
      <c r="E3881" s="0" t="n">
        <v>1699</v>
      </c>
      <c r="F3881" s="0" t="s">
        <v>248</v>
      </c>
      <c r="I3881" s="0" t="n">
        <v>307804</v>
      </c>
      <c r="J3881" s="0" t="n">
        <v>37982</v>
      </c>
      <c r="K3881" s="0" t="n">
        <v>7896219183107</v>
      </c>
      <c r="L3881" s="0" t="s">
        <v>4323</v>
      </c>
      <c r="N3881" s="0" t="n">
        <v>48</v>
      </c>
      <c r="O3881" s="0" t="n">
        <v>206</v>
      </c>
      <c r="P3881" s="0" t="s">
        <v>2444</v>
      </c>
    </row>
    <row r="3882" customFormat="false" ht="15" hidden="false" customHeight="true" outlineLevel="0" collapsed="false">
      <c r="A3882" s="0" t="n">
        <v>2</v>
      </c>
      <c r="B3882" s="71" t="n">
        <v>46219</v>
      </c>
      <c r="C3882" s="0" t="n">
        <v>11</v>
      </c>
      <c r="D3882" s="0" t="s">
        <v>2471</v>
      </c>
      <c r="E3882" s="0" t="n">
        <v>1699</v>
      </c>
      <c r="F3882" s="0" t="s">
        <v>248</v>
      </c>
      <c r="I3882" s="0" t="n">
        <v>307804</v>
      </c>
      <c r="J3882" s="0" t="n">
        <v>69324</v>
      </c>
      <c r="K3882" s="0" t="n">
        <v>7896037918899</v>
      </c>
      <c r="L3882" s="0" t="s">
        <v>4324</v>
      </c>
      <c r="N3882" s="0" t="n">
        <v>6</v>
      </c>
      <c r="O3882" s="0" t="n">
        <v>187.9</v>
      </c>
      <c r="P3882" s="0" t="s">
        <v>2444</v>
      </c>
    </row>
    <row r="3883" customFormat="false" ht="15" hidden="false" customHeight="true" outlineLevel="0" collapsed="false">
      <c r="A3883" s="0" t="n">
        <v>2</v>
      </c>
      <c r="B3883" s="71" t="n">
        <v>46219</v>
      </c>
      <c r="C3883" s="0" t="n">
        <v>11</v>
      </c>
      <c r="D3883" s="0" t="s">
        <v>2471</v>
      </c>
      <c r="E3883" s="0" t="n">
        <v>1699</v>
      </c>
      <c r="F3883" s="0" t="s">
        <v>248</v>
      </c>
      <c r="I3883" s="0" t="n">
        <v>307804</v>
      </c>
      <c r="J3883" s="0" t="n">
        <v>75909</v>
      </c>
      <c r="K3883" s="0" t="n">
        <v>7898617582285</v>
      </c>
      <c r="L3883" s="0" t="s">
        <v>4325</v>
      </c>
      <c r="N3883" s="0" t="n">
        <v>100</v>
      </c>
      <c r="O3883" s="0" t="n">
        <v>85.9</v>
      </c>
      <c r="P3883" s="0" t="s">
        <v>2444</v>
      </c>
    </row>
    <row r="3884" customFormat="false" ht="15" hidden="false" customHeight="true" outlineLevel="0" collapsed="false">
      <c r="A3884" s="0" t="n">
        <v>2</v>
      </c>
      <c r="B3884" s="71" t="n">
        <v>46219</v>
      </c>
      <c r="C3884" s="0" t="n">
        <v>11</v>
      </c>
      <c r="D3884" s="0" t="s">
        <v>2471</v>
      </c>
      <c r="E3884" s="0" t="n">
        <v>1667</v>
      </c>
      <c r="F3884" s="0" t="s">
        <v>77</v>
      </c>
      <c r="I3884" s="0" t="n">
        <v>396500</v>
      </c>
      <c r="J3884" s="0" t="n">
        <v>101932</v>
      </c>
      <c r="K3884" s="0" t="n">
        <v>7891000582107</v>
      </c>
      <c r="L3884" s="0" t="s">
        <v>3124</v>
      </c>
      <c r="N3884" s="0" t="n">
        <v>24</v>
      </c>
      <c r="O3884" s="0" t="n">
        <v>155.8</v>
      </c>
      <c r="P3884" s="0" t="s">
        <v>2444</v>
      </c>
    </row>
    <row r="3885" customFormat="false" ht="15" hidden="false" customHeight="true" outlineLevel="0" collapsed="false">
      <c r="A3885" s="0" t="n">
        <v>2</v>
      </c>
      <c r="B3885" s="71" t="n">
        <v>46219</v>
      </c>
      <c r="C3885" s="0" t="n">
        <v>11</v>
      </c>
      <c r="D3885" s="0" t="s">
        <v>2471</v>
      </c>
      <c r="E3885" s="0" t="n">
        <v>1667</v>
      </c>
      <c r="F3885" s="0" t="s">
        <v>77</v>
      </c>
      <c r="I3885" s="0" t="n">
        <v>396500</v>
      </c>
      <c r="J3885" s="0" t="n">
        <v>104126</v>
      </c>
      <c r="K3885" s="0" t="n">
        <v>7891000582008</v>
      </c>
      <c r="L3885" s="0" t="s">
        <v>4326</v>
      </c>
      <c r="N3885" s="0" t="n">
        <v>24</v>
      </c>
      <c r="O3885" s="0" t="n">
        <v>155.8</v>
      </c>
      <c r="P3885" s="0" t="s">
        <v>2444</v>
      </c>
    </row>
    <row r="3886" customFormat="false" ht="15" hidden="false" customHeight="true" outlineLevel="0" collapsed="false">
      <c r="A3886" s="0" t="n">
        <v>2</v>
      </c>
      <c r="B3886" s="71" t="n">
        <v>46219</v>
      </c>
      <c r="C3886" s="0" t="n">
        <v>11</v>
      </c>
      <c r="D3886" s="0" t="s">
        <v>2471</v>
      </c>
      <c r="E3886" s="0" t="n">
        <v>1667</v>
      </c>
      <c r="F3886" s="0" t="s">
        <v>77</v>
      </c>
      <c r="I3886" s="0" t="n">
        <v>396500</v>
      </c>
      <c r="J3886" s="0" t="n">
        <v>69728</v>
      </c>
      <c r="K3886" s="0" t="n">
        <v>7898132847135</v>
      </c>
      <c r="L3886" s="0" t="s">
        <v>4327</v>
      </c>
      <c r="N3886" s="0" t="n">
        <v>24</v>
      </c>
      <c r="O3886" s="0" t="n">
        <v>62.2</v>
      </c>
      <c r="P3886" s="0" t="s">
        <v>2444</v>
      </c>
    </row>
    <row r="3887" customFormat="false" ht="15" hidden="false" customHeight="true" outlineLevel="0" collapsed="false">
      <c r="A3887" s="0" t="n">
        <v>2</v>
      </c>
      <c r="B3887" s="71" t="n">
        <v>46219</v>
      </c>
      <c r="C3887" s="0" t="n">
        <v>11</v>
      </c>
      <c r="D3887" s="0" t="s">
        <v>2471</v>
      </c>
      <c r="E3887" s="0" t="n">
        <v>1667</v>
      </c>
      <c r="F3887" s="0" t="s">
        <v>77</v>
      </c>
      <c r="I3887" s="0" t="n">
        <v>396500</v>
      </c>
      <c r="J3887" s="0" t="n">
        <v>70467</v>
      </c>
      <c r="K3887" s="0" t="n">
        <v>7898617581745</v>
      </c>
      <c r="L3887" s="0" t="s">
        <v>3115</v>
      </c>
      <c r="N3887" s="0" t="n">
        <v>48</v>
      </c>
      <c r="O3887" s="0" t="n">
        <v>64.83</v>
      </c>
      <c r="P3887" s="0" t="s">
        <v>2444</v>
      </c>
    </row>
    <row r="3888" customFormat="false" ht="15" hidden="false" customHeight="true" outlineLevel="0" collapsed="false">
      <c r="A3888" s="0" t="n">
        <v>2</v>
      </c>
      <c r="B3888" s="71" t="n">
        <v>46219</v>
      </c>
      <c r="C3888" s="0" t="n">
        <v>11</v>
      </c>
      <c r="D3888" s="0" t="s">
        <v>2471</v>
      </c>
      <c r="E3888" s="0" t="n">
        <v>1667</v>
      </c>
      <c r="F3888" s="0" t="s">
        <v>77</v>
      </c>
      <c r="I3888" s="0" t="n">
        <v>396500</v>
      </c>
      <c r="J3888" s="0" t="n">
        <v>74195</v>
      </c>
      <c r="K3888" s="0" t="n">
        <v>7898132847142</v>
      </c>
      <c r="L3888" s="0" t="s">
        <v>3013</v>
      </c>
      <c r="N3888" s="0" t="n">
        <v>20</v>
      </c>
      <c r="O3888" s="0" t="n">
        <v>119.43</v>
      </c>
      <c r="P3888" s="0" t="s">
        <v>2444</v>
      </c>
    </row>
    <row r="3889" customFormat="false" ht="15" hidden="false" customHeight="true" outlineLevel="0" collapsed="false">
      <c r="A3889" s="0" t="n">
        <v>2</v>
      </c>
      <c r="B3889" s="71" t="n">
        <v>46219</v>
      </c>
      <c r="C3889" s="0" t="n">
        <v>11</v>
      </c>
      <c r="D3889" s="0" t="s">
        <v>2471</v>
      </c>
      <c r="E3889" s="0" t="n">
        <v>1616</v>
      </c>
      <c r="F3889" s="0" t="s">
        <v>64</v>
      </c>
      <c r="I3889" s="0" t="n">
        <v>650221</v>
      </c>
      <c r="J3889" s="0" t="n">
        <v>16423</v>
      </c>
      <c r="K3889" s="0" t="n">
        <v>7891331010508</v>
      </c>
      <c r="L3889" s="0" t="s">
        <v>2949</v>
      </c>
      <c r="N3889" s="0" t="n">
        <v>24</v>
      </c>
      <c r="O3889" s="0" t="n">
        <v>39</v>
      </c>
      <c r="P3889" s="0" t="s">
        <v>2444</v>
      </c>
    </row>
    <row r="3890" customFormat="false" ht="15" hidden="false" customHeight="true" outlineLevel="0" collapsed="false">
      <c r="A3890" s="0" t="n">
        <v>2</v>
      </c>
      <c r="B3890" s="71" t="n">
        <v>46219</v>
      </c>
      <c r="C3890" s="0" t="n">
        <v>11</v>
      </c>
      <c r="D3890" s="0" t="s">
        <v>2471</v>
      </c>
      <c r="E3890" s="0" t="n">
        <v>1616</v>
      </c>
      <c r="F3890" s="0" t="s">
        <v>64</v>
      </c>
      <c r="I3890" s="0" t="n">
        <v>650221</v>
      </c>
      <c r="J3890" s="0" t="n">
        <v>20376</v>
      </c>
      <c r="K3890" s="0" t="n">
        <v>7896022205652</v>
      </c>
      <c r="L3890" s="0" t="s">
        <v>4328</v>
      </c>
      <c r="N3890" s="0" t="n">
        <v>36</v>
      </c>
      <c r="O3890" s="0" t="n">
        <v>50.04</v>
      </c>
      <c r="P3890" s="0" t="s">
        <v>2444</v>
      </c>
    </row>
    <row r="3891" customFormat="false" ht="15" hidden="false" customHeight="true" outlineLevel="0" collapsed="false">
      <c r="A3891" s="0" t="n">
        <v>2</v>
      </c>
      <c r="B3891" s="71" t="n">
        <v>46219</v>
      </c>
      <c r="C3891" s="0" t="n">
        <v>11</v>
      </c>
      <c r="D3891" s="0" t="s">
        <v>2471</v>
      </c>
      <c r="E3891" s="0" t="n">
        <v>1616</v>
      </c>
      <c r="F3891" s="0" t="s">
        <v>64</v>
      </c>
      <c r="I3891" s="0" t="n">
        <v>650221</v>
      </c>
      <c r="J3891" s="0" t="n">
        <v>20377</v>
      </c>
      <c r="K3891" s="0" t="n">
        <v>7896022204891</v>
      </c>
      <c r="L3891" s="0" t="s">
        <v>4329</v>
      </c>
      <c r="N3891" s="0" t="n">
        <v>36</v>
      </c>
      <c r="O3891" s="0" t="n">
        <v>50.05</v>
      </c>
      <c r="P3891" s="0" t="s">
        <v>2444</v>
      </c>
    </row>
    <row r="3892" customFormat="false" ht="15" hidden="false" customHeight="true" outlineLevel="0" collapsed="false">
      <c r="A3892" s="0" t="n">
        <v>2</v>
      </c>
      <c r="B3892" s="71" t="n">
        <v>46219</v>
      </c>
      <c r="C3892" s="0" t="n">
        <v>11</v>
      </c>
      <c r="D3892" s="0" t="s">
        <v>2471</v>
      </c>
      <c r="E3892" s="0" t="n">
        <v>1616</v>
      </c>
      <c r="F3892" s="0" t="s">
        <v>64</v>
      </c>
      <c r="I3892" s="0" t="n">
        <v>650221</v>
      </c>
      <c r="J3892" s="0" t="n">
        <v>20382</v>
      </c>
      <c r="K3892" s="0" t="n">
        <v>7896022206154</v>
      </c>
      <c r="L3892" s="0" t="s">
        <v>4330</v>
      </c>
      <c r="N3892" s="0" t="n">
        <v>40</v>
      </c>
      <c r="O3892" s="0" t="n">
        <v>62.8</v>
      </c>
      <c r="P3892" s="0" t="s">
        <v>2444</v>
      </c>
    </row>
    <row r="3893" customFormat="false" ht="15" hidden="false" customHeight="true" outlineLevel="0" collapsed="false">
      <c r="A3893" s="0" t="n">
        <v>2</v>
      </c>
      <c r="B3893" s="71" t="n">
        <v>46219</v>
      </c>
      <c r="C3893" s="0" t="n">
        <v>11</v>
      </c>
      <c r="D3893" s="0" t="s">
        <v>2471</v>
      </c>
      <c r="E3893" s="0" t="n">
        <v>1616</v>
      </c>
      <c r="F3893" s="0" t="s">
        <v>64</v>
      </c>
      <c r="I3893" s="0" t="n">
        <v>650221</v>
      </c>
      <c r="J3893" s="0" t="n">
        <v>26650</v>
      </c>
      <c r="K3893" s="0" t="n">
        <v>7896022204648</v>
      </c>
      <c r="L3893" s="0" t="s">
        <v>2951</v>
      </c>
      <c r="N3893" s="0" t="n">
        <v>36</v>
      </c>
      <c r="O3893" s="0" t="n">
        <v>150.87</v>
      </c>
      <c r="P3893" s="0" t="s">
        <v>2444</v>
      </c>
    </row>
    <row r="3894" customFormat="false" ht="15" hidden="false" customHeight="true" outlineLevel="0" collapsed="false">
      <c r="A3894" s="0" t="n">
        <v>2</v>
      </c>
      <c r="B3894" s="71" t="n">
        <v>46219</v>
      </c>
      <c r="C3894" s="0" t="n">
        <v>11</v>
      </c>
      <c r="D3894" s="0" t="s">
        <v>2471</v>
      </c>
      <c r="E3894" s="0" t="n">
        <v>1616</v>
      </c>
      <c r="F3894" s="0" t="s">
        <v>64</v>
      </c>
      <c r="I3894" s="0" t="n">
        <v>650221</v>
      </c>
      <c r="J3894" s="0" t="n">
        <v>26651</v>
      </c>
      <c r="K3894" s="0" t="n">
        <v>7896022207014</v>
      </c>
      <c r="L3894" s="0" t="s">
        <v>2952</v>
      </c>
      <c r="N3894" s="0" t="n">
        <v>20</v>
      </c>
      <c r="O3894" s="0" t="n">
        <v>68</v>
      </c>
      <c r="P3894" s="0" t="s">
        <v>2444</v>
      </c>
    </row>
    <row r="3895" customFormat="false" ht="15" hidden="false" customHeight="true" outlineLevel="0" collapsed="false">
      <c r="A3895" s="0" t="n">
        <v>2</v>
      </c>
      <c r="B3895" s="71" t="n">
        <v>46219</v>
      </c>
      <c r="C3895" s="0" t="n">
        <v>11</v>
      </c>
      <c r="D3895" s="0" t="s">
        <v>2471</v>
      </c>
      <c r="E3895" s="0" t="n">
        <v>1616</v>
      </c>
      <c r="F3895" s="0" t="s">
        <v>64</v>
      </c>
      <c r="I3895" s="0" t="n">
        <v>650221</v>
      </c>
      <c r="J3895" s="0" t="n">
        <v>27324</v>
      </c>
      <c r="K3895" s="0" t="n">
        <v>7896022204907</v>
      </c>
      <c r="L3895" s="0" t="s">
        <v>4331</v>
      </c>
      <c r="N3895" s="0" t="n">
        <v>36</v>
      </c>
      <c r="O3895" s="0" t="n">
        <v>50.04</v>
      </c>
      <c r="P3895" s="0" t="s">
        <v>2444</v>
      </c>
    </row>
    <row r="3896" customFormat="false" ht="15" hidden="false" customHeight="true" outlineLevel="0" collapsed="false">
      <c r="A3896" s="0" t="n">
        <v>2</v>
      </c>
      <c r="B3896" s="71" t="n">
        <v>46219</v>
      </c>
      <c r="C3896" s="0" t="n">
        <v>11</v>
      </c>
      <c r="D3896" s="0" t="s">
        <v>2471</v>
      </c>
      <c r="E3896" s="0" t="n">
        <v>1616</v>
      </c>
      <c r="F3896" s="0" t="s">
        <v>64</v>
      </c>
      <c r="I3896" s="0" t="n">
        <v>650221</v>
      </c>
      <c r="J3896" s="0" t="n">
        <v>27777</v>
      </c>
      <c r="K3896" s="0" t="n">
        <v>7896022207106</v>
      </c>
      <c r="L3896" s="0" t="s">
        <v>4332</v>
      </c>
      <c r="N3896" s="0" t="n">
        <v>108</v>
      </c>
      <c r="O3896" s="0" t="n">
        <v>150.12</v>
      </c>
      <c r="P3896" s="0" t="s">
        <v>2444</v>
      </c>
    </row>
    <row r="3897" customFormat="false" ht="15" hidden="false" customHeight="true" outlineLevel="0" collapsed="false">
      <c r="A3897" s="0" t="n">
        <v>2</v>
      </c>
      <c r="B3897" s="71" t="n">
        <v>46219</v>
      </c>
      <c r="C3897" s="0" t="n">
        <v>11</v>
      </c>
      <c r="D3897" s="0" t="s">
        <v>2471</v>
      </c>
      <c r="E3897" s="0" t="n">
        <v>1616</v>
      </c>
      <c r="F3897" s="0" t="s">
        <v>64</v>
      </c>
      <c r="I3897" s="0" t="n">
        <v>650221</v>
      </c>
      <c r="J3897" s="0" t="n">
        <v>27778</v>
      </c>
      <c r="K3897" s="0" t="n">
        <v>7896022207076</v>
      </c>
      <c r="L3897" s="0" t="s">
        <v>4333</v>
      </c>
      <c r="N3897" s="0" t="n">
        <v>108</v>
      </c>
      <c r="O3897" s="0" t="n">
        <v>150.12</v>
      </c>
      <c r="P3897" s="0" t="s">
        <v>2444</v>
      </c>
    </row>
    <row r="3898" customFormat="false" ht="15" hidden="false" customHeight="true" outlineLevel="0" collapsed="false">
      <c r="A3898" s="0" t="n">
        <v>2</v>
      </c>
      <c r="B3898" s="71" t="n">
        <v>46219</v>
      </c>
      <c r="C3898" s="0" t="n">
        <v>11</v>
      </c>
      <c r="D3898" s="0" t="s">
        <v>2471</v>
      </c>
      <c r="E3898" s="0" t="n">
        <v>1616</v>
      </c>
      <c r="F3898" s="0" t="s">
        <v>64</v>
      </c>
      <c r="I3898" s="0" t="n">
        <v>650221</v>
      </c>
      <c r="J3898" s="0" t="n">
        <v>29388</v>
      </c>
      <c r="K3898" s="0" t="n">
        <v>7896022205201</v>
      </c>
      <c r="L3898" s="0" t="s">
        <v>4334</v>
      </c>
      <c r="N3898" s="0" t="n">
        <v>20</v>
      </c>
      <c r="O3898" s="0" t="n">
        <v>93.04</v>
      </c>
      <c r="P3898" s="0" t="s">
        <v>2444</v>
      </c>
    </row>
    <row r="3899" customFormat="false" ht="15" hidden="false" customHeight="true" outlineLevel="0" collapsed="false">
      <c r="A3899" s="0" t="n">
        <v>2</v>
      </c>
      <c r="B3899" s="71" t="n">
        <v>46219</v>
      </c>
      <c r="C3899" s="0" t="n">
        <v>11</v>
      </c>
      <c r="D3899" s="0" t="s">
        <v>2471</v>
      </c>
      <c r="E3899" s="0" t="n">
        <v>1616</v>
      </c>
      <c r="F3899" s="0" t="s">
        <v>64</v>
      </c>
      <c r="I3899" s="0" t="n">
        <v>650221</v>
      </c>
      <c r="J3899" s="0" t="n">
        <v>29603</v>
      </c>
      <c r="K3899" s="0" t="n">
        <v>7896022204624</v>
      </c>
      <c r="L3899" s="0" t="s">
        <v>2953</v>
      </c>
      <c r="N3899" s="0" t="n">
        <v>36</v>
      </c>
      <c r="O3899" s="0" t="n">
        <v>150.87</v>
      </c>
      <c r="P3899" s="0" t="s">
        <v>2444</v>
      </c>
    </row>
    <row r="3900" customFormat="false" ht="15" hidden="false" customHeight="true" outlineLevel="0" collapsed="false">
      <c r="A3900" s="0" t="n">
        <v>2</v>
      </c>
      <c r="B3900" s="71" t="n">
        <v>46219</v>
      </c>
      <c r="C3900" s="0" t="n">
        <v>11</v>
      </c>
      <c r="D3900" s="0" t="s">
        <v>2471</v>
      </c>
      <c r="E3900" s="0" t="n">
        <v>1616</v>
      </c>
      <c r="F3900" s="0" t="s">
        <v>64</v>
      </c>
      <c r="I3900" s="0" t="n">
        <v>650221</v>
      </c>
      <c r="J3900" s="0" t="n">
        <v>29841</v>
      </c>
      <c r="K3900" s="0" t="n">
        <v>7896022204631</v>
      </c>
      <c r="L3900" s="0" t="s">
        <v>2954</v>
      </c>
      <c r="N3900" s="0" t="n">
        <v>36</v>
      </c>
      <c r="O3900" s="0" t="n">
        <v>150.87</v>
      </c>
      <c r="P3900" s="0" t="s">
        <v>2444</v>
      </c>
    </row>
    <row r="3901" customFormat="false" ht="15" hidden="false" customHeight="true" outlineLevel="0" collapsed="false">
      <c r="A3901" s="0" t="n">
        <v>2</v>
      </c>
      <c r="B3901" s="71" t="n">
        <v>46219</v>
      </c>
      <c r="C3901" s="0" t="n">
        <v>11</v>
      </c>
      <c r="D3901" s="0" t="s">
        <v>2471</v>
      </c>
      <c r="E3901" s="0" t="n">
        <v>1616</v>
      </c>
      <c r="F3901" s="0" t="s">
        <v>64</v>
      </c>
      <c r="I3901" s="0" t="n">
        <v>650221</v>
      </c>
      <c r="J3901" s="0" t="n">
        <v>31712</v>
      </c>
      <c r="K3901" s="0" t="n">
        <v>7896022207113</v>
      </c>
      <c r="L3901" s="0" t="s">
        <v>4335</v>
      </c>
      <c r="N3901" s="0" t="n">
        <v>108</v>
      </c>
      <c r="O3901" s="0" t="n">
        <v>150.15</v>
      </c>
      <c r="P3901" s="0" t="s">
        <v>2444</v>
      </c>
    </row>
    <row r="3902" customFormat="false" ht="15" hidden="false" customHeight="true" outlineLevel="0" collapsed="false">
      <c r="A3902" s="0" t="n">
        <v>2</v>
      </c>
      <c r="B3902" s="71" t="n">
        <v>46219</v>
      </c>
      <c r="C3902" s="0" t="n">
        <v>11</v>
      </c>
      <c r="D3902" s="0" t="s">
        <v>2471</v>
      </c>
      <c r="E3902" s="0" t="n">
        <v>1616</v>
      </c>
      <c r="F3902" s="0" t="s">
        <v>64</v>
      </c>
      <c r="I3902" s="0" t="n">
        <v>650221</v>
      </c>
      <c r="J3902" s="0" t="n">
        <v>31840</v>
      </c>
      <c r="K3902" s="0" t="n">
        <v>7896022207090</v>
      </c>
      <c r="L3902" s="0" t="s">
        <v>4336</v>
      </c>
      <c r="N3902" s="0" t="n">
        <v>108</v>
      </c>
      <c r="O3902" s="0" t="n">
        <v>150.12</v>
      </c>
      <c r="P3902" s="0" t="s">
        <v>2444</v>
      </c>
    </row>
    <row r="3903" customFormat="false" ht="15" hidden="false" customHeight="true" outlineLevel="0" collapsed="false">
      <c r="A3903" s="0" t="n">
        <v>2</v>
      </c>
      <c r="B3903" s="71" t="n">
        <v>46219</v>
      </c>
      <c r="C3903" s="0" t="n">
        <v>11</v>
      </c>
      <c r="D3903" s="0" t="s">
        <v>2471</v>
      </c>
      <c r="E3903" s="0" t="n">
        <v>1616</v>
      </c>
      <c r="F3903" s="0" t="s">
        <v>64</v>
      </c>
      <c r="I3903" s="0" t="n">
        <v>650221</v>
      </c>
      <c r="J3903" s="0" t="n">
        <v>37737</v>
      </c>
      <c r="K3903" s="0" t="n">
        <v>7896022204945</v>
      </c>
      <c r="L3903" s="0" t="s">
        <v>4337</v>
      </c>
      <c r="N3903" s="0" t="n">
        <v>40</v>
      </c>
      <c r="O3903" s="0" t="n">
        <v>62.8</v>
      </c>
      <c r="P3903" s="0" t="s">
        <v>2444</v>
      </c>
    </row>
    <row r="3904" customFormat="false" ht="15" hidden="false" customHeight="true" outlineLevel="0" collapsed="false">
      <c r="A3904" s="0" t="n">
        <v>2</v>
      </c>
      <c r="B3904" s="71" t="n">
        <v>46219</v>
      </c>
      <c r="C3904" s="0" t="n">
        <v>11</v>
      </c>
      <c r="D3904" s="0" t="s">
        <v>2471</v>
      </c>
      <c r="E3904" s="0" t="n">
        <v>1616</v>
      </c>
      <c r="F3904" s="0" t="s">
        <v>64</v>
      </c>
      <c r="I3904" s="0" t="n">
        <v>650221</v>
      </c>
      <c r="J3904" s="0" t="n">
        <v>37738</v>
      </c>
      <c r="K3904" s="0" t="n">
        <v>7896022204969</v>
      </c>
      <c r="L3904" s="0" t="s">
        <v>4338</v>
      </c>
      <c r="N3904" s="0" t="n">
        <v>40</v>
      </c>
      <c r="O3904" s="0" t="n">
        <v>62.8</v>
      </c>
      <c r="P3904" s="0" t="s">
        <v>2444</v>
      </c>
    </row>
    <row r="3905" customFormat="false" ht="15" hidden="false" customHeight="true" outlineLevel="0" collapsed="false">
      <c r="A3905" s="0" t="n">
        <v>2</v>
      </c>
      <c r="B3905" s="71" t="n">
        <v>46219</v>
      </c>
      <c r="C3905" s="0" t="n">
        <v>11</v>
      </c>
      <c r="D3905" s="0" t="s">
        <v>2471</v>
      </c>
      <c r="E3905" s="0" t="n">
        <v>1616</v>
      </c>
      <c r="F3905" s="0" t="s">
        <v>64</v>
      </c>
      <c r="I3905" s="0" t="n">
        <v>650221</v>
      </c>
      <c r="J3905" s="0" t="n">
        <v>38002</v>
      </c>
      <c r="K3905" s="0" t="n">
        <v>7896022204952</v>
      </c>
      <c r="L3905" s="0" t="s">
        <v>4339</v>
      </c>
      <c r="N3905" s="0" t="n">
        <v>40</v>
      </c>
      <c r="O3905" s="0" t="n">
        <v>62.8</v>
      </c>
      <c r="P3905" s="0" t="s">
        <v>2444</v>
      </c>
    </row>
    <row r="3906" customFormat="false" ht="15" hidden="false" customHeight="true" outlineLevel="0" collapsed="false">
      <c r="A3906" s="0" t="n">
        <v>2</v>
      </c>
      <c r="B3906" s="71" t="n">
        <v>46219</v>
      </c>
      <c r="C3906" s="0" t="n">
        <v>11</v>
      </c>
      <c r="D3906" s="0" t="s">
        <v>2471</v>
      </c>
      <c r="E3906" s="0" t="n">
        <v>1616</v>
      </c>
      <c r="F3906" s="0" t="s">
        <v>64</v>
      </c>
      <c r="I3906" s="0" t="n">
        <v>650221</v>
      </c>
      <c r="J3906" s="0" t="n">
        <v>38015</v>
      </c>
      <c r="K3906" s="0" t="n">
        <v>7896022207069</v>
      </c>
      <c r="L3906" s="0" t="s">
        <v>4340</v>
      </c>
      <c r="N3906" s="0" t="n">
        <v>36</v>
      </c>
      <c r="O3906" s="0" t="n">
        <v>50.19</v>
      </c>
      <c r="P3906" s="0" t="s">
        <v>2444</v>
      </c>
    </row>
    <row r="3907" customFormat="false" ht="15" hidden="false" customHeight="true" outlineLevel="0" collapsed="false">
      <c r="A3907" s="0" t="n">
        <v>2</v>
      </c>
      <c r="B3907" s="71" t="n">
        <v>46219</v>
      </c>
      <c r="C3907" s="0" t="n">
        <v>11</v>
      </c>
      <c r="D3907" s="0" t="s">
        <v>2471</v>
      </c>
      <c r="E3907" s="0" t="n">
        <v>1616</v>
      </c>
      <c r="F3907" s="0" t="s">
        <v>64</v>
      </c>
      <c r="I3907" s="0" t="n">
        <v>650221</v>
      </c>
      <c r="J3907" s="0" t="n">
        <v>41418</v>
      </c>
      <c r="K3907" s="0" t="n">
        <v>7896022205164</v>
      </c>
      <c r="L3907" s="0" t="s">
        <v>4341</v>
      </c>
      <c r="N3907" s="0" t="n">
        <v>20</v>
      </c>
      <c r="O3907" s="0" t="n">
        <v>68</v>
      </c>
      <c r="P3907" s="0" t="s">
        <v>2444</v>
      </c>
    </row>
    <row r="3908" customFormat="false" ht="15" hidden="false" customHeight="true" outlineLevel="0" collapsed="false">
      <c r="A3908" s="0" t="n">
        <v>2</v>
      </c>
      <c r="B3908" s="71" t="n">
        <v>46219</v>
      </c>
      <c r="C3908" s="0" t="n">
        <v>11</v>
      </c>
      <c r="D3908" s="0" t="s">
        <v>2471</v>
      </c>
      <c r="E3908" s="0" t="n">
        <v>1616</v>
      </c>
      <c r="F3908" s="0" t="s">
        <v>64</v>
      </c>
      <c r="I3908" s="0" t="n">
        <v>650221</v>
      </c>
      <c r="J3908" s="0" t="n">
        <v>47770</v>
      </c>
      <c r="K3908" s="0" t="n">
        <v>7896022207052</v>
      </c>
      <c r="L3908" s="0" t="s">
        <v>4342</v>
      </c>
      <c r="N3908" s="0" t="n">
        <v>36</v>
      </c>
      <c r="O3908" s="0" t="n">
        <v>50.05</v>
      </c>
      <c r="P3908" s="0" t="s">
        <v>2444</v>
      </c>
    </row>
    <row r="3909" customFormat="false" ht="15" hidden="false" customHeight="true" outlineLevel="0" collapsed="false">
      <c r="A3909" s="0" t="n">
        <v>2</v>
      </c>
      <c r="B3909" s="71" t="n">
        <v>46219</v>
      </c>
      <c r="C3909" s="0" t="n">
        <v>11</v>
      </c>
      <c r="D3909" s="0" t="s">
        <v>2471</v>
      </c>
      <c r="E3909" s="0" t="n">
        <v>1718</v>
      </c>
      <c r="F3909" s="0" t="s">
        <v>236</v>
      </c>
      <c r="I3909" s="0" t="n">
        <v>682520</v>
      </c>
      <c r="J3909" s="0" t="n">
        <v>102980</v>
      </c>
      <c r="K3909" s="0" t="n">
        <v>7895800201503</v>
      </c>
      <c r="L3909" s="0" t="s">
        <v>3263</v>
      </c>
      <c r="N3909" s="0" t="n">
        <v>42</v>
      </c>
      <c r="O3909" s="0" t="n">
        <v>85.3</v>
      </c>
      <c r="P3909" s="0" t="s">
        <v>2444</v>
      </c>
    </row>
    <row r="3910" customFormat="false" ht="15" hidden="false" customHeight="true" outlineLevel="0" collapsed="false">
      <c r="A3910" s="0" t="n">
        <v>2</v>
      </c>
      <c r="B3910" s="71" t="n">
        <v>46219</v>
      </c>
      <c r="C3910" s="0" t="n">
        <v>11</v>
      </c>
      <c r="D3910" s="0" t="s">
        <v>2471</v>
      </c>
      <c r="E3910" s="0" t="n">
        <v>1718</v>
      </c>
      <c r="F3910" s="0" t="s">
        <v>236</v>
      </c>
      <c r="I3910" s="0" t="n">
        <v>682520</v>
      </c>
      <c r="J3910" s="0" t="n">
        <v>16774</v>
      </c>
      <c r="K3910" s="0" t="n">
        <v>7895800430002</v>
      </c>
      <c r="L3910" s="0" t="s">
        <v>3265</v>
      </c>
      <c r="N3910" s="0" t="n">
        <v>42</v>
      </c>
      <c r="O3910" s="0" t="n">
        <v>85.3</v>
      </c>
      <c r="P3910" s="0" t="s">
        <v>2444</v>
      </c>
    </row>
    <row r="3911" customFormat="false" ht="15" hidden="false" customHeight="true" outlineLevel="0" collapsed="false">
      <c r="A3911" s="0" t="n">
        <v>2</v>
      </c>
      <c r="B3911" s="71" t="n">
        <v>46219</v>
      </c>
      <c r="C3911" s="0" t="n">
        <v>11</v>
      </c>
      <c r="D3911" s="0" t="s">
        <v>2471</v>
      </c>
      <c r="E3911" s="0" t="n">
        <v>1718</v>
      </c>
      <c r="F3911" s="0" t="s">
        <v>236</v>
      </c>
      <c r="I3911" s="0" t="n">
        <v>682520</v>
      </c>
      <c r="J3911" s="0" t="n">
        <v>16778</v>
      </c>
      <c r="K3911" s="0" t="n">
        <v>7895800304228</v>
      </c>
      <c r="L3911" s="0" t="s">
        <v>3266</v>
      </c>
      <c r="N3911" s="0" t="n">
        <v>105</v>
      </c>
      <c r="O3911" s="0" t="n">
        <v>213.25</v>
      </c>
      <c r="P3911" s="0" t="s">
        <v>2444</v>
      </c>
    </row>
    <row r="3912" customFormat="false" ht="15" hidden="false" customHeight="true" outlineLevel="0" collapsed="false">
      <c r="A3912" s="0" t="n">
        <v>2</v>
      </c>
      <c r="B3912" s="71" t="n">
        <v>46219</v>
      </c>
      <c r="C3912" s="0" t="n">
        <v>11</v>
      </c>
      <c r="D3912" s="0" t="s">
        <v>2471</v>
      </c>
      <c r="E3912" s="0" t="n">
        <v>1718</v>
      </c>
      <c r="F3912" s="0" t="s">
        <v>236</v>
      </c>
      <c r="I3912" s="0" t="n">
        <v>682520</v>
      </c>
      <c r="J3912" s="0" t="n">
        <v>16776</v>
      </c>
      <c r="K3912" s="0" t="n">
        <v>7895800304211</v>
      </c>
      <c r="L3912" s="0" t="s">
        <v>3267</v>
      </c>
      <c r="N3912" s="0" t="n">
        <v>105</v>
      </c>
      <c r="O3912" s="0" t="n">
        <v>213.25</v>
      </c>
      <c r="P3912" s="0" t="s">
        <v>2444</v>
      </c>
    </row>
    <row r="3913" customFormat="false" ht="15" hidden="false" customHeight="true" outlineLevel="0" collapsed="false">
      <c r="A3913" s="0" t="n">
        <v>2</v>
      </c>
      <c r="B3913" s="71" t="n">
        <v>46219</v>
      </c>
      <c r="C3913" s="0" t="n">
        <v>11</v>
      </c>
      <c r="D3913" s="0" t="s">
        <v>2471</v>
      </c>
      <c r="E3913" s="0" t="n">
        <v>1718</v>
      </c>
      <c r="F3913" s="0" t="s">
        <v>236</v>
      </c>
      <c r="I3913" s="0" t="n">
        <v>682520</v>
      </c>
      <c r="J3913" s="0" t="n">
        <v>21274</v>
      </c>
      <c r="K3913" s="0" t="n">
        <v>7622300830083</v>
      </c>
      <c r="L3913" s="0" t="s">
        <v>3398</v>
      </c>
      <c r="N3913" s="0" t="n">
        <v>16</v>
      </c>
      <c r="O3913" s="0" t="n">
        <v>26.3</v>
      </c>
      <c r="P3913" s="0" t="s">
        <v>2444</v>
      </c>
    </row>
    <row r="3914" customFormat="false" ht="15" hidden="false" customHeight="true" outlineLevel="0" collapsed="false">
      <c r="A3914" s="0" t="n">
        <v>2</v>
      </c>
      <c r="B3914" s="71" t="n">
        <v>46219</v>
      </c>
      <c r="C3914" s="0" t="n">
        <v>11</v>
      </c>
      <c r="D3914" s="0" t="s">
        <v>2471</v>
      </c>
      <c r="E3914" s="0" t="n">
        <v>1718</v>
      </c>
      <c r="F3914" s="0" t="s">
        <v>236</v>
      </c>
      <c r="I3914" s="0" t="n">
        <v>682520</v>
      </c>
      <c r="J3914" s="0" t="n">
        <v>22427</v>
      </c>
      <c r="K3914" s="0" t="n">
        <v>7622300873455</v>
      </c>
      <c r="L3914" s="0" t="s">
        <v>3400</v>
      </c>
      <c r="N3914" s="0" t="n">
        <v>16</v>
      </c>
      <c r="O3914" s="0" t="n">
        <v>26.3</v>
      </c>
      <c r="P3914" s="0" t="s">
        <v>2444</v>
      </c>
    </row>
    <row r="3915" customFormat="false" ht="15" hidden="false" customHeight="true" outlineLevel="0" collapsed="false">
      <c r="A3915" s="0" t="n">
        <v>2</v>
      </c>
      <c r="B3915" s="71" t="n">
        <v>46219</v>
      </c>
      <c r="C3915" s="0" t="n">
        <v>11</v>
      </c>
      <c r="D3915" s="0" t="s">
        <v>2471</v>
      </c>
      <c r="E3915" s="0" t="n">
        <v>1718</v>
      </c>
      <c r="F3915" s="0" t="s">
        <v>236</v>
      </c>
      <c r="I3915" s="0" t="n">
        <v>682520</v>
      </c>
      <c r="J3915" s="0" t="n">
        <v>29150</v>
      </c>
      <c r="K3915" s="0" t="n">
        <v>78938816</v>
      </c>
      <c r="L3915" s="0" t="s">
        <v>3409</v>
      </c>
      <c r="N3915" s="0" t="n">
        <v>105</v>
      </c>
      <c r="O3915" s="0" t="n">
        <v>140.35</v>
      </c>
      <c r="P3915" s="0" t="s">
        <v>2444</v>
      </c>
    </row>
    <row r="3916" customFormat="false" ht="15" hidden="false" customHeight="true" outlineLevel="0" collapsed="false">
      <c r="A3916" s="0" t="n">
        <v>2</v>
      </c>
      <c r="B3916" s="71" t="n">
        <v>46219</v>
      </c>
      <c r="C3916" s="0" t="n">
        <v>11</v>
      </c>
      <c r="D3916" s="0" t="s">
        <v>2471</v>
      </c>
      <c r="E3916" s="0" t="n">
        <v>1718</v>
      </c>
      <c r="F3916" s="0" t="s">
        <v>236</v>
      </c>
      <c r="I3916" s="0" t="n">
        <v>682520</v>
      </c>
      <c r="J3916" s="0" t="n">
        <v>29151</v>
      </c>
      <c r="K3916" s="0" t="n">
        <v>78938823</v>
      </c>
      <c r="L3916" s="0" t="s">
        <v>3410</v>
      </c>
      <c r="N3916" s="0" t="n">
        <v>63</v>
      </c>
      <c r="O3916" s="0" t="n">
        <v>84.21</v>
      </c>
      <c r="P3916" s="0" t="s">
        <v>2444</v>
      </c>
    </row>
    <row r="3917" customFormat="false" ht="15" hidden="false" customHeight="true" outlineLevel="0" collapsed="false">
      <c r="A3917" s="0" t="n">
        <v>2</v>
      </c>
      <c r="B3917" s="71" t="n">
        <v>46219</v>
      </c>
      <c r="C3917" s="0" t="n">
        <v>11</v>
      </c>
      <c r="D3917" s="0" t="s">
        <v>2471</v>
      </c>
      <c r="E3917" s="0" t="n">
        <v>1718</v>
      </c>
      <c r="F3917" s="0" t="s">
        <v>236</v>
      </c>
      <c r="I3917" s="0" t="n">
        <v>682520</v>
      </c>
      <c r="J3917" s="0" t="n">
        <v>29153</v>
      </c>
      <c r="K3917" s="0" t="n">
        <v>78938793</v>
      </c>
      <c r="L3917" s="0" t="s">
        <v>3412</v>
      </c>
      <c r="N3917" s="0" t="n">
        <v>42</v>
      </c>
      <c r="O3917" s="0" t="n">
        <v>56.14</v>
      </c>
      <c r="P3917" s="0" t="s">
        <v>2444</v>
      </c>
    </row>
    <row r="3918" customFormat="false" ht="15" hidden="false" customHeight="true" outlineLevel="0" collapsed="false">
      <c r="A3918" s="0" t="n">
        <v>2</v>
      </c>
      <c r="B3918" s="71" t="n">
        <v>46219</v>
      </c>
      <c r="C3918" s="0" t="n">
        <v>11</v>
      </c>
      <c r="D3918" s="0" t="s">
        <v>2471</v>
      </c>
      <c r="E3918" s="0" t="n">
        <v>1718</v>
      </c>
      <c r="F3918" s="0" t="s">
        <v>236</v>
      </c>
      <c r="I3918" s="0" t="n">
        <v>682520</v>
      </c>
      <c r="J3918" s="0" t="n">
        <v>36309</v>
      </c>
      <c r="K3918" s="0" t="n">
        <v>78938830</v>
      </c>
      <c r="L3918" s="0" t="s">
        <v>3414</v>
      </c>
      <c r="N3918" s="0" t="n">
        <v>105</v>
      </c>
      <c r="O3918" s="0" t="n">
        <v>140.35</v>
      </c>
      <c r="P3918" s="0" t="s">
        <v>2444</v>
      </c>
    </row>
    <row r="3919" customFormat="false" ht="15" hidden="false" customHeight="true" outlineLevel="0" collapsed="false">
      <c r="A3919" s="0" t="n">
        <v>2</v>
      </c>
      <c r="B3919" s="71" t="n">
        <v>46219</v>
      </c>
      <c r="C3919" s="0" t="n">
        <v>11</v>
      </c>
      <c r="D3919" s="0" t="s">
        <v>2471</v>
      </c>
      <c r="E3919" s="0" t="n">
        <v>1718</v>
      </c>
      <c r="F3919" s="0" t="s">
        <v>236</v>
      </c>
      <c r="I3919" s="0" t="n">
        <v>682520</v>
      </c>
      <c r="J3919" s="0" t="n">
        <v>36310</v>
      </c>
      <c r="K3919" s="0" t="n">
        <v>78938854</v>
      </c>
      <c r="L3919" s="0" t="s">
        <v>3416</v>
      </c>
      <c r="N3919" s="0" t="n">
        <v>42</v>
      </c>
      <c r="O3919" s="0" t="n">
        <v>56.14</v>
      </c>
      <c r="P3919" s="0" t="s">
        <v>2444</v>
      </c>
    </row>
    <row r="3920" customFormat="false" ht="15" hidden="false" customHeight="true" outlineLevel="0" collapsed="false">
      <c r="A3920" s="0" t="n">
        <v>2</v>
      </c>
      <c r="B3920" s="71" t="n">
        <v>46219</v>
      </c>
      <c r="C3920" s="0" t="n">
        <v>11</v>
      </c>
      <c r="D3920" s="0" t="s">
        <v>2471</v>
      </c>
      <c r="E3920" s="0" t="n">
        <v>1718</v>
      </c>
      <c r="F3920" s="0" t="s">
        <v>236</v>
      </c>
      <c r="I3920" s="0" t="n">
        <v>682520</v>
      </c>
      <c r="J3920" s="0" t="n">
        <v>38564</v>
      </c>
      <c r="K3920" s="0" t="n">
        <v>7622210564290</v>
      </c>
      <c r="L3920" s="0" t="s">
        <v>4343</v>
      </c>
      <c r="N3920" s="0" t="n">
        <v>105</v>
      </c>
      <c r="O3920" s="0" t="n">
        <v>213.25</v>
      </c>
      <c r="P3920" s="0" t="s">
        <v>2444</v>
      </c>
    </row>
    <row r="3921" customFormat="false" ht="15" hidden="false" customHeight="true" outlineLevel="0" collapsed="false">
      <c r="A3921" s="0" t="n">
        <v>2</v>
      </c>
      <c r="B3921" s="71" t="n">
        <v>46219</v>
      </c>
      <c r="C3921" s="0" t="n">
        <v>11</v>
      </c>
      <c r="D3921" s="0" t="s">
        <v>2471</v>
      </c>
      <c r="E3921" s="0" t="n">
        <v>1718</v>
      </c>
      <c r="F3921" s="0" t="s">
        <v>236</v>
      </c>
      <c r="I3921" s="0" t="n">
        <v>682520</v>
      </c>
      <c r="J3921" s="0" t="n">
        <v>39153</v>
      </c>
      <c r="K3921" s="0" t="n">
        <v>7622210563538</v>
      </c>
      <c r="L3921" s="0" t="s">
        <v>4344</v>
      </c>
      <c r="N3921" s="0" t="n">
        <v>28</v>
      </c>
      <c r="O3921" s="0" t="n">
        <v>79.42</v>
      </c>
      <c r="P3921" s="0" t="s">
        <v>2444</v>
      </c>
    </row>
    <row r="3922" customFormat="false" ht="15" hidden="false" customHeight="true" outlineLevel="0" collapsed="false">
      <c r="A3922" s="0" t="n">
        <v>2</v>
      </c>
      <c r="B3922" s="71" t="n">
        <v>46219</v>
      </c>
      <c r="C3922" s="0" t="n">
        <v>11</v>
      </c>
      <c r="D3922" s="0" t="s">
        <v>2471</v>
      </c>
      <c r="E3922" s="0" t="n">
        <v>1718</v>
      </c>
      <c r="F3922" s="0" t="s">
        <v>236</v>
      </c>
      <c r="I3922" s="0" t="n">
        <v>682520</v>
      </c>
      <c r="J3922" s="0" t="n">
        <v>39155</v>
      </c>
      <c r="K3922" s="0" t="n">
        <v>7622210933454</v>
      </c>
      <c r="L3922" s="0" t="s">
        <v>3419</v>
      </c>
      <c r="N3922" s="0" t="n">
        <v>20</v>
      </c>
      <c r="O3922" s="0" t="n">
        <v>51.08</v>
      </c>
      <c r="P3922" s="0" t="s">
        <v>2444</v>
      </c>
    </row>
    <row r="3923" customFormat="false" ht="15" hidden="false" customHeight="true" outlineLevel="0" collapsed="false">
      <c r="A3923" s="0" t="n">
        <v>2</v>
      </c>
      <c r="B3923" s="71" t="n">
        <v>46219</v>
      </c>
      <c r="C3923" s="0" t="n">
        <v>11</v>
      </c>
      <c r="D3923" s="0" t="s">
        <v>2471</v>
      </c>
      <c r="E3923" s="0" t="n">
        <v>1718</v>
      </c>
      <c r="F3923" s="0" t="s">
        <v>236</v>
      </c>
      <c r="I3923" s="0" t="n">
        <v>682520</v>
      </c>
      <c r="J3923" s="0" t="n">
        <v>40652</v>
      </c>
      <c r="K3923" s="0" t="n">
        <v>7622210563477</v>
      </c>
      <c r="L3923" s="0" t="s">
        <v>4345</v>
      </c>
      <c r="N3923" s="0" t="n">
        <v>28</v>
      </c>
      <c r="O3923" s="0" t="n">
        <v>79.42</v>
      </c>
      <c r="P3923" s="0" t="s">
        <v>2444</v>
      </c>
    </row>
    <row r="3924" customFormat="false" ht="15" hidden="false" customHeight="true" outlineLevel="0" collapsed="false">
      <c r="A3924" s="0" t="n">
        <v>2</v>
      </c>
      <c r="B3924" s="71" t="n">
        <v>46219</v>
      </c>
      <c r="C3924" s="0" t="n">
        <v>11</v>
      </c>
      <c r="D3924" s="0" t="s">
        <v>2471</v>
      </c>
      <c r="E3924" s="0" t="n">
        <v>1718</v>
      </c>
      <c r="F3924" s="0" t="s">
        <v>236</v>
      </c>
      <c r="I3924" s="0" t="n">
        <v>682520</v>
      </c>
      <c r="J3924" s="0" t="n">
        <v>52436</v>
      </c>
      <c r="K3924" s="0" t="n">
        <v>7895800002940</v>
      </c>
      <c r="L3924" s="0" t="s">
        <v>3269</v>
      </c>
      <c r="N3924" s="0" t="n">
        <v>120</v>
      </c>
      <c r="O3924" s="0" t="n">
        <v>34.12</v>
      </c>
      <c r="P3924" s="0" t="s">
        <v>2444</v>
      </c>
    </row>
    <row r="3925" customFormat="false" ht="15" hidden="false" customHeight="true" outlineLevel="0" collapsed="false">
      <c r="A3925" s="0" t="n">
        <v>2</v>
      </c>
      <c r="B3925" s="71" t="n">
        <v>46219</v>
      </c>
      <c r="C3925" s="0" t="n">
        <v>11</v>
      </c>
      <c r="D3925" s="0" t="s">
        <v>2471</v>
      </c>
      <c r="E3925" s="0" t="n">
        <v>1718</v>
      </c>
      <c r="F3925" s="0" t="s">
        <v>236</v>
      </c>
      <c r="I3925" s="0" t="n">
        <v>682520</v>
      </c>
      <c r="J3925" s="0" t="n">
        <v>52437</v>
      </c>
      <c r="K3925" s="0" t="n">
        <v>7895800002964</v>
      </c>
      <c r="L3925" s="0" t="s">
        <v>4346</v>
      </c>
      <c r="N3925" s="0" t="n">
        <v>120</v>
      </c>
      <c r="O3925" s="0" t="n">
        <v>34.12</v>
      </c>
      <c r="P3925" s="0" t="s">
        <v>2444</v>
      </c>
    </row>
    <row r="3926" customFormat="false" ht="15" hidden="false" customHeight="true" outlineLevel="0" collapsed="false">
      <c r="A3926" s="0" t="n">
        <v>2</v>
      </c>
      <c r="B3926" s="71" t="n">
        <v>46219</v>
      </c>
      <c r="C3926" s="0" t="n">
        <v>11</v>
      </c>
      <c r="D3926" s="0" t="s">
        <v>2471</v>
      </c>
      <c r="E3926" s="0" t="n">
        <v>1718</v>
      </c>
      <c r="F3926" s="0" t="s">
        <v>236</v>
      </c>
      <c r="I3926" s="0" t="n">
        <v>682520</v>
      </c>
      <c r="J3926" s="0" t="n">
        <v>52455</v>
      </c>
      <c r="K3926" s="0" t="n">
        <v>7895800002957</v>
      </c>
      <c r="L3926" s="0" t="s">
        <v>3270</v>
      </c>
      <c r="N3926" s="0" t="n">
        <v>120</v>
      </c>
      <c r="O3926" s="0" t="n">
        <v>34.12</v>
      </c>
      <c r="P3926" s="0" t="s">
        <v>2444</v>
      </c>
    </row>
    <row r="3927" customFormat="false" ht="15" hidden="false" customHeight="true" outlineLevel="0" collapsed="false">
      <c r="A3927" s="0" t="n">
        <v>2</v>
      </c>
      <c r="B3927" s="71" t="n">
        <v>46219</v>
      </c>
      <c r="C3927" s="0" t="n">
        <v>11</v>
      </c>
      <c r="D3927" s="0" t="s">
        <v>2471</v>
      </c>
      <c r="E3927" s="0" t="n">
        <v>1718</v>
      </c>
      <c r="F3927" s="0" t="s">
        <v>236</v>
      </c>
      <c r="I3927" s="0" t="n">
        <v>682520</v>
      </c>
      <c r="J3927" s="0" t="n">
        <v>52456</v>
      </c>
      <c r="K3927" s="0" t="n">
        <v>7895800002933</v>
      </c>
      <c r="L3927" s="0" t="s">
        <v>4347</v>
      </c>
      <c r="N3927" s="0" t="n">
        <v>120</v>
      </c>
      <c r="O3927" s="0" t="n">
        <v>34.12</v>
      </c>
      <c r="P3927" s="0" t="s">
        <v>2444</v>
      </c>
    </row>
    <row r="3928" customFormat="false" ht="15" hidden="false" customHeight="true" outlineLevel="0" collapsed="false">
      <c r="A3928" s="0" t="n">
        <v>2</v>
      </c>
      <c r="B3928" s="71" t="n">
        <v>46219</v>
      </c>
      <c r="C3928" s="0" t="n">
        <v>11</v>
      </c>
      <c r="D3928" s="0" t="s">
        <v>2471</v>
      </c>
      <c r="E3928" s="0" t="n">
        <v>1718</v>
      </c>
      <c r="F3928" s="0" t="s">
        <v>236</v>
      </c>
      <c r="I3928" s="0" t="n">
        <v>682520</v>
      </c>
      <c r="J3928" s="0" t="n">
        <v>81768</v>
      </c>
      <c r="K3928" s="0" t="n">
        <v>78949416</v>
      </c>
      <c r="L3928" s="0" t="s">
        <v>4348</v>
      </c>
      <c r="N3928" s="0" t="n">
        <v>42</v>
      </c>
      <c r="O3928" s="0" t="n">
        <v>56.14</v>
      </c>
      <c r="P3928" s="0" t="s">
        <v>2444</v>
      </c>
    </row>
    <row r="3929" customFormat="false" ht="15" hidden="false" customHeight="true" outlineLevel="0" collapsed="false">
      <c r="A3929" s="0" t="n">
        <v>2</v>
      </c>
      <c r="B3929" s="71" t="n">
        <v>46219</v>
      </c>
      <c r="C3929" s="0" t="n">
        <v>11</v>
      </c>
      <c r="D3929" s="0" t="s">
        <v>2471</v>
      </c>
      <c r="E3929" s="0" t="n">
        <v>1705</v>
      </c>
      <c r="F3929" s="0" t="s">
        <v>130</v>
      </c>
      <c r="I3929" s="0" t="n">
        <v>1203711</v>
      </c>
      <c r="J3929" s="0" t="n">
        <v>103140</v>
      </c>
      <c r="K3929" s="0" t="n">
        <v>7894900031751</v>
      </c>
      <c r="L3929" s="0" t="s">
        <v>2655</v>
      </c>
      <c r="N3929" s="0" t="n">
        <v>18</v>
      </c>
      <c r="O3929" s="0" t="n">
        <v>101.83</v>
      </c>
      <c r="P3929" s="0" t="s">
        <v>2444</v>
      </c>
    </row>
    <row r="3930" customFormat="false" ht="15" hidden="false" customHeight="true" outlineLevel="0" collapsed="false">
      <c r="A3930" s="0" t="n">
        <v>2</v>
      </c>
      <c r="B3930" s="71" t="n">
        <v>46219</v>
      </c>
      <c r="C3930" s="0" t="n">
        <v>11</v>
      </c>
      <c r="D3930" s="0" t="s">
        <v>2471</v>
      </c>
      <c r="E3930" s="0" t="n">
        <v>1705</v>
      </c>
      <c r="F3930" s="0" t="s">
        <v>130</v>
      </c>
      <c r="I3930" s="0" t="n">
        <v>1203711</v>
      </c>
      <c r="J3930" s="0" t="n">
        <v>104029</v>
      </c>
      <c r="K3930" s="0" t="n">
        <v>7896045512317</v>
      </c>
      <c r="L3930" s="0" t="s">
        <v>3256</v>
      </c>
      <c r="N3930" s="0" t="n">
        <v>180</v>
      </c>
      <c r="O3930" s="0" t="n">
        <v>527.47</v>
      </c>
      <c r="P3930" s="0" t="s">
        <v>2444</v>
      </c>
    </row>
    <row r="3931" customFormat="false" ht="15" hidden="false" customHeight="true" outlineLevel="0" collapsed="false">
      <c r="A3931" s="0" t="n">
        <v>2</v>
      </c>
      <c r="B3931" s="71" t="n">
        <v>46219</v>
      </c>
      <c r="C3931" s="0" t="n">
        <v>11</v>
      </c>
      <c r="D3931" s="0" t="s">
        <v>2471</v>
      </c>
      <c r="E3931" s="0" t="n">
        <v>1705</v>
      </c>
      <c r="F3931" s="0" t="s">
        <v>130</v>
      </c>
      <c r="I3931" s="0" t="n">
        <v>1203711</v>
      </c>
      <c r="J3931" s="0" t="n">
        <v>104576</v>
      </c>
      <c r="K3931" s="0" t="n">
        <v>7898341430111</v>
      </c>
      <c r="L3931" s="0" t="s">
        <v>2561</v>
      </c>
      <c r="N3931" s="0" t="n">
        <v>6</v>
      </c>
      <c r="O3931" s="0" t="n">
        <v>60.87</v>
      </c>
      <c r="P3931" s="0" t="s">
        <v>2444</v>
      </c>
    </row>
    <row r="3932" customFormat="false" ht="15" hidden="false" customHeight="true" outlineLevel="0" collapsed="false">
      <c r="A3932" s="0" t="n">
        <v>2</v>
      </c>
      <c r="B3932" s="71" t="n">
        <v>46219</v>
      </c>
      <c r="C3932" s="0" t="n">
        <v>11</v>
      </c>
      <c r="D3932" s="0" t="s">
        <v>2471</v>
      </c>
      <c r="E3932" s="0" t="n">
        <v>1705</v>
      </c>
      <c r="F3932" s="0" t="s">
        <v>130</v>
      </c>
      <c r="I3932" s="0" t="n">
        <v>1203711</v>
      </c>
      <c r="J3932" s="0" t="n">
        <v>14312</v>
      </c>
      <c r="K3932" s="0" t="n">
        <v>7894900504002</v>
      </c>
      <c r="L3932" s="0" t="s">
        <v>4349</v>
      </c>
      <c r="N3932" s="0" t="n">
        <v>6</v>
      </c>
      <c r="O3932" s="0" t="n">
        <v>29.3</v>
      </c>
      <c r="P3932" s="0" t="s">
        <v>2444</v>
      </c>
    </row>
    <row r="3933" customFormat="false" ht="15" hidden="false" customHeight="true" outlineLevel="0" collapsed="false">
      <c r="A3933" s="0" t="n">
        <v>2</v>
      </c>
      <c r="B3933" s="71" t="n">
        <v>46219</v>
      </c>
      <c r="C3933" s="0" t="n">
        <v>11</v>
      </c>
      <c r="D3933" s="0" t="s">
        <v>2471</v>
      </c>
      <c r="E3933" s="0" t="n">
        <v>1705</v>
      </c>
      <c r="F3933" s="0" t="s">
        <v>130</v>
      </c>
      <c r="I3933" s="0" t="n">
        <v>1203711</v>
      </c>
      <c r="J3933" s="0" t="n">
        <v>21003</v>
      </c>
      <c r="K3933" s="0" t="n">
        <v>7894900611014</v>
      </c>
      <c r="L3933" s="0" t="s">
        <v>4350</v>
      </c>
      <c r="N3933" s="0" t="n">
        <v>6</v>
      </c>
      <c r="O3933" s="0" t="n">
        <v>100.55</v>
      </c>
      <c r="P3933" s="0" t="s">
        <v>2444</v>
      </c>
    </row>
    <row r="3934" customFormat="false" ht="15" hidden="false" customHeight="true" outlineLevel="0" collapsed="false">
      <c r="A3934" s="0" t="n">
        <v>2</v>
      </c>
      <c r="B3934" s="71" t="n">
        <v>46219</v>
      </c>
      <c r="C3934" s="0" t="n">
        <v>11</v>
      </c>
      <c r="D3934" s="0" t="s">
        <v>2471</v>
      </c>
      <c r="E3934" s="0" t="n">
        <v>1705</v>
      </c>
      <c r="F3934" s="0" t="s">
        <v>130</v>
      </c>
      <c r="I3934" s="0" t="n">
        <v>1203711</v>
      </c>
      <c r="J3934" s="0" t="n">
        <v>24324</v>
      </c>
      <c r="K3934" s="0" t="n">
        <v>70847022015</v>
      </c>
      <c r="L3934" s="0" t="s">
        <v>2462</v>
      </c>
      <c r="N3934" s="0" t="n">
        <v>24</v>
      </c>
      <c r="O3934" s="0" t="n">
        <v>203.42</v>
      </c>
      <c r="P3934" s="0" t="s">
        <v>2444</v>
      </c>
    </row>
    <row r="3935" customFormat="false" ht="15" hidden="false" customHeight="true" outlineLevel="0" collapsed="false">
      <c r="A3935" s="0" t="n">
        <v>2</v>
      </c>
      <c r="B3935" s="71" t="n">
        <v>46219</v>
      </c>
      <c r="C3935" s="0" t="n">
        <v>11</v>
      </c>
      <c r="D3935" s="0" t="s">
        <v>2471</v>
      </c>
      <c r="E3935" s="0" t="n">
        <v>1705</v>
      </c>
      <c r="F3935" s="0" t="s">
        <v>130</v>
      </c>
      <c r="I3935" s="0" t="n">
        <v>1203711</v>
      </c>
      <c r="J3935" s="0" t="n">
        <v>27643</v>
      </c>
      <c r="K3935" s="0" t="n">
        <v>7894900031713</v>
      </c>
      <c r="L3935" s="0" t="s">
        <v>4351</v>
      </c>
      <c r="N3935" s="0" t="n">
        <v>18</v>
      </c>
      <c r="O3935" s="0" t="n">
        <v>86.08</v>
      </c>
      <c r="P3935" s="0" t="s">
        <v>2444</v>
      </c>
    </row>
    <row r="3936" customFormat="false" ht="15" hidden="false" customHeight="true" outlineLevel="0" collapsed="false">
      <c r="A3936" s="0" t="n">
        <v>2</v>
      </c>
      <c r="B3936" s="71" t="n">
        <v>46219</v>
      </c>
      <c r="C3936" s="0" t="n">
        <v>11</v>
      </c>
      <c r="D3936" s="0" t="s">
        <v>2471</v>
      </c>
      <c r="E3936" s="0" t="n">
        <v>1705</v>
      </c>
      <c r="F3936" s="0" t="s">
        <v>130</v>
      </c>
      <c r="I3936" s="0" t="n">
        <v>1203711</v>
      </c>
      <c r="J3936" s="0" t="n">
        <v>29749</v>
      </c>
      <c r="K3936" s="0" t="n">
        <v>70847033929</v>
      </c>
      <c r="L3936" s="0" t="s">
        <v>2563</v>
      </c>
      <c r="N3936" s="0" t="n">
        <v>6</v>
      </c>
      <c r="O3936" s="0" t="n">
        <v>50.85</v>
      </c>
      <c r="P3936" s="0" t="s">
        <v>2444</v>
      </c>
    </row>
    <row r="3937" customFormat="false" ht="15" hidden="false" customHeight="true" outlineLevel="0" collapsed="false">
      <c r="A3937" s="0" t="n">
        <v>2</v>
      </c>
      <c r="B3937" s="71" t="n">
        <v>46219</v>
      </c>
      <c r="C3937" s="0" t="n">
        <v>11</v>
      </c>
      <c r="D3937" s="0" t="s">
        <v>2471</v>
      </c>
      <c r="E3937" s="0" t="n">
        <v>1705</v>
      </c>
      <c r="F3937" s="0" t="s">
        <v>130</v>
      </c>
      <c r="I3937" s="0" t="n">
        <v>1203711</v>
      </c>
      <c r="J3937" s="0" t="n">
        <v>61083</v>
      </c>
      <c r="K3937" s="0" t="n">
        <v>7894900503029</v>
      </c>
      <c r="L3937" s="0" t="s">
        <v>4352</v>
      </c>
      <c r="N3937" s="0" t="n">
        <v>6</v>
      </c>
      <c r="O3937" s="0" t="n">
        <v>29.3</v>
      </c>
      <c r="P3937" s="0" t="s">
        <v>2444</v>
      </c>
    </row>
    <row r="3938" customFormat="false" ht="15" hidden="false" customHeight="true" outlineLevel="0" collapsed="false">
      <c r="A3938" s="0" t="n">
        <v>2</v>
      </c>
      <c r="B3938" s="71" t="n">
        <v>46219</v>
      </c>
      <c r="C3938" s="0" t="n">
        <v>11</v>
      </c>
      <c r="D3938" s="0" t="s">
        <v>2471</v>
      </c>
      <c r="E3938" s="0" t="n">
        <v>1740</v>
      </c>
      <c r="F3938" s="0" t="s">
        <v>468</v>
      </c>
      <c r="I3938" s="0" t="n">
        <v>1248471</v>
      </c>
      <c r="J3938" s="0" t="n">
        <v>65295</v>
      </c>
      <c r="K3938" s="0" t="n">
        <v>7891164110635</v>
      </c>
      <c r="L3938" s="0" t="s">
        <v>4353</v>
      </c>
      <c r="N3938" s="0" t="n">
        <v>16</v>
      </c>
      <c r="O3938" s="0" t="n">
        <v>113.25</v>
      </c>
      <c r="P3938" s="0" t="s">
        <v>2444</v>
      </c>
    </row>
    <row r="3939" customFormat="false" ht="15" hidden="false" customHeight="true" outlineLevel="0" collapsed="false">
      <c r="A3939" s="0" t="n">
        <v>2</v>
      </c>
      <c r="B3939" s="71" t="n">
        <v>46219</v>
      </c>
      <c r="C3939" s="0" t="n">
        <v>11</v>
      </c>
      <c r="D3939" s="0" t="s">
        <v>2471</v>
      </c>
      <c r="E3939" s="0" t="n">
        <v>1740</v>
      </c>
      <c r="F3939" s="0" t="s">
        <v>468</v>
      </c>
      <c r="I3939" s="0" t="n">
        <v>1248471</v>
      </c>
      <c r="J3939" s="0" t="n">
        <v>65686</v>
      </c>
      <c r="K3939" s="0" t="n">
        <v>7891164110727</v>
      </c>
      <c r="L3939" s="0" t="s">
        <v>4353</v>
      </c>
      <c r="N3939" s="0" t="n">
        <v>16</v>
      </c>
      <c r="O3939" s="0" t="n">
        <v>113.25</v>
      </c>
      <c r="P3939" s="0" t="s">
        <v>2444</v>
      </c>
    </row>
    <row r="3940" customFormat="false" ht="15" hidden="false" customHeight="true" outlineLevel="0" collapsed="false">
      <c r="A3940" s="0" t="n">
        <v>2</v>
      </c>
      <c r="B3940" s="71" t="n">
        <v>46219</v>
      </c>
      <c r="C3940" s="0" t="n">
        <v>11</v>
      </c>
      <c r="D3940" s="0" t="s">
        <v>2471</v>
      </c>
      <c r="E3940" s="0" t="n">
        <v>1740</v>
      </c>
      <c r="F3940" s="0" t="s">
        <v>468</v>
      </c>
      <c r="I3940" s="0" t="n">
        <v>1248471</v>
      </c>
      <c r="J3940" s="0" t="n">
        <v>67267</v>
      </c>
      <c r="K3940" s="0" t="n">
        <v>7891164110642</v>
      </c>
      <c r="L3940" s="0" t="s">
        <v>4354</v>
      </c>
      <c r="N3940" s="0" t="n">
        <v>16</v>
      </c>
      <c r="O3940" s="0" t="n">
        <v>104.03</v>
      </c>
      <c r="P3940" s="0" t="s">
        <v>2444</v>
      </c>
    </row>
    <row r="3941" customFormat="false" ht="15" hidden="false" customHeight="true" outlineLevel="0" collapsed="false">
      <c r="A3941" s="0" t="n">
        <v>2</v>
      </c>
      <c r="B3941" s="71" t="n">
        <v>46219</v>
      </c>
      <c r="C3941" s="0" t="n">
        <v>11</v>
      </c>
      <c r="D3941" s="0" t="s">
        <v>2471</v>
      </c>
      <c r="E3941" s="0" t="n">
        <v>1740</v>
      </c>
      <c r="F3941" s="0" t="s">
        <v>468</v>
      </c>
      <c r="I3941" s="0" t="n">
        <v>1248471</v>
      </c>
      <c r="J3941" s="0" t="n">
        <v>72544</v>
      </c>
      <c r="K3941" s="0" t="n">
        <v>7891164110741</v>
      </c>
      <c r="L3941" s="0" t="s">
        <v>4355</v>
      </c>
      <c r="N3941" s="0" t="n">
        <v>16</v>
      </c>
      <c r="O3941" s="0" t="n">
        <v>115.2</v>
      </c>
      <c r="P3941" s="0" t="s">
        <v>2444</v>
      </c>
    </row>
    <row r="3942" customFormat="false" ht="15" hidden="false" customHeight="true" outlineLevel="0" collapsed="false">
      <c r="A3942" s="0" t="n">
        <v>2</v>
      </c>
      <c r="B3942" s="71" t="n">
        <v>46219</v>
      </c>
      <c r="C3942" s="0" t="n">
        <v>11</v>
      </c>
      <c r="D3942" s="0" t="s">
        <v>2471</v>
      </c>
      <c r="E3942" s="0" t="n">
        <v>1740</v>
      </c>
      <c r="F3942" s="0" t="s">
        <v>468</v>
      </c>
      <c r="I3942" s="0" t="n">
        <v>1248471</v>
      </c>
      <c r="J3942" s="0" t="n">
        <v>81769</v>
      </c>
      <c r="K3942" s="0" t="n">
        <v>7891164110673</v>
      </c>
      <c r="L3942" s="0" t="s">
        <v>4356</v>
      </c>
      <c r="N3942" s="0" t="n">
        <v>16</v>
      </c>
      <c r="O3942" s="0" t="n">
        <v>148.05</v>
      </c>
      <c r="P3942" s="0" t="s">
        <v>2444</v>
      </c>
    </row>
    <row r="3943" customFormat="false" ht="15" hidden="false" customHeight="true" outlineLevel="0" collapsed="false">
      <c r="A3943" s="0" t="n">
        <v>2</v>
      </c>
      <c r="B3943" s="71" t="n">
        <v>46219</v>
      </c>
      <c r="C3943" s="0" t="n">
        <v>11</v>
      </c>
      <c r="D3943" s="0" t="s">
        <v>2471</v>
      </c>
      <c r="E3943" s="0" t="n">
        <v>10009</v>
      </c>
      <c r="F3943" s="0" t="s">
        <v>464</v>
      </c>
      <c r="I3943" s="0" t="n">
        <v>1427668</v>
      </c>
      <c r="J3943" s="0" t="n">
        <v>102412</v>
      </c>
      <c r="K3943" s="0" t="n">
        <v>78912359</v>
      </c>
      <c r="L3943" s="0" t="s">
        <v>3042</v>
      </c>
      <c r="N3943" s="0" t="n">
        <v>30</v>
      </c>
      <c r="O3943" s="0" t="n">
        <v>43.91</v>
      </c>
      <c r="P3943" s="0" t="s">
        <v>2444</v>
      </c>
    </row>
    <row r="3944" customFormat="false" ht="15" hidden="false" customHeight="true" outlineLevel="0" collapsed="false">
      <c r="A3944" s="0" t="n">
        <v>2</v>
      </c>
      <c r="B3944" s="71" t="n">
        <v>46219</v>
      </c>
      <c r="C3944" s="0" t="n">
        <v>11</v>
      </c>
      <c r="D3944" s="0" t="s">
        <v>2471</v>
      </c>
      <c r="E3944" s="0" t="n">
        <v>10009</v>
      </c>
      <c r="F3944" s="0" t="s">
        <v>464</v>
      </c>
      <c r="I3944" s="0" t="n">
        <v>1427668</v>
      </c>
      <c r="J3944" s="0" t="n">
        <v>102418</v>
      </c>
      <c r="K3944" s="0" t="n">
        <v>7891000460207</v>
      </c>
      <c r="L3944" s="0" t="s">
        <v>3169</v>
      </c>
      <c r="N3944" s="0" t="n">
        <v>30</v>
      </c>
      <c r="O3944" s="0" t="n">
        <v>74.59</v>
      </c>
      <c r="P3944" s="0" t="s">
        <v>2444</v>
      </c>
    </row>
    <row r="3945" customFormat="false" ht="15" hidden="false" customHeight="true" outlineLevel="0" collapsed="false">
      <c r="A3945" s="0" t="n">
        <v>2</v>
      </c>
      <c r="B3945" s="71" t="n">
        <v>46219</v>
      </c>
      <c r="C3945" s="0" t="n">
        <v>11</v>
      </c>
      <c r="D3945" s="0" t="s">
        <v>2471</v>
      </c>
      <c r="E3945" s="0" t="n">
        <v>10009</v>
      </c>
      <c r="F3945" s="0" t="s">
        <v>464</v>
      </c>
      <c r="I3945" s="0" t="n">
        <v>1427668</v>
      </c>
      <c r="J3945" s="0" t="n">
        <v>102419</v>
      </c>
      <c r="K3945" s="0" t="n">
        <v>7891000462300</v>
      </c>
      <c r="L3945" s="0" t="s">
        <v>3170</v>
      </c>
      <c r="N3945" s="0" t="n">
        <v>30</v>
      </c>
      <c r="O3945" s="0" t="n">
        <v>74.38</v>
      </c>
      <c r="P3945" s="0" t="s">
        <v>2444</v>
      </c>
    </row>
    <row r="3946" customFormat="false" ht="15" hidden="false" customHeight="true" outlineLevel="0" collapsed="false">
      <c r="A3946" s="0" t="n">
        <v>2</v>
      </c>
      <c r="B3946" s="71" t="n">
        <v>46219</v>
      </c>
      <c r="C3946" s="0" t="n">
        <v>11</v>
      </c>
      <c r="D3946" s="0" t="s">
        <v>2471</v>
      </c>
      <c r="E3946" s="0" t="n">
        <v>10009</v>
      </c>
      <c r="F3946" s="0" t="s">
        <v>464</v>
      </c>
      <c r="I3946" s="0" t="n">
        <v>1427668</v>
      </c>
      <c r="J3946" s="0" t="n">
        <v>102576</v>
      </c>
      <c r="K3946" s="0" t="n">
        <v>7891000126905</v>
      </c>
      <c r="L3946" s="0" t="s">
        <v>4357</v>
      </c>
      <c r="N3946" s="0" t="n">
        <v>27</v>
      </c>
      <c r="O3946" s="0" t="n">
        <v>118.51</v>
      </c>
      <c r="P3946" s="0" t="s">
        <v>2444</v>
      </c>
    </row>
    <row r="3947" customFormat="false" ht="15" hidden="false" customHeight="true" outlineLevel="0" collapsed="false">
      <c r="A3947" s="0" t="n">
        <v>2</v>
      </c>
      <c r="B3947" s="71" t="n">
        <v>46219</v>
      </c>
      <c r="C3947" s="0" t="n">
        <v>11</v>
      </c>
      <c r="D3947" s="0" t="s">
        <v>2471</v>
      </c>
      <c r="E3947" s="0" t="n">
        <v>10009</v>
      </c>
      <c r="F3947" s="0" t="s">
        <v>464</v>
      </c>
      <c r="I3947" s="0" t="n">
        <v>1427668</v>
      </c>
      <c r="J3947" s="0" t="n">
        <v>12588</v>
      </c>
      <c r="K3947" s="0" t="n">
        <v>7891000067048</v>
      </c>
      <c r="L3947" s="0" t="s">
        <v>3133</v>
      </c>
      <c r="N3947" s="0" t="n">
        <v>6</v>
      </c>
      <c r="O3947" s="0" t="n">
        <v>33.54</v>
      </c>
      <c r="P3947" s="0" t="s">
        <v>2444</v>
      </c>
    </row>
    <row r="3948" customFormat="false" ht="15" hidden="false" customHeight="true" outlineLevel="0" collapsed="false">
      <c r="A3948" s="0" t="n">
        <v>2</v>
      </c>
      <c r="B3948" s="71" t="n">
        <v>46219</v>
      </c>
      <c r="C3948" s="0" t="n">
        <v>11</v>
      </c>
      <c r="D3948" s="0" t="s">
        <v>2471</v>
      </c>
      <c r="E3948" s="0" t="n">
        <v>10009</v>
      </c>
      <c r="F3948" s="0" t="s">
        <v>464</v>
      </c>
      <c r="I3948" s="0" t="n">
        <v>1427668</v>
      </c>
      <c r="J3948" s="0" t="n">
        <v>14234</v>
      </c>
      <c r="K3948" s="0" t="n">
        <v>7891000081501</v>
      </c>
      <c r="L3948" s="0" t="s">
        <v>3136</v>
      </c>
      <c r="N3948" s="0" t="n">
        <v>12</v>
      </c>
      <c r="O3948" s="0" t="n">
        <v>137.43</v>
      </c>
      <c r="P3948" s="0" t="s">
        <v>2444</v>
      </c>
    </row>
    <row r="3949" customFormat="false" ht="15" hidden="false" customHeight="true" outlineLevel="0" collapsed="false">
      <c r="A3949" s="0" t="n">
        <v>2</v>
      </c>
      <c r="B3949" s="71" t="n">
        <v>46219</v>
      </c>
      <c r="C3949" s="0" t="n">
        <v>11</v>
      </c>
      <c r="D3949" s="0" t="s">
        <v>2471</v>
      </c>
      <c r="E3949" s="0" t="n">
        <v>10009</v>
      </c>
      <c r="F3949" s="0" t="s">
        <v>464</v>
      </c>
      <c r="I3949" s="0" t="n">
        <v>1427668</v>
      </c>
      <c r="J3949" s="0" t="n">
        <v>16667</v>
      </c>
      <c r="K3949" s="0" t="n">
        <v>7891000090732</v>
      </c>
      <c r="L3949" s="0" t="s">
        <v>3141</v>
      </c>
      <c r="N3949" s="0" t="n">
        <v>6</v>
      </c>
      <c r="O3949" s="0" t="n">
        <v>33.53</v>
      </c>
      <c r="P3949" s="0" t="s">
        <v>2444</v>
      </c>
    </row>
    <row r="3950" customFormat="false" ht="15" hidden="false" customHeight="true" outlineLevel="0" collapsed="false">
      <c r="A3950" s="0" t="n">
        <v>2</v>
      </c>
      <c r="B3950" s="71" t="n">
        <v>46219</v>
      </c>
      <c r="C3950" s="0" t="n">
        <v>11</v>
      </c>
      <c r="D3950" s="0" t="s">
        <v>2471</v>
      </c>
      <c r="E3950" s="0" t="n">
        <v>10009</v>
      </c>
      <c r="F3950" s="0" t="s">
        <v>464</v>
      </c>
      <c r="I3950" s="0" t="n">
        <v>1427668</v>
      </c>
      <c r="J3950" s="0" t="n">
        <v>18833</v>
      </c>
      <c r="K3950" s="0" t="n">
        <v>7891000098950</v>
      </c>
      <c r="L3950" s="0" t="s">
        <v>3143</v>
      </c>
      <c r="N3950" s="0" t="n">
        <v>12</v>
      </c>
      <c r="O3950" s="0" t="n">
        <v>70.49</v>
      </c>
      <c r="P3950" s="0" t="s">
        <v>2444</v>
      </c>
    </row>
    <row r="3951" customFormat="false" ht="15" hidden="false" customHeight="true" outlineLevel="0" collapsed="false">
      <c r="A3951" s="0" t="n">
        <v>2</v>
      </c>
      <c r="B3951" s="71" t="n">
        <v>46219</v>
      </c>
      <c r="C3951" s="0" t="n">
        <v>11</v>
      </c>
      <c r="D3951" s="0" t="s">
        <v>2471</v>
      </c>
      <c r="E3951" s="0" t="n">
        <v>10009</v>
      </c>
      <c r="F3951" s="0" t="s">
        <v>464</v>
      </c>
      <c r="I3951" s="0" t="n">
        <v>1427668</v>
      </c>
      <c r="J3951" s="0" t="n">
        <v>19987</v>
      </c>
      <c r="K3951" s="0" t="n">
        <v>7891000101926</v>
      </c>
      <c r="L3951" s="0" t="s">
        <v>3145</v>
      </c>
      <c r="N3951" s="0" t="n">
        <v>6</v>
      </c>
      <c r="O3951" s="0" t="n">
        <v>33.54</v>
      </c>
      <c r="P3951" s="0" t="s">
        <v>2444</v>
      </c>
    </row>
    <row r="3952" customFormat="false" ht="15" hidden="false" customHeight="true" outlineLevel="0" collapsed="false">
      <c r="A3952" s="0" t="n">
        <v>2</v>
      </c>
      <c r="B3952" s="71" t="n">
        <v>46219</v>
      </c>
      <c r="C3952" s="0" t="n">
        <v>11</v>
      </c>
      <c r="D3952" s="0" t="s">
        <v>2471</v>
      </c>
      <c r="E3952" s="0" t="n">
        <v>10009</v>
      </c>
      <c r="F3952" s="0" t="s">
        <v>464</v>
      </c>
      <c r="I3952" s="0" t="n">
        <v>1427668</v>
      </c>
      <c r="J3952" s="0" t="n">
        <v>22082</v>
      </c>
      <c r="K3952" s="0" t="n">
        <v>7891000109908</v>
      </c>
      <c r="L3952" s="0" t="s">
        <v>4358</v>
      </c>
      <c r="N3952" s="0" t="n">
        <v>6</v>
      </c>
      <c r="O3952" s="0" t="n">
        <v>144.82</v>
      </c>
      <c r="P3952" s="0" t="s">
        <v>2444</v>
      </c>
    </row>
    <row r="3953" customFormat="false" ht="15" hidden="false" customHeight="true" outlineLevel="0" collapsed="false">
      <c r="A3953" s="0" t="n">
        <v>2</v>
      </c>
      <c r="B3953" s="71" t="n">
        <v>46219</v>
      </c>
      <c r="C3953" s="0" t="n">
        <v>11</v>
      </c>
      <c r="D3953" s="0" t="s">
        <v>2471</v>
      </c>
      <c r="E3953" s="0" t="n">
        <v>10009</v>
      </c>
      <c r="F3953" s="0" t="s">
        <v>464</v>
      </c>
      <c r="I3953" s="0" t="n">
        <v>1427668</v>
      </c>
      <c r="J3953" s="0" t="n">
        <v>29782</v>
      </c>
      <c r="K3953" s="0" t="n">
        <v>7891000062722</v>
      </c>
      <c r="L3953" s="0" t="s">
        <v>4359</v>
      </c>
      <c r="N3953" s="0" t="n">
        <v>1</v>
      </c>
      <c r="O3953" s="0" t="n">
        <v>51.75</v>
      </c>
      <c r="P3953" s="0" t="s">
        <v>2444</v>
      </c>
    </row>
    <row r="3954" customFormat="false" ht="15" hidden="false" customHeight="true" outlineLevel="0" collapsed="false">
      <c r="A3954" s="0" t="n">
        <v>2</v>
      </c>
      <c r="B3954" s="71" t="n">
        <v>46219</v>
      </c>
      <c r="C3954" s="0" t="n">
        <v>11</v>
      </c>
      <c r="D3954" s="0" t="s">
        <v>2471</v>
      </c>
      <c r="E3954" s="0" t="n">
        <v>10009</v>
      </c>
      <c r="F3954" s="0" t="s">
        <v>464</v>
      </c>
      <c r="I3954" s="0" t="n">
        <v>1427668</v>
      </c>
      <c r="J3954" s="0" t="n">
        <v>36097</v>
      </c>
      <c r="K3954" s="0" t="n">
        <v>7891000305553</v>
      </c>
      <c r="L3954" s="0" t="s">
        <v>4360</v>
      </c>
      <c r="N3954" s="0" t="n">
        <v>21</v>
      </c>
      <c r="O3954" s="0" t="n">
        <v>128.18</v>
      </c>
      <c r="P3954" s="0" t="s">
        <v>2444</v>
      </c>
    </row>
    <row r="3955" customFormat="false" ht="15" hidden="false" customHeight="true" outlineLevel="0" collapsed="false">
      <c r="A3955" s="0" t="n">
        <v>2</v>
      </c>
      <c r="B3955" s="71" t="n">
        <v>46219</v>
      </c>
      <c r="C3955" s="0" t="n">
        <v>11</v>
      </c>
      <c r="D3955" s="0" t="s">
        <v>2471</v>
      </c>
      <c r="E3955" s="0" t="n">
        <v>10009</v>
      </c>
      <c r="F3955" s="0" t="s">
        <v>464</v>
      </c>
      <c r="I3955" s="0" t="n">
        <v>1427668</v>
      </c>
      <c r="J3955" s="0" t="n">
        <v>47560</v>
      </c>
      <c r="K3955" s="0" t="n">
        <v>7891000319505</v>
      </c>
      <c r="L3955" s="0" t="s">
        <v>3755</v>
      </c>
      <c r="N3955" s="0" t="n">
        <v>12</v>
      </c>
      <c r="O3955" s="0" t="n">
        <v>72.85</v>
      </c>
      <c r="P3955" s="0" t="s">
        <v>2444</v>
      </c>
    </row>
    <row r="3956" customFormat="false" ht="15" hidden="false" customHeight="true" outlineLevel="0" collapsed="false">
      <c r="A3956" s="0" t="n">
        <v>2</v>
      </c>
      <c r="B3956" s="71" t="n">
        <v>46219</v>
      </c>
      <c r="C3956" s="0" t="n">
        <v>11</v>
      </c>
      <c r="D3956" s="0" t="s">
        <v>2471</v>
      </c>
      <c r="E3956" s="0" t="n">
        <v>10009</v>
      </c>
      <c r="F3956" s="0" t="s">
        <v>464</v>
      </c>
      <c r="I3956" s="0" t="n">
        <v>1427668</v>
      </c>
      <c r="J3956" s="0" t="n">
        <v>47563</v>
      </c>
      <c r="K3956" s="0" t="n">
        <v>7891000319543</v>
      </c>
      <c r="L3956" s="0" t="s">
        <v>3756</v>
      </c>
      <c r="N3956" s="0" t="n">
        <v>12</v>
      </c>
      <c r="O3956" s="0" t="n">
        <v>72.85</v>
      </c>
      <c r="P3956" s="0" t="s">
        <v>2444</v>
      </c>
    </row>
    <row r="3957" customFormat="false" ht="15" hidden="false" customHeight="true" outlineLevel="0" collapsed="false">
      <c r="A3957" s="0" t="n">
        <v>2</v>
      </c>
      <c r="B3957" s="71" t="n">
        <v>46219</v>
      </c>
      <c r="C3957" s="0" t="n">
        <v>11</v>
      </c>
      <c r="D3957" s="0" t="s">
        <v>2471</v>
      </c>
      <c r="E3957" s="0" t="n">
        <v>10009</v>
      </c>
      <c r="F3957" s="0" t="s">
        <v>464</v>
      </c>
      <c r="I3957" s="0" t="n">
        <v>1427668</v>
      </c>
      <c r="J3957" s="0" t="n">
        <v>47564</v>
      </c>
      <c r="K3957" s="0" t="n">
        <v>7891000319628</v>
      </c>
      <c r="L3957" s="0" t="s">
        <v>3757</v>
      </c>
      <c r="N3957" s="0" t="n">
        <v>12</v>
      </c>
      <c r="O3957" s="0" t="n">
        <v>72.85</v>
      </c>
      <c r="P3957" s="0" t="s">
        <v>2444</v>
      </c>
    </row>
    <row r="3958" customFormat="false" ht="15" hidden="false" customHeight="true" outlineLevel="0" collapsed="false">
      <c r="A3958" s="0" t="n">
        <v>2</v>
      </c>
      <c r="B3958" s="71" t="n">
        <v>46219</v>
      </c>
      <c r="C3958" s="0" t="n">
        <v>11</v>
      </c>
      <c r="D3958" s="0" t="s">
        <v>2471</v>
      </c>
      <c r="E3958" s="0" t="n">
        <v>10009</v>
      </c>
      <c r="F3958" s="0" t="s">
        <v>464</v>
      </c>
      <c r="I3958" s="0" t="n">
        <v>1427668</v>
      </c>
      <c r="J3958" s="0" t="n">
        <v>48868</v>
      </c>
      <c r="K3958" s="0" t="n">
        <v>7891000359822</v>
      </c>
      <c r="L3958" s="0" t="s">
        <v>3158</v>
      </c>
      <c r="N3958" s="0" t="n">
        <v>54</v>
      </c>
      <c r="O3958" s="0" t="n">
        <v>118.94</v>
      </c>
      <c r="P3958" s="0" t="s">
        <v>2444</v>
      </c>
    </row>
    <row r="3959" customFormat="false" ht="15" hidden="false" customHeight="true" outlineLevel="0" collapsed="false">
      <c r="A3959" s="0" t="n">
        <v>2</v>
      </c>
      <c r="B3959" s="71" t="n">
        <v>46219</v>
      </c>
      <c r="C3959" s="0" t="n">
        <v>11</v>
      </c>
      <c r="D3959" s="0" t="s">
        <v>2471</v>
      </c>
      <c r="E3959" s="0" t="n">
        <v>10009</v>
      </c>
      <c r="F3959" s="0" t="s">
        <v>464</v>
      </c>
      <c r="I3959" s="0" t="n">
        <v>1427668</v>
      </c>
      <c r="J3959" s="0" t="n">
        <v>51568</v>
      </c>
      <c r="K3959" s="0" t="n">
        <v>7891000368572</v>
      </c>
      <c r="L3959" s="0" t="s">
        <v>3173</v>
      </c>
      <c r="N3959" s="0" t="n">
        <v>16</v>
      </c>
      <c r="O3959" s="0" t="n">
        <v>119.67</v>
      </c>
      <c r="P3959" s="0" t="s">
        <v>2444</v>
      </c>
    </row>
    <row r="3960" customFormat="false" ht="15" hidden="false" customHeight="true" outlineLevel="0" collapsed="false">
      <c r="A3960" s="0" t="n">
        <v>2</v>
      </c>
      <c r="B3960" s="71" t="n">
        <v>46219</v>
      </c>
      <c r="C3960" s="0" t="n">
        <v>11</v>
      </c>
      <c r="D3960" s="0" t="s">
        <v>2471</v>
      </c>
      <c r="E3960" s="0" t="n">
        <v>10009</v>
      </c>
      <c r="F3960" s="0" t="s">
        <v>464</v>
      </c>
      <c r="I3960" s="0" t="n">
        <v>1427668</v>
      </c>
      <c r="J3960" s="0" t="n">
        <v>52453</v>
      </c>
      <c r="K3960" s="0" t="n">
        <v>7891000368626</v>
      </c>
      <c r="L3960" s="0" t="s">
        <v>3176</v>
      </c>
      <c r="N3960" s="0" t="n">
        <v>16</v>
      </c>
      <c r="O3960" s="0" t="n">
        <v>119.67</v>
      </c>
      <c r="P3960" s="0" t="s">
        <v>2444</v>
      </c>
    </row>
    <row r="3961" customFormat="false" ht="15" hidden="false" customHeight="true" outlineLevel="0" collapsed="false">
      <c r="A3961" s="0" t="n">
        <v>2</v>
      </c>
      <c r="B3961" s="71" t="n">
        <v>46219</v>
      </c>
      <c r="C3961" s="0" t="n">
        <v>11</v>
      </c>
      <c r="D3961" s="0" t="s">
        <v>2471</v>
      </c>
      <c r="E3961" s="0" t="n">
        <v>10009</v>
      </c>
      <c r="F3961" s="0" t="s">
        <v>464</v>
      </c>
      <c r="I3961" s="0" t="n">
        <v>1427668</v>
      </c>
      <c r="J3961" s="0" t="n">
        <v>54317</v>
      </c>
      <c r="K3961" s="0" t="n">
        <v>7891000358764</v>
      </c>
      <c r="L3961" s="0" t="s">
        <v>4361</v>
      </c>
      <c r="N3961" s="0" t="n">
        <v>12</v>
      </c>
      <c r="O3961" s="0" t="n">
        <v>161.69</v>
      </c>
      <c r="P3961" s="0" t="s">
        <v>2444</v>
      </c>
    </row>
    <row r="3962" customFormat="false" ht="15" hidden="false" customHeight="true" outlineLevel="0" collapsed="false">
      <c r="A3962" s="0" t="n">
        <v>2</v>
      </c>
      <c r="B3962" s="71" t="n">
        <v>46219</v>
      </c>
      <c r="C3962" s="0" t="n">
        <v>11</v>
      </c>
      <c r="D3962" s="0" t="s">
        <v>2471</v>
      </c>
      <c r="E3962" s="0" t="n">
        <v>10009</v>
      </c>
      <c r="F3962" s="0" t="s">
        <v>464</v>
      </c>
      <c r="I3962" s="0" t="n">
        <v>1427668</v>
      </c>
      <c r="J3962" s="0" t="n">
        <v>55007</v>
      </c>
      <c r="K3962" s="0" t="n">
        <v>7891000368947</v>
      </c>
      <c r="L3962" s="0" t="s">
        <v>4362</v>
      </c>
      <c r="N3962" s="0" t="n">
        <v>16</v>
      </c>
      <c r="O3962" s="0" t="n">
        <v>119.67</v>
      </c>
      <c r="P3962" s="0" t="s">
        <v>2444</v>
      </c>
    </row>
    <row r="3963" customFormat="false" ht="15" hidden="false" customHeight="true" outlineLevel="0" collapsed="false">
      <c r="A3963" s="0" t="n">
        <v>2</v>
      </c>
      <c r="B3963" s="71" t="n">
        <v>46219</v>
      </c>
      <c r="C3963" s="0" t="n">
        <v>11</v>
      </c>
      <c r="D3963" s="0" t="s">
        <v>2471</v>
      </c>
      <c r="E3963" s="0" t="n">
        <v>10009</v>
      </c>
      <c r="F3963" s="0" t="s">
        <v>464</v>
      </c>
      <c r="I3963" s="0" t="n">
        <v>1427668</v>
      </c>
      <c r="J3963" s="0" t="n">
        <v>61564</v>
      </c>
      <c r="K3963" s="0" t="n">
        <v>7891000366141</v>
      </c>
      <c r="L3963" s="0" t="s">
        <v>3165</v>
      </c>
      <c r="N3963" s="0" t="n">
        <v>27</v>
      </c>
      <c r="O3963" s="0" t="n">
        <v>70.68</v>
      </c>
      <c r="P3963" s="0" t="s">
        <v>2444</v>
      </c>
    </row>
    <row r="3964" customFormat="false" ht="15" hidden="false" customHeight="true" outlineLevel="0" collapsed="false">
      <c r="A3964" s="0" t="n">
        <v>2</v>
      </c>
      <c r="B3964" s="71" t="n">
        <v>46219</v>
      </c>
      <c r="C3964" s="0" t="n">
        <v>11</v>
      </c>
      <c r="D3964" s="0" t="s">
        <v>2471</v>
      </c>
      <c r="E3964" s="0" t="n">
        <v>10009</v>
      </c>
      <c r="F3964" s="0" t="s">
        <v>464</v>
      </c>
      <c r="I3964" s="0" t="n">
        <v>1427668</v>
      </c>
      <c r="J3964" s="0" t="n">
        <v>78698</v>
      </c>
      <c r="K3964" s="0" t="n">
        <v>7891000435458</v>
      </c>
      <c r="L3964" s="0" t="s">
        <v>4363</v>
      </c>
      <c r="N3964" s="0" t="n">
        <v>14</v>
      </c>
      <c r="O3964" s="0" t="n">
        <v>102.59</v>
      </c>
      <c r="P3964" s="0" t="s">
        <v>2444</v>
      </c>
    </row>
    <row r="3965" customFormat="false" ht="15" hidden="false" customHeight="true" outlineLevel="0" collapsed="false">
      <c r="A3965" s="0" t="n">
        <v>2</v>
      </c>
      <c r="B3965" s="71" t="n">
        <v>46219</v>
      </c>
      <c r="C3965" s="0" t="n">
        <v>11</v>
      </c>
      <c r="D3965" s="0" t="s">
        <v>2471</v>
      </c>
      <c r="E3965" s="0" t="n">
        <v>10009</v>
      </c>
      <c r="F3965" s="0" t="s">
        <v>464</v>
      </c>
      <c r="I3965" s="0" t="n">
        <v>1427668</v>
      </c>
      <c r="J3965" s="0" t="n">
        <v>79789</v>
      </c>
      <c r="K3965" s="0" t="n">
        <v>7891000410707</v>
      </c>
      <c r="L3965" s="0" t="s">
        <v>3180</v>
      </c>
      <c r="N3965" s="0" t="n">
        <v>16</v>
      </c>
      <c r="O3965" s="0" t="n">
        <v>119.67</v>
      </c>
      <c r="P3965" s="0" t="s">
        <v>2444</v>
      </c>
    </row>
    <row r="3966" customFormat="false" ht="15" hidden="false" customHeight="true" outlineLevel="0" collapsed="false">
      <c r="A3966" s="0" t="n">
        <v>2</v>
      </c>
      <c r="B3966" s="71" t="n">
        <v>46219</v>
      </c>
      <c r="C3966" s="0" t="n">
        <v>11</v>
      </c>
      <c r="D3966" s="0" t="s">
        <v>2471</v>
      </c>
      <c r="E3966" s="0" t="n">
        <v>1705</v>
      </c>
      <c r="F3966" s="0" t="s">
        <v>130</v>
      </c>
      <c r="I3966" s="0" t="n">
        <v>1936058</v>
      </c>
      <c r="J3966" s="0" t="n">
        <v>103139</v>
      </c>
      <c r="K3966" s="0" t="n">
        <v>7894900051759</v>
      </c>
      <c r="L3966" s="0" t="s">
        <v>2654</v>
      </c>
      <c r="N3966" s="0" t="n">
        <v>18</v>
      </c>
      <c r="O3966" s="0" t="n">
        <v>101.83</v>
      </c>
      <c r="P3966" s="0" t="s">
        <v>2444</v>
      </c>
    </row>
    <row r="3967" customFormat="false" ht="15" hidden="false" customHeight="true" outlineLevel="0" collapsed="false">
      <c r="A3967" s="0" t="n">
        <v>2</v>
      </c>
      <c r="B3967" s="71" t="n">
        <v>46219</v>
      </c>
      <c r="C3967" s="0" t="n">
        <v>11</v>
      </c>
      <c r="D3967" s="0" t="s">
        <v>2471</v>
      </c>
      <c r="E3967" s="0" t="n">
        <v>1705</v>
      </c>
      <c r="F3967" s="0" t="s">
        <v>130</v>
      </c>
      <c r="I3967" s="0" t="n">
        <v>1936058</v>
      </c>
      <c r="J3967" s="0" t="n">
        <v>103142</v>
      </c>
      <c r="K3967" s="0" t="n">
        <v>7894900011753</v>
      </c>
      <c r="L3967" s="0" t="s">
        <v>2581</v>
      </c>
      <c r="N3967" s="0" t="n">
        <v>30</v>
      </c>
      <c r="O3967" s="0" t="n">
        <v>190.78</v>
      </c>
      <c r="P3967" s="0" t="s">
        <v>2444</v>
      </c>
    </row>
    <row r="3968" customFormat="false" ht="15" hidden="false" customHeight="true" outlineLevel="0" collapsed="false">
      <c r="A3968" s="0" t="n">
        <v>2</v>
      </c>
      <c r="B3968" s="71" t="n">
        <v>46219</v>
      </c>
      <c r="C3968" s="0" t="n">
        <v>11</v>
      </c>
      <c r="D3968" s="0" t="s">
        <v>2471</v>
      </c>
      <c r="E3968" s="0" t="n">
        <v>1705</v>
      </c>
      <c r="F3968" s="0" t="s">
        <v>130</v>
      </c>
      <c r="I3968" s="0" t="n">
        <v>1936058</v>
      </c>
      <c r="J3968" s="0" t="n">
        <v>103146</v>
      </c>
      <c r="K3968" s="0" t="n">
        <v>7894900031515</v>
      </c>
      <c r="L3968" s="0" t="s">
        <v>2567</v>
      </c>
      <c r="N3968" s="0" t="n">
        <v>18</v>
      </c>
      <c r="O3968" s="0" t="n">
        <v>134.98</v>
      </c>
      <c r="P3968" s="0" t="s">
        <v>2444</v>
      </c>
    </row>
    <row r="3969" customFormat="false" ht="15" hidden="false" customHeight="true" outlineLevel="0" collapsed="false">
      <c r="A3969" s="0" t="n">
        <v>2</v>
      </c>
      <c r="B3969" s="71" t="n">
        <v>46219</v>
      </c>
      <c r="C3969" s="0" t="n">
        <v>11</v>
      </c>
      <c r="D3969" s="0" t="s">
        <v>2471</v>
      </c>
      <c r="E3969" s="0" t="n">
        <v>1705</v>
      </c>
      <c r="F3969" s="0" t="s">
        <v>130</v>
      </c>
      <c r="I3969" s="0" t="n">
        <v>1936058</v>
      </c>
      <c r="J3969" s="0" t="n">
        <v>103161</v>
      </c>
      <c r="K3969" s="0" t="n">
        <v>7894900010015</v>
      </c>
      <c r="L3969" s="0" t="s">
        <v>2569</v>
      </c>
      <c r="N3969" s="0" t="n">
        <v>48</v>
      </c>
      <c r="O3969" s="0" t="n">
        <v>152.38</v>
      </c>
      <c r="P3969" s="0" t="s">
        <v>2444</v>
      </c>
    </row>
    <row r="3970" customFormat="false" ht="15" hidden="false" customHeight="true" outlineLevel="0" collapsed="false">
      <c r="A3970" s="0" t="n">
        <v>2</v>
      </c>
      <c r="B3970" s="71" t="n">
        <v>46219</v>
      </c>
      <c r="C3970" s="0" t="n">
        <v>11</v>
      </c>
      <c r="D3970" s="0" t="s">
        <v>2471</v>
      </c>
      <c r="E3970" s="0" t="n">
        <v>1705</v>
      </c>
      <c r="F3970" s="0" t="s">
        <v>130</v>
      </c>
      <c r="I3970" s="0" t="n">
        <v>1936058</v>
      </c>
      <c r="J3970" s="0" t="n">
        <v>10830</v>
      </c>
      <c r="K3970" s="0" t="n">
        <v>7894900701517</v>
      </c>
      <c r="L3970" s="0" t="s">
        <v>2573</v>
      </c>
      <c r="N3970" s="0" t="n">
        <v>18</v>
      </c>
      <c r="O3970" s="0" t="n">
        <v>154.03</v>
      </c>
      <c r="P3970" s="0" t="s">
        <v>2444</v>
      </c>
    </row>
    <row r="3971" customFormat="false" ht="15" hidden="false" customHeight="true" outlineLevel="0" collapsed="false">
      <c r="A3971" s="0" t="n">
        <v>2</v>
      </c>
      <c r="B3971" s="71" t="n">
        <v>46219</v>
      </c>
      <c r="C3971" s="0" t="n">
        <v>11</v>
      </c>
      <c r="D3971" s="0" t="s">
        <v>2471</v>
      </c>
      <c r="E3971" s="0" t="n">
        <v>1705</v>
      </c>
      <c r="F3971" s="0" t="s">
        <v>130</v>
      </c>
      <c r="I3971" s="0" t="n">
        <v>1936058</v>
      </c>
      <c r="J3971" s="0" t="n">
        <v>11678</v>
      </c>
      <c r="K3971" s="0" t="n">
        <v>7894900701593</v>
      </c>
      <c r="L3971" s="0" t="s">
        <v>2468</v>
      </c>
      <c r="N3971" s="0" t="n">
        <v>18</v>
      </c>
      <c r="O3971" s="0" t="n">
        <v>173.99</v>
      </c>
      <c r="P3971" s="0" t="s">
        <v>2444</v>
      </c>
    </row>
    <row r="3972" customFormat="false" ht="15" hidden="false" customHeight="true" outlineLevel="0" collapsed="false">
      <c r="A3972" s="0" t="n">
        <v>2</v>
      </c>
      <c r="B3972" s="71" t="n">
        <v>46219</v>
      </c>
      <c r="C3972" s="0" t="n">
        <v>11</v>
      </c>
      <c r="D3972" s="0" t="s">
        <v>2471</v>
      </c>
      <c r="E3972" s="0" t="n">
        <v>1705</v>
      </c>
      <c r="F3972" s="0" t="s">
        <v>130</v>
      </c>
      <c r="I3972" s="0" t="n">
        <v>1936058</v>
      </c>
      <c r="J3972" s="0" t="n">
        <v>21183</v>
      </c>
      <c r="K3972" s="0" t="n">
        <v>7894900556063</v>
      </c>
      <c r="L3972" s="0" t="s">
        <v>4364</v>
      </c>
      <c r="N3972" s="0" t="n">
        <v>6</v>
      </c>
      <c r="O3972" s="0" t="n">
        <v>45.6</v>
      </c>
      <c r="P3972" s="0" t="s">
        <v>2444</v>
      </c>
    </row>
    <row r="3973" customFormat="false" ht="15" hidden="false" customHeight="true" outlineLevel="0" collapsed="false">
      <c r="A3973" s="0" t="n">
        <v>2</v>
      </c>
      <c r="B3973" s="71" t="n">
        <v>46219</v>
      </c>
      <c r="C3973" s="0" t="n">
        <v>11</v>
      </c>
      <c r="D3973" s="0" t="s">
        <v>2471</v>
      </c>
      <c r="E3973" s="0" t="n">
        <v>1705</v>
      </c>
      <c r="F3973" s="0" t="s">
        <v>130</v>
      </c>
      <c r="I3973" s="0" t="n">
        <v>1936058</v>
      </c>
      <c r="J3973" s="0" t="n">
        <v>21426</v>
      </c>
      <c r="K3973" s="0" t="n">
        <v>7894900014211</v>
      </c>
      <c r="L3973" s="0" t="s">
        <v>2470</v>
      </c>
      <c r="N3973" s="0" t="n">
        <v>36</v>
      </c>
      <c r="O3973" s="0" t="n">
        <v>239.56</v>
      </c>
      <c r="P3973" s="0" t="s">
        <v>2444</v>
      </c>
    </row>
    <row r="3974" customFormat="false" ht="15" hidden="false" customHeight="true" outlineLevel="0" collapsed="false">
      <c r="A3974" s="0" t="n">
        <v>2</v>
      </c>
      <c r="B3974" s="71" t="n">
        <v>46219</v>
      </c>
      <c r="C3974" s="0" t="n">
        <v>11</v>
      </c>
      <c r="D3974" s="0" t="s">
        <v>2471</v>
      </c>
      <c r="E3974" s="0" t="n">
        <v>1705</v>
      </c>
      <c r="F3974" s="0" t="s">
        <v>130</v>
      </c>
      <c r="I3974" s="0" t="n">
        <v>1936058</v>
      </c>
      <c r="J3974" s="0" t="n">
        <v>22893</v>
      </c>
      <c r="K3974" s="0" t="n">
        <v>7894900550061</v>
      </c>
      <c r="L3974" s="0" t="s">
        <v>3885</v>
      </c>
      <c r="N3974" s="0" t="n">
        <v>6</v>
      </c>
      <c r="O3974" s="0" t="n">
        <v>45.6</v>
      </c>
      <c r="P3974" s="0" t="s">
        <v>2444</v>
      </c>
    </row>
    <row r="3975" customFormat="false" ht="15" hidden="false" customHeight="true" outlineLevel="0" collapsed="false">
      <c r="A3975" s="0" t="n">
        <v>2</v>
      </c>
      <c r="B3975" s="71" t="n">
        <v>46219</v>
      </c>
      <c r="C3975" s="0" t="n">
        <v>11</v>
      </c>
      <c r="D3975" s="0" t="s">
        <v>2471</v>
      </c>
      <c r="E3975" s="0" t="n">
        <v>1705</v>
      </c>
      <c r="F3975" s="0" t="s">
        <v>130</v>
      </c>
      <c r="I3975" s="0" t="n">
        <v>1936058</v>
      </c>
      <c r="J3975" s="0" t="n">
        <v>28739</v>
      </c>
      <c r="K3975" s="0" t="n">
        <v>7894900027044</v>
      </c>
      <c r="L3975" s="0" t="s">
        <v>2658</v>
      </c>
      <c r="N3975" s="0" t="n">
        <v>18</v>
      </c>
      <c r="O3975" s="0" t="n">
        <v>101.83</v>
      </c>
      <c r="P3975" s="0" t="s">
        <v>2444</v>
      </c>
    </row>
    <row r="3976" customFormat="false" ht="15" hidden="false" customHeight="true" outlineLevel="0" collapsed="false">
      <c r="A3976" s="0" t="n">
        <v>2</v>
      </c>
      <c r="B3976" s="71" t="n">
        <v>46219</v>
      </c>
      <c r="C3976" s="0" t="n">
        <v>11</v>
      </c>
      <c r="D3976" s="0" t="s">
        <v>2471</v>
      </c>
      <c r="E3976" s="0" t="n">
        <v>1705</v>
      </c>
      <c r="F3976" s="0" t="s">
        <v>130</v>
      </c>
      <c r="I3976" s="0" t="n">
        <v>1936058</v>
      </c>
      <c r="J3976" s="0" t="n">
        <v>37279</v>
      </c>
      <c r="K3976" s="0" t="n">
        <v>7894900027013</v>
      </c>
      <c r="L3976" s="0" t="s">
        <v>2575</v>
      </c>
      <c r="N3976" s="0" t="n">
        <v>78</v>
      </c>
      <c r="O3976" s="0" t="n">
        <v>688.09</v>
      </c>
      <c r="P3976" s="0" t="s">
        <v>2444</v>
      </c>
    </row>
    <row r="3977" customFormat="false" ht="15" hidden="false" customHeight="true" outlineLevel="0" collapsed="false">
      <c r="A3977" s="0" t="n">
        <v>2</v>
      </c>
      <c r="B3977" s="71" t="n">
        <v>46219</v>
      </c>
      <c r="C3977" s="0" t="n">
        <v>11</v>
      </c>
      <c r="D3977" s="0" t="s">
        <v>2471</v>
      </c>
      <c r="E3977" s="0" t="n">
        <v>1636</v>
      </c>
      <c r="F3977" s="0" t="s">
        <v>61</v>
      </c>
      <c r="I3977" s="0" t="n">
        <v>3218197</v>
      </c>
      <c r="J3977" s="0" t="n">
        <v>101906</v>
      </c>
      <c r="K3977" s="0" t="n">
        <v>7896094910904</v>
      </c>
      <c r="L3977" s="0" t="s">
        <v>4365</v>
      </c>
      <c r="N3977" s="0" t="n">
        <v>12</v>
      </c>
      <c r="O3977" s="0" t="n">
        <v>72.74</v>
      </c>
      <c r="P3977" s="0" t="s">
        <v>2444</v>
      </c>
    </row>
    <row r="3978" customFormat="false" ht="15" hidden="false" customHeight="true" outlineLevel="0" collapsed="false">
      <c r="A3978" s="0" t="n">
        <v>2</v>
      </c>
      <c r="B3978" s="71" t="n">
        <v>46219</v>
      </c>
      <c r="C3978" s="0" t="n">
        <v>11</v>
      </c>
      <c r="D3978" s="0" t="s">
        <v>2471</v>
      </c>
      <c r="E3978" s="0" t="n">
        <v>1636</v>
      </c>
      <c r="F3978" s="0" t="s">
        <v>61</v>
      </c>
      <c r="I3978" s="0" t="n">
        <v>3218197</v>
      </c>
      <c r="J3978" s="0" t="n">
        <v>103222</v>
      </c>
      <c r="K3978" s="0" t="n">
        <v>78907850</v>
      </c>
      <c r="L3978" s="0" t="s">
        <v>4065</v>
      </c>
      <c r="N3978" s="0" t="n">
        <v>1</v>
      </c>
      <c r="O3978" s="0" t="n">
        <v>8.59</v>
      </c>
      <c r="P3978" s="0" t="s">
        <v>2444</v>
      </c>
    </row>
    <row r="3979" customFormat="false" ht="15" hidden="false" customHeight="true" outlineLevel="0" collapsed="false">
      <c r="A3979" s="0" t="n">
        <v>2</v>
      </c>
      <c r="B3979" s="71" t="n">
        <v>46219</v>
      </c>
      <c r="C3979" s="0" t="n">
        <v>11</v>
      </c>
      <c r="D3979" s="0" t="s">
        <v>2471</v>
      </c>
      <c r="E3979" s="0" t="n">
        <v>1636</v>
      </c>
      <c r="F3979" s="0" t="s">
        <v>61</v>
      </c>
      <c r="I3979" s="0" t="n">
        <v>3218197</v>
      </c>
      <c r="J3979" s="0" t="n">
        <v>107130</v>
      </c>
      <c r="K3979" s="0" t="n">
        <v>7891182014700</v>
      </c>
      <c r="L3979" s="0" t="s">
        <v>4366</v>
      </c>
      <c r="N3979" s="0" t="n">
        <v>6</v>
      </c>
      <c r="O3979" s="0" t="n">
        <v>26.34</v>
      </c>
      <c r="P3979" s="0" t="s">
        <v>2444</v>
      </c>
    </row>
    <row r="3980" customFormat="false" ht="15" hidden="false" customHeight="true" outlineLevel="0" collapsed="false">
      <c r="A3980" s="0" t="n">
        <v>2</v>
      </c>
      <c r="B3980" s="71" t="n">
        <v>46219</v>
      </c>
      <c r="C3980" s="0" t="n">
        <v>11</v>
      </c>
      <c r="D3980" s="0" t="s">
        <v>2471</v>
      </c>
      <c r="E3980" s="0" t="n">
        <v>1636</v>
      </c>
      <c r="F3980" s="0" t="s">
        <v>61</v>
      </c>
      <c r="I3980" s="0" t="n">
        <v>3218197</v>
      </c>
      <c r="J3980" s="0" t="n">
        <v>109401</v>
      </c>
      <c r="K3980" s="0" t="n">
        <v>78922686</v>
      </c>
      <c r="L3980" s="0" t="s">
        <v>4367</v>
      </c>
      <c r="N3980" s="0" t="n">
        <v>3</v>
      </c>
      <c r="O3980" s="0" t="n">
        <v>25.77</v>
      </c>
      <c r="P3980" s="0" t="s">
        <v>2444</v>
      </c>
    </row>
    <row r="3981" customFormat="false" ht="15" hidden="false" customHeight="true" outlineLevel="0" collapsed="false">
      <c r="A3981" s="0" t="n">
        <v>2</v>
      </c>
      <c r="B3981" s="71" t="n">
        <v>46219</v>
      </c>
      <c r="C3981" s="0" t="n">
        <v>11</v>
      </c>
      <c r="D3981" s="0" t="s">
        <v>2471</v>
      </c>
      <c r="E3981" s="0" t="n">
        <v>1636</v>
      </c>
      <c r="F3981" s="0" t="s">
        <v>61</v>
      </c>
      <c r="I3981" s="0" t="n">
        <v>3218197</v>
      </c>
      <c r="J3981" s="0" t="n">
        <v>12517</v>
      </c>
      <c r="K3981" s="0" t="n">
        <v>7891182850025</v>
      </c>
      <c r="L3981" s="0" t="s">
        <v>4368</v>
      </c>
      <c r="N3981" s="0" t="n">
        <v>6</v>
      </c>
      <c r="O3981" s="0" t="n">
        <v>26.34</v>
      </c>
      <c r="P3981" s="0" t="s">
        <v>2444</v>
      </c>
    </row>
    <row r="3982" customFormat="false" ht="15" hidden="false" customHeight="true" outlineLevel="0" collapsed="false">
      <c r="A3982" s="0" t="n">
        <v>2</v>
      </c>
      <c r="B3982" s="71" t="n">
        <v>46219</v>
      </c>
      <c r="C3982" s="0" t="n">
        <v>11</v>
      </c>
      <c r="D3982" s="0" t="s">
        <v>2471</v>
      </c>
      <c r="E3982" s="0" t="n">
        <v>1636</v>
      </c>
      <c r="F3982" s="0" t="s">
        <v>61</v>
      </c>
      <c r="I3982" s="0" t="n">
        <v>3218197</v>
      </c>
      <c r="J3982" s="0" t="n">
        <v>14672</v>
      </c>
      <c r="K3982" s="0" t="n">
        <v>7891331010584</v>
      </c>
      <c r="L3982" s="0" t="s">
        <v>4369</v>
      </c>
      <c r="N3982" s="0" t="n">
        <v>12</v>
      </c>
      <c r="O3982" s="0" t="n">
        <v>38.98</v>
      </c>
      <c r="P3982" s="0" t="s">
        <v>2444</v>
      </c>
    </row>
    <row r="3983" customFormat="false" ht="15" hidden="false" customHeight="true" outlineLevel="0" collapsed="false">
      <c r="A3983" s="0" t="n">
        <v>2</v>
      </c>
      <c r="B3983" s="71" t="n">
        <v>46219</v>
      </c>
      <c r="C3983" s="0" t="n">
        <v>11</v>
      </c>
      <c r="D3983" s="0" t="s">
        <v>2471</v>
      </c>
      <c r="E3983" s="0" t="n">
        <v>1636</v>
      </c>
      <c r="F3983" s="0" t="s">
        <v>61</v>
      </c>
      <c r="I3983" s="0" t="n">
        <v>3218197</v>
      </c>
      <c r="J3983" s="0" t="n">
        <v>20472</v>
      </c>
      <c r="K3983" s="0" t="n">
        <v>7891350002409</v>
      </c>
      <c r="L3983" s="0" t="s">
        <v>4370</v>
      </c>
      <c r="N3983" s="0" t="n">
        <v>1</v>
      </c>
      <c r="O3983" s="0" t="n">
        <v>11</v>
      </c>
      <c r="P3983" s="0" t="s">
        <v>2444</v>
      </c>
    </row>
    <row r="3984" customFormat="false" ht="15" hidden="false" customHeight="true" outlineLevel="0" collapsed="false">
      <c r="A3984" s="0" t="n">
        <v>2</v>
      </c>
      <c r="B3984" s="71" t="n">
        <v>46219</v>
      </c>
      <c r="C3984" s="0" t="n">
        <v>11</v>
      </c>
      <c r="D3984" s="0" t="s">
        <v>2471</v>
      </c>
      <c r="E3984" s="0" t="n">
        <v>1636</v>
      </c>
      <c r="F3984" s="0" t="s">
        <v>61</v>
      </c>
      <c r="I3984" s="0" t="n">
        <v>3218197</v>
      </c>
      <c r="J3984" s="0" t="n">
        <v>21160</v>
      </c>
      <c r="K3984" s="0" t="n">
        <v>7891152342031</v>
      </c>
      <c r="L3984" s="0" t="s">
        <v>4371</v>
      </c>
      <c r="N3984" s="0" t="n">
        <v>24</v>
      </c>
      <c r="O3984" s="0" t="n">
        <v>40.46</v>
      </c>
      <c r="P3984" s="0" t="s">
        <v>2444</v>
      </c>
    </row>
    <row r="3985" customFormat="false" ht="15" hidden="false" customHeight="true" outlineLevel="0" collapsed="false">
      <c r="A3985" s="0" t="n">
        <v>2</v>
      </c>
      <c r="B3985" s="71" t="n">
        <v>46219</v>
      </c>
      <c r="C3985" s="0" t="n">
        <v>11</v>
      </c>
      <c r="D3985" s="0" t="s">
        <v>2471</v>
      </c>
      <c r="E3985" s="0" t="n">
        <v>1636</v>
      </c>
      <c r="F3985" s="0" t="s">
        <v>61</v>
      </c>
      <c r="I3985" s="0" t="n">
        <v>3218197</v>
      </c>
      <c r="J3985" s="0" t="n">
        <v>24761</v>
      </c>
      <c r="K3985" s="0" t="n">
        <v>7891152340419</v>
      </c>
      <c r="L3985" s="0" t="s">
        <v>4372</v>
      </c>
      <c r="N3985" s="0" t="n">
        <v>30</v>
      </c>
      <c r="O3985" s="0" t="n">
        <v>74.39</v>
      </c>
      <c r="P3985" s="0" t="s">
        <v>2444</v>
      </c>
    </row>
    <row r="3986" customFormat="false" ht="15" hidden="false" customHeight="true" outlineLevel="0" collapsed="false">
      <c r="A3986" s="0" t="n">
        <v>2</v>
      </c>
      <c r="B3986" s="71" t="n">
        <v>46219</v>
      </c>
      <c r="C3986" s="0" t="n">
        <v>11</v>
      </c>
      <c r="D3986" s="0" t="s">
        <v>2471</v>
      </c>
      <c r="E3986" s="0" t="n">
        <v>1636</v>
      </c>
      <c r="F3986" s="0" t="s">
        <v>61</v>
      </c>
      <c r="I3986" s="0" t="n">
        <v>3218197</v>
      </c>
      <c r="J3986" s="0" t="n">
        <v>26807</v>
      </c>
      <c r="K3986" s="0" t="n">
        <v>7898919411931</v>
      </c>
      <c r="L3986" s="0" t="s">
        <v>4373</v>
      </c>
      <c r="N3986" s="0" t="n">
        <v>2</v>
      </c>
      <c r="O3986" s="0" t="n">
        <v>21.72</v>
      </c>
      <c r="P3986" s="0" t="s">
        <v>2444</v>
      </c>
    </row>
    <row r="3987" customFormat="false" ht="15" hidden="false" customHeight="true" outlineLevel="0" collapsed="false">
      <c r="A3987" s="0" t="n">
        <v>2</v>
      </c>
      <c r="B3987" s="71" t="n">
        <v>46219</v>
      </c>
      <c r="C3987" s="0" t="n">
        <v>11</v>
      </c>
      <c r="D3987" s="0" t="s">
        <v>2471</v>
      </c>
      <c r="E3987" s="0" t="n">
        <v>1636</v>
      </c>
      <c r="F3987" s="0" t="s">
        <v>61</v>
      </c>
      <c r="I3987" s="0" t="n">
        <v>3218197</v>
      </c>
      <c r="J3987" s="0" t="n">
        <v>27694</v>
      </c>
      <c r="K3987" s="0" t="n">
        <v>7898919412334</v>
      </c>
      <c r="L3987" s="0" t="s">
        <v>4374</v>
      </c>
      <c r="N3987" s="0" t="n">
        <v>3</v>
      </c>
      <c r="O3987" s="0" t="n">
        <v>23.67</v>
      </c>
      <c r="P3987" s="0" t="s">
        <v>2444</v>
      </c>
    </row>
    <row r="3988" customFormat="false" ht="15" hidden="false" customHeight="true" outlineLevel="0" collapsed="false">
      <c r="A3988" s="0" t="n">
        <v>2</v>
      </c>
      <c r="B3988" s="71" t="n">
        <v>46219</v>
      </c>
      <c r="C3988" s="0" t="n">
        <v>11</v>
      </c>
      <c r="D3988" s="0" t="s">
        <v>2471</v>
      </c>
      <c r="E3988" s="0" t="n">
        <v>1636</v>
      </c>
      <c r="F3988" s="0" t="s">
        <v>61</v>
      </c>
      <c r="I3988" s="0" t="n">
        <v>3218197</v>
      </c>
      <c r="J3988" s="0" t="n">
        <v>27696</v>
      </c>
      <c r="K3988" s="0" t="n">
        <v>7898919412327</v>
      </c>
      <c r="L3988" s="0" t="s">
        <v>4375</v>
      </c>
      <c r="N3988" s="0" t="n">
        <v>1</v>
      </c>
      <c r="O3988" s="0" t="n">
        <v>7.89</v>
      </c>
      <c r="P3988" s="0" t="s">
        <v>2444</v>
      </c>
    </row>
    <row r="3989" customFormat="false" ht="15" hidden="false" customHeight="true" outlineLevel="0" collapsed="false">
      <c r="A3989" s="0" t="n">
        <v>2</v>
      </c>
      <c r="B3989" s="71" t="n">
        <v>46219</v>
      </c>
      <c r="C3989" s="0" t="n">
        <v>11</v>
      </c>
      <c r="D3989" s="0" t="s">
        <v>2471</v>
      </c>
      <c r="E3989" s="0" t="n">
        <v>1636</v>
      </c>
      <c r="F3989" s="0" t="s">
        <v>61</v>
      </c>
      <c r="I3989" s="0" t="n">
        <v>3218197</v>
      </c>
      <c r="J3989" s="0" t="n">
        <v>29112</v>
      </c>
      <c r="K3989" s="0" t="n">
        <v>7891152800517</v>
      </c>
      <c r="L3989" s="0" t="s">
        <v>2915</v>
      </c>
      <c r="N3989" s="0" t="n">
        <v>30</v>
      </c>
      <c r="O3989" s="0" t="n">
        <v>83.47</v>
      </c>
      <c r="P3989" s="0" t="s">
        <v>2444</v>
      </c>
    </row>
    <row r="3990" customFormat="false" ht="15" hidden="false" customHeight="true" outlineLevel="0" collapsed="false">
      <c r="A3990" s="0" t="n">
        <v>2</v>
      </c>
      <c r="B3990" s="71" t="n">
        <v>46219</v>
      </c>
      <c r="C3990" s="0" t="n">
        <v>11</v>
      </c>
      <c r="D3990" s="0" t="s">
        <v>2471</v>
      </c>
      <c r="E3990" s="0" t="n">
        <v>1636</v>
      </c>
      <c r="F3990" s="0" t="s">
        <v>61</v>
      </c>
      <c r="I3990" s="0" t="n">
        <v>3218197</v>
      </c>
      <c r="J3990" s="0" t="n">
        <v>29441</v>
      </c>
      <c r="K3990" s="0" t="n">
        <v>7891350034622</v>
      </c>
      <c r="L3990" s="0" t="s">
        <v>3747</v>
      </c>
      <c r="N3990" s="0" t="n">
        <v>1</v>
      </c>
      <c r="O3990" s="0" t="n">
        <v>7.15</v>
      </c>
      <c r="P3990" s="0" t="s">
        <v>2444</v>
      </c>
    </row>
    <row r="3991" customFormat="false" ht="15" hidden="false" customHeight="true" outlineLevel="0" collapsed="false">
      <c r="A3991" s="0" t="n">
        <v>2</v>
      </c>
      <c r="B3991" s="71" t="n">
        <v>46219</v>
      </c>
      <c r="C3991" s="0" t="n">
        <v>11</v>
      </c>
      <c r="D3991" s="0" t="s">
        <v>2471</v>
      </c>
      <c r="E3991" s="0" t="n">
        <v>1636</v>
      </c>
      <c r="F3991" s="0" t="s">
        <v>61</v>
      </c>
      <c r="I3991" s="0" t="n">
        <v>3218197</v>
      </c>
      <c r="J3991" s="0" t="n">
        <v>29442</v>
      </c>
      <c r="K3991" s="0" t="n">
        <v>7891350034639</v>
      </c>
      <c r="L3991" s="0" t="s">
        <v>3748</v>
      </c>
      <c r="N3991" s="0" t="n">
        <v>3</v>
      </c>
      <c r="O3991" s="0" t="n">
        <v>21.45</v>
      </c>
      <c r="P3991" s="0" t="s">
        <v>2444</v>
      </c>
    </row>
    <row r="3992" customFormat="false" ht="15" hidden="false" customHeight="true" outlineLevel="0" collapsed="false">
      <c r="A3992" s="0" t="n">
        <v>2</v>
      </c>
      <c r="B3992" s="71" t="n">
        <v>46219</v>
      </c>
      <c r="C3992" s="0" t="n">
        <v>11</v>
      </c>
      <c r="D3992" s="0" t="s">
        <v>2471</v>
      </c>
      <c r="E3992" s="0" t="n">
        <v>1636</v>
      </c>
      <c r="F3992" s="0" t="s">
        <v>61</v>
      </c>
      <c r="I3992" s="0" t="n">
        <v>3218197</v>
      </c>
      <c r="J3992" s="0" t="n">
        <v>29443</v>
      </c>
      <c r="K3992" s="0" t="n">
        <v>7891350034646</v>
      </c>
      <c r="L3992" s="0" t="s">
        <v>3749</v>
      </c>
      <c r="N3992" s="0" t="n">
        <v>3</v>
      </c>
      <c r="O3992" s="0" t="n">
        <v>21.45</v>
      </c>
      <c r="P3992" s="0" t="s">
        <v>2444</v>
      </c>
    </row>
    <row r="3993" customFormat="false" ht="15" hidden="false" customHeight="true" outlineLevel="0" collapsed="false">
      <c r="A3993" s="0" t="n">
        <v>2</v>
      </c>
      <c r="B3993" s="71" t="n">
        <v>46219</v>
      </c>
      <c r="C3993" s="0" t="n">
        <v>11</v>
      </c>
      <c r="D3993" s="0" t="s">
        <v>2471</v>
      </c>
      <c r="E3993" s="0" t="n">
        <v>1636</v>
      </c>
      <c r="F3993" s="0" t="s">
        <v>61</v>
      </c>
      <c r="I3993" s="0" t="n">
        <v>3218197</v>
      </c>
      <c r="J3993" s="0" t="n">
        <v>32895</v>
      </c>
      <c r="K3993" s="0" t="n">
        <v>7896235353409</v>
      </c>
      <c r="L3993" s="0" t="s">
        <v>4376</v>
      </c>
      <c r="N3993" s="0" t="n">
        <v>3</v>
      </c>
      <c r="O3993" s="0" t="n">
        <v>28.36</v>
      </c>
      <c r="P3993" s="0" t="s">
        <v>2444</v>
      </c>
    </row>
    <row r="3994" customFormat="false" ht="15" hidden="false" customHeight="true" outlineLevel="0" collapsed="false">
      <c r="A3994" s="0" t="n">
        <v>2</v>
      </c>
      <c r="B3994" s="71" t="n">
        <v>46219</v>
      </c>
      <c r="C3994" s="0" t="n">
        <v>11</v>
      </c>
      <c r="D3994" s="0" t="s">
        <v>2471</v>
      </c>
      <c r="E3994" s="0" t="n">
        <v>1636</v>
      </c>
      <c r="F3994" s="0" t="s">
        <v>61</v>
      </c>
      <c r="I3994" s="0" t="n">
        <v>3218197</v>
      </c>
      <c r="J3994" s="0" t="n">
        <v>32897</v>
      </c>
      <c r="K3994" s="0" t="n">
        <v>7896235353331</v>
      </c>
      <c r="L3994" s="0" t="s">
        <v>4377</v>
      </c>
      <c r="N3994" s="0" t="n">
        <v>3</v>
      </c>
      <c r="O3994" s="0" t="n">
        <v>24.09</v>
      </c>
      <c r="P3994" s="0" t="s">
        <v>2444</v>
      </c>
    </row>
    <row r="3995" customFormat="false" ht="15" hidden="false" customHeight="true" outlineLevel="0" collapsed="false">
      <c r="A3995" s="0" t="n">
        <v>2</v>
      </c>
      <c r="B3995" s="71" t="n">
        <v>46219</v>
      </c>
      <c r="C3995" s="0" t="n">
        <v>11</v>
      </c>
      <c r="D3995" s="0" t="s">
        <v>2471</v>
      </c>
      <c r="E3995" s="0" t="n">
        <v>1636</v>
      </c>
      <c r="F3995" s="0" t="s">
        <v>61</v>
      </c>
      <c r="I3995" s="0" t="n">
        <v>3218197</v>
      </c>
      <c r="J3995" s="0" t="n">
        <v>32900</v>
      </c>
      <c r="K3995" s="0" t="n">
        <v>7896235353324</v>
      </c>
      <c r="L3995" s="0" t="s">
        <v>4378</v>
      </c>
      <c r="N3995" s="0" t="n">
        <v>3</v>
      </c>
      <c r="O3995" s="0" t="n">
        <v>24.09</v>
      </c>
      <c r="P3995" s="0" t="s">
        <v>2444</v>
      </c>
    </row>
    <row r="3996" customFormat="false" ht="15" hidden="false" customHeight="true" outlineLevel="0" collapsed="false">
      <c r="A3996" s="0" t="n">
        <v>2</v>
      </c>
      <c r="B3996" s="71" t="n">
        <v>46219</v>
      </c>
      <c r="C3996" s="0" t="n">
        <v>11</v>
      </c>
      <c r="D3996" s="0" t="s">
        <v>2471</v>
      </c>
      <c r="E3996" s="0" t="n">
        <v>1636</v>
      </c>
      <c r="F3996" s="0" t="s">
        <v>61</v>
      </c>
      <c r="I3996" s="0" t="n">
        <v>3218197</v>
      </c>
      <c r="J3996" s="0" t="n">
        <v>34179</v>
      </c>
      <c r="K3996" s="0" t="n">
        <v>7891350032741</v>
      </c>
      <c r="L3996" s="0" t="s">
        <v>4379</v>
      </c>
      <c r="N3996" s="0" t="n">
        <v>3</v>
      </c>
      <c r="O3996" s="0" t="n">
        <v>21.45</v>
      </c>
      <c r="P3996" s="0" t="s">
        <v>2444</v>
      </c>
    </row>
    <row r="3997" customFormat="false" ht="15" hidden="false" customHeight="true" outlineLevel="0" collapsed="false">
      <c r="A3997" s="0" t="n">
        <v>2</v>
      </c>
      <c r="B3997" s="71" t="n">
        <v>46219</v>
      </c>
      <c r="C3997" s="0" t="n">
        <v>11</v>
      </c>
      <c r="D3997" s="0" t="s">
        <v>2471</v>
      </c>
      <c r="E3997" s="0" t="n">
        <v>1636</v>
      </c>
      <c r="F3997" s="0" t="s">
        <v>61</v>
      </c>
      <c r="I3997" s="0" t="n">
        <v>3218197</v>
      </c>
      <c r="J3997" s="0" t="n">
        <v>36033</v>
      </c>
      <c r="K3997" s="0" t="n">
        <v>7891152800951</v>
      </c>
      <c r="L3997" s="0" t="s">
        <v>2917</v>
      </c>
      <c r="N3997" s="0" t="n">
        <v>30</v>
      </c>
      <c r="O3997" s="0" t="n">
        <v>83.26</v>
      </c>
      <c r="P3997" s="0" t="s">
        <v>2444</v>
      </c>
    </row>
    <row r="3998" customFormat="false" ht="15" hidden="false" customHeight="true" outlineLevel="0" collapsed="false">
      <c r="A3998" s="0" t="n">
        <v>2</v>
      </c>
      <c r="B3998" s="71" t="n">
        <v>46219</v>
      </c>
      <c r="C3998" s="0" t="n">
        <v>11</v>
      </c>
      <c r="D3998" s="0" t="s">
        <v>2471</v>
      </c>
      <c r="E3998" s="0" t="n">
        <v>1636</v>
      </c>
      <c r="F3998" s="0" t="s">
        <v>61</v>
      </c>
      <c r="I3998" s="0" t="n">
        <v>3218197</v>
      </c>
      <c r="J3998" s="0" t="n">
        <v>36034</v>
      </c>
      <c r="K3998" s="0" t="n">
        <v>7891152800937</v>
      </c>
      <c r="L3998" s="0" t="s">
        <v>2918</v>
      </c>
      <c r="N3998" s="0" t="n">
        <v>30</v>
      </c>
      <c r="O3998" s="0" t="n">
        <v>83.26</v>
      </c>
      <c r="P3998" s="0" t="s">
        <v>2444</v>
      </c>
    </row>
    <row r="3999" customFormat="false" ht="15" hidden="false" customHeight="true" outlineLevel="0" collapsed="false">
      <c r="A3999" s="0" t="n">
        <v>2</v>
      </c>
      <c r="B3999" s="71" t="n">
        <v>46219</v>
      </c>
      <c r="C3999" s="0" t="n">
        <v>11</v>
      </c>
      <c r="D3999" s="0" t="s">
        <v>2471</v>
      </c>
      <c r="E3999" s="0" t="n">
        <v>1636</v>
      </c>
      <c r="F3999" s="0" t="s">
        <v>61</v>
      </c>
      <c r="I3999" s="0" t="n">
        <v>3218197</v>
      </c>
      <c r="J3999" s="0" t="n">
        <v>36225</v>
      </c>
      <c r="K3999" s="0" t="n">
        <v>7891152800968</v>
      </c>
      <c r="L3999" s="0" t="s">
        <v>2919</v>
      </c>
      <c r="N3999" s="0" t="n">
        <v>30</v>
      </c>
      <c r="O3999" s="0" t="n">
        <v>83.26</v>
      </c>
      <c r="P3999" s="0" t="s">
        <v>2444</v>
      </c>
    </row>
    <row r="4000" customFormat="false" ht="15" hidden="false" customHeight="true" outlineLevel="0" collapsed="false">
      <c r="A4000" s="0" t="n">
        <v>2</v>
      </c>
      <c r="B4000" s="71" t="n">
        <v>46219</v>
      </c>
      <c r="C4000" s="0" t="n">
        <v>11</v>
      </c>
      <c r="D4000" s="0" t="s">
        <v>2471</v>
      </c>
      <c r="E4000" s="0" t="n">
        <v>1636</v>
      </c>
      <c r="F4000" s="0" t="s">
        <v>61</v>
      </c>
      <c r="I4000" s="0" t="n">
        <v>3218197</v>
      </c>
      <c r="J4000" s="0" t="n">
        <v>38377</v>
      </c>
      <c r="K4000" s="0" t="n">
        <v>7896235353393</v>
      </c>
      <c r="L4000" s="0" t="s">
        <v>4380</v>
      </c>
      <c r="N4000" s="0" t="n">
        <v>3</v>
      </c>
      <c r="O4000" s="0" t="n">
        <v>28.36</v>
      </c>
      <c r="P4000" s="0" t="s">
        <v>2444</v>
      </c>
    </row>
    <row r="4001" customFormat="false" ht="15" hidden="false" customHeight="true" outlineLevel="0" collapsed="false">
      <c r="A4001" s="0" t="n">
        <v>2</v>
      </c>
      <c r="B4001" s="71" t="n">
        <v>46219</v>
      </c>
      <c r="C4001" s="0" t="n">
        <v>11</v>
      </c>
      <c r="D4001" s="0" t="s">
        <v>2471</v>
      </c>
      <c r="E4001" s="0" t="n">
        <v>1636</v>
      </c>
      <c r="F4001" s="0" t="s">
        <v>61</v>
      </c>
      <c r="I4001" s="0" t="n">
        <v>3218197</v>
      </c>
      <c r="J4001" s="0" t="n">
        <v>41919</v>
      </c>
      <c r="K4001" s="0" t="n">
        <v>7891152801354</v>
      </c>
      <c r="L4001" s="0" t="s">
        <v>2922</v>
      </c>
      <c r="N4001" s="0" t="n">
        <v>30</v>
      </c>
      <c r="O4001" s="0" t="n">
        <v>57.43</v>
      </c>
      <c r="P4001" s="0" t="s">
        <v>2444</v>
      </c>
    </row>
    <row r="4002" customFormat="false" ht="15" hidden="false" customHeight="true" outlineLevel="0" collapsed="false">
      <c r="A4002" s="0" t="n">
        <v>2</v>
      </c>
      <c r="B4002" s="71" t="n">
        <v>46219</v>
      </c>
      <c r="C4002" s="0" t="n">
        <v>11</v>
      </c>
      <c r="D4002" s="0" t="s">
        <v>2471</v>
      </c>
      <c r="E4002" s="0" t="n">
        <v>1636</v>
      </c>
      <c r="F4002" s="0" t="s">
        <v>61</v>
      </c>
      <c r="I4002" s="0" t="n">
        <v>3218197</v>
      </c>
      <c r="J4002" s="0" t="n">
        <v>41945</v>
      </c>
      <c r="K4002" s="0" t="n">
        <v>7891152801323</v>
      </c>
      <c r="L4002" s="0" t="s">
        <v>2924</v>
      </c>
      <c r="N4002" s="0" t="n">
        <v>60</v>
      </c>
      <c r="O4002" s="0" t="n">
        <v>114.85</v>
      </c>
      <c r="P4002" s="0" t="s">
        <v>2444</v>
      </c>
    </row>
    <row r="4003" customFormat="false" ht="15" hidden="false" customHeight="true" outlineLevel="0" collapsed="false">
      <c r="A4003" s="0" t="n">
        <v>2</v>
      </c>
      <c r="B4003" s="71" t="n">
        <v>46219</v>
      </c>
      <c r="C4003" s="0" t="n">
        <v>11</v>
      </c>
      <c r="D4003" s="0" t="s">
        <v>2471</v>
      </c>
      <c r="E4003" s="0" t="n">
        <v>1636</v>
      </c>
      <c r="F4003" s="0" t="s">
        <v>61</v>
      </c>
      <c r="I4003" s="0" t="n">
        <v>3218197</v>
      </c>
      <c r="J4003" s="0" t="n">
        <v>41947</v>
      </c>
      <c r="K4003" s="0" t="n">
        <v>7891152801330</v>
      </c>
      <c r="L4003" s="0" t="s">
        <v>2925</v>
      </c>
      <c r="N4003" s="0" t="n">
        <v>30</v>
      </c>
      <c r="O4003" s="0" t="n">
        <v>57.43</v>
      </c>
      <c r="P4003" s="0" t="s">
        <v>2444</v>
      </c>
    </row>
    <row r="4004" customFormat="false" ht="15" hidden="false" customHeight="true" outlineLevel="0" collapsed="false">
      <c r="A4004" s="0" t="n">
        <v>2</v>
      </c>
      <c r="B4004" s="71" t="n">
        <v>46219</v>
      </c>
      <c r="C4004" s="0" t="n">
        <v>11</v>
      </c>
      <c r="D4004" s="0" t="s">
        <v>2471</v>
      </c>
      <c r="E4004" s="0" t="n">
        <v>1636</v>
      </c>
      <c r="F4004" s="0" t="s">
        <v>61</v>
      </c>
      <c r="I4004" s="0" t="n">
        <v>3218197</v>
      </c>
      <c r="J4004" s="0" t="n">
        <v>44049</v>
      </c>
      <c r="K4004" s="0" t="n">
        <v>7891152801378</v>
      </c>
      <c r="L4004" s="0" t="s">
        <v>2926</v>
      </c>
      <c r="N4004" s="0" t="n">
        <v>60</v>
      </c>
      <c r="O4004" s="0" t="n">
        <v>114.85</v>
      </c>
      <c r="P4004" s="0" t="s">
        <v>2444</v>
      </c>
    </row>
    <row r="4005" customFormat="false" ht="15" hidden="false" customHeight="true" outlineLevel="0" collapsed="false">
      <c r="A4005" s="0" t="n">
        <v>2</v>
      </c>
      <c r="B4005" s="71" t="n">
        <v>46219</v>
      </c>
      <c r="C4005" s="0" t="n">
        <v>11</v>
      </c>
      <c r="D4005" s="0" t="s">
        <v>2471</v>
      </c>
      <c r="E4005" s="0" t="n">
        <v>1636</v>
      </c>
      <c r="F4005" s="0" t="s">
        <v>61</v>
      </c>
      <c r="I4005" s="0" t="n">
        <v>3218197</v>
      </c>
      <c r="J4005" s="0" t="n">
        <v>44626</v>
      </c>
      <c r="K4005" s="0" t="n">
        <v>7891350032857</v>
      </c>
      <c r="L4005" s="0" t="s">
        <v>4381</v>
      </c>
      <c r="N4005" s="0" t="n">
        <v>3</v>
      </c>
      <c r="O4005" s="0" t="n">
        <v>21.45</v>
      </c>
      <c r="P4005" s="0" t="s">
        <v>2444</v>
      </c>
    </row>
    <row r="4006" customFormat="false" ht="15" hidden="false" customHeight="true" outlineLevel="0" collapsed="false">
      <c r="A4006" s="0" t="n">
        <v>2</v>
      </c>
      <c r="B4006" s="71" t="n">
        <v>46219</v>
      </c>
      <c r="C4006" s="0" t="n">
        <v>11</v>
      </c>
      <c r="D4006" s="0" t="s">
        <v>2471</v>
      </c>
      <c r="E4006" s="0" t="n">
        <v>1636</v>
      </c>
      <c r="F4006" s="0" t="s">
        <v>61</v>
      </c>
      <c r="I4006" s="0" t="n">
        <v>3218197</v>
      </c>
      <c r="J4006" s="0" t="n">
        <v>47731</v>
      </c>
      <c r="K4006" s="0" t="n">
        <v>7896235354017</v>
      </c>
      <c r="L4006" s="0" t="s">
        <v>4382</v>
      </c>
      <c r="N4006" s="0" t="n">
        <v>1</v>
      </c>
      <c r="O4006" s="0" t="n">
        <v>10.86</v>
      </c>
      <c r="P4006" s="0" t="s">
        <v>2444</v>
      </c>
    </row>
    <row r="4007" customFormat="false" ht="15" hidden="false" customHeight="true" outlineLevel="0" collapsed="false">
      <c r="A4007" s="0" t="n">
        <v>2</v>
      </c>
      <c r="B4007" s="71" t="n">
        <v>46219</v>
      </c>
      <c r="C4007" s="0" t="n">
        <v>11</v>
      </c>
      <c r="D4007" s="0" t="s">
        <v>2471</v>
      </c>
      <c r="E4007" s="0" t="n">
        <v>1636</v>
      </c>
      <c r="F4007" s="0" t="s">
        <v>61</v>
      </c>
      <c r="I4007" s="0" t="n">
        <v>3218197</v>
      </c>
      <c r="J4007" s="0" t="n">
        <v>47894</v>
      </c>
      <c r="K4007" s="0" t="n">
        <v>7891152801866</v>
      </c>
      <c r="L4007" s="0" t="s">
        <v>2927</v>
      </c>
      <c r="N4007" s="0" t="n">
        <v>80</v>
      </c>
      <c r="O4007" s="0" t="n">
        <v>117.34</v>
      </c>
      <c r="P4007" s="0" t="s">
        <v>2444</v>
      </c>
    </row>
    <row r="4008" customFormat="false" ht="15" hidden="false" customHeight="true" outlineLevel="0" collapsed="false">
      <c r="A4008" s="0" t="n">
        <v>2</v>
      </c>
      <c r="B4008" s="71" t="n">
        <v>46219</v>
      </c>
      <c r="C4008" s="0" t="n">
        <v>11</v>
      </c>
      <c r="D4008" s="0" t="s">
        <v>2471</v>
      </c>
      <c r="E4008" s="0" t="n">
        <v>1636</v>
      </c>
      <c r="F4008" s="0" t="s">
        <v>61</v>
      </c>
      <c r="I4008" s="0" t="n">
        <v>3218197</v>
      </c>
      <c r="J4008" s="0" t="n">
        <v>48472</v>
      </c>
      <c r="K4008" s="0" t="n">
        <v>7891152801897</v>
      </c>
      <c r="L4008" s="0" t="s">
        <v>4383</v>
      </c>
      <c r="N4008" s="0" t="n">
        <v>80</v>
      </c>
      <c r="O4008" s="0" t="n">
        <v>70.42</v>
      </c>
      <c r="P4008" s="0" t="s">
        <v>2444</v>
      </c>
    </row>
    <row r="4009" customFormat="false" ht="15" hidden="false" customHeight="true" outlineLevel="0" collapsed="false">
      <c r="A4009" s="0" t="n">
        <v>2</v>
      </c>
      <c r="B4009" s="71" t="n">
        <v>46219</v>
      </c>
      <c r="C4009" s="0" t="n">
        <v>11</v>
      </c>
      <c r="D4009" s="0" t="s">
        <v>2471</v>
      </c>
      <c r="E4009" s="0" t="n">
        <v>1636</v>
      </c>
      <c r="F4009" s="0" t="s">
        <v>61</v>
      </c>
      <c r="I4009" s="0" t="n">
        <v>3218197</v>
      </c>
      <c r="J4009" s="0" t="n">
        <v>48473</v>
      </c>
      <c r="K4009" s="0" t="n">
        <v>7891152801910</v>
      </c>
      <c r="L4009" s="0" t="s">
        <v>4384</v>
      </c>
      <c r="N4009" s="0" t="n">
        <v>120</v>
      </c>
      <c r="O4009" s="0" t="n">
        <v>105.64</v>
      </c>
      <c r="P4009" s="0" t="s">
        <v>2444</v>
      </c>
    </row>
    <row r="4010" customFormat="false" ht="15" hidden="false" customHeight="true" outlineLevel="0" collapsed="false">
      <c r="A4010" s="0" t="n">
        <v>2</v>
      </c>
      <c r="B4010" s="71" t="n">
        <v>46219</v>
      </c>
      <c r="C4010" s="0" t="n">
        <v>11</v>
      </c>
      <c r="D4010" s="0" t="s">
        <v>2471</v>
      </c>
      <c r="E4010" s="0" t="n">
        <v>1636</v>
      </c>
      <c r="F4010" s="0" t="s">
        <v>61</v>
      </c>
      <c r="I4010" s="0" t="n">
        <v>3218197</v>
      </c>
      <c r="J4010" s="0" t="n">
        <v>48476</v>
      </c>
      <c r="K4010" s="0" t="n">
        <v>7891152801880</v>
      </c>
      <c r="L4010" s="0" t="s">
        <v>2928</v>
      </c>
      <c r="N4010" s="0" t="n">
        <v>80</v>
      </c>
      <c r="O4010" s="0" t="n">
        <v>117.34</v>
      </c>
      <c r="P4010" s="0" t="s">
        <v>2444</v>
      </c>
    </row>
    <row r="4011" customFormat="false" ht="15" hidden="false" customHeight="true" outlineLevel="0" collapsed="false">
      <c r="A4011" s="0" t="n">
        <v>2</v>
      </c>
      <c r="B4011" s="71" t="n">
        <v>46219</v>
      </c>
      <c r="C4011" s="0" t="n">
        <v>11</v>
      </c>
      <c r="D4011" s="0" t="s">
        <v>2471</v>
      </c>
      <c r="E4011" s="0" t="n">
        <v>1636</v>
      </c>
      <c r="F4011" s="0" t="s">
        <v>61</v>
      </c>
      <c r="I4011" s="0" t="n">
        <v>3218197</v>
      </c>
      <c r="J4011" s="0" t="n">
        <v>48477</v>
      </c>
      <c r="K4011" s="0" t="n">
        <v>7891152801828</v>
      </c>
      <c r="L4011" s="0" t="s">
        <v>2929</v>
      </c>
      <c r="N4011" s="0" t="n">
        <v>72</v>
      </c>
      <c r="O4011" s="0" t="n">
        <v>158.46</v>
      </c>
      <c r="P4011" s="0" t="s">
        <v>2444</v>
      </c>
    </row>
    <row r="4012" customFormat="false" ht="15" hidden="false" customHeight="true" outlineLevel="0" collapsed="false">
      <c r="A4012" s="0" t="n">
        <v>2</v>
      </c>
      <c r="B4012" s="71" t="n">
        <v>46219</v>
      </c>
      <c r="C4012" s="0" t="n">
        <v>11</v>
      </c>
      <c r="D4012" s="0" t="s">
        <v>2471</v>
      </c>
      <c r="E4012" s="0" t="n">
        <v>1636</v>
      </c>
      <c r="F4012" s="0" t="s">
        <v>61</v>
      </c>
      <c r="I4012" s="0" t="n">
        <v>3218197</v>
      </c>
      <c r="J4012" s="0" t="n">
        <v>48478</v>
      </c>
      <c r="K4012" s="0" t="n">
        <v>7891152801811</v>
      </c>
      <c r="L4012" s="0" t="s">
        <v>2930</v>
      </c>
      <c r="N4012" s="0" t="n">
        <v>36</v>
      </c>
      <c r="O4012" s="0" t="n">
        <v>79.23</v>
      </c>
      <c r="P4012" s="0" t="s">
        <v>2444</v>
      </c>
    </row>
    <row r="4013" customFormat="false" ht="15" hidden="false" customHeight="true" outlineLevel="0" collapsed="false">
      <c r="A4013" s="0" t="n">
        <v>2</v>
      </c>
      <c r="B4013" s="71" t="n">
        <v>46219</v>
      </c>
      <c r="C4013" s="0" t="n">
        <v>11</v>
      </c>
      <c r="D4013" s="0" t="s">
        <v>2471</v>
      </c>
      <c r="E4013" s="0" t="n">
        <v>1636</v>
      </c>
      <c r="F4013" s="0" t="s">
        <v>61</v>
      </c>
      <c r="I4013" s="0" t="n">
        <v>3218197</v>
      </c>
      <c r="J4013" s="0" t="n">
        <v>48697</v>
      </c>
      <c r="K4013" s="0" t="n">
        <v>7891152801804</v>
      </c>
      <c r="L4013" s="0" t="s">
        <v>2931</v>
      </c>
      <c r="N4013" s="0" t="n">
        <v>36</v>
      </c>
      <c r="O4013" s="0" t="n">
        <v>79.23</v>
      </c>
      <c r="P4013" s="0" t="s">
        <v>2444</v>
      </c>
    </row>
    <row r="4014" customFormat="false" ht="15" hidden="false" customHeight="true" outlineLevel="0" collapsed="false">
      <c r="A4014" s="0" t="n">
        <v>2</v>
      </c>
      <c r="B4014" s="71" t="n">
        <v>46219</v>
      </c>
      <c r="C4014" s="0" t="n">
        <v>11</v>
      </c>
      <c r="D4014" s="0" t="s">
        <v>2471</v>
      </c>
      <c r="E4014" s="0" t="n">
        <v>1636</v>
      </c>
      <c r="F4014" s="0" t="s">
        <v>61</v>
      </c>
      <c r="I4014" s="0" t="n">
        <v>3218197</v>
      </c>
      <c r="J4014" s="0" t="n">
        <v>48698</v>
      </c>
      <c r="K4014" s="0" t="n">
        <v>7891152801781</v>
      </c>
      <c r="L4014" s="0" t="s">
        <v>2932</v>
      </c>
      <c r="N4014" s="0" t="n">
        <v>72</v>
      </c>
      <c r="O4014" s="0" t="n">
        <v>158.46</v>
      </c>
      <c r="P4014" s="0" t="s">
        <v>2444</v>
      </c>
    </row>
    <row r="4015" customFormat="false" ht="15" hidden="false" customHeight="true" outlineLevel="0" collapsed="false">
      <c r="A4015" s="0" t="n">
        <v>2</v>
      </c>
      <c r="B4015" s="71" t="n">
        <v>46219</v>
      </c>
      <c r="C4015" s="0" t="n">
        <v>11</v>
      </c>
      <c r="D4015" s="0" t="s">
        <v>2471</v>
      </c>
      <c r="E4015" s="0" t="n">
        <v>1636</v>
      </c>
      <c r="F4015" s="0" t="s">
        <v>61</v>
      </c>
      <c r="I4015" s="0" t="n">
        <v>3218197</v>
      </c>
      <c r="J4015" s="0" t="n">
        <v>48867</v>
      </c>
      <c r="K4015" s="0" t="n">
        <v>7891152801798</v>
      </c>
      <c r="L4015" s="0" t="s">
        <v>2934</v>
      </c>
      <c r="N4015" s="0" t="n">
        <v>72</v>
      </c>
      <c r="O4015" s="0" t="n">
        <v>158.46</v>
      </c>
      <c r="P4015" s="0" t="s">
        <v>2444</v>
      </c>
    </row>
    <row r="4016" customFormat="false" ht="15" hidden="false" customHeight="true" outlineLevel="0" collapsed="false">
      <c r="A4016" s="0" t="n">
        <v>2</v>
      </c>
      <c r="B4016" s="71" t="n">
        <v>46219</v>
      </c>
      <c r="C4016" s="0" t="n">
        <v>11</v>
      </c>
      <c r="D4016" s="0" t="s">
        <v>2471</v>
      </c>
      <c r="E4016" s="0" t="n">
        <v>1636</v>
      </c>
      <c r="F4016" s="0" t="s">
        <v>61</v>
      </c>
      <c r="I4016" s="0" t="n">
        <v>3218197</v>
      </c>
      <c r="J4016" s="0" t="n">
        <v>49326</v>
      </c>
      <c r="K4016" s="0" t="n">
        <v>7891152801835</v>
      </c>
      <c r="L4016" s="0" t="s">
        <v>2936</v>
      </c>
      <c r="N4016" s="0" t="n">
        <v>36</v>
      </c>
      <c r="O4016" s="0" t="n">
        <v>79.23</v>
      </c>
      <c r="P4016" s="0" t="s">
        <v>2444</v>
      </c>
    </row>
    <row r="4017" customFormat="false" ht="15" hidden="false" customHeight="true" outlineLevel="0" collapsed="false">
      <c r="A4017" s="0" t="n">
        <v>2</v>
      </c>
      <c r="B4017" s="71" t="n">
        <v>46219</v>
      </c>
      <c r="C4017" s="0" t="n">
        <v>11</v>
      </c>
      <c r="D4017" s="0" t="s">
        <v>2471</v>
      </c>
      <c r="E4017" s="0" t="n">
        <v>1636</v>
      </c>
      <c r="F4017" s="0" t="s">
        <v>61</v>
      </c>
      <c r="I4017" s="0" t="n">
        <v>3218197</v>
      </c>
      <c r="J4017" s="0" t="n">
        <v>52431</v>
      </c>
      <c r="K4017" s="0" t="n">
        <v>7891152801262</v>
      </c>
      <c r="L4017" s="0" t="s">
        <v>4385</v>
      </c>
      <c r="N4017" s="0" t="n">
        <v>10</v>
      </c>
      <c r="O4017" s="0" t="n">
        <v>34.68</v>
      </c>
      <c r="P4017" s="0" t="s">
        <v>2444</v>
      </c>
    </row>
    <row r="4018" customFormat="false" ht="15" hidden="false" customHeight="true" outlineLevel="0" collapsed="false">
      <c r="A4018" s="0" t="n">
        <v>2</v>
      </c>
      <c r="B4018" s="71" t="n">
        <v>46219</v>
      </c>
      <c r="C4018" s="0" t="n">
        <v>11</v>
      </c>
      <c r="D4018" s="0" t="s">
        <v>2471</v>
      </c>
      <c r="E4018" s="0" t="n">
        <v>1636</v>
      </c>
      <c r="F4018" s="0" t="s">
        <v>61</v>
      </c>
      <c r="I4018" s="0" t="n">
        <v>3218197</v>
      </c>
      <c r="J4018" s="0" t="n">
        <v>52434</v>
      </c>
      <c r="K4018" s="0" t="n">
        <v>7891152801965</v>
      </c>
      <c r="L4018" s="0" t="s">
        <v>2937</v>
      </c>
      <c r="N4018" s="0" t="n">
        <v>72</v>
      </c>
      <c r="O4018" s="0" t="n">
        <v>158.46</v>
      </c>
      <c r="P4018" s="0" t="s">
        <v>2444</v>
      </c>
    </row>
    <row r="4019" customFormat="false" ht="15" hidden="false" customHeight="true" outlineLevel="0" collapsed="false">
      <c r="A4019" s="0" t="n">
        <v>2</v>
      </c>
      <c r="B4019" s="71" t="n">
        <v>46219</v>
      </c>
      <c r="C4019" s="0" t="n">
        <v>11</v>
      </c>
      <c r="D4019" s="0" t="s">
        <v>2471</v>
      </c>
      <c r="E4019" s="0" t="n">
        <v>1636</v>
      </c>
      <c r="F4019" s="0" t="s">
        <v>61</v>
      </c>
      <c r="I4019" s="0" t="n">
        <v>3218197</v>
      </c>
      <c r="J4019" s="0" t="n">
        <v>53055</v>
      </c>
      <c r="K4019" s="0" t="n">
        <v>7891152801972</v>
      </c>
      <c r="L4019" s="0" t="s">
        <v>2938</v>
      </c>
      <c r="N4019" s="0" t="n">
        <v>36</v>
      </c>
      <c r="O4019" s="0" t="n">
        <v>79.23</v>
      </c>
      <c r="P4019" s="0" t="s">
        <v>2444</v>
      </c>
    </row>
    <row r="4020" customFormat="false" ht="15" hidden="false" customHeight="true" outlineLevel="0" collapsed="false">
      <c r="A4020" s="0" t="n">
        <v>2</v>
      </c>
      <c r="B4020" s="71" t="n">
        <v>46219</v>
      </c>
      <c r="C4020" s="0" t="n">
        <v>11</v>
      </c>
      <c r="D4020" s="0" t="s">
        <v>2471</v>
      </c>
      <c r="E4020" s="0" t="n">
        <v>1636</v>
      </c>
      <c r="F4020" s="0" t="s">
        <v>61</v>
      </c>
      <c r="I4020" s="0" t="n">
        <v>3218197</v>
      </c>
      <c r="J4020" s="0" t="n">
        <v>65546</v>
      </c>
      <c r="K4020" s="0" t="n">
        <v>7891182996600</v>
      </c>
      <c r="L4020" s="0" t="s">
        <v>4386</v>
      </c>
      <c r="N4020" s="0" t="n">
        <v>6</v>
      </c>
      <c r="O4020" s="0" t="n">
        <v>26.34</v>
      </c>
      <c r="P4020" s="0" t="s">
        <v>2444</v>
      </c>
    </row>
    <row r="4021" customFormat="false" ht="15" hidden="false" customHeight="true" outlineLevel="0" collapsed="false">
      <c r="A4021" s="0" t="n">
        <v>2</v>
      </c>
      <c r="B4021" s="71" t="n">
        <v>46219</v>
      </c>
      <c r="C4021" s="0" t="n">
        <v>11</v>
      </c>
      <c r="D4021" s="0" t="s">
        <v>2471</v>
      </c>
      <c r="E4021" s="0" t="n">
        <v>1636</v>
      </c>
      <c r="F4021" s="0" t="s">
        <v>61</v>
      </c>
      <c r="I4021" s="0" t="n">
        <v>3218197</v>
      </c>
      <c r="J4021" s="0" t="n">
        <v>69631</v>
      </c>
      <c r="K4021" s="0" t="n">
        <v>7891182840095</v>
      </c>
      <c r="L4021" s="0" t="s">
        <v>4387</v>
      </c>
      <c r="N4021" s="0" t="n">
        <v>6</v>
      </c>
      <c r="O4021" s="0" t="n">
        <v>26.34</v>
      </c>
      <c r="P4021" s="0" t="s">
        <v>2444</v>
      </c>
    </row>
    <row r="4022" customFormat="false" ht="15" hidden="false" customHeight="true" outlineLevel="0" collapsed="false">
      <c r="A4022" s="0" t="n">
        <v>2</v>
      </c>
      <c r="B4022" s="71" t="n">
        <v>46219</v>
      </c>
      <c r="C4022" s="0" t="n">
        <v>11</v>
      </c>
      <c r="D4022" s="0" t="s">
        <v>2471</v>
      </c>
      <c r="E4022" s="0" t="n">
        <v>1636</v>
      </c>
      <c r="F4022" s="0" t="s">
        <v>61</v>
      </c>
      <c r="I4022" s="0" t="n">
        <v>3218197</v>
      </c>
      <c r="J4022" s="0" t="n">
        <v>81754</v>
      </c>
      <c r="K4022" s="0" t="n">
        <v>7891182040143</v>
      </c>
      <c r="L4022" s="0" t="s">
        <v>4388</v>
      </c>
      <c r="N4022" s="0" t="n">
        <v>6</v>
      </c>
      <c r="O4022" s="0" t="n">
        <v>28.26</v>
      </c>
      <c r="P4022" s="0" t="s">
        <v>2444</v>
      </c>
    </row>
    <row r="4023" customFormat="false" ht="15" hidden="false" customHeight="true" outlineLevel="0" collapsed="false">
      <c r="A4023" s="0" t="n">
        <v>2</v>
      </c>
      <c r="B4023" s="71" t="n">
        <v>46219</v>
      </c>
      <c r="C4023" s="0" t="n">
        <v>11</v>
      </c>
      <c r="D4023" s="0" t="s">
        <v>2471</v>
      </c>
      <c r="E4023" s="0" t="n">
        <v>1636</v>
      </c>
      <c r="F4023" s="0" t="s">
        <v>61</v>
      </c>
      <c r="I4023" s="0" t="n">
        <v>3218197</v>
      </c>
      <c r="J4023" s="0" t="n">
        <v>81755</v>
      </c>
      <c r="K4023" s="0" t="n">
        <v>7891350034868</v>
      </c>
      <c r="L4023" s="0" t="s">
        <v>4389</v>
      </c>
      <c r="N4023" s="0" t="n">
        <v>1</v>
      </c>
      <c r="O4023" s="0" t="n">
        <v>13.14</v>
      </c>
      <c r="P4023" s="0" t="s">
        <v>2444</v>
      </c>
    </row>
    <row r="4024" customFormat="false" ht="15" hidden="false" customHeight="true" outlineLevel="0" collapsed="false">
      <c r="A4024" s="0" t="n">
        <v>2</v>
      </c>
      <c r="B4024" s="71" t="n">
        <v>46219</v>
      </c>
      <c r="C4024" s="0" t="n">
        <v>22</v>
      </c>
      <c r="D4024" s="0" t="s">
        <v>2479</v>
      </c>
      <c r="E4024" s="0" t="n">
        <v>48</v>
      </c>
      <c r="F4024" s="0" t="s">
        <v>153</v>
      </c>
      <c r="I4024" s="0" t="n">
        <v>2545</v>
      </c>
      <c r="J4024" s="0" t="n">
        <v>100000</v>
      </c>
      <c r="K4024" s="0" t="n">
        <v>1</v>
      </c>
      <c r="L4024" s="0" t="s">
        <v>2480</v>
      </c>
      <c r="N4024" s="0" t="n">
        <v>2.61</v>
      </c>
      <c r="O4024" s="0" t="n">
        <v>49.09</v>
      </c>
      <c r="P4024" s="0" t="s">
        <v>2444</v>
      </c>
    </row>
    <row r="4025" customFormat="false" ht="15" hidden="false" customHeight="true" outlineLevel="0" collapsed="false">
      <c r="A4025" s="0" t="n">
        <v>2</v>
      </c>
      <c r="B4025" s="71" t="n">
        <v>46219</v>
      </c>
      <c r="C4025" s="0" t="n">
        <v>22</v>
      </c>
      <c r="D4025" s="0" t="s">
        <v>2479</v>
      </c>
      <c r="E4025" s="0" t="n">
        <v>48</v>
      </c>
      <c r="F4025" s="0" t="s">
        <v>153</v>
      </c>
      <c r="I4025" s="0" t="n">
        <v>2545</v>
      </c>
      <c r="J4025" s="0" t="n">
        <v>100000</v>
      </c>
      <c r="K4025" s="0" t="n">
        <v>1</v>
      </c>
      <c r="L4025" s="0" t="s">
        <v>2480</v>
      </c>
      <c r="N4025" s="0" t="n">
        <v>3.128</v>
      </c>
      <c r="O4025" s="0" t="n">
        <v>65.25</v>
      </c>
      <c r="P4025" s="0" t="s">
        <v>2444</v>
      </c>
    </row>
    <row r="4026" customFormat="false" ht="15" hidden="false" customHeight="true" outlineLevel="0" collapsed="false">
      <c r="A4026" s="0" t="n">
        <v>2</v>
      </c>
      <c r="B4026" s="71" t="n">
        <v>46219</v>
      </c>
      <c r="C4026" s="0" t="n">
        <v>22</v>
      </c>
      <c r="D4026" s="0" t="s">
        <v>2479</v>
      </c>
      <c r="E4026" s="0" t="n">
        <v>48</v>
      </c>
      <c r="F4026" s="0" t="s">
        <v>153</v>
      </c>
      <c r="I4026" s="0" t="n">
        <v>2545</v>
      </c>
      <c r="J4026" s="0" t="n">
        <v>100001</v>
      </c>
      <c r="K4026" s="0" t="n">
        <v>2</v>
      </c>
      <c r="L4026" s="0" t="s">
        <v>2481</v>
      </c>
      <c r="N4026" s="0" t="n">
        <v>7.73</v>
      </c>
      <c r="O4026" s="0" t="n">
        <v>157.49</v>
      </c>
      <c r="P4026" s="0" t="s">
        <v>2444</v>
      </c>
    </row>
    <row r="4027" customFormat="false" ht="15" hidden="false" customHeight="true" outlineLevel="0" collapsed="false">
      <c r="A4027" s="0" t="n">
        <v>2</v>
      </c>
      <c r="B4027" s="71" t="n">
        <v>46219</v>
      </c>
      <c r="C4027" s="0" t="n">
        <v>22</v>
      </c>
      <c r="D4027" s="0" t="s">
        <v>2479</v>
      </c>
      <c r="E4027" s="0" t="n">
        <v>48</v>
      </c>
      <c r="F4027" s="0" t="s">
        <v>153</v>
      </c>
      <c r="I4027" s="0" t="n">
        <v>2545</v>
      </c>
      <c r="J4027" s="0" t="n">
        <v>100002</v>
      </c>
      <c r="K4027" s="0" t="n">
        <v>3</v>
      </c>
      <c r="L4027" s="0" t="s">
        <v>2482</v>
      </c>
      <c r="N4027" s="0" t="n">
        <v>20.79</v>
      </c>
      <c r="O4027" s="0" t="n">
        <v>488.78</v>
      </c>
      <c r="P4027" s="0" t="s">
        <v>2444</v>
      </c>
    </row>
    <row r="4028" customFormat="false" ht="15" hidden="false" customHeight="true" outlineLevel="0" collapsed="false">
      <c r="A4028" s="0" t="n">
        <v>2</v>
      </c>
      <c r="B4028" s="71" t="n">
        <v>46219</v>
      </c>
      <c r="C4028" s="0" t="n">
        <v>22</v>
      </c>
      <c r="D4028" s="0" t="s">
        <v>2479</v>
      </c>
      <c r="E4028" s="0" t="n">
        <v>48</v>
      </c>
      <c r="F4028" s="0" t="s">
        <v>153</v>
      </c>
      <c r="I4028" s="0" t="n">
        <v>2545</v>
      </c>
      <c r="J4028" s="0" t="n">
        <v>100003</v>
      </c>
      <c r="K4028" s="0" t="n">
        <v>4</v>
      </c>
      <c r="L4028" s="0" t="s">
        <v>2483</v>
      </c>
      <c r="N4028" s="0" t="n">
        <v>12.805</v>
      </c>
      <c r="O4028" s="0" t="n">
        <v>321.13</v>
      </c>
      <c r="P4028" s="0" t="s">
        <v>2444</v>
      </c>
    </row>
    <row r="4029" customFormat="false" ht="15" hidden="false" customHeight="true" outlineLevel="0" collapsed="false">
      <c r="A4029" s="0" t="n">
        <v>2</v>
      </c>
      <c r="B4029" s="71" t="n">
        <v>46219</v>
      </c>
      <c r="C4029" s="0" t="n">
        <v>22</v>
      </c>
      <c r="D4029" s="0" t="s">
        <v>2479</v>
      </c>
      <c r="E4029" s="0" t="n">
        <v>48</v>
      </c>
      <c r="F4029" s="0" t="s">
        <v>153</v>
      </c>
      <c r="I4029" s="0" t="n">
        <v>2545</v>
      </c>
      <c r="J4029" s="0" t="n">
        <v>100004</v>
      </c>
      <c r="K4029" s="0" t="n">
        <v>5</v>
      </c>
      <c r="L4029" s="0" t="s">
        <v>2484</v>
      </c>
      <c r="N4029" s="0" t="n">
        <v>1.196</v>
      </c>
      <c r="O4029" s="0" t="n">
        <v>26.24</v>
      </c>
      <c r="P4029" s="0" t="s">
        <v>2444</v>
      </c>
    </row>
    <row r="4030" customFormat="false" ht="15" hidden="false" customHeight="true" outlineLevel="0" collapsed="false">
      <c r="A4030" s="0" t="n">
        <v>2</v>
      </c>
      <c r="B4030" s="71" t="n">
        <v>46219</v>
      </c>
      <c r="C4030" s="0" t="n">
        <v>22</v>
      </c>
      <c r="D4030" s="0" t="s">
        <v>2479</v>
      </c>
      <c r="E4030" s="0" t="n">
        <v>48</v>
      </c>
      <c r="F4030" s="0" t="s">
        <v>153</v>
      </c>
      <c r="I4030" s="0" t="n">
        <v>2545</v>
      </c>
      <c r="J4030" s="0" t="n">
        <v>100005</v>
      </c>
      <c r="K4030" s="0" t="n">
        <v>6</v>
      </c>
      <c r="L4030" s="0" t="s">
        <v>2582</v>
      </c>
      <c r="N4030" s="0" t="n">
        <v>8.975</v>
      </c>
      <c r="O4030" s="0" t="n">
        <v>211</v>
      </c>
      <c r="P4030" s="0" t="s">
        <v>2444</v>
      </c>
    </row>
    <row r="4031" customFormat="false" ht="15" hidden="false" customHeight="true" outlineLevel="0" collapsed="false">
      <c r="A4031" s="0" t="n">
        <v>2</v>
      </c>
      <c r="B4031" s="71" t="n">
        <v>46219</v>
      </c>
      <c r="C4031" s="0" t="n">
        <v>22</v>
      </c>
      <c r="D4031" s="0" t="s">
        <v>2479</v>
      </c>
      <c r="E4031" s="0" t="n">
        <v>48</v>
      </c>
      <c r="F4031" s="0" t="s">
        <v>153</v>
      </c>
      <c r="I4031" s="0" t="n">
        <v>2545</v>
      </c>
      <c r="J4031" s="0" t="n">
        <v>100006</v>
      </c>
      <c r="K4031" s="0" t="n">
        <v>7</v>
      </c>
      <c r="L4031" s="0" t="s">
        <v>2485</v>
      </c>
      <c r="N4031" s="0" t="n">
        <v>2.524</v>
      </c>
      <c r="O4031" s="0" t="n">
        <v>74.6</v>
      </c>
      <c r="P4031" s="0" t="s">
        <v>2444</v>
      </c>
    </row>
    <row r="4032" customFormat="false" ht="15" hidden="false" customHeight="true" outlineLevel="0" collapsed="false">
      <c r="A4032" s="0" t="n">
        <v>2</v>
      </c>
      <c r="B4032" s="71" t="n">
        <v>46219</v>
      </c>
      <c r="C4032" s="0" t="n">
        <v>22</v>
      </c>
      <c r="D4032" s="0" t="s">
        <v>2479</v>
      </c>
      <c r="E4032" s="0" t="n">
        <v>48</v>
      </c>
      <c r="F4032" s="0" t="s">
        <v>153</v>
      </c>
      <c r="I4032" s="0" t="n">
        <v>2545</v>
      </c>
      <c r="J4032" s="0" t="n">
        <v>100007</v>
      </c>
      <c r="K4032" s="0" t="n">
        <v>8</v>
      </c>
      <c r="L4032" s="0" t="s">
        <v>2486</v>
      </c>
      <c r="N4032" s="0" t="n">
        <v>4.348</v>
      </c>
      <c r="O4032" s="0" t="n">
        <v>102.22</v>
      </c>
      <c r="P4032" s="0" t="s">
        <v>2444</v>
      </c>
    </row>
    <row r="4033" customFormat="false" ht="15" hidden="false" customHeight="true" outlineLevel="0" collapsed="false">
      <c r="A4033" s="0" t="n">
        <v>2</v>
      </c>
      <c r="B4033" s="71" t="n">
        <v>46219</v>
      </c>
      <c r="C4033" s="0" t="n">
        <v>22</v>
      </c>
      <c r="D4033" s="0" t="s">
        <v>2479</v>
      </c>
      <c r="E4033" s="0" t="n">
        <v>48</v>
      </c>
      <c r="F4033" s="0" t="s">
        <v>153</v>
      </c>
      <c r="I4033" s="0" t="n">
        <v>2545</v>
      </c>
      <c r="J4033" s="0" t="n">
        <v>100007</v>
      </c>
      <c r="K4033" s="0" t="n">
        <v>8</v>
      </c>
      <c r="L4033" s="0" t="s">
        <v>2486</v>
      </c>
      <c r="N4033" s="0" t="n">
        <v>3.924</v>
      </c>
      <c r="O4033" s="0" t="n">
        <v>102.33</v>
      </c>
      <c r="P4033" s="0" t="s">
        <v>2444</v>
      </c>
    </row>
    <row r="4034" customFormat="false" ht="15" hidden="false" customHeight="true" outlineLevel="0" collapsed="false">
      <c r="A4034" s="0" t="n">
        <v>2</v>
      </c>
      <c r="B4034" s="71" t="n">
        <v>46219</v>
      </c>
      <c r="C4034" s="0" t="n">
        <v>22</v>
      </c>
      <c r="D4034" s="0" t="s">
        <v>2479</v>
      </c>
      <c r="E4034" s="0" t="n">
        <v>48</v>
      </c>
      <c r="F4034" s="0" t="s">
        <v>153</v>
      </c>
      <c r="I4034" s="0" t="n">
        <v>2545</v>
      </c>
      <c r="J4034" s="0" t="n">
        <v>100008</v>
      </c>
      <c r="K4034" s="0" t="n">
        <v>9</v>
      </c>
      <c r="L4034" s="0" t="s">
        <v>2487</v>
      </c>
      <c r="N4034" s="0" t="n">
        <v>14.6</v>
      </c>
      <c r="O4034" s="0" t="n">
        <v>495.02</v>
      </c>
      <c r="P4034" s="0" t="s">
        <v>2444</v>
      </c>
    </row>
    <row r="4035" customFormat="false" ht="15" hidden="false" customHeight="true" outlineLevel="0" collapsed="false">
      <c r="A4035" s="0" t="n">
        <v>2</v>
      </c>
      <c r="B4035" s="71" t="n">
        <v>46219</v>
      </c>
      <c r="C4035" s="0" t="n">
        <v>22</v>
      </c>
      <c r="D4035" s="0" t="s">
        <v>2479</v>
      </c>
      <c r="E4035" s="0" t="n">
        <v>48</v>
      </c>
      <c r="F4035" s="0" t="s">
        <v>153</v>
      </c>
      <c r="I4035" s="0" t="n">
        <v>2545</v>
      </c>
      <c r="J4035" s="0" t="n">
        <v>100011</v>
      </c>
      <c r="K4035" s="0" t="n">
        <v>12</v>
      </c>
      <c r="L4035" s="0" t="s">
        <v>2488</v>
      </c>
      <c r="N4035" s="0" t="n">
        <v>10.425</v>
      </c>
      <c r="O4035" s="0" t="n">
        <v>398.79</v>
      </c>
      <c r="P4035" s="0" t="s">
        <v>2444</v>
      </c>
    </row>
    <row r="4036" customFormat="false" ht="15" hidden="false" customHeight="true" outlineLevel="0" collapsed="false">
      <c r="A4036" s="0" t="n">
        <v>2</v>
      </c>
      <c r="B4036" s="71" t="n">
        <v>46219</v>
      </c>
      <c r="C4036" s="0" t="n">
        <v>22</v>
      </c>
      <c r="D4036" s="0" t="s">
        <v>2479</v>
      </c>
      <c r="E4036" s="0" t="n">
        <v>48</v>
      </c>
      <c r="F4036" s="0" t="s">
        <v>153</v>
      </c>
      <c r="I4036" s="0" t="n">
        <v>2545</v>
      </c>
      <c r="J4036" s="0" t="n">
        <v>100012</v>
      </c>
      <c r="K4036" s="0" t="n">
        <v>13</v>
      </c>
      <c r="L4036" s="0" t="s">
        <v>2489</v>
      </c>
      <c r="N4036" s="0" t="n">
        <v>5.592</v>
      </c>
      <c r="O4036" s="0" t="n">
        <v>243.09</v>
      </c>
      <c r="P4036" s="0" t="s">
        <v>2444</v>
      </c>
    </row>
    <row r="4037" customFormat="false" ht="15" hidden="false" customHeight="true" outlineLevel="0" collapsed="false">
      <c r="A4037" s="0" t="n">
        <v>2</v>
      </c>
      <c r="B4037" s="71" t="n">
        <v>46219</v>
      </c>
      <c r="C4037" s="0" t="n">
        <v>22</v>
      </c>
      <c r="D4037" s="0" t="s">
        <v>2479</v>
      </c>
      <c r="E4037" s="0" t="n">
        <v>48</v>
      </c>
      <c r="F4037" s="0" t="s">
        <v>153</v>
      </c>
      <c r="I4037" s="0" t="n">
        <v>2545</v>
      </c>
      <c r="J4037" s="0" t="n">
        <v>100013</v>
      </c>
      <c r="K4037" s="0" t="n">
        <v>14</v>
      </c>
      <c r="L4037" s="0" t="s">
        <v>2490</v>
      </c>
      <c r="N4037" s="0" t="n">
        <v>11.28</v>
      </c>
      <c r="O4037" s="0" t="n">
        <v>519.78</v>
      </c>
      <c r="P4037" s="0" t="s">
        <v>2444</v>
      </c>
    </row>
    <row r="4038" customFormat="false" ht="15" hidden="false" customHeight="true" outlineLevel="0" collapsed="false">
      <c r="A4038" s="0" t="n">
        <v>2</v>
      </c>
      <c r="B4038" s="71" t="n">
        <v>46219</v>
      </c>
      <c r="C4038" s="0" t="n">
        <v>22</v>
      </c>
      <c r="D4038" s="0" t="s">
        <v>2479</v>
      </c>
      <c r="E4038" s="0" t="n">
        <v>48</v>
      </c>
      <c r="F4038" s="0" t="s">
        <v>153</v>
      </c>
      <c r="I4038" s="0" t="n">
        <v>2545</v>
      </c>
      <c r="J4038" s="0" t="n">
        <v>100014</v>
      </c>
      <c r="K4038" s="0" t="n">
        <v>15</v>
      </c>
      <c r="L4038" s="0" t="s">
        <v>2491</v>
      </c>
      <c r="N4038" s="0" t="n">
        <v>4.378</v>
      </c>
      <c r="O4038" s="0" t="n">
        <v>205.54</v>
      </c>
      <c r="P4038" s="0" t="s">
        <v>2444</v>
      </c>
    </row>
    <row r="4039" customFormat="false" ht="15" hidden="false" customHeight="true" outlineLevel="0" collapsed="false">
      <c r="A4039" s="0" t="n">
        <v>2</v>
      </c>
      <c r="B4039" s="71" t="n">
        <v>46219</v>
      </c>
      <c r="C4039" s="0" t="n">
        <v>22</v>
      </c>
      <c r="D4039" s="0" t="s">
        <v>2479</v>
      </c>
      <c r="E4039" s="0" t="n">
        <v>48</v>
      </c>
      <c r="F4039" s="0" t="s">
        <v>153</v>
      </c>
      <c r="I4039" s="0" t="n">
        <v>2545</v>
      </c>
      <c r="J4039" s="0" t="n">
        <v>100015</v>
      </c>
      <c r="K4039" s="0" t="n">
        <v>16</v>
      </c>
      <c r="L4039" s="0" t="s">
        <v>2492</v>
      </c>
      <c r="N4039" s="0" t="n">
        <v>1.702</v>
      </c>
      <c r="O4039" s="0" t="n">
        <v>71.03</v>
      </c>
      <c r="P4039" s="0" t="s">
        <v>2444</v>
      </c>
    </row>
    <row r="4040" customFormat="false" ht="15" hidden="false" customHeight="true" outlineLevel="0" collapsed="false">
      <c r="A4040" s="0" t="n">
        <v>2</v>
      </c>
      <c r="B4040" s="71" t="n">
        <v>46219</v>
      </c>
      <c r="C4040" s="0" t="n">
        <v>22</v>
      </c>
      <c r="D4040" s="0" t="s">
        <v>2479</v>
      </c>
      <c r="E4040" s="0" t="n">
        <v>48</v>
      </c>
      <c r="F4040" s="0" t="s">
        <v>153</v>
      </c>
      <c r="I4040" s="0" t="n">
        <v>2545</v>
      </c>
      <c r="J4040" s="0" t="n">
        <v>100016</v>
      </c>
      <c r="K4040" s="0" t="n">
        <v>17</v>
      </c>
      <c r="L4040" s="0" t="s">
        <v>2493</v>
      </c>
      <c r="N4040" s="0" t="n">
        <v>1.518</v>
      </c>
      <c r="O4040" s="0" t="n">
        <v>83.29</v>
      </c>
      <c r="P4040" s="0" t="s">
        <v>2444</v>
      </c>
    </row>
    <row r="4041" customFormat="false" ht="15" hidden="false" customHeight="true" outlineLevel="0" collapsed="false">
      <c r="A4041" s="0" t="n">
        <v>2</v>
      </c>
      <c r="B4041" s="71" t="n">
        <v>46219</v>
      </c>
      <c r="C4041" s="0" t="n">
        <v>22</v>
      </c>
      <c r="D4041" s="0" t="s">
        <v>2479</v>
      </c>
      <c r="E4041" s="0" t="n">
        <v>48</v>
      </c>
      <c r="F4041" s="0" t="s">
        <v>153</v>
      </c>
      <c r="I4041" s="0" t="n">
        <v>2545</v>
      </c>
      <c r="J4041" s="0" t="n">
        <v>100017</v>
      </c>
      <c r="K4041" s="0" t="n">
        <v>18</v>
      </c>
      <c r="L4041" s="0" t="s">
        <v>2494</v>
      </c>
      <c r="N4041" s="0" t="n">
        <v>1.612</v>
      </c>
      <c r="O4041" s="0" t="n">
        <v>98.11</v>
      </c>
      <c r="P4041" s="0" t="s">
        <v>2444</v>
      </c>
    </row>
    <row r="4042" customFormat="false" ht="15" hidden="false" customHeight="true" outlineLevel="0" collapsed="false">
      <c r="A4042" s="0" t="n">
        <v>2</v>
      </c>
      <c r="B4042" s="71" t="n">
        <v>46219</v>
      </c>
      <c r="C4042" s="0" t="n">
        <v>22</v>
      </c>
      <c r="D4042" s="0" t="s">
        <v>2479</v>
      </c>
      <c r="E4042" s="0" t="n">
        <v>48</v>
      </c>
      <c r="F4042" s="0" t="s">
        <v>153</v>
      </c>
      <c r="I4042" s="0" t="n">
        <v>2545</v>
      </c>
      <c r="J4042" s="0" t="n">
        <v>100019</v>
      </c>
      <c r="K4042" s="0" t="n">
        <v>20</v>
      </c>
      <c r="L4042" s="0" t="s">
        <v>3779</v>
      </c>
      <c r="N4042" s="0" t="n">
        <v>2.394</v>
      </c>
      <c r="O4042" s="0" t="n">
        <v>87.41</v>
      </c>
      <c r="P4042" s="0" t="s">
        <v>2444</v>
      </c>
    </row>
    <row r="4043" customFormat="false" ht="15" hidden="false" customHeight="true" outlineLevel="0" collapsed="false">
      <c r="A4043" s="0" t="n">
        <v>2</v>
      </c>
      <c r="B4043" s="71" t="n">
        <v>46219</v>
      </c>
      <c r="C4043" s="0" t="n">
        <v>22</v>
      </c>
      <c r="D4043" s="0" t="s">
        <v>2479</v>
      </c>
      <c r="E4043" s="0" t="n">
        <v>48</v>
      </c>
      <c r="F4043" s="0" t="s">
        <v>153</v>
      </c>
      <c r="I4043" s="0" t="n">
        <v>2545</v>
      </c>
      <c r="J4043" s="0" t="n">
        <v>100019</v>
      </c>
      <c r="K4043" s="0" t="n">
        <v>20</v>
      </c>
      <c r="L4043" s="0" t="s">
        <v>3779</v>
      </c>
      <c r="N4043" s="0" t="n">
        <v>5.148</v>
      </c>
      <c r="O4043" s="0" t="n">
        <v>169.46</v>
      </c>
      <c r="P4043" s="0" t="s">
        <v>2444</v>
      </c>
    </row>
    <row r="4044" customFormat="false" ht="15" hidden="false" customHeight="true" outlineLevel="0" collapsed="false">
      <c r="A4044" s="0" t="n">
        <v>2</v>
      </c>
      <c r="B4044" s="71" t="n">
        <v>46219</v>
      </c>
      <c r="C4044" s="0" t="n">
        <v>22</v>
      </c>
      <c r="D4044" s="0" t="s">
        <v>2479</v>
      </c>
      <c r="E4044" s="0" t="n">
        <v>48</v>
      </c>
      <c r="F4044" s="0" t="s">
        <v>153</v>
      </c>
      <c r="I4044" s="0" t="n">
        <v>2545</v>
      </c>
      <c r="J4044" s="0" t="n">
        <v>100053</v>
      </c>
      <c r="K4044" s="0" t="n">
        <v>54</v>
      </c>
      <c r="L4044" s="0" t="s">
        <v>2495</v>
      </c>
      <c r="N4044" s="0" t="n">
        <v>1.532</v>
      </c>
      <c r="O4044" s="0" t="n">
        <v>58.6</v>
      </c>
      <c r="P4044" s="0" t="s">
        <v>2444</v>
      </c>
    </row>
    <row r="4045" customFormat="false" ht="15" hidden="false" customHeight="true" outlineLevel="0" collapsed="false">
      <c r="A4045" s="0" t="n">
        <v>2</v>
      </c>
      <c r="B4045" s="71" t="n">
        <v>46219</v>
      </c>
      <c r="C4045" s="0" t="n">
        <v>22</v>
      </c>
      <c r="D4045" s="0" t="s">
        <v>2479</v>
      </c>
      <c r="E4045" s="0" t="n">
        <v>48</v>
      </c>
      <c r="F4045" s="0" t="s">
        <v>153</v>
      </c>
      <c r="I4045" s="0" t="n">
        <v>2545</v>
      </c>
      <c r="J4045" s="0" t="n">
        <v>100638</v>
      </c>
      <c r="K4045" s="0" t="n">
        <v>508</v>
      </c>
      <c r="L4045" s="0" t="s">
        <v>2496</v>
      </c>
      <c r="N4045" s="0" t="n">
        <v>0.654</v>
      </c>
      <c r="O4045" s="0" t="n">
        <v>1.7</v>
      </c>
      <c r="P4045" s="0" t="s">
        <v>2444</v>
      </c>
    </row>
    <row r="4046" customFormat="false" ht="15" hidden="false" customHeight="true" outlineLevel="0" collapsed="false">
      <c r="A4046" s="0" t="n">
        <v>2</v>
      </c>
      <c r="B4046" s="71" t="n">
        <v>46219</v>
      </c>
      <c r="C4046" s="0" t="n">
        <v>22</v>
      </c>
      <c r="D4046" s="0" t="s">
        <v>2479</v>
      </c>
      <c r="E4046" s="0" t="n">
        <v>48</v>
      </c>
      <c r="F4046" s="0" t="s">
        <v>153</v>
      </c>
      <c r="I4046" s="0" t="n">
        <v>2545</v>
      </c>
      <c r="J4046" s="0" t="n">
        <v>100638</v>
      </c>
      <c r="K4046" s="0" t="n">
        <v>508</v>
      </c>
      <c r="L4046" s="0" t="s">
        <v>2496</v>
      </c>
      <c r="N4046" s="0" t="n">
        <v>2.354</v>
      </c>
      <c r="O4046" s="0" t="n">
        <v>5.52</v>
      </c>
      <c r="P4046" s="0" t="s">
        <v>2444</v>
      </c>
    </row>
    <row r="4047" customFormat="false" ht="15" hidden="false" customHeight="true" outlineLevel="0" collapsed="false">
      <c r="A4047" s="0" t="n">
        <v>2</v>
      </c>
      <c r="B4047" s="71" t="n">
        <v>46219</v>
      </c>
      <c r="C4047" s="0" t="n">
        <v>22</v>
      </c>
      <c r="D4047" s="0" t="s">
        <v>2479</v>
      </c>
      <c r="E4047" s="0" t="n">
        <v>48</v>
      </c>
      <c r="F4047" s="0" t="s">
        <v>153</v>
      </c>
      <c r="I4047" s="0" t="n">
        <v>2545</v>
      </c>
      <c r="J4047" s="0" t="n">
        <v>110137</v>
      </c>
      <c r="K4047" s="0" t="n">
        <v>13899</v>
      </c>
      <c r="L4047" s="0" t="s">
        <v>3780</v>
      </c>
      <c r="N4047" s="0" t="n">
        <v>10.655</v>
      </c>
      <c r="O4047" s="0" t="n">
        <v>46.23</v>
      </c>
      <c r="P4047" s="0" t="s">
        <v>2444</v>
      </c>
    </row>
    <row r="4048" customFormat="false" ht="15" hidden="false" customHeight="true" outlineLevel="0" collapsed="false">
      <c r="A4048" s="0" t="n">
        <v>2</v>
      </c>
      <c r="B4048" s="71" t="n">
        <v>46219</v>
      </c>
      <c r="C4048" s="0" t="n">
        <v>22</v>
      </c>
      <c r="D4048" s="0" t="s">
        <v>2479</v>
      </c>
      <c r="E4048" s="0" t="n">
        <v>48</v>
      </c>
      <c r="F4048" s="0" t="s">
        <v>153</v>
      </c>
      <c r="I4048" s="0" t="n">
        <v>2545</v>
      </c>
      <c r="J4048" s="0" t="n">
        <v>110137</v>
      </c>
      <c r="K4048" s="0" t="n">
        <v>13899</v>
      </c>
      <c r="L4048" s="0" t="s">
        <v>3780</v>
      </c>
      <c r="N4048" s="0" t="n">
        <v>2.986</v>
      </c>
      <c r="O4048" s="0" t="n">
        <v>11.68</v>
      </c>
      <c r="P4048" s="0" t="s">
        <v>2444</v>
      </c>
    </row>
    <row r="4049" customFormat="false" ht="15" hidden="false" customHeight="true" outlineLevel="0" collapsed="false">
      <c r="A4049" s="0" t="n">
        <v>2</v>
      </c>
      <c r="B4049" s="71" t="n">
        <v>46219</v>
      </c>
      <c r="C4049" s="0" t="n">
        <v>22</v>
      </c>
      <c r="D4049" s="0" t="s">
        <v>2479</v>
      </c>
      <c r="E4049" s="0" t="n">
        <v>48</v>
      </c>
      <c r="F4049" s="0" t="s">
        <v>153</v>
      </c>
      <c r="I4049" s="0" t="n">
        <v>2545</v>
      </c>
      <c r="J4049" s="0" t="n">
        <v>110455</v>
      </c>
      <c r="K4049" s="0" t="n">
        <v>53212</v>
      </c>
      <c r="L4049" s="0" t="s">
        <v>2498</v>
      </c>
      <c r="N4049" s="0" t="n">
        <v>0.54</v>
      </c>
      <c r="O4049" s="0" t="n">
        <v>0</v>
      </c>
      <c r="P4049" s="0" t="s">
        <v>2444</v>
      </c>
    </row>
    <row r="4050" customFormat="false" ht="15" hidden="false" customHeight="true" outlineLevel="0" collapsed="false">
      <c r="A4050" s="0" t="n">
        <v>2</v>
      </c>
      <c r="B4050" s="71" t="n">
        <v>46219</v>
      </c>
      <c r="C4050" s="0" t="n">
        <v>22</v>
      </c>
      <c r="D4050" s="0" t="s">
        <v>2479</v>
      </c>
      <c r="E4050" s="0" t="n">
        <v>48</v>
      </c>
      <c r="F4050" s="0" t="s">
        <v>153</v>
      </c>
      <c r="I4050" s="0" t="n">
        <v>2545</v>
      </c>
      <c r="J4050" s="0" t="n">
        <v>110455</v>
      </c>
      <c r="K4050" s="0" t="n">
        <v>53212</v>
      </c>
      <c r="L4050" s="0" t="s">
        <v>2498</v>
      </c>
      <c r="N4050" s="0" t="n">
        <v>0.6</v>
      </c>
      <c r="O4050" s="0" t="n">
        <v>0.02</v>
      </c>
      <c r="P4050" s="0" t="s">
        <v>2444</v>
      </c>
    </row>
    <row r="4051" customFormat="false" ht="15" hidden="false" customHeight="true" outlineLevel="0" collapsed="false">
      <c r="A4051" s="0" t="n">
        <v>2</v>
      </c>
      <c r="B4051" s="71" t="n">
        <v>46219</v>
      </c>
      <c r="C4051" s="0" t="n">
        <v>100</v>
      </c>
      <c r="D4051" s="0" t="s">
        <v>2499</v>
      </c>
      <c r="E4051" s="0" t="n">
        <v>48</v>
      </c>
      <c r="F4051" s="0" t="s">
        <v>153</v>
      </c>
      <c r="I4051" s="0" t="n">
        <v>1407404</v>
      </c>
      <c r="J4051" s="0" t="n">
        <v>100000</v>
      </c>
      <c r="K4051" s="0" t="n">
        <v>1</v>
      </c>
      <c r="L4051" s="0" t="s">
        <v>2480</v>
      </c>
      <c r="N4051" s="0" t="n">
        <v>3.128</v>
      </c>
      <c r="O4051" s="0" t="n">
        <v>65.25</v>
      </c>
      <c r="P4051" s="0" t="s">
        <v>2444</v>
      </c>
    </row>
    <row r="4052" customFormat="false" ht="15" hidden="false" customHeight="true" outlineLevel="0" collapsed="false">
      <c r="A4052" s="0" t="n">
        <v>2</v>
      </c>
      <c r="B4052" s="71" t="n">
        <v>46219</v>
      </c>
      <c r="C4052" s="0" t="n">
        <v>100</v>
      </c>
      <c r="D4052" s="0" t="s">
        <v>2499</v>
      </c>
      <c r="E4052" s="0" t="n">
        <v>48</v>
      </c>
      <c r="F4052" s="0" t="s">
        <v>153</v>
      </c>
      <c r="I4052" s="0" t="n">
        <v>1407404</v>
      </c>
      <c r="J4052" s="0" t="n">
        <v>100006</v>
      </c>
      <c r="K4052" s="0" t="n">
        <v>7</v>
      </c>
      <c r="L4052" s="0" t="s">
        <v>2485</v>
      </c>
      <c r="N4052" s="0" t="n">
        <v>2.524</v>
      </c>
      <c r="O4052" s="0" t="n">
        <v>74.6</v>
      </c>
      <c r="P4052" s="0" t="s">
        <v>2444</v>
      </c>
    </row>
    <row r="4053" customFormat="false" ht="15" hidden="false" customHeight="true" outlineLevel="0" collapsed="false">
      <c r="A4053" s="0" t="n">
        <v>2</v>
      </c>
      <c r="B4053" s="71" t="n">
        <v>46219</v>
      </c>
      <c r="C4053" s="0" t="n">
        <v>100</v>
      </c>
      <c r="D4053" s="0" t="s">
        <v>2499</v>
      </c>
      <c r="E4053" s="0" t="n">
        <v>48</v>
      </c>
      <c r="F4053" s="0" t="s">
        <v>153</v>
      </c>
      <c r="I4053" s="0" t="n">
        <v>1407404</v>
      </c>
      <c r="J4053" s="0" t="n">
        <v>100007</v>
      </c>
      <c r="K4053" s="0" t="n">
        <v>8</v>
      </c>
      <c r="L4053" s="0" t="s">
        <v>2486</v>
      </c>
      <c r="N4053" s="0" t="n">
        <v>3.924</v>
      </c>
      <c r="O4053" s="0" t="n">
        <v>102.33</v>
      </c>
      <c r="P4053" s="0" t="s">
        <v>2444</v>
      </c>
    </row>
    <row r="4054" customFormat="false" ht="15" hidden="false" customHeight="true" outlineLevel="0" collapsed="false">
      <c r="A4054" s="0" t="n">
        <v>2</v>
      </c>
      <c r="B4054" s="71" t="n">
        <v>46219</v>
      </c>
      <c r="C4054" s="0" t="n">
        <v>100</v>
      </c>
      <c r="D4054" s="0" t="s">
        <v>2499</v>
      </c>
      <c r="E4054" s="0" t="n">
        <v>48</v>
      </c>
      <c r="F4054" s="0" t="s">
        <v>153</v>
      </c>
      <c r="I4054" s="0" t="n">
        <v>1407404</v>
      </c>
      <c r="J4054" s="0" t="n">
        <v>100008</v>
      </c>
      <c r="K4054" s="0" t="n">
        <v>9</v>
      </c>
      <c r="L4054" s="0" t="s">
        <v>2487</v>
      </c>
      <c r="N4054" s="0" t="n">
        <v>14.6</v>
      </c>
      <c r="O4054" s="0" t="n">
        <v>495.02</v>
      </c>
      <c r="P4054" s="0" t="s">
        <v>2444</v>
      </c>
    </row>
    <row r="4055" customFormat="false" ht="15" hidden="false" customHeight="true" outlineLevel="0" collapsed="false">
      <c r="A4055" s="0" t="n">
        <v>2</v>
      </c>
      <c r="B4055" s="71" t="n">
        <v>46219</v>
      </c>
      <c r="C4055" s="0" t="n">
        <v>100</v>
      </c>
      <c r="D4055" s="0" t="s">
        <v>2499</v>
      </c>
      <c r="E4055" s="0" t="n">
        <v>48</v>
      </c>
      <c r="F4055" s="0" t="s">
        <v>153</v>
      </c>
      <c r="I4055" s="0" t="n">
        <v>1407404</v>
      </c>
      <c r="J4055" s="0" t="n">
        <v>100011</v>
      </c>
      <c r="K4055" s="0" t="n">
        <v>12</v>
      </c>
      <c r="L4055" s="0" t="s">
        <v>2488</v>
      </c>
      <c r="N4055" s="0" t="n">
        <v>10.425</v>
      </c>
      <c r="O4055" s="0" t="n">
        <v>398.79</v>
      </c>
      <c r="P4055" s="0" t="s">
        <v>2444</v>
      </c>
    </row>
    <row r="4056" customFormat="false" ht="15" hidden="false" customHeight="true" outlineLevel="0" collapsed="false">
      <c r="A4056" s="0" t="n">
        <v>2</v>
      </c>
      <c r="B4056" s="71" t="n">
        <v>46219</v>
      </c>
      <c r="C4056" s="0" t="n">
        <v>100</v>
      </c>
      <c r="D4056" s="0" t="s">
        <v>2499</v>
      </c>
      <c r="E4056" s="0" t="n">
        <v>48</v>
      </c>
      <c r="F4056" s="0" t="s">
        <v>153</v>
      </c>
      <c r="I4056" s="0" t="n">
        <v>1407404</v>
      </c>
      <c r="J4056" s="0" t="n">
        <v>100012</v>
      </c>
      <c r="K4056" s="0" t="n">
        <v>13</v>
      </c>
      <c r="L4056" s="0" t="s">
        <v>2489</v>
      </c>
      <c r="N4056" s="0" t="n">
        <v>5.592</v>
      </c>
      <c r="O4056" s="0" t="n">
        <v>243.09</v>
      </c>
      <c r="P4056" s="0" t="s">
        <v>2444</v>
      </c>
    </row>
    <row r="4057" customFormat="false" ht="15" hidden="false" customHeight="true" outlineLevel="0" collapsed="false">
      <c r="A4057" s="0" t="n">
        <v>2</v>
      </c>
      <c r="B4057" s="71" t="n">
        <v>46219</v>
      </c>
      <c r="C4057" s="0" t="n">
        <v>100</v>
      </c>
      <c r="D4057" s="0" t="s">
        <v>2499</v>
      </c>
      <c r="E4057" s="0" t="n">
        <v>48</v>
      </c>
      <c r="F4057" s="0" t="s">
        <v>153</v>
      </c>
      <c r="I4057" s="0" t="n">
        <v>1407404</v>
      </c>
      <c r="J4057" s="0" t="n">
        <v>100013</v>
      </c>
      <c r="K4057" s="0" t="n">
        <v>14</v>
      </c>
      <c r="L4057" s="0" t="s">
        <v>2490</v>
      </c>
      <c r="N4057" s="0" t="n">
        <v>11.28</v>
      </c>
      <c r="O4057" s="0" t="n">
        <v>519.78</v>
      </c>
      <c r="P4057" s="0" t="s">
        <v>2444</v>
      </c>
    </row>
    <row r="4058" customFormat="false" ht="15" hidden="false" customHeight="true" outlineLevel="0" collapsed="false">
      <c r="A4058" s="0" t="n">
        <v>2</v>
      </c>
      <c r="B4058" s="71" t="n">
        <v>46219</v>
      </c>
      <c r="C4058" s="0" t="n">
        <v>100</v>
      </c>
      <c r="D4058" s="0" t="s">
        <v>2499</v>
      </c>
      <c r="E4058" s="0" t="n">
        <v>48</v>
      </c>
      <c r="F4058" s="0" t="s">
        <v>153</v>
      </c>
      <c r="I4058" s="0" t="n">
        <v>1407404</v>
      </c>
      <c r="J4058" s="0" t="n">
        <v>100014</v>
      </c>
      <c r="K4058" s="0" t="n">
        <v>15</v>
      </c>
      <c r="L4058" s="0" t="s">
        <v>2491</v>
      </c>
      <c r="N4058" s="0" t="n">
        <v>4.378</v>
      </c>
      <c r="O4058" s="0" t="n">
        <v>205.54</v>
      </c>
      <c r="P4058" s="0" t="s">
        <v>2444</v>
      </c>
    </row>
    <row r="4059" customFormat="false" ht="15" hidden="false" customHeight="true" outlineLevel="0" collapsed="false">
      <c r="A4059" s="0" t="n">
        <v>2</v>
      </c>
      <c r="B4059" s="71" t="n">
        <v>46219</v>
      </c>
      <c r="C4059" s="0" t="n">
        <v>100</v>
      </c>
      <c r="D4059" s="0" t="s">
        <v>2499</v>
      </c>
      <c r="E4059" s="0" t="n">
        <v>48</v>
      </c>
      <c r="F4059" s="0" t="s">
        <v>153</v>
      </c>
      <c r="I4059" s="0" t="n">
        <v>1407404</v>
      </c>
      <c r="J4059" s="0" t="n">
        <v>100015</v>
      </c>
      <c r="K4059" s="0" t="n">
        <v>16</v>
      </c>
      <c r="L4059" s="0" t="s">
        <v>2492</v>
      </c>
      <c r="N4059" s="0" t="n">
        <v>1.702</v>
      </c>
      <c r="O4059" s="0" t="n">
        <v>71.03</v>
      </c>
      <c r="P4059" s="0" t="s">
        <v>2444</v>
      </c>
    </row>
    <row r="4060" customFormat="false" ht="15" hidden="false" customHeight="true" outlineLevel="0" collapsed="false">
      <c r="A4060" s="0" t="n">
        <v>2</v>
      </c>
      <c r="B4060" s="71" t="n">
        <v>46219</v>
      </c>
      <c r="C4060" s="0" t="n">
        <v>100</v>
      </c>
      <c r="D4060" s="0" t="s">
        <v>2499</v>
      </c>
      <c r="E4060" s="0" t="n">
        <v>48</v>
      </c>
      <c r="F4060" s="0" t="s">
        <v>153</v>
      </c>
      <c r="I4060" s="0" t="n">
        <v>1407404</v>
      </c>
      <c r="J4060" s="0" t="n">
        <v>100017</v>
      </c>
      <c r="K4060" s="0" t="n">
        <v>18</v>
      </c>
      <c r="L4060" s="0" t="s">
        <v>2494</v>
      </c>
      <c r="N4060" s="0" t="n">
        <v>1.612</v>
      </c>
      <c r="O4060" s="0" t="n">
        <v>98.11</v>
      </c>
      <c r="P4060" s="0" t="s">
        <v>2444</v>
      </c>
    </row>
    <row r="4061" customFormat="false" ht="15" hidden="false" customHeight="true" outlineLevel="0" collapsed="false">
      <c r="A4061" s="0" t="n">
        <v>2</v>
      </c>
      <c r="B4061" s="71" t="n">
        <v>46219</v>
      </c>
      <c r="C4061" s="0" t="n">
        <v>100</v>
      </c>
      <c r="D4061" s="0" t="s">
        <v>2499</v>
      </c>
      <c r="E4061" s="0" t="n">
        <v>48</v>
      </c>
      <c r="F4061" s="0" t="s">
        <v>153</v>
      </c>
      <c r="I4061" s="0" t="n">
        <v>1407404</v>
      </c>
      <c r="J4061" s="0" t="n">
        <v>100019</v>
      </c>
      <c r="K4061" s="0" t="n">
        <v>20</v>
      </c>
      <c r="L4061" s="0" t="s">
        <v>3779</v>
      </c>
      <c r="N4061" s="0" t="n">
        <v>2.394</v>
      </c>
      <c r="O4061" s="0" t="n">
        <v>87.41</v>
      </c>
      <c r="P4061" s="0" t="s">
        <v>2444</v>
      </c>
    </row>
    <row r="4062" customFormat="false" ht="15" hidden="false" customHeight="true" outlineLevel="0" collapsed="false">
      <c r="A4062" s="0" t="n">
        <v>2</v>
      </c>
      <c r="B4062" s="71" t="n">
        <v>46219</v>
      </c>
      <c r="C4062" s="0" t="n">
        <v>100</v>
      </c>
      <c r="D4062" s="0" t="s">
        <v>2499</v>
      </c>
      <c r="E4062" s="0" t="n">
        <v>48</v>
      </c>
      <c r="F4062" s="0" t="s">
        <v>153</v>
      </c>
      <c r="I4062" s="0" t="n">
        <v>1407404</v>
      </c>
      <c r="J4062" s="0" t="n">
        <v>100053</v>
      </c>
      <c r="K4062" s="0" t="n">
        <v>54</v>
      </c>
      <c r="L4062" s="0" t="s">
        <v>2495</v>
      </c>
      <c r="N4062" s="0" t="n">
        <v>1.532</v>
      </c>
      <c r="O4062" s="0" t="n">
        <v>58.6</v>
      </c>
      <c r="P4062" s="0" t="s">
        <v>2444</v>
      </c>
    </row>
    <row r="4063" customFormat="false" ht="15" hidden="false" customHeight="true" outlineLevel="0" collapsed="false">
      <c r="A4063" s="0" t="n">
        <v>2</v>
      </c>
      <c r="B4063" s="71" t="n">
        <v>46219</v>
      </c>
      <c r="C4063" s="0" t="n">
        <v>100</v>
      </c>
      <c r="D4063" s="0" t="s">
        <v>2499</v>
      </c>
      <c r="E4063" s="0" t="n">
        <v>48</v>
      </c>
      <c r="F4063" s="0" t="s">
        <v>153</v>
      </c>
      <c r="I4063" s="0" t="n">
        <v>1407404</v>
      </c>
      <c r="J4063" s="0" t="n">
        <v>100638</v>
      </c>
      <c r="K4063" s="0" t="n">
        <v>508</v>
      </c>
      <c r="L4063" s="0" t="s">
        <v>2496</v>
      </c>
      <c r="N4063" s="0" t="n">
        <v>0.654</v>
      </c>
      <c r="O4063" s="0" t="n">
        <v>1.7</v>
      </c>
      <c r="P4063" s="0" t="s">
        <v>2444</v>
      </c>
    </row>
    <row r="4064" customFormat="false" ht="15" hidden="false" customHeight="true" outlineLevel="0" collapsed="false">
      <c r="A4064" s="0" t="n">
        <v>2</v>
      </c>
      <c r="B4064" s="71" t="n">
        <v>46219</v>
      </c>
      <c r="C4064" s="0" t="n">
        <v>100</v>
      </c>
      <c r="D4064" s="0" t="s">
        <v>2499</v>
      </c>
      <c r="E4064" s="0" t="n">
        <v>48</v>
      </c>
      <c r="F4064" s="0" t="s">
        <v>153</v>
      </c>
      <c r="I4064" s="0" t="n">
        <v>1407404</v>
      </c>
      <c r="J4064" s="0" t="n">
        <v>110137</v>
      </c>
      <c r="K4064" s="0" t="n">
        <v>13899</v>
      </c>
      <c r="L4064" s="0" t="s">
        <v>3780</v>
      </c>
      <c r="N4064" s="0" t="n">
        <v>10.655</v>
      </c>
      <c r="O4064" s="0" t="n">
        <v>46.23</v>
      </c>
      <c r="P4064" s="0" t="s">
        <v>2444</v>
      </c>
    </row>
    <row r="4065" customFormat="false" ht="15" hidden="false" customHeight="true" outlineLevel="0" collapsed="false">
      <c r="A4065" s="0" t="n">
        <v>2</v>
      </c>
      <c r="B4065" s="71" t="n">
        <v>46219</v>
      </c>
      <c r="C4065" s="0" t="n">
        <v>100</v>
      </c>
      <c r="D4065" s="0" t="s">
        <v>2499</v>
      </c>
      <c r="E4065" s="0" t="n">
        <v>48</v>
      </c>
      <c r="F4065" s="0" t="s">
        <v>153</v>
      </c>
      <c r="I4065" s="0" t="n">
        <v>1407404</v>
      </c>
      <c r="J4065" s="0" t="n">
        <v>110455</v>
      </c>
      <c r="K4065" s="0" t="n">
        <v>53212</v>
      </c>
      <c r="L4065" s="0" t="s">
        <v>2498</v>
      </c>
      <c r="N4065" s="0" t="n">
        <v>0.6</v>
      </c>
      <c r="O4065" s="0" t="n">
        <v>0.02</v>
      </c>
      <c r="P4065" s="0" t="s">
        <v>2444</v>
      </c>
    </row>
    <row r="4066" customFormat="false" ht="15" hidden="false" customHeight="true" outlineLevel="0" collapsed="false">
      <c r="A4066" s="0" t="n">
        <v>2</v>
      </c>
      <c r="B4066" s="71" t="n">
        <v>46219</v>
      </c>
      <c r="C4066" s="0" t="n">
        <v>100</v>
      </c>
      <c r="D4066" s="0" t="s">
        <v>2499</v>
      </c>
      <c r="E4066" s="0" t="n">
        <v>48</v>
      </c>
      <c r="F4066" s="0" t="s">
        <v>153</v>
      </c>
      <c r="I4066" s="0" t="n">
        <v>1407408</v>
      </c>
      <c r="J4066" s="0" t="n">
        <v>100000</v>
      </c>
      <c r="K4066" s="0" t="n">
        <v>1</v>
      </c>
      <c r="L4066" s="0" t="s">
        <v>2480</v>
      </c>
      <c r="N4066" s="0" t="n">
        <v>2.61</v>
      </c>
      <c r="O4066" s="0" t="n">
        <v>49.09</v>
      </c>
      <c r="P4066" s="0" t="s">
        <v>2444</v>
      </c>
    </row>
    <row r="4067" customFormat="false" ht="15" hidden="false" customHeight="true" outlineLevel="0" collapsed="false">
      <c r="A4067" s="0" t="n">
        <v>2</v>
      </c>
      <c r="B4067" s="71" t="n">
        <v>46219</v>
      </c>
      <c r="C4067" s="0" t="n">
        <v>100</v>
      </c>
      <c r="D4067" s="0" t="s">
        <v>2499</v>
      </c>
      <c r="E4067" s="0" t="n">
        <v>48</v>
      </c>
      <c r="F4067" s="0" t="s">
        <v>153</v>
      </c>
      <c r="I4067" s="0" t="n">
        <v>1407408</v>
      </c>
      <c r="J4067" s="0" t="n">
        <v>100001</v>
      </c>
      <c r="K4067" s="0" t="n">
        <v>2</v>
      </c>
      <c r="L4067" s="0" t="s">
        <v>2481</v>
      </c>
      <c r="N4067" s="0" t="n">
        <v>7.73</v>
      </c>
      <c r="O4067" s="0" t="n">
        <v>157.49</v>
      </c>
      <c r="P4067" s="0" t="s">
        <v>2444</v>
      </c>
    </row>
    <row r="4068" customFormat="false" ht="15" hidden="false" customHeight="true" outlineLevel="0" collapsed="false">
      <c r="A4068" s="0" t="n">
        <v>2</v>
      </c>
      <c r="B4068" s="71" t="n">
        <v>46219</v>
      </c>
      <c r="C4068" s="0" t="n">
        <v>100</v>
      </c>
      <c r="D4068" s="0" t="s">
        <v>2499</v>
      </c>
      <c r="E4068" s="0" t="n">
        <v>48</v>
      </c>
      <c r="F4068" s="0" t="s">
        <v>153</v>
      </c>
      <c r="I4068" s="0" t="n">
        <v>1407408</v>
      </c>
      <c r="J4068" s="0" t="n">
        <v>100002</v>
      </c>
      <c r="K4068" s="0" t="n">
        <v>3</v>
      </c>
      <c r="L4068" s="0" t="s">
        <v>2482</v>
      </c>
      <c r="N4068" s="0" t="n">
        <v>20.79</v>
      </c>
      <c r="O4068" s="0" t="n">
        <v>488.78</v>
      </c>
      <c r="P4068" s="0" t="s">
        <v>2444</v>
      </c>
    </row>
    <row r="4069" customFormat="false" ht="15" hidden="false" customHeight="true" outlineLevel="0" collapsed="false">
      <c r="A4069" s="0" t="n">
        <v>2</v>
      </c>
      <c r="B4069" s="71" t="n">
        <v>46219</v>
      </c>
      <c r="C4069" s="0" t="n">
        <v>100</v>
      </c>
      <c r="D4069" s="0" t="s">
        <v>2499</v>
      </c>
      <c r="E4069" s="0" t="n">
        <v>48</v>
      </c>
      <c r="F4069" s="0" t="s">
        <v>153</v>
      </c>
      <c r="I4069" s="0" t="n">
        <v>1407408</v>
      </c>
      <c r="J4069" s="0" t="n">
        <v>100003</v>
      </c>
      <c r="K4069" s="0" t="n">
        <v>4</v>
      </c>
      <c r="L4069" s="0" t="s">
        <v>2483</v>
      </c>
      <c r="N4069" s="0" t="n">
        <v>12.805</v>
      </c>
      <c r="O4069" s="0" t="n">
        <v>321.13</v>
      </c>
      <c r="P4069" s="0" t="s">
        <v>2444</v>
      </c>
    </row>
    <row r="4070" customFormat="false" ht="15" hidden="false" customHeight="true" outlineLevel="0" collapsed="false">
      <c r="A4070" s="0" t="n">
        <v>2</v>
      </c>
      <c r="B4070" s="71" t="n">
        <v>46219</v>
      </c>
      <c r="C4070" s="0" t="n">
        <v>100</v>
      </c>
      <c r="D4070" s="0" t="s">
        <v>2499</v>
      </c>
      <c r="E4070" s="0" t="n">
        <v>48</v>
      </c>
      <c r="F4070" s="0" t="s">
        <v>153</v>
      </c>
      <c r="I4070" s="0" t="n">
        <v>1407408</v>
      </c>
      <c r="J4070" s="0" t="n">
        <v>100004</v>
      </c>
      <c r="K4070" s="0" t="n">
        <v>5</v>
      </c>
      <c r="L4070" s="0" t="s">
        <v>2484</v>
      </c>
      <c r="N4070" s="0" t="n">
        <v>1.196</v>
      </c>
      <c r="O4070" s="0" t="n">
        <v>26.24</v>
      </c>
      <c r="P4070" s="0" t="s">
        <v>2444</v>
      </c>
    </row>
    <row r="4071" customFormat="false" ht="15" hidden="false" customHeight="true" outlineLevel="0" collapsed="false">
      <c r="A4071" s="0" t="n">
        <v>2</v>
      </c>
      <c r="B4071" s="71" t="n">
        <v>46219</v>
      </c>
      <c r="C4071" s="0" t="n">
        <v>100</v>
      </c>
      <c r="D4071" s="0" t="s">
        <v>2499</v>
      </c>
      <c r="E4071" s="0" t="n">
        <v>48</v>
      </c>
      <c r="F4071" s="0" t="s">
        <v>153</v>
      </c>
      <c r="I4071" s="0" t="n">
        <v>1407408</v>
      </c>
      <c r="J4071" s="0" t="n">
        <v>100005</v>
      </c>
      <c r="K4071" s="0" t="n">
        <v>6</v>
      </c>
      <c r="L4071" s="0" t="s">
        <v>2582</v>
      </c>
      <c r="N4071" s="0" t="n">
        <v>8.975</v>
      </c>
      <c r="O4071" s="0" t="n">
        <v>211</v>
      </c>
      <c r="P4071" s="0" t="s">
        <v>2444</v>
      </c>
    </row>
    <row r="4072" customFormat="false" ht="15" hidden="false" customHeight="true" outlineLevel="0" collapsed="false">
      <c r="A4072" s="0" t="n">
        <v>2</v>
      </c>
      <c r="B4072" s="71" t="n">
        <v>46219</v>
      </c>
      <c r="C4072" s="0" t="n">
        <v>100</v>
      </c>
      <c r="D4072" s="0" t="s">
        <v>2499</v>
      </c>
      <c r="E4072" s="0" t="n">
        <v>48</v>
      </c>
      <c r="F4072" s="0" t="s">
        <v>153</v>
      </c>
      <c r="I4072" s="0" t="n">
        <v>1407408</v>
      </c>
      <c r="J4072" s="0" t="n">
        <v>100007</v>
      </c>
      <c r="K4072" s="0" t="n">
        <v>8</v>
      </c>
      <c r="L4072" s="0" t="s">
        <v>2486</v>
      </c>
      <c r="N4072" s="0" t="n">
        <v>4.348</v>
      </c>
      <c r="O4072" s="0" t="n">
        <v>102.22</v>
      </c>
      <c r="P4072" s="0" t="s">
        <v>2444</v>
      </c>
    </row>
    <row r="4073" customFormat="false" ht="15" hidden="false" customHeight="true" outlineLevel="0" collapsed="false">
      <c r="A4073" s="0" t="n">
        <v>2</v>
      </c>
      <c r="B4073" s="71" t="n">
        <v>46219</v>
      </c>
      <c r="C4073" s="0" t="n">
        <v>100</v>
      </c>
      <c r="D4073" s="0" t="s">
        <v>2499</v>
      </c>
      <c r="E4073" s="0" t="n">
        <v>48</v>
      </c>
      <c r="F4073" s="0" t="s">
        <v>153</v>
      </c>
      <c r="I4073" s="0" t="n">
        <v>1407408</v>
      </c>
      <c r="J4073" s="0" t="n">
        <v>100016</v>
      </c>
      <c r="K4073" s="0" t="n">
        <v>17</v>
      </c>
      <c r="L4073" s="0" t="s">
        <v>2493</v>
      </c>
      <c r="N4073" s="0" t="n">
        <v>1.518</v>
      </c>
      <c r="O4073" s="0" t="n">
        <v>83.29</v>
      </c>
      <c r="P4073" s="0" t="s">
        <v>2444</v>
      </c>
    </row>
    <row r="4074" customFormat="false" ht="15" hidden="false" customHeight="true" outlineLevel="0" collapsed="false">
      <c r="A4074" s="0" t="n">
        <v>2</v>
      </c>
      <c r="B4074" s="71" t="n">
        <v>46219</v>
      </c>
      <c r="C4074" s="0" t="n">
        <v>100</v>
      </c>
      <c r="D4074" s="0" t="s">
        <v>2499</v>
      </c>
      <c r="E4074" s="0" t="n">
        <v>48</v>
      </c>
      <c r="F4074" s="0" t="s">
        <v>153</v>
      </c>
      <c r="I4074" s="0" t="n">
        <v>1407408</v>
      </c>
      <c r="J4074" s="0" t="n">
        <v>100019</v>
      </c>
      <c r="K4074" s="0" t="n">
        <v>20</v>
      </c>
      <c r="L4074" s="0" t="s">
        <v>3779</v>
      </c>
      <c r="N4074" s="0" t="n">
        <v>5.148</v>
      </c>
      <c r="O4074" s="0" t="n">
        <v>169.46</v>
      </c>
      <c r="P4074" s="0" t="s">
        <v>2444</v>
      </c>
    </row>
    <row r="4075" customFormat="false" ht="15" hidden="false" customHeight="true" outlineLevel="0" collapsed="false">
      <c r="A4075" s="0" t="n">
        <v>2</v>
      </c>
      <c r="B4075" s="71" t="n">
        <v>46219</v>
      </c>
      <c r="C4075" s="0" t="n">
        <v>100</v>
      </c>
      <c r="D4075" s="0" t="s">
        <v>2499</v>
      </c>
      <c r="E4075" s="0" t="n">
        <v>48</v>
      </c>
      <c r="F4075" s="0" t="s">
        <v>153</v>
      </c>
      <c r="I4075" s="0" t="n">
        <v>1407408</v>
      </c>
      <c r="J4075" s="0" t="n">
        <v>100638</v>
      </c>
      <c r="K4075" s="0" t="n">
        <v>508</v>
      </c>
      <c r="L4075" s="0" t="s">
        <v>2496</v>
      </c>
      <c r="N4075" s="0" t="n">
        <v>2.354</v>
      </c>
      <c r="O4075" s="0" t="n">
        <v>5.52</v>
      </c>
      <c r="P4075" s="0" t="s">
        <v>2444</v>
      </c>
    </row>
    <row r="4076" customFormat="false" ht="15" hidden="false" customHeight="true" outlineLevel="0" collapsed="false">
      <c r="A4076" s="0" t="n">
        <v>2</v>
      </c>
      <c r="B4076" s="71" t="n">
        <v>46219</v>
      </c>
      <c r="C4076" s="0" t="n">
        <v>100</v>
      </c>
      <c r="D4076" s="0" t="s">
        <v>2499</v>
      </c>
      <c r="E4076" s="0" t="n">
        <v>48</v>
      </c>
      <c r="F4076" s="0" t="s">
        <v>153</v>
      </c>
      <c r="I4076" s="0" t="n">
        <v>1407408</v>
      </c>
      <c r="J4076" s="0" t="n">
        <v>110137</v>
      </c>
      <c r="K4076" s="0" t="n">
        <v>13899</v>
      </c>
      <c r="L4076" s="0" t="s">
        <v>3780</v>
      </c>
      <c r="N4076" s="0" t="n">
        <v>2.986</v>
      </c>
      <c r="O4076" s="0" t="n">
        <v>11.68</v>
      </c>
      <c r="P4076" s="0" t="s">
        <v>2444</v>
      </c>
    </row>
    <row r="4077" customFormat="false" ht="15" hidden="false" customHeight="true" outlineLevel="0" collapsed="false">
      <c r="A4077" s="0" t="n">
        <v>2</v>
      </c>
      <c r="B4077" s="71" t="n">
        <v>46219</v>
      </c>
      <c r="C4077" s="0" t="n">
        <v>100</v>
      </c>
      <c r="D4077" s="0" t="s">
        <v>2499</v>
      </c>
      <c r="E4077" s="0" t="n">
        <v>48</v>
      </c>
      <c r="F4077" s="0" t="s">
        <v>153</v>
      </c>
      <c r="I4077" s="0" t="n">
        <v>1407408</v>
      </c>
      <c r="J4077" s="0" t="n">
        <v>110455</v>
      </c>
      <c r="K4077" s="0" t="n">
        <v>53212</v>
      </c>
      <c r="L4077" s="0" t="s">
        <v>2498</v>
      </c>
      <c r="N4077" s="0" t="n">
        <v>0.54</v>
      </c>
      <c r="O4077" s="0" t="n">
        <v>0</v>
      </c>
      <c r="P4077" s="0" t="s">
        <v>2444</v>
      </c>
    </row>
    <row r="4078" customFormat="false" ht="15" hidden="false" customHeight="true" outlineLevel="0" collapsed="false">
      <c r="A4078" s="0" t="n">
        <v>2</v>
      </c>
      <c r="B4078" s="71" t="n">
        <v>46220</v>
      </c>
      <c r="C4078" s="0" t="n">
        <v>6</v>
      </c>
      <c r="D4078" s="0" t="s">
        <v>2553</v>
      </c>
      <c r="E4078" s="0" t="n">
        <v>48</v>
      </c>
      <c r="F4078" s="0" t="s">
        <v>153</v>
      </c>
      <c r="I4078" s="0" t="n">
        <v>2546</v>
      </c>
      <c r="J4078" s="0" t="n">
        <v>42564</v>
      </c>
      <c r="K4078" s="0" t="n">
        <v>574</v>
      </c>
      <c r="L4078" s="0" t="s">
        <v>2534</v>
      </c>
      <c r="N4078" s="0" t="n">
        <v>20</v>
      </c>
      <c r="O4078" s="0" t="n">
        <v>280</v>
      </c>
      <c r="P4078" s="0" t="s">
        <v>2444</v>
      </c>
    </row>
    <row r="4079" customFormat="false" ht="15" hidden="false" customHeight="true" outlineLevel="0" collapsed="false">
      <c r="A4079" s="0" t="n">
        <v>2</v>
      </c>
      <c r="B4079" s="71" t="n">
        <v>46220</v>
      </c>
      <c r="C4079" s="0" t="n">
        <v>6</v>
      </c>
      <c r="D4079" s="0" t="s">
        <v>2553</v>
      </c>
      <c r="E4079" s="0" t="n">
        <v>48</v>
      </c>
      <c r="F4079" s="0" t="s">
        <v>153</v>
      </c>
      <c r="I4079" s="0" t="n">
        <v>2547</v>
      </c>
      <c r="J4079" s="0" t="n">
        <v>100062</v>
      </c>
      <c r="K4079" s="0" t="n">
        <v>63</v>
      </c>
      <c r="L4079" s="0" t="s">
        <v>2535</v>
      </c>
      <c r="N4079" s="0" t="n">
        <v>13</v>
      </c>
      <c r="O4079" s="0" t="n">
        <v>93.86</v>
      </c>
      <c r="P4079" s="0" t="s">
        <v>2444</v>
      </c>
    </row>
    <row r="4080" customFormat="false" ht="15" hidden="false" customHeight="true" outlineLevel="0" collapsed="false">
      <c r="A4080" s="0" t="n">
        <v>2</v>
      </c>
      <c r="B4080" s="71" t="n">
        <v>46220</v>
      </c>
      <c r="C4080" s="0" t="n">
        <v>6</v>
      </c>
      <c r="D4080" s="0" t="s">
        <v>2553</v>
      </c>
      <c r="E4080" s="0" t="n">
        <v>48</v>
      </c>
      <c r="F4080" s="0" t="s">
        <v>153</v>
      </c>
      <c r="I4080" s="0" t="n">
        <v>2547</v>
      </c>
      <c r="J4080" s="0" t="n">
        <v>100105</v>
      </c>
      <c r="K4080" s="0" t="n">
        <v>106</v>
      </c>
      <c r="L4080" s="0" t="s">
        <v>2536</v>
      </c>
      <c r="N4080" s="0" t="n">
        <v>24</v>
      </c>
      <c r="O4080" s="0" t="n">
        <v>180</v>
      </c>
      <c r="P4080" s="0" t="s">
        <v>2444</v>
      </c>
    </row>
    <row r="4081" customFormat="false" ht="15" hidden="false" customHeight="true" outlineLevel="0" collapsed="false">
      <c r="A4081" s="0" t="n">
        <v>2</v>
      </c>
      <c r="B4081" s="71" t="n">
        <v>46220</v>
      </c>
      <c r="C4081" s="0" t="n">
        <v>6</v>
      </c>
      <c r="D4081" s="0" t="s">
        <v>2553</v>
      </c>
      <c r="E4081" s="0" t="n">
        <v>48</v>
      </c>
      <c r="F4081" s="0" t="s">
        <v>153</v>
      </c>
      <c r="I4081" s="0" t="n">
        <v>2547</v>
      </c>
      <c r="J4081" s="0" t="n">
        <v>100109</v>
      </c>
      <c r="K4081" s="0" t="n">
        <v>110</v>
      </c>
      <c r="L4081" s="0" t="s">
        <v>2537</v>
      </c>
      <c r="N4081" s="0" t="n">
        <v>20</v>
      </c>
      <c r="O4081" s="0" t="n">
        <v>140</v>
      </c>
      <c r="P4081" s="0" t="s">
        <v>2444</v>
      </c>
    </row>
    <row r="4082" customFormat="false" ht="15" hidden="false" customHeight="true" outlineLevel="0" collapsed="false">
      <c r="A4082" s="0" t="n">
        <v>2</v>
      </c>
      <c r="B4082" s="71" t="n">
        <v>46220</v>
      </c>
      <c r="C4082" s="0" t="n">
        <v>6</v>
      </c>
      <c r="D4082" s="0" t="s">
        <v>2553</v>
      </c>
      <c r="E4082" s="0" t="n">
        <v>48</v>
      </c>
      <c r="F4082" s="0" t="s">
        <v>153</v>
      </c>
      <c r="I4082" s="0" t="n">
        <v>2547</v>
      </c>
      <c r="J4082" s="0" t="n">
        <v>100112</v>
      </c>
      <c r="K4082" s="0" t="n">
        <v>113</v>
      </c>
      <c r="L4082" s="0" t="s">
        <v>2538</v>
      </c>
      <c r="N4082" s="0" t="n">
        <v>6</v>
      </c>
      <c r="O4082" s="0" t="n">
        <v>21</v>
      </c>
      <c r="P4082" s="0" t="s">
        <v>2444</v>
      </c>
    </row>
    <row r="4083" customFormat="false" ht="15" hidden="false" customHeight="true" outlineLevel="0" collapsed="false">
      <c r="A4083" s="0" t="n">
        <v>2</v>
      </c>
      <c r="B4083" s="71" t="n">
        <v>46220</v>
      </c>
      <c r="C4083" s="0" t="n">
        <v>6</v>
      </c>
      <c r="D4083" s="0" t="s">
        <v>2553</v>
      </c>
      <c r="E4083" s="0" t="n">
        <v>48</v>
      </c>
      <c r="F4083" s="0" t="s">
        <v>153</v>
      </c>
      <c r="I4083" s="0" t="n">
        <v>2547</v>
      </c>
      <c r="J4083" s="0" t="n">
        <v>100113</v>
      </c>
      <c r="K4083" s="0" t="n">
        <v>114</v>
      </c>
      <c r="L4083" s="0" t="s">
        <v>2539</v>
      </c>
      <c r="N4083" s="0" t="n">
        <v>20</v>
      </c>
      <c r="O4083" s="0" t="n">
        <v>55</v>
      </c>
      <c r="P4083" s="0" t="s">
        <v>2444</v>
      </c>
    </row>
    <row r="4084" customFormat="false" ht="15" hidden="false" customHeight="true" outlineLevel="0" collapsed="false">
      <c r="A4084" s="0" t="n">
        <v>2</v>
      </c>
      <c r="B4084" s="71" t="n">
        <v>46220</v>
      </c>
      <c r="C4084" s="0" t="n">
        <v>6</v>
      </c>
      <c r="D4084" s="0" t="s">
        <v>2553</v>
      </c>
      <c r="E4084" s="0" t="n">
        <v>48</v>
      </c>
      <c r="F4084" s="0" t="s">
        <v>153</v>
      </c>
      <c r="I4084" s="0" t="n">
        <v>2547</v>
      </c>
      <c r="J4084" s="0" t="n">
        <v>100116</v>
      </c>
      <c r="K4084" s="0" t="n">
        <v>117</v>
      </c>
      <c r="L4084" s="0" t="s">
        <v>2540</v>
      </c>
      <c r="N4084" s="0" t="n">
        <v>2</v>
      </c>
      <c r="O4084" s="0" t="n">
        <v>20</v>
      </c>
      <c r="P4084" s="0" t="s">
        <v>2444</v>
      </c>
    </row>
    <row r="4085" customFormat="false" ht="15" hidden="false" customHeight="true" outlineLevel="0" collapsed="false">
      <c r="A4085" s="0" t="n">
        <v>2</v>
      </c>
      <c r="B4085" s="71" t="n">
        <v>46220</v>
      </c>
      <c r="C4085" s="0" t="n">
        <v>6</v>
      </c>
      <c r="D4085" s="0" t="s">
        <v>2553</v>
      </c>
      <c r="E4085" s="0" t="n">
        <v>48</v>
      </c>
      <c r="F4085" s="0" t="s">
        <v>153</v>
      </c>
      <c r="I4085" s="0" t="n">
        <v>2547</v>
      </c>
      <c r="J4085" s="0" t="n">
        <v>100122</v>
      </c>
      <c r="K4085" s="0" t="n">
        <v>123</v>
      </c>
      <c r="L4085" s="0" t="s">
        <v>2543</v>
      </c>
      <c r="N4085" s="0" t="n">
        <v>5</v>
      </c>
      <c r="O4085" s="0" t="n">
        <v>50</v>
      </c>
      <c r="P4085" s="0" t="s">
        <v>2444</v>
      </c>
    </row>
    <row r="4086" customFormat="false" ht="15" hidden="false" customHeight="true" outlineLevel="0" collapsed="false">
      <c r="A4086" s="0" t="n">
        <v>2</v>
      </c>
      <c r="B4086" s="71" t="n">
        <v>46220</v>
      </c>
      <c r="C4086" s="0" t="n">
        <v>6</v>
      </c>
      <c r="D4086" s="0" t="s">
        <v>2553</v>
      </c>
      <c r="E4086" s="0" t="n">
        <v>48</v>
      </c>
      <c r="F4086" s="0" t="s">
        <v>153</v>
      </c>
      <c r="I4086" s="0" t="n">
        <v>2547</v>
      </c>
      <c r="J4086" s="0" t="n">
        <v>100124</v>
      </c>
      <c r="K4086" s="0" t="n">
        <v>125</v>
      </c>
      <c r="L4086" s="0" t="s">
        <v>2695</v>
      </c>
      <c r="N4086" s="0" t="n">
        <v>3</v>
      </c>
      <c r="O4086" s="0" t="n">
        <v>33</v>
      </c>
      <c r="P4086" s="0" t="s">
        <v>2444</v>
      </c>
    </row>
    <row r="4087" customFormat="false" ht="15" hidden="false" customHeight="true" outlineLevel="0" collapsed="false">
      <c r="A4087" s="0" t="n">
        <v>2</v>
      </c>
      <c r="B4087" s="71" t="n">
        <v>46220</v>
      </c>
      <c r="C4087" s="0" t="n">
        <v>6</v>
      </c>
      <c r="D4087" s="0" t="s">
        <v>2553</v>
      </c>
      <c r="E4087" s="0" t="n">
        <v>48</v>
      </c>
      <c r="F4087" s="0" t="s">
        <v>153</v>
      </c>
      <c r="I4087" s="0" t="n">
        <v>2547</v>
      </c>
      <c r="J4087" s="0" t="n">
        <v>100129</v>
      </c>
      <c r="K4087" s="0" t="n">
        <v>130</v>
      </c>
      <c r="L4087" s="0" t="s">
        <v>2598</v>
      </c>
      <c r="N4087" s="0" t="n">
        <v>13</v>
      </c>
      <c r="O4087" s="0" t="n">
        <v>75</v>
      </c>
      <c r="P4087" s="0" t="s">
        <v>2444</v>
      </c>
    </row>
    <row r="4088" customFormat="false" ht="15" hidden="false" customHeight="true" outlineLevel="0" collapsed="false">
      <c r="A4088" s="0" t="n">
        <v>2</v>
      </c>
      <c r="B4088" s="71" t="n">
        <v>46220</v>
      </c>
      <c r="C4088" s="0" t="n">
        <v>6</v>
      </c>
      <c r="D4088" s="0" t="s">
        <v>2553</v>
      </c>
      <c r="E4088" s="0" t="n">
        <v>48</v>
      </c>
      <c r="F4088" s="0" t="s">
        <v>153</v>
      </c>
      <c r="I4088" s="0" t="n">
        <v>2547</v>
      </c>
      <c r="J4088" s="0" t="n">
        <v>100132</v>
      </c>
      <c r="K4088" s="0" t="n">
        <v>133</v>
      </c>
      <c r="L4088" s="0" t="s">
        <v>2546</v>
      </c>
      <c r="N4088" s="0" t="n">
        <v>21.435</v>
      </c>
      <c r="O4088" s="0" t="n">
        <v>76</v>
      </c>
      <c r="P4088" s="0" t="s">
        <v>2444</v>
      </c>
    </row>
    <row r="4089" customFormat="false" ht="15" hidden="false" customHeight="true" outlineLevel="0" collapsed="false">
      <c r="A4089" s="0" t="n">
        <v>2</v>
      </c>
      <c r="B4089" s="71" t="n">
        <v>46220</v>
      </c>
      <c r="C4089" s="0" t="n">
        <v>6</v>
      </c>
      <c r="D4089" s="0" t="s">
        <v>2553</v>
      </c>
      <c r="E4089" s="0" t="n">
        <v>48</v>
      </c>
      <c r="F4089" s="0" t="s">
        <v>153</v>
      </c>
      <c r="I4089" s="0" t="n">
        <v>2547</v>
      </c>
      <c r="J4089" s="0" t="n">
        <v>100133</v>
      </c>
      <c r="K4089" s="0" t="n">
        <v>134</v>
      </c>
      <c r="L4089" s="0" t="s">
        <v>2547</v>
      </c>
      <c r="N4089" s="0" t="n">
        <v>15</v>
      </c>
      <c r="O4089" s="0" t="n">
        <v>75</v>
      </c>
      <c r="P4089" s="0" t="s">
        <v>2444</v>
      </c>
    </row>
    <row r="4090" customFormat="false" ht="15" hidden="false" customHeight="true" outlineLevel="0" collapsed="false">
      <c r="A4090" s="0" t="n">
        <v>2</v>
      </c>
      <c r="B4090" s="71" t="n">
        <v>46220</v>
      </c>
      <c r="C4090" s="0" t="n">
        <v>6</v>
      </c>
      <c r="D4090" s="0" t="s">
        <v>2553</v>
      </c>
      <c r="E4090" s="0" t="n">
        <v>48</v>
      </c>
      <c r="F4090" s="0" t="s">
        <v>153</v>
      </c>
      <c r="I4090" s="0" t="n">
        <v>2547</v>
      </c>
      <c r="J4090" s="0" t="n">
        <v>100135</v>
      </c>
      <c r="K4090" s="0" t="n">
        <v>136</v>
      </c>
      <c r="L4090" s="0" t="s">
        <v>2599</v>
      </c>
      <c r="N4090" s="0" t="n">
        <v>13</v>
      </c>
      <c r="O4090" s="0" t="n">
        <v>158.86</v>
      </c>
      <c r="P4090" s="0" t="s">
        <v>2444</v>
      </c>
    </row>
    <row r="4091" customFormat="false" ht="15" hidden="false" customHeight="true" outlineLevel="0" collapsed="false">
      <c r="A4091" s="0" t="n">
        <v>2</v>
      </c>
      <c r="B4091" s="71" t="n">
        <v>46220</v>
      </c>
      <c r="C4091" s="0" t="n">
        <v>6</v>
      </c>
      <c r="D4091" s="0" t="s">
        <v>2553</v>
      </c>
      <c r="E4091" s="0" t="n">
        <v>48</v>
      </c>
      <c r="F4091" s="0" t="s">
        <v>153</v>
      </c>
      <c r="I4091" s="0" t="n">
        <v>2547</v>
      </c>
      <c r="J4091" s="0" t="n">
        <v>110142</v>
      </c>
      <c r="K4091" s="0" t="n">
        <v>16699</v>
      </c>
      <c r="L4091" s="0" t="s">
        <v>2549</v>
      </c>
      <c r="N4091" s="0" t="n">
        <v>20</v>
      </c>
      <c r="O4091" s="0" t="n">
        <v>125</v>
      </c>
      <c r="P4091" s="0" t="s">
        <v>2444</v>
      </c>
    </row>
    <row r="4092" customFormat="false" ht="15" hidden="false" customHeight="true" outlineLevel="0" collapsed="false">
      <c r="A4092" s="0" t="n">
        <v>2</v>
      </c>
      <c r="B4092" s="71" t="n">
        <v>46220</v>
      </c>
      <c r="C4092" s="0" t="n">
        <v>6</v>
      </c>
      <c r="D4092" s="0" t="s">
        <v>2553</v>
      </c>
      <c r="E4092" s="0" t="n">
        <v>48</v>
      </c>
      <c r="F4092" s="0" t="s">
        <v>153</v>
      </c>
      <c r="I4092" s="0" t="n">
        <v>2547</v>
      </c>
      <c r="J4092" s="0" t="n">
        <v>110489</v>
      </c>
      <c r="K4092" s="0" t="n">
        <v>54743</v>
      </c>
      <c r="L4092" s="0" t="s">
        <v>2550</v>
      </c>
      <c r="N4092" s="0" t="n">
        <v>40</v>
      </c>
      <c r="O4092" s="0" t="n">
        <v>260</v>
      </c>
      <c r="P4092" s="0" t="s">
        <v>2444</v>
      </c>
    </row>
    <row r="4093" customFormat="false" ht="15" hidden="false" customHeight="true" outlineLevel="0" collapsed="false">
      <c r="A4093" s="0" t="n">
        <v>2</v>
      </c>
      <c r="B4093" s="71" t="n">
        <v>46220</v>
      </c>
      <c r="C4093" s="0" t="n">
        <v>6</v>
      </c>
      <c r="D4093" s="0" t="s">
        <v>2553</v>
      </c>
      <c r="E4093" s="0" t="n">
        <v>48</v>
      </c>
      <c r="F4093" s="0" t="s">
        <v>153</v>
      </c>
      <c r="I4093" s="0" t="n">
        <v>2547</v>
      </c>
      <c r="J4093" s="0" t="n">
        <v>80078</v>
      </c>
      <c r="K4093" s="0" t="n">
        <v>710</v>
      </c>
      <c r="L4093" s="0" t="s">
        <v>2551</v>
      </c>
      <c r="N4093" s="0" t="n">
        <v>10</v>
      </c>
      <c r="O4093" s="0" t="n">
        <v>30</v>
      </c>
      <c r="P4093" s="0" t="s">
        <v>2444</v>
      </c>
    </row>
    <row r="4094" customFormat="false" ht="15" hidden="false" customHeight="true" outlineLevel="0" collapsed="false">
      <c r="A4094" s="0" t="n">
        <v>2</v>
      </c>
      <c r="B4094" s="71" t="n">
        <v>46220</v>
      </c>
      <c r="C4094" s="0" t="n">
        <v>11</v>
      </c>
      <c r="D4094" s="0" t="s">
        <v>2471</v>
      </c>
      <c r="E4094" s="0" t="n">
        <v>10096</v>
      </c>
      <c r="F4094" s="0" t="s">
        <v>622</v>
      </c>
      <c r="I4094" s="0" t="n">
        <v>15</v>
      </c>
      <c r="J4094" s="0" t="n">
        <v>61580</v>
      </c>
      <c r="K4094" s="0" t="n">
        <v>2258157</v>
      </c>
      <c r="L4094" s="0" t="s">
        <v>2509</v>
      </c>
      <c r="N4094" s="0" t="n">
        <v>10</v>
      </c>
      <c r="O4094" s="0" t="n">
        <v>120</v>
      </c>
      <c r="P4094" s="0" t="s">
        <v>2444</v>
      </c>
    </row>
    <row r="4095" customFormat="false" ht="15" hidden="false" customHeight="true" outlineLevel="0" collapsed="false">
      <c r="A4095" s="0" t="n">
        <v>2</v>
      </c>
      <c r="B4095" s="71" t="n">
        <v>46220</v>
      </c>
      <c r="C4095" s="0" t="n">
        <v>11</v>
      </c>
      <c r="D4095" s="0" t="s">
        <v>2471</v>
      </c>
      <c r="E4095" s="0" t="n">
        <v>10096</v>
      </c>
      <c r="F4095" s="0" t="s">
        <v>622</v>
      </c>
      <c r="I4095" s="0" t="n">
        <v>16</v>
      </c>
      <c r="J4095" s="0" t="n">
        <v>61580</v>
      </c>
      <c r="K4095" s="0" t="n">
        <v>2258157</v>
      </c>
      <c r="L4095" s="0" t="s">
        <v>2509</v>
      </c>
      <c r="N4095" s="0" t="n">
        <v>10</v>
      </c>
      <c r="O4095" s="0" t="n">
        <v>120</v>
      </c>
      <c r="P4095" s="0" t="s">
        <v>2444</v>
      </c>
    </row>
    <row r="4096" customFormat="false" ht="15" hidden="false" customHeight="true" outlineLevel="0" collapsed="false">
      <c r="A4096" s="0" t="n">
        <v>2</v>
      </c>
      <c r="B4096" s="71" t="n">
        <v>46220</v>
      </c>
      <c r="C4096" s="0" t="n">
        <v>11</v>
      </c>
      <c r="D4096" s="0" t="s">
        <v>2471</v>
      </c>
      <c r="E4096" s="0" t="n">
        <v>10096</v>
      </c>
      <c r="F4096" s="0" t="s">
        <v>622</v>
      </c>
      <c r="I4096" s="0" t="n">
        <v>16</v>
      </c>
      <c r="J4096" s="0" t="n">
        <v>61597</v>
      </c>
      <c r="K4096" s="0" t="n">
        <v>2258188</v>
      </c>
      <c r="L4096" s="0" t="s">
        <v>2510</v>
      </c>
      <c r="N4096" s="0" t="n">
        <v>5</v>
      </c>
      <c r="O4096" s="0" t="n">
        <v>20</v>
      </c>
      <c r="P4096" s="0" t="s">
        <v>2444</v>
      </c>
    </row>
    <row r="4097" customFormat="false" ht="15" hidden="false" customHeight="true" outlineLevel="0" collapsed="false">
      <c r="A4097" s="0" t="n">
        <v>2</v>
      </c>
      <c r="B4097" s="71" t="n">
        <v>46220</v>
      </c>
      <c r="C4097" s="0" t="n">
        <v>11</v>
      </c>
      <c r="D4097" s="0" t="s">
        <v>2471</v>
      </c>
      <c r="E4097" s="0" t="n">
        <v>10096</v>
      </c>
      <c r="F4097" s="0" t="s">
        <v>622</v>
      </c>
      <c r="I4097" s="0" t="n">
        <v>17</v>
      </c>
      <c r="J4097" s="0" t="n">
        <v>61580</v>
      </c>
      <c r="K4097" s="0" t="n">
        <v>2258157</v>
      </c>
      <c r="L4097" s="0" t="s">
        <v>2509</v>
      </c>
      <c r="N4097" s="0" t="n">
        <v>10</v>
      </c>
      <c r="O4097" s="0" t="n">
        <v>120</v>
      </c>
      <c r="P4097" s="0" t="s">
        <v>2444</v>
      </c>
    </row>
    <row r="4098" customFormat="false" ht="15" hidden="false" customHeight="true" outlineLevel="0" collapsed="false">
      <c r="A4098" s="0" t="n">
        <v>2</v>
      </c>
      <c r="B4098" s="71" t="n">
        <v>46220</v>
      </c>
      <c r="C4098" s="0" t="n">
        <v>11</v>
      </c>
      <c r="D4098" s="0" t="s">
        <v>2471</v>
      </c>
      <c r="E4098" s="0" t="n">
        <v>10096</v>
      </c>
      <c r="F4098" s="0" t="s">
        <v>622</v>
      </c>
      <c r="I4098" s="0" t="n">
        <v>18</v>
      </c>
      <c r="J4098" s="0" t="n">
        <v>61580</v>
      </c>
      <c r="K4098" s="0" t="n">
        <v>2258157</v>
      </c>
      <c r="L4098" s="0" t="s">
        <v>2509</v>
      </c>
      <c r="N4098" s="0" t="n">
        <v>10</v>
      </c>
      <c r="O4098" s="0" t="n">
        <v>120</v>
      </c>
      <c r="P4098" s="0" t="s">
        <v>2444</v>
      </c>
    </row>
    <row r="4099" customFormat="false" ht="15" hidden="false" customHeight="true" outlineLevel="0" collapsed="false">
      <c r="A4099" s="0" t="n">
        <v>2</v>
      </c>
      <c r="B4099" s="71" t="n">
        <v>46220</v>
      </c>
      <c r="C4099" s="0" t="n">
        <v>11</v>
      </c>
      <c r="D4099" s="0" t="s">
        <v>2471</v>
      </c>
      <c r="E4099" s="0" t="n">
        <v>10096</v>
      </c>
      <c r="F4099" s="0" t="s">
        <v>622</v>
      </c>
      <c r="I4099" s="0" t="n">
        <v>19</v>
      </c>
      <c r="J4099" s="0" t="n">
        <v>61580</v>
      </c>
      <c r="K4099" s="0" t="n">
        <v>2258157</v>
      </c>
      <c r="L4099" s="0" t="s">
        <v>2509</v>
      </c>
      <c r="N4099" s="0" t="n">
        <v>10</v>
      </c>
      <c r="O4099" s="0" t="n">
        <v>120</v>
      </c>
      <c r="P4099" s="0" t="s">
        <v>2444</v>
      </c>
    </row>
    <row r="4100" customFormat="false" ht="15" hidden="false" customHeight="true" outlineLevel="0" collapsed="false">
      <c r="A4100" s="0" t="n">
        <v>2</v>
      </c>
      <c r="B4100" s="71" t="n">
        <v>46220</v>
      </c>
      <c r="C4100" s="0" t="n">
        <v>11</v>
      </c>
      <c r="D4100" s="0" t="s">
        <v>2471</v>
      </c>
      <c r="E4100" s="0" t="n">
        <v>10096</v>
      </c>
      <c r="F4100" s="0" t="s">
        <v>622</v>
      </c>
      <c r="I4100" s="0" t="n">
        <v>20</v>
      </c>
      <c r="J4100" s="0" t="n">
        <v>61580</v>
      </c>
      <c r="K4100" s="0" t="n">
        <v>2258157</v>
      </c>
      <c r="L4100" s="0" t="s">
        <v>2509</v>
      </c>
      <c r="N4100" s="0" t="n">
        <v>15</v>
      </c>
      <c r="O4100" s="0" t="n">
        <v>180</v>
      </c>
      <c r="P4100" s="0" t="s">
        <v>2444</v>
      </c>
    </row>
    <row r="4101" customFormat="false" ht="15" hidden="false" customHeight="true" outlineLevel="0" collapsed="false">
      <c r="A4101" s="0" t="n">
        <v>2</v>
      </c>
      <c r="B4101" s="71" t="n">
        <v>46220</v>
      </c>
      <c r="C4101" s="0" t="n">
        <v>11</v>
      </c>
      <c r="D4101" s="0" t="s">
        <v>2471</v>
      </c>
      <c r="E4101" s="0" t="n">
        <v>10096</v>
      </c>
      <c r="F4101" s="0" t="s">
        <v>622</v>
      </c>
      <c r="I4101" s="0" t="n">
        <v>20</v>
      </c>
      <c r="J4101" s="0" t="n">
        <v>61597</v>
      </c>
      <c r="K4101" s="0" t="n">
        <v>2258188</v>
      </c>
      <c r="L4101" s="0" t="s">
        <v>2510</v>
      </c>
      <c r="N4101" s="0" t="n">
        <v>5</v>
      </c>
      <c r="O4101" s="0" t="n">
        <v>20</v>
      </c>
      <c r="P4101" s="0" t="s">
        <v>2444</v>
      </c>
    </row>
    <row r="4102" customFormat="false" ht="15" hidden="false" customHeight="true" outlineLevel="0" collapsed="false">
      <c r="A4102" s="0" t="n">
        <v>2</v>
      </c>
      <c r="B4102" s="71" t="n">
        <v>46220</v>
      </c>
      <c r="C4102" s="0" t="n">
        <v>11</v>
      </c>
      <c r="D4102" s="0" t="s">
        <v>2471</v>
      </c>
      <c r="E4102" s="0" t="n">
        <v>10096</v>
      </c>
      <c r="F4102" s="0" t="s">
        <v>622</v>
      </c>
      <c r="I4102" s="0" t="n">
        <v>22</v>
      </c>
      <c r="J4102" s="0" t="n">
        <v>61580</v>
      </c>
      <c r="K4102" s="0" t="n">
        <v>2258157</v>
      </c>
      <c r="L4102" s="0" t="s">
        <v>2509</v>
      </c>
      <c r="N4102" s="0" t="n">
        <v>10</v>
      </c>
      <c r="O4102" s="0" t="n">
        <v>120</v>
      </c>
      <c r="P4102" s="0" t="s">
        <v>2444</v>
      </c>
    </row>
    <row r="4103" customFormat="false" ht="15" hidden="false" customHeight="true" outlineLevel="0" collapsed="false">
      <c r="A4103" s="0" t="n">
        <v>2</v>
      </c>
      <c r="B4103" s="71" t="n">
        <v>46220</v>
      </c>
      <c r="C4103" s="0" t="n">
        <v>11</v>
      </c>
      <c r="D4103" s="0" t="s">
        <v>2471</v>
      </c>
      <c r="E4103" s="0" t="n">
        <v>10096</v>
      </c>
      <c r="F4103" s="0" t="s">
        <v>622</v>
      </c>
      <c r="I4103" s="0" t="n">
        <v>22</v>
      </c>
      <c r="J4103" s="0" t="n">
        <v>61597</v>
      </c>
      <c r="K4103" s="0" t="n">
        <v>2258188</v>
      </c>
      <c r="L4103" s="0" t="s">
        <v>2510</v>
      </c>
      <c r="N4103" s="0" t="n">
        <v>5</v>
      </c>
      <c r="O4103" s="0" t="n">
        <v>20</v>
      </c>
      <c r="P4103" s="0" t="s">
        <v>2444</v>
      </c>
    </row>
    <row r="4104" customFormat="false" ht="15" hidden="false" customHeight="true" outlineLevel="0" collapsed="false">
      <c r="A4104" s="0" t="n">
        <v>2</v>
      </c>
      <c r="B4104" s="71" t="n">
        <v>46220</v>
      </c>
      <c r="C4104" s="0" t="n">
        <v>11</v>
      </c>
      <c r="D4104" s="0" t="s">
        <v>2471</v>
      </c>
      <c r="E4104" s="0" t="n">
        <v>10096</v>
      </c>
      <c r="F4104" s="0" t="s">
        <v>622</v>
      </c>
      <c r="I4104" s="0" t="n">
        <v>23</v>
      </c>
      <c r="J4104" s="0" t="n">
        <v>61580</v>
      </c>
      <c r="K4104" s="0" t="n">
        <v>2258157</v>
      </c>
      <c r="L4104" s="0" t="s">
        <v>2509</v>
      </c>
      <c r="N4104" s="0" t="n">
        <v>10</v>
      </c>
      <c r="O4104" s="0" t="n">
        <v>120</v>
      </c>
      <c r="P4104" s="0" t="s">
        <v>2444</v>
      </c>
    </row>
    <row r="4105" customFormat="false" ht="15" hidden="false" customHeight="true" outlineLevel="0" collapsed="false">
      <c r="A4105" s="0" t="n">
        <v>2</v>
      </c>
      <c r="B4105" s="71" t="n">
        <v>46220</v>
      </c>
      <c r="C4105" s="0" t="n">
        <v>11</v>
      </c>
      <c r="D4105" s="0" t="s">
        <v>2471</v>
      </c>
      <c r="E4105" s="0" t="n">
        <v>10096</v>
      </c>
      <c r="F4105" s="0" t="s">
        <v>622</v>
      </c>
      <c r="I4105" s="0" t="n">
        <v>23</v>
      </c>
      <c r="J4105" s="0" t="n">
        <v>61597</v>
      </c>
      <c r="K4105" s="0" t="n">
        <v>2258188</v>
      </c>
      <c r="L4105" s="0" t="s">
        <v>2510</v>
      </c>
      <c r="N4105" s="0" t="n">
        <v>5</v>
      </c>
      <c r="O4105" s="0" t="n">
        <v>20</v>
      </c>
      <c r="P4105" s="0" t="s">
        <v>2444</v>
      </c>
    </row>
    <row r="4106" customFormat="false" ht="15" hidden="false" customHeight="true" outlineLevel="0" collapsed="false">
      <c r="A4106" s="0" t="n">
        <v>2</v>
      </c>
      <c r="B4106" s="71" t="n">
        <v>46220</v>
      </c>
      <c r="C4106" s="0" t="n">
        <v>11</v>
      </c>
      <c r="D4106" s="0" t="s">
        <v>2471</v>
      </c>
      <c r="E4106" s="0" t="n">
        <v>10018</v>
      </c>
      <c r="F4106" s="0" t="s">
        <v>216</v>
      </c>
      <c r="I4106" s="0" t="n">
        <v>337</v>
      </c>
      <c r="J4106" s="0" t="n">
        <v>100933</v>
      </c>
      <c r="K4106" s="0" t="n">
        <v>7896982100059</v>
      </c>
      <c r="L4106" s="0" t="s">
        <v>2500</v>
      </c>
      <c r="N4106" s="0" t="n">
        <v>1800</v>
      </c>
      <c r="O4106" s="0" t="n">
        <v>925</v>
      </c>
      <c r="P4106" s="0" t="s">
        <v>2444</v>
      </c>
    </row>
    <row r="4107" customFormat="false" ht="15" hidden="false" customHeight="true" outlineLevel="0" collapsed="false">
      <c r="A4107" s="0" t="n">
        <v>2</v>
      </c>
      <c r="B4107" s="71" t="n">
        <v>46220</v>
      </c>
      <c r="C4107" s="0" t="n">
        <v>11</v>
      </c>
      <c r="D4107" s="0" t="s">
        <v>2471</v>
      </c>
      <c r="E4107" s="0" t="n">
        <v>10035</v>
      </c>
      <c r="F4107" s="0" t="s">
        <v>86</v>
      </c>
      <c r="I4107" s="0" t="n">
        <v>364</v>
      </c>
      <c r="J4107" s="0" t="n">
        <v>38652</v>
      </c>
      <c r="K4107" s="0" t="n">
        <v>7898994684220</v>
      </c>
      <c r="L4107" s="0" t="s">
        <v>2711</v>
      </c>
      <c r="N4107" s="0" t="n">
        <v>20</v>
      </c>
      <c r="O4107" s="0" t="n">
        <v>180</v>
      </c>
      <c r="P4107" s="0" t="s">
        <v>2444</v>
      </c>
    </row>
    <row r="4108" customFormat="false" ht="15" hidden="false" customHeight="true" outlineLevel="0" collapsed="false">
      <c r="A4108" s="0" t="n">
        <v>2</v>
      </c>
      <c r="B4108" s="71" t="n">
        <v>46220</v>
      </c>
      <c r="C4108" s="0" t="n">
        <v>11</v>
      </c>
      <c r="D4108" s="0" t="s">
        <v>2471</v>
      </c>
      <c r="E4108" s="0" t="n">
        <v>10035</v>
      </c>
      <c r="F4108" s="0" t="s">
        <v>86</v>
      </c>
      <c r="I4108" s="0" t="n">
        <v>364</v>
      </c>
      <c r="J4108" s="0" t="n">
        <v>38653</v>
      </c>
      <c r="K4108" s="0" t="n">
        <v>7898994684275</v>
      </c>
      <c r="L4108" s="0" t="s">
        <v>2712</v>
      </c>
      <c r="N4108" s="0" t="n">
        <v>10</v>
      </c>
      <c r="O4108" s="0" t="n">
        <v>48</v>
      </c>
      <c r="P4108" s="0" t="s">
        <v>2444</v>
      </c>
    </row>
    <row r="4109" customFormat="false" ht="15" hidden="false" customHeight="true" outlineLevel="0" collapsed="false">
      <c r="A4109" s="0" t="n">
        <v>2</v>
      </c>
      <c r="B4109" s="71" t="n">
        <v>46220</v>
      </c>
      <c r="C4109" s="0" t="n">
        <v>11</v>
      </c>
      <c r="D4109" s="0" t="s">
        <v>2471</v>
      </c>
      <c r="E4109" s="0" t="n">
        <v>1899</v>
      </c>
      <c r="F4109" s="0" t="s">
        <v>204</v>
      </c>
      <c r="I4109" s="0" t="n">
        <v>719</v>
      </c>
      <c r="J4109" s="0" t="n">
        <v>44588</v>
      </c>
      <c r="K4109" s="0" t="n">
        <v>7898904331091</v>
      </c>
      <c r="L4109" s="0" t="s">
        <v>2443</v>
      </c>
      <c r="N4109" s="0" t="n">
        <v>10</v>
      </c>
      <c r="O4109" s="0" t="n">
        <v>49.9</v>
      </c>
      <c r="P4109" s="0" t="s">
        <v>2444</v>
      </c>
    </row>
    <row r="4110" customFormat="false" ht="15" hidden="false" customHeight="true" outlineLevel="0" collapsed="false">
      <c r="A4110" s="0" t="n">
        <v>2</v>
      </c>
      <c r="B4110" s="71" t="n">
        <v>46220</v>
      </c>
      <c r="C4110" s="0" t="n">
        <v>11</v>
      </c>
      <c r="D4110" s="0" t="s">
        <v>2471</v>
      </c>
      <c r="E4110" s="0" t="n">
        <v>1899</v>
      </c>
      <c r="F4110" s="0" t="s">
        <v>204</v>
      </c>
      <c r="I4110" s="0" t="n">
        <v>719</v>
      </c>
      <c r="J4110" s="0" t="n">
        <v>77463</v>
      </c>
      <c r="K4110" s="0" t="n">
        <v>774642</v>
      </c>
      <c r="L4110" s="0" t="s">
        <v>2445</v>
      </c>
      <c r="N4110" s="0" t="n">
        <v>30</v>
      </c>
      <c r="O4110" s="0" t="n">
        <v>135</v>
      </c>
      <c r="P4110" s="0" t="s">
        <v>2444</v>
      </c>
    </row>
    <row r="4111" customFormat="false" ht="15" hidden="false" customHeight="true" outlineLevel="0" collapsed="false">
      <c r="A4111" s="0" t="n">
        <v>2</v>
      </c>
      <c r="B4111" s="71" t="n">
        <v>46220</v>
      </c>
      <c r="C4111" s="0" t="n">
        <v>11</v>
      </c>
      <c r="D4111" s="0" t="s">
        <v>2471</v>
      </c>
      <c r="E4111" s="0" t="n">
        <v>1363</v>
      </c>
      <c r="F4111" s="0" t="s">
        <v>174</v>
      </c>
      <c r="I4111" s="0" t="n">
        <v>3554</v>
      </c>
      <c r="J4111" s="0" t="n">
        <v>65493</v>
      </c>
      <c r="K4111" s="0" t="n">
        <v>609963171002</v>
      </c>
      <c r="L4111" s="0" t="s">
        <v>2586</v>
      </c>
      <c r="N4111" s="0" t="n">
        <v>2</v>
      </c>
      <c r="O4111" s="0" t="n">
        <v>12</v>
      </c>
      <c r="P4111" s="0" t="s">
        <v>2444</v>
      </c>
    </row>
    <row r="4112" customFormat="false" ht="15" hidden="false" customHeight="true" outlineLevel="0" collapsed="false">
      <c r="A4112" s="0" t="n">
        <v>2</v>
      </c>
      <c r="B4112" s="71" t="n">
        <v>46220</v>
      </c>
      <c r="C4112" s="0" t="n">
        <v>11</v>
      </c>
      <c r="D4112" s="0" t="s">
        <v>2471</v>
      </c>
      <c r="E4112" s="0" t="n">
        <v>1363</v>
      </c>
      <c r="F4112" s="0" t="s">
        <v>174</v>
      </c>
      <c r="I4112" s="0" t="n">
        <v>3554</v>
      </c>
      <c r="J4112" s="0" t="n">
        <v>65494</v>
      </c>
      <c r="K4112" s="0" t="n">
        <v>618231677535</v>
      </c>
      <c r="L4112" s="0" t="s">
        <v>2587</v>
      </c>
      <c r="N4112" s="0" t="n">
        <v>10</v>
      </c>
      <c r="O4112" s="0" t="n">
        <v>60</v>
      </c>
      <c r="P4112" s="0" t="s">
        <v>2444</v>
      </c>
    </row>
    <row r="4113" customFormat="false" ht="15" hidden="false" customHeight="true" outlineLevel="0" collapsed="false">
      <c r="A4113" s="0" t="n">
        <v>2</v>
      </c>
      <c r="B4113" s="71" t="n">
        <v>46220</v>
      </c>
      <c r="C4113" s="0" t="n">
        <v>11</v>
      </c>
      <c r="D4113" s="0" t="s">
        <v>2471</v>
      </c>
      <c r="E4113" s="0" t="n">
        <v>1363</v>
      </c>
      <c r="F4113" s="0" t="s">
        <v>174</v>
      </c>
      <c r="I4113" s="0" t="n">
        <v>3554</v>
      </c>
      <c r="J4113" s="0" t="n">
        <v>65496</v>
      </c>
      <c r="K4113" s="0" t="n">
        <v>618231677528</v>
      </c>
      <c r="L4113" s="0" t="s">
        <v>2588</v>
      </c>
      <c r="N4113" s="0" t="n">
        <v>3</v>
      </c>
      <c r="O4113" s="0" t="n">
        <v>18</v>
      </c>
      <c r="P4113" s="0" t="s">
        <v>2444</v>
      </c>
    </row>
    <row r="4114" customFormat="false" ht="15" hidden="false" customHeight="true" outlineLevel="0" collapsed="false">
      <c r="A4114" s="0" t="n">
        <v>2</v>
      </c>
      <c r="B4114" s="71" t="n">
        <v>46220</v>
      </c>
      <c r="C4114" s="0" t="n">
        <v>11</v>
      </c>
      <c r="D4114" s="0" t="s">
        <v>2471</v>
      </c>
      <c r="E4114" s="0" t="n">
        <v>1363</v>
      </c>
      <c r="F4114" s="0" t="s">
        <v>174</v>
      </c>
      <c r="I4114" s="0" t="n">
        <v>3554</v>
      </c>
      <c r="J4114" s="0" t="n">
        <v>65621</v>
      </c>
      <c r="K4114" s="0" t="n">
        <v>618231677504</v>
      </c>
      <c r="L4114" s="0" t="s">
        <v>2589</v>
      </c>
      <c r="N4114" s="0" t="n">
        <v>5</v>
      </c>
      <c r="O4114" s="0" t="n">
        <v>35</v>
      </c>
      <c r="P4114" s="0" t="s">
        <v>2444</v>
      </c>
    </row>
    <row r="4115" customFormat="false" ht="15" hidden="false" customHeight="true" outlineLevel="0" collapsed="false">
      <c r="A4115" s="0" t="n">
        <v>2</v>
      </c>
      <c r="B4115" s="71" t="n">
        <v>46220</v>
      </c>
      <c r="C4115" s="0" t="n">
        <v>11</v>
      </c>
      <c r="D4115" s="0" t="s">
        <v>2471</v>
      </c>
      <c r="E4115" s="0" t="n">
        <v>1676</v>
      </c>
      <c r="F4115" s="0" t="s">
        <v>729</v>
      </c>
      <c r="I4115" s="0" t="n">
        <v>10807</v>
      </c>
      <c r="J4115" s="0" t="n">
        <v>102260</v>
      </c>
      <c r="K4115" s="0" t="n">
        <v>7898916462028</v>
      </c>
      <c r="L4115" s="0" t="s">
        <v>3360</v>
      </c>
      <c r="N4115" s="0" t="n">
        <v>40</v>
      </c>
      <c r="O4115" s="0" t="n">
        <v>116</v>
      </c>
      <c r="P4115" s="0" t="s">
        <v>2444</v>
      </c>
    </row>
    <row r="4116" customFormat="false" ht="15" hidden="false" customHeight="true" outlineLevel="0" collapsed="false">
      <c r="A4116" s="0" t="n">
        <v>2</v>
      </c>
      <c r="B4116" s="71" t="n">
        <v>46220</v>
      </c>
      <c r="C4116" s="0" t="n">
        <v>11</v>
      </c>
      <c r="D4116" s="0" t="s">
        <v>2471</v>
      </c>
      <c r="E4116" s="0" t="n">
        <v>1676</v>
      </c>
      <c r="F4116" s="0" t="s">
        <v>729</v>
      </c>
      <c r="I4116" s="0" t="n">
        <v>10807</v>
      </c>
      <c r="J4116" s="0" t="n">
        <v>17770</v>
      </c>
      <c r="K4116" s="0" t="n">
        <v>7896327511984</v>
      </c>
      <c r="L4116" s="0" t="s">
        <v>4390</v>
      </c>
      <c r="N4116" s="0" t="n">
        <v>12</v>
      </c>
      <c r="O4116" s="0" t="n">
        <v>54.25</v>
      </c>
      <c r="P4116" s="0" t="s">
        <v>2444</v>
      </c>
    </row>
    <row r="4117" customFormat="false" ht="15" hidden="false" customHeight="true" outlineLevel="0" collapsed="false">
      <c r="A4117" s="0" t="n">
        <v>2</v>
      </c>
      <c r="B4117" s="71" t="n">
        <v>46220</v>
      </c>
      <c r="C4117" s="0" t="n">
        <v>11</v>
      </c>
      <c r="D4117" s="0" t="s">
        <v>2471</v>
      </c>
      <c r="E4117" s="0" t="n">
        <v>1676</v>
      </c>
      <c r="F4117" s="0" t="s">
        <v>729</v>
      </c>
      <c r="I4117" s="0" t="n">
        <v>10807</v>
      </c>
      <c r="J4117" s="0" t="n">
        <v>34560</v>
      </c>
      <c r="K4117" s="0" t="n">
        <v>7896025802308</v>
      </c>
      <c r="L4117" s="0" t="s">
        <v>4391</v>
      </c>
      <c r="N4117" s="0" t="n">
        <v>6</v>
      </c>
      <c r="O4117" s="0" t="n">
        <v>34.62</v>
      </c>
      <c r="P4117" s="0" t="s">
        <v>2444</v>
      </c>
    </row>
    <row r="4118" customFormat="false" ht="15" hidden="false" customHeight="true" outlineLevel="0" collapsed="false">
      <c r="A4118" s="0" t="n">
        <v>2</v>
      </c>
      <c r="B4118" s="71" t="n">
        <v>46220</v>
      </c>
      <c r="C4118" s="0" t="n">
        <v>11</v>
      </c>
      <c r="D4118" s="0" t="s">
        <v>2471</v>
      </c>
      <c r="E4118" s="0" t="n">
        <v>1676</v>
      </c>
      <c r="F4118" s="0" t="s">
        <v>729</v>
      </c>
      <c r="I4118" s="0" t="n">
        <v>10807</v>
      </c>
      <c r="J4118" s="0" t="n">
        <v>34936</v>
      </c>
      <c r="K4118" s="0" t="n">
        <v>7898916462127</v>
      </c>
      <c r="L4118" s="0" t="s">
        <v>3365</v>
      </c>
      <c r="N4118" s="0" t="n">
        <v>40</v>
      </c>
      <c r="O4118" s="0" t="n">
        <v>105.2</v>
      </c>
      <c r="P4118" s="0" t="s">
        <v>2444</v>
      </c>
    </row>
    <row r="4119" customFormat="false" ht="15" hidden="false" customHeight="true" outlineLevel="0" collapsed="false">
      <c r="A4119" s="0" t="n">
        <v>2</v>
      </c>
      <c r="B4119" s="71" t="n">
        <v>46220</v>
      </c>
      <c r="C4119" s="0" t="n">
        <v>11</v>
      </c>
      <c r="D4119" s="0" t="s">
        <v>2471</v>
      </c>
      <c r="E4119" s="0" t="n">
        <v>1676</v>
      </c>
      <c r="F4119" s="0" t="s">
        <v>729</v>
      </c>
      <c r="I4119" s="0" t="n">
        <v>10807</v>
      </c>
      <c r="J4119" s="0" t="n">
        <v>36540</v>
      </c>
      <c r="K4119" s="0" t="n">
        <v>7891340365408</v>
      </c>
      <c r="L4119" s="0" t="s">
        <v>4392</v>
      </c>
      <c r="N4119" s="0" t="n">
        <v>30</v>
      </c>
      <c r="O4119" s="0" t="n">
        <v>43</v>
      </c>
      <c r="P4119" s="0" t="s">
        <v>2444</v>
      </c>
    </row>
    <row r="4120" customFormat="false" ht="15" hidden="false" customHeight="true" outlineLevel="0" collapsed="false">
      <c r="A4120" s="0" t="n">
        <v>2</v>
      </c>
      <c r="B4120" s="71" t="n">
        <v>46220</v>
      </c>
      <c r="C4120" s="0" t="n">
        <v>11</v>
      </c>
      <c r="D4120" s="0" t="s">
        <v>2471</v>
      </c>
      <c r="E4120" s="0" t="n">
        <v>1676</v>
      </c>
      <c r="F4120" s="0" t="s">
        <v>729</v>
      </c>
      <c r="I4120" s="0" t="n">
        <v>10807</v>
      </c>
      <c r="J4120" s="0" t="n">
        <v>37519</v>
      </c>
      <c r="K4120" s="0" t="n">
        <v>7896025802360</v>
      </c>
      <c r="L4120" s="0" t="s">
        <v>4393</v>
      </c>
      <c r="N4120" s="0" t="n">
        <v>6</v>
      </c>
      <c r="O4120" s="0" t="n">
        <v>42.54</v>
      </c>
      <c r="P4120" s="0" t="s">
        <v>2444</v>
      </c>
    </row>
    <row r="4121" customFormat="false" ht="15" hidden="false" customHeight="true" outlineLevel="0" collapsed="false">
      <c r="A4121" s="0" t="n">
        <v>2</v>
      </c>
      <c r="B4121" s="71" t="n">
        <v>46220</v>
      </c>
      <c r="C4121" s="0" t="n">
        <v>11</v>
      </c>
      <c r="D4121" s="0" t="s">
        <v>2471</v>
      </c>
      <c r="E4121" s="0" t="n">
        <v>1676</v>
      </c>
      <c r="F4121" s="0" t="s">
        <v>729</v>
      </c>
      <c r="I4121" s="0" t="n">
        <v>10807</v>
      </c>
      <c r="J4121" s="0" t="n">
        <v>44642</v>
      </c>
      <c r="K4121" s="0" t="n">
        <v>7891340365415</v>
      </c>
      <c r="L4121" s="0" t="s">
        <v>4394</v>
      </c>
      <c r="N4121" s="0" t="n">
        <v>30</v>
      </c>
      <c r="O4121" s="0" t="n">
        <v>43</v>
      </c>
      <c r="P4121" s="0" t="s">
        <v>2444</v>
      </c>
    </row>
    <row r="4122" customFormat="false" ht="15" hidden="false" customHeight="true" outlineLevel="0" collapsed="false">
      <c r="A4122" s="0" t="n">
        <v>2</v>
      </c>
      <c r="B4122" s="71" t="n">
        <v>46220</v>
      </c>
      <c r="C4122" s="0" t="n">
        <v>11</v>
      </c>
      <c r="D4122" s="0" t="s">
        <v>2471</v>
      </c>
      <c r="E4122" s="0" t="n">
        <v>1676</v>
      </c>
      <c r="F4122" s="0" t="s">
        <v>729</v>
      </c>
      <c r="I4122" s="0" t="n">
        <v>10807</v>
      </c>
      <c r="J4122" s="0" t="n">
        <v>44695</v>
      </c>
      <c r="K4122" s="0" t="n">
        <v>7898916462103</v>
      </c>
      <c r="L4122" s="0" t="s">
        <v>4395</v>
      </c>
      <c r="N4122" s="0" t="n">
        <v>24</v>
      </c>
      <c r="O4122" s="0" t="n">
        <v>34</v>
      </c>
      <c r="P4122" s="0" t="s">
        <v>2444</v>
      </c>
    </row>
    <row r="4123" customFormat="false" ht="15" hidden="false" customHeight="true" outlineLevel="0" collapsed="false">
      <c r="A4123" s="0" t="n">
        <v>2</v>
      </c>
      <c r="B4123" s="71" t="n">
        <v>46220</v>
      </c>
      <c r="C4123" s="0" t="n">
        <v>11</v>
      </c>
      <c r="D4123" s="0" t="s">
        <v>2471</v>
      </c>
      <c r="E4123" s="0" t="n">
        <v>1676</v>
      </c>
      <c r="F4123" s="0" t="s">
        <v>729</v>
      </c>
      <c r="I4123" s="0" t="n">
        <v>10807</v>
      </c>
      <c r="J4123" s="0" t="n">
        <v>75055</v>
      </c>
      <c r="K4123" s="0" t="n">
        <v>7896025805811</v>
      </c>
      <c r="L4123" s="0" t="s">
        <v>3378</v>
      </c>
      <c r="N4123" s="0" t="n">
        <v>6</v>
      </c>
      <c r="O4123" s="0" t="n">
        <v>39.54</v>
      </c>
      <c r="P4123" s="0" t="s">
        <v>2444</v>
      </c>
    </row>
    <row r="4124" customFormat="false" ht="15" hidden="false" customHeight="true" outlineLevel="0" collapsed="false">
      <c r="A4124" s="0" t="n">
        <v>2</v>
      </c>
      <c r="B4124" s="71" t="n">
        <v>46220</v>
      </c>
      <c r="C4124" s="0" t="n">
        <v>11</v>
      </c>
      <c r="D4124" s="0" t="s">
        <v>2471</v>
      </c>
      <c r="E4124" s="0" t="n">
        <v>1676</v>
      </c>
      <c r="F4124" s="0" t="s">
        <v>729</v>
      </c>
      <c r="I4124" s="0" t="n">
        <v>10807</v>
      </c>
      <c r="J4124" s="0" t="n">
        <v>79820</v>
      </c>
      <c r="K4124" s="0" t="n">
        <v>7898770870069</v>
      </c>
      <c r="L4124" s="0" t="s">
        <v>4396</v>
      </c>
      <c r="N4124" s="0" t="n">
        <v>24</v>
      </c>
      <c r="O4124" s="0" t="n">
        <v>54</v>
      </c>
      <c r="P4124" s="0" t="s">
        <v>2444</v>
      </c>
    </row>
    <row r="4125" customFormat="false" ht="15" hidden="false" customHeight="true" outlineLevel="0" collapsed="false">
      <c r="A4125" s="0" t="n">
        <v>2</v>
      </c>
      <c r="B4125" s="71" t="n">
        <v>46220</v>
      </c>
      <c r="C4125" s="0" t="n">
        <v>11</v>
      </c>
      <c r="D4125" s="0" t="s">
        <v>2471</v>
      </c>
      <c r="E4125" s="0" t="n">
        <v>1676</v>
      </c>
      <c r="F4125" s="0" t="s">
        <v>729</v>
      </c>
      <c r="I4125" s="0" t="n">
        <v>10807</v>
      </c>
      <c r="J4125" s="0" t="n">
        <v>80162</v>
      </c>
      <c r="K4125" s="0" t="n">
        <v>7898736040017</v>
      </c>
      <c r="L4125" s="0" t="s">
        <v>4397</v>
      </c>
      <c r="N4125" s="0" t="n">
        <v>50</v>
      </c>
      <c r="O4125" s="0" t="n">
        <v>215</v>
      </c>
      <c r="P4125" s="0" t="s">
        <v>2444</v>
      </c>
    </row>
    <row r="4126" customFormat="false" ht="15" hidden="false" customHeight="true" outlineLevel="0" collapsed="false">
      <c r="A4126" s="0" t="n">
        <v>2</v>
      </c>
      <c r="B4126" s="71" t="n">
        <v>46220</v>
      </c>
      <c r="C4126" s="0" t="n">
        <v>11</v>
      </c>
      <c r="D4126" s="0" t="s">
        <v>2471</v>
      </c>
      <c r="E4126" s="0" t="n">
        <v>1676</v>
      </c>
      <c r="F4126" s="0" t="s">
        <v>729</v>
      </c>
      <c r="I4126" s="0" t="n">
        <v>10807</v>
      </c>
      <c r="J4126" s="0" t="n">
        <v>80561</v>
      </c>
      <c r="K4126" s="0" t="n">
        <v>7896075301080</v>
      </c>
      <c r="L4126" s="0" t="s">
        <v>4398</v>
      </c>
      <c r="N4126" s="0" t="n">
        <v>16</v>
      </c>
      <c r="O4126" s="0" t="n">
        <v>45</v>
      </c>
      <c r="P4126" s="0" t="s">
        <v>2444</v>
      </c>
    </row>
    <row r="4127" customFormat="false" ht="15" hidden="false" customHeight="true" outlineLevel="0" collapsed="false">
      <c r="A4127" s="0" t="n">
        <v>2</v>
      </c>
      <c r="B4127" s="71" t="n">
        <v>46220</v>
      </c>
      <c r="C4127" s="0" t="n">
        <v>11</v>
      </c>
      <c r="D4127" s="0" t="s">
        <v>2471</v>
      </c>
      <c r="E4127" s="0" t="n">
        <v>1676</v>
      </c>
      <c r="F4127" s="0" t="s">
        <v>729</v>
      </c>
      <c r="I4127" s="0" t="n">
        <v>10807</v>
      </c>
      <c r="J4127" s="0" t="n">
        <v>81766</v>
      </c>
      <c r="K4127" s="0" t="n">
        <v>7898979027004</v>
      </c>
      <c r="L4127" s="0" t="s">
        <v>4399</v>
      </c>
      <c r="N4127" s="0" t="n">
        <v>40</v>
      </c>
      <c r="O4127" s="0" t="n">
        <v>120</v>
      </c>
      <c r="P4127" s="0" t="s">
        <v>2444</v>
      </c>
    </row>
    <row r="4128" customFormat="false" ht="15" hidden="false" customHeight="true" outlineLevel="0" collapsed="false">
      <c r="A4128" s="0" t="n">
        <v>2</v>
      </c>
      <c r="B4128" s="71" t="n">
        <v>46220</v>
      </c>
      <c r="C4128" s="0" t="n">
        <v>11</v>
      </c>
      <c r="D4128" s="0" t="s">
        <v>2471</v>
      </c>
      <c r="E4128" s="0" t="n">
        <v>1676</v>
      </c>
      <c r="F4128" s="0" t="s">
        <v>729</v>
      </c>
      <c r="I4128" s="0" t="n">
        <v>10807</v>
      </c>
      <c r="J4128" s="0" t="n">
        <v>81767</v>
      </c>
      <c r="K4128" s="0" t="n">
        <v>7898979027011</v>
      </c>
      <c r="L4128" s="0" t="s">
        <v>4400</v>
      </c>
      <c r="N4128" s="0" t="n">
        <v>50</v>
      </c>
      <c r="O4128" s="0" t="n">
        <v>65</v>
      </c>
      <c r="P4128" s="0" t="s">
        <v>2444</v>
      </c>
    </row>
    <row r="4129" customFormat="false" ht="15" hidden="false" customHeight="true" outlineLevel="0" collapsed="false">
      <c r="A4129" s="0" t="n">
        <v>2</v>
      </c>
      <c r="B4129" s="71" t="n">
        <v>46220</v>
      </c>
      <c r="C4129" s="0" t="n">
        <v>11</v>
      </c>
      <c r="D4129" s="0" t="s">
        <v>2471</v>
      </c>
      <c r="E4129" s="0" t="n">
        <v>1625</v>
      </c>
      <c r="F4129" s="0" t="s">
        <v>270</v>
      </c>
      <c r="I4129" s="0" t="n">
        <v>14728</v>
      </c>
      <c r="J4129" s="0" t="n">
        <v>77455</v>
      </c>
      <c r="K4129" s="0" t="n">
        <v>774567</v>
      </c>
      <c r="L4129" s="0" t="s">
        <v>2624</v>
      </c>
      <c r="N4129" s="0" t="n">
        <v>20.2</v>
      </c>
      <c r="O4129" s="0" t="n">
        <v>664.58</v>
      </c>
      <c r="P4129" s="0" t="s">
        <v>2444</v>
      </c>
    </row>
    <row r="4130" customFormat="false" ht="15" hidden="false" customHeight="true" outlineLevel="0" collapsed="false">
      <c r="A4130" s="0" t="n">
        <v>2</v>
      </c>
      <c r="B4130" s="71" t="n">
        <v>46220</v>
      </c>
      <c r="C4130" s="0" t="n">
        <v>11</v>
      </c>
      <c r="D4130" s="0" t="s">
        <v>2471</v>
      </c>
      <c r="E4130" s="0" t="n">
        <v>1625</v>
      </c>
      <c r="F4130" s="0" t="s">
        <v>270</v>
      </c>
      <c r="I4130" s="0" t="n">
        <v>14728</v>
      </c>
      <c r="J4130" s="0" t="n">
        <v>77455</v>
      </c>
      <c r="K4130" s="0" t="n">
        <v>774567</v>
      </c>
      <c r="L4130" s="0" t="s">
        <v>2624</v>
      </c>
      <c r="N4130" s="0" t="n">
        <v>18.4</v>
      </c>
      <c r="O4130" s="0" t="n">
        <v>605.36</v>
      </c>
      <c r="P4130" s="0" t="s">
        <v>2444</v>
      </c>
    </row>
    <row r="4131" customFormat="false" ht="15" hidden="false" customHeight="true" outlineLevel="0" collapsed="false">
      <c r="A4131" s="0" t="n">
        <v>2</v>
      </c>
      <c r="B4131" s="71" t="n">
        <v>46220</v>
      </c>
      <c r="C4131" s="0" t="n">
        <v>11</v>
      </c>
      <c r="D4131" s="0" t="s">
        <v>2471</v>
      </c>
      <c r="E4131" s="0" t="n">
        <v>1675</v>
      </c>
      <c r="F4131" s="0" t="s">
        <v>289</v>
      </c>
      <c r="I4131" s="0" t="n">
        <v>502367</v>
      </c>
      <c r="J4131" s="0" t="n">
        <v>101986</v>
      </c>
      <c r="K4131" s="0" t="n">
        <v>7896005286524</v>
      </c>
      <c r="L4131" s="0" t="s">
        <v>4401</v>
      </c>
      <c r="N4131" s="0" t="n">
        <v>72</v>
      </c>
      <c r="O4131" s="0" t="n">
        <v>308.88</v>
      </c>
      <c r="P4131" s="0" t="s">
        <v>2444</v>
      </c>
    </row>
    <row r="4132" customFormat="false" ht="15" hidden="false" customHeight="true" outlineLevel="0" collapsed="false">
      <c r="A4132" s="0" t="n">
        <v>2</v>
      </c>
      <c r="B4132" s="71" t="n">
        <v>46220</v>
      </c>
      <c r="C4132" s="0" t="n">
        <v>11</v>
      </c>
      <c r="D4132" s="0" t="s">
        <v>2471</v>
      </c>
      <c r="E4132" s="0" t="n">
        <v>1671</v>
      </c>
      <c r="F4132" s="0" t="s">
        <v>119</v>
      </c>
      <c r="I4132" s="0" t="n">
        <v>580861</v>
      </c>
      <c r="J4132" s="0" t="n">
        <v>23272</v>
      </c>
      <c r="K4132" s="0" t="n">
        <v>7898279790400</v>
      </c>
      <c r="L4132" s="0" t="s">
        <v>4402</v>
      </c>
      <c r="N4132" s="0" t="n">
        <v>12</v>
      </c>
      <c r="O4132" s="0" t="n">
        <v>68.4</v>
      </c>
      <c r="P4132" s="0" t="s">
        <v>2444</v>
      </c>
    </row>
    <row r="4133" customFormat="false" ht="15" hidden="false" customHeight="true" outlineLevel="0" collapsed="false">
      <c r="A4133" s="0" t="n">
        <v>2</v>
      </c>
      <c r="B4133" s="71" t="n">
        <v>46220</v>
      </c>
      <c r="C4133" s="0" t="n">
        <v>11</v>
      </c>
      <c r="D4133" s="0" t="s">
        <v>2471</v>
      </c>
      <c r="E4133" s="0" t="n">
        <v>1671</v>
      </c>
      <c r="F4133" s="0" t="s">
        <v>119</v>
      </c>
      <c r="I4133" s="0" t="n">
        <v>580861</v>
      </c>
      <c r="J4133" s="0" t="n">
        <v>23279</v>
      </c>
      <c r="K4133" s="0" t="n">
        <v>7898279790417</v>
      </c>
      <c r="L4133" s="0" t="s">
        <v>4403</v>
      </c>
      <c r="N4133" s="0" t="n">
        <v>24</v>
      </c>
      <c r="O4133" s="0" t="n">
        <v>136.8</v>
      </c>
      <c r="P4133" s="0" t="s">
        <v>2444</v>
      </c>
    </row>
    <row r="4134" customFormat="false" ht="15" hidden="false" customHeight="true" outlineLevel="0" collapsed="false">
      <c r="A4134" s="0" t="n">
        <v>2</v>
      </c>
      <c r="B4134" s="71" t="n">
        <v>46220</v>
      </c>
      <c r="C4134" s="0" t="n">
        <v>11</v>
      </c>
      <c r="D4134" s="0" t="s">
        <v>2471</v>
      </c>
      <c r="E4134" s="0" t="n">
        <v>1671</v>
      </c>
      <c r="F4134" s="0" t="s">
        <v>119</v>
      </c>
      <c r="I4134" s="0" t="n">
        <v>580861</v>
      </c>
      <c r="J4134" s="0" t="n">
        <v>23280</v>
      </c>
      <c r="K4134" s="0" t="n">
        <v>7898279790394</v>
      </c>
      <c r="L4134" s="0" t="s">
        <v>4404</v>
      </c>
      <c r="N4134" s="0" t="n">
        <v>12</v>
      </c>
      <c r="O4134" s="0" t="n">
        <v>68.4</v>
      </c>
      <c r="P4134" s="0" t="s">
        <v>2444</v>
      </c>
    </row>
    <row r="4135" customFormat="false" ht="15" hidden="false" customHeight="true" outlineLevel="0" collapsed="false">
      <c r="A4135" s="0" t="n">
        <v>2</v>
      </c>
      <c r="B4135" s="71" t="n">
        <v>46220</v>
      </c>
      <c r="C4135" s="0" t="n">
        <v>11</v>
      </c>
      <c r="D4135" s="0" t="s">
        <v>2471</v>
      </c>
      <c r="E4135" s="0" t="n">
        <v>1671</v>
      </c>
      <c r="F4135" s="0" t="s">
        <v>119</v>
      </c>
      <c r="I4135" s="0" t="n">
        <v>580861</v>
      </c>
      <c r="J4135" s="0" t="n">
        <v>23468</v>
      </c>
      <c r="K4135" s="0" t="n">
        <v>7898279792039</v>
      </c>
      <c r="L4135" s="0" t="s">
        <v>4405</v>
      </c>
      <c r="N4135" s="0" t="n">
        <v>12</v>
      </c>
      <c r="O4135" s="0" t="n">
        <v>68.4</v>
      </c>
      <c r="P4135" s="0" t="s">
        <v>2444</v>
      </c>
    </row>
    <row r="4136" customFormat="false" ht="15" hidden="false" customHeight="true" outlineLevel="0" collapsed="false">
      <c r="A4136" s="0" t="n">
        <v>2</v>
      </c>
      <c r="B4136" s="71" t="n">
        <v>46220</v>
      </c>
      <c r="C4136" s="0" t="n">
        <v>11</v>
      </c>
      <c r="D4136" s="0" t="s">
        <v>2471</v>
      </c>
      <c r="E4136" s="0" t="n">
        <v>1671</v>
      </c>
      <c r="F4136" s="0" t="s">
        <v>119</v>
      </c>
      <c r="I4136" s="0" t="n">
        <v>580861</v>
      </c>
      <c r="J4136" s="0" t="n">
        <v>24096</v>
      </c>
      <c r="K4136" s="0" t="n">
        <v>7898279790387</v>
      </c>
      <c r="L4136" s="0" t="s">
        <v>4406</v>
      </c>
      <c r="N4136" s="0" t="n">
        <v>12</v>
      </c>
      <c r="O4136" s="0" t="n">
        <v>68.4</v>
      </c>
      <c r="P4136" s="0" t="s">
        <v>2444</v>
      </c>
    </row>
    <row r="4137" customFormat="false" ht="15" hidden="false" customHeight="true" outlineLevel="0" collapsed="false">
      <c r="A4137" s="0" t="n">
        <v>2</v>
      </c>
      <c r="B4137" s="71" t="n">
        <v>46220</v>
      </c>
      <c r="C4137" s="0" t="n">
        <v>11</v>
      </c>
      <c r="D4137" s="0" t="s">
        <v>2471</v>
      </c>
      <c r="E4137" s="0" t="n">
        <v>1671</v>
      </c>
      <c r="F4137" s="0" t="s">
        <v>119</v>
      </c>
      <c r="I4137" s="0" t="n">
        <v>580861</v>
      </c>
      <c r="J4137" s="0" t="n">
        <v>24328</v>
      </c>
      <c r="K4137" s="0" t="n">
        <v>7896001210097</v>
      </c>
      <c r="L4137" s="0" t="s">
        <v>4407</v>
      </c>
      <c r="N4137" s="0" t="n">
        <v>4</v>
      </c>
      <c r="O4137" s="0" t="n">
        <v>17.64</v>
      </c>
      <c r="P4137" s="0" t="s">
        <v>2444</v>
      </c>
    </row>
    <row r="4138" customFormat="false" ht="15" hidden="false" customHeight="true" outlineLevel="0" collapsed="false">
      <c r="A4138" s="0" t="n">
        <v>2</v>
      </c>
      <c r="B4138" s="71" t="n">
        <v>46220</v>
      </c>
      <c r="C4138" s="0" t="n">
        <v>11</v>
      </c>
      <c r="D4138" s="0" t="s">
        <v>2471</v>
      </c>
      <c r="E4138" s="0" t="n">
        <v>1671</v>
      </c>
      <c r="F4138" s="0" t="s">
        <v>119</v>
      </c>
      <c r="I4138" s="0" t="n">
        <v>580861</v>
      </c>
      <c r="J4138" s="0" t="n">
        <v>24537</v>
      </c>
      <c r="K4138" s="0" t="n">
        <v>7898279791162</v>
      </c>
      <c r="L4138" s="0" t="s">
        <v>4408</v>
      </c>
      <c r="N4138" s="0" t="n">
        <v>12</v>
      </c>
      <c r="O4138" s="0" t="n">
        <v>68.4</v>
      </c>
      <c r="P4138" s="0" t="s">
        <v>2444</v>
      </c>
    </row>
    <row r="4139" customFormat="false" ht="15" hidden="false" customHeight="true" outlineLevel="0" collapsed="false">
      <c r="A4139" s="0" t="n">
        <v>2</v>
      </c>
      <c r="B4139" s="71" t="n">
        <v>46220</v>
      </c>
      <c r="C4139" s="0" t="n">
        <v>11</v>
      </c>
      <c r="D4139" s="0" t="s">
        <v>2471</v>
      </c>
      <c r="E4139" s="0" t="n">
        <v>1671</v>
      </c>
      <c r="F4139" s="0" t="s">
        <v>119</v>
      </c>
      <c r="I4139" s="0" t="n">
        <v>580861</v>
      </c>
      <c r="J4139" s="0" t="n">
        <v>25007</v>
      </c>
      <c r="K4139" s="0" t="n">
        <v>7898279794842</v>
      </c>
      <c r="L4139" s="0" t="s">
        <v>4409</v>
      </c>
      <c r="N4139" s="0" t="n">
        <v>12</v>
      </c>
      <c r="O4139" s="0" t="n">
        <v>68.4</v>
      </c>
      <c r="P4139" s="0" t="s">
        <v>2444</v>
      </c>
    </row>
    <row r="4140" customFormat="false" ht="15" hidden="false" customHeight="true" outlineLevel="0" collapsed="false">
      <c r="A4140" s="0" t="n">
        <v>2</v>
      </c>
      <c r="B4140" s="71" t="n">
        <v>46220</v>
      </c>
      <c r="C4140" s="0" t="n">
        <v>11</v>
      </c>
      <c r="D4140" s="0" t="s">
        <v>2471</v>
      </c>
      <c r="E4140" s="0" t="n">
        <v>1671</v>
      </c>
      <c r="F4140" s="0" t="s">
        <v>119</v>
      </c>
      <c r="I4140" s="0" t="n">
        <v>580861</v>
      </c>
      <c r="J4140" s="0" t="n">
        <v>25323</v>
      </c>
      <c r="K4140" s="0" t="n">
        <v>7898279790776</v>
      </c>
      <c r="L4140" s="0" t="s">
        <v>4410</v>
      </c>
      <c r="N4140" s="0" t="n">
        <v>12</v>
      </c>
      <c r="O4140" s="0" t="n">
        <v>68.4</v>
      </c>
      <c r="P4140" s="0" t="s">
        <v>2444</v>
      </c>
    </row>
    <row r="4141" customFormat="false" ht="15" hidden="false" customHeight="true" outlineLevel="0" collapsed="false">
      <c r="A4141" s="0" t="n">
        <v>2</v>
      </c>
      <c r="B4141" s="71" t="n">
        <v>46220</v>
      </c>
      <c r="C4141" s="0" t="n">
        <v>11</v>
      </c>
      <c r="D4141" s="0" t="s">
        <v>2471</v>
      </c>
      <c r="E4141" s="0" t="n">
        <v>1671</v>
      </c>
      <c r="F4141" s="0" t="s">
        <v>119</v>
      </c>
      <c r="I4141" s="0" t="n">
        <v>580861</v>
      </c>
      <c r="J4141" s="0" t="n">
        <v>25325</v>
      </c>
      <c r="K4141" s="0" t="n">
        <v>7898279792077</v>
      </c>
      <c r="L4141" s="0" t="s">
        <v>4411</v>
      </c>
      <c r="N4141" s="0" t="n">
        <v>12</v>
      </c>
      <c r="O4141" s="0" t="n">
        <v>68.4</v>
      </c>
      <c r="P4141" s="0" t="s">
        <v>2444</v>
      </c>
    </row>
    <row r="4142" customFormat="false" ht="15" hidden="false" customHeight="true" outlineLevel="0" collapsed="false">
      <c r="A4142" s="0" t="n">
        <v>2</v>
      </c>
      <c r="B4142" s="71" t="n">
        <v>46220</v>
      </c>
      <c r="C4142" s="0" t="n">
        <v>11</v>
      </c>
      <c r="D4142" s="0" t="s">
        <v>2471</v>
      </c>
      <c r="E4142" s="0" t="n">
        <v>1671</v>
      </c>
      <c r="F4142" s="0" t="s">
        <v>119</v>
      </c>
      <c r="I4142" s="0" t="n">
        <v>580861</v>
      </c>
      <c r="J4142" s="0" t="n">
        <v>25326</v>
      </c>
      <c r="K4142" s="0" t="n">
        <v>7898591451591</v>
      </c>
      <c r="L4142" s="0" t="s">
        <v>4412</v>
      </c>
      <c r="N4142" s="0" t="n">
        <v>24</v>
      </c>
      <c r="O4142" s="0" t="n">
        <v>136.8</v>
      </c>
      <c r="P4142" s="0" t="s">
        <v>2444</v>
      </c>
    </row>
    <row r="4143" customFormat="false" ht="15" hidden="false" customHeight="true" outlineLevel="0" collapsed="false">
      <c r="A4143" s="0" t="n">
        <v>2</v>
      </c>
      <c r="B4143" s="71" t="n">
        <v>46220</v>
      </c>
      <c r="C4143" s="0" t="n">
        <v>11</v>
      </c>
      <c r="D4143" s="0" t="s">
        <v>2471</v>
      </c>
      <c r="E4143" s="0" t="n">
        <v>1671</v>
      </c>
      <c r="F4143" s="0" t="s">
        <v>119</v>
      </c>
      <c r="I4143" s="0" t="n">
        <v>580861</v>
      </c>
      <c r="J4143" s="0" t="n">
        <v>25434</v>
      </c>
      <c r="K4143" s="0" t="n">
        <v>7898279798307</v>
      </c>
      <c r="L4143" s="0" t="s">
        <v>4413</v>
      </c>
      <c r="N4143" s="0" t="n">
        <v>12</v>
      </c>
      <c r="O4143" s="0" t="n">
        <v>68.4</v>
      </c>
      <c r="P4143" s="0" t="s">
        <v>2444</v>
      </c>
    </row>
    <row r="4144" customFormat="false" ht="15" hidden="false" customHeight="true" outlineLevel="0" collapsed="false">
      <c r="A4144" s="0" t="n">
        <v>2</v>
      </c>
      <c r="B4144" s="71" t="n">
        <v>46220</v>
      </c>
      <c r="C4144" s="0" t="n">
        <v>11</v>
      </c>
      <c r="D4144" s="0" t="s">
        <v>2471</v>
      </c>
      <c r="E4144" s="0" t="n">
        <v>1671</v>
      </c>
      <c r="F4144" s="0" t="s">
        <v>119</v>
      </c>
      <c r="I4144" s="0" t="n">
        <v>580861</v>
      </c>
      <c r="J4144" s="0" t="n">
        <v>25436</v>
      </c>
      <c r="K4144" s="0" t="n">
        <v>7898279795061</v>
      </c>
      <c r="L4144" s="0" t="s">
        <v>4414</v>
      </c>
      <c r="N4144" s="0" t="n">
        <v>12</v>
      </c>
      <c r="O4144" s="0" t="n">
        <v>68.4</v>
      </c>
      <c r="P4144" s="0" t="s">
        <v>2444</v>
      </c>
    </row>
    <row r="4145" customFormat="false" ht="15" hidden="false" customHeight="true" outlineLevel="0" collapsed="false">
      <c r="A4145" s="0" t="n">
        <v>2</v>
      </c>
      <c r="B4145" s="71" t="n">
        <v>46220</v>
      </c>
      <c r="C4145" s="0" t="n">
        <v>11</v>
      </c>
      <c r="D4145" s="0" t="s">
        <v>2471</v>
      </c>
      <c r="E4145" s="0" t="n">
        <v>1671</v>
      </c>
      <c r="F4145" s="0" t="s">
        <v>119</v>
      </c>
      <c r="I4145" s="0" t="n">
        <v>580861</v>
      </c>
      <c r="J4145" s="0" t="n">
        <v>27356</v>
      </c>
      <c r="K4145" s="0" t="n">
        <v>7896001210103</v>
      </c>
      <c r="L4145" s="0" t="s">
        <v>4415</v>
      </c>
      <c r="N4145" s="0" t="n">
        <v>4</v>
      </c>
      <c r="O4145" s="0" t="n">
        <v>35.32</v>
      </c>
      <c r="P4145" s="0" t="s">
        <v>2444</v>
      </c>
    </row>
    <row r="4146" customFormat="false" ht="15" hidden="false" customHeight="true" outlineLevel="0" collapsed="false">
      <c r="A4146" s="0" t="n">
        <v>2</v>
      </c>
      <c r="B4146" s="71" t="n">
        <v>46220</v>
      </c>
      <c r="C4146" s="0" t="n">
        <v>11</v>
      </c>
      <c r="D4146" s="0" t="s">
        <v>2471</v>
      </c>
      <c r="E4146" s="0" t="n">
        <v>1671</v>
      </c>
      <c r="F4146" s="0" t="s">
        <v>119</v>
      </c>
      <c r="I4146" s="0" t="n">
        <v>580861</v>
      </c>
      <c r="J4146" s="0" t="n">
        <v>32864</v>
      </c>
      <c r="K4146" s="0" t="n">
        <v>7908228801634</v>
      </c>
      <c r="L4146" s="0" t="s">
        <v>4416</v>
      </c>
      <c r="N4146" s="0" t="n">
        <v>24</v>
      </c>
      <c r="O4146" s="0" t="n">
        <v>39.36</v>
      </c>
      <c r="P4146" s="0" t="s">
        <v>2444</v>
      </c>
    </row>
    <row r="4147" customFormat="false" ht="15" hidden="false" customHeight="true" outlineLevel="0" collapsed="false">
      <c r="A4147" s="0" t="n">
        <v>2</v>
      </c>
      <c r="B4147" s="71" t="n">
        <v>46220</v>
      </c>
      <c r="C4147" s="0" t="n">
        <v>11</v>
      </c>
      <c r="D4147" s="0" t="s">
        <v>2471</v>
      </c>
      <c r="E4147" s="0" t="n">
        <v>1671</v>
      </c>
      <c r="F4147" s="0" t="s">
        <v>119</v>
      </c>
      <c r="I4147" s="0" t="n">
        <v>580861</v>
      </c>
      <c r="J4147" s="0" t="n">
        <v>32865</v>
      </c>
      <c r="K4147" s="0" t="n">
        <v>7908228801672</v>
      </c>
      <c r="L4147" s="0" t="s">
        <v>4417</v>
      </c>
      <c r="N4147" s="0" t="n">
        <v>24</v>
      </c>
      <c r="O4147" s="0" t="n">
        <v>39.36</v>
      </c>
      <c r="P4147" s="0" t="s">
        <v>2444</v>
      </c>
    </row>
    <row r="4148" customFormat="false" ht="15" hidden="false" customHeight="true" outlineLevel="0" collapsed="false">
      <c r="A4148" s="0" t="n">
        <v>2</v>
      </c>
      <c r="B4148" s="71" t="n">
        <v>46220</v>
      </c>
      <c r="C4148" s="0" t="n">
        <v>11</v>
      </c>
      <c r="D4148" s="0" t="s">
        <v>2471</v>
      </c>
      <c r="E4148" s="0" t="n">
        <v>1671</v>
      </c>
      <c r="F4148" s="0" t="s">
        <v>119</v>
      </c>
      <c r="I4148" s="0" t="n">
        <v>580861</v>
      </c>
      <c r="J4148" s="0" t="n">
        <v>34086</v>
      </c>
      <c r="K4148" s="0" t="n">
        <v>7908228802068</v>
      </c>
      <c r="L4148" s="0" t="s">
        <v>4418</v>
      </c>
      <c r="N4148" s="0" t="n">
        <v>24</v>
      </c>
      <c r="O4148" s="0" t="n">
        <v>39.36</v>
      </c>
      <c r="P4148" s="0" t="s">
        <v>2444</v>
      </c>
    </row>
    <row r="4149" customFormat="false" ht="15" hidden="false" customHeight="true" outlineLevel="0" collapsed="false">
      <c r="A4149" s="0" t="n">
        <v>2</v>
      </c>
      <c r="B4149" s="71" t="n">
        <v>46220</v>
      </c>
      <c r="C4149" s="0" t="n">
        <v>11</v>
      </c>
      <c r="D4149" s="0" t="s">
        <v>2471</v>
      </c>
      <c r="E4149" s="0" t="n">
        <v>1671</v>
      </c>
      <c r="F4149" s="0" t="s">
        <v>119</v>
      </c>
      <c r="I4149" s="0" t="n">
        <v>580861</v>
      </c>
      <c r="J4149" s="0" t="n">
        <v>34477</v>
      </c>
      <c r="K4149" s="0" t="n">
        <v>7898279791179</v>
      </c>
      <c r="L4149" s="0" t="s">
        <v>4419</v>
      </c>
      <c r="N4149" s="0" t="n">
        <v>12</v>
      </c>
      <c r="O4149" s="0" t="n">
        <v>68.4</v>
      </c>
      <c r="P4149" s="0" t="s">
        <v>2444</v>
      </c>
    </row>
    <row r="4150" customFormat="false" ht="15" hidden="false" customHeight="true" outlineLevel="0" collapsed="false">
      <c r="A4150" s="0" t="n">
        <v>2</v>
      </c>
      <c r="B4150" s="71" t="n">
        <v>46220</v>
      </c>
      <c r="C4150" s="0" t="n">
        <v>11</v>
      </c>
      <c r="D4150" s="0" t="s">
        <v>2471</v>
      </c>
      <c r="E4150" s="0" t="n">
        <v>1671</v>
      </c>
      <c r="F4150" s="0" t="s">
        <v>119</v>
      </c>
      <c r="I4150" s="0" t="n">
        <v>580861</v>
      </c>
      <c r="J4150" s="0" t="n">
        <v>34647</v>
      </c>
      <c r="K4150" s="0" t="n">
        <v>7898591459214</v>
      </c>
      <c r="L4150" s="0" t="s">
        <v>4420</v>
      </c>
      <c r="N4150" s="0" t="n">
        <v>12</v>
      </c>
      <c r="O4150" s="0" t="n">
        <v>68.4</v>
      </c>
      <c r="P4150" s="0" t="s">
        <v>2444</v>
      </c>
    </row>
    <row r="4151" customFormat="false" ht="15" hidden="false" customHeight="true" outlineLevel="0" collapsed="false">
      <c r="A4151" s="0" t="n">
        <v>2</v>
      </c>
      <c r="B4151" s="71" t="n">
        <v>46220</v>
      </c>
      <c r="C4151" s="0" t="n">
        <v>11</v>
      </c>
      <c r="D4151" s="0" t="s">
        <v>2471</v>
      </c>
      <c r="E4151" s="0" t="n">
        <v>1671</v>
      </c>
      <c r="F4151" s="0" t="s">
        <v>119</v>
      </c>
      <c r="I4151" s="0" t="n">
        <v>580861</v>
      </c>
      <c r="J4151" s="0" t="n">
        <v>36738</v>
      </c>
      <c r="K4151" s="0" t="n">
        <v>7899970401183</v>
      </c>
      <c r="L4151" s="0" t="s">
        <v>4421</v>
      </c>
      <c r="N4151" s="0" t="n">
        <v>15</v>
      </c>
      <c r="O4151" s="0" t="n">
        <v>23.1</v>
      </c>
      <c r="P4151" s="0" t="s">
        <v>2444</v>
      </c>
    </row>
    <row r="4152" customFormat="false" ht="15" hidden="false" customHeight="true" outlineLevel="0" collapsed="false">
      <c r="A4152" s="0" t="n">
        <v>2</v>
      </c>
      <c r="B4152" s="71" t="n">
        <v>46220</v>
      </c>
      <c r="C4152" s="0" t="n">
        <v>11</v>
      </c>
      <c r="D4152" s="0" t="s">
        <v>2471</v>
      </c>
      <c r="E4152" s="0" t="n">
        <v>1671</v>
      </c>
      <c r="F4152" s="0" t="s">
        <v>119</v>
      </c>
      <c r="I4152" s="0" t="n">
        <v>580861</v>
      </c>
      <c r="J4152" s="0" t="n">
        <v>39269</v>
      </c>
      <c r="K4152" s="0" t="n">
        <v>7896024726582</v>
      </c>
      <c r="L4152" s="0" t="s">
        <v>4422</v>
      </c>
      <c r="N4152" s="0" t="n">
        <v>20</v>
      </c>
      <c r="O4152" s="0" t="n">
        <v>63.4</v>
      </c>
      <c r="P4152" s="0" t="s">
        <v>2444</v>
      </c>
    </row>
    <row r="4153" customFormat="false" ht="15" hidden="false" customHeight="true" outlineLevel="0" collapsed="false">
      <c r="A4153" s="0" t="n">
        <v>2</v>
      </c>
      <c r="B4153" s="71" t="n">
        <v>46220</v>
      </c>
      <c r="C4153" s="0" t="n">
        <v>11</v>
      </c>
      <c r="D4153" s="0" t="s">
        <v>2471</v>
      </c>
      <c r="E4153" s="0" t="n">
        <v>1671</v>
      </c>
      <c r="F4153" s="0" t="s">
        <v>119</v>
      </c>
      <c r="I4153" s="0" t="n">
        <v>580861</v>
      </c>
      <c r="J4153" s="0" t="n">
        <v>39284</v>
      </c>
      <c r="K4153" s="0" t="n">
        <v>7896024726827</v>
      </c>
      <c r="L4153" s="0" t="s">
        <v>4423</v>
      </c>
      <c r="N4153" s="0" t="n">
        <v>20</v>
      </c>
      <c r="O4153" s="0" t="n">
        <v>63.4</v>
      </c>
      <c r="P4153" s="0" t="s">
        <v>2444</v>
      </c>
    </row>
    <row r="4154" customFormat="false" ht="15" hidden="false" customHeight="true" outlineLevel="0" collapsed="false">
      <c r="A4154" s="0" t="n">
        <v>2</v>
      </c>
      <c r="B4154" s="71" t="n">
        <v>46220</v>
      </c>
      <c r="C4154" s="0" t="n">
        <v>11</v>
      </c>
      <c r="D4154" s="0" t="s">
        <v>2471</v>
      </c>
      <c r="E4154" s="0" t="n">
        <v>1671</v>
      </c>
      <c r="F4154" s="0" t="s">
        <v>119</v>
      </c>
      <c r="I4154" s="0" t="n">
        <v>580861</v>
      </c>
      <c r="J4154" s="0" t="n">
        <v>39286</v>
      </c>
      <c r="K4154" s="0" t="n">
        <v>7896024726667</v>
      </c>
      <c r="L4154" s="0" t="s">
        <v>4424</v>
      </c>
      <c r="N4154" s="0" t="n">
        <v>20</v>
      </c>
      <c r="O4154" s="0" t="n">
        <v>63.4</v>
      </c>
      <c r="P4154" s="0" t="s">
        <v>2444</v>
      </c>
    </row>
    <row r="4155" customFormat="false" ht="15" hidden="false" customHeight="true" outlineLevel="0" collapsed="false">
      <c r="A4155" s="0" t="n">
        <v>2</v>
      </c>
      <c r="B4155" s="71" t="n">
        <v>46220</v>
      </c>
      <c r="C4155" s="0" t="n">
        <v>11</v>
      </c>
      <c r="D4155" s="0" t="s">
        <v>2471</v>
      </c>
      <c r="E4155" s="0" t="n">
        <v>1671</v>
      </c>
      <c r="F4155" s="0" t="s">
        <v>119</v>
      </c>
      <c r="I4155" s="0" t="n">
        <v>580861</v>
      </c>
      <c r="J4155" s="0" t="n">
        <v>40579</v>
      </c>
      <c r="K4155" s="0" t="n">
        <v>7896264670553</v>
      </c>
      <c r="L4155" s="0" t="s">
        <v>4425</v>
      </c>
      <c r="N4155" s="0" t="n">
        <v>24</v>
      </c>
      <c r="O4155" s="0" t="n">
        <v>113.04</v>
      </c>
      <c r="P4155" s="0" t="s">
        <v>2444</v>
      </c>
    </row>
    <row r="4156" customFormat="false" ht="15" hidden="false" customHeight="true" outlineLevel="0" collapsed="false">
      <c r="A4156" s="0" t="n">
        <v>2</v>
      </c>
      <c r="B4156" s="71" t="n">
        <v>46220</v>
      </c>
      <c r="C4156" s="0" t="n">
        <v>11</v>
      </c>
      <c r="D4156" s="0" t="s">
        <v>2471</v>
      </c>
      <c r="E4156" s="0" t="n">
        <v>1671</v>
      </c>
      <c r="F4156" s="0" t="s">
        <v>119</v>
      </c>
      <c r="I4156" s="0" t="n">
        <v>580861</v>
      </c>
      <c r="J4156" s="0" t="n">
        <v>41772</v>
      </c>
      <c r="K4156" s="0" t="n">
        <v>7896024726742</v>
      </c>
      <c r="L4156" s="0" t="s">
        <v>4426</v>
      </c>
      <c r="N4156" s="0" t="n">
        <v>20</v>
      </c>
      <c r="O4156" s="0" t="n">
        <v>63.4</v>
      </c>
      <c r="P4156" s="0" t="s">
        <v>2444</v>
      </c>
    </row>
    <row r="4157" customFormat="false" ht="15" hidden="false" customHeight="true" outlineLevel="0" collapsed="false">
      <c r="A4157" s="0" t="n">
        <v>2</v>
      </c>
      <c r="B4157" s="71" t="n">
        <v>46220</v>
      </c>
      <c r="C4157" s="0" t="n">
        <v>11</v>
      </c>
      <c r="D4157" s="0" t="s">
        <v>2471</v>
      </c>
      <c r="E4157" s="0" t="n">
        <v>1671</v>
      </c>
      <c r="F4157" s="0" t="s">
        <v>119</v>
      </c>
      <c r="I4157" s="0" t="n">
        <v>580861</v>
      </c>
      <c r="J4157" s="0" t="n">
        <v>47091</v>
      </c>
      <c r="K4157" s="0" t="n">
        <v>7896264670690</v>
      </c>
      <c r="L4157" s="0" t="s">
        <v>4427</v>
      </c>
      <c r="N4157" s="0" t="n">
        <v>30</v>
      </c>
      <c r="O4157" s="0" t="n">
        <v>42</v>
      </c>
      <c r="P4157" s="0" t="s">
        <v>2444</v>
      </c>
    </row>
    <row r="4158" customFormat="false" ht="15" hidden="false" customHeight="true" outlineLevel="0" collapsed="false">
      <c r="A4158" s="0" t="n">
        <v>2</v>
      </c>
      <c r="B4158" s="71" t="n">
        <v>46220</v>
      </c>
      <c r="C4158" s="0" t="n">
        <v>11</v>
      </c>
      <c r="D4158" s="0" t="s">
        <v>2471</v>
      </c>
      <c r="E4158" s="0" t="n">
        <v>1671</v>
      </c>
      <c r="F4158" s="0" t="s">
        <v>119</v>
      </c>
      <c r="I4158" s="0" t="n">
        <v>580861</v>
      </c>
      <c r="J4158" s="0" t="n">
        <v>47092</v>
      </c>
      <c r="K4158" s="0" t="n">
        <v>7896264670720</v>
      </c>
      <c r="L4158" s="0" t="s">
        <v>4428</v>
      </c>
      <c r="N4158" s="0" t="n">
        <v>30</v>
      </c>
      <c r="O4158" s="0" t="n">
        <v>42</v>
      </c>
      <c r="P4158" s="0" t="s">
        <v>2444</v>
      </c>
    </row>
    <row r="4159" customFormat="false" ht="15" hidden="false" customHeight="true" outlineLevel="0" collapsed="false">
      <c r="A4159" s="0" t="n">
        <v>2</v>
      </c>
      <c r="B4159" s="71" t="n">
        <v>46220</v>
      </c>
      <c r="C4159" s="0" t="n">
        <v>11</v>
      </c>
      <c r="D4159" s="0" t="s">
        <v>2471</v>
      </c>
      <c r="E4159" s="0" t="n">
        <v>1671</v>
      </c>
      <c r="F4159" s="0" t="s">
        <v>119</v>
      </c>
      <c r="I4159" s="0" t="n">
        <v>580861</v>
      </c>
      <c r="J4159" s="0" t="n">
        <v>48557</v>
      </c>
      <c r="K4159" s="0" t="n">
        <v>7896264670713</v>
      </c>
      <c r="L4159" s="0" t="s">
        <v>4429</v>
      </c>
      <c r="N4159" s="0" t="n">
        <v>30</v>
      </c>
      <c r="O4159" s="0" t="n">
        <v>42</v>
      </c>
      <c r="P4159" s="0" t="s">
        <v>2444</v>
      </c>
    </row>
    <row r="4160" customFormat="false" ht="15" hidden="false" customHeight="true" outlineLevel="0" collapsed="false">
      <c r="A4160" s="0" t="n">
        <v>2</v>
      </c>
      <c r="B4160" s="71" t="n">
        <v>46220</v>
      </c>
      <c r="C4160" s="0" t="n">
        <v>11</v>
      </c>
      <c r="D4160" s="0" t="s">
        <v>2471</v>
      </c>
      <c r="E4160" s="0" t="n">
        <v>1671</v>
      </c>
      <c r="F4160" s="0" t="s">
        <v>119</v>
      </c>
      <c r="I4160" s="0" t="n">
        <v>580861</v>
      </c>
      <c r="J4160" s="0" t="n">
        <v>51147</v>
      </c>
      <c r="K4160" s="0" t="n">
        <v>7896264670706</v>
      </c>
      <c r="L4160" s="0" t="s">
        <v>4430</v>
      </c>
      <c r="N4160" s="0" t="n">
        <v>30</v>
      </c>
      <c r="O4160" s="0" t="n">
        <v>42</v>
      </c>
      <c r="P4160" s="0" t="s">
        <v>2444</v>
      </c>
    </row>
    <row r="4161" customFormat="false" ht="15" hidden="false" customHeight="true" outlineLevel="0" collapsed="false">
      <c r="A4161" s="0" t="n">
        <v>2</v>
      </c>
      <c r="B4161" s="71" t="n">
        <v>46220</v>
      </c>
      <c r="C4161" s="0" t="n">
        <v>11</v>
      </c>
      <c r="D4161" s="0" t="s">
        <v>2471</v>
      </c>
      <c r="E4161" s="0" t="n">
        <v>1671</v>
      </c>
      <c r="F4161" s="0" t="s">
        <v>119</v>
      </c>
      <c r="I4161" s="0" t="n">
        <v>580861</v>
      </c>
      <c r="J4161" s="0" t="n">
        <v>54219</v>
      </c>
      <c r="K4161" s="0" t="n">
        <v>7899970402463</v>
      </c>
      <c r="L4161" s="0" t="s">
        <v>4431</v>
      </c>
      <c r="N4161" s="0" t="n">
        <v>6</v>
      </c>
      <c r="O4161" s="0" t="n">
        <v>17.1</v>
      </c>
      <c r="P4161" s="0" t="s">
        <v>2444</v>
      </c>
    </row>
    <row r="4162" customFormat="false" ht="15" hidden="false" customHeight="true" outlineLevel="0" collapsed="false">
      <c r="A4162" s="0" t="n">
        <v>2</v>
      </c>
      <c r="B4162" s="71" t="n">
        <v>46220</v>
      </c>
      <c r="C4162" s="0" t="n">
        <v>11</v>
      </c>
      <c r="D4162" s="0" t="s">
        <v>2471</v>
      </c>
      <c r="E4162" s="0" t="n">
        <v>1671</v>
      </c>
      <c r="F4162" s="0" t="s">
        <v>119</v>
      </c>
      <c r="I4162" s="0" t="n">
        <v>580861</v>
      </c>
      <c r="J4162" s="0" t="n">
        <v>60537</v>
      </c>
      <c r="K4162" s="0" t="n">
        <v>7908228804925</v>
      </c>
      <c r="L4162" s="0" t="s">
        <v>4432</v>
      </c>
      <c r="N4162" s="0" t="n">
        <v>24</v>
      </c>
      <c r="O4162" s="0" t="n">
        <v>39.36</v>
      </c>
      <c r="P4162" s="0" t="s">
        <v>2444</v>
      </c>
    </row>
    <row r="4163" customFormat="false" ht="15" hidden="false" customHeight="true" outlineLevel="0" collapsed="false">
      <c r="A4163" s="0" t="n">
        <v>2</v>
      </c>
      <c r="B4163" s="71" t="n">
        <v>46220</v>
      </c>
      <c r="C4163" s="0" t="n">
        <v>11</v>
      </c>
      <c r="D4163" s="0" t="s">
        <v>2471</v>
      </c>
      <c r="E4163" s="0" t="n">
        <v>1671</v>
      </c>
      <c r="F4163" s="0" t="s">
        <v>119</v>
      </c>
      <c r="I4163" s="0" t="n">
        <v>580861</v>
      </c>
      <c r="J4163" s="0" t="n">
        <v>60538</v>
      </c>
      <c r="K4163" s="0" t="n">
        <v>7908228804826</v>
      </c>
      <c r="L4163" s="0" t="s">
        <v>4433</v>
      </c>
      <c r="N4163" s="0" t="n">
        <v>24</v>
      </c>
      <c r="O4163" s="0" t="n">
        <v>39.36</v>
      </c>
      <c r="P4163" s="0" t="s">
        <v>2444</v>
      </c>
    </row>
    <row r="4164" customFormat="false" ht="15" hidden="false" customHeight="true" outlineLevel="0" collapsed="false">
      <c r="A4164" s="0" t="n">
        <v>2</v>
      </c>
      <c r="B4164" s="71" t="n">
        <v>46220</v>
      </c>
      <c r="C4164" s="0" t="n">
        <v>11</v>
      </c>
      <c r="D4164" s="0" t="s">
        <v>2471</v>
      </c>
      <c r="E4164" s="0" t="n">
        <v>1671</v>
      </c>
      <c r="F4164" s="0" t="s">
        <v>119</v>
      </c>
      <c r="I4164" s="0" t="n">
        <v>580861</v>
      </c>
      <c r="J4164" s="0" t="n">
        <v>62663</v>
      </c>
      <c r="K4164" s="0" t="n">
        <v>7896264671055</v>
      </c>
      <c r="L4164" s="0" t="s">
        <v>4434</v>
      </c>
      <c r="N4164" s="0" t="n">
        <v>24</v>
      </c>
      <c r="O4164" s="0" t="n">
        <v>113.04</v>
      </c>
      <c r="P4164" s="0" t="s">
        <v>2444</v>
      </c>
    </row>
    <row r="4165" customFormat="false" ht="15" hidden="false" customHeight="true" outlineLevel="0" collapsed="false">
      <c r="A4165" s="0" t="n">
        <v>2</v>
      </c>
      <c r="B4165" s="71" t="n">
        <v>46220</v>
      </c>
      <c r="C4165" s="0" t="n">
        <v>11</v>
      </c>
      <c r="D4165" s="0" t="s">
        <v>2471</v>
      </c>
      <c r="E4165" s="0" t="n">
        <v>1671</v>
      </c>
      <c r="F4165" s="0" t="s">
        <v>119</v>
      </c>
      <c r="I4165" s="0" t="n">
        <v>580861</v>
      </c>
      <c r="J4165" s="0" t="n">
        <v>63440</v>
      </c>
      <c r="K4165" s="0" t="n">
        <v>7896001282391</v>
      </c>
      <c r="L4165" s="0" t="s">
        <v>4435</v>
      </c>
      <c r="N4165" s="0" t="n">
        <v>4</v>
      </c>
      <c r="O4165" s="0" t="n">
        <v>21.36</v>
      </c>
      <c r="P4165" s="0" t="s">
        <v>2444</v>
      </c>
    </row>
    <row r="4166" customFormat="false" ht="15" hidden="false" customHeight="true" outlineLevel="0" collapsed="false">
      <c r="A4166" s="0" t="n">
        <v>2</v>
      </c>
      <c r="B4166" s="71" t="n">
        <v>46220</v>
      </c>
      <c r="C4166" s="0" t="n">
        <v>11</v>
      </c>
      <c r="D4166" s="0" t="s">
        <v>2471</v>
      </c>
      <c r="E4166" s="0" t="n">
        <v>1671</v>
      </c>
      <c r="F4166" s="0" t="s">
        <v>119</v>
      </c>
      <c r="I4166" s="0" t="n">
        <v>580861</v>
      </c>
      <c r="J4166" s="0" t="n">
        <v>63442</v>
      </c>
      <c r="K4166" s="0" t="n">
        <v>7896001282407</v>
      </c>
      <c r="L4166" s="0" t="s">
        <v>4436</v>
      </c>
      <c r="N4166" s="0" t="n">
        <v>4</v>
      </c>
      <c r="O4166" s="0" t="n">
        <v>23.08</v>
      </c>
      <c r="P4166" s="0" t="s">
        <v>2444</v>
      </c>
    </row>
    <row r="4167" customFormat="false" ht="15" hidden="false" customHeight="true" outlineLevel="0" collapsed="false">
      <c r="A4167" s="0" t="n">
        <v>2</v>
      </c>
      <c r="B4167" s="71" t="n">
        <v>46220</v>
      </c>
      <c r="C4167" s="0" t="n">
        <v>11</v>
      </c>
      <c r="D4167" s="0" t="s">
        <v>2471</v>
      </c>
      <c r="E4167" s="0" t="n">
        <v>1671</v>
      </c>
      <c r="F4167" s="0" t="s">
        <v>119</v>
      </c>
      <c r="I4167" s="0" t="n">
        <v>580861</v>
      </c>
      <c r="J4167" s="0" t="n">
        <v>75107</v>
      </c>
      <c r="K4167" s="0" t="n">
        <v>7908228806219</v>
      </c>
      <c r="L4167" s="0" t="s">
        <v>4437</v>
      </c>
      <c r="N4167" s="0" t="n">
        <v>12</v>
      </c>
      <c r="O4167" s="0" t="n">
        <v>68.4</v>
      </c>
      <c r="P4167" s="0" t="s">
        <v>2444</v>
      </c>
    </row>
    <row r="4168" customFormat="false" ht="15" hidden="false" customHeight="true" outlineLevel="0" collapsed="false">
      <c r="A4168" s="0" t="n">
        <v>2</v>
      </c>
      <c r="B4168" s="71" t="n">
        <v>46220</v>
      </c>
      <c r="C4168" s="0" t="n">
        <v>11</v>
      </c>
      <c r="D4168" s="0" t="s">
        <v>2471</v>
      </c>
      <c r="E4168" s="0" t="n">
        <v>1671</v>
      </c>
      <c r="F4168" s="0" t="s">
        <v>119</v>
      </c>
      <c r="I4168" s="0" t="n">
        <v>580861</v>
      </c>
      <c r="J4168" s="0" t="n">
        <v>75908</v>
      </c>
      <c r="K4168" s="0" t="n">
        <v>7908228807285</v>
      </c>
      <c r="L4168" s="0" t="s">
        <v>4438</v>
      </c>
      <c r="N4168" s="0" t="n">
        <v>12</v>
      </c>
      <c r="O4168" s="0" t="n">
        <v>68.4</v>
      </c>
      <c r="P4168" s="0" t="s">
        <v>2444</v>
      </c>
    </row>
    <row r="4169" customFormat="false" ht="15" hidden="false" customHeight="true" outlineLevel="0" collapsed="false">
      <c r="A4169" s="0" t="n">
        <v>2</v>
      </c>
      <c r="B4169" s="71" t="n">
        <v>46220</v>
      </c>
      <c r="C4169" s="0" t="n">
        <v>11</v>
      </c>
      <c r="D4169" s="0" t="s">
        <v>2471</v>
      </c>
      <c r="E4169" s="0" t="n">
        <v>1671</v>
      </c>
      <c r="F4169" s="0" t="s">
        <v>119</v>
      </c>
      <c r="I4169" s="0" t="n">
        <v>580861</v>
      </c>
      <c r="J4169" s="0" t="n">
        <v>81773</v>
      </c>
      <c r="K4169" s="0" t="n">
        <v>7899970404153</v>
      </c>
      <c r="L4169" s="0" t="s">
        <v>4439</v>
      </c>
      <c r="N4169" s="0" t="n">
        <v>6</v>
      </c>
      <c r="O4169" s="0" t="n">
        <v>17.1</v>
      </c>
      <c r="P4169" s="0" t="s">
        <v>2444</v>
      </c>
    </row>
    <row r="4170" customFormat="false" ht="15" hidden="false" customHeight="true" outlineLevel="0" collapsed="false">
      <c r="A4170" s="0" t="n">
        <v>2</v>
      </c>
      <c r="B4170" s="71" t="n">
        <v>46220</v>
      </c>
      <c r="C4170" s="0" t="n">
        <v>11</v>
      </c>
      <c r="D4170" s="0" t="s">
        <v>2471</v>
      </c>
      <c r="E4170" s="0" t="n">
        <v>1671</v>
      </c>
      <c r="F4170" s="0" t="s">
        <v>119</v>
      </c>
      <c r="I4170" s="0" t="n">
        <v>580861</v>
      </c>
      <c r="J4170" s="0" t="n">
        <v>81774</v>
      </c>
      <c r="K4170" s="0" t="n">
        <v>7896001282421</v>
      </c>
      <c r="L4170" s="0" t="s">
        <v>4440</v>
      </c>
      <c r="N4170" s="0" t="n">
        <v>4</v>
      </c>
      <c r="O4170" s="0" t="n">
        <v>28.6</v>
      </c>
      <c r="P4170" s="0" t="s">
        <v>2444</v>
      </c>
    </row>
    <row r="4171" customFormat="false" ht="15" hidden="false" customHeight="true" outlineLevel="0" collapsed="false">
      <c r="A4171" s="0" t="n">
        <v>2</v>
      </c>
      <c r="B4171" s="71" t="n">
        <v>46220</v>
      </c>
      <c r="C4171" s="0" t="n">
        <v>11</v>
      </c>
      <c r="D4171" s="0" t="s">
        <v>2471</v>
      </c>
      <c r="E4171" s="0" t="n">
        <v>1671</v>
      </c>
      <c r="F4171" s="0" t="s">
        <v>119</v>
      </c>
      <c r="I4171" s="0" t="n">
        <v>580861</v>
      </c>
      <c r="J4171" s="0" t="n">
        <v>81775</v>
      </c>
      <c r="K4171" s="0" t="n">
        <v>7896001284043</v>
      </c>
      <c r="L4171" s="0" t="s">
        <v>4441</v>
      </c>
      <c r="N4171" s="0" t="n">
        <v>6</v>
      </c>
      <c r="O4171" s="0" t="n">
        <v>25.74</v>
      </c>
      <c r="P4171" s="0" t="s">
        <v>2444</v>
      </c>
    </row>
    <row r="4172" customFormat="false" ht="15" hidden="false" customHeight="true" outlineLevel="0" collapsed="false">
      <c r="A4172" s="0" t="n">
        <v>2</v>
      </c>
      <c r="B4172" s="71" t="n">
        <v>46220</v>
      </c>
      <c r="C4172" s="0" t="n">
        <v>11</v>
      </c>
      <c r="D4172" s="0" t="s">
        <v>2471</v>
      </c>
      <c r="E4172" s="0" t="n">
        <v>1671</v>
      </c>
      <c r="F4172" s="0" t="s">
        <v>119</v>
      </c>
      <c r="I4172" s="0" t="n">
        <v>580864</v>
      </c>
      <c r="J4172" s="0" t="n">
        <v>104640</v>
      </c>
      <c r="K4172" s="0" t="n">
        <v>7791969016029</v>
      </c>
      <c r="L4172" s="0" t="s">
        <v>4442</v>
      </c>
      <c r="N4172" s="0" t="n">
        <v>12</v>
      </c>
      <c r="O4172" s="0" t="n">
        <v>155.64</v>
      </c>
      <c r="P4172" s="0" t="s">
        <v>2444</v>
      </c>
    </row>
    <row r="4173" customFormat="false" ht="15" hidden="false" customHeight="true" outlineLevel="0" collapsed="false">
      <c r="A4173" s="0" t="n">
        <v>2</v>
      </c>
      <c r="B4173" s="71" t="n">
        <v>46220</v>
      </c>
      <c r="C4173" s="0" t="n">
        <v>11</v>
      </c>
      <c r="D4173" s="0" t="s">
        <v>2471</v>
      </c>
      <c r="E4173" s="0" t="n">
        <v>1671</v>
      </c>
      <c r="F4173" s="0" t="s">
        <v>119</v>
      </c>
      <c r="I4173" s="0" t="n">
        <v>580864</v>
      </c>
      <c r="J4173" s="0" t="n">
        <v>11646</v>
      </c>
      <c r="K4173" s="0" t="n">
        <v>4005808257553</v>
      </c>
      <c r="L4173" s="0" t="s">
        <v>4443</v>
      </c>
      <c r="N4173" s="0" t="n">
        <v>3</v>
      </c>
      <c r="O4173" s="0" t="n">
        <v>23.91</v>
      </c>
      <c r="P4173" s="0" t="s">
        <v>2444</v>
      </c>
    </row>
    <row r="4174" customFormat="false" ht="15" hidden="false" customHeight="true" outlineLevel="0" collapsed="false">
      <c r="A4174" s="0" t="n">
        <v>2</v>
      </c>
      <c r="B4174" s="71" t="n">
        <v>46220</v>
      </c>
      <c r="C4174" s="0" t="n">
        <v>11</v>
      </c>
      <c r="D4174" s="0" t="s">
        <v>2471</v>
      </c>
      <c r="E4174" s="0" t="n">
        <v>1671</v>
      </c>
      <c r="F4174" s="0" t="s">
        <v>119</v>
      </c>
      <c r="I4174" s="0" t="n">
        <v>580864</v>
      </c>
      <c r="J4174" s="0" t="n">
        <v>13399</v>
      </c>
      <c r="K4174" s="0" t="n">
        <v>4005808837311</v>
      </c>
      <c r="L4174" s="0" t="s">
        <v>4444</v>
      </c>
      <c r="N4174" s="0" t="n">
        <v>12</v>
      </c>
      <c r="O4174" s="0" t="n">
        <v>155.64</v>
      </c>
      <c r="P4174" s="0" t="s">
        <v>2444</v>
      </c>
    </row>
    <row r="4175" customFormat="false" ht="15" hidden="false" customHeight="true" outlineLevel="0" collapsed="false">
      <c r="A4175" s="0" t="n">
        <v>2</v>
      </c>
      <c r="B4175" s="71" t="n">
        <v>46220</v>
      </c>
      <c r="C4175" s="0" t="n">
        <v>11</v>
      </c>
      <c r="D4175" s="0" t="s">
        <v>2471</v>
      </c>
      <c r="E4175" s="0" t="n">
        <v>1671</v>
      </c>
      <c r="F4175" s="0" t="s">
        <v>119</v>
      </c>
      <c r="I4175" s="0" t="n">
        <v>580864</v>
      </c>
      <c r="J4175" s="0" t="n">
        <v>13744</v>
      </c>
      <c r="K4175" s="0" t="n">
        <v>4005808257669</v>
      </c>
      <c r="L4175" s="0" t="s">
        <v>4445</v>
      </c>
      <c r="N4175" s="0" t="n">
        <v>6</v>
      </c>
      <c r="O4175" s="0" t="n">
        <v>47.82</v>
      </c>
      <c r="P4175" s="0" t="s">
        <v>2444</v>
      </c>
    </row>
    <row r="4176" customFormat="false" ht="15" hidden="false" customHeight="true" outlineLevel="0" collapsed="false">
      <c r="A4176" s="0" t="n">
        <v>2</v>
      </c>
      <c r="B4176" s="71" t="n">
        <v>46220</v>
      </c>
      <c r="C4176" s="0" t="n">
        <v>11</v>
      </c>
      <c r="D4176" s="0" t="s">
        <v>2471</v>
      </c>
      <c r="E4176" s="0" t="n">
        <v>1671</v>
      </c>
      <c r="F4176" s="0" t="s">
        <v>119</v>
      </c>
      <c r="I4176" s="0" t="n">
        <v>580864</v>
      </c>
      <c r="J4176" s="0" t="n">
        <v>14049</v>
      </c>
      <c r="K4176" s="0" t="n">
        <v>4005808309436</v>
      </c>
      <c r="L4176" s="0" t="s">
        <v>4446</v>
      </c>
      <c r="N4176" s="0" t="n">
        <v>2</v>
      </c>
      <c r="O4176" s="0" t="n">
        <v>28.84</v>
      </c>
      <c r="P4176" s="0" t="s">
        <v>2444</v>
      </c>
    </row>
    <row r="4177" customFormat="false" ht="15" hidden="false" customHeight="true" outlineLevel="0" collapsed="false">
      <c r="A4177" s="0" t="n">
        <v>2</v>
      </c>
      <c r="B4177" s="71" t="n">
        <v>46220</v>
      </c>
      <c r="C4177" s="0" t="n">
        <v>11</v>
      </c>
      <c r="D4177" s="0" t="s">
        <v>2471</v>
      </c>
      <c r="E4177" s="0" t="n">
        <v>1671</v>
      </c>
      <c r="F4177" s="0" t="s">
        <v>119</v>
      </c>
      <c r="I4177" s="0" t="n">
        <v>580864</v>
      </c>
      <c r="J4177" s="0" t="n">
        <v>14053</v>
      </c>
      <c r="K4177" s="0" t="n">
        <v>4005900036704</v>
      </c>
      <c r="L4177" s="0" t="s">
        <v>4447</v>
      </c>
      <c r="N4177" s="0" t="n">
        <v>6</v>
      </c>
      <c r="O4177" s="0" t="n">
        <v>47.82</v>
      </c>
      <c r="P4177" s="0" t="s">
        <v>2444</v>
      </c>
    </row>
    <row r="4178" customFormat="false" ht="15" hidden="false" customHeight="true" outlineLevel="0" collapsed="false">
      <c r="A4178" s="0" t="n">
        <v>2</v>
      </c>
      <c r="B4178" s="71" t="n">
        <v>46220</v>
      </c>
      <c r="C4178" s="0" t="n">
        <v>11</v>
      </c>
      <c r="D4178" s="0" t="s">
        <v>2471</v>
      </c>
      <c r="E4178" s="0" t="n">
        <v>1671</v>
      </c>
      <c r="F4178" s="0" t="s">
        <v>119</v>
      </c>
      <c r="I4178" s="0" t="n">
        <v>580864</v>
      </c>
      <c r="J4178" s="0" t="n">
        <v>14941</v>
      </c>
      <c r="K4178" s="0" t="n">
        <v>4005900036728</v>
      </c>
      <c r="L4178" s="0" t="s">
        <v>4448</v>
      </c>
      <c r="N4178" s="0" t="n">
        <v>12</v>
      </c>
      <c r="O4178" s="0" t="n">
        <v>155.64</v>
      </c>
      <c r="P4178" s="0" t="s">
        <v>2444</v>
      </c>
    </row>
    <row r="4179" customFormat="false" ht="15" hidden="false" customHeight="true" outlineLevel="0" collapsed="false">
      <c r="A4179" s="0" t="n">
        <v>2</v>
      </c>
      <c r="B4179" s="71" t="n">
        <v>46220</v>
      </c>
      <c r="C4179" s="0" t="n">
        <v>11</v>
      </c>
      <c r="D4179" s="0" t="s">
        <v>2471</v>
      </c>
      <c r="E4179" s="0" t="n">
        <v>1671</v>
      </c>
      <c r="F4179" s="0" t="s">
        <v>119</v>
      </c>
      <c r="I4179" s="0" t="n">
        <v>580864</v>
      </c>
      <c r="J4179" s="0" t="n">
        <v>14942</v>
      </c>
      <c r="K4179" s="0" t="n">
        <v>4005900036667</v>
      </c>
      <c r="L4179" s="0" t="s">
        <v>4449</v>
      </c>
      <c r="N4179" s="0" t="n">
        <v>1</v>
      </c>
      <c r="O4179" s="0" t="n">
        <v>12.97</v>
      </c>
      <c r="P4179" s="0" t="s">
        <v>2444</v>
      </c>
    </row>
    <row r="4180" customFormat="false" ht="15" hidden="false" customHeight="true" outlineLevel="0" collapsed="false">
      <c r="A4180" s="0" t="n">
        <v>2</v>
      </c>
      <c r="B4180" s="71" t="n">
        <v>46220</v>
      </c>
      <c r="C4180" s="0" t="n">
        <v>11</v>
      </c>
      <c r="D4180" s="0" t="s">
        <v>2471</v>
      </c>
      <c r="E4180" s="0" t="n">
        <v>1671</v>
      </c>
      <c r="F4180" s="0" t="s">
        <v>119</v>
      </c>
      <c r="I4180" s="0" t="n">
        <v>580864</v>
      </c>
      <c r="J4180" s="0" t="n">
        <v>14943</v>
      </c>
      <c r="K4180" s="0" t="n">
        <v>4005900036759</v>
      </c>
      <c r="L4180" s="0" t="s">
        <v>4450</v>
      </c>
      <c r="N4180" s="0" t="n">
        <v>6</v>
      </c>
      <c r="O4180" s="0" t="n">
        <v>47.82</v>
      </c>
      <c r="P4180" s="0" t="s">
        <v>2444</v>
      </c>
    </row>
    <row r="4181" customFormat="false" ht="15" hidden="false" customHeight="true" outlineLevel="0" collapsed="false">
      <c r="A4181" s="0" t="n">
        <v>2</v>
      </c>
      <c r="B4181" s="71" t="n">
        <v>46220</v>
      </c>
      <c r="C4181" s="0" t="n">
        <v>11</v>
      </c>
      <c r="D4181" s="0" t="s">
        <v>2471</v>
      </c>
      <c r="E4181" s="0" t="n">
        <v>1671</v>
      </c>
      <c r="F4181" s="0" t="s">
        <v>119</v>
      </c>
      <c r="I4181" s="0" t="n">
        <v>580864</v>
      </c>
      <c r="J4181" s="0" t="n">
        <v>23518</v>
      </c>
      <c r="K4181" s="0" t="n">
        <v>4005900122186</v>
      </c>
      <c r="L4181" s="0" t="s">
        <v>4451</v>
      </c>
      <c r="N4181" s="0" t="n">
        <v>12</v>
      </c>
      <c r="O4181" s="0" t="n">
        <v>155.64</v>
      </c>
      <c r="P4181" s="0" t="s">
        <v>2444</v>
      </c>
    </row>
    <row r="4182" customFormat="false" ht="15" hidden="false" customHeight="true" outlineLevel="0" collapsed="false">
      <c r="A4182" s="0" t="n">
        <v>2</v>
      </c>
      <c r="B4182" s="71" t="n">
        <v>46220</v>
      </c>
      <c r="C4182" s="0" t="n">
        <v>11</v>
      </c>
      <c r="D4182" s="0" t="s">
        <v>2471</v>
      </c>
      <c r="E4182" s="0" t="n">
        <v>1671</v>
      </c>
      <c r="F4182" s="0" t="s">
        <v>119</v>
      </c>
      <c r="I4182" s="0" t="n">
        <v>580864</v>
      </c>
      <c r="J4182" s="0" t="n">
        <v>27188</v>
      </c>
      <c r="K4182" s="0" t="n">
        <v>4005900294722</v>
      </c>
      <c r="L4182" s="0" t="s">
        <v>4452</v>
      </c>
      <c r="N4182" s="0" t="n">
        <v>24</v>
      </c>
      <c r="O4182" s="0" t="n">
        <v>73.68</v>
      </c>
      <c r="P4182" s="0" t="s">
        <v>2444</v>
      </c>
    </row>
    <row r="4183" customFormat="false" ht="15" hidden="false" customHeight="true" outlineLevel="0" collapsed="false">
      <c r="A4183" s="0" t="n">
        <v>2</v>
      </c>
      <c r="B4183" s="71" t="n">
        <v>46220</v>
      </c>
      <c r="C4183" s="0" t="n">
        <v>11</v>
      </c>
      <c r="D4183" s="0" t="s">
        <v>2471</v>
      </c>
      <c r="E4183" s="0" t="n">
        <v>1671</v>
      </c>
      <c r="F4183" s="0" t="s">
        <v>119</v>
      </c>
      <c r="I4183" s="0" t="n">
        <v>580864</v>
      </c>
      <c r="J4183" s="0" t="n">
        <v>27190</v>
      </c>
      <c r="K4183" s="0" t="n">
        <v>4005900521972</v>
      </c>
      <c r="L4183" s="0" t="s">
        <v>4453</v>
      </c>
      <c r="N4183" s="0" t="n">
        <v>24</v>
      </c>
      <c r="O4183" s="0" t="n">
        <v>52.08</v>
      </c>
      <c r="P4183" s="0" t="s">
        <v>2444</v>
      </c>
    </row>
    <row r="4184" customFormat="false" ht="15" hidden="false" customHeight="true" outlineLevel="0" collapsed="false">
      <c r="A4184" s="0" t="n">
        <v>2</v>
      </c>
      <c r="B4184" s="71" t="n">
        <v>46220</v>
      </c>
      <c r="C4184" s="0" t="n">
        <v>11</v>
      </c>
      <c r="D4184" s="0" t="s">
        <v>2471</v>
      </c>
      <c r="E4184" s="0" t="n">
        <v>1671</v>
      </c>
      <c r="F4184" s="0" t="s">
        <v>119</v>
      </c>
      <c r="I4184" s="0" t="n">
        <v>580864</v>
      </c>
      <c r="J4184" s="0" t="n">
        <v>27191</v>
      </c>
      <c r="K4184" s="0" t="n">
        <v>4005900521934</v>
      </c>
      <c r="L4184" s="0" t="s">
        <v>4454</v>
      </c>
      <c r="N4184" s="0" t="n">
        <v>24</v>
      </c>
      <c r="O4184" s="0" t="n">
        <v>52.08</v>
      </c>
      <c r="P4184" s="0" t="s">
        <v>2444</v>
      </c>
    </row>
    <row r="4185" customFormat="false" ht="15" hidden="false" customHeight="true" outlineLevel="0" collapsed="false">
      <c r="A4185" s="0" t="n">
        <v>2</v>
      </c>
      <c r="B4185" s="71" t="n">
        <v>46220</v>
      </c>
      <c r="C4185" s="0" t="n">
        <v>11</v>
      </c>
      <c r="D4185" s="0" t="s">
        <v>2471</v>
      </c>
      <c r="E4185" s="0" t="n">
        <v>1671</v>
      </c>
      <c r="F4185" s="0" t="s">
        <v>119</v>
      </c>
      <c r="I4185" s="0" t="n">
        <v>580864</v>
      </c>
      <c r="J4185" s="0" t="n">
        <v>28879</v>
      </c>
      <c r="K4185" s="0" t="n">
        <v>78906617</v>
      </c>
      <c r="L4185" s="0" t="s">
        <v>4455</v>
      </c>
      <c r="N4185" s="0" t="n">
        <v>3</v>
      </c>
      <c r="O4185" s="0" t="n">
        <v>61.29</v>
      </c>
      <c r="P4185" s="0" t="s">
        <v>2444</v>
      </c>
    </row>
    <row r="4186" customFormat="false" ht="15" hidden="false" customHeight="true" outlineLevel="0" collapsed="false">
      <c r="A4186" s="0" t="n">
        <v>2</v>
      </c>
      <c r="B4186" s="71" t="n">
        <v>46220</v>
      </c>
      <c r="C4186" s="0" t="n">
        <v>11</v>
      </c>
      <c r="D4186" s="0" t="s">
        <v>2471</v>
      </c>
      <c r="E4186" s="0" t="n">
        <v>1671</v>
      </c>
      <c r="F4186" s="0" t="s">
        <v>119</v>
      </c>
      <c r="I4186" s="0" t="n">
        <v>580864</v>
      </c>
      <c r="J4186" s="0" t="n">
        <v>29713</v>
      </c>
      <c r="K4186" s="0" t="n">
        <v>4005900521910</v>
      </c>
      <c r="L4186" s="0" t="s">
        <v>4456</v>
      </c>
      <c r="N4186" s="0" t="n">
        <v>24</v>
      </c>
      <c r="O4186" s="0" t="n">
        <v>52.08</v>
      </c>
      <c r="P4186" s="0" t="s">
        <v>2444</v>
      </c>
    </row>
    <row r="4187" customFormat="false" ht="15" hidden="false" customHeight="true" outlineLevel="0" collapsed="false">
      <c r="A4187" s="0" t="n">
        <v>2</v>
      </c>
      <c r="B4187" s="71" t="n">
        <v>46220</v>
      </c>
      <c r="C4187" s="0" t="n">
        <v>11</v>
      </c>
      <c r="D4187" s="0" t="s">
        <v>2471</v>
      </c>
      <c r="E4187" s="0" t="n">
        <v>1671</v>
      </c>
      <c r="F4187" s="0" t="s">
        <v>119</v>
      </c>
      <c r="I4187" s="0" t="n">
        <v>580864</v>
      </c>
      <c r="J4187" s="0" t="n">
        <v>29715</v>
      </c>
      <c r="K4187" s="0" t="n">
        <v>4005900522016</v>
      </c>
      <c r="L4187" s="0" t="s">
        <v>4457</v>
      </c>
      <c r="N4187" s="0" t="n">
        <v>24</v>
      </c>
      <c r="O4187" s="0" t="n">
        <v>52.08</v>
      </c>
      <c r="P4187" s="0" t="s">
        <v>2444</v>
      </c>
    </row>
    <row r="4188" customFormat="false" ht="15" hidden="false" customHeight="true" outlineLevel="0" collapsed="false">
      <c r="A4188" s="0" t="n">
        <v>2</v>
      </c>
      <c r="B4188" s="71" t="n">
        <v>46220</v>
      </c>
      <c r="C4188" s="0" t="n">
        <v>11</v>
      </c>
      <c r="D4188" s="0" t="s">
        <v>2471</v>
      </c>
      <c r="E4188" s="0" t="n">
        <v>1671</v>
      </c>
      <c r="F4188" s="0" t="s">
        <v>119</v>
      </c>
      <c r="I4188" s="0" t="n">
        <v>580864</v>
      </c>
      <c r="J4188" s="0" t="n">
        <v>29798</v>
      </c>
      <c r="K4188" s="0" t="n">
        <v>4005900398598</v>
      </c>
      <c r="L4188" s="0" t="s">
        <v>4458</v>
      </c>
      <c r="N4188" s="0" t="n">
        <v>6</v>
      </c>
      <c r="O4188" s="0" t="n">
        <v>47.82</v>
      </c>
      <c r="P4188" s="0" t="s">
        <v>2444</v>
      </c>
    </row>
    <row r="4189" customFormat="false" ht="15" hidden="false" customHeight="true" outlineLevel="0" collapsed="false">
      <c r="A4189" s="0" t="n">
        <v>2</v>
      </c>
      <c r="B4189" s="71" t="n">
        <v>46220</v>
      </c>
      <c r="C4189" s="0" t="n">
        <v>11</v>
      </c>
      <c r="D4189" s="0" t="s">
        <v>2471</v>
      </c>
      <c r="E4189" s="0" t="n">
        <v>1671</v>
      </c>
      <c r="F4189" s="0" t="s">
        <v>119</v>
      </c>
      <c r="I4189" s="0" t="n">
        <v>580864</v>
      </c>
      <c r="J4189" s="0" t="n">
        <v>36611</v>
      </c>
      <c r="K4189" s="0" t="n">
        <v>42360414</v>
      </c>
      <c r="L4189" s="0" t="s">
        <v>4459</v>
      </c>
      <c r="N4189" s="0" t="n">
        <v>1</v>
      </c>
      <c r="O4189" s="0" t="n">
        <v>27.15</v>
      </c>
      <c r="P4189" s="0" t="s">
        <v>2444</v>
      </c>
    </row>
    <row r="4190" customFormat="false" ht="15" hidden="false" customHeight="true" outlineLevel="0" collapsed="false">
      <c r="A4190" s="0" t="n">
        <v>2</v>
      </c>
      <c r="B4190" s="71" t="n">
        <v>46220</v>
      </c>
      <c r="C4190" s="0" t="n">
        <v>11</v>
      </c>
      <c r="D4190" s="0" t="s">
        <v>2471</v>
      </c>
      <c r="E4190" s="0" t="n">
        <v>1671</v>
      </c>
      <c r="F4190" s="0" t="s">
        <v>119</v>
      </c>
      <c r="I4190" s="0" t="n">
        <v>580864</v>
      </c>
      <c r="J4190" s="0" t="n">
        <v>38966</v>
      </c>
      <c r="K4190" s="0" t="n">
        <v>4005900807861</v>
      </c>
      <c r="L4190" s="0" t="s">
        <v>4460</v>
      </c>
      <c r="N4190" s="0" t="n">
        <v>24</v>
      </c>
      <c r="O4190" s="0" t="n">
        <v>71.76</v>
      </c>
      <c r="P4190" s="0" t="s">
        <v>2444</v>
      </c>
    </row>
    <row r="4191" customFormat="false" ht="15" hidden="false" customHeight="true" outlineLevel="0" collapsed="false">
      <c r="A4191" s="0" t="n">
        <v>2</v>
      </c>
      <c r="B4191" s="71" t="n">
        <v>46220</v>
      </c>
      <c r="C4191" s="0" t="n">
        <v>11</v>
      </c>
      <c r="D4191" s="0" t="s">
        <v>2471</v>
      </c>
      <c r="E4191" s="0" t="n">
        <v>1671</v>
      </c>
      <c r="F4191" s="0" t="s">
        <v>119</v>
      </c>
      <c r="I4191" s="0" t="n">
        <v>580864</v>
      </c>
      <c r="J4191" s="0" t="n">
        <v>40533</v>
      </c>
      <c r="K4191" s="0" t="n">
        <v>4005900527073</v>
      </c>
      <c r="L4191" s="0" t="s">
        <v>4461</v>
      </c>
      <c r="N4191" s="0" t="n">
        <v>24</v>
      </c>
      <c r="O4191" s="0" t="n">
        <v>52.08</v>
      </c>
      <c r="P4191" s="0" t="s">
        <v>2444</v>
      </c>
    </row>
    <row r="4192" customFormat="false" ht="15" hidden="false" customHeight="true" outlineLevel="0" collapsed="false">
      <c r="A4192" s="0" t="n">
        <v>2</v>
      </c>
      <c r="B4192" s="71" t="n">
        <v>46220</v>
      </c>
      <c r="C4192" s="0" t="n">
        <v>11</v>
      </c>
      <c r="D4192" s="0" t="s">
        <v>2471</v>
      </c>
      <c r="E4192" s="0" t="n">
        <v>1671</v>
      </c>
      <c r="F4192" s="0" t="s">
        <v>119</v>
      </c>
      <c r="I4192" s="0" t="n">
        <v>580864</v>
      </c>
      <c r="J4192" s="0" t="n">
        <v>44410</v>
      </c>
      <c r="K4192" s="0" t="n">
        <v>4005900807854</v>
      </c>
      <c r="L4192" s="0" t="s">
        <v>4462</v>
      </c>
      <c r="N4192" s="0" t="n">
        <v>24</v>
      </c>
      <c r="O4192" s="0" t="n">
        <v>71.76</v>
      </c>
      <c r="P4192" s="0" t="s">
        <v>2444</v>
      </c>
    </row>
    <row r="4193" customFormat="false" ht="15" hidden="false" customHeight="true" outlineLevel="0" collapsed="false">
      <c r="A4193" s="0" t="n">
        <v>2</v>
      </c>
      <c r="B4193" s="71" t="n">
        <v>46220</v>
      </c>
      <c r="C4193" s="0" t="n">
        <v>11</v>
      </c>
      <c r="D4193" s="0" t="s">
        <v>2471</v>
      </c>
      <c r="E4193" s="0" t="n">
        <v>1671</v>
      </c>
      <c r="F4193" s="0" t="s">
        <v>119</v>
      </c>
      <c r="I4193" s="0" t="n">
        <v>580864</v>
      </c>
      <c r="J4193" s="0" t="n">
        <v>81784</v>
      </c>
      <c r="K4193" s="0" t="n">
        <v>42495727</v>
      </c>
      <c r="L4193" s="0" t="s">
        <v>4463</v>
      </c>
      <c r="N4193" s="0" t="n">
        <v>1</v>
      </c>
      <c r="O4193" s="0" t="n">
        <v>26.49</v>
      </c>
      <c r="P4193" s="0" t="s">
        <v>2444</v>
      </c>
    </row>
    <row r="4194" customFormat="false" ht="15" hidden="false" customHeight="true" outlineLevel="0" collapsed="false">
      <c r="A4194" s="0" t="n">
        <v>2</v>
      </c>
      <c r="B4194" s="71" t="n">
        <v>46220</v>
      </c>
      <c r="C4194" s="0" t="n">
        <v>11</v>
      </c>
      <c r="D4194" s="0" t="s">
        <v>2471</v>
      </c>
      <c r="E4194" s="0" t="n">
        <v>1671</v>
      </c>
      <c r="F4194" s="0" t="s">
        <v>119</v>
      </c>
      <c r="I4194" s="0" t="n">
        <v>580865</v>
      </c>
      <c r="J4194" s="0" t="n">
        <v>102657</v>
      </c>
      <c r="K4194" s="0" t="n">
        <v>7891060679724</v>
      </c>
      <c r="L4194" s="0" t="s">
        <v>4464</v>
      </c>
      <c r="N4194" s="0" t="n">
        <v>4</v>
      </c>
      <c r="O4194" s="0" t="n">
        <v>103.36</v>
      </c>
      <c r="P4194" s="0" t="s">
        <v>2444</v>
      </c>
    </row>
    <row r="4195" customFormat="false" ht="15" hidden="false" customHeight="true" outlineLevel="0" collapsed="false">
      <c r="A4195" s="0" t="n">
        <v>2</v>
      </c>
      <c r="B4195" s="71" t="n">
        <v>46220</v>
      </c>
      <c r="C4195" s="0" t="n">
        <v>11</v>
      </c>
      <c r="D4195" s="0" t="s">
        <v>2471</v>
      </c>
      <c r="E4195" s="0" t="n">
        <v>1671</v>
      </c>
      <c r="F4195" s="0" t="s">
        <v>119</v>
      </c>
      <c r="I4195" s="0" t="n">
        <v>580865</v>
      </c>
      <c r="J4195" s="0" t="n">
        <v>104217</v>
      </c>
      <c r="K4195" s="0" t="n">
        <v>7896020153894</v>
      </c>
      <c r="L4195" s="0" t="s">
        <v>4465</v>
      </c>
      <c r="N4195" s="0" t="n">
        <v>4</v>
      </c>
      <c r="O4195" s="0" t="n">
        <v>37.96</v>
      </c>
      <c r="P4195" s="0" t="s">
        <v>2444</v>
      </c>
    </row>
    <row r="4196" customFormat="false" ht="15" hidden="false" customHeight="true" outlineLevel="0" collapsed="false">
      <c r="A4196" s="0" t="n">
        <v>2</v>
      </c>
      <c r="B4196" s="71" t="n">
        <v>46220</v>
      </c>
      <c r="C4196" s="0" t="n">
        <v>11</v>
      </c>
      <c r="D4196" s="0" t="s">
        <v>2471</v>
      </c>
      <c r="E4196" s="0" t="n">
        <v>1671</v>
      </c>
      <c r="F4196" s="0" t="s">
        <v>119</v>
      </c>
      <c r="I4196" s="0" t="n">
        <v>580865</v>
      </c>
      <c r="J4196" s="0" t="n">
        <v>19199</v>
      </c>
      <c r="K4196" s="0" t="n">
        <v>7891060800401</v>
      </c>
      <c r="L4196" s="0" t="s">
        <v>4466</v>
      </c>
      <c r="N4196" s="0" t="n">
        <v>3</v>
      </c>
      <c r="O4196" s="0" t="n">
        <v>131.88</v>
      </c>
      <c r="P4196" s="0" t="s">
        <v>2444</v>
      </c>
    </row>
    <row r="4197" customFormat="false" ht="15" hidden="false" customHeight="true" outlineLevel="0" collapsed="false">
      <c r="A4197" s="0" t="n">
        <v>2</v>
      </c>
      <c r="B4197" s="71" t="n">
        <v>46220</v>
      </c>
      <c r="C4197" s="0" t="n">
        <v>11</v>
      </c>
      <c r="D4197" s="0" t="s">
        <v>2471</v>
      </c>
      <c r="E4197" s="0" t="n">
        <v>1671</v>
      </c>
      <c r="F4197" s="0" t="s">
        <v>119</v>
      </c>
      <c r="I4197" s="0" t="n">
        <v>580865</v>
      </c>
      <c r="J4197" s="0" t="n">
        <v>23999</v>
      </c>
      <c r="K4197" s="0" t="n">
        <v>7896020161073</v>
      </c>
      <c r="L4197" s="0" t="s">
        <v>4467</v>
      </c>
      <c r="N4197" s="0" t="n">
        <v>4</v>
      </c>
      <c r="O4197" s="0" t="n">
        <v>37.96</v>
      </c>
      <c r="P4197" s="0" t="s">
        <v>2444</v>
      </c>
    </row>
    <row r="4198" customFormat="false" ht="15" hidden="false" customHeight="true" outlineLevel="0" collapsed="false">
      <c r="A4198" s="0" t="n">
        <v>2</v>
      </c>
      <c r="B4198" s="71" t="n">
        <v>46220</v>
      </c>
      <c r="C4198" s="0" t="n">
        <v>11</v>
      </c>
      <c r="D4198" s="0" t="s">
        <v>2471</v>
      </c>
      <c r="E4198" s="0" t="n">
        <v>1671</v>
      </c>
      <c r="F4198" s="0" t="s">
        <v>119</v>
      </c>
      <c r="I4198" s="0" t="n">
        <v>580865</v>
      </c>
      <c r="J4198" s="0" t="n">
        <v>28227</v>
      </c>
      <c r="K4198" s="0" t="n">
        <v>7896020160069</v>
      </c>
      <c r="L4198" s="0" t="s">
        <v>4468</v>
      </c>
      <c r="N4198" s="0" t="n">
        <v>6</v>
      </c>
      <c r="O4198" s="0" t="n">
        <v>52.38</v>
      </c>
      <c r="P4198" s="0" t="s">
        <v>2444</v>
      </c>
    </row>
    <row r="4199" customFormat="false" ht="15" hidden="false" customHeight="true" outlineLevel="0" collapsed="false">
      <c r="A4199" s="0" t="n">
        <v>2</v>
      </c>
      <c r="B4199" s="71" t="n">
        <v>46220</v>
      </c>
      <c r="C4199" s="0" t="n">
        <v>11</v>
      </c>
      <c r="D4199" s="0" t="s">
        <v>2471</v>
      </c>
      <c r="E4199" s="0" t="n">
        <v>1671</v>
      </c>
      <c r="F4199" s="0" t="s">
        <v>119</v>
      </c>
      <c r="I4199" s="0" t="n">
        <v>580865</v>
      </c>
      <c r="J4199" s="0" t="n">
        <v>29518</v>
      </c>
      <c r="K4199" s="0" t="n">
        <v>7898623954076</v>
      </c>
      <c r="L4199" s="0" t="s">
        <v>4469</v>
      </c>
      <c r="N4199" s="0" t="n">
        <v>4</v>
      </c>
      <c r="O4199" s="0" t="n">
        <v>59.96</v>
      </c>
      <c r="P4199" s="0" t="s">
        <v>2444</v>
      </c>
    </row>
    <row r="4200" customFormat="false" ht="15" hidden="false" customHeight="true" outlineLevel="0" collapsed="false">
      <c r="A4200" s="0" t="n">
        <v>2</v>
      </c>
      <c r="B4200" s="71" t="n">
        <v>46220</v>
      </c>
      <c r="C4200" s="0" t="n">
        <v>11</v>
      </c>
      <c r="D4200" s="0" t="s">
        <v>2471</v>
      </c>
      <c r="E4200" s="0" t="n">
        <v>1671</v>
      </c>
      <c r="F4200" s="0" t="s">
        <v>119</v>
      </c>
      <c r="I4200" s="0" t="n">
        <v>580865</v>
      </c>
      <c r="J4200" s="0" t="n">
        <v>29520</v>
      </c>
      <c r="K4200" s="0" t="n">
        <v>7898623954304</v>
      </c>
      <c r="L4200" s="0" t="s">
        <v>4470</v>
      </c>
      <c r="N4200" s="0" t="n">
        <v>4</v>
      </c>
      <c r="O4200" s="0" t="n">
        <v>59.96</v>
      </c>
      <c r="P4200" s="0" t="s">
        <v>2444</v>
      </c>
    </row>
    <row r="4201" customFormat="false" ht="15" hidden="false" customHeight="true" outlineLevel="0" collapsed="false">
      <c r="A4201" s="0" t="n">
        <v>2</v>
      </c>
      <c r="B4201" s="71" t="n">
        <v>46220</v>
      </c>
      <c r="C4201" s="0" t="n">
        <v>11</v>
      </c>
      <c r="D4201" s="0" t="s">
        <v>2471</v>
      </c>
      <c r="E4201" s="0" t="n">
        <v>1671</v>
      </c>
      <c r="F4201" s="0" t="s">
        <v>119</v>
      </c>
      <c r="I4201" s="0" t="n">
        <v>580865</v>
      </c>
      <c r="J4201" s="0" t="n">
        <v>29952</v>
      </c>
      <c r="K4201" s="0" t="n">
        <v>7891060969504</v>
      </c>
      <c r="L4201" s="0" t="s">
        <v>4466</v>
      </c>
      <c r="N4201" s="0" t="n">
        <v>3</v>
      </c>
      <c r="O4201" s="0" t="n">
        <v>94.95</v>
      </c>
      <c r="P4201" s="0" t="s">
        <v>2444</v>
      </c>
    </row>
    <row r="4202" customFormat="false" ht="15" hidden="false" customHeight="true" outlineLevel="0" collapsed="false">
      <c r="A4202" s="0" t="n">
        <v>2</v>
      </c>
      <c r="B4202" s="71" t="n">
        <v>46220</v>
      </c>
      <c r="C4202" s="0" t="n">
        <v>11</v>
      </c>
      <c r="D4202" s="0" t="s">
        <v>2471</v>
      </c>
      <c r="E4202" s="0" t="n">
        <v>1671</v>
      </c>
      <c r="F4202" s="0" t="s">
        <v>119</v>
      </c>
      <c r="I4202" s="0" t="n">
        <v>580865</v>
      </c>
      <c r="J4202" s="0" t="n">
        <v>40723</v>
      </c>
      <c r="K4202" s="0" t="n">
        <v>7908458305629</v>
      </c>
      <c r="L4202" s="0" t="s">
        <v>4471</v>
      </c>
      <c r="N4202" s="0" t="n">
        <v>4</v>
      </c>
      <c r="O4202" s="0" t="n">
        <v>59.96</v>
      </c>
      <c r="P4202" s="0" t="s">
        <v>2444</v>
      </c>
    </row>
    <row r="4203" customFormat="false" ht="15" hidden="false" customHeight="true" outlineLevel="0" collapsed="false">
      <c r="A4203" s="0" t="n">
        <v>2</v>
      </c>
      <c r="B4203" s="71" t="n">
        <v>46220</v>
      </c>
      <c r="C4203" s="0" t="n">
        <v>11</v>
      </c>
      <c r="D4203" s="0" t="s">
        <v>2471</v>
      </c>
      <c r="E4203" s="0" t="n">
        <v>1671</v>
      </c>
      <c r="F4203" s="0" t="s">
        <v>119</v>
      </c>
      <c r="I4203" s="0" t="n">
        <v>580865</v>
      </c>
      <c r="J4203" s="0" t="n">
        <v>42571</v>
      </c>
      <c r="K4203" s="0" t="n">
        <v>7898623956872</v>
      </c>
      <c r="L4203" s="0" t="s">
        <v>4472</v>
      </c>
      <c r="N4203" s="0" t="n">
        <v>4</v>
      </c>
      <c r="O4203" s="0" t="n">
        <v>59.96</v>
      </c>
      <c r="P4203" s="0" t="s">
        <v>2444</v>
      </c>
    </row>
    <row r="4204" customFormat="false" ht="15" hidden="false" customHeight="true" outlineLevel="0" collapsed="false">
      <c r="A4204" s="0" t="n">
        <v>2</v>
      </c>
      <c r="B4204" s="71" t="n">
        <v>46220</v>
      </c>
      <c r="C4204" s="0" t="n">
        <v>11</v>
      </c>
      <c r="D4204" s="0" t="s">
        <v>2471</v>
      </c>
      <c r="E4204" s="0" t="n">
        <v>1671</v>
      </c>
      <c r="F4204" s="0" t="s">
        <v>119</v>
      </c>
      <c r="I4204" s="0" t="n">
        <v>580865</v>
      </c>
      <c r="J4204" s="0" t="n">
        <v>51602</v>
      </c>
      <c r="K4204" s="0" t="n">
        <v>7896150016533</v>
      </c>
      <c r="L4204" s="0" t="s">
        <v>4473</v>
      </c>
      <c r="N4204" s="0" t="n">
        <v>6</v>
      </c>
      <c r="O4204" s="0" t="n">
        <v>30.78</v>
      </c>
      <c r="P4204" s="0" t="s">
        <v>2444</v>
      </c>
    </row>
    <row r="4205" customFormat="false" ht="15" hidden="false" customHeight="true" outlineLevel="0" collapsed="false">
      <c r="A4205" s="0" t="n">
        <v>2</v>
      </c>
      <c r="B4205" s="71" t="n">
        <v>46220</v>
      </c>
      <c r="C4205" s="0" t="n">
        <v>11</v>
      </c>
      <c r="D4205" s="0" t="s">
        <v>2471</v>
      </c>
      <c r="E4205" s="0" t="n">
        <v>1671</v>
      </c>
      <c r="F4205" s="0" t="s">
        <v>119</v>
      </c>
      <c r="I4205" s="0" t="n">
        <v>580865</v>
      </c>
      <c r="J4205" s="0" t="n">
        <v>53928</v>
      </c>
      <c r="K4205" s="0" t="n">
        <v>7896150001256</v>
      </c>
      <c r="L4205" s="0" t="s">
        <v>4474</v>
      </c>
      <c r="N4205" s="0" t="n">
        <v>6</v>
      </c>
      <c r="O4205" s="0" t="n">
        <v>30.78</v>
      </c>
      <c r="P4205" s="0" t="s">
        <v>2444</v>
      </c>
    </row>
    <row r="4206" customFormat="false" ht="15" hidden="false" customHeight="true" outlineLevel="0" collapsed="false">
      <c r="A4206" s="0" t="n">
        <v>2</v>
      </c>
      <c r="B4206" s="71" t="n">
        <v>46220</v>
      </c>
      <c r="C4206" s="0" t="n">
        <v>11</v>
      </c>
      <c r="D4206" s="0" t="s">
        <v>2471</v>
      </c>
      <c r="E4206" s="0" t="n">
        <v>1671</v>
      </c>
      <c r="F4206" s="0" t="s">
        <v>119</v>
      </c>
      <c r="I4206" s="0" t="n">
        <v>580865</v>
      </c>
      <c r="J4206" s="0" t="n">
        <v>64335</v>
      </c>
      <c r="K4206" s="0" t="n">
        <v>7896010175592</v>
      </c>
      <c r="L4206" s="0" t="s">
        <v>4475</v>
      </c>
      <c r="N4206" s="0" t="n">
        <v>3</v>
      </c>
      <c r="O4206" s="0" t="n">
        <v>63.72</v>
      </c>
      <c r="P4206" s="0" t="s">
        <v>2444</v>
      </c>
    </row>
    <row r="4207" customFormat="false" ht="15" hidden="false" customHeight="true" outlineLevel="0" collapsed="false">
      <c r="A4207" s="0" t="n">
        <v>2</v>
      </c>
      <c r="B4207" s="71" t="n">
        <v>46220</v>
      </c>
      <c r="C4207" s="0" t="n">
        <v>11</v>
      </c>
      <c r="D4207" s="0" t="s">
        <v>2471</v>
      </c>
      <c r="E4207" s="0" t="n">
        <v>1024</v>
      </c>
      <c r="F4207" s="0" t="s">
        <v>471</v>
      </c>
      <c r="I4207" s="0" t="n">
        <v>605020</v>
      </c>
      <c r="J4207" s="0" t="n">
        <v>60866</v>
      </c>
      <c r="K4207" s="0" t="n">
        <v>7898654710474</v>
      </c>
      <c r="L4207" s="0" t="s">
        <v>2793</v>
      </c>
      <c r="N4207" s="0" t="n">
        <v>81</v>
      </c>
      <c r="O4207" s="0" t="n">
        <v>189</v>
      </c>
      <c r="P4207" s="0" t="s">
        <v>2444</v>
      </c>
    </row>
    <row r="4208" customFormat="false" ht="15" hidden="false" customHeight="true" outlineLevel="0" collapsed="false">
      <c r="A4208" s="0" t="n">
        <v>2</v>
      </c>
      <c r="B4208" s="71" t="n">
        <v>46220</v>
      </c>
      <c r="C4208" s="0" t="n">
        <v>11</v>
      </c>
      <c r="D4208" s="0" t="s">
        <v>2471</v>
      </c>
      <c r="E4208" s="0" t="n">
        <v>1642</v>
      </c>
      <c r="F4208" s="0" t="s">
        <v>228</v>
      </c>
      <c r="I4208" s="0" t="n">
        <v>1032250</v>
      </c>
      <c r="J4208" s="0" t="n">
        <v>105780</v>
      </c>
      <c r="K4208" s="0" t="n">
        <v>7896289210017</v>
      </c>
      <c r="L4208" s="0" t="s">
        <v>2511</v>
      </c>
      <c r="N4208" s="0" t="n">
        <v>4</v>
      </c>
      <c r="O4208" s="0" t="n">
        <v>42.68</v>
      </c>
      <c r="P4208" s="0" t="s">
        <v>2444</v>
      </c>
    </row>
    <row r="4209" customFormat="false" ht="15" hidden="false" customHeight="true" outlineLevel="0" collapsed="false">
      <c r="A4209" s="0" t="n">
        <v>2</v>
      </c>
      <c r="B4209" s="71" t="n">
        <v>46220</v>
      </c>
      <c r="C4209" s="0" t="n">
        <v>11</v>
      </c>
      <c r="D4209" s="0" t="s">
        <v>2471</v>
      </c>
      <c r="E4209" s="0" t="n">
        <v>1642</v>
      </c>
      <c r="F4209" s="0" t="s">
        <v>228</v>
      </c>
      <c r="I4209" s="0" t="n">
        <v>1032250</v>
      </c>
      <c r="J4209" s="0" t="n">
        <v>105782</v>
      </c>
      <c r="K4209" s="0" t="n">
        <v>7896289210352</v>
      </c>
      <c r="L4209" s="0" t="s">
        <v>2512</v>
      </c>
      <c r="N4209" s="0" t="n">
        <v>5</v>
      </c>
      <c r="O4209" s="0" t="n">
        <v>34.3</v>
      </c>
      <c r="P4209" s="0" t="s">
        <v>2444</v>
      </c>
    </row>
    <row r="4210" customFormat="false" ht="15" hidden="false" customHeight="true" outlineLevel="0" collapsed="false">
      <c r="A4210" s="0" t="n">
        <v>2</v>
      </c>
      <c r="B4210" s="71" t="n">
        <v>46220</v>
      </c>
      <c r="C4210" s="0" t="n">
        <v>11</v>
      </c>
      <c r="D4210" s="0" t="s">
        <v>2471</v>
      </c>
      <c r="E4210" s="0" t="n">
        <v>1642</v>
      </c>
      <c r="F4210" s="0" t="s">
        <v>228</v>
      </c>
      <c r="I4210" s="0" t="n">
        <v>1032250</v>
      </c>
      <c r="J4210" s="0" t="n">
        <v>106079</v>
      </c>
      <c r="K4210" s="0" t="n">
        <v>7896289210130</v>
      </c>
      <c r="L4210" s="0" t="s">
        <v>2513</v>
      </c>
      <c r="N4210" s="0" t="n">
        <v>5</v>
      </c>
      <c r="O4210" s="0" t="n">
        <v>68.5</v>
      </c>
      <c r="P4210" s="0" t="s">
        <v>2444</v>
      </c>
    </row>
    <row r="4211" customFormat="false" ht="15" hidden="false" customHeight="true" outlineLevel="0" collapsed="false">
      <c r="A4211" s="0" t="n">
        <v>2</v>
      </c>
      <c r="B4211" s="71" t="n">
        <v>46220</v>
      </c>
      <c r="C4211" s="0" t="n">
        <v>11</v>
      </c>
      <c r="D4211" s="0" t="s">
        <v>2471</v>
      </c>
      <c r="E4211" s="0" t="n">
        <v>1642</v>
      </c>
      <c r="F4211" s="0" t="s">
        <v>228</v>
      </c>
      <c r="I4211" s="0" t="n">
        <v>1032250</v>
      </c>
      <c r="J4211" s="0" t="n">
        <v>106280</v>
      </c>
      <c r="K4211" s="0" t="n">
        <v>7896289210062</v>
      </c>
      <c r="L4211" s="0" t="s">
        <v>2515</v>
      </c>
      <c r="N4211" s="0" t="n">
        <v>2</v>
      </c>
      <c r="O4211" s="0" t="n">
        <v>25.12</v>
      </c>
      <c r="P4211" s="0" t="s">
        <v>2444</v>
      </c>
    </row>
    <row r="4212" customFormat="false" ht="15" hidden="false" customHeight="true" outlineLevel="0" collapsed="false">
      <c r="A4212" s="0" t="n">
        <v>2</v>
      </c>
      <c r="B4212" s="71" t="n">
        <v>46220</v>
      </c>
      <c r="C4212" s="0" t="n">
        <v>11</v>
      </c>
      <c r="D4212" s="0" t="s">
        <v>2471</v>
      </c>
      <c r="E4212" s="0" t="n">
        <v>1642</v>
      </c>
      <c r="F4212" s="0" t="s">
        <v>228</v>
      </c>
      <c r="I4212" s="0" t="n">
        <v>1032250</v>
      </c>
      <c r="J4212" s="0" t="n">
        <v>106407</v>
      </c>
      <c r="K4212" s="0" t="n">
        <v>7896289210031</v>
      </c>
      <c r="L4212" s="0" t="s">
        <v>2516</v>
      </c>
      <c r="N4212" s="0" t="n">
        <v>5</v>
      </c>
      <c r="O4212" s="0" t="n">
        <v>58.2</v>
      </c>
      <c r="P4212" s="0" t="s">
        <v>2444</v>
      </c>
    </row>
    <row r="4213" customFormat="false" ht="15" hidden="false" customHeight="true" outlineLevel="0" collapsed="false">
      <c r="A4213" s="0" t="n">
        <v>2</v>
      </c>
      <c r="B4213" s="71" t="n">
        <v>46220</v>
      </c>
      <c r="C4213" s="0" t="n">
        <v>11</v>
      </c>
      <c r="D4213" s="0" t="s">
        <v>2471</v>
      </c>
      <c r="E4213" s="0" t="n">
        <v>1642</v>
      </c>
      <c r="F4213" s="0" t="s">
        <v>228</v>
      </c>
      <c r="I4213" s="0" t="n">
        <v>1032250</v>
      </c>
      <c r="J4213" s="0" t="n">
        <v>29706</v>
      </c>
      <c r="K4213" s="0" t="n">
        <v>7896289240205</v>
      </c>
      <c r="L4213" s="0" t="s">
        <v>2963</v>
      </c>
      <c r="N4213" s="0" t="n">
        <v>3</v>
      </c>
      <c r="O4213" s="0" t="n">
        <v>25.8</v>
      </c>
      <c r="P4213" s="0" t="s">
        <v>2444</v>
      </c>
    </row>
    <row r="4214" customFormat="false" ht="15" hidden="false" customHeight="true" outlineLevel="0" collapsed="false">
      <c r="A4214" s="0" t="n">
        <v>2</v>
      </c>
      <c r="B4214" s="71" t="n">
        <v>46220</v>
      </c>
      <c r="C4214" s="0" t="n">
        <v>11</v>
      </c>
      <c r="D4214" s="0" t="s">
        <v>2471</v>
      </c>
      <c r="E4214" s="0" t="n">
        <v>1613</v>
      </c>
      <c r="F4214" s="0" t="s">
        <v>50</v>
      </c>
      <c r="I4214" s="0" t="n">
        <v>1608670</v>
      </c>
      <c r="J4214" s="0" t="n">
        <v>103848</v>
      </c>
      <c r="K4214" s="0" t="n">
        <v>7893000488878</v>
      </c>
      <c r="L4214" s="0" t="s">
        <v>2972</v>
      </c>
      <c r="N4214" s="0" t="n">
        <v>8</v>
      </c>
      <c r="O4214" s="0" t="n">
        <v>100.1</v>
      </c>
      <c r="P4214" s="0" t="s">
        <v>2444</v>
      </c>
    </row>
    <row r="4215" customFormat="false" ht="15" hidden="false" customHeight="true" outlineLevel="0" collapsed="false">
      <c r="A4215" s="0" t="n">
        <v>2</v>
      </c>
      <c r="B4215" s="71" t="n">
        <v>46220</v>
      </c>
      <c r="C4215" s="0" t="n">
        <v>11</v>
      </c>
      <c r="D4215" s="0" t="s">
        <v>2471</v>
      </c>
      <c r="E4215" s="0" t="n">
        <v>1613</v>
      </c>
      <c r="F4215" s="0" t="s">
        <v>50</v>
      </c>
      <c r="I4215" s="0" t="n">
        <v>1608670</v>
      </c>
      <c r="J4215" s="0" t="n">
        <v>103851</v>
      </c>
      <c r="K4215" s="0" t="n">
        <v>7893000482401</v>
      </c>
      <c r="L4215" s="0" t="s">
        <v>3759</v>
      </c>
      <c r="N4215" s="0" t="n">
        <v>12</v>
      </c>
      <c r="O4215" s="0" t="n">
        <v>196.92</v>
      </c>
      <c r="P4215" s="0" t="s">
        <v>2444</v>
      </c>
    </row>
    <row r="4216" customFormat="false" ht="15" hidden="false" customHeight="true" outlineLevel="0" collapsed="false">
      <c r="A4216" s="0" t="n">
        <v>2</v>
      </c>
      <c r="B4216" s="71" t="n">
        <v>46220</v>
      </c>
      <c r="C4216" s="0" t="n">
        <v>11</v>
      </c>
      <c r="D4216" s="0" t="s">
        <v>2471</v>
      </c>
      <c r="E4216" s="0" t="n">
        <v>1613</v>
      </c>
      <c r="F4216" s="0" t="s">
        <v>50</v>
      </c>
      <c r="I4216" s="0" t="n">
        <v>1608670</v>
      </c>
      <c r="J4216" s="0" t="n">
        <v>103851</v>
      </c>
      <c r="K4216" s="0" t="n">
        <v>7893000482401</v>
      </c>
      <c r="L4216" s="0" t="s">
        <v>3759</v>
      </c>
      <c r="N4216" s="0" t="n">
        <v>12</v>
      </c>
      <c r="O4216" s="0" t="n">
        <v>186.66</v>
      </c>
      <c r="P4216" s="0" t="s">
        <v>2444</v>
      </c>
    </row>
    <row r="4217" customFormat="false" ht="15" hidden="false" customHeight="true" outlineLevel="0" collapsed="false">
      <c r="A4217" s="0" t="n">
        <v>2</v>
      </c>
      <c r="B4217" s="71" t="n">
        <v>46220</v>
      </c>
      <c r="C4217" s="0" t="n">
        <v>11</v>
      </c>
      <c r="D4217" s="0" t="s">
        <v>2471</v>
      </c>
      <c r="E4217" s="0" t="n">
        <v>1613</v>
      </c>
      <c r="F4217" s="0" t="s">
        <v>50</v>
      </c>
      <c r="I4217" s="0" t="n">
        <v>1608670</v>
      </c>
      <c r="J4217" s="0" t="n">
        <v>12714</v>
      </c>
      <c r="K4217" s="0" t="n">
        <v>7891515901066</v>
      </c>
      <c r="L4217" s="0" t="s">
        <v>3506</v>
      </c>
      <c r="N4217" s="0" t="n">
        <v>24</v>
      </c>
      <c r="O4217" s="0" t="n">
        <v>73.44</v>
      </c>
      <c r="P4217" s="0" t="s">
        <v>2444</v>
      </c>
    </row>
    <row r="4218" customFormat="false" ht="15" hidden="false" customHeight="true" outlineLevel="0" collapsed="false">
      <c r="A4218" s="0" t="n">
        <v>2</v>
      </c>
      <c r="B4218" s="71" t="n">
        <v>46220</v>
      </c>
      <c r="C4218" s="0" t="n">
        <v>11</v>
      </c>
      <c r="D4218" s="0" t="s">
        <v>2471</v>
      </c>
      <c r="E4218" s="0" t="n">
        <v>1613</v>
      </c>
      <c r="F4218" s="0" t="s">
        <v>50</v>
      </c>
      <c r="I4218" s="0" t="n">
        <v>1608670</v>
      </c>
      <c r="J4218" s="0" t="n">
        <v>19525</v>
      </c>
      <c r="K4218" s="0" t="n">
        <v>7893000079298</v>
      </c>
      <c r="L4218" s="0" t="s">
        <v>4476</v>
      </c>
      <c r="N4218" s="0" t="n">
        <v>6</v>
      </c>
      <c r="O4218" s="0" t="n">
        <v>104.64</v>
      </c>
      <c r="P4218" s="0" t="s">
        <v>2444</v>
      </c>
    </row>
    <row r="4219" customFormat="false" ht="15" hidden="false" customHeight="true" outlineLevel="0" collapsed="false">
      <c r="A4219" s="0" t="n">
        <v>2</v>
      </c>
      <c r="B4219" s="71" t="n">
        <v>46220</v>
      </c>
      <c r="C4219" s="0" t="n">
        <v>11</v>
      </c>
      <c r="D4219" s="0" t="s">
        <v>2471</v>
      </c>
      <c r="E4219" s="0" t="n">
        <v>1613</v>
      </c>
      <c r="F4219" s="0" t="s">
        <v>50</v>
      </c>
      <c r="I4219" s="0" t="n">
        <v>1608670</v>
      </c>
      <c r="J4219" s="0" t="n">
        <v>23782</v>
      </c>
      <c r="K4219" s="0" t="n">
        <v>7891515475703</v>
      </c>
      <c r="L4219" s="0" t="s">
        <v>3509</v>
      </c>
      <c r="N4219" s="0" t="n">
        <v>6</v>
      </c>
      <c r="O4219" s="0" t="n">
        <v>128.37</v>
      </c>
      <c r="P4219" s="0" t="s">
        <v>2444</v>
      </c>
    </row>
    <row r="4220" customFormat="false" ht="15" hidden="false" customHeight="true" outlineLevel="0" collapsed="false">
      <c r="A4220" s="0" t="n">
        <v>2</v>
      </c>
      <c r="B4220" s="71" t="n">
        <v>46220</v>
      </c>
      <c r="C4220" s="0" t="n">
        <v>11</v>
      </c>
      <c r="D4220" s="0" t="s">
        <v>2471</v>
      </c>
      <c r="E4220" s="0" t="n">
        <v>1613</v>
      </c>
      <c r="F4220" s="0" t="s">
        <v>50</v>
      </c>
      <c r="I4220" s="0" t="n">
        <v>1608670</v>
      </c>
      <c r="J4220" s="0" t="n">
        <v>110181</v>
      </c>
      <c r="K4220" s="0" t="n">
        <v>37389</v>
      </c>
      <c r="L4220" s="0" t="s">
        <v>2981</v>
      </c>
      <c r="N4220" s="0" t="n">
        <v>15</v>
      </c>
      <c r="O4220" s="0" t="n">
        <v>147.23</v>
      </c>
      <c r="P4220" s="0" t="s">
        <v>2444</v>
      </c>
    </row>
    <row r="4221" customFormat="false" ht="15" hidden="false" customHeight="true" outlineLevel="0" collapsed="false">
      <c r="A4221" s="0" t="n">
        <v>2</v>
      </c>
      <c r="B4221" s="71" t="n">
        <v>46220</v>
      </c>
      <c r="C4221" s="0" t="n">
        <v>11</v>
      </c>
      <c r="D4221" s="0" t="s">
        <v>2471</v>
      </c>
      <c r="E4221" s="0" t="n">
        <v>1613</v>
      </c>
      <c r="F4221" s="0" t="s">
        <v>50</v>
      </c>
      <c r="I4221" s="0" t="n">
        <v>1608670</v>
      </c>
      <c r="J4221" s="0" t="n">
        <v>73202</v>
      </c>
      <c r="K4221" s="0" t="n">
        <v>7891515605803</v>
      </c>
      <c r="L4221" s="0" t="s">
        <v>3512</v>
      </c>
      <c r="N4221" s="0" t="n">
        <v>12</v>
      </c>
      <c r="O4221" s="0" t="n">
        <v>87.62</v>
      </c>
      <c r="P4221" s="0" t="s">
        <v>2444</v>
      </c>
    </row>
    <row r="4222" customFormat="false" ht="15" hidden="false" customHeight="true" outlineLevel="0" collapsed="false">
      <c r="A4222" s="0" t="n">
        <v>2</v>
      </c>
      <c r="B4222" s="71" t="n">
        <v>46220</v>
      </c>
      <c r="C4222" s="0" t="n">
        <v>11</v>
      </c>
      <c r="D4222" s="0" t="s">
        <v>2471</v>
      </c>
      <c r="E4222" s="0" t="n">
        <v>1608</v>
      </c>
      <c r="F4222" s="0" t="s">
        <v>240</v>
      </c>
      <c r="I4222" s="0" t="n">
        <v>1693414</v>
      </c>
      <c r="J4222" s="0" t="n">
        <v>50232</v>
      </c>
      <c r="K4222" s="0" t="n">
        <v>7891025123057</v>
      </c>
      <c r="L4222" s="0" t="s">
        <v>2639</v>
      </c>
      <c r="N4222" s="0" t="n">
        <v>4</v>
      </c>
      <c r="O4222" s="0" t="n">
        <v>10.24</v>
      </c>
      <c r="P4222" s="0" t="s">
        <v>2444</v>
      </c>
    </row>
    <row r="4223" customFormat="false" ht="15" hidden="false" customHeight="true" outlineLevel="0" collapsed="false">
      <c r="A4223" s="0" t="n">
        <v>2</v>
      </c>
      <c r="B4223" s="71" t="n">
        <v>46220</v>
      </c>
      <c r="C4223" s="0" t="n">
        <v>11</v>
      </c>
      <c r="D4223" s="0" t="s">
        <v>2471</v>
      </c>
      <c r="E4223" s="0" t="n">
        <v>1608</v>
      </c>
      <c r="F4223" s="0" t="s">
        <v>240</v>
      </c>
      <c r="I4223" s="0" t="n">
        <v>1693414</v>
      </c>
      <c r="J4223" s="0" t="n">
        <v>19906</v>
      </c>
      <c r="K4223" s="0" t="n">
        <v>7898553442933</v>
      </c>
      <c r="L4223" s="0" t="s">
        <v>2982</v>
      </c>
      <c r="N4223" s="0" t="n">
        <v>6</v>
      </c>
      <c r="O4223" s="0" t="n">
        <v>62.88</v>
      </c>
      <c r="P4223" s="0" t="s">
        <v>2444</v>
      </c>
    </row>
    <row r="4224" customFormat="false" ht="15" hidden="false" customHeight="true" outlineLevel="0" collapsed="false">
      <c r="A4224" s="0" t="n">
        <v>2</v>
      </c>
      <c r="B4224" s="71" t="n">
        <v>46220</v>
      </c>
      <c r="C4224" s="0" t="n">
        <v>11</v>
      </c>
      <c r="D4224" s="0" t="s">
        <v>2471</v>
      </c>
      <c r="E4224" s="0" t="n">
        <v>1608</v>
      </c>
      <c r="F4224" s="0" t="s">
        <v>240</v>
      </c>
      <c r="I4224" s="0" t="n">
        <v>1693414</v>
      </c>
      <c r="J4224" s="0" t="n">
        <v>20479</v>
      </c>
      <c r="K4224" s="0" t="n">
        <v>7891025101161</v>
      </c>
      <c r="L4224" s="0" t="s">
        <v>2641</v>
      </c>
      <c r="N4224" s="0" t="n">
        <v>4</v>
      </c>
      <c r="O4224" s="0" t="n">
        <v>12.84</v>
      </c>
      <c r="P4224" s="0" t="s">
        <v>2444</v>
      </c>
    </row>
    <row r="4225" customFormat="false" ht="15" hidden="false" customHeight="true" outlineLevel="0" collapsed="false">
      <c r="A4225" s="0" t="n">
        <v>2</v>
      </c>
      <c r="B4225" s="71" t="n">
        <v>46220</v>
      </c>
      <c r="C4225" s="0" t="n">
        <v>11</v>
      </c>
      <c r="D4225" s="0" t="s">
        <v>2471</v>
      </c>
      <c r="E4225" s="0" t="n">
        <v>1608</v>
      </c>
      <c r="F4225" s="0" t="s">
        <v>240</v>
      </c>
      <c r="I4225" s="0" t="n">
        <v>1693414</v>
      </c>
      <c r="J4225" s="0" t="n">
        <v>20522</v>
      </c>
      <c r="K4225" s="0" t="n">
        <v>7891025106067</v>
      </c>
      <c r="L4225" s="0" t="s">
        <v>2642</v>
      </c>
      <c r="N4225" s="0" t="n">
        <v>6</v>
      </c>
      <c r="O4225" s="0" t="n">
        <v>17.1</v>
      </c>
      <c r="P4225" s="0" t="s">
        <v>2444</v>
      </c>
    </row>
    <row r="4226" customFormat="false" ht="15" hidden="false" customHeight="true" outlineLevel="0" collapsed="false">
      <c r="A4226" s="0" t="n">
        <v>2</v>
      </c>
      <c r="B4226" s="71" t="n">
        <v>46220</v>
      </c>
      <c r="C4226" s="0" t="n">
        <v>11</v>
      </c>
      <c r="D4226" s="0" t="s">
        <v>2471</v>
      </c>
      <c r="E4226" s="0" t="n">
        <v>1608</v>
      </c>
      <c r="F4226" s="0" t="s">
        <v>240</v>
      </c>
      <c r="I4226" s="0" t="n">
        <v>1693414</v>
      </c>
      <c r="J4226" s="0" t="n">
        <v>24124</v>
      </c>
      <c r="K4226" s="0" t="n">
        <v>7891025109419</v>
      </c>
      <c r="L4226" s="0" t="s">
        <v>2644</v>
      </c>
      <c r="N4226" s="0" t="n">
        <v>2</v>
      </c>
      <c r="O4226" s="0" t="n">
        <v>6.72</v>
      </c>
      <c r="P4226" s="0" t="s">
        <v>2444</v>
      </c>
    </row>
    <row r="4227" customFormat="false" ht="15" hidden="false" customHeight="true" outlineLevel="0" collapsed="false">
      <c r="A4227" s="0" t="n">
        <v>2</v>
      </c>
      <c r="B4227" s="71" t="n">
        <v>46220</v>
      </c>
      <c r="C4227" s="0" t="n">
        <v>11</v>
      </c>
      <c r="D4227" s="0" t="s">
        <v>2471</v>
      </c>
      <c r="E4227" s="0" t="n">
        <v>1608</v>
      </c>
      <c r="F4227" s="0" t="s">
        <v>240</v>
      </c>
      <c r="I4227" s="0" t="n">
        <v>1693414</v>
      </c>
      <c r="J4227" s="0" t="n">
        <v>27141</v>
      </c>
      <c r="K4227" s="0" t="n">
        <v>7899916900329</v>
      </c>
      <c r="L4227" s="0" t="s">
        <v>2647</v>
      </c>
      <c r="N4227" s="0" t="n">
        <v>6</v>
      </c>
      <c r="O4227" s="0" t="n">
        <v>35.58</v>
      </c>
      <c r="P4227" s="0" t="s">
        <v>2444</v>
      </c>
    </row>
    <row r="4228" customFormat="false" ht="15" hidden="false" customHeight="true" outlineLevel="0" collapsed="false">
      <c r="A4228" s="0" t="n">
        <v>2</v>
      </c>
      <c r="B4228" s="71" t="n">
        <v>46220</v>
      </c>
      <c r="C4228" s="0" t="n">
        <v>11</v>
      </c>
      <c r="D4228" s="0" t="s">
        <v>2471</v>
      </c>
      <c r="E4228" s="0" t="n">
        <v>1608</v>
      </c>
      <c r="F4228" s="0" t="s">
        <v>240</v>
      </c>
      <c r="I4228" s="0" t="n">
        <v>1693414</v>
      </c>
      <c r="J4228" s="0" t="n">
        <v>31497</v>
      </c>
      <c r="K4228" s="0" t="n">
        <v>7891025117773</v>
      </c>
      <c r="L4228" s="0" t="s">
        <v>2520</v>
      </c>
      <c r="N4228" s="0" t="n">
        <v>2</v>
      </c>
      <c r="O4228" s="0" t="n">
        <v>10.6</v>
      </c>
      <c r="P4228" s="0" t="s">
        <v>2444</v>
      </c>
    </row>
    <row r="4229" customFormat="false" ht="15" hidden="false" customHeight="true" outlineLevel="0" collapsed="false">
      <c r="A4229" s="0" t="n">
        <v>2</v>
      </c>
      <c r="B4229" s="71" t="n">
        <v>46220</v>
      </c>
      <c r="C4229" s="0" t="n">
        <v>11</v>
      </c>
      <c r="D4229" s="0" t="s">
        <v>2471</v>
      </c>
      <c r="E4229" s="0" t="n">
        <v>1608</v>
      </c>
      <c r="F4229" s="0" t="s">
        <v>240</v>
      </c>
      <c r="I4229" s="0" t="n">
        <v>1693414</v>
      </c>
      <c r="J4229" s="0" t="n">
        <v>35359</v>
      </c>
      <c r="K4229" s="0" t="n">
        <v>7891025119869</v>
      </c>
      <c r="L4229" s="0" t="s">
        <v>2651</v>
      </c>
      <c r="N4229" s="0" t="n">
        <v>2</v>
      </c>
      <c r="O4229" s="0" t="n">
        <v>24.4</v>
      </c>
      <c r="P4229" s="0" t="s">
        <v>2444</v>
      </c>
    </row>
    <row r="4230" customFormat="false" ht="15" hidden="false" customHeight="true" outlineLevel="0" collapsed="false">
      <c r="A4230" s="0" t="n">
        <v>2</v>
      </c>
      <c r="B4230" s="71" t="n">
        <v>46220</v>
      </c>
      <c r="C4230" s="0" t="n">
        <v>11</v>
      </c>
      <c r="D4230" s="0" t="s">
        <v>2471</v>
      </c>
      <c r="E4230" s="0" t="n">
        <v>1608</v>
      </c>
      <c r="F4230" s="0" t="s">
        <v>240</v>
      </c>
      <c r="I4230" s="0" t="n">
        <v>1693414</v>
      </c>
      <c r="J4230" s="0" t="n">
        <v>35395</v>
      </c>
      <c r="K4230" s="0" t="n">
        <v>7891025119852</v>
      </c>
      <c r="L4230" s="0" t="s">
        <v>2987</v>
      </c>
      <c r="N4230" s="0" t="n">
        <v>2</v>
      </c>
      <c r="O4230" s="0" t="n">
        <v>24.4</v>
      </c>
      <c r="P4230" s="0" t="s">
        <v>2444</v>
      </c>
    </row>
    <row r="4231" customFormat="false" ht="15" hidden="false" customHeight="true" outlineLevel="0" collapsed="false">
      <c r="A4231" s="0" t="n">
        <v>2</v>
      </c>
      <c r="B4231" s="71" t="n">
        <v>46220</v>
      </c>
      <c r="C4231" s="0" t="n">
        <v>11</v>
      </c>
      <c r="D4231" s="0" t="s">
        <v>2471</v>
      </c>
      <c r="E4231" s="0" t="n">
        <v>1608</v>
      </c>
      <c r="F4231" s="0" t="s">
        <v>240</v>
      </c>
      <c r="I4231" s="0" t="n">
        <v>1693414</v>
      </c>
      <c r="J4231" s="0" t="n">
        <v>35841</v>
      </c>
      <c r="K4231" s="0" t="n">
        <v>7891025120223</v>
      </c>
      <c r="L4231" s="0" t="s">
        <v>2988</v>
      </c>
      <c r="N4231" s="0" t="n">
        <v>4</v>
      </c>
      <c r="O4231" s="0" t="n">
        <v>14.32</v>
      </c>
      <c r="P4231" s="0" t="s">
        <v>2444</v>
      </c>
    </row>
    <row r="4232" customFormat="false" ht="15" hidden="false" customHeight="true" outlineLevel="0" collapsed="false">
      <c r="A4232" s="0" t="n">
        <v>2</v>
      </c>
      <c r="B4232" s="71" t="n">
        <v>46220</v>
      </c>
      <c r="C4232" s="0" t="n">
        <v>11</v>
      </c>
      <c r="D4232" s="0" t="s">
        <v>2471</v>
      </c>
      <c r="E4232" s="0" t="n">
        <v>1608</v>
      </c>
      <c r="F4232" s="0" t="s">
        <v>240</v>
      </c>
      <c r="I4232" s="0" t="n">
        <v>1693414</v>
      </c>
      <c r="J4232" s="0" t="n">
        <v>37024</v>
      </c>
      <c r="K4232" s="0" t="n">
        <v>7891025121251</v>
      </c>
      <c r="L4232" s="0" t="s">
        <v>2523</v>
      </c>
      <c r="N4232" s="0" t="n">
        <v>2</v>
      </c>
      <c r="O4232" s="0" t="n">
        <v>7.16</v>
      </c>
      <c r="P4232" s="0" t="s">
        <v>2444</v>
      </c>
    </row>
    <row r="4233" customFormat="false" ht="15" hidden="false" customHeight="true" outlineLevel="0" collapsed="false">
      <c r="A4233" s="0" t="n">
        <v>2</v>
      </c>
      <c r="B4233" s="71" t="n">
        <v>46220</v>
      </c>
      <c r="C4233" s="0" t="n">
        <v>11</v>
      </c>
      <c r="D4233" s="0" t="s">
        <v>2471</v>
      </c>
      <c r="E4233" s="0" t="n">
        <v>1608</v>
      </c>
      <c r="F4233" s="0" t="s">
        <v>240</v>
      </c>
      <c r="I4233" s="0" t="n">
        <v>1693414</v>
      </c>
      <c r="J4233" s="0" t="n">
        <v>37558</v>
      </c>
      <c r="K4233" s="0" t="n">
        <v>7891025101376</v>
      </c>
      <c r="L4233" s="0" t="s">
        <v>2652</v>
      </c>
      <c r="N4233" s="0" t="n">
        <v>6</v>
      </c>
      <c r="O4233" s="0" t="n">
        <v>19.26</v>
      </c>
      <c r="P4233" s="0" t="s">
        <v>2444</v>
      </c>
    </row>
    <row r="4234" customFormat="false" ht="15" hidden="false" customHeight="true" outlineLevel="0" collapsed="false">
      <c r="A4234" s="0" t="n">
        <v>2</v>
      </c>
      <c r="B4234" s="71" t="n">
        <v>46220</v>
      </c>
      <c r="C4234" s="0" t="n">
        <v>11</v>
      </c>
      <c r="D4234" s="0" t="s">
        <v>2471</v>
      </c>
      <c r="E4234" s="0" t="n">
        <v>1608</v>
      </c>
      <c r="F4234" s="0" t="s">
        <v>240</v>
      </c>
      <c r="I4234" s="0" t="n">
        <v>1693414</v>
      </c>
      <c r="J4234" s="0" t="n">
        <v>37980</v>
      </c>
      <c r="K4234" s="0" t="n">
        <v>7891025121640</v>
      </c>
      <c r="L4234" s="0" t="s">
        <v>2989</v>
      </c>
      <c r="N4234" s="0" t="n">
        <v>2</v>
      </c>
      <c r="O4234" s="0" t="n">
        <v>14.72</v>
      </c>
      <c r="P4234" s="0" t="s">
        <v>2444</v>
      </c>
    </row>
    <row r="4235" customFormat="false" ht="15" hidden="false" customHeight="true" outlineLevel="0" collapsed="false">
      <c r="A4235" s="0" t="n">
        <v>2</v>
      </c>
      <c r="B4235" s="71" t="n">
        <v>46220</v>
      </c>
      <c r="C4235" s="0" t="n">
        <v>11</v>
      </c>
      <c r="D4235" s="0" t="s">
        <v>2471</v>
      </c>
      <c r="E4235" s="0" t="n">
        <v>1608</v>
      </c>
      <c r="F4235" s="0" t="s">
        <v>240</v>
      </c>
      <c r="I4235" s="0" t="n">
        <v>1693414</v>
      </c>
      <c r="J4235" s="0" t="n">
        <v>50877</v>
      </c>
      <c r="K4235" s="0" t="n">
        <v>7891025123040</v>
      </c>
      <c r="L4235" s="0" t="s">
        <v>2990</v>
      </c>
      <c r="N4235" s="0" t="n">
        <v>4</v>
      </c>
      <c r="O4235" s="0" t="n">
        <v>10.24</v>
      </c>
      <c r="P4235" s="0" t="s">
        <v>2444</v>
      </c>
    </row>
    <row r="4236" customFormat="false" ht="15" hidden="false" customHeight="true" outlineLevel="0" collapsed="false">
      <c r="A4236" s="0" t="n">
        <v>2</v>
      </c>
      <c r="B4236" s="71" t="n">
        <v>46220</v>
      </c>
      <c r="C4236" s="0" t="n">
        <v>11</v>
      </c>
      <c r="D4236" s="0" t="s">
        <v>2471</v>
      </c>
      <c r="E4236" s="0" t="n">
        <v>1608</v>
      </c>
      <c r="F4236" s="0" t="s">
        <v>240</v>
      </c>
      <c r="I4236" s="0" t="n">
        <v>1693414</v>
      </c>
      <c r="J4236" s="0" t="n">
        <v>80681</v>
      </c>
      <c r="K4236" s="0" t="n">
        <v>7891025125495</v>
      </c>
      <c r="L4236" s="0" t="s">
        <v>2532</v>
      </c>
      <c r="N4236" s="0" t="n">
        <v>4</v>
      </c>
      <c r="O4236" s="0" t="n">
        <v>11.36</v>
      </c>
      <c r="P4236" s="0" t="s">
        <v>2444</v>
      </c>
    </row>
    <row r="4237" customFormat="false" ht="15" hidden="false" customHeight="true" outlineLevel="0" collapsed="false">
      <c r="A4237" s="0" t="n">
        <v>2</v>
      </c>
      <c r="B4237" s="71" t="n">
        <v>46220</v>
      </c>
      <c r="C4237" s="0" t="n">
        <v>22</v>
      </c>
      <c r="D4237" s="0" t="s">
        <v>2479</v>
      </c>
      <c r="E4237" s="0" t="n">
        <v>48</v>
      </c>
      <c r="F4237" s="0" t="s">
        <v>153</v>
      </c>
      <c r="I4237" s="0" t="n">
        <v>2549</v>
      </c>
      <c r="J4237" s="0" t="n">
        <v>100007</v>
      </c>
      <c r="K4237" s="0" t="n">
        <v>8</v>
      </c>
      <c r="L4237" s="0" t="s">
        <v>2486</v>
      </c>
      <c r="N4237" s="0" t="n">
        <v>1.068</v>
      </c>
      <c r="O4237" s="0" t="n">
        <v>28.73</v>
      </c>
      <c r="P4237" s="0" t="s">
        <v>2444</v>
      </c>
    </row>
    <row r="4238" customFormat="false" ht="15" hidden="false" customHeight="true" outlineLevel="0" collapsed="false">
      <c r="A4238" s="0" t="n">
        <v>2</v>
      </c>
      <c r="B4238" s="71" t="n">
        <v>46220</v>
      </c>
      <c r="C4238" s="0" t="n">
        <v>22</v>
      </c>
      <c r="D4238" s="0" t="s">
        <v>2479</v>
      </c>
      <c r="E4238" s="0" t="n">
        <v>48</v>
      </c>
      <c r="F4238" s="0" t="s">
        <v>153</v>
      </c>
      <c r="I4238" s="0" t="n">
        <v>2549</v>
      </c>
      <c r="J4238" s="0" t="n">
        <v>100008</v>
      </c>
      <c r="K4238" s="0" t="n">
        <v>9</v>
      </c>
      <c r="L4238" s="0" t="s">
        <v>2487</v>
      </c>
      <c r="N4238" s="0" t="n">
        <v>25.935</v>
      </c>
      <c r="O4238" s="0" t="n">
        <v>903.77</v>
      </c>
      <c r="P4238" s="0" t="s">
        <v>2444</v>
      </c>
    </row>
    <row r="4239" customFormat="false" ht="15" hidden="false" customHeight="true" outlineLevel="0" collapsed="false">
      <c r="A4239" s="0" t="n">
        <v>2</v>
      </c>
      <c r="B4239" s="71" t="n">
        <v>46220</v>
      </c>
      <c r="C4239" s="0" t="n">
        <v>22</v>
      </c>
      <c r="D4239" s="0" t="s">
        <v>2479</v>
      </c>
      <c r="E4239" s="0" t="n">
        <v>48</v>
      </c>
      <c r="F4239" s="0" t="s">
        <v>153</v>
      </c>
      <c r="I4239" s="0" t="n">
        <v>2549</v>
      </c>
      <c r="J4239" s="0" t="n">
        <v>100016</v>
      </c>
      <c r="K4239" s="0" t="n">
        <v>17</v>
      </c>
      <c r="L4239" s="0" t="s">
        <v>2493</v>
      </c>
      <c r="N4239" s="0" t="n">
        <v>3.16</v>
      </c>
      <c r="O4239" s="0" t="n">
        <v>197.38</v>
      </c>
      <c r="P4239" s="0" t="s">
        <v>2444</v>
      </c>
    </row>
    <row r="4240" customFormat="false" ht="15" hidden="false" customHeight="true" outlineLevel="0" collapsed="false">
      <c r="A4240" s="0" t="n">
        <v>2</v>
      </c>
      <c r="B4240" s="71" t="n">
        <v>46220</v>
      </c>
      <c r="C4240" s="0" t="n">
        <v>22</v>
      </c>
      <c r="D4240" s="0" t="s">
        <v>2479</v>
      </c>
      <c r="E4240" s="0" t="n">
        <v>48</v>
      </c>
      <c r="F4240" s="0" t="s">
        <v>153</v>
      </c>
      <c r="I4240" s="0" t="n">
        <v>2549</v>
      </c>
      <c r="J4240" s="0" t="n">
        <v>100019</v>
      </c>
      <c r="K4240" s="0" t="n">
        <v>20</v>
      </c>
      <c r="L4240" s="0" t="s">
        <v>3779</v>
      </c>
      <c r="N4240" s="0" t="n">
        <v>0.938</v>
      </c>
      <c r="O4240" s="0" t="n">
        <v>35.01</v>
      </c>
      <c r="P4240" s="0" t="s">
        <v>2444</v>
      </c>
    </row>
    <row r="4241" customFormat="false" ht="15" hidden="false" customHeight="true" outlineLevel="0" collapsed="false">
      <c r="A4241" s="0" t="n">
        <v>2</v>
      </c>
      <c r="B4241" s="71" t="n">
        <v>46220</v>
      </c>
      <c r="C4241" s="0" t="n">
        <v>22</v>
      </c>
      <c r="D4241" s="0" t="s">
        <v>2479</v>
      </c>
      <c r="E4241" s="0" t="n">
        <v>48</v>
      </c>
      <c r="F4241" s="0" t="s">
        <v>153</v>
      </c>
      <c r="I4241" s="0" t="n">
        <v>2549</v>
      </c>
      <c r="J4241" s="0" t="n">
        <v>100053</v>
      </c>
      <c r="K4241" s="0" t="n">
        <v>54</v>
      </c>
      <c r="L4241" s="0" t="s">
        <v>2495</v>
      </c>
      <c r="N4241" s="0" t="n">
        <v>2.348</v>
      </c>
      <c r="O4241" s="0" t="n">
        <v>92.58</v>
      </c>
      <c r="P4241" s="0" t="s">
        <v>2444</v>
      </c>
    </row>
    <row r="4242" customFormat="false" ht="15" hidden="false" customHeight="true" outlineLevel="0" collapsed="false">
      <c r="A4242" s="0" t="n">
        <v>2</v>
      </c>
      <c r="B4242" s="71" t="n">
        <v>46220</v>
      </c>
      <c r="C4242" s="0" t="n">
        <v>22</v>
      </c>
      <c r="D4242" s="0" t="s">
        <v>2479</v>
      </c>
      <c r="E4242" s="0" t="n">
        <v>48</v>
      </c>
      <c r="F4242" s="0" t="s">
        <v>153</v>
      </c>
      <c r="I4242" s="0" t="n">
        <v>2549</v>
      </c>
      <c r="J4242" s="0" t="n">
        <v>100638</v>
      </c>
      <c r="K4242" s="0" t="n">
        <v>508</v>
      </c>
      <c r="L4242" s="0" t="s">
        <v>2496</v>
      </c>
      <c r="N4242" s="0" t="n">
        <v>2</v>
      </c>
      <c r="O4242" s="0" t="n">
        <v>5.34</v>
      </c>
      <c r="P4242" s="0" t="s">
        <v>2444</v>
      </c>
    </row>
    <row r="4243" customFormat="false" ht="15" hidden="false" customHeight="true" outlineLevel="0" collapsed="false">
      <c r="A4243" s="0" t="n">
        <v>2</v>
      </c>
      <c r="B4243" s="71" t="n">
        <v>46220</v>
      </c>
      <c r="C4243" s="0" t="n">
        <v>22</v>
      </c>
      <c r="D4243" s="0" t="s">
        <v>2479</v>
      </c>
      <c r="E4243" s="0" t="n">
        <v>48</v>
      </c>
      <c r="F4243" s="0" t="s">
        <v>153</v>
      </c>
      <c r="I4243" s="0" t="n">
        <v>2549</v>
      </c>
      <c r="J4243" s="0" t="n">
        <v>100520</v>
      </c>
      <c r="K4243" s="0" t="n">
        <v>507</v>
      </c>
      <c r="L4243" s="0" t="s">
        <v>2497</v>
      </c>
      <c r="N4243" s="0" t="n">
        <v>2.658</v>
      </c>
      <c r="O4243" s="0" t="n">
        <v>7.13</v>
      </c>
      <c r="P4243" s="0" t="s">
        <v>2444</v>
      </c>
    </row>
    <row r="4244" customFormat="false" ht="15" hidden="false" customHeight="true" outlineLevel="0" collapsed="false">
      <c r="A4244" s="0" t="n">
        <v>2</v>
      </c>
      <c r="B4244" s="71" t="n">
        <v>46220</v>
      </c>
      <c r="C4244" s="0" t="n">
        <v>22</v>
      </c>
      <c r="D4244" s="0" t="s">
        <v>2479</v>
      </c>
      <c r="E4244" s="0" t="n">
        <v>48</v>
      </c>
      <c r="F4244" s="0" t="s">
        <v>153</v>
      </c>
      <c r="I4244" s="0" t="n">
        <v>2549</v>
      </c>
      <c r="J4244" s="0" t="n">
        <v>110455</v>
      </c>
      <c r="K4244" s="0" t="n">
        <v>53212</v>
      </c>
      <c r="L4244" s="0" t="s">
        <v>2498</v>
      </c>
      <c r="N4244" s="0" t="n">
        <v>0.493</v>
      </c>
      <c r="O4244" s="0" t="n">
        <v>0.01</v>
      </c>
      <c r="P4244" s="0" t="s">
        <v>2444</v>
      </c>
    </row>
    <row r="4245" customFormat="false" ht="15" hidden="false" customHeight="true" outlineLevel="0" collapsed="false">
      <c r="A4245" s="0" t="n">
        <v>2</v>
      </c>
      <c r="B4245" s="71" t="n">
        <v>46220</v>
      </c>
      <c r="C4245" s="0" t="n">
        <v>100</v>
      </c>
      <c r="D4245" s="0" t="s">
        <v>2499</v>
      </c>
      <c r="E4245" s="0" t="n">
        <v>48</v>
      </c>
      <c r="F4245" s="0" t="s">
        <v>153</v>
      </c>
      <c r="I4245" s="0" t="n">
        <v>1411862</v>
      </c>
      <c r="J4245" s="0" t="n">
        <v>100007</v>
      </c>
      <c r="K4245" s="0" t="n">
        <v>8</v>
      </c>
      <c r="L4245" s="0" t="s">
        <v>2486</v>
      </c>
      <c r="N4245" s="0" t="n">
        <v>0.682</v>
      </c>
      <c r="O4245" s="0" t="n">
        <v>18.54</v>
      </c>
      <c r="P4245" s="0" t="s">
        <v>2444</v>
      </c>
    </row>
    <row r="4246" customFormat="false" ht="15" hidden="false" customHeight="true" outlineLevel="0" collapsed="false">
      <c r="A4246" s="0" t="n">
        <v>2</v>
      </c>
      <c r="B4246" s="71" t="n">
        <v>46220</v>
      </c>
      <c r="C4246" s="0" t="n">
        <v>100</v>
      </c>
      <c r="D4246" s="0" t="s">
        <v>2499</v>
      </c>
      <c r="E4246" s="0" t="n">
        <v>48</v>
      </c>
      <c r="F4246" s="0" t="s">
        <v>153</v>
      </c>
      <c r="I4246" s="0" t="n">
        <v>1411862</v>
      </c>
      <c r="J4246" s="0" t="n">
        <v>100008</v>
      </c>
      <c r="K4246" s="0" t="n">
        <v>9</v>
      </c>
      <c r="L4246" s="0" t="s">
        <v>2487</v>
      </c>
      <c r="N4246" s="0" t="n">
        <v>13.44</v>
      </c>
      <c r="O4246" s="0" t="n">
        <v>475.12</v>
      </c>
      <c r="P4246" s="0" t="s">
        <v>2444</v>
      </c>
    </row>
    <row r="4247" customFormat="false" ht="15" hidden="false" customHeight="true" outlineLevel="0" collapsed="false">
      <c r="A4247" s="0" t="n">
        <v>2</v>
      </c>
      <c r="B4247" s="71" t="n">
        <v>46220</v>
      </c>
      <c r="C4247" s="0" t="n">
        <v>100</v>
      </c>
      <c r="D4247" s="0" t="s">
        <v>2499</v>
      </c>
      <c r="E4247" s="0" t="n">
        <v>48</v>
      </c>
      <c r="F4247" s="0" t="s">
        <v>153</v>
      </c>
      <c r="I4247" s="0" t="n">
        <v>1411862</v>
      </c>
      <c r="J4247" s="0" t="n">
        <v>100016</v>
      </c>
      <c r="K4247" s="0" t="n">
        <v>17</v>
      </c>
      <c r="L4247" s="0" t="s">
        <v>2493</v>
      </c>
      <c r="N4247" s="0" t="n">
        <v>1.48</v>
      </c>
      <c r="O4247" s="0" t="n">
        <v>93.92</v>
      </c>
      <c r="P4247" s="0" t="s">
        <v>2444</v>
      </c>
    </row>
    <row r="4248" customFormat="false" ht="15" hidden="false" customHeight="true" outlineLevel="0" collapsed="false">
      <c r="A4248" s="0" t="n">
        <v>2</v>
      </c>
      <c r="B4248" s="71" t="n">
        <v>46220</v>
      </c>
      <c r="C4248" s="0" t="n">
        <v>100</v>
      </c>
      <c r="D4248" s="0" t="s">
        <v>2499</v>
      </c>
      <c r="E4248" s="0" t="n">
        <v>48</v>
      </c>
      <c r="F4248" s="0" t="s">
        <v>153</v>
      </c>
      <c r="I4248" s="0" t="n">
        <v>1411862</v>
      </c>
      <c r="J4248" s="0" t="n">
        <v>100019</v>
      </c>
      <c r="K4248" s="0" t="n">
        <v>20</v>
      </c>
      <c r="L4248" s="0" t="s">
        <v>3779</v>
      </c>
      <c r="N4248" s="0" t="n">
        <v>0.32</v>
      </c>
      <c r="O4248" s="0" t="n">
        <v>12.18</v>
      </c>
      <c r="P4248" s="0" t="s">
        <v>2444</v>
      </c>
    </row>
    <row r="4249" customFormat="false" ht="15" hidden="false" customHeight="true" outlineLevel="0" collapsed="false">
      <c r="A4249" s="0" t="n">
        <v>2</v>
      </c>
      <c r="B4249" s="71" t="n">
        <v>46220</v>
      </c>
      <c r="C4249" s="0" t="n">
        <v>100</v>
      </c>
      <c r="D4249" s="0" t="s">
        <v>2499</v>
      </c>
      <c r="E4249" s="0" t="n">
        <v>48</v>
      </c>
      <c r="F4249" s="0" t="s">
        <v>153</v>
      </c>
      <c r="I4249" s="0" t="n">
        <v>1411862</v>
      </c>
      <c r="J4249" s="0" t="n">
        <v>100053</v>
      </c>
      <c r="K4249" s="0" t="n">
        <v>54</v>
      </c>
      <c r="L4249" s="0" t="s">
        <v>2495</v>
      </c>
      <c r="N4249" s="0" t="n">
        <v>1.442</v>
      </c>
      <c r="O4249" s="0" t="n">
        <v>57.51</v>
      </c>
      <c r="P4249" s="0" t="s">
        <v>2444</v>
      </c>
    </row>
    <row r="4250" customFormat="false" ht="15" hidden="false" customHeight="true" outlineLevel="0" collapsed="false">
      <c r="A4250" s="0" t="n">
        <v>2</v>
      </c>
      <c r="B4250" s="71" t="n">
        <v>46220</v>
      </c>
      <c r="C4250" s="0" t="n">
        <v>100</v>
      </c>
      <c r="D4250" s="0" t="s">
        <v>2499</v>
      </c>
      <c r="E4250" s="0" t="n">
        <v>48</v>
      </c>
      <c r="F4250" s="0" t="s">
        <v>153</v>
      </c>
      <c r="I4250" s="0" t="n">
        <v>1411862</v>
      </c>
      <c r="J4250" s="0" t="n">
        <v>100638</v>
      </c>
      <c r="K4250" s="0" t="n">
        <v>508</v>
      </c>
      <c r="L4250" s="0" t="s">
        <v>2496</v>
      </c>
      <c r="N4250" s="0" t="n">
        <v>1</v>
      </c>
      <c r="O4250" s="0" t="n">
        <v>2.71</v>
      </c>
      <c r="P4250" s="0" t="s">
        <v>2444</v>
      </c>
    </row>
    <row r="4251" customFormat="false" ht="15" hidden="false" customHeight="true" outlineLevel="0" collapsed="false">
      <c r="A4251" s="0" t="n">
        <v>2</v>
      </c>
      <c r="B4251" s="71" t="n">
        <v>46220</v>
      </c>
      <c r="C4251" s="0" t="n">
        <v>100</v>
      </c>
      <c r="D4251" s="0" t="s">
        <v>2499</v>
      </c>
      <c r="E4251" s="0" t="n">
        <v>48</v>
      </c>
      <c r="F4251" s="0" t="s">
        <v>153</v>
      </c>
      <c r="I4251" s="0" t="n">
        <v>1411862</v>
      </c>
      <c r="J4251" s="0" t="n">
        <v>100520</v>
      </c>
      <c r="K4251" s="0" t="n">
        <v>507</v>
      </c>
      <c r="L4251" s="0" t="s">
        <v>2497</v>
      </c>
      <c r="N4251" s="0" t="n">
        <v>1.692</v>
      </c>
      <c r="O4251" s="0" t="n">
        <v>4.59</v>
      </c>
      <c r="P4251" s="0" t="s">
        <v>2444</v>
      </c>
    </row>
    <row r="4252" customFormat="false" ht="15" hidden="false" customHeight="true" outlineLevel="0" collapsed="false">
      <c r="A4252" s="0" t="n">
        <v>2</v>
      </c>
      <c r="B4252" s="71" t="n">
        <v>46220</v>
      </c>
      <c r="C4252" s="0" t="n">
        <v>100</v>
      </c>
      <c r="D4252" s="0" t="s">
        <v>2499</v>
      </c>
      <c r="E4252" s="0" t="n">
        <v>48</v>
      </c>
      <c r="F4252" s="0" t="s">
        <v>153</v>
      </c>
      <c r="I4252" s="0" t="n">
        <v>1411862</v>
      </c>
      <c r="J4252" s="0" t="n">
        <v>110455</v>
      </c>
      <c r="K4252" s="0" t="n">
        <v>53212</v>
      </c>
      <c r="L4252" s="0" t="s">
        <v>2498</v>
      </c>
      <c r="N4252" s="0" t="n">
        <v>0.144</v>
      </c>
      <c r="O4252" s="0" t="n">
        <v>0.01</v>
      </c>
      <c r="P4252" s="0" t="s">
        <v>2444</v>
      </c>
    </row>
    <row r="4253" customFormat="false" ht="15" hidden="false" customHeight="true" outlineLevel="0" collapsed="false">
      <c r="A4253" s="0" t="n">
        <v>2</v>
      </c>
      <c r="B4253" s="71" t="n">
        <v>46220</v>
      </c>
      <c r="C4253" s="0" t="n">
        <v>100</v>
      </c>
      <c r="D4253" s="0" t="s">
        <v>2499</v>
      </c>
      <c r="E4253" s="0" t="n">
        <v>48</v>
      </c>
      <c r="F4253" s="0" t="s">
        <v>153</v>
      </c>
      <c r="I4253" s="0" t="n">
        <v>1411868</v>
      </c>
      <c r="J4253" s="0" t="n">
        <v>100007</v>
      </c>
      <c r="K4253" s="0" t="n">
        <v>8</v>
      </c>
      <c r="L4253" s="0" t="s">
        <v>2486</v>
      </c>
      <c r="N4253" s="0" t="n">
        <v>0.386</v>
      </c>
      <c r="O4253" s="0" t="n">
        <v>10.19</v>
      </c>
      <c r="P4253" s="0" t="s">
        <v>2444</v>
      </c>
    </row>
    <row r="4254" customFormat="false" ht="15" hidden="false" customHeight="true" outlineLevel="0" collapsed="false">
      <c r="A4254" s="0" t="n">
        <v>2</v>
      </c>
      <c r="B4254" s="71" t="n">
        <v>46220</v>
      </c>
      <c r="C4254" s="0" t="n">
        <v>100</v>
      </c>
      <c r="D4254" s="0" t="s">
        <v>2499</v>
      </c>
      <c r="E4254" s="0" t="n">
        <v>48</v>
      </c>
      <c r="F4254" s="0" t="s">
        <v>153</v>
      </c>
      <c r="I4254" s="0" t="n">
        <v>1411868</v>
      </c>
      <c r="J4254" s="0" t="n">
        <v>100008</v>
      </c>
      <c r="K4254" s="0" t="n">
        <v>9</v>
      </c>
      <c r="L4254" s="0" t="s">
        <v>2487</v>
      </c>
      <c r="N4254" s="0" t="n">
        <v>12.495</v>
      </c>
      <c r="O4254" s="0" t="n">
        <v>428.65</v>
      </c>
      <c r="P4254" s="0" t="s">
        <v>2444</v>
      </c>
    </row>
    <row r="4255" customFormat="false" ht="15" hidden="false" customHeight="true" outlineLevel="0" collapsed="false">
      <c r="A4255" s="0" t="n">
        <v>2</v>
      </c>
      <c r="B4255" s="71" t="n">
        <v>46220</v>
      </c>
      <c r="C4255" s="0" t="n">
        <v>100</v>
      </c>
      <c r="D4255" s="0" t="s">
        <v>2499</v>
      </c>
      <c r="E4255" s="0" t="n">
        <v>48</v>
      </c>
      <c r="F4255" s="0" t="s">
        <v>153</v>
      </c>
      <c r="I4255" s="0" t="n">
        <v>1411868</v>
      </c>
      <c r="J4255" s="0" t="n">
        <v>100016</v>
      </c>
      <c r="K4255" s="0" t="n">
        <v>17</v>
      </c>
      <c r="L4255" s="0" t="s">
        <v>2493</v>
      </c>
      <c r="N4255" s="0" t="n">
        <v>1.68</v>
      </c>
      <c r="O4255" s="0" t="n">
        <v>103.46</v>
      </c>
      <c r="P4255" s="0" t="s">
        <v>2444</v>
      </c>
    </row>
    <row r="4256" customFormat="false" ht="15" hidden="false" customHeight="true" outlineLevel="0" collapsed="false">
      <c r="A4256" s="0" t="n">
        <v>2</v>
      </c>
      <c r="B4256" s="71" t="n">
        <v>46220</v>
      </c>
      <c r="C4256" s="0" t="n">
        <v>100</v>
      </c>
      <c r="D4256" s="0" t="s">
        <v>2499</v>
      </c>
      <c r="E4256" s="0" t="n">
        <v>48</v>
      </c>
      <c r="F4256" s="0" t="s">
        <v>153</v>
      </c>
      <c r="I4256" s="0" t="n">
        <v>1411868</v>
      </c>
      <c r="J4256" s="0" t="n">
        <v>100019</v>
      </c>
      <c r="K4256" s="0" t="n">
        <v>20</v>
      </c>
      <c r="L4256" s="0" t="s">
        <v>3779</v>
      </c>
      <c r="N4256" s="0" t="n">
        <v>0.618</v>
      </c>
      <c r="O4256" s="0" t="n">
        <v>22.83</v>
      </c>
      <c r="P4256" s="0" t="s">
        <v>2444</v>
      </c>
    </row>
    <row r="4257" customFormat="false" ht="15" hidden="false" customHeight="true" outlineLevel="0" collapsed="false">
      <c r="A4257" s="0" t="n">
        <v>2</v>
      </c>
      <c r="B4257" s="71" t="n">
        <v>46220</v>
      </c>
      <c r="C4257" s="0" t="n">
        <v>100</v>
      </c>
      <c r="D4257" s="0" t="s">
        <v>2499</v>
      </c>
      <c r="E4257" s="0" t="n">
        <v>48</v>
      </c>
      <c r="F4257" s="0" t="s">
        <v>153</v>
      </c>
      <c r="I4257" s="0" t="n">
        <v>1411868</v>
      </c>
      <c r="J4257" s="0" t="n">
        <v>100053</v>
      </c>
      <c r="K4257" s="0" t="n">
        <v>54</v>
      </c>
      <c r="L4257" s="0" t="s">
        <v>2495</v>
      </c>
      <c r="N4257" s="0" t="n">
        <v>0.906</v>
      </c>
      <c r="O4257" s="0" t="n">
        <v>35.07</v>
      </c>
      <c r="P4257" s="0" t="s">
        <v>2444</v>
      </c>
    </row>
    <row r="4258" customFormat="false" ht="15" hidden="false" customHeight="true" outlineLevel="0" collapsed="false">
      <c r="A4258" s="0" t="n">
        <v>2</v>
      </c>
      <c r="B4258" s="71" t="n">
        <v>46220</v>
      </c>
      <c r="C4258" s="0" t="n">
        <v>100</v>
      </c>
      <c r="D4258" s="0" t="s">
        <v>2499</v>
      </c>
      <c r="E4258" s="0" t="n">
        <v>48</v>
      </c>
      <c r="F4258" s="0" t="s">
        <v>153</v>
      </c>
      <c r="I4258" s="0" t="n">
        <v>1411868</v>
      </c>
      <c r="J4258" s="0" t="n">
        <v>100638</v>
      </c>
      <c r="K4258" s="0" t="n">
        <v>508</v>
      </c>
      <c r="L4258" s="0" t="s">
        <v>2496</v>
      </c>
      <c r="N4258" s="0" t="n">
        <v>1</v>
      </c>
      <c r="O4258" s="0" t="n">
        <v>2.63</v>
      </c>
      <c r="P4258" s="0" t="s">
        <v>2444</v>
      </c>
    </row>
    <row r="4259" customFormat="false" ht="15" hidden="false" customHeight="true" outlineLevel="0" collapsed="false">
      <c r="A4259" s="0" t="n">
        <v>2</v>
      </c>
      <c r="B4259" s="71" t="n">
        <v>46220</v>
      </c>
      <c r="C4259" s="0" t="n">
        <v>100</v>
      </c>
      <c r="D4259" s="0" t="s">
        <v>2499</v>
      </c>
      <c r="E4259" s="0" t="n">
        <v>48</v>
      </c>
      <c r="F4259" s="0" t="s">
        <v>153</v>
      </c>
      <c r="I4259" s="0" t="n">
        <v>1411868</v>
      </c>
      <c r="J4259" s="0" t="n">
        <v>100520</v>
      </c>
      <c r="K4259" s="0" t="n">
        <v>507</v>
      </c>
      <c r="L4259" s="0" t="s">
        <v>2497</v>
      </c>
      <c r="N4259" s="0" t="n">
        <v>0.966</v>
      </c>
      <c r="O4259" s="0" t="n">
        <v>2.54</v>
      </c>
      <c r="P4259" s="0" t="s">
        <v>2444</v>
      </c>
    </row>
    <row r="4260" customFormat="false" ht="15" hidden="false" customHeight="true" outlineLevel="0" collapsed="false">
      <c r="A4260" s="0" t="n">
        <v>2</v>
      </c>
      <c r="B4260" s="71" t="n">
        <v>46220</v>
      </c>
      <c r="C4260" s="0" t="n">
        <v>100</v>
      </c>
      <c r="D4260" s="0" t="s">
        <v>2499</v>
      </c>
      <c r="E4260" s="0" t="n">
        <v>48</v>
      </c>
      <c r="F4260" s="0" t="s">
        <v>153</v>
      </c>
      <c r="I4260" s="0" t="n">
        <v>1411868</v>
      </c>
      <c r="J4260" s="0" t="n">
        <v>110455</v>
      </c>
      <c r="K4260" s="0" t="n">
        <v>53212</v>
      </c>
      <c r="L4260" s="0" t="s">
        <v>2498</v>
      </c>
      <c r="N4260" s="0" t="n">
        <v>0.349</v>
      </c>
      <c r="O4260" s="0" t="n">
        <v>0</v>
      </c>
      <c r="P4260" s="0" t="s">
        <v>2444</v>
      </c>
    </row>
    <row r="4261" customFormat="false" ht="15" hidden="false" customHeight="true" outlineLevel="0" collapsed="false">
      <c r="A4261" s="0" t="n">
        <v>2</v>
      </c>
      <c r="B4261" s="71" t="n">
        <v>46221</v>
      </c>
      <c r="C4261" s="0" t="n">
        <v>11</v>
      </c>
      <c r="D4261" s="0" t="s">
        <v>2471</v>
      </c>
      <c r="E4261" s="0" t="n">
        <v>10096</v>
      </c>
      <c r="F4261" s="0" t="s">
        <v>622</v>
      </c>
      <c r="I4261" s="0" t="n">
        <v>35</v>
      </c>
      <c r="J4261" s="0" t="n">
        <v>61580</v>
      </c>
      <c r="K4261" s="0" t="n">
        <v>2258157</v>
      </c>
      <c r="L4261" s="0" t="s">
        <v>2509</v>
      </c>
      <c r="N4261" s="0" t="n">
        <v>10</v>
      </c>
      <c r="O4261" s="0" t="n">
        <v>120</v>
      </c>
      <c r="P4261" s="0" t="s">
        <v>2444</v>
      </c>
    </row>
    <row r="4262" customFormat="false" ht="15" hidden="false" customHeight="true" outlineLevel="0" collapsed="false">
      <c r="A4262" s="0" t="n">
        <v>2</v>
      </c>
      <c r="B4262" s="71" t="n">
        <v>46221</v>
      </c>
      <c r="C4262" s="0" t="n">
        <v>11</v>
      </c>
      <c r="D4262" s="0" t="s">
        <v>2471</v>
      </c>
      <c r="E4262" s="0" t="n">
        <v>642</v>
      </c>
      <c r="F4262" s="0" t="s">
        <v>123</v>
      </c>
      <c r="I4262" s="0" t="n">
        <v>535</v>
      </c>
      <c r="J4262" s="0" t="n">
        <v>71766</v>
      </c>
      <c r="K4262" s="0" t="n">
        <v>779180</v>
      </c>
      <c r="L4262" s="0" t="s">
        <v>2501</v>
      </c>
      <c r="N4262" s="0" t="n">
        <v>15</v>
      </c>
      <c r="O4262" s="0" t="n">
        <v>180</v>
      </c>
      <c r="P4262" s="0" t="s">
        <v>2444</v>
      </c>
    </row>
    <row r="4263" customFormat="false" ht="15" hidden="false" customHeight="true" outlineLevel="0" collapsed="false">
      <c r="A4263" s="0" t="n">
        <v>2</v>
      </c>
      <c r="B4263" s="71" t="n">
        <v>46221</v>
      </c>
      <c r="C4263" s="0" t="n">
        <v>11</v>
      </c>
      <c r="D4263" s="0" t="s">
        <v>2471</v>
      </c>
      <c r="E4263" s="0" t="n">
        <v>1671</v>
      </c>
      <c r="F4263" s="0" t="s">
        <v>119</v>
      </c>
      <c r="I4263" s="0" t="n">
        <v>580863</v>
      </c>
      <c r="J4263" s="0" t="n">
        <v>100169</v>
      </c>
      <c r="K4263" s="0" t="n">
        <v>7891024115107</v>
      </c>
      <c r="L4263" s="0" t="s">
        <v>4477</v>
      </c>
      <c r="N4263" s="0" t="n">
        <v>1</v>
      </c>
      <c r="O4263" s="0" t="n">
        <v>12.93</v>
      </c>
      <c r="P4263" s="0" t="s">
        <v>2444</v>
      </c>
    </row>
    <row r="4264" customFormat="false" ht="15" hidden="false" customHeight="true" outlineLevel="0" collapsed="false">
      <c r="A4264" s="0" t="n">
        <v>2</v>
      </c>
      <c r="B4264" s="71" t="n">
        <v>46221</v>
      </c>
      <c r="C4264" s="0" t="n">
        <v>11</v>
      </c>
      <c r="D4264" s="0" t="s">
        <v>2471</v>
      </c>
      <c r="E4264" s="0" t="n">
        <v>1671</v>
      </c>
      <c r="F4264" s="0" t="s">
        <v>119</v>
      </c>
      <c r="I4264" s="0" t="n">
        <v>580863</v>
      </c>
      <c r="J4264" s="0" t="n">
        <v>30195</v>
      </c>
      <c r="K4264" s="0" t="n">
        <v>7891024035078</v>
      </c>
      <c r="L4264" s="0" t="s">
        <v>3781</v>
      </c>
      <c r="N4264" s="0" t="n">
        <v>1</v>
      </c>
      <c r="O4264" s="0" t="n">
        <v>3.23</v>
      </c>
      <c r="P4264" s="0" t="s">
        <v>2444</v>
      </c>
    </row>
    <row r="4265" customFormat="false" ht="15" hidden="false" customHeight="true" outlineLevel="0" collapsed="false">
      <c r="A4265" s="0" t="n">
        <v>2</v>
      </c>
      <c r="B4265" s="71" t="n">
        <v>46221</v>
      </c>
      <c r="C4265" s="0" t="n">
        <v>11</v>
      </c>
      <c r="D4265" s="0" t="s">
        <v>2471</v>
      </c>
      <c r="E4265" s="0" t="n">
        <v>1671</v>
      </c>
      <c r="F4265" s="0" t="s">
        <v>119</v>
      </c>
      <c r="I4265" s="0" t="n">
        <v>580863</v>
      </c>
      <c r="J4265" s="0" t="n">
        <v>40080</v>
      </c>
      <c r="K4265" s="0" t="n">
        <v>7509546675121</v>
      </c>
      <c r="L4265" s="0" t="s">
        <v>4478</v>
      </c>
      <c r="N4265" s="0" t="n">
        <v>12</v>
      </c>
      <c r="O4265" s="0" t="n">
        <v>57</v>
      </c>
      <c r="P4265" s="0" t="s">
        <v>2444</v>
      </c>
    </row>
    <row r="4266" customFormat="false" ht="15" hidden="false" customHeight="true" outlineLevel="0" collapsed="false">
      <c r="A4266" s="0" t="n">
        <v>2</v>
      </c>
      <c r="B4266" s="71" t="n">
        <v>46221</v>
      </c>
      <c r="C4266" s="0" t="n">
        <v>11</v>
      </c>
      <c r="D4266" s="0" t="s">
        <v>2471</v>
      </c>
      <c r="E4266" s="0" t="n">
        <v>1671</v>
      </c>
      <c r="F4266" s="0" t="s">
        <v>119</v>
      </c>
      <c r="I4266" s="0" t="n">
        <v>580863</v>
      </c>
      <c r="J4266" s="0" t="n">
        <v>101010</v>
      </c>
      <c r="K4266" s="0" t="n">
        <v>7891024181072</v>
      </c>
      <c r="L4266" s="0" t="s">
        <v>3782</v>
      </c>
      <c r="N4266" s="0" t="n">
        <v>6</v>
      </c>
      <c r="O4266" s="0" t="n">
        <v>41.34</v>
      </c>
      <c r="P4266" s="0" t="s">
        <v>2444</v>
      </c>
    </row>
    <row r="4267" customFormat="false" ht="15" hidden="false" customHeight="true" outlineLevel="0" collapsed="false">
      <c r="A4267" s="0" t="n">
        <v>2</v>
      </c>
      <c r="B4267" s="71" t="n">
        <v>46221</v>
      </c>
      <c r="C4267" s="0" t="n">
        <v>11</v>
      </c>
      <c r="D4267" s="0" t="s">
        <v>2471</v>
      </c>
      <c r="E4267" s="0" t="n">
        <v>1671</v>
      </c>
      <c r="F4267" s="0" t="s">
        <v>119</v>
      </c>
      <c r="I4267" s="0" t="n">
        <v>580863</v>
      </c>
      <c r="J4267" s="0" t="n">
        <v>101153</v>
      </c>
      <c r="K4267" s="0" t="n">
        <v>7891024184271</v>
      </c>
      <c r="L4267" s="0" t="s">
        <v>3783</v>
      </c>
      <c r="N4267" s="0" t="n">
        <v>1</v>
      </c>
      <c r="O4267" s="0" t="n">
        <v>6.95</v>
      </c>
      <c r="P4267" s="0" t="s">
        <v>2444</v>
      </c>
    </row>
    <row r="4268" customFormat="false" ht="15" hidden="false" customHeight="true" outlineLevel="0" collapsed="false">
      <c r="A4268" s="0" t="n">
        <v>2</v>
      </c>
      <c r="B4268" s="71" t="n">
        <v>46221</v>
      </c>
      <c r="C4268" s="0" t="n">
        <v>11</v>
      </c>
      <c r="D4268" s="0" t="s">
        <v>2471</v>
      </c>
      <c r="E4268" s="0" t="n">
        <v>1671</v>
      </c>
      <c r="F4268" s="0" t="s">
        <v>119</v>
      </c>
      <c r="I4268" s="0" t="n">
        <v>580863</v>
      </c>
      <c r="J4268" s="0" t="n">
        <v>101154</v>
      </c>
      <c r="K4268" s="0" t="n">
        <v>7891024182475</v>
      </c>
      <c r="L4268" s="0" t="s">
        <v>4479</v>
      </c>
      <c r="N4268" s="0" t="n">
        <v>18</v>
      </c>
      <c r="O4268" s="0" t="n">
        <v>124.02</v>
      </c>
      <c r="P4268" s="0" t="s">
        <v>2444</v>
      </c>
    </row>
    <row r="4269" customFormat="false" ht="15" hidden="false" customHeight="true" outlineLevel="0" collapsed="false">
      <c r="A4269" s="0" t="n">
        <v>2</v>
      </c>
      <c r="B4269" s="71" t="n">
        <v>46221</v>
      </c>
      <c r="C4269" s="0" t="n">
        <v>11</v>
      </c>
      <c r="D4269" s="0" t="s">
        <v>2471</v>
      </c>
      <c r="E4269" s="0" t="n">
        <v>1671</v>
      </c>
      <c r="F4269" s="0" t="s">
        <v>119</v>
      </c>
      <c r="I4269" s="0" t="n">
        <v>580863</v>
      </c>
      <c r="J4269" s="0" t="n">
        <v>101300</v>
      </c>
      <c r="K4269" s="0" t="n">
        <v>7891024134610</v>
      </c>
      <c r="L4269" s="0" t="s">
        <v>4480</v>
      </c>
      <c r="N4269" s="0" t="n">
        <v>12</v>
      </c>
      <c r="O4269" s="0" t="n">
        <v>87</v>
      </c>
      <c r="P4269" s="0" t="s">
        <v>2444</v>
      </c>
    </row>
    <row r="4270" customFormat="false" ht="15" hidden="false" customHeight="true" outlineLevel="0" collapsed="false">
      <c r="A4270" s="0" t="n">
        <v>2</v>
      </c>
      <c r="B4270" s="71" t="n">
        <v>46221</v>
      </c>
      <c r="C4270" s="0" t="n">
        <v>11</v>
      </c>
      <c r="D4270" s="0" t="s">
        <v>2471</v>
      </c>
      <c r="E4270" s="0" t="n">
        <v>1671</v>
      </c>
      <c r="F4270" s="0" t="s">
        <v>119</v>
      </c>
      <c r="I4270" s="0" t="n">
        <v>580863</v>
      </c>
      <c r="J4270" s="0" t="n">
        <v>101302</v>
      </c>
      <c r="K4270" s="0" t="n">
        <v>7891024132128</v>
      </c>
      <c r="L4270" s="0" t="s">
        <v>4481</v>
      </c>
      <c r="N4270" s="0" t="n">
        <v>24</v>
      </c>
      <c r="O4270" s="0" t="n">
        <v>114.48</v>
      </c>
      <c r="P4270" s="0" t="s">
        <v>2444</v>
      </c>
    </row>
    <row r="4271" customFormat="false" ht="15" hidden="false" customHeight="true" outlineLevel="0" collapsed="false">
      <c r="A4271" s="0" t="n">
        <v>2</v>
      </c>
      <c r="B4271" s="71" t="n">
        <v>46221</v>
      </c>
      <c r="C4271" s="0" t="n">
        <v>11</v>
      </c>
      <c r="D4271" s="0" t="s">
        <v>2471</v>
      </c>
      <c r="E4271" s="0" t="n">
        <v>1671</v>
      </c>
      <c r="F4271" s="0" t="s">
        <v>119</v>
      </c>
      <c r="I4271" s="0" t="n">
        <v>580863</v>
      </c>
      <c r="J4271" s="0" t="n">
        <v>101303</v>
      </c>
      <c r="K4271" s="0" t="n">
        <v>7891024132005</v>
      </c>
      <c r="L4271" s="0" t="s">
        <v>3784</v>
      </c>
      <c r="N4271" s="0" t="n">
        <v>24</v>
      </c>
      <c r="O4271" s="0" t="n">
        <v>114.48</v>
      </c>
      <c r="P4271" s="0" t="s">
        <v>2444</v>
      </c>
    </row>
    <row r="4272" customFormat="false" ht="15" hidden="false" customHeight="true" outlineLevel="0" collapsed="false">
      <c r="A4272" s="0" t="n">
        <v>2</v>
      </c>
      <c r="B4272" s="71" t="n">
        <v>46221</v>
      </c>
      <c r="C4272" s="0" t="n">
        <v>11</v>
      </c>
      <c r="D4272" s="0" t="s">
        <v>2471</v>
      </c>
      <c r="E4272" s="0" t="n">
        <v>1671</v>
      </c>
      <c r="F4272" s="0" t="s">
        <v>119</v>
      </c>
      <c r="I4272" s="0" t="n">
        <v>580863</v>
      </c>
      <c r="J4272" s="0" t="n">
        <v>101338</v>
      </c>
      <c r="K4272" s="0" t="n">
        <v>7891528038025</v>
      </c>
      <c r="L4272" s="0" t="s">
        <v>4482</v>
      </c>
      <c r="N4272" s="0" t="n">
        <v>12</v>
      </c>
      <c r="O4272" s="0" t="n">
        <v>30.24</v>
      </c>
      <c r="P4272" s="0" t="s">
        <v>2444</v>
      </c>
    </row>
    <row r="4273" customFormat="false" ht="15" hidden="false" customHeight="true" outlineLevel="0" collapsed="false">
      <c r="A4273" s="0" t="n">
        <v>2</v>
      </c>
      <c r="B4273" s="71" t="n">
        <v>46221</v>
      </c>
      <c r="C4273" s="0" t="n">
        <v>11</v>
      </c>
      <c r="D4273" s="0" t="s">
        <v>2471</v>
      </c>
      <c r="E4273" s="0" t="n">
        <v>1671</v>
      </c>
      <c r="F4273" s="0" t="s">
        <v>119</v>
      </c>
      <c r="I4273" s="0" t="n">
        <v>580863</v>
      </c>
      <c r="J4273" s="0" t="n">
        <v>101339</v>
      </c>
      <c r="K4273" s="0" t="n">
        <v>7891528030142</v>
      </c>
      <c r="L4273" s="0" t="s">
        <v>3785</v>
      </c>
      <c r="N4273" s="0" t="n">
        <v>6</v>
      </c>
      <c r="O4273" s="0" t="n">
        <v>22.02</v>
      </c>
      <c r="P4273" s="0" t="s">
        <v>2444</v>
      </c>
    </row>
    <row r="4274" customFormat="false" ht="15" hidden="false" customHeight="true" outlineLevel="0" collapsed="false">
      <c r="A4274" s="0" t="n">
        <v>2</v>
      </c>
      <c r="B4274" s="71" t="n">
        <v>46221</v>
      </c>
      <c r="C4274" s="0" t="n">
        <v>11</v>
      </c>
      <c r="D4274" s="0" t="s">
        <v>2471</v>
      </c>
      <c r="E4274" s="0" t="n">
        <v>1671</v>
      </c>
      <c r="F4274" s="0" t="s">
        <v>119</v>
      </c>
      <c r="I4274" s="0" t="n">
        <v>580863</v>
      </c>
      <c r="J4274" s="0" t="n">
        <v>102713</v>
      </c>
      <c r="K4274" s="0" t="n">
        <v>7891528016498</v>
      </c>
      <c r="L4274" s="0" t="s">
        <v>4483</v>
      </c>
      <c r="N4274" s="0" t="n">
        <v>12</v>
      </c>
      <c r="O4274" s="0" t="n">
        <v>41.4</v>
      </c>
      <c r="P4274" s="0" t="s">
        <v>2444</v>
      </c>
    </row>
    <row r="4275" customFormat="false" ht="15" hidden="false" customHeight="true" outlineLevel="0" collapsed="false">
      <c r="A4275" s="0" t="n">
        <v>2</v>
      </c>
      <c r="B4275" s="71" t="n">
        <v>46221</v>
      </c>
      <c r="C4275" s="0" t="n">
        <v>11</v>
      </c>
      <c r="D4275" s="0" t="s">
        <v>2471</v>
      </c>
      <c r="E4275" s="0" t="n">
        <v>1671</v>
      </c>
      <c r="F4275" s="0" t="s">
        <v>119</v>
      </c>
      <c r="I4275" s="0" t="n">
        <v>580863</v>
      </c>
      <c r="J4275" s="0" t="n">
        <v>103592</v>
      </c>
      <c r="K4275" s="0" t="n">
        <v>7891528038568</v>
      </c>
      <c r="L4275" s="0" t="s">
        <v>4484</v>
      </c>
      <c r="N4275" s="0" t="n">
        <v>12</v>
      </c>
      <c r="O4275" s="0" t="n">
        <v>59.52</v>
      </c>
      <c r="P4275" s="0" t="s">
        <v>2444</v>
      </c>
    </row>
    <row r="4276" customFormat="false" ht="15" hidden="false" customHeight="true" outlineLevel="0" collapsed="false">
      <c r="A4276" s="0" t="n">
        <v>2</v>
      </c>
      <c r="B4276" s="71" t="n">
        <v>46221</v>
      </c>
      <c r="C4276" s="0" t="n">
        <v>11</v>
      </c>
      <c r="D4276" s="0" t="s">
        <v>2471</v>
      </c>
      <c r="E4276" s="0" t="n">
        <v>1671</v>
      </c>
      <c r="F4276" s="0" t="s">
        <v>119</v>
      </c>
      <c r="I4276" s="0" t="n">
        <v>580863</v>
      </c>
      <c r="J4276" s="0" t="n">
        <v>103596</v>
      </c>
      <c r="K4276" s="0" t="n">
        <v>7891528016511</v>
      </c>
      <c r="L4276" s="0" t="s">
        <v>4485</v>
      </c>
      <c r="N4276" s="0" t="n">
        <v>12</v>
      </c>
      <c r="O4276" s="0" t="n">
        <v>41.4</v>
      </c>
      <c r="P4276" s="0" t="s">
        <v>2444</v>
      </c>
    </row>
    <row r="4277" customFormat="false" ht="15" hidden="false" customHeight="true" outlineLevel="0" collapsed="false">
      <c r="A4277" s="0" t="n">
        <v>2</v>
      </c>
      <c r="B4277" s="71" t="n">
        <v>46221</v>
      </c>
      <c r="C4277" s="0" t="n">
        <v>11</v>
      </c>
      <c r="D4277" s="0" t="s">
        <v>2471</v>
      </c>
      <c r="E4277" s="0" t="n">
        <v>1671</v>
      </c>
      <c r="F4277" s="0" t="s">
        <v>119</v>
      </c>
      <c r="I4277" s="0" t="n">
        <v>580863</v>
      </c>
      <c r="J4277" s="0" t="n">
        <v>104031</v>
      </c>
      <c r="K4277" s="0" t="n">
        <v>7891024134702</v>
      </c>
      <c r="L4277" s="0" t="s">
        <v>3786</v>
      </c>
      <c r="N4277" s="0" t="n">
        <v>24</v>
      </c>
      <c r="O4277" s="0" t="n">
        <v>103.92</v>
      </c>
      <c r="P4277" s="0" t="s">
        <v>2444</v>
      </c>
    </row>
    <row r="4278" customFormat="false" ht="15" hidden="false" customHeight="true" outlineLevel="0" collapsed="false">
      <c r="A4278" s="0" t="n">
        <v>2</v>
      </c>
      <c r="B4278" s="71" t="n">
        <v>46221</v>
      </c>
      <c r="C4278" s="0" t="n">
        <v>11</v>
      </c>
      <c r="D4278" s="0" t="s">
        <v>2471</v>
      </c>
      <c r="E4278" s="0" t="n">
        <v>1671</v>
      </c>
      <c r="F4278" s="0" t="s">
        <v>119</v>
      </c>
      <c r="I4278" s="0" t="n">
        <v>580863</v>
      </c>
      <c r="J4278" s="0" t="n">
        <v>104211</v>
      </c>
      <c r="K4278" s="0" t="n">
        <v>7891528016504</v>
      </c>
      <c r="L4278" s="0" t="s">
        <v>4486</v>
      </c>
      <c r="N4278" s="0" t="n">
        <v>12</v>
      </c>
      <c r="O4278" s="0" t="n">
        <v>41.4</v>
      </c>
      <c r="P4278" s="0" t="s">
        <v>2444</v>
      </c>
    </row>
    <row r="4279" customFormat="false" ht="15" hidden="false" customHeight="true" outlineLevel="0" collapsed="false">
      <c r="A4279" s="0" t="n">
        <v>2</v>
      </c>
      <c r="B4279" s="71" t="n">
        <v>46221</v>
      </c>
      <c r="C4279" s="0" t="n">
        <v>11</v>
      </c>
      <c r="D4279" s="0" t="s">
        <v>2471</v>
      </c>
      <c r="E4279" s="0" t="n">
        <v>1671</v>
      </c>
      <c r="F4279" s="0" t="s">
        <v>119</v>
      </c>
      <c r="I4279" s="0" t="n">
        <v>580863</v>
      </c>
      <c r="J4279" s="0" t="n">
        <v>104213</v>
      </c>
      <c r="K4279" s="0" t="n">
        <v>7891024174036</v>
      </c>
      <c r="L4279" s="0" t="s">
        <v>3787</v>
      </c>
      <c r="N4279" s="0" t="n">
        <v>1</v>
      </c>
      <c r="O4279" s="0" t="n">
        <v>7.94</v>
      </c>
      <c r="P4279" s="0" t="s">
        <v>2444</v>
      </c>
    </row>
    <row r="4280" customFormat="false" ht="15" hidden="false" customHeight="true" outlineLevel="0" collapsed="false">
      <c r="A4280" s="0" t="n">
        <v>2</v>
      </c>
      <c r="B4280" s="71" t="n">
        <v>46221</v>
      </c>
      <c r="C4280" s="0" t="n">
        <v>11</v>
      </c>
      <c r="D4280" s="0" t="s">
        <v>2471</v>
      </c>
      <c r="E4280" s="0" t="n">
        <v>1671</v>
      </c>
      <c r="F4280" s="0" t="s">
        <v>119</v>
      </c>
      <c r="I4280" s="0" t="n">
        <v>580863</v>
      </c>
      <c r="J4280" s="0" t="n">
        <v>104218</v>
      </c>
      <c r="K4280" s="0" t="n">
        <v>7891024174432</v>
      </c>
      <c r="L4280" s="0" t="s">
        <v>4487</v>
      </c>
      <c r="N4280" s="0" t="n">
        <v>1</v>
      </c>
      <c r="O4280" s="0" t="n">
        <v>7.99</v>
      </c>
      <c r="P4280" s="0" t="s">
        <v>2444</v>
      </c>
    </row>
    <row r="4281" customFormat="false" ht="15" hidden="false" customHeight="true" outlineLevel="0" collapsed="false">
      <c r="A4281" s="0" t="n">
        <v>2</v>
      </c>
      <c r="B4281" s="71" t="n">
        <v>46221</v>
      </c>
      <c r="C4281" s="0" t="n">
        <v>11</v>
      </c>
      <c r="D4281" s="0" t="s">
        <v>2471</v>
      </c>
      <c r="E4281" s="0" t="n">
        <v>1671</v>
      </c>
      <c r="F4281" s="0" t="s">
        <v>119</v>
      </c>
      <c r="I4281" s="0" t="n">
        <v>580863</v>
      </c>
      <c r="J4281" s="0" t="n">
        <v>104345</v>
      </c>
      <c r="K4281" s="0" t="n">
        <v>7891024132906</v>
      </c>
      <c r="L4281" s="0" t="s">
        <v>4488</v>
      </c>
      <c r="N4281" s="0" t="n">
        <v>24</v>
      </c>
      <c r="O4281" s="0" t="n">
        <v>68.16</v>
      </c>
      <c r="P4281" s="0" t="s">
        <v>2444</v>
      </c>
    </row>
    <row r="4282" customFormat="false" ht="15" hidden="false" customHeight="true" outlineLevel="0" collapsed="false">
      <c r="A4282" s="0" t="n">
        <v>2</v>
      </c>
      <c r="B4282" s="71" t="n">
        <v>46221</v>
      </c>
      <c r="C4282" s="0" t="n">
        <v>11</v>
      </c>
      <c r="D4282" s="0" t="s">
        <v>2471</v>
      </c>
      <c r="E4282" s="0" t="n">
        <v>1671</v>
      </c>
      <c r="F4282" s="0" t="s">
        <v>119</v>
      </c>
      <c r="I4282" s="0" t="n">
        <v>580863</v>
      </c>
      <c r="J4282" s="0" t="n">
        <v>104415</v>
      </c>
      <c r="K4282" s="0" t="n">
        <v>7891024184608</v>
      </c>
      <c r="L4282" s="0" t="s">
        <v>4489</v>
      </c>
      <c r="N4282" s="0" t="n">
        <v>12</v>
      </c>
      <c r="O4282" s="0" t="n">
        <v>54.36</v>
      </c>
      <c r="P4282" s="0" t="s">
        <v>2444</v>
      </c>
    </row>
    <row r="4283" customFormat="false" ht="15" hidden="false" customHeight="true" outlineLevel="0" collapsed="false">
      <c r="A4283" s="0" t="n">
        <v>2</v>
      </c>
      <c r="B4283" s="71" t="n">
        <v>46221</v>
      </c>
      <c r="C4283" s="0" t="n">
        <v>11</v>
      </c>
      <c r="D4283" s="0" t="s">
        <v>2471</v>
      </c>
      <c r="E4283" s="0" t="n">
        <v>1671</v>
      </c>
      <c r="F4283" s="0" t="s">
        <v>119</v>
      </c>
      <c r="I4283" s="0" t="n">
        <v>580863</v>
      </c>
      <c r="J4283" s="0" t="n">
        <v>104489</v>
      </c>
      <c r="K4283" s="0" t="n">
        <v>7891024112861</v>
      </c>
      <c r="L4283" s="0" t="s">
        <v>4490</v>
      </c>
      <c r="N4283" s="0" t="n">
        <v>3</v>
      </c>
      <c r="O4283" s="0" t="n">
        <v>28.77</v>
      </c>
      <c r="P4283" s="0" t="s">
        <v>2444</v>
      </c>
    </row>
    <row r="4284" customFormat="false" ht="15" hidden="false" customHeight="true" outlineLevel="0" collapsed="false">
      <c r="A4284" s="0" t="n">
        <v>2</v>
      </c>
      <c r="B4284" s="71" t="n">
        <v>46221</v>
      </c>
      <c r="C4284" s="0" t="n">
        <v>11</v>
      </c>
      <c r="D4284" s="0" t="s">
        <v>2471</v>
      </c>
      <c r="E4284" s="0" t="n">
        <v>1671</v>
      </c>
      <c r="F4284" s="0" t="s">
        <v>119</v>
      </c>
      <c r="I4284" s="0" t="n">
        <v>580863</v>
      </c>
      <c r="J4284" s="0" t="n">
        <v>104499</v>
      </c>
      <c r="K4284" s="0" t="n">
        <v>7891024136409</v>
      </c>
      <c r="L4284" s="0" t="s">
        <v>4491</v>
      </c>
      <c r="N4284" s="0" t="n">
        <v>4</v>
      </c>
      <c r="O4284" s="0" t="n">
        <v>26.41</v>
      </c>
      <c r="P4284" s="0" t="s">
        <v>2444</v>
      </c>
    </row>
    <row r="4285" customFormat="false" ht="15" hidden="false" customHeight="true" outlineLevel="0" collapsed="false">
      <c r="A4285" s="0" t="n">
        <v>2</v>
      </c>
      <c r="B4285" s="71" t="n">
        <v>46221</v>
      </c>
      <c r="C4285" s="0" t="n">
        <v>11</v>
      </c>
      <c r="D4285" s="0" t="s">
        <v>2471</v>
      </c>
      <c r="E4285" s="0" t="n">
        <v>1671</v>
      </c>
      <c r="F4285" s="0" t="s">
        <v>119</v>
      </c>
      <c r="I4285" s="0" t="n">
        <v>580863</v>
      </c>
      <c r="J4285" s="0" t="n">
        <v>106013</v>
      </c>
      <c r="K4285" s="0" t="n">
        <v>7891024194102</v>
      </c>
      <c r="L4285" s="0" t="s">
        <v>3788</v>
      </c>
      <c r="N4285" s="0" t="n">
        <v>6</v>
      </c>
      <c r="O4285" s="0" t="n">
        <v>38.4</v>
      </c>
      <c r="P4285" s="0" t="s">
        <v>2444</v>
      </c>
    </row>
    <row r="4286" customFormat="false" ht="15" hidden="false" customHeight="true" outlineLevel="0" collapsed="false">
      <c r="A4286" s="0" t="n">
        <v>2</v>
      </c>
      <c r="B4286" s="71" t="n">
        <v>46221</v>
      </c>
      <c r="C4286" s="0" t="n">
        <v>11</v>
      </c>
      <c r="D4286" s="0" t="s">
        <v>2471</v>
      </c>
      <c r="E4286" s="0" t="n">
        <v>1671</v>
      </c>
      <c r="F4286" s="0" t="s">
        <v>119</v>
      </c>
      <c r="I4286" s="0" t="n">
        <v>580863</v>
      </c>
      <c r="J4286" s="0" t="n">
        <v>106633</v>
      </c>
      <c r="K4286" s="0" t="n">
        <v>7891024193006</v>
      </c>
      <c r="L4286" s="0" t="s">
        <v>4492</v>
      </c>
      <c r="N4286" s="0" t="n">
        <v>6</v>
      </c>
      <c r="O4286" s="0" t="n">
        <v>38.4</v>
      </c>
      <c r="P4286" s="0" t="s">
        <v>2444</v>
      </c>
    </row>
    <row r="4287" customFormat="false" ht="15" hidden="false" customHeight="true" outlineLevel="0" collapsed="false">
      <c r="A4287" s="0" t="n">
        <v>2</v>
      </c>
      <c r="B4287" s="71" t="n">
        <v>46221</v>
      </c>
      <c r="C4287" s="0" t="n">
        <v>11</v>
      </c>
      <c r="D4287" s="0" t="s">
        <v>2471</v>
      </c>
      <c r="E4287" s="0" t="n">
        <v>1671</v>
      </c>
      <c r="F4287" s="0" t="s">
        <v>119</v>
      </c>
      <c r="I4287" s="0" t="n">
        <v>580863</v>
      </c>
      <c r="J4287" s="0" t="n">
        <v>107590</v>
      </c>
      <c r="K4287" s="0" t="n">
        <v>7891024174135</v>
      </c>
      <c r="L4287" s="0" t="s">
        <v>4493</v>
      </c>
      <c r="N4287" s="0" t="n">
        <v>4</v>
      </c>
      <c r="O4287" s="0" t="n">
        <v>47.72</v>
      </c>
      <c r="P4287" s="0" t="s">
        <v>2444</v>
      </c>
    </row>
    <row r="4288" customFormat="false" ht="15" hidden="false" customHeight="true" outlineLevel="0" collapsed="false">
      <c r="A4288" s="0" t="n">
        <v>2</v>
      </c>
      <c r="B4288" s="71" t="n">
        <v>46221</v>
      </c>
      <c r="C4288" s="0" t="n">
        <v>11</v>
      </c>
      <c r="D4288" s="0" t="s">
        <v>2471</v>
      </c>
      <c r="E4288" s="0" t="n">
        <v>1671</v>
      </c>
      <c r="F4288" s="0" t="s">
        <v>119</v>
      </c>
      <c r="I4288" s="0" t="n">
        <v>580863</v>
      </c>
      <c r="J4288" s="0" t="n">
        <v>108239</v>
      </c>
      <c r="K4288" s="0" t="n">
        <v>5900273001566</v>
      </c>
      <c r="L4288" s="0" t="s">
        <v>4494</v>
      </c>
      <c r="N4288" s="0" t="n">
        <v>6</v>
      </c>
      <c r="O4288" s="0" t="n">
        <v>42</v>
      </c>
      <c r="P4288" s="0" t="s">
        <v>2444</v>
      </c>
    </row>
    <row r="4289" customFormat="false" ht="15" hidden="false" customHeight="true" outlineLevel="0" collapsed="false">
      <c r="A4289" s="0" t="n">
        <v>2</v>
      </c>
      <c r="B4289" s="71" t="n">
        <v>46221</v>
      </c>
      <c r="C4289" s="0" t="n">
        <v>11</v>
      </c>
      <c r="D4289" s="0" t="s">
        <v>2471</v>
      </c>
      <c r="E4289" s="0" t="n">
        <v>1671</v>
      </c>
      <c r="F4289" s="0" t="s">
        <v>119</v>
      </c>
      <c r="I4289" s="0" t="n">
        <v>580863</v>
      </c>
      <c r="J4289" s="0" t="n">
        <v>11361</v>
      </c>
      <c r="K4289" s="0" t="n">
        <v>7891024174180</v>
      </c>
      <c r="L4289" s="0" t="s">
        <v>4495</v>
      </c>
      <c r="N4289" s="0" t="n">
        <v>3</v>
      </c>
      <c r="O4289" s="0" t="n">
        <v>35.79</v>
      </c>
      <c r="P4289" s="0" t="s">
        <v>2444</v>
      </c>
    </row>
    <row r="4290" customFormat="false" ht="15" hidden="false" customHeight="true" outlineLevel="0" collapsed="false">
      <c r="A4290" s="0" t="n">
        <v>2</v>
      </c>
      <c r="B4290" s="71" t="n">
        <v>46221</v>
      </c>
      <c r="C4290" s="0" t="n">
        <v>11</v>
      </c>
      <c r="D4290" s="0" t="s">
        <v>2471</v>
      </c>
      <c r="E4290" s="0" t="n">
        <v>1671</v>
      </c>
      <c r="F4290" s="0" t="s">
        <v>119</v>
      </c>
      <c r="I4290" s="0" t="n">
        <v>580863</v>
      </c>
      <c r="J4290" s="0" t="n">
        <v>12480</v>
      </c>
      <c r="K4290" s="0" t="n">
        <v>7891024132371</v>
      </c>
      <c r="L4290" s="0" t="s">
        <v>4496</v>
      </c>
      <c r="N4290" s="0" t="n">
        <v>30</v>
      </c>
      <c r="O4290" s="0" t="n">
        <v>225.36</v>
      </c>
      <c r="P4290" s="0" t="s">
        <v>2444</v>
      </c>
    </row>
    <row r="4291" customFormat="false" ht="15" hidden="false" customHeight="true" outlineLevel="0" collapsed="false">
      <c r="A4291" s="0" t="n">
        <v>2</v>
      </c>
      <c r="B4291" s="71" t="n">
        <v>46221</v>
      </c>
      <c r="C4291" s="0" t="n">
        <v>11</v>
      </c>
      <c r="D4291" s="0" t="s">
        <v>2471</v>
      </c>
      <c r="E4291" s="0" t="n">
        <v>1671</v>
      </c>
      <c r="F4291" s="0" t="s">
        <v>119</v>
      </c>
      <c r="I4291" s="0" t="n">
        <v>580863</v>
      </c>
      <c r="J4291" s="0" t="n">
        <v>17581</v>
      </c>
      <c r="K4291" s="0" t="n">
        <v>7891528112534</v>
      </c>
      <c r="L4291" s="0" t="s">
        <v>3790</v>
      </c>
      <c r="N4291" s="0" t="n">
        <v>1</v>
      </c>
      <c r="O4291" s="0" t="n">
        <v>6.88</v>
      </c>
      <c r="P4291" s="0" t="s">
        <v>2444</v>
      </c>
    </row>
    <row r="4292" customFormat="false" ht="15" hidden="false" customHeight="true" outlineLevel="0" collapsed="false">
      <c r="A4292" s="0" t="n">
        <v>2</v>
      </c>
      <c r="B4292" s="71" t="n">
        <v>46221</v>
      </c>
      <c r="C4292" s="0" t="n">
        <v>11</v>
      </c>
      <c r="D4292" s="0" t="s">
        <v>2471</v>
      </c>
      <c r="E4292" s="0" t="n">
        <v>1671</v>
      </c>
      <c r="F4292" s="0" t="s">
        <v>119</v>
      </c>
      <c r="I4292" s="0" t="n">
        <v>580863</v>
      </c>
      <c r="J4292" s="0" t="n">
        <v>19616</v>
      </c>
      <c r="K4292" s="0" t="n">
        <v>7891024024386</v>
      </c>
      <c r="L4292" s="0" t="s">
        <v>4497</v>
      </c>
      <c r="N4292" s="0" t="n">
        <v>12</v>
      </c>
      <c r="O4292" s="0" t="n">
        <v>48.12</v>
      </c>
      <c r="P4292" s="0" t="s">
        <v>2444</v>
      </c>
    </row>
    <row r="4293" customFormat="false" ht="15" hidden="false" customHeight="true" outlineLevel="0" collapsed="false">
      <c r="A4293" s="0" t="n">
        <v>2</v>
      </c>
      <c r="B4293" s="71" t="n">
        <v>46221</v>
      </c>
      <c r="C4293" s="0" t="n">
        <v>11</v>
      </c>
      <c r="D4293" s="0" t="s">
        <v>2471</v>
      </c>
      <c r="E4293" s="0" t="n">
        <v>1671</v>
      </c>
      <c r="F4293" s="0" t="s">
        <v>119</v>
      </c>
      <c r="I4293" s="0" t="n">
        <v>580863</v>
      </c>
      <c r="J4293" s="0" t="n">
        <v>19802</v>
      </c>
      <c r="K4293" s="0" t="n">
        <v>7891024110355</v>
      </c>
      <c r="L4293" s="0" t="s">
        <v>3791</v>
      </c>
      <c r="N4293" s="0" t="n">
        <v>1</v>
      </c>
      <c r="O4293" s="0" t="n">
        <v>3.32</v>
      </c>
      <c r="P4293" s="0" t="s">
        <v>2444</v>
      </c>
    </row>
    <row r="4294" customFormat="false" ht="15" hidden="false" customHeight="true" outlineLevel="0" collapsed="false">
      <c r="A4294" s="0" t="n">
        <v>2</v>
      </c>
      <c r="B4294" s="71" t="n">
        <v>46221</v>
      </c>
      <c r="C4294" s="0" t="n">
        <v>11</v>
      </c>
      <c r="D4294" s="0" t="s">
        <v>2471</v>
      </c>
      <c r="E4294" s="0" t="n">
        <v>1671</v>
      </c>
      <c r="F4294" s="0" t="s">
        <v>119</v>
      </c>
      <c r="I4294" s="0" t="n">
        <v>580863</v>
      </c>
      <c r="J4294" s="0" t="n">
        <v>20104</v>
      </c>
      <c r="K4294" s="0" t="n">
        <v>7891024131183</v>
      </c>
      <c r="L4294" s="0" t="s">
        <v>4498</v>
      </c>
      <c r="N4294" s="0" t="n">
        <v>4</v>
      </c>
      <c r="O4294" s="0" t="n">
        <v>55.92</v>
      </c>
      <c r="P4294" s="0" t="s">
        <v>2444</v>
      </c>
    </row>
    <row r="4295" customFormat="false" ht="15" hidden="false" customHeight="true" outlineLevel="0" collapsed="false">
      <c r="A4295" s="0" t="n">
        <v>2</v>
      </c>
      <c r="B4295" s="71" t="n">
        <v>46221</v>
      </c>
      <c r="C4295" s="0" t="n">
        <v>11</v>
      </c>
      <c r="D4295" s="0" t="s">
        <v>2471</v>
      </c>
      <c r="E4295" s="0" t="n">
        <v>1671</v>
      </c>
      <c r="F4295" s="0" t="s">
        <v>119</v>
      </c>
      <c r="I4295" s="0" t="n">
        <v>580863</v>
      </c>
      <c r="J4295" s="0" t="n">
        <v>21320</v>
      </c>
      <c r="K4295" s="0" t="n">
        <v>7793100151224</v>
      </c>
      <c r="L4295" s="0" t="s">
        <v>4499</v>
      </c>
      <c r="N4295" s="0" t="n">
        <v>6</v>
      </c>
      <c r="O4295" s="0" t="n">
        <v>37.08</v>
      </c>
      <c r="P4295" s="0" t="s">
        <v>2444</v>
      </c>
    </row>
    <row r="4296" customFormat="false" ht="15" hidden="false" customHeight="true" outlineLevel="0" collapsed="false">
      <c r="A4296" s="0" t="n">
        <v>2</v>
      </c>
      <c r="B4296" s="71" t="n">
        <v>46221</v>
      </c>
      <c r="C4296" s="0" t="n">
        <v>11</v>
      </c>
      <c r="D4296" s="0" t="s">
        <v>2471</v>
      </c>
      <c r="E4296" s="0" t="n">
        <v>1671</v>
      </c>
      <c r="F4296" s="0" t="s">
        <v>119</v>
      </c>
      <c r="I4296" s="0" t="n">
        <v>580863</v>
      </c>
      <c r="J4296" s="0" t="n">
        <v>23744</v>
      </c>
      <c r="K4296" s="0" t="n">
        <v>7891024029831</v>
      </c>
      <c r="L4296" s="0" t="s">
        <v>4500</v>
      </c>
      <c r="N4296" s="0" t="n">
        <v>3</v>
      </c>
      <c r="O4296" s="0" t="n">
        <v>20.64</v>
      </c>
      <c r="P4296" s="0" t="s">
        <v>2444</v>
      </c>
    </row>
    <row r="4297" customFormat="false" ht="15" hidden="false" customHeight="true" outlineLevel="0" collapsed="false">
      <c r="A4297" s="0" t="n">
        <v>2</v>
      </c>
      <c r="B4297" s="71" t="n">
        <v>46221</v>
      </c>
      <c r="C4297" s="0" t="n">
        <v>11</v>
      </c>
      <c r="D4297" s="0" t="s">
        <v>2471</v>
      </c>
      <c r="E4297" s="0" t="n">
        <v>1671</v>
      </c>
      <c r="F4297" s="0" t="s">
        <v>119</v>
      </c>
      <c r="I4297" s="0" t="n">
        <v>580863</v>
      </c>
      <c r="J4297" s="0" t="n">
        <v>24753</v>
      </c>
      <c r="K4297" s="0" t="n">
        <v>7891024128510</v>
      </c>
      <c r="L4297" s="0" t="s">
        <v>4501</v>
      </c>
      <c r="N4297" s="0" t="n">
        <v>1</v>
      </c>
      <c r="O4297" s="0" t="n">
        <v>10.61</v>
      </c>
      <c r="P4297" s="0" t="s">
        <v>2444</v>
      </c>
    </row>
    <row r="4298" customFormat="false" ht="15" hidden="false" customHeight="true" outlineLevel="0" collapsed="false">
      <c r="A4298" s="0" t="n">
        <v>2</v>
      </c>
      <c r="B4298" s="71" t="n">
        <v>46221</v>
      </c>
      <c r="C4298" s="0" t="n">
        <v>11</v>
      </c>
      <c r="D4298" s="0" t="s">
        <v>2471</v>
      </c>
      <c r="E4298" s="0" t="n">
        <v>1671</v>
      </c>
      <c r="F4298" s="0" t="s">
        <v>119</v>
      </c>
      <c r="I4298" s="0" t="n">
        <v>580863</v>
      </c>
      <c r="J4298" s="0" t="n">
        <v>25537</v>
      </c>
      <c r="K4298" s="0" t="n">
        <v>7891024026434</v>
      </c>
      <c r="L4298" s="0" t="s">
        <v>3792</v>
      </c>
      <c r="N4298" s="0" t="n">
        <v>2</v>
      </c>
      <c r="O4298" s="0" t="n">
        <v>20.38</v>
      </c>
      <c r="P4298" s="0" t="s">
        <v>2444</v>
      </c>
    </row>
    <row r="4299" customFormat="false" ht="15" hidden="false" customHeight="true" outlineLevel="0" collapsed="false">
      <c r="A4299" s="0" t="n">
        <v>2</v>
      </c>
      <c r="B4299" s="71" t="n">
        <v>46221</v>
      </c>
      <c r="C4299" s="0" t="n">
        <v>11</v>
      </c>
      <c r="D4299" s="0" t="s">
        <v>2471</v>
      </c>
      <c r="E4299" s="0" t="n">
        <v>1671</v>
      </c>
      <c r="F4299" s="0" t="s">
        <v>119</v>
      </c>
      <c r="I4299" s="0" t="n">
        <v>580863</v>
      </c>
      <c r="J4299" s="0" t="n">
        <v>26085</v>
      </c>
      <c r="K4299" s="0" t="n">
        <v>7891528029498</v>
      </c>
      <c r="L4299" s="0" t="s">
        <v>3793</v>
      </c>
      <c r="N4299" s="0" t="n">
        <v>1</v>
      </c>
      <c r="O4299" s="0" t="n">
        <v>2.92</v>
      </c>
      <c r="P4299" s="0" t="s">
        <v>2444</v>
      </c>
    </row>
    <row r="4300" customFormat="false" ht="15" hidden="false" customHeight="true" outlineLevel="0" collapsed="false">
      <c r="A4300" s="0" t="n">
        <v>2</v>
      </c>
      <c r="B4300" s="71" t="n">
        <v>46221</v>
      </c>
      <c r="C4300" s="0" t="n">
        <v>11</v>
      </c>
      <c r="D4300" s="0" t="s">
        <v>2471</v>
      </c>
      <c r="E4300" s="0" t="n">
        <v>1671</v>
      </c>
      <c r="F4300" s="0" t="s">
        <v>119</v>
      </c>
      <c r="I4300" s="0" t="n">
        <v>580863</v>
      </c>
      <c r="J4300" s="0" t="n">
        <v>27764</v>
      </c>
      <c r="K4300" s="0" t="n">
        <v>7891024034781</v>
      </c>
      <c r="L4300" s="0" t="s">
        <v>3794</v>
      </c>
      <c r="N4300" s="0" t="n">
        <v>1</v>
      </c>
      <c r="O4300" s="0" t="n">
        <v>1.98</v>
      </c>
      <c r="P4300" s="0" t="s">
        <v>2444</v>
      </c>
    </row>
    <row r="4301" customFormat="false" ht="15" hidden="false" customHeight="true" outlineLevel="0" collapsed="false">
      <c r="A4301" s="0" t="n">
        <v>2</v>
      </c>
      <c r="B4301" s="71" t="n">
        <v>46221</v>
      </c>
      <c r="C4301" s="0" t="n">
        <v>11</v>
      </c>
      <c r="D4301" s="0" t="s">
        <v>2471</v>
      </c>
      <c r="E4301" s="0" t="n">
        <v>1671</v>
      </c>
      <c r="F4301" s="0" t="s">
        <v>119</v>
      </c>
      <c r="I4301" s="0" t="n">
        <v>580863</v>
      </c>
      <c r="J4301" s="0" t="n">
        <v>30491</v>
      </c>
      <c r="K4301" s="0" t="n">
        <v>7891024042311</v>
      </c>
      <c r="L4301" s="0" t="s">
        <v>4502</v>
      </c>
      <c r="N4301" s="0" t="n">
        <v>3</v>
      </c>
      <c r="O4301" s="0" t="n">
        <v>23.82</v>
      </c>
      <c r="P4301" s="0" t="s">
        <v>2444</v>
      </c>
    </row>
    <row r="4302" customFormat="false" ht="15" hidden="false" customHeight="true" outlineLevel="0" collapsed="false">
      <c r="A4302" s="0" t="n">
        <v>2</v>
      </c>
      <c r="B4302" s="71" t="n">
        <v>46221</v>
      </c>
      <c r="C4302" s="0" t="n">
        <v>11</v>
      </c>
      <c r="D4302" s="0" t="s">
        <v>2471</v>
      </c>
      <c r="E4302" s="0" t="n">
        <v>1671</v>
      </c>
      <c r="F4302" s="0" t="s">
        <v>119</v>
      </c>
      <c r="I4302" s="0" t="n">
        <v>580863</v>
      </c>
      <c r="J4302" s="0" t="n">
        <v>32510</v>
      </c>
      <c r="K4302" s="0" t="n">
        <v>7891024042120</v>
      </c>
      <c r="L4302" s="0" t="s">
        <v>4503</v>
      </c>
      <c r="N4302" s="0" t="n">
        <v>2</v>
      </c>
      <c r="O4302" s="0" t="n">
        <v>23.96</v>
      </c>
      <c r="P4302" s="0" t="s">
        <v>2444</v>
      </c>
    </row>
    <row r="4303" customFormat="false" ht="15" hidden="false" customHeight="true" outlineLevel="0" collapsed="false">
      <c r="A4303" s="0" t="n">
        <v>2</v>
      </c>
      <c r="B4303" s="71" t="n">
        <v>46221</v>
      </c>
      <c r="C4303" s="0" t="n">
        <v>11</v>
      </c>
      <c r="D4303" s="0" t="s">
        <v>2471</v>
      </c>
      <c r="E4303" s="0" t="n">
        <v>1671</v>
      </c>
      <c r="F4303" s="0" t="s">
        <v>119</v>
      </c>
      <c r="I4303" s="0" t="n">
        <v>580863</v>
      </c>
      <c r="J4303" s="0" t="n">
        <v>36727</v>
      </c>
      <c r="K4303" s="0" t="n">
        <v>7891024186244</v>
      </c>
      <c r="L4303" s="0" t="s">
        <v>4504</v>
      </c>
      <c r="N4303" s="0" t="n">
        <v>4</v>
      </c>
      <c r="O4303" s="0" t="n">
        <v>74.12</v>
      </c>
      <c r="P4303" s="0" t="s">
        <v>2444</v>
      </c>
    </row>
    <row r="4304" customFormat="false" ht="15" hidden="false" customHeight="true" outlineLevel="0" collapsed="false">
      <c r="A4304" s="0" t="n">
        <v>2</v>
      </c>
      <c r="B4304" s="71" t="n">
        <v>46221</v>
      </c>
      <c r="C4304" s="0" t="n">
        <v>11</v>
      </c>
      <c r="D4304" s="0" t="s">
        <v>2471</v>
      </c>
      <c r="E4304" s="0" t="n">
        <v>1671</v>
      </c>
      <c r="F4304" s="0" t="s">
        <v>119</v>
      </c>
      <c r="I4304" s="0" t="n">
        <v>580863</v>
      </c>
      <c r="J4304" s="0" t="n">
        <v>47781</v>
      </c>
      <c r="K4304" s="0" t="n">
        <v>7891024023969</v>
      </c>
      <c r="L4304" s="0" t="s">
        <v>4505</v>
      </c>
      <c r="N4304" s="0" t="n">
        <v>3</v>
      </c>
      <c r="O4304" s="0" t="n">
        <v>50.73</v>
      </c>
      <c r="P4304" s="0" t="s">
        <v>2444</v>
      </c>
    </row>
    <row r="4305" customFormat="false" ht="15" hidden="false" customHeight="true" outlineLevel="0" collapsed="false">
      <c r="A4305" s="0" t="n">
        <v>2</v>
      </c>
      <c r="B4305" s="71" t="n">
        <v>46221</v>
      </c>
      <c r="C4305" s="0" t="n">
        <v>11</v>
      </c>
      <c r="D4305" s="0" t="s">
        <v>2471</v>
      </c>
      <c r="E4305" s="0" t="n">
        <v>1671</v>
      </c>
      <c r="F4305" s="0" t="s">
        <v>119</v>
      </c>
      <c r="I4305" s="0" t="n">
        <v>580863</v>
      </c>
      <c r="J4305" s="0" t="n">
        <v>50328</v>
      </c>
      <c r="K4305" s="0" t="n">
        <v>7509546681153</v>
      </c>
      <c r="L4305" s="0" t="s">
        <v>4506</v>
      </c>
      <c r="N4305" s="0" t="n">
        <v>6</v>
      </c>
      <c r="O4305" s="0" t="n">
        <v>47.64</v>
      </c>
      <c r="P4305" s="0" t="s">
        <v>2444</v>
      </c>
    </row>
    <row r="4306" customFormat="false" ht="15" hidden="false" customHeight="true" outlineLevel="0" collapsed="false">
      <c r="A4306" s="0" t="n">
        <v>2</v>
      </c>
      <c r="B4306" s="71" t="n">
        <v>46221</v>
      </c>
      <c r="C4306" s="0" t="n">
        <v>11</v>
      </c>
      <c r="D4306" s="0" t="s">
        <v>2471</v>
      </c>
      <c r="E4306" s="0" t="n">
        <v>1671</v>
      </c>
      <c r="F4306" s="0" t="s">
        <v>119</v>
      </c>
      <c r="I4306" s="0" t="n">
        <v>580863</v>
      </c>
      <c r="J4306" s="0" t="n">
        <v>64802</v>
      </c>
      <c r="K4306" s="0" t="n">
        <v>7509546658223</v>
      </c>
      <c r="L4306" s="0" t="s">
        <v>4507</v>
      </c>
      <c r="N4306" s="0" t="n">
        <v>12</v>
      </c>
      <c r="O4306" s="0" t="n">
        <v>49.68</v>
      </c>
      <c r="P4306" s="0" t="s">
        <v>2444</v>
      </c>
    </row>
    <row r="4307" customFormat="false" ht="15" hidden="false" customHeight="true" outlineLevel="0" collapsed="false">
      <c r="A4307" s="0" t="n">
        <v>2</v>
      </c>
      <c r="B4307" s="71" t="n">
        <v>46221</v>
      </c>
      <c r="C4307" s="0" t="n">
        <v>11</v>
      </c>
      <c r="D4307" s="0" t="s">
        <v>2471</v>
      </c>
      <c r="E4307" s="0" t="n">
        <v>1671</v>
      </c>
      <c r="F4307" s="0" t="s">
        <v>119</v>
      </c>
      <c r="I4307" s="0" t="n">
        <v>580863</v>
      </c>
      <c r="J4307" s="0" t="n">
        <v>52188</v>
      </c>
      <c r="K4307" s="0" t="n">
        <v>7509546674438</v>
      </c>
      <c r="L4307" s="0" t="s">
        <v>4508</v>
      </c>
      <c r="N4307" s="0" t="n">
        <v>24</v>
      </c>
      <c r="O4307" s="0" t="n">
        <v>186.48</v>
      </c>
      <c r="P4307" s="0" t="s">
        <v>2444</v>
      </c>
    </row>
    <row r="4308" customFormat="false" ht="15" hidden="false" customHeight="true" outlineLevel="0" collapsed="false">
      <c r="A4308" s="0" t="n">
        <v>2</v>
      </c>
      <c r="B4308" s="71" t="n">
        <v>46221</v>
      </c>
      <c r="C4308" s="0" t="n">
        <v>11</v>
      </c>
      <c r="D4308" s="0" t="s">
        <v>2471</v>
      </c>
      <c r="E4308" s="0" t="n">
        <v>1671</v>
      </c>
      <c r="F4308" s="0" t="s">
        <v>119</v>
      </c>
      <c r="I4308" s="0" t="n">
        <v>580863</v>
      </c>
      <c r="J4308" s="0" t="n">
        <v>56915</v>
      </c>
      <c r="K4308" s="0" t="n">
        <v>7509546679525</v>
      </c>
      <c r="L4308" s="0" t="s">
        <v>4509</v>
      </c>
      <c r="N4308" s="0" t="n">
        <v>4</v>
      </c>
      <c r="O4308" s="0" t="n">
        <v>37.16</v>
      </c>
      <c r="P4308" s="0" t="s">
        <v>2444</v>
      </c>
    </row>
    <row r="4309" customFormat="false" ht="15" hidden="false" customHeight="true" outlineLevel="0" collapsed="false">
      <c r="A4309" s="0" t="n">
        <v>2</v>
      </c>
      <c r="B4309" s="71" t="n">
        <v>46221</v>
      </c>
      <c r="C4309" s="0" t="n">
        <v>11</v>
      </c>
      <c r="D4309" s="0" t="s">
        <v>2471</v>
      </c>
      <c r="E4309" s="0" t="n">
        <v>1671</v>
      </c>
      <c r="F4309" s="0" t="s">
        <v>119</v>
      </c>
      <c r="I4309" s="0" t="n">
        <v>580863</v>
      </c>
      <c r="J4309" s="0" t="n">
        <v>57369</v>
      </c>
      <c r="K4309" s="0" t="n">
        <v>7509546687537</v>
      </c>
      <c r="L4309" s="0" t="s">
        <v>3796</v>
      </c>
      <c r="N4309" s="0" t="n">
        <v>6</v>
      </c>
      <c r="O4309" s="0" t="n">
        <v>34.92</v>
      </c>
      <c r="P4309" s="0" t="s">
        <v>2444</v>
      </c>
    </row>
    <row r="4310" customFormat="false" ht="15" hidden="false" customHeight="true" outlineLevel="0" collapsed="false">
      <c r="A4310" s="0" t="n">
        <v>2</v>
      </c>
      <c r="B4310" s="71" t="n">
        <v>46221</v>
      </c>
      <c r="C4310" s="0" t="n">
        <v>11</v>
      </c>
      <c r="D4310" s="0" t="s">
        <v>2471</v>
      </c>
      <c r="E4310" s="0" t="n">
        <v>1671</v>
      </c>
      <c r="F4310" s="0" t="s">
        <v>119</v>
      </c>
      <c r="I4310" s="0" t="n">
        <v>580863</v>
      </c>
      <c r="J4310" s="0" t="n">
        <v>58832</v>
      </c>
      <c r="K4310" s="0" t="n">
        <v>7509546688091</v>
      </c>
      <c r="L4310" s="0" t="s">
        <v>4510</v>
      </c>
      <c r="N4310" s="0" t="n">
        <v>6</v>
      </c>
      <c r="O4310" s="0" t="n">
        <v>72.72</v>
      </c>
      <c r="P4310" s="0" t="s">
        <v>2444</v>
      </c>
    </row>
    <row r="4311" customFormat="false" ht="15" hidden="false" customHeight="true" outlineLevel="0" collapsed="false">
      <c r="A4311" s="0" t="n">
        <v>2</v>
      </c>
      <c r="B4311" s="71" t="n">
        <v>46221</v>
      </c>
      <c r="C4311" s="0" t="n">
        <v>11</v>
      </c>
      <c r="D4311" s="0" t="s">
        <v>2471</v>
      </c>
      <c r="E4311" s="0" t="n">
        <v>1671</v>
      </c>
      <c r="F4311" s="0" t="s">
        <v>119</v>
      </c>
      <c r="I4311" s="0" t="n">
        <v>580863</v>
      </c>
      <c r="J4311" s="0" t="n">
        <v>64801</v>
      </c>
      <c r="K4311" s="0" t="n">
        <v>7509546691251</v>
      </c>
      <c r="L4311" s="0" t="s">
        <v>4511</v>
      </c>
      <c r="N4311" s="0" t="n">
        <v>1</v>
      </c>
      <c r="O4311" s="0" t="n">
        <v>4.39</v>
      </c>
      <c r="P4311" s="0" t="s">
        <v>2444</v>
      </c>
    </row>
    <row r="4312" customFormat="false" ht="15" hidden="false" customHeight="true" outlineLevel="0" collapsed="false">
      <c r="A4312" s="0" t="n">
        <v>2</v>
      </c>
      <c r="B4312" s="71" t="n">
        <v>46221</v>
      </c>
      <c r="C4312" s="0" t="n">
        <v>11</v>
      </c>
      <c r="D4312" s="0" t="s">
        <v>2471</v>
      </c>
      <c r="E4312" s="0" t="n">
        <v>1671</v>
      </c>
      <c r="F4312" s="0" t="s">
        <v>119</v>
      </c>
      <c r="I4312" s="0" t="n">
        <v>580863</v>
      </c>
      <c r="J4312" s="0" t="n">
        <v>76669</v>
      </c>
      <c r="K4312" s="0" t="n">
        <v>7891024073070</v>
      </c>
      <c r="L4312" s="0" t="s">
        <v>4512</v>
      </c>
      <c r="N4312" s="0" t="n">
        <v>6</v>
      </c>
      <c r="O4312" s="0" t="n">
        <v>45.3</v>
      </c>
      <c r="P4312" s="0" t="s">
        <v>2444</v>
      </c>
    </row>
    <row r="4313" customFormat="false" ht="15" hidden="false" customHeight="true" outlineLevel="0" collapsed="false">
      <c r="A4313" s="0" t="n">
        <v>2</v>
      </c>
      <c r="B4313" s="71" t="n">
        <v>46221</v>
      </c>
      <c r="C4313" s="0" t="n">
        <v>11</v>
      </c>
      <c r="D4313" s="0" t="s">
        <v>2471</v>
      </c>
      <c r="E4313" s="0" t="n">
        <v>1671</v>
      </c>
      <c r="F4313" s="0" t="s">
        <v>119</v>
      </c>
      <c r="I4313" s="0" t="n">
        <v>580863</v>
      </c>
      <c r="J4313" s="0" t="n">
        <v>78129</v>
      </c>
      <c r="K4313" s="0" t="n">
        <v>7891528038810</v>
      </c>
      <c r="L4313" s="0" t="s">
        <v>4513</v>
      </c>
      <c r="N4313" s="0" t="n">
        <v>12</v>
      </c>
      <c r="O4313" s="0" t="n">
        <v>90.24</v>
      </c>
      <c r="P4313" s="0" t="s">
        <v>2444</v>
      </c>
    </row>
    <row r="4314" customFormat="false" ht="15" hidden="false" customHeight="true" outlineLevel="0" collapsed="false">
      <c r="A4314" s="0" t="n">
        <v>2</v>
      </c>
      <c r="B4314" s="71" t="n">
        <v>46221</v>
      </c>
      <c r="C4314" s="0" t="n">
        <v>11</v>
      </c>
      <c r="D4314" s="0" t="s">
        <v>2471</v>
      </c>
      <c r="E4314" s="0" t="n">
        <v>1671</v>
      </c>
      <c r="F4314" s="0" t="s">
        <v>119</v>
      </c>
      <c r="I4314" s="0" t="n">
        <v>580863</v>
      </c>
      <c r="J4314" s="0" t="n">
        <v>78213</v>
      </c>
      <c r="K4314" s="0" t="n">
        <v>7509546702605</v>
      </c>
      <c r="L4314" s="0" t="s">
        <v>3798</v>
      </c>
      <c r="N4314" s="0" t="n">
        <v>6</v>
      </c>
      <c r="O4314" s="0" t="n">
        <v>61.8</v>
      </c>
      <c r="P4314" s="0" t="s">
        <v>2444</v>
      </c>
    </row>
    <row r="4315" customFormat="false" ht="15" hidden="false" customHeight="true" outlineLevel="0" collapsed="false">
      <c r="A4315" s="0" t="n">
        <v>2</v>
      </c>
      <c r="B4315" s="71" t="n">
        <v>46221</v>
      </c>
      <c r="C4315" s="0" t="n">
        <v>11</v>
      </c>
      <c r="D4315" s="0" t="s">
        <v>2471</v>
      </c>
      <c r="E4315" s="0" t="n">
        <v>1671</v>
      </c>
      <c r="F4315" s="0" t="s">
        <v>119</v>
      </c>
      <c r="I4315" s="0" t="n">
        <v>580863</v>
      </c>
      <c r="J4315" s="0" t="n">
        <v>80158</v>
      </c>
      <c r="K4315" s="0" t="n">
        <v>7509546702728</v>
      </c>
      <c r="L4315" s="0" t="s">
        <v>4514</v>
      </c>
      <c r="N4315" s="0" t="n">
        <v>24</v>
      </c>
      <c r="O4315" s="0" t="n">
        <v>109.92</v>
      </c>
      <c r="P4315" s="0" t="s">
        <v>2444</v>
      </c>
    </row>
    <row r="4316" customFormat="false" ht="15" hidden="false" customHeight="true" outlineLevel="0" collapsed="false">
      <c r="A4316" s="0" t="n">
        <v>2</v>
      </c>
      <c r="B4316" s="71" t="n">
        <v>46221</v>
      </c>
      <c r="C4316" s="0" t="n">
        <v>11</v>
      </c>
      <c r="D4316" s="0" t="s">
        <v>2471</v>
      </c>
      <c r="E4316" s="0" t="n">
        <v>1671</v>
      </c>
      <c r="F4316" s="0" t="s">
        <v>119</v>
      </c>
      <c r="I4316" s="0" t="n">
        <v>580863</v>
      </c>
      <c r="J4316" s="0" t="n">
        <v>81781</v>
      </c>
      <c r="K4316" s="0" t="n">
        <v>7509546704333</v>
      </c>
      <c r="L4316" s="0" t="s">
        <v>4515</v>
      </c>
      <c r="N4316" s="0" t="n">
        <v>6</v>
      </c>
      <c r="O4316" s="0" t="n">
        <v>41.64</v>
      </c>
      <c r="P4316" s="0" t="s">
        <v>2444</v>
      </c>
    </row>
    <row r="4317" customFormat="false" ht="15" hidden="false" customHeight="true" outlineLevel="0" collapsed="false">
      <c r="A4317" s="0" t="n">
        <v>2</v>
      </c>
      <c r="B4317" s="71" t="n">
        <v>46221</v>
      </c>
      <c r="C4317" s="0" t="n">
        <v>11</v>
      </c>
      <c r="D4317" s="0" t="s">
        <v>2471</v>
      </c>
      <c r="E4317" s="0" t="n">
        <v>1671</v>
      </c>
      <c r="F4317" s="0" t="s">
        <v>119</v>
      </c>
      <c r="I4317" s="0" t="n">
        <v>580863</v>
      </c>
      <c r="J4317" s="0" t="n">
        <v>81782</v>
      </c>
      <c r="K4317" s="0" t="n">
        <v>7509546704340</v>
      </c>
      <c r="L4317" s="0" t="s">
        <v>4516</v>
      </c>
      <c r="N4317" s="0" t="n">
        <v>12</v>
      </c>
      <c r="O4317" s="0" t="n">
        <v>82.92</v>
      </c>
      <c r="P4317" s="0" t="s">
        <v>2444</v>
      </c>
    </row>
    <row r="4318" customFormat="false" ht="15" hidden="false" customHeight="true" outlineLevel="0" collapsed="false">
      <c r="A4318" s="0" t="n">
        <v>2</v>
      </c>
      <c r="B4318" s="71" t="n">
        <v>46221</v>
      </c>
      <c r="C4318" s="0" t="n">
        <v>11</v>
      </c>
      <c r="D4318" s="0" t="s">
        <v>2471</v>
      </c>
      <c r="E4318" s="0" t="n">
        <v>1671</v>
      </c>
      <c r="F4318" s="0" t="s">
        <v>119</v>
      </c>
      <c r="I4318" s="0" t="n">
        <v>580863</v>
      </c>
      <c r="J4318" s="0" t="n">
        <v>81783</v>
      </c>
      <c r="K4318" s="0" t="n">
        <v>7891024068120</v>
      </c>
      <c r="L4318" s="0" t="s">
        <v>4517</v>
      </c>
      <c r="N4318" s="0" t="n">
        <v>6</v>
      </c>
      <c r="O4318" s="0" t="n">
        <v>59.52</v>
      </c>
      <c r="P4318" s="0" t="s">
        <v>2444</v>
      </c>
    </row>
    <row r="4319" customFormat="false" ht="15" hidden="false" customHeight="true" outlineLevel="0" collapsed="false">
      <c r="A4319" s="0" t="n">
        <v>2</v>
      </c>
      <c r="B4319" s="71" t="n">
        <v>46221</v>
      </c>
      <c r="C4319" s="0" t="n">
        <v>11</v>
      </c>
      <c r="D4319" s="0" t="s">
        <v>2471</v>
      </c>
      <c r="E4319" s="0" t="n">
        <v>1683</v>
      </c>
      <c r="F4319" s="0" t="s">
        <v>406</v>
      </c>
      <c r="I4319" s="0" t="n">
        <v>1649285</v>
      </c>
      <c r="J4319" s="0" t="n">
        <v>109791</v>
      </c>
      <c r="K4319" s="0" t="n">
        <v>9667</v>
      </c>
      <c r="L4319" s="0" t="s">
        <v>2465</v>
      </c>
      <c r="N4319" s="0" t="n">
        <v>5</v>
      </c>
      <c r="O4319" s="0" t="n">
        <v>7.5</v>
      </c>
      <c r="P4319" s="0" t="s">
        <v>2444</v>
      </c>
    </row>
    <row r="4320" customFormat="false" ht="15" hidden="false" customHeight="true" outlineLevel="0" collapsed="false">
      <c r="A4320" s="0" t="n">
        <v>2</v>
      </c>
      <c r="B4320" s="71" t="n">
        <v>46221</v>
      </c>
      <c r="C4320" s="0" t="n">
        <v>11</v>
      </c>
      <c r="D4320" s="0" t="s">
        <v>2471</v>
      </c>
      <c r="E4320" s="0" t="n">
        <v>1683</v>
      </c>
      <c r="F4320" s="0" t="s">
        <v>406</v>
      </c>
      <c r="I4320" s="0" t="n">
        <v>1649285</v>
      </c>
      <c r="J4320" s="0" t="n">
        <v>37361</v>
      </c>
      <c r="K4320" s="0" t="n">
        <v>2240817</v>
      </c>
      <c r="L4320" s="0" t="s">
        <v>2467</v>
      </c>
      <c r="N4320" s="0" t="n">
        <v>50</v>
      </c>
      <c r="O4320" s="0" t="n">
        <v>90</v>
      </c>
      <c r="P4320" s="0" t="s">
        <v>2444</v>
      </c>
    </row>
    <row r="4321" customFormat="false" ht="15" hidden="false" customHeight="true" outlineLevel="0" collapsed="false">
      <c r="A4321" s="0" t="n">
        <v>2</v>
      </c>
      <c r="B4321" s="71" t="n">
        <v>46221</v>
      </c>
      <c r="C4321" s="0" t="n">
        <v>11</v>
      </c>
      <c r="D4321" s="0" t="s">
        <v>2471</v>
      </c>
      <c r="E4321" s="0" t="n">
        <v>1636</v>
      </c>
      <c r="F4321" s="0" t="s">
        <v>61</v>
      </c>
      <c r="I4321" s="0" t="n">
        <v>3221212</v>
      </c>
      <c r="J4321" s="0" t="n">
        <v>30212</v>
      </c>
      <c r="K4321" s="0" t="n">
        <v>7891176117509</v>
      </c>
      <c r="L4321" s="0" t="s">
        <v>4518</v>
      </c>
      <c r="N4321" s="0" t="n">
        <v>24</v>
      </c>
      <c r="O4321" s="0" t="n">
        <v>39.85</v>
      </c>
      <c r="P4321" s="0" t="s">
        <v>2444</v>
      </c>
    </row>
    <row r="4322" customFormat="false" ht="15" hidden="false" customHeight="true" outlineLevel="0" collapsed="false">
      <c r="A4322" s="0" t="n">
        <v>2</v>
      </c>
      <c r="B4322" s="71" t="n">
        <v>46221</v>
      </c>
      <c r="C4322" s="0" t="n">
        <v>11</v>
      </c>
      <c r="D4322" s="0" t="s">
        <v>2471</v>
      </c>
      <c r="E4322" s="0" t="n">
        <v>1636</v>
      </c>
      <c r="F4322" s="0" t="s">
        <v>61</v>
      </c>
      <c r="I4322" s="0" t="n">
        <v>3221212</v>
      </c>
      <c r="J4322" s="0" t="n">
        <v>32295</v>
      </c>
      <c r="K4322" s="0" t="n">
        <v>7891176117486</v>
      </c>
      <c r="L4322" s="0" t="s">
        <v>4519</v>
      </c>
      <c r="N4322" s="0" t="n">
        <v>24</v>
      </c>
      <c r="O4322" s="0" t="n">
        <v>39.85</v>
      </c>
      <c r="P4322" s="0" t="s">
        <v>2444</v>
      </c>
    </row>
    <row r="4323" customFormat="false" ht="15" hidden="false" customHeight="true" outlineLevel="0" collapsed="false">
      <c r="A4323" s="0" t="n">
        <v>2</v>
      </c>
      <c r="B4323" s="71" t="n">
        <v>46221</v>
      </c>
      <c r="C4323" s="0" t="n">
        <v>11</v>
      </c>
      <c r="D4323" s="0" t="s">
        <v>2471</v>
      </c>
      <c r="E4323" s="0" t="n">
        <v>1636</v>
      </c>
      <c r="F4323" s="0" t="s">
        <v>61</v>
      </c>
      <c r="I4323" s="0" t="n">
        <v>3221212</v>
      </c>
      <c r="J4323" s="0" t="n">
        <v>33137</v>
      </c>
      <c r="K4323" s="0" t="n">
        <v>7891176117349</v>
      </c>
      <c r="L4323" s="0" t="s">
        <v>4520</v>
      </c>
      <c r="N4323" s="0" t="n">
        <v>24</v>
      </c>
      <c r="O4323" s="0" t="n">
        <v>39.85</v>
      </c>
      <c r="P4323" s="0" t="s">
        <v>2444</v>
      </c>
    </row>
    <row r="4324" customFormat="false" ht="15" hidden="false" customHeight="true" outlineLevel="0" collapsed="false">
      <c r="A4324" s="0" t="n">
        <v>2</v>
      </c>
      <c r="B4324" s="71" t="n">
        <v>46221</v>
      </c>
      <c r="C4324" s="0" t="n">
        <v>11</v>
      </c>
      <c r="D4324" s="0" t="s">
        <v>2471</v>
      </c>
      <c r="E4324" s="0" t="n">
        <v>1636</v>
      </c>
      <c r="F4324" s="0" t="s">
        <v>61</v>
      </c>
      <c r="I4324" s="0" t="n">
        <v>3221212</v>
      </c>
      <c r="J4324" s="0" t="n">
        <v>34720</v>
      </c>
      <c r="K4324" s="0" t="n">
        <v>7891176117493</v>
      </c>
      <c r="L4324" s="0" t="s">
        <v>4521</v>
      </c>
      <c r="N4324" s="0" t="n">
        <v>24</v>
      </c>
      <c r="O4324" s="0" t="n">
        <v>39.85</v>
      </c>
      <c r="P4324" s="0" t="s">
        <v>2444</v>
      </c>
    </row>
    <row r="4325" customFormat="false" ht="15" hidden="false" customHeight="true" outlineLevel="0" collapsed="false">
      <c r="A4325" s="0" t="n">
        <v>2</v>
      </c>
      <c r="B4325" s="71" t="n">
        <v>46221</v>
      </c>
      <c r="C4325" s="0" t="n">
        <v>39</v>
      </c>
      <c r="D4325" s="0" t="s">
        <v>3298</v>
      </c>
      <c r="E4325" s="0" t="n">
        <v>1402</v>
      </c>
      <c r="F4325" s="0" t="s">
        <v>1225</v>
      </c>
      <c r="I4325" s="0" t="n">
        <v>3855</v>
      </c>
      <c r="J4325" s="0" t="n">
        <v>75359</v>
      </c>
      <c r="K4325" s="0" t="n">
        <v>7898666611028</v>
      </c>
      <c r="L4325" s="0" t="s">
        <v>4522</v>
      </c>
      <c r="N4325" s="0" t="n">
        <v>10</v>
      </c>
      <c r="O4325" s="0" t="n">
        <v>570</v>
      </c>
      <c r="P4325" s="0" t="s">
        <v>2444</v>
      </c>
    </row>
    <row r="4326" customFormat="false" ht="15" hidden="false" customHeight="true" outlineLevel="0" collapsed="false">
      <c r="A4326" s="0" t="n">
        <v>2</v>
      </c>
      <c r="B4326" s="71" t="n">
        <v>46221</v>
      </c>
      <c r="C4326" s="0" t="n">
        <v>39</v>
      </c>
      <c r="D4326" s="0" t="s">
        <v>3298</v>
      </c>
      <c r="E4326" s="0" t="n">
        <v>1402</v>
      </c>
      <c r="F4326" s="0" t="s">
        <v>1225</v>
      </c>
      <c r="I4326" s="0" t="n">
        <v>3855</v>
      </c>
      <c r="J4326" s="0" t="n">
        <v>79089</v>
      </c>
      <c r="K4326" s="0" t="n">
        <v>618231463824</v>
      </c>
      <c r="L4326" s="0" t="s">
        <v>4523</v>
      </c>
      <c r="N4326" s="0" t="n">
        <v>5</v>
      </c>
      <c r="O4326" s="0" t="n">
        <v>539.15</v>
      </c>
      <c r="P4326" s="0" t="s">
        <v>2444</v>
      </c>
    </row>
    <row r="4327" customFormat="false" ht="15" hidden="false" customHeight="true" outlineLevel="0" collapsed="false">
      <c r="A4327" s="0" t="n">
        <v>2</v>
      </c>
      <c r="B4327" s="71" t="n">
        <v>46221</v>
      </c>
      <c r="C4327" s="0" t="n">
        <v>171</v>
      </c>
      <c r="D4327" s="0" t="s">
        <v>3017</v>
      </c>
      <c r="E4327" s="0" t="n">
        <v>1671</v>
      </c>
      <c r="F4327" s="0" t="s">
        <v>119</v>
      </c>
      <c r="I4327" s="0" t="n">
        <v>580862</v>
      </c>
      <c r="J4327" s="0" t="n">
        <v>78068</v>
      </c>
      <c r="K4327" s="0" t="n">
        <v>7908228807445</v>
      </c>
      <c r="L4327" s="0" t="s">
        <v>4524</v>
      </c>
      <c r="N4327" s="0" t="n">
        <v>3</v>
      </c>
      <c r="O4327" s="0" t="n">
        <v>24.93</v>
      </c>
      <c r="P4327" s="0" t="s">
        <v>3019</v>
      </c>
    </row>
    <row r="4328" customFormat="false" ht="15" hidden="false" customHeight="true" outlineLevel="0" collapsed="false">
      <c r="A4328" s="0" t="n">
        <v>2</v>
      </c>
      <c r="B4328" s="71" t="n">
        <v>46223</v>
      </c>
      <c r="C4328" s="0" t="n">
        <v>6</v>
      </c>
      <c r="D4328" s="0" t="s">
        <v>2553</v>
      </c>
      <c r="E4328" s="0" t="n">
        <v>48</v>
      </c>
      <c r="F4328" s="0" t="s">
        <v>153</v>
      </c>
      <c r="I4328" s="0" t="n">
        <v>2550</v>
      </c>
      <c r="J4328" s="0" t="n">
        <v>11683</v>
      </c>
      <c r="K4328" s="0" t="n">
        <v>7898934529048</v>
      </c>
      <c r="L4328" s="0" t="s">
        <v>2735</v>
      </c>
      <c r="N4328" s="0" t="n">
        <v>50</v>
      </c>
      <c r="O4328" s="0" t="n">
        <v>220</v>
      </c>
      <c r="P4328" s="0" t="s">
        <v>2444</v>
      </c>
    </row>
    <row r="4329" customFormat="false" ht="15" hidden="false" customHeight="true" outlineLevel="0" collapsed="false">
      <c r="A4329" s="0" t="n">
        <v>2</v>
      </c>
      <c r="B4329" s="71" t="n">
        <v>46223</v>
      </c>
      <c r="C4329" s="0" t="n">
        <v>6</v>
      </c>
      <c r="D4329" s="0" t="s">
        <v>2553</v>
      </c>
      <c r="E4329" s="0" t="n">
        <v>48</v>
      </c>
      <c r="F4329" s="0" t="s">
        <v>153</v>
      </c>
      <c r="I4329" s="0" t="n">
        <v>2550</v>
      </c>
      <c r="J4329" s="0" t="n">
        <v>20452</v>
      </c>
      <c r="K4329" s="0" t="n">
        <v>7898934529086</v>
      </c>
      <c r="L4329" s="0" t="s">
        <v>2736</v>
      </c>
      <c r="N4329" s="0" t="n">
        <v>75</v>
      </c>
      <c r="O4329" s="0" t="n">
        <v>729</v>
      </c>
      <c r="P4329" s="0" t="s">
        <v>2444</v>
      </c>
    </row>
    <row r="4330" customFormat="false" ht="15" hidden="false" customHeight="true" outlineLevel="0" collapsed="false">
      <c r="A4330" s="0" t="n">
        <v>2</v>
      </c>
      <c r="B4330" s="71" t="n">
        <v>46223</v>
      </c>
      <c r="C4330" s="0" t="n">
        <v>6</v>
      </c>
      <c r="D4330" s="0" t="s">
        <v>2553</v>
      </c>
      <c r="E4330" s="0" t="n">
        <v>48</v>
      </c>
      <c r="F4330" s="0" t="s">
        <v>153</v>
      </c>
      <c r="I4330" s="0" t="n">
        <v>2553</v>
      </c>
      <c r="J4330" s="0" t="n">
        <v>42564</v>
      </c>
      <c r="K4330" s="0" t="n">
        <v>574</v>
      </c>
      <c r="L4330" s="0" t="s">
        <v>2534</v>
      </c>
      <c r="N4330" s="0" t="n">
        <v>15</v>
      </c>
      <c r="O4330" s="0" t="n">
        <v>210</v>
      </c>
      <c r="P4330" s="0" t="s">
        <v>2444</v>
      </c>
    </row>
    <row r="4331" customFormat="false" ht="15" hidden="false" customHeight="true" outlineLevel="0" collapsed="false">
      <c r="A4331" s="0" t="n">
        <v>2</v>
      </c>
      <c r="B4331" s="71" t="n">
        <v>46223</v>
      </c>
      <c r="C4331" s="0" t="n">
        <v>11</v>
      </c>
      <c r="D4331" s="0" t="s">
        <v>2471</v>
      </c>
      <c r="E4331" s="0" t="n">
        <v>10096</v>
      </c>
      <c r="F4331" s="0" t="s">
        <v>622</v>
      </c>
      <c r="I4331" s="0" t="n">
        <v>64</v>
      </c>
      <c r="J4331" s="0" t="n">
        <v>61580</v>
      </c>
      <c r="K4331" s="0" t="n">
        <v>2258157</v>
      </c>
      <c r="L4331" s="0" t="s">
        <v>2509</v>
      </c>
      <c r="N4331" s="0" t="n">
        <v>10</v>
      </c>
      <c r="O4331" s="0" t="n">
        <v>120</v>
      </c>
      <c r="P4331" s="0" t="s">
        <v>2444</v>
      </c>
    </row>
    <row r="4332" customFormat="false" ht="15" hidden="false" customHeight="true" outlineLevel="0" collapsed="false">
      <c r="A4332" s="0" t="n">
        <v>2</v>
      </c>
      <c r="B4332" s="71" t="n">
        <v>46223</v>
      </c>
      <c r="C4332" s="0" t="n">
        <v>11</v>
      </c>
      <c r="D4332" s="0" t="s">
        <v>2471</v>
      </c>
      <c r="E4332" s="0" t="n">
        <v>10096</v>
      </c>
      <c r="F4332" s="0" t="s">
        <v>622</v>
      </c>
      <c r="I4332" s="0" t="n">
        <v>64</v>
      </c>
      <c r="J4332" s="0" t="n">
        <v>61597</v>
      </c>
      <c r="K4332" s="0" t="n">
        <v>2258188</v>
      </c>
      <c r="L4332" s="0" t="s">
        <v>2510</v>
      </c>
      <c r="N4332" s="0" t="n">
        <v>5</v>
      </c>
      <c r="O4332" s="0" t="n">
        <v>20</v>
      </c>
      <c r="P4332" s="0" t="s">
        <v>2444</v>
      </c>
    </row>
    <row r="4333" customFormat="false" ht="15" hidden="false" customHeight="true" outlineLevel="0" collapsed="false">
      <c r="A4333" s="0" t="n">
        <v>2</v>
      </c>
      <c r="B4333" s="71" t="n">
        <v>46223</v>
      </c>
      <c r="C4333" s="0" t="n">
        <v>11</v>
      </c>
      <c r="D4333" s="0" t="s">
        <v>2471</v>
      </c>
      <c r="E4333" s="0" t="n">
        <v>10096</v>
      </c>
      <c r="F4333" s="0" t="s">
        <v>622</v>
      </c>
      <c r="I4333" s="0" t="n">
        <v>65</v>
      </c>
      <c r="J4333" s="0" t="n">
        <v>61580</v>
      </c>
      <c r="K4333" s="0" t="n">
        <v>2258157</v>
      </c>
      <c r="L4333" s="0" t="s">
        <v>2509</v>
      </c>
      <c r="N4333" s="0" t="n">
        <v>10</v>
      </c>
      <c r="O4333" s="0" t="n">
        <v>120</v>
      </c>
      <c r="P4333" s="0" t="s">
        <v>2444</v>
      </c>
    </row>
    <row r="4334" customFormat="false" ht="15" hidden="false" customHeight="true" outlineLevel="0" collapsed="false">
      <c r="A4334" s="0" t="n">
        <v>2</v>
      </c>
      <c r="B4334" s="71" t="n">
        <v>46223</v>
      </c>
      <c r="C4334" s="0" t="n">
        <v>11</v>
      </c>
      <c r="D4334" s="0" t="s">
        <v>2471</v>
      </c>
      <c r="E4334" s="0" t="n">
        <v>10096</v>
      </c>
      <c r="F4334" s="0" t="s">
        <v>622</v>
      </c>
      <c r="I4334" s="0" t="n">
        <v>65</v>
      </c>
      <c r="J4334" s="0" t="n">
        <v>61597</v>
      </c>
      <c r="K4334" s="0" t="n">
        <v>2258188</v>
      </c>
      <c r="L4334" s="0" t="s">
        <v>2510</v>
      </c>
      <c r="N4334" s="0" t="n">
        <v>5</v>
      </c>
      <c r="O4334" s="0" t="n">
        <v>20</v>
      </c>
      <c r="P4334" s="0" t="s">
        <v>2444</v>
      </c>
    </row>
    <row r="4335" customFormat="false" ht="15" hidden="false" customHeight="true" outlineLevel="0" collapsed="false">
      <c r="A4335" s="0" t="n">
        <v>2</v>
      </c>
      <c r="B4335" s="71" t="n">
        <v>46223</v>
      </c>
      <c r="C4335" s="0" t="n">
        <v>11</v>
      </c>
      <c r="D4335" s="0" t="s">
        <v>2471</v>
      </c>
      <c r="E4335" s="0" t="n">
        <v>607</v>
      </c>
      <c r="F4335" s="0" t="s">
        <v>281</v>
      </c>
      <c r="I4335" s="0" t="n">
        <v>11173</v>
      </c>
      <c r="J4335" s="0" t="n">
        <v>33191</v>
      </c>
      <c r="K4335" s="0" t="n">
        <v>7898904523724</v>
      </c>
      <c r="L4335" s="0" t="s">
        <v>3611</v>
      </c>
      <c r="N4335" s="0" t="n">
        <v>2</v>
      </c>
      <c r="O4335" s="0" t="n">
        <v>375.96</v>
      </c>
      <c r="P4335" s="0" t="s">
        <v>2444</v>
      </c>
    </row>
    <row r="4336" customFormat="false" ht="15" hidden="false" customHeight="true" outlineLevel="0" collapsed="false">
      <c r="A4336" s="0" t="n">
        <v>2</v>
      </c>
      <c r="B4336" s="71" t="n">
        <v>46223</v>
      </c>
      <c r="C4336" s="0" t="n">
        <v>11</v>
      </c>
      <c r="D4336" s="0" t="s">
        <v>2471</v>
      </c>
      <c r="E4336" s="0" t="n">
        <v>607</v>
      </c>
      <c r="F4336" s="0" t="s">
        <v>281</v>
      </c>
      <c r="I4336" s="0" t="n">
        <v>11173</v>
      </c>
      <c r="J4336" s="0" t="n">
        <v>110373</v>
      </c>
      <c r="K4336" s="0" t="n">
        <v>47851</v>
      </c>
      <c r="L4336" s="0" t="s">
        <v>4525</v>
      </c>
      <c r="N4336" s="0" t="n">
        <v>50</v>
      </c>
      <c r="O4336" s="0" t="n">
        <v>323.32</v>
      </c>
      <c r="P4336" s="0" t="s">
        <v>2444</v>
      </c>
    </row>
    <row r="4337" customFormat="false" ht="15" hidden="false" customHeight="true" outlineLevel="0" collapsed="false">
      <c r="A4337" s="0" t="n">
        <v>2</v>
      </c>
      <c r="B4337" s="71" t="n">
        <v>46223</v>
      </c>
      <c r="C4337" s="0" t="n">
        <v>11</v>
      </c>
      <c r="D4337" s="0" t="s">
        <v>2471</v>
      </c>
      <c r="E4337" s="0" t="n">
        <v>607</v>
      </c>
      <c r="F4337" s="0" t="s">
        <v>281</v>
      </c>
      <c r="I4337" s="0" t="n">
        <v>11173</v>
      </c>
      <c r="J4337" s="0" t="n">
        <v>48593</v>
      </c>
      <c r="K4337" s="0" t="n">
        <v>7898945813341</v>
      </c>
      <c r="L4337" s="0" t="s">
        <v>4526</v>
      </c>
      <c r="N4337" s="0" t="n">
        <v>6</v>
      </c>
      <c r="O4337" s="0" t="n">
        <v>40.38</v>
      </c>
      <c r="P4337" s="0" t="s">
        <v>2444</v>
      </c>
    </row>
    <row r="4338" customFormat="false" ht="15" hidden="false" customHeight="true" outlineLevel="0" collapsed="false">
      <c r="A4338" s="0" t="n">
        <v>2</v>
      </c>
      <c r="B4338" s="71" t="n">
        <v>46223</v>
      </c>
      <c r="C4338" s="0" t="n">
        <v>11</v>
      </c>
      <c r="D4338" s="0" t="s">
        <v>2471</v>
      </c>
      <c r="E4338" s="0" t="n">
        <v>607</v>
      </c>
      <c r="F4338" s="0" t="s">
        <v>281</v>
      </c>
      <c r="I4338" s="0" t="n">
        <v>11173</v>
      </c>
      <c r="J4338" s="0" t="n">
        <v>48593</v>
      </c>
      <c r="K4338" s="0" t="n">
        <v>7898945813341</v>
      </c>
      <c r="L4338" s="0" t="s">
        <v>4526</v>
      </c>
      <c r="N4338" s="0" t="n">
        <v>6</v>
      </c>
      <c r="O4338" s="0" t="n">
        <v>40.38</v>
      </c>
      <c r="P4338" s="0" t="s">
        <v>2444</v>
      </c>
    </row>
    <row r="4339" customFormat="false" ht="15" hidden="false" customHeight="true" outlineLevel="0" collapsed="false">
      <c r="A4339" s="0" t="n">
        <v>2</v>
      </c>
      <c r="B4339" s="71" t="n">
        <v>46223</v>
      </c>
      <c r="C4339" s="0" t="n">
        <v>11</v>
      </c>
      <c r="D4339" s="0" t="s">
        <v>2471</v>
      </c>
      <c r="E4339" s="0" t="n">
        <v>607</v>
      </c>
      <c r="F4339" s="0" t="s">
        <v>281</v>
      </c>
      <c r="I4339" s="0" t="n">
        <v>11173</v>
      </c>
      <c r="J4339" s="0" t="n">
        <v>48595</v>
      </c>
      <c r="K4339" s="0" t="n">
        <v>7898945813358</v>
      </c>
      <c r="L4339" s="0" t="s">
        <v>4527</v>
      </c>
      <c r="N4339" s="0" t="n">
        <v>12</v>
      </c>
      <c r="O4339" s="0" t="n">
        <v>80.76</v>
      </c>
      <c r="P4339" s="0" t="s">
        <v>2444</v>
      </c>
    </row>
    <row r="4340" customFormat="false" ht="15" hidden="false" customHeight="true" outlineLevel="0" collapsed="false">
      <c r="A4340" s="0" t="n">
        <v>2</v>
      </c>
      <c r="B4340" s="71" t="n">
        <v>46223</v>
      </c>
      <c r="C4340" s="0" t="n">
        <v>11</v>
      </c>
      <c r="D4340" s="0" t="s">
        <v>2471</v>
      </c>
      <c r="E4340" s="0" t="n">
        <v>607</v>
      </c>
      <c r="F4340" s="0" t="s">
        <v>281</v>
      </c>
      <c r="I4340" s="0" t="n">
        <v>11173</v>
      </c>
      <c r="J4340" s="0" t="n">
        <v>48596</v>
      </c>
      <c r="K4340" s="0" t="n">
        <v>7898945813334</v>
      </c>
      <c r="L4340" s="0" t="s">
        <v>4528</v>
      </c>
      <c r="N4340" s="0" t="n">
        <v>12</v>
      </c>
      <c r="O4340" s="0" t="n">
        <v>80.76</v>
      </c>
      <c r="P4340" s="0" t="s">
        <v>2444</v>
      </c>
    </row>
    <row r="4341" customFormat="false" ht="15" hidden="false" customHeight="true" outlineLevel="0" collapsed="false">
      <c r="A4341" s="0" t="n">
        <v>2</v>
      </c>
      <c r="B4341" s="71" t="n">
        <v>46223</v>
      </c>
      <c r="C4341" s="0" t="n">
        <v>11</v>
      </c>
      <c r="D4341" s="0" t="s">
        <v>2471</v>
      </c>
      <c r="E4341" s="0" t="n">
        <v>607</v>
      </c>
      <c r="F4341" s="0" t="s">
        <v>281</v>
      </c>
      <c r="I4341" s="0" t="n">
        <v>11173</v>
      </c>
      <c r="J4341" s="0" t="n">
        <v>76919</v>
      </c>
      <c r="K4341" s="0" t="n">
        <v>7898674093137</v>
      </c>
      <c r="L4341" s="0" t="s">
        <v>4529</v>
      </c>
      <c r="N4341" s="0" t="n">
        <v>13</v>
      </c>
      <c r="O4341" s="0" t="n">
        <v>843.57</v>
      </c>
      <c r="P4341" s="0" t="s">
        <v>2444</v>
      </c>
    </row>
    <row r="4342" customFormat="false" ht="15" hidden="false" customHeight="true" outlineLevel="0" collapsed="false">
      <c r="A4342" s="0" t="n">
        <v>2</v>
      </c>
      <c r="B4342" s="71" t="n">
        <v>46223</v>
      </c>
      <c r="C4342" s="0" t="n">
        <v>11</v>
      </c>
      <c r="D4342" s="0" t="s">
        <v>2471</v>
      </c>
      <c r="E4342" s="0" t="n">
        <v>1625</v>
      </c>
      <c r="F4342" s="0" t="s">
        <v>270</v>
      </c>
      <c r="I4342" s="0" t="n">
        <v>14751</v>
      </c>
      <c r="J4342" s="0" t="n">
        <v>29079</v>
      </c>
      <c r="K4342" s="0" t="n">
        <v>55515</v>
      </c>
      <c r="L4342" s="0" t="s">
        <v>2449</v>
      </c>
      <c r="N4342" s="0" t="n">
        <v>76.2</v>
      </c>
      <c r="O4342" s="0" t="n">
        <v>2476.5</v>
      </c>
      <c r="P4342" s="0" t="s">
        <v>2444</v>
      </c>
    </row>
    <row r="4343" customFormat="false" ht="15" hidden="false" customHeight="true" outlineLevel="0" collapsed="false">
      <c r="A4343" s="0" t="n">
        <v>2</v>
      </c>
      <c r="B4343" s="71" t="n">
        <v>46223</v>
      </c>
      <c r="C4343" s="0" t="n">
        <v>11</v>
      </c>
      <c r="D4343" s="0" t="s">
        <v>2471</v>
      </c>
      <c r="E4343" s="0" t="n">
        <v>1625</v>
      </c>
      <c r="F4343" s="0" t="s">
        <v>270</v>
      </c>
      <c r="I4343" s="0" t="n">
        <v>14751</v>
      </c>
      <c r="J4343" s="0" t="n">
        <v>29080</v>
      </c>
      <c r="K4343" s="0" t="n">
        <v>55516</v>
      </c>
      <c r="L4343" s="0" t="s">
        <v>2450</v>
      </c>
      <c r="N4343" s="0" t="n">
        <v>59</v>
      </c>
      <c r="O4343" s="0" t="n">
        <v>1327.5</v>
      </c>
      <c r="P4343" s="0" t="s">
        <v>2444</v>
      </c>
    </row>
    <row r="4344" customFormat="false" ht="15" hidden="false" customHeight="true" outlineLevel="0" collapsed="false">
      <c r="A4344" s="0" t="n">
        <v>2</v>
      </c>
      <c r="B4344" s="71" t="n">
        <v>46223</v>
      </c>
      <c r="C4344" s="0" t="n">
        <v>11</v>
      </c>
      <c r="D4344" s="0" t="s">
        <v>2471</v>
      </c>
      <c r="E4344" s="0" t="n">
        <v>581</v>
      </c>
      <c r="F4344" s="0" t="s">
        <v>147</v>
      </c>
      <c r="I4344" s="0" t="n">
        <v>31515</v>
      </c>
      <c r="J4344" s="0" t="n">
        <v>48008</v>
      </c>
      <c r="K4344" s="0" t="n">
        <v>798190027999</v>
      </c>
      <c r="L4344" s="0" t="s">
        <v>2579</v>
      </c>
      <c r="N4344" s="0" t="n">
        <v>20</v>
      </c>
      <c r="O4344" s="0" t="n">
        <v>130</v>
      </c>
      <c r="P4344" s="0" t="s">
        <v>2444</v>
      </c>
    </row>
    <row r="4345" customFormat="false" ht="15" hidden="false" customHeight="true" outlineLevel="0" collapsed="false">
      <c r="A4345" s="0" t="n">
        <v>2</v>
      </c>
      <c r="B4345" s="71" t="n">
        <v>46223</v>
      </c>
      <c r="C4345" s="0" t="n">
        <v>11</v>
      </c>
      <c r="D4345" s="0" t="s">
        <v>2471</v>
      </c>
      <c r="E4345" s="0" t="n">
        <v>581</v>
      </c>
      <c r="F4345" s="0" t="s">
        <v>147</v>
      </c>
      <c r="I4345" s="0" t="n">
        <v>31515</v>
      </c>
      <c r="J4345" s="0" t="n">
        <v>48009</v>
      </c>
      <c r="K4345" s="0" t="n">
        <v>798190028002</v>
      </c>
      <c r="L4345" s="0" t="s">
        <v>2580</v>
      </c>
      <c r="N4345" s="0" t="n">
        <v>20</v>
      </c>
      <c r="O4345" s="0" t="n">
        <v>69</v>
      </c>
      <c r="P4345" s="0" t="s">
        <v>2444</v>
      </c>
    </row>
    <row r="4346" customFormat="false" ht="15" hidden="false" customHeight="true" outlineLevel="0" collapsed="false">
      <c r="A4346" s="0" t="n">
        <v>2</v>
      </c>
      <c r="B4346" s="71" t="n">
        <v>46223</v>
      </c>
      <c r="C4346" s="0" t="n">
        <v>11</v>
      </c>
      <c r="D4346" s="0" t="s">
        <v>2471</v>
      </c>
      <c r="E4346" s="0" t="n">
        <v>1624</v>
      </c>
      <c r="F4346" s="0" t="s">
        <v>351</v>
      </c>
      <c r="I4346" s="0" t="n">
        <v>664184</v>
      </c>
      <c r="J4346" s="0" t="n">
        <v>47077</v>
      </c>
      <c r="K4346" s="0" t="n">
        <v>7898274860030</v>
      </c>
      <c r="L4346" s="0" t="s">
        <v>4530</v>
      </c>
      <c r="N4346" s="0" t="n">
        <v>30</v>
      </c>
      <c r="O4346" s="0" t="n">
        <v>330</v>
      </c>
      <c r="P4346" s="0" t="s">
        <v>2444</v>
      </c>
    </row>
    <row r="4347" customFormat="false" ht="15" hidden="false" customHeight="true" outlineLevel="0" collapsed="false">
      <c r="A4347" s="0" t="n">
        <v>2</v>
      </c>
      <c r="B4347" s="71" t="n">
        <v>46223</v>
      </c>
      <c r="C4347" s="0" t="n">
        <v>11</v>
      </c>
      <c r="D4347" s="0" t="s">
        <v>2471</v>
      </c>
      <c r="E4347" s="0" t="n">
        <v>1624</v>
      </c>
      <c r="F4347" s="0" t="s">
        <v>351</v>
      </c>
      <c r="I4347" s="0" t="n">
        <v>664184</v>
      </c>
      <c r="J4347" s="0" t="n">
        <v>47078</v>
      </c>
      <c r="K4347" s="0" t="n">
        <v>7898274860023</v>
      </c>
      <c r="L4347" s="0" t="s">
        <v>4531</v>
      </c>
      <c r="N4347" s="0" t="n">
        <v>30</v>
      </c>
      <c r="O4347" s="0" t="n">
        <v>285</v>
      </c>
      <c r="P4347" s="0" t="s">
        <v>2444</v>
      </c>
    </row>
    <row r="4348" customFormat="false" ht="15" hidden="false" customHeight="true" outlineLevel="0" collapsed="false">
      <c r="A4348" s="0" t="n">
        <v>2</v>
      </c>
      <c r="B4348" s="71" t="n">
        <v>46223</v>
      </c>
      <c r="C4348" s="0" t="n">
        <v>11</v>
      </c>
      <c r="D4348" s="0" t="s">
        <v>2471</v>
      </c>
      <c r="E4348" s="0" t="n">
        <v>1624</v>
      </c>
      <c r="F4348" s="0" t="s">
        <v>351</v>
      </c>
      <c r="I4348" s="0" t="n">
        <v>664184</v>
      </c>
      <c r="J4348" s="0" t="n">
        <v>53374</v>
      </c>
      <c r="K4348" s="0" t="n">
        <v>7896273809197</v>
      </c>
      <c r="L4348" s="0" t="s">
        <v>4532</v>
      </c>
      <c r="N4348" s="0" t="n">
        <v>60</v>
      </c>
      <c r="O4348" s="0" t="n">
        <v>528</v>
      </c>
      <c r="P4348" s="0" t="s">
        <v>2444</v>
      </c>
    </row>
    <row r="4349" customFormat="false" ht="15" hidden="false" customHeight="true" outlineLevel="0" collapsed="false">
      <c r="A4349" s="0" t="n">
        <v>2</v>
      </c>
      <c r="B4349" s="71" t="n">
        <v>46223</v>
      </c>
      <c r="C4349" s="0" t="n">
        <v>11</v>
      </c>
      <c r="D4349" s="0" t="s">
        <v>2471</v>
      </c>
      <c r="E4349" s="0" t="n">
        <v>1601</v>
      </c>
      <c r="F4349" s="0" t="s">
        <v>193</v>
      </c>
      <c r="I4349" s="0" t="n">
        <v>854967</v>
      </c>
      <c r="J4349" s="0" t="n">
        <v>20224</v>
      </c>
      <c r="K4349" s="0" t="n">
        <v>7896102503708</v>
      </c>
      <c r="L4349" s="0" t="s">
        <v>2799</v>
      </c>
      <c r="N4349" s="0" t="n">
        <v>3</v>
      </c>
      <c r="O4349" s="0" t="n">
        <v>38.56</v>
      </c>
      <c r="P4349" s="0" t="s">
        <v>2444</v>
      </c>
    </row>
    <row r="4350" customFormat="false" ht="15" hidden="false" customHeight="true" outlineLevel="0" collapsed="false">
      <c r="A4350" s="0" t="n">
        <v>2</v>
      </c>
      <c r="B4350" s="71" t="n">
        <v>46223</v>
      </c>
      <c r="C4350" s="0" t="n">
        <v>11</v>
      </c>
      <c r="D4350" s="0" t="s">
        <v>2471</v>
      </c>
      <c r="E4350" s="0" t="n">
        <v>1601</v>
      </c>
      <c r="F4350" s="0" t="s">
        <v>193</v>
      </c>
      <c r="I4350" s="0" t="n">
        <v>854967</v>
      </c>
      <c r="J4350" s="0" t="n">
        <v>15891</v>
      </c>
      <c r="K4350" s="0" t="n">
        <v>7896102502909</v>
      </c>
      <c r="L4350" s="0" t="s">
        <v>2800</v>
      </c>
      <c r="N4350" s="0" t="n">
        <v>24</v>
      </c>
      <c r="O4350" s="0" t="n">
        <v>85.88</v>
      </c>
      <c r="P4350" s="0" t="s">
        <v>2444</v>
      </c>
    </row>
    <row r="4351" customFormat="false" ht="15" hidden="false" customHeight="true" outlineLevel="0" collapsed="false">
      <c r="A4351" s="0" t="n">
        <v>2</v>
      </c>
      <c r="B4351" s="71" t="n">
        <v>46223</v>
      </c>
      <c r="C4351" s="0" t="n">
        <v>11</v>
      </c>
      <c r="D4351" s="0" t="s">
        <v>2471</v>
      </c>
      <c r="E4351" s="0" t="n">
        <v>1601</v>
      </c>
      <c r="F4351" s="0" t="s">
        <v>193</v>
      </c>
      <c r="I4351" s="0" t="n">
        <v>854967</v>
      </c>
      <c r="J4351" s="0" t="n">
        <v>105797</v>
      </c>
      <c r="K4351" s="0" t="n">
        <v>7896382500305</v>
      </c>
      <c r="L4351" s="0" t="s">
        <v>4533</v>
      </c>
      <c r="N4351" s="0" t="n">
        <v>30</v>
      </c>
      <c r="O4351" s="0" t="n">
        <v>51.7</v>
      </c>
      <c r="P4351" s="0" t="s">
        <v>2444</v>
      </c>
    </row>
    <row r="4352" customFormat="false" ht="15" hidden="false" customHeight="true" outlineLevel="0" collapsed="false">
      <c r="A4352" s="0" t="n">
        <v>2</v>
      </c>
      <c r="B4352" s="71" t="n">
        <v>46223</v>
      </c>
      <c r="C4352" s="0" t="n">
        <v>11</v>
      </c>
      <c r="D4352" s="0" t="s">
        <v>2471</v>
      </c>
      <c r="E4352" s="0" t="n">
        <v>1601</v>
      </c>
      <c r="F4352" s="0" t="s">
        <v>193</v>
      </c>
      <c r="I4352" s="0" t="n">
        <v>854967</v>
      </c>
      <c r="J4352" s="0" t="n">
        <v>106320</v>
      </c>
      <c r="K4352" s="0" t="n">
        <v>7896382500312</v>
      </c>
      <c r="L4352" s="0" t="s">
        <v>4534</v>
      </c>
      <c r="N4352" s="0" t="n">
        <v>30</v>
      </c>
      <c r="O4352" s="0" t="n">
        <v>51.7</v>
      </c>
      <c r="P4352" s="0" t="s">
        <v>2444</v>
      </c>
    </row>
    <row r="4353" customFormat="false" ht="15" hidden="false" customHeight="true" outlineLevel="0" collapsed="false">
      <c r="A4353" s="0" t="n">
        <v>2</v>
      </c>
      <c r="B4353" s="71" t="n">
        <v>46223</v>
      </c>
      <c r="C4353" s="0" t="n">
        <v>11</v>
      </c>
      <c r="D4353" s="0" t="s">
        <v>2471</v>
      </c>
      <c r="E4353" s="0" t="n">
        <v>1601</v>
      </c>
      <c r="F4353" s="0" t="s">
        <v>193</v>
      </c>
      <c r="I4353" s="0" t="n">
        <v>854967</v>
      </c>
      <c r="J4353" s="0" t="n">
        <v>107011</v>
      </c>
      <c r="K4353" s="0" t="n">
        <v>7896382500329</v>
      </c>
      <c r="L4353" s="0" t="s">
        <v>4535</v>
      </c>
      <c r="N4353" s="0" t="n">
        <v>30</v>
      </c>
      <c r="O4353" s="0" t="n">
        <v>51.7</v>
      </c>
      <c r="P4353" s="0" t="s">
        <v>2444</v>
      </c>
    </row>
    <row r="4354" customFormat="false" ht="15" hidden="false" customHeight="true" outlineLevel="0" collapsed="false">
      <c r="A4354" s="0" t="n">
        <v>2</v>
      </c>
      <c r="B4354" s="71" t="n">
        <v>46223</v>
      </c>
      <c r="C4354" s="0" t="n">
        <v>11</v>
      </c>
      <c r="D4354" s="0" t="s">
        <v>2471</v>
      </c>
      <c r="E4354" s="0" t="n">
        <v>1601</v>
      </c>
      <c r="F4354" s="0" t="s">
        <v>193</v>
      </c>
      <c r="I4354" s="0" t="n">
        <v>854967</v>
      </c>
      <c r="J4354" s="0" t="n">
        <v>12501</v>
      </c>
      <c r="K4354" s="0" t="n">
        <v>7891040128556</v>
      </c>
      <c r="L4354" s="0" t="s">
        <v>4536</v>
      </c>
      <c r="N4354" s="0" t="n">
        <v>60</v>
      </c>
      <c r="O4354" s="0" t="n">
        <v>100</v>
      </c>
      <c r="P4354" s="0" t="s">
        <v>2444</v>
      </c>
    </row>
    <row r="4355" customFormat="false" ht="15" hidden="false" customHeight="true" outlineLevel="0" collapsed="false">
      <c r="A4355" s="0" t="n">
        <v>2</v>
      </c>
      <c r="B4355" s="71" t="n">
        <v>46223</v>
      </c>
      <c r="C4355" s="0" t="n">
        <v>11</v>
      </c>
      <c r="D4355" s="0" t="s">
        <v>2471</v>
      </c>
      <c r="E4355" s="0" t="n">
        <v>1601</v>
      </c>
      <c r="F4355" s="0" t="s">
        <v>193</v>
      </c>
      <c r="I4355" s="0" t="n">
        <v>854967</v>
      </c>
      <c r="J4355" s="0" t="n">
        <v>14758</v>
      </c>
      <c r="K4355" s="0" t="n">
        <v>7896102509434</v>
      </c>
      <c r="L4355" s="0" t="s">
        <v>4537</v>
      </c>
      <c r="N4355" s="0" t="n">
        <v>120</v>
      </c>
      <c r="O4355" s="0" t="n">
        <v>275</v>
      </c>
      <c r="P4355" s="0" t="s">
        <v>2444</v>
      </c>
    </row>
    <row r="4356" customFormat="false" ht="15" hidden="false" customHeight="true" outlineLevel="0" collapsed="false">
      <c r="A4356" s="0" t="n">
        <v>2</v>
      </c>
      <c r="B4356" s="71" t="n">
        <v>46223</v>
      </c>
      <c r="C4356" s="0" t="n">
        <v>11</v>
      </c>
      <c r="D4356" s="0" t="s">
        <v>2471</v>
      </c>
      <c r="E4356" s="0" t="n">
        <v>1601</v>
      </c>
      <c r="F4356" s="0" t="s">
        <v>193</v>
      </c>
      <c r="I4356" s="0" t="n">
        <v>854967</v>
      </c>
      <c r="J4356" s="0" t="n">
        <v>21653</v>
      </c>
      <c r="K4356" s="0" t="n">
        <v>7896102502770</v>
      </c>
      <c r="L4356" s="0" t="s">
        <v>4538</v>
      </c>
      <c r="N4356" s="0" t="n">
        <v>12</v>
      </c>
      <c r="O4356" s="0" t="n">
        <v>73.13</v>
      </c>
      <c r="P4356" s="0" t="s">
        <v>2444</v>
      </c>
    </row>
    <row r="4357" customFormat="false" ht="15" hidden="false" customHeight="true" outlineLevel="0" collapsed="false">
      <c r="A4357" s="0" t="n">
        <v>2</v>
      </c>
      <c r="B4357" s="71" t="n">
        <v>46223</v>
      </c>
      <c r="C4357" s="0" t="n">
        <v>11</v>
      </c>
      <c r="D4357" s="0" t="s">
        <v>2471</v>
      </c>
      <c r="E4357" s="0" t="n">
        <v>1601</v>
      </c>
      <c r="F4357" s="0" t="s">
        <v>193</v>
      </c>
      <c r="I4357" s="0" t="n">
        <v>854967</v>
      </c>
      <c r="J4357" s="0" t="n">
        <v>21655</v>
      </c>
      <c r="K4357" s="0" t="n">
        <v>7896102502763</v>
      </c>
      <c r="L4357" s="0" t="s">
        <v>2803</v>
      </c>
      <c r="N4357" s="0" t="n">
        <v>12</v>
      </c>
      <c r="O4357" s="0" t="n">
        <v>47.79</v>
      </c>
      <c r="P4357" s="0" t="s">
        <v>2444</v>
      </c>
    </row>
    <row r="4358" customFormat="false" ht="15" hidden="false" customHeight="true" outlineLevel="0" collapsed="false">
      <c r="A4358" s="0" t="n">
        <v>2</v>
      </c>
      <c r="B4358" s="71" t="n">
        <v>46223</v>
      </c>
      <c r="C4358" s="0" t="n">
        <v>11</v>
      </c>
      <c r="D4358" s="0" t="s">
        <v>2471</v>
      </c>
      <c r="E4358" s="0" t="n">
        <v>1601</v>
      </c>
      <c r="F4358" s="0" t="s">
        <v>193</v>
      </c>
      <c r="I4358" s="0" t="n">
        <v>854967</v>
      </c>
      <c r="J4358" s="0" t="n">
        <v>22074</v>
      </c>
      <c r="K4358" s="0" t="n">
        <v>7896102502787</v>
      </c>
      <c r="L4358" s="0" t="s">
        <v>2804</v>
      </c>
      <c r="N4358" s="0" t="n">
        <v>12</v>
      </c>
      <c r="O4358" s="0" t="n">
        <v>45.86</v>
      </c>
      <c r="P4358" s="0" t="s">
        <v>2444</v>
      </c>
    </row>
    <row r="4359" customFormat="false" ht="15" hidden="false" customHeight="true" outlineLevel="0" collapsed="false">
      <c r="A4359" s="0" t="n">
        <v>2</v>
      </c>
      <c r="B4359" s="71" t="n">
        <v>46223</v>
      </c>
      <c r="C4359" s="0" t="n">
        <v>11</v>
      </c>
      <c r="D4359" s="0" t="s">
        <v>2471</v>
      </c>
      <c r="E4359" s="0" t="n">
        <v>1601</v>
      </c>
      <c r="F4359" s="0" t="s">
        <v>193</v>
      </c>
      <c r="I4359" s="0" t="n">
        <v>854967</v>
      </c>
      <c r="J4359" s="0" t="n">
        <v>23709</v>
      </c>
      <c r="K4359" s="0" t="n">
        <v>7896102583182</v>
      </c>
      <c r="L4359" s="0" t="s">
        <v>4539</v>
      </c>
      <c r="N4359" s="0" t="n">
        <v>16</v>
      </c>
      <c r="O4359" s="0" t="n">
        <v>200.32</v>
      </c>
      <c r="P4359" s="0" t="s">
        <v>2444</v>
      </c>
    </row>
    <row r="4360" customFormat="false" ht="15" hidden="false" customHeight="true" outlineLevel="0" collapsed="false">
      <c r="A4360" s="0" t="n">
        <v>2</v>
      </c>
      <c r="B4360" s="71" t="n">
        <v>46223</v>
      </c>
      <c r="C4360" s="0" t="n">
        <v>11</v>
      </c>
      <c r="D4360" s="0" t="s">
        <v>2471</v>
      </c>
      <c r="E4360" s="0" t="n">
        <v>1601</v>
      </c>
      <c r="F4360" s="0" t="s">
        <v>193</v>
      </c>
      <c r="I4360" s="0" t="n">
        <v>854967</v>
      </c>
      <c r="J4360" s="0" t="n">
        <v>24152</v>
      </c>
      <c r="K4360" s="0" t="n">
        <v>7896102584189</v>
      </c>
      <c r="L4360" s="0" t="s">
        <v>2806</v>
      </c>
      <c r="N4360" s="0" t="n">
        <v>6</v>
      </c>
      <c r="O4360" s="0" t="n">
        <v>54.26</v>
      </c>
      <c r="P4360" s="0" t="s">
        <v>2444</v>
      </c>
    </row>
    <row r="4361" customFormat="false" ht="15" hidden="false" customHeight="true" outlineLevel="0" collapsed="false">
      <c r="A4361" s="0" t="n">
        <v>2</v>
      </c>
      <c r="B4361" s="71" t="n">
        <v>46223</v>
      </c>
      <c r="C4361" s="0" t="n">
        <v>11</v>
      </c>
      <c r="D4361" s="0" t="s">
        <v>2471</v>
      </c>
      <c r="E4361" s="0" t="n">
        <v>1601</v>
      </c>
      <c r="F4361" s="0" t="s">
        <v>193</v>
      </c>
      <c r="I4361" s="0" t="n">
        <v>854967</v>
      </c>
      <c r="J4361" s="0" t="n">
        <v>29515</v>
      </c>
      <c r="K4361" s="0" t="n">
        <v>7896102000382</v>
      </c>
      <c r="L4361" s="0" t="s">
        <v>2807</v>
      </c>
      <c r="N4361" s="0" t="n">
        <v>6</v>
      </c>
      <c r="O4361" s="0" t="n">
        <v>52.38</v>
      </c>
      <c r="P4361" s="0" t="s">
        <v>2444</v>
      </c>
    </row>
    <row r="4362" customFormat="false" ht="15" hidden="false" customHeight="true" outlineLevel="0" collapsed="false">
      <c r="A4362" s="0" t="n">
        <v>2</v>
      </c>
      <c r="B4362" s="71" t="n">
        <v>46223</v>
      </c>
      <c r="C4362" s="0" t="n">
        <v>11</v>
      </c>
      <c r="D4362" s="0" t="s">
        <v>2471</v>
      </c>
      <c r="E4362" s="0" t="n">
        <v>1601</v>
      </c>
      <c r="F4362" s="0" t="s">
        <v>193</v>
      </c>
      <c r="I4362" s="0" t="n">
        <v>854967</v>
      </c>
      <c r="J4362" s="0" t="n">
        <v>34084</v>
      </c>
      <c r="K4362" s="0" t="n">
        <v>7896102500448</v>
      </c>
      <c r="L4362" s="0" t="s">
        <v>4540</v>
      </c>
      <c r="N4362" s="0" t="n">
        <v>24</v>
      </c>
      <c r="O4362" s="0" t="n">
        <v>92.26</v>
      </c>
      <c r="P4362" s="0" t="s">
        <v>2444</v>
      </c>
    </row>
    <row r="4363" customFormat="false" ht="15" hidden="false" customHeight="true" outlineLevel="0" collapsed="false">
      <c r="A4363" s="0" t="n">
        <v>2</v>
      </c>
      <c r="B4363" s="71" t="n">
        <v>46223</v>
      </c>
      <c r="C4363" s="0" t="n">
        <v>11</v>
      </c>
      <c r="D4363" s="0" t="s">
        <v>2471</v>
      </c>
      <c r="E4363" s="0" t="n">
        <v>1601</v>
      </c>
      <c r="F4363" s="0" t="s">
        <v>193</v>
      </c>
      <c r="I4363" s="0" t="n">
        <v>854967</v>
      </c>
      <c r="J4363" s="0" t="n">
        <v>51859</v>
      </c>
      <c r="K4363" s="0" t="n">
        <v>7896102502008</v>
      </c>
      <c r="L4363" s="0" t="s">
        <v>4541</v>
      </c>
      <c r="N4363" s="0" t="n">
        <v>24</v>
      </c>
      <c r="O4363" s="0" t="n">
        <v>105.72</v>
      </c>
      <c r="P4363" s="0" t="s">
        <v>2444</v>
      </c>
    </row>
    <row r="4364" customFormat="false" ht="15" hidden="false" customHeight="true" outlineLevel="0" collapsed="false">
      <c r="A4364" s="0" t="n">
        <v>2</v>
      </c>
      <c r="B4364" s="71" t="n">
        <v>46223</v>
      </c>
      <c r="C4364" s="0" t="n">
        <v>11</v>
      </c>
      <c r="D4364" s="0" t="s">
        <v>2471</v>
      </c>
      <c r="E4364" s="0" t="n">
        <v>1601</v>
      </c>
      <c r="F4364" s="0" t="s">
        <v>193</v>
      </c>
      <c r="I4364" s="0" t="n">
        <v>854967</v>
      </c>
      <c r="J4364" s="0" t="n">
        <v>56869</v>
      </c>
      <c r="K4364" s="0" t="n">
        <v>7896382505621</v>
      </c>
      <c r="L4364" s="0" t="s">
        <v>4542</v>
      </c>
      <c r="N4364" s="0" t="n">
        <v>20</v>
      </c>
      <c r="O4364" s="0" t="n">
        <v>111.09</v>
      </c>
      <c r="P4364" s="0" t="s">
        <v>2444</v>
      </c>
    </row>
    <row r="4365" customFormat="false" ht="15" hidden="false" customHeight="true" outlineLevel="0" collapsed="false">
      <c r="A4365" s="0" t="n">
        <v>2</v>
      </c>
      <c r="B4365" s="71" t="n">
        <v>46223</v>
      </c>
      <c r="C4365" s="0" t="n">
        <v>11</v>
      </c>
      <c r="D4365" s="0" t="s">
        <v>2471</v>
      </c>
      <c r="E4365" s="0" t="n">
        <v>1601</v>
      </c>
      <c r="F4365" s="0" t="s">
        <v>193</v>
      </c>
      <c r="I4365" s="0" t="n">
        <v>854967</v>
      </c>
      <c r="J4365" s="0" t="n">
        <v>60939</v>
      </c>
      <c r="K4365" s="0" t="n">
        <v>7898596082783</v>
      </c>
      <c r="L4365" s="0" t="s">
        <v>4543</v>
      </c>
      <c r="N4365" s="0" t="n">
        <v>27</v>
      </c>
      <c r="O4365" s="0" t="n">
        <v>66.46</v>
      </c>
      <c r="P4365" s="0" t="s">
        <v>2444</v>
      </c>
    </row>
    <row r="4366" customFormat="false" ht="15" hidden="false" customHeight="true" outlineLevel="0" collapsed="false">
      <c r="A4366" s="0" t="n">
        <v>2</v>
      </c>
      <c r="B4366" s="71" t="n">
        <v>46223</v>
      </c>
      <c r="C4366" s="0" t="n">
        <v>11</v>
      </c>
      <c r="D4366" s="0" t="s">
        <v>2471</v>
      </c>
      <c r="E4366" s="0" t="n">
        <v>1601</v>
      </c>
      <c r="F4366" s="0" t="s">
        <v>193</v>
      </c>
      <c r="I4366" s="0" t="n">
        <v>854967</v>
      </c>
      <c r="J4366" s="0" t="n">
        <v>61542</v>
      </c>
      <c r="K4366" s="0" t="n">
        <v>7896382505676</v>
      </c>
      <c r="L4366" s="0" t="s">
        <v>4544</v>
      </c>
      <c r="N4366" s="0" t="n">
        <v>20</v>
      </c>
      <c r="O4366" s="0" t="n">
        <v>80.14</v>
      </c>
      <c r="P4366" s="0" t="s">
        <v>2444</v>
      </c>
    </row>
    <row r="4367" customFormat="false" ht="15" hidden="false" customHeight="true" outlineLevel="0" collapsed="false">
      <c r="A4367" s="0" t="n">
        <v>2</v>
      </c>
      <c r="B4367" s="71" t="n">
        <v>46223</v>
      </c>
      <c r="C4367" s="0" t="n">
        <v>11</v>
      </c>
      <c r="D4367" s="0" t="s">
        <v>2471</v>
      </c>
      <c r="E4367" s="0" t="n">
        <v>1601</v>
      </c>
      <c r="F4367" s="0" t="s">
        <v>193</v>
      </c>
      <c r="I4367" s="0" t="n">
        <v>854967</v>
      </c>
      <c r="J4367" s="0" t="n">
        <v>67214</v>
      </c>
      <c r="K4367" s="0" t="n">
        <v>7896382505836</v>
      </c>
      <c r="L4367" s="0" t="s">
        <v>4545</v>
      </c>
      <c r="N4367" s="0" t="n">
        <v>72</v>
      </c>
      <c r="O4367" s="0" t="n">
        <v>88.62</v>
      </c>
      <c r="P4367" s="0" t="s">
        <v>2444</v>
      </c>
    </row>
    <row r="4368" customFormat="false" ht="15" hidden="false" customHeight="true" outlineLevel="0" collapsed="false">
      <c r="A4368" s="0" t="n">
        <v>2</v>
      </c>
      <c r="B4368" s="71" t="n">
        <v>46223</v>
      </c>
      <c r="C4368" s="0" t="n">
        <v>11</v>
      </c>
      <c r="D4368" s="0" t="s">
        <v>2471</v>
      </c>
      <c r="E4368" s="0" t="n">
        <v>1601</v>
      </c>
      <c r="F4368" s="0" t="s">
        <v>193</v>
      </c>
      <c r="I4368" s="0" t="n">
        <v>854967</v>
      </c>
      <c r="J4368" s="0" t="n">
        <v>67215</v>
      </c>
      <c r="K4368" s="0" t="n">
        <v>7896382505867</v>
      </c>
      <c r="L4368" s="0" t="s">
        <v>2813</v>
      </c>
      <c r="N4368" s="0" t="n">
        <v>72</v>
      </c>
      <c r="O4368" s="0" t="n">
        <v>88.62</v>
      </c>
      <c r="P4368" s="0" t="s">
        <v>2444</v>
      </c>
    </row>
    <row r="4369" customFormat="false" ht="15" hidden="false" customHeight="true" outlineLevel="0" collapsed="false">
      <c r="A4369" s="0" t="n">
        <v>2</v>
      </c>
      <c r="B4369" s="71" t="n">
        <v>46223</v>
      </c>
      <c r="C4369" s="0" t="n">
        <v>11</v>
      </c>
      <c r="D4369" s="0" t="s">
        <v>2471</v>
      </c>
      <c r="E4369" s="0" t="n">
        <v>1601</v>
      </c>
      <c r="F4369" s="0" t="s">
        <v>193</v>
      </c>
      <c r="I4369" s="0" t="n">
        <v>854967</v>
      </c>
      <c r="J4369" s="0" t="n">
        <v>68268</v>
      </c>
      <c r="K4369" s="0" t="n">
        <v>7896382505829</v>
      </c>
      <c r="L4369" s="0" t="s">
        <v>2814</v>
      </c>
      <c r="N4369" s="0" t="n">
        <v>72</v>
      </c>
      <c r="O4369" s="0" t="n">
        <v>88.62</v>
      </c>
      <c r="P4369" s="0" t="s">
        <v>2444</v>
      </c>
    </row>
    <row r="4370" customFormat="false" ht="15" hidden="false" customHeight="true" outlineLevel="0" collapsed="false">
      <c r="A4370" s="0" t="n">
        <v>2</v>
      </c>
      <c r="B4370" s="71" t="n">
        <v>46223</v>
      </c>
      <c r="C4370" s="0" t="n">
        <v>11</v>
      </c>
      <c r="D4370" s="0" t="s">
        <v>2471</v>
      </c>
      <c r="E4370" s="0" t="n">
        <v>1601</v>
      </c>
      <c r="F4370" s="0" t="s">
        <v>193</v>
      </c>
      <c r="I4370" s="0" t="n">
        <v>854967</v>
      </c>
      <c r="J4370" s="0" t="n">
        <v>71485</v>
      </c>
      <c r="K4370" s="0" t="n">
        <v>7896102503661</v>
      </c>
      <c r="L4370" s="0" t="s">
        <v>2816</v>
      </c>
      <c r="N4370" s="0" t="n">
        <v>32</v>
      </c>
      <c r="O4370" s="0" t="n">
        <v>53.93</v>
      </c>
      <c r="P4370" s="0" t="s">
        <v>2444</v>
      </c>
    </row>
    <row r="4371" customFormat="false" ht="15" hidden="false" customHeight="true" outlineLevel="0" collapsed="false">
      <c r="A4371" s="0" t="n">
        <v>2</v>
      </c>
      <c r="B4371" s="71" t="n">
        <v>46223</v>
      </c>
      <c r="C4371" s="0" t="n">
        <v>11</v>
      </c>
      <c r="D4371" s="0" t="s">
        <v>2471</v>
      </c>
      <c r="E4371" s="0" t="n">
        <v>1601</v>
      </c>
      <c r="F4371" s="0" t="s">
        <v>193</v>
      </c>
      <c r="I4371" s="0" t="n">
        <v>854967</v>
      </c>
      <c r="J4371" s="0" t="n">
        <v>81302</v>
      </c>
      <c r="K4371" s="0" t="n">
        <v>7896382506239</v>
      </c>
      <c r="L4371" s="0" t="s">
        <v>2818</v>
      </c>
      <c r="N4371" s="0" t="n">
        <v>72</v>
      </c>
      <c r="O4371" s="0" t="n">
        <v>91.35</v>
      </c>
      <c r="P4371" s="0" t="s">
        <v>2444</v>
      </c>
    </row>
    <row r="4372" customFormat="false" ht="15" hidden="false" customHeight="true" outlineLevel="0" collapsed="false">
      <c r="A4372" s="0" t="n">
        <v>2</v>
      </c>
      <c r="B4372" s="71" t="n">
        <v>46223</v>
      </c>
      <c r="C4372" s="0" t="n">
        <v>11</v>
      </c>
      <c r="D4372" s="0" t="s">
        <v>2471</v>
      </c>
      <c r="E4372" s="0" t="n">
        <v>1601</v>
      </c>
      <c r="F4372" s="0" t="s">
        <v>193</v>
      </c>
      <c r="I4372" s="0" t="n">
        <v>854967</v>
      </c>
      <c r="J4372" s="0" t="n">
        <v>81444</v>
      </c>
      <c r="K4372" s="0" t="n">
        <v>7896102504293</v>
      </c>
      <c r="L4372" s="0" t="s">
        <v>4546</v>
      </c>
      <c r="N4372" s="0" t="n">
        <v>3</v>
      </c>
      <c r="O4372" s="0" t="n">
        <v>35.83</v>
      </c>
      <c r="P4372" s="0" t="s">
        <v>2444</v>
      </c>
    </row>
    <row r="4373" customFormat="false" ht="15" hidden="false" customHeight="true" outlineLevel="0" collapsed="false">
      <c r="A4373" s="0" t="n">
        <v>2</v>
      </c>
      <c r="B4373" s="71" t="n">
        <v>46223</v>
      </c>
      <c r="C4373" s="0" t="n">
        <v>11</v>
      </c>
      <c r="D4373" s="0" t="s">
        <v>2471</v>
      </c>
      <c r="E4373" s="0" t="n">
        <v>1705</v>
      </c>
      <c r="F4373" s="0" t="s">
        <v>130</v>
      </c>
      <c r="I4373" s="0" t="n">
        <v>1210020</v>
      </c>
      <c r="J4373" s="0" t="n">
        <v>103159</v>
      </c>
      <c r="K4373" s="0" t="n">
        <v>7894900050011</v>
      </c>
      <c r="L4373" s="0" t="s">
        <v>2656</v>
      </c>
      <c r="N4373" s="0" t="n">
        <v>12</v>
      </c>
      <c r="O4373" s="0" t="n">
        <v>34.31</v>
      </c>
      <c r="P4373" s="0" t="s">
        <v>2444</v>
      </c>
    </row>
    <row r="4374" customFormat="false" ht="15" hidden="false" customHeight="true" outlineLevel="0" collapsed="false">
      <c r="A4374" s="0" t="n">
        <v>2</v>
      </c>
      <c r="B4374" s="71" t="n">
        <v>46223</v>
      </c>
      <c r="C4374" s="0" t="n">
        <v>11</v>
      </c>
      <c r="D4374" s="0" t="s">
        <v>2471</v>
      </c>
      <c r="E4374" s="0" t="n">
        <v>1705</v>
      </c>
      <c r="F4374" s="0" t="s">
        <v>130</v>
      </c>
      <c r="I4374" s="0" t="n">
        <v>1210020</v>
      </c>
      <c r="J4374" s="0" t="n">
        <v>77914</v>
      </c>
      <c r="K4374" s="0" t="n">
        <v>7894900530001</v>
      </c>
      <c r="L4374" s="0" t="s">
        <v>3257</v>
      </c>
      <c r="N4374" s="0" t="n">
        <v>12</v>
      </c>
      <c r="O4374" s="0" t="n">
        <v>15.14</v>
      </c>
      <c r="P4374" s="0" t="s">
        <v>2444</v>
      </c>
    </row>
    <row r="4375" customFormat="false" ht="15" hidden="false" customHeight="true" outlineLevel="0" collapsed="false">
      <c r="A4375" s="0" t="n">
        <v>2</v>
      </c>
      <c r="B4375" s="71" t="n">
        <v>46223</v>
      </c>
      <c r="C4375" s="0" t="n">
        <v>11</v>
      </c>
      <c r="D4375" s="0" t="s">
        <v>2471</v>
      </c>
      <c r="E4375" s="0" t="n">
        <v>1705</v>
      </c>
      <c r="F4375" s="0" t="s">
        <v>130</v>
      </c>
      <c r="I4375" s="0" t="n">
        <v>1210021</v>
      </c>
      <c r="J4375" s="0" t="n">
        <v>66978</v>
      </c>
      <c r="K4375" s="0" t="n">
        <v>7896010006315</v>
      </c>
      <c r="L4375" s="0" t="s">
        <v>4547</v>
      </c>
      <c r="N4375" s="0" t="n">
        <v>2</v>
      </c>
      <c r="O4375" s="0" t="n">
        <v>114.61</v>
      </c>
      <c r="P4375" s="0" t="s">
        <v>2444</v>
      </c>
    </row>
    <row r="4376" customFormat="false" ht="15" hidden="false" customHeight="true" outlineLevel="0" collapsed="false">
      <c r="A4376" s="0" t="n">
        <v>2</v>
      </c>
      <c r="B4376" s="71" t="n">
        <v>46223</v>
      </c>
      <c r="C4376" s="0" t="n">
        <v>11</v>
      </c>
      <c r="D4376" s="0" t="s">
        <v>2471</v>
      </c>
      <c r="E4376" s="0" t="n">
        <v>1683</v>
      </c>
      <c r="F4376" s="0" t="s">
        <v>406</v>
      </c>
      <c r="I4376" s="0" t="n">
        <v>1649501</v>
      </c>
      <c r="J4376" s="0" t="n">
        <v>109791</v>
      </c>
      <c r="K4376" s="0" t="n">
        <v>9667</v>
      </c>
      <c r="L4376" s="0" t="s">
        <v>2465</v>
      </c>
      <c r="N4376" s="0" t="n">
        <v>15</v>
      </c>
      <c r="O4376" s="0" t="n">
        <v>22.5</v>
      </c>
      <c r="P4376" s="0" t="s">
        <v>2444</v>
      </c>
    </row>
    <row r="4377" customFormat="false" ht="15" hidden="false" customHeight="true" outlineLevel="0" collapsed="false">
      <c r="A4377" s="0" t="n">
        <v>2</v>
      </c>
      <c r="B4377" s="71" t="n">
        <v>46223</v>
      </c>
      <c r="C4377" s="0" t="n">
        <v>11</v>
      </c>
      <c r="D4377" s="0" t="s">
        <v>2471</v>
      </c>
      <c r="E4377" s="0" t="n">
        <v>1683</v>
      </c>
      <c r="F4377" s="0" t="s">
        <v>406</v>
      </c>
      <c r="I4377" s="0" t="n">
        <v>1649501</v>
      </c>
      <c r="J4377" s="0" t="n">
        <v>37359</v>
      </c>
      <c r="K4377" s="0" t="n">
        <v>55526</v>
      </c>
      <c r="L4377" s="0" t="s">
        <v>2466</v>
      </c>
      <c r="N4377" s="0" t="n">
        <v>7</v>
      </c>
      <c r="O4377" s="0" t="n">
        <v>24.5</v>
      </c>
      <c r="P4377" s="0" t="s">
        <v>2444</v>
      </c>
    </row>
    <row r="4378" customFormat="false" ht="15" hidden="false" customHeight="true" outlineLevel="0" collapsed="false">
      <c r="A4378" s="0" t="n">
        <v>2</v>
      </c>
      <c r="B4378" s="71" t="n">
        <v>46223</v>
      </c>
      <c r="C4378" s="0" t="n">
        <v>11</v>
      </c>
      <c r="D4378" s="0" t="s">
        <v>2471</v>
      </c>
      <c r="E4378" s="0" t="n">
        <v>1683</v>
      </c>
      <c r="F4378" s="0" t="s">
        <v>406</v>
      </c>
      <c r="I4378" s="0" t="n">
        <v>1649501</v>
      </c>
      <c r="J4378" s="0" t="n">
        <v>37361</v>
      </c>
      <c r="K4378" s="0" t="n">
        <v>2240817</v>
      </c>
      <c r="L4378" s="0" t="s">
        <v>2467</v>
      </c>
      <c r="N4378" s="0" t="n">
        <v>50</v>
      </c>
      <c r="O4378" s="0" t="n">
        <v>90</v>
      </c>
      <c r="P4378" s="0" t="s">
        <v>2444</v>
      </c>
    </row>
    <row r="4379" customFormat="false" ht="15" hidden="false" customHeight="true" outlineLevel="0" collapsed="false">
      <c r="A4379" s="0" t="n">
        <v>2</v>
      </c>
      <c r="B4379" s="71" t="n">
        <v>46223</v>
      </c>
      <c r="C4379" s="0" t="n">
        <v>11</v>
      </c>
      <c r="D4379" s="0" t="s">
        <v>2471</v>
      </c>
      <c r="E4379" s="0" t="n">
        <v>1705</v>
      </c>
      <c r="F4379" s="0" t="s">
        <v>130</v>
      </c>
      <c r="I4379" s="0" t="n">
        <v>1943423</v>
      </c>
      <c r="J4379" s="0" t="n">
        <v>103161</v>
      </c>
      <c r="K4379" s="0" t="n">
        <v>7894900010015</v>
      </c>
      <c r="L4379" s="0" t="s">
        <v>2569</v>
      </c>
      <c r="N4379" s="0" t="n">
        <v>36</v>
      </c>
      <c r="O4379" s="0" t="n">
        <v>115.38</v>
      </c>
      <c r="P4379" s="0" t="s">
        <v>2444</v>
      </c>
    </row>
    <row r="4380" customFormat="false" ht="15" hidden="false" customHeight="true" outlineLevel="0" collapsed="false">
      <c r="A4380" s="0" t="n">
        <v>2</v>
      </c>
      <c r="B4380" s="71" t="n">
        <v>46223</v>
      </c>
      <c r="C4380" s="0" t="n">
        <v>11</v>
      </c>
      <c r="D4380" s="0" t="s">
        <v>2471</v>
      </c>
      <c r="E4380" s="0" t="n">
        <v>1705</v>
      </c>
      <c r="F4380" s="0" t="s">
        <v>130</v>
      </c>
      <c r="I4380" s="0" t="n">
        <v>1943423</v>
      </c>
      <c r="J4380" s="0" t="n">
        <v>105631</v>
      </c>
      <c r="K4380" s="0" t="n">
        <v>7894900011609</v>
      </c>
      <c r="L4380" s="0" t="s">
        <v>2571</v>
      </c>
      <c r="N4380" s="0" t="n">
        <v>60</v>
      </c>
      <c r="O4380" s="0" t="n">
        <v>247.25</v>
      </c>
      <c r="P4380" s="0" t="s">
        <v>2444</v>
      </c>
    </row>
    <row r="4381" customFormat="false" ht="15" hidden="false" customHeight="true" outlineLevel="0" collapsed="false">
      <c r="A4381" s="0" t="n">
        <v>2</v>
      </c>
      <c r="B4381" s="71" t="n">
        <v>46223</v>
      </c>
      <c r="C4381" s="0" t="n">
        <v>11</v>
      </c>
      <c r="D4381" s="0" t="s">
        <v>2471</v>
      </c>
      <c r="E4381" s="0" t="n">
        <v>1705</v>
      </c>
      <c r="F4381" s="0" t="s">
        <v>130</v>
      </c>
      <c r="I4381" s="0" t="n">
        <v>1943423</v>
      </c>
      <c r="J4381" s="0" t="n">
        <v>107100</v>
      </c>
      <c r="K4381" s="0" t="n">
        <v>7894900700015</v>
      </c>
      <c r="L4381" s="0" t="s">
        <v>2572</v>
      </c>
      <c r="N4381" s="0" t="n">
        <v>12</v>
      </c>
      <c r="O4381" s="0" t="n">
        <v>37.48</v>
      </c>
      <c r="P4381" s="0" t="s">
        <v>2444</v>
      </c>
    </row>
    <row r="4382" customFormat="false" ht="15" hidden="false" customHeight="true" outlineLevel="0" collapsed="false">
      <c r="A4382" s="0" t="n">
        <v>2</v>
      </c>
      <c r="B4382" s="71" t="n">
        <v>46223</v>
      </c>
      <c r="C4382" s="0" t="n">
        <v>11</v>
      </c>
      <c r="D4382" s="0" t="s">
        <v>2471</v>
      </c>
      <c r="E4382" s="0" t="n">
        <v>1705</v>
      </c>
      <c r="F4382" s="0" t="s">
        <v>130</v>
      </c>
      <c r="I4382" s="0" t="n">
        <v>1943423</v>
      </c>
      <c r="J4382" s="0" t="n">
        <v>31367</v>
      </c>
      <c r="K4382" s="0" t="n">
        <v>7894900704211</v>
      </c>
      <c r="L4382" s="0" t="s">
        <v>3258</v>
      </c>
      <c r="N4382" s="0" t="n">
        <v>18</v>
      </c>
      <c r="O4382" s="0" t="n">
        <v>105.13</v>
      </c>
      <c r="P4382" s="0" t="s">
        <v>2444</v>
      </c>
    </row>
    <row r="4383" customFormat="false" ht="15" hidden="false" customHeight="true" outlineLevel="0" collapsed="false">
      <c r="A4383" s="0" t="n">
        <v>2</v>
      </c>
      <c r="B4383" s="71" t="n">
        <v>46223</v>
      </c>
      <c r="C4383" s="0" t="n">
        <v>11</v>
      </c>
      <c r="D4383" s="0" t="s">
        <v>2471</v>
      </c>
      <c r="E4383" s="0" t="n">
        <v>1705</v>
      </c>
      <c r="F4383" s="0" t="s">
        <v>130</v>
      </c>
      <c r="I4383" s="0" t="n">
        <v>1943423</v>
      </c>
      <c r="J4383" s="0" t="n">
        <v>59947</v>
      </c>
      <c r="K4383" s="0" t="n">
        <v>7894900015034</v>
      </c>
      <c r="L4383" s="0" t="s">
        <v>4548</v>
      </c>
      <c r="N4383" s="0" t="n">
        <v>48</v>
      </c>
      <c r="O4383" s="0" t="n">
        <v>131.87</v>
      </c>
      <c r="P4383" s="0" t="s">
        <v>2444</v>
      </c>
    </row>
    <row r="4384" customFormat="false" ht="15" hidden="false" customHeight="true" outlineLevel="0" collapsed="false">
      <c r="A4384" s="0" t="n">
        <v>2</v>
      </c>
      <c r="B4384" s="71" t="n">
        <v>46223</v>
      </c>
      <c r="C4384" s="0" t="n">
        <v>11</v>
      </c>
      <c r="D4384" s="0" t="s">
        <v>2471</v>
      </c>
      <c r="E4384" s="0" t="n">
        <v>10012</v>
      </c>
      <c r="F4384" s="0" t="s">
        <v>185</v>
      </c>
      <c r="I4384" s="0" t="n">
        <v>1964289</v>
      </c>
      <c r="J4384" s="0" t="n">
        <v>30309</v>
      </c>
      <c r="K4384" s="0" t="n">
        <v>7898146000038</v>
      </c>
      <c r="L4384" s="0" t="s">
        <v>4549</v>
      </c>
      <c r="N4384" s="0" t="n">
        <v>24</v>
      </c>
      <c r="O4384" s="0" t="n">
        <v>138.72</v>
      </c>
      <c r="P4384" s="0" t="s">
        <v>2444</v>
      </c>
    </row>
    <row r="4385" customFormat="false" ht="15" hidden="false" customHeight="true" outlineLevel="0" collapsed="false">
      <c r="A4385" s="0" t="n">
        <v>2</v>
      </c>
      <c r="B4385" s="71" t="n">
        <v>46223</v>
      </c>
      <c r="C4385" s="0" t="n">
        <v>11</v>
      </c>
      <c r="D4385" s="0" t="s">
        <v>2471</v>
      </c>
      <c r="E4385" s="0" t="n">
        <v>10012</v>
      </c>
      <c r="F4385" s="0" t="s">
        <v>185</v>
      </c>
      <c r="I4385" s="0" t="n">
        <v>1964289</v>
      </c>
      <c r="J4385" s="0" t="n">
        <v>40404</v>
      </c>
      <c r="K4385" s="0" t="n">
        <v>7898146000014</v>
      </c>
      <c r="L4385" s="0" t="s">
        <v>4550</v>
      </c>
      <c r="N4385" s="0" t="n">
        <v>24</v>
      </c>
      <c r="O4385" s="0" t="n">
        <v>138.72</v>
      </c>
      <c r="P4385" s="0" t="s">
        <v>2444</v>
      </c>
    </row>
    <row r="4386" customFormat="false" ht="15" hidden="false" customHeight="true" outlineLevel="0" collapsed="false">
      <c r="A4386" s="0" t="n">
        <v>2</v>
      </c>
      <c r="B4386" s="71" t="n">
        <v>46223</v>
      </c>
      <c r="C4386" s="0" t="n">
        <v>11</v>
      </c>
      <c r="D4386" s="0" t="s">
        <v>2471</v>
      </c>
      <c r="E4386" s="0" t="n">
        <v>10012</v>
      </c>
      <c r="F4386" s="0" t="s">
        <v>185</v>
      </c>
      <c r="I4386" s="0" t="n">
        <v>1964289</v>
      </c>
      <c r="J4386" s="0" t="n">
        <v>40402</v>
      </c>
      <c r="K4386" s="0" t="n">
        <v>7898146000021</v>
      </c>
      <c r="L4386" s="0" t="s">
        <v>4551</v>
      </c>
      <c r="N4386" s="0" t="n">
        <v>24</v>
      </c>
      <c r="O4386" s="0" t="n">
        <v>138.72</v>
      </c>
      <c r="P4386" s="0" t="s">
        <v>2444</v>
      </c>
    </row>
    <row r="4387" customFormat="false" ht="15" hidden="false" customHeight="true" outlineLevel="0" collapsed="false">
      <c r="A4387" s="0" t="n">
        <v>2</v>
      </c>
      <c r="B4387" s="71" t="n">
        <v>46223</v>
      </c>
      <c r="C4387" s="0" t="n">
        <v>11</v>
      </c>
      <c r="D4387" s="0" t="s">
        <v>2471</v>
      </c>
      <c r="E4387" s="0" t="n">
        <v>10012</v>
      </c>
      <c r="F4387" s="0" t="s">
        <v>185</v>
      </c>
      <c r="I4387" s="0" t="n">
        <v>1964289</v>
      </c>
      <c r="J4387" s="0" t="n">
        <v>43694</v>
      </c>
      <c r="K4387" s="0" t="n">
        <v>7898146000762</v>
      </c>
      <c r="L4387" s="0" t="s">
        <v>4552</v>
      </c>
      <c r="N4387" s="0" t="n">
        <v>12</v>
      </c>
      <c r="O4387" s="0" t="n">
        <v>130.08</v>
      </c>
      <c r="P4387" s="0" t="s">
        <v>2444</v>
      </c>
    </row>
    <row r="4388" customFormat="false" ht="15" hidden="false" customHeight="true" outlineLevel="0" collapsed="false">
      <c r="A4388" s="0" t="n">
        <v>2</v>
      </c>
      <c r="B4388" s="71" t="n">
        <v>46223</v>
      </c>
      <c r="C4388" s="0" t="n">
        <v>11</v>
      </c>
      <c r="D4388" s="0" t="s">
        <v>2471</v>
      </c>
      <c r="E4388" s="0" t="n">
        <v>10012</v>
      </c>
      <c r="F4388" s="0" t="s">
        <v>185</v>
      </c>
      <c r="I4388" s="0" t="n">
        <v>1964289</v>
      </c>
      <c r="J4388" s="0" t="n">
        <v>43695</v>
      </c>
      <c r="K4388" s="0" t="n">
        <v>7898146000151</v>
      </c>
      <c r="L4388" s="0" t="s">
        <v>4553</v>
      </c>
      <c r="N4388" s="0" t="n">
        <v>12</v>
      </c>
      <c r="O4388" s="0" t="n">
        <v>130.08</v>
      </c>
      <c r="P4388" s="0" t="s">
        <v>2444</v>
      </c>
    </row>
    <row r="4389" customFormat="false" ht="15" hidden="false" customHeight="true" outlineLevel="0" collapsed="false">
      <c r="A4389" s="0" t="n">
        <v>2</v>
      </c>
      <c r="B4389" s="71" t="n">
        <v>46223</v>
      </c>
      <c r="C4389" s="0" t="n">
        <v>11</v>
      </c>
      <c r="D4389" s="0" t="s">
        <v>2471</v>
      </c>
      <c r="E4389" s="0" t="n">
        <v>10012</v>
      </c>
      <c r="F4389" s="0" t="s">
        <v>185</v>
      </c>
      <c r="I4389" s="0" t="n">
        <v>1964289</v>
      </c>
      <c r="J4389" s="0" t="n">
        <v>43697</v>
      </c>
      <c r="K4389" s="0" t="n">
        <v>7898146000137</v>
      </c>
      <c r="L4389" s="0" t="s">
        <v>4554</v>
      </c>
      <c r="N4389" s="0" t="n">
        <v>12</v>
      </c>
      <c r="O4389" s="0" t="n">
        <v>130.08</v>
      </c>
      <c r="P4389" s="0" t="s">
        <v>2444</v>
      </c>
    </row>
    <row r="4390" customFormat="false" ht="15" hidden="false" customHeight="true" outlineLevel="0" collapsed="false">
      <c r="A4390" s="0" t="n">
        <v>2</v>
      </c>
      <c r="B4390" s="71" t="n">
        <v>46223</v>
      </c>
      <c r="C4390" s="0" t="n">
        <v>11</v>
      </c>
      <c r="D4390" s="0" t="s">
        <v>2471</v>
      </c>
      <c r="E4390" s="0" t="n">
        <v>10012</v>
      </c>
      <c r="F4390" s="0" t="s">
        <v>185</v>
      </c>
      <c r="I4390" s="0" t="n">
        <v>1964289</v>
      </c>
      <c r="J4390" s="0" t="n">
        <v>51927</v>
      </c>
      <c r="K4390" s="0" t="n">
        <v>7898146000045</v>
      </c>
      <c r="L4390" s="0" t="s">
        <v>4555</v>
      </c>
      <c r="N4390" s="0" t="n">
        <v>24</v>
      </c>
      <c r="O4390" s="0" t="n">
        <v>138.72</v>
      </c>
      <c r="P4390" s="0" t="s">
        <v>2444</v>
      </c>
    </row>
    <row r="4391" customFormat="false" ht="15" hidden="false" customHeight="true" outlineLevel="0" collapsed="false">
      <c r="A4391" s="0" t="n">
        <v>2</v>
      </c>
      <c r="B4391" s="71" t="n">
        <v>46223</v>
      </c>
      <c r="C4391" s="0" t="n">
        <v>22</v>
      </c>
      <c r="D4391" s="0" t="s">
        <v>2479</v>
      </c>
      <c r="E4391" s="0" t="n">
        <v>48</v>
      </c>
      <c r="F4391" s="0" t="s">
        <v>153</v>
      </c>
      <c r="I4391" s="0" t="n">
        <v>2552</v>
      </c>
      <c r="J4391" s="0" t="n">
        <v>100000</v>
      </c>
      <c r="K4391" s="0" t="n">
        <v>1</v>
      </c>
      <c r="L4391" s="0" t="s">
        <v>2480</v>
      </c>
      <c r="N4391" s="0" t="n">
        <v>3.028</v>
      </c>
      <c r="O4391" s="0" t="n">
        <v>58.09</v>
      </c>
      <c r="P4391" s="0" t="s">
        <v>2444</v>
      </c>
    </row>
    <row r="4392" customFormat="false" ht="15" hidden="false" customHeight="true" outlineLevel="0" collapsed="false">
      <c r="A4392" s="0" t="n">
        <v>2</v>
      </c>
      <c r="B4392" s="71" t="n">
        <v>46223</v>
      </c>
      <c r="C4392" s="0" t="n">
        <v>22</v>
      </c>
      <c r="D4392" s="0" t="s">
        <v>2479</v>
      </c>
      <c r="E4392" s="0" t="n">
        <v>48</v>
      </c>
      <c r="F4392" s="0" t="s">
        <v>153</v>
      </c>
      <c r="I4392" s="0" t="n">
        <v>2552</v>
      </c>
      <c r="J4392" s="0" t="n">
        <v>100000</v>
      </c>
      <c r="K4392" s="0" t="n">
        <v>1</v>
      </c>
      <c r="L4392" s="0" t="s">
        <v>2480</v>
      </c>
      <c r="N4392" s="0" t="n">
        <v>2.466</v>
      </c>
      <c r="O4392" s="0" t="n">
        <v>50.35</v>
      </c>
      <c r="P4392" s="0" t="s">
        <v>2444</v>
      </c>
    </row>
    <row r="4393" customFormat="false" ht="15" hidden="false" customHeight="true" outlineLevel="0" collapsed="false">
      <c r="A4393" s="0" t="n">
        <v>2</v>
      </c>
      <c r="B4393" s="71" t="n">
        <v>46223</v>
      </c>
      <c r="C4393" s="0" t="n">
        <v>22</v>
      </c>
      <c r="D4393" s="0" t="s">
        <v>2479</v>
      </c>
      <c r="E4393" s="0" t="n">
        <v>48</v>
      </c>
      <c r="F4393" s="0" t="s">
        <v>153</v>
      </c>
      <c r="I4393" s="0" t="n">
        <v>2552</v>
      </c>
      <c r="J4393" s="0" t="n">
        <v>100001</v>
      </c>
      <c r="K4393" s="0" t="n">
        <v>2</v>
      </c>
      <c r="L4393" s="0" t="s">
        <v>2481</v>
      </c>
      <c r="N4393" s="0" t="n">
        <v>9.725</v>
      </c>
      <c r="O4393" s="0" t="n">
        <v>202.13</v>
      </c>
      <c r="P4393" s="0" t="s">
        <v>2444</v>
      </c>
    </row>
    <row r="4394" customFormat="false" ht="15" hidden="false" customHeight="true" outlineLevel="0" collapsed="false">
      <c r="A4394" s="0" t="n">
        <v>2</v>
      </c>
      <c r="B4394" s="71" t="n">
        <v>46223</v>
      </c>
      <c r="C4394" s="0" t="n">
        <v>22</v>
      </c>
      <c r="D4394" s="0" t="s">
        <v>2479</v>
      </c>
      <c r="E4394" s="0" t="n">
        <v>48</v>
      </c>
      <c r="F4394" s="0" t="s">
        <v>153</v>
      </c>
      <c r="I4394" s="0" t="n">
        <v>2552</v>
      </c>
      <c r="J4394" s="0" t="n">
        <v>100002</v>
      </c>
      <c r="K4394" s="0" t="n">
        <v>3</v>
      </c>
      <c r="L4394" s="0" t="s">
        <v>2482</v>
      </c>
      <c r="N4394" s="0" t="n">
        <v>20</v>
      </c>
      <c r="O4394" s="0" t="n">
        <v>479.66</v>
      </c>
      <c r="P4394" s="0" t="s">
        <v>2444</v>
      </c>
    </row>
    <row r="4395" customFormat="false" ht="15" hidden="false" customHeight="true" outlineLevel="0" collapsed="false">
      <c r="A4395" s="0" t="n">
        <v>2</v>
      </c>
      <c r="B4395" s="71" t="n">
        <v>46223</v>
      </c>
      <c r="C4395" s="0" t="n">
        <v>22</v>
      </c>
      <c r="D4395" s="0" t="s">
        <v>2479</v>
      </c>
      <c r="E4395" s="0" t="n">
        <v>48</v>
      </c>
      <c r="F4395" s="0" t="s">
        <v>153</v>
      </c>
      <c r="I4395" s="0" t="n">
        <v>2552</v>
      </c>
      <c r="J4395" s="0" t="n">
        <v>100003</v>
      </c>
      <c r="K4395" s="0" t="n">
        <v>4</v>
      </c>
      <c r="L4395" s="0" t="s">
        <v>2483</v>
      </c>
      <c r="N4395" s="0" t="n">
        <v>12.975</v>
      </c>
      <c r="O4395" s="0" t="n">
        <v>331.93</v>
      </c>
      <c r="P4395" s="0" t="s">
        <v>2444</v>
      </c>
    </row>
    <row r="4396" customFormat="false" ht="15" hidden="false" customHeight="true" outlineLevel="0" collapsed="false">
      <c r="A4396" s="0" t="n">
        <v>2</v>
      </c>
      <c r="B4396" s="71" t="n">
        <v>46223</v>
      </c>
      <c r="C4396" s="0" t="n">
        <v>22</v>
      </c>
      <c r="D4396" s="0" t="s">
        <v>2479</v>
      </c>
      <c r="E4396" s="0" t="n">
        <v>48</v>
      </c>
      <c r="F4396" s="0" t="s">
        <v>153</v>
      </c>
      <c r="I4396" s="0" t="n">
        <v>2552</v>
      </c>
      <c r="J4396" s="0" t="n">
        <v>100004</v>
      </c>
      <c r="K4396" s="0" t="n">
        <v>5</v>
      </c>
      <c r="L4396" s="0" t="s">
        <v>2484</v>
      </c>
      <c r="N4396" s="0" t="n">
        <v>1.322</v>
      </c>
      <c r="O4396" s="0" t="n">
        <v>29.59</v>
      </c>
      <c r="P4396" s="0" t="s">
        <v>2444</v>
      </c>
    </row>
    <row r="4397" customFormat="false" ht="15" hidden="false" customHeight="true" outlineLevel="0" collapsed="false">
      <c r="A4397" s="0" t="n">
        <v>2</v>
      </c>
      <c r="B4397" s="71" t="n">
        <v>46223</v>
      </c>
      <c r="C4397" s="0" t="n">
        <v>22</v>
      </c>
      <c r="D4397" s="0" t="s">
        <v>2479</v>
      </c>
      <c r="E4397" s="0" t="n">
        <v>48</v>
      </c>
      <c r="F4397" s="0" t="s">
        <v>153</v>
      </c>
      <c r="I4397" s="0" t="n">
        <v>2552</v>
      </c>
      <c r="J4397" s="0" t="n">
        <v>100006</v>
      </c>
      <c r="K4397" s="0" t="n">
        <v>7</v>
      </c>
      <c r="L4397" s="0" t="s">
        <v>2485</v>
      </c>
      <c r="N4397" s="0" t="n">
        <v>2.344</v>
      </c>
      <c r="O4397" s="0" t="n">
        <v>67.81</v>
      </c>
      <c r="P4397" s="0" t="s">
        <v>2444</v>
      </c>
    </row>
    <row r="4398" customFormat="false" ht="15" hidden="false" customHeight="true" outlineLevel="0" collapsed="false">
      <c r="A4398" s="0" t="n">
        <v>2</v>
      </c>
      <c r="B4398" s="71" t="n">
        <v>46223</v>
      </c>
      <c r="C4398" s="0" t="n">
        <v>22</v>
      </c>
      <c r="D4398" s="0" t="s">
        <v>2479</v>
      </c>
      <c r="E4398" s="0" t="n">
        <v>48</v>
      </c>
      <c r="F4398" s="0" t="s">
        <v>153</v>
      </c>
      <c r="I4398" s="0" t="n">
        <v>2552</v>
      </c>
      <c r="J4398" s="0" t="n">
        <v>100007</v>
      </c>
      <c r="K4398" s="0" t="n">
        <v>8</v>
      </c>
      <c r="L4398" s="0" t="s">
        <v>2486</v>
      </c>
      <c r="N4398" s="0" t="n">
        <v>4.444</v>
      </c>
      <c r="O4398" s="0" t="n">
        <v>106.58</v>
      </c>
      <c r="P4398" s="0" t="s">
        <v>2444</v>
      </c>
    </row>
    <row r="4399" customFormat="false" ht="15" hidden="false" customHeight="true" outlineLevel="0" collapsed="false">
      <c r="A4399" s="0" t="n">
        <v>2</v>
      </c>
      <c r="B4399" s="71" t="n">
        <v>46223</v>
      </c>
      <c r="C4399" s="0" t="n">
        <v>22</v>
      </c>
      <c r="D4399" s="0" t="s">
        <v>2479</v>
      </c>
      <c r="E4399" s="0" t="n">
        <v>48</v>
      </c>
      <c r="F4399" s="0" t="s">
        <v>153</v>
      </c>
      <c r="I4399" s="0" t="n">
        <v>2552</v>
      </c>
      <c r="J4399" s="0" t="n">
        <v>100007</v>
      </c>
      <c r="K4399" s="0" t="n">
        <v>8</v>
      </c>
      <c r="L4399" s="0" t="s">
        <v>2486</v>
      </c>
      <c r="N4399" s="0" t="n">
        <v>3.689</v>
      </c>
      <c r="O4399" s="0" t="n">
        <v>94.16</v>
      </c>
      <c r="P4399" s="0" t="s">
        <v>2444</v>
      </c>
    </row>
    <row r="4400" customFormat="false" ht="15" hidden="false" customHeight="true" outlineLevel="0" collapsed="false">
      <c r="A4400" s="0" t="n">
        <v>2</v>
      </c>
      <c r="B4400" s="71" t="n">
        <v>46223</v>
      </c>
      <c r="C4400" s="0" t="n">
        <v>22</v>
      </c>
      <c r="D4400" s="0" t="s">
        <v>2479</v>
      </c>
      <c r="E4400" s="0" t="n">
        <v>48</v>
      </c>
      <c r="F4400" s="0" t="s">
        <v>153</v>
      </c>
      <c r="I4400" s="0" t="n">
        <v>2552</v>
      </c>
      <c r="J4400" s="0" t="n">
        <v>100008</v>
      </c>
      <c r="K4400" s="0" t="n">
        <v>9</v>
      </c>
      <c r="L4400" s="0" t="s">
        <v>2487</v>
      </c>
      <c r="N4400" s="0" t="n">
        <v>16</v>
      </c>
      <c r="O4400" s="0" t="n">
        <v>530.96</v>
      </c>
      <c r="P4400" s="0" t="s">
        <v>2444</v>
      </c>
    </row>
    <row r="4401" customFormat="false" ht="15" hidden="false" customHeight="true" outlineLevel="0" collapsed="false">
      <c r="A4401" s="0" t="n">
        <v>2</v>
      </c>
      <c r="B4401" s="71" t="n">
        <v>46223</v>
      </c>
      <c r="C4401" s="0" t="n">
        <v>22</v>
      </c>
      <c r="D4401" s="0" t="s">
        <v>2479</v>
      </c>
      <c r="E4401" s="0" t="n">
        <v>48</v>
      </c>
      <c r="F4401" s="0" t="s">
        <v>153</v>
      </c>
      <c r="I4401" s="0" t="n">
        <v>2552</v>
      </c>
      <c r="J4401" s="0" t="n">
        <v>100011</v>
      </c>
      <c r="K4401" s="0" t="n">
        <v>12</v>
      </c>
      <c r="L4401" s="0" t="s">
        <v>2488</v>
      </c>
      <c r="N4401" s="0" t="n">
        <v>10.455</v>
      </c>
      <c r="O4401" s="0" t="n">
        <v>391.44</v>
      </c>
      <c r="P4401" s="0" t="s">
        <v>2444</v>
      </c>
    </row>
    <row r="4402" customFormat="false" ht="15" hidden="false" customHeight="true" outlineLevel="0" collapsed="false">
      <c r="A4402" s="0" t="n">
        <v>2</v>
      </c>
      <c r="B4402" s="71" t="n">
        <v>46223</v>
      </c>
      <c r="C4402" s="0" t="n">
        <v>22</v>
      </c>
      <c r="D4402" s="0" t="s">
        <v>2479</v>
      </c>
      <c r="E4402" s="0" t="n">
        <v>48</v>
      </c>
      <c r="F4402" s="0" t="s">
        <v>153</v>
      </c>
      <c r="I4402" s="0" t="n">
        <v>2552</v>
      </c>
      <c r="J4402" s="0" t="n">
        <v>100012</v>
      </c>
      <c r="K4402" s="0" t="n">
        <v>13</v>
      </c>
      <c r="L4402" s="0" t="s">
        <v>2489</v>
      </c>
      <c r="N4402" s="0" t="n">
        <v>5.336</v>
      </c>
      <c r="O4402" s="0" t="n">
        <v>227.03</v>
      </c>
      <c r="P4402" s="0" t="s">
        <v>2444</v>
      </c>
    </row>
    <row r="4403" customFormat="false" ht="15" hidden="false" customHeight="true" outlineLevel="0" collapsed="false">
      <c r="A4403" s="0" t="n">
        <v>2</v>
      </c>
      <c r="B4403" s="71" t="n">
        <v>46223</v>
      </c>
      <c r="C4403" s="0" t="n">
        <v>22</v>
      </c>
      <c r="D4403" s="0" t="s">
        <v>2479</v>
      </c>
      <c r="E4403" s="0" t="n">
        <v>48</v>
      </c>
      <c r="F4403" s="0" t="s">
        <v>153</v>
      </c>
      <c r="I4403" s="0" t="n">
        <v>2552</v>
      </c>
      <c r="J4403" s="0" t="n">
        <v>100013</v>
      </c>
      <c r="K4403" s="0" t="n">
        <v>14</v>
      </c>
      <c r="L4403" s="0" t="s">
        <v>2490</v>
      </c>
      <c r="N4403" s="0" t="n">
        <v>11.495</v>
      </c>
      <c r="O4403" s="0" t="n">
        <v>518.43</v>
      </c>
      <c r="P4403" s="0" t="s">
        <v>2444</v>
      </c>
    </row>
    <row r="4404" customFormat="false" ht="15" hidden="false" customHeight="true" outlineLevel="0" collapsed="false">
      <c r="A4404" s="0" t="n">
        <v>2</v>
      </c>
      <c r="B4404" s="71" t="n">
        <v>46223</v>
      </c>
      <c r="C4404" s="0" t="n">
        <v>22</v>
      </c>
      <c r="D4404" s="0" t="s">
        <v>2479</v>
      </c>
      <c r="E4404" s="0" t="n">
        <v>48</v>
      </c>
      <c r="F4404" s="0" t="s">
        <v>153</v>
      </c>
      <c r="I4404" s="0" t="n">
        <v>2552</v>
      </c>
      <c r="J4404" s="0" t="n">
        <v>100014</v>
      </c>
      <c r="K4404" s="0" t="n">
        <v>15</v>
      </c>
      <c r="L4404" s="0" t="s">
        <v>2491</v>
      </c>
      <c r="N4404" s="0" t="n">
        <v>4.748</v>
      </c>
      <c r="O4404" s="0" t="n">
        <v>218.18</v>
      </c>
      <c r="P4404" s="0" t="s">
        <v>2444</v>
      </c>
    </row>
    <row r="4405" customFormat="false" ht="15" hidden="false" customHeight="true" outlineLevel="0" collapsed="false">
      <c r="A4405" s="0" t="n">
        <v>2</v>
      </c>
      <c r="B4405" s="71" t="n">
        <v>46223</v>
      </c>
      <c r="C4405" s="0" t="n">
        <v>22</v>
      </c>
      <c r="D4405" s="0" t="s">
        <v>2479</v>
      </c>
      <c r="E4405" s="0" t="n">
        <v>48</v>
      </c>
      <c r="F4405" s="0" t="s">
        <v>153</v>
      </c>
      <c r="I4405" s="0" t="n">
        <v>2552</v>
      </c>
      <c r="J4405" s="0" t="n">
        <v>100015</v>
      </c>
      <c r="K4405" s="0" t="n">
        <v>16</v>
      </c>
      <c r="L4405" s="0" t="s">
        <v>2492</v>
      </c>
      <c r="N4405" s="0" t="n">
        <v>1.782</v>
      </c>
      <c r="O4405" s="0" t="n">
        <v>72.79</v>
      </c>
      <c r="P4405" s="0" t="s">
        <v>2444</v>
      </c>
    </row>
    <row r="4406" customFormat="false" ht="15" hidden="false" customHeight="true" outlineLevel="0" collapsed="false">
      <c r="A4406" s="0" t="n">
        <v>2</v>
      </c>
      <c r="B4406" s="71" t="n">
        <v>46223</v>
      </c>
      <c r="C4406" s="0" t="n">
        <v>22</v>
      </c>
      <c r="D4406" s="0" t="s">
        <v>2479</v>
      </c>
      <c r="E4406" s="0" t="n">
        <v>48</v>
      </c>
      <c r="F4406" s="0" t="s">
        <v>153</v>
      </c>
      <c r="I4406" s="0" t="n">
        <v>2552</v>
      </c>
      <c r="J4406" s="0" t="n">
        <v>100016</v>
      </c>
      <c r="K4406" s="0" t="n">
        <v>17</v>
      </c>
      <c r="L4406" s="0" t="s">
        <v>2493</v>
      </c>
      <c r="N4406" s="0" t="n">
        <v>1.84</v>
      </c>
      <c r="O4406" s="0" t="n">
        <v>109.61</v>
      </c>
      <c r="P4406" s="0" t="s">
        <v>2444</v>
      </c>
    </row>
    <row r="4407" customFormat="false" ht="15" hidden="false" customHeight="true" outlineLevel="0" collapsed="false">
      <c r="A4407" s="0" t="n">
        <v>2</v>
      </c>
      <c r="B4407" s="71" t="n">
        <v>46223</v>
      </c>
      <c r="C4407" s="0" t="n">
        <v>22</v>
      </c>
      <c r="D4407" s="0" t="s">
        <v>2479</v>
      </c>
      <c r="E4407" s="0" t="n">
        <v>48</v>
      </c>
      <c r="F4407" s="0" t="s">
        <v>153</v>
      </c>
      <c r="I4407" s="0" t="n">
        <v>2552</v>
      </c>
      <c r="J4407" s="0" t="n">
        <v>100017</v>
      </c>
      <c r="K4407" s="0" t="n">
        <v>18</v>
      </c>
      <c r="L4407" s="0" t="s">
        <v>2494</v>
      </c>
      <c r="N4407" s="0" t="n">
        <v>1.3</v>
      </c>
      <c r="O4407" s="0" t="n">
        <v>77.44</v>
      </c>
      <c r="P4407" s="0" t="s">
        <v>2444</v>
      </c>
    </row>
    <row r="4408" customFormat="false" ht="15" hidden="false" customHeight="true" outlineLevel="0" collapsed="false">
      <c r="A4408" s="0" t="n">
        <v>2</v>
      </c>
      <c r="B4408" s="71" t="n">
        <v>46223</v>
      </c>
      <c r="C4408" s="0" t="n">
        <v>22</v>
      </c>
      <c r="D4408" s="0" t="s">
        <v>2479</v>
      </c>
      <c r="E4408" s="0" t="n">
        <v>48</v>
      </c>
      <c r="F4408" s="0" t="s">
        <v>153</v>
      </c>
      <c r="I4408" s="0" t="n">
        <v>2552</v>
      </c>
      <c r="J4408" s="0" t="n">
        <v>100019</v>
      </c>
      <c r="K4408" s="0" t="n">
        <v>20</v>
      </c>
      <c r="L4408" s="0" t="s">
        <v>3779</v>
      </c>
      <c r="N4408" s="0" t="n">
        <v>0.186</v>
      </c>
      <c r="O4408" s="0" t="n">
        <v>6.65</v>
      </c>
      <c r="P4408" s="0" t="s">
        <v>2444</v>
      </c>
    </row>
    <row r="4409" customFormat="false" ht="15" hidden="false" customHeight="true" outlineLevel="0" collapsed="false">
      <c r="A4409" s="0" t="n">
        <v>2</v>
      </c>
      <c r="B4409" s="71" t="n">
        <v>46223</v>
      </c>
      <c r="C4409" s="0" t="n">
        <v>22</v>
      </c>
      <c r="D4409" s="0" t="s">
        <v>2479</v>
      </c>
      <c r="E4409" s="0" t="n">
        <v>48</v>
      </c>
      <c r="F4409" s="0" t="s">
        <v>153</v>
      </c>
      <c r="I4409" s="0" t="n">
        <v>2552</v>
      </c>
      <c r="J4409" s="0" t="n">
        <v>100019</v>
      </c>
      <c r="K4409" s="0" t="n">
        <v>20</v>
      </c>
      <c r="L4409" s="0" t="s">
        <v>3779</v>
      </c>
      <c r="N4409" s="0" t="n">
        <v>3.266</v>
      </c>
      <c r="O4409" s="0" t="n">
        <v>109.67</v>
      </c>
      <c r="P4409" s="0" t="s">
        <v>2444</v>
      </c>
    </row>
    <row r="4410" customFormat="false" ht="15" hidden="false" customHeight="true" outlineLevel="0" collapsed="false">
      <c r="A4410" s="0" t="n">
        <v>2</v>
      </c>
      <c r="B4410" s="71" t="n">
        <v>46223</v>
      </c>
      <c r="C4410" s="0" t="n">
        <v>22</v>
      </c>
      <c r="D4410" s="0" t="s">
        <v>2479</v>
      </c>
      <c r="E4410" s="0" t="n">
        <v>48</v>
      </c>
      <c r="F4410" s="0" t="s">
        <v>153</v>
      </c>
      <c r="I4410" s="0" t="n">
        <v>2552</v>
      </c>
      <c r="J4410" s="0" t="n">
        <v>100053</v>
      </c>
      <c r="K4410" s="0" t="n">
        <v>54</v>
      </c>
      <c r="L4410" s="0" t="s">
        <v>2495</v>
      </c>
      <c r="N4410" s="0" t="n">
        <v>2.148</v>
      </c>
      <c r="O4410" s="0" t="n">
        <v>80.42</v>
      </c>
      <c r="P4410" s="0" t="s">
        <v>2444</v>
      </c>
    </row>
    <row r="4411" customFormat="false" ht="15" hidden="false" customHeight="true" outlineLevel="0" collapsed="false">
      <c r="A4411" s="0" t="n">
        <v>2</v>
      </c>
      <c r="B4411" s="71" t="n">
        <v>46223</v>
      </c>
      <c r="C4411" s="0" t="n">
        <v>22</v>
      </c>
      <c r="D4411" s="0" t="s">
        <v>2479</v>
      </c>
      <c r="E4411" s="0" t="n">
        <v>48</v>
      </c>
      <c r="F4411" s="0" t="s">
        <v>153</v>
      </c>
      <c r="I4411" s="0" t="n">
        <v>2552</v>
      </c>
      <c r="J4411" s="0" t="n">
        <v>100638</v>
      </c>
      <c r="K4411" s="0" t="n">
        <v>508</v>
      </c>
      <c r="L4411" s="0" t="s">
        <v>2496</v>
      </c>
      <c r="N4411" s="0" t="n">
        <v>0.8</v>
      </c>
      <c r="O4411" s="0" t="n">
        <v>2.04</v>
      </c>
      <c r="P4411" s="0" t="s">
        <v>2444</v>
      </c>
    </row>
    <row r="4412" customFormat="false" ht="15" hidden="false" customHeight="true" outlineLevel="0" collapsed="false">
      <c r="A4412" s="0" t="n">
        <v>2</v>
      </c>
      <c r="B4412" s="71" t="n">
        <v>46223</v>
      </c>
      <c r="C4412" s="0" t="n">
        <v>22</v>
      </c>
      <c r="D4412" s="0" t="s">
        <v>2479</v>
      </c>
      <c r="E4412" s="0" t="n">
        <v>48</v>
      </c>
      <c r="F4412" s="0" t="s">
        <v>153</v>
      </c>
      <c r="I4412" s="0" t="n">
        <v>2552</v>
      </c>
      <c r="J4412" s="0" t="n">
        <v>100638</v>
      </c>
      <c r="K4412" s="0" t="n">
        <v>508</v>
      </c>
      <c r="L4412" s="0" t="s">
        <v>2496</v>
      </c>
      <c r="N4412" s="0" t="n">
        <v>0.532</v>
      </c>
      <c r="O4412" s="0" t="n">
        <v>1.27</v>
      </c>
      <c r="P4412" s="0" t="s">
        <v>2444</v>
      </c>
    </row>
    <row r="4413" customFormat="false" ht="15" hidden="false" customHeight="true" outlineLevel="0" collapsed="false">
      <c r="A4413" s="0" t="n">
        <v>2</v>
      </c>
      <c r="B4413" s="71" t="n">
        <v>46223</v>
      </c>
      <c r="C4413" s="0" t="n">
        <v>22</v>
      </c>
      <c r="D4413" s="0" t="s">
        <v>2479</v>
      </c>
      <c r="E4413" s="0" t="n">
        <v>48</v>
      </c>
      <c r="F4413" s="0" t="s">
        <v>153</v>
      </c>
      <c r="I4413" s="0" t="n">
        <v>2552</v>
      </c>
      <c r="J4413" s="0" t="n">
        <v>100520</v>
      </c>
      <c r="K4413" s="0" t="n">
        <v>507</v>
      </c>
      <c r="L4413" s="0" t="s">
        <v>2497</v>
      </c>
      <c r="N4413" s="0" t="n">
        <v>11.465</v>
      </c>
      <c r="O4413" s="0" t="n">
        <v>29.18</v>
      </c>
      <c r="P4413" s="0" t="s">
        <v>2444</v>
      </c>
    </row>
    <row r="4414" customFormat="false" ht="15" hidden="false" customHeight="true" outlineLevel="0" collapsed="false">
      <c r="A4414" s="0" t="n">
        <v>2</v>
      </c>
      <c r="B4414" s="71" t="n">
        <v>46223</v>
      </c>
      <c r="C4414" s="0" t="n">
        <v>22</v>
      </c>
      <c r="D4414" s="0" t="s">
        <v>2479</v>
      </c>
      <c r="E4414" s="0" t="n">
        <v>48</v>
      </c>
      <c r="F4414" s="0" t="s">
        <v>153</v>
      </c>
      <c r="I4414" s="0" t="n">
        <v>2552</v>
      </c>
      <c r="J4414" s="0" t="n">
        <v>100520</v>
      </c>
      <c r="K4414" s="0" t="n">
        <v>507</v>
      </c>
      <c r="L4414" s="0" t="s">
        <v>2497</v>
      </c>
      <c r="N4414" s="0" t="n">
        <v>3.586</v>
      </c>
      <c r="O4414" s="0" t="n">
        <v>8.57</v>
      </c>
      <c r="P4414" s="0" t="s">
        <v>2444</v>
      </c>
    </row>
    <row r="4415" customFormat="false" ht="15" hidden="false" customHeight="true" outlineLevel="0" collapsed="false">
      <c r="A4415" s="0" t="n">
        <v>2</v>
      </c>
      <c r="B4415" s="71" t="n">
        <v>46223</v>
      </c>
      <c r="C4415" s="0" t="n">
        <v>22</v>
      </c>
      <c r="D4415" s="0" t="s">
        <v>2479</v>
      </c>
      <c r="E4415" s="0" t="n">
        <v>48</v>
      </c>
      <c r="F4415" s="0" t="s">
        <v>153</v>
      </c>
      <c r="I4415" s="0" t="n">
        <v>2552</v>
      </c>
      <c r="J4415" s="0" t="n">
        <v>110455</v>
      </c>
      <c r="K4415" s="0" t="n">
        <v>53212</v>
      </c>
      <c r="L4415" s="0" t="s">
        <v>2498</v>
      </c>
      <c r="N4415" s="0" t="n">
        <v>0.122</v>
      </c>
      <c r="O4415" s="0" t="n">
        <v>0.01</v>
      </c>
      <c r="P4415" s="0" t="s">
        <v>2444</v>
      </c>
    </row>
    <row r="4416" customFormat="false" ht="15" hidden="false" customHeight="true" outlineLevel="0" collapsed="false">
      <c r="A4416" s="0" t="n">
        <v>2</v>
      </c>
      <c r="B4416" s="71" t="n">
        <v>46223</v>
      </c>
      <c r="C4416" s="0" t="n">
        <v>22</v>
      </c>
      <c r="D4416" s="0" t="s">
        <v>2479</v>
      </c>
      <c r="E4416" s="0" t="n">
        <v>48</v>
      </c>
      <c r="F4416" s="0" t="s">
        <v>153</v>
      </c>
      <c r="I4416" s="0" t="n">
        <v>2552</v>
      </c>
      <c r="J4416" s="0" t="n">
        <v>110455</v>
      </c>
      <c r="K4416" s="0" t="n">
        <v>53212</v>
      </c>
      <c r="L4416" s="0" t="s">
        <v>2498</v>
      </c>
      <c r="N4416" s="0" t="n">
        <v>0.146</v>
      </c>
      <c r="O4416" s="0" t="n">
        <v>0.01</v>
      </c>
      <c r="P4416" s="0" t="s">
        <v>2444</v>
      </c>
    </row>
    <row r="4417" customFormat="false" ht="15" hidden="false" customHeight="true" outlineLevel="0" collapsed="false">
      <c r="A4417" s="0" t="n">
        <v>2</v>
      </c>
      <c r="B4417" s="71" t="n">
        <v>46223</v>
      </c>
      <c r="C4417" s="0" t="n">
        <v>100</v>
      </c>
      <c r="D4417" s="0" t="s">
        <v>2499</v>
      </c>
      <c r="E4417" s="0" t="n">
        <v>48</v>
      </c>
      <c r="F4417" s="0" t="s">
        <v>153</v>
      </c>
      <c r="I4417" s="0" t="n">
        <v>1424332</v>
      </c>
      <c r="J4417" s="0" t="n">
        <v>100000</v>
      </c>
      <c r="K4417" s="0" t="n">
        <v>1</v>
      </c>
      <c r="L4417" s="0" t="s">
        <v>2480</v>
      </c>
      <c r="N4417" s="0" t="n">
        <v>2.466</v>
      </c>
      <c r="O4417" s="0" t="n">
        <v>50.35</v>
      </c>
      <c r="P4417" s="0" t="s">
        <v>2444</v>
      </c>
    </row>
    <row r="4418" customFormat="false" ht="15" hidden="false" customHeight="true" outlineLevel="0" collapsed="false">
      <c r="A4418" s="0" t="n">
        <v>2</v>
      </c>
      <c r="B4418" s="71" t="n">
        <v>46223</v>
      </c>
      <c r="C4418" s="0" t="n">
        <v>100</v>
      </c>
      <c r="D4418" s="0" t="s">
        <v>2499</v>
      </c>
      <c r="E4418" s="0" t="n">
        <v>48</v>
      </c>
      <c r="F4418" s="0" t="s">
        <v>153</v>
      </c>
      <c r="I4418" s="0" t="n">
        <v>1424332</v>
      </c>
      <c r="J4418" s="0" t="n">
        <v>100006</v>
      </c>
      <c r="K4418" s="0" t="n">
        <v>7</v>
      </c>
      <c r="L4418" s="0" t="s">
        <v>2485</v>
      </c>
      <c r="N4418" s="0" t="n">
        <v>2.344</v>
      </c>
      <c r="O4418" s="0" t="n">
        <v>67.81</v>
      </c>
      <c r="P4418" s="0" t="s">
        <v>2444</v>
      </c>
    </row>
    <row r="4419" customFormat="false" ht="15" hidden="false" customHeight="true" outlineLevel="0" collapsed="false">
      <c r="A4419" s="0" t="n">
        <v>2</v>
      </c>
      <c r="B4419" s="71" t="n">
        <v>46223</v>
      </c>
      <c r="C4419" s="0" t="n">
        <v>100</v>
      </c>
      <c r="D4419" s="0" t="s">
        <v>2499</v>
      </c>
      <c r="E4419" s="0" t="n">
        <v>48</v>
      </c>
      <c r="F4419" s="0" t="s">
        <v>153</v>
      </c>
      <c r="I4419" s="0" t="n">
        <v>1424332</v>
      </c>
      <c r="J4419" s="0" t="n">
        <v>100007</v>
      </c>
      <c r="K4419" s="0" t="n">
        <v>8</v>
      </c>
      <c r="L4419" s="0" t="s">
        <v>2486</v>
      </c>
      <c r="N4419" s="0" t="n">
        <v>3.689</v>
      </c>
      <c r="O4419" s="0" t="n">
        <v>94.16</v>
      </c>
      <c r="P4419" s="0" t="s">
        <v>2444</v>
      </c>
    </row>
    <row r="4420" customFormat="false" ht="15" hidden="false" customHeight="true" outlineLevel="0" collapsed="false">
      <c r="A4420" s="0" t="n">
        <v>2</v>
      </c>
      <c r="B4420" s="71" t="n">
        <v>46223</v>
      </c>
      <c r="C4420" s="0" t="n">
        <v>100</v>
      </c>
      <c r="D4420" s="0" t="s">
        <v>2499</v>
      </c>
      <c r="E4420" s="0" t="n">
        <v>48</v>
      </c>
      <c r="F4420" s="0" t="s">
        <v>153</v>
      </c>
      <c r="I4420" s="0" t="n">
        <v>1424332</v>
      </c>
      <c r="J4420" s="0" t="n">
        <v>100008</v>
      </c>
      <c r="K4420" s="0" t="n">
        <v>9</v>
      </c>
      <c r="L4420" s="0" t="s">
        <v>2487</v>
      </c>
      <c r="N4420" s="0" t="n">
        <v>16</v>
      </c>
      <c r="O4420" s="0" t="n">
        <v>530.96</v>
      </c>
      <c r="P4420" s="0" t="s">
        <v>2444</v>
      </c>
    </row>
    <row r="4421" customFormat="false" ht="15" hidden="false" customHeight="true" outlineLevel="0" collapsed="false">
      <c r="A4421" s="0" t="n">
        <v>2</v>
      </c>
      <c r="B4421" s="71" t="n">
        <v>46223</v>
      </c>
      <c r="C4421" s="0" t="n">
        <v>100</v>
      </c>
      <c r="D4421" s="0" t="s">
        <v>2499</v>
      </c>
      <c r="E4421" s="0" t="n">
        <v>48</v>
      </c>
      <c r="F4421" s="0" t="s">
        <v>153</v>
      </c>
      <c r="I4421" s="0" t="n">
        <v>1424332</v>
      </c>
      <c r="J4421" s="0" t="n">
        <v>100011</v>
      </c>
      <c r="K4421" s="0" t="n">
        <v>12</v>
      </c>
      <c r="L4421" s="0" t="s">
        <v>2488</v>
      </c>
      <c r="N4421" s="0" t="n">
        <v>10.455</v>
      </c>
      <c r="O4421" s="0" t="n">
        <v>391.44</v>
      </c>
      <c r="P4421" s="0" t="s">
        <v>2444</v>
      </c>
    </row>
    <row r="4422" customFormat="false" ht="15" hidden="false" customHeight="true" outlineLevel="0" collapsed="false">
      <c r="A4422" s="0" t="n">
        <v>2</v>
      </c>
      <c r="B4422" s="71" t="n">
        <v>46223</v>
      </c>
      <c r="C4422" s="0" t="n">
        <v>100</v>
      </c>
      <c r="D4422" s="0" t="s">
        <v>2499</v>
      </c>
      <c r="E4422" s="0" t="n">
        <v>48</v>
      </c>
      <c r="F4422" s="0" t="s">
        <v>153</v>
      </c>
      <c r="I4422" s="0" t="n">
        <v>1424332</v>
      </c>
      <c r="J4422" s="0" t="n">
        <v>100012</v>
      </c>
      <c r="K4422" s="0" t="n">
        <v>13</v>
      </c>
      <c r="L4422" s="0" t="s">
        <v>2489</v>
      </c>
      <c r="N4422" s="0" t="n">
        <v>5.336</v>
      </c>
      <c r="O4422" s="0" t="n">
        <v>227.03</v>
      </c>
      <c r="P4422" s="0" t="s">
        <v>2444</v>
      </c>
    </row>
    <row r="4423" customFormat="false" ht="15" hidden="false" customHeight="true" outlineLevel="0" collapsed="false">
      <c r="A4423" s="0" t="n">
        <v>2</v>
      </c>
      <c r="B4423" s="71" t="n">
        <v>46223</v>
      </c>
      <c r="C4423" s="0" t="n">
        <v>100</v>
      </c>
      <c r="D4423" s="0" t="s">
        <v>2499</v>
      </c>
      <c r="E4423" s="0" t="n">
        <v>48</v>
      </c>
      <c r="F4423" s="0" t="s">
        <v>153</v>
      </c>
      <c r="I4423" s="0" t="n">
        <v>1424332</v>
      </c>
      <c r="J4423" s="0" t="n">
        <v>100013</v>
      </c>
      <c r="K4423" s="0" t="n">
        <v>14</v>
      </c>
      <c r="L4423" s="0" t="s">
        <v>2490</v>
      </c>
      <c r="N4423" s="0" t="n">
        <v>11.495</v>
      </c>
      <c r="O4423" s="0" t="n">
        <v>518.43</v>
      </c>
      <c r="P4423" s="0" t="s">
        <v>2444</v>
      </c>
    </row>
    <row r="4424" customFormat="false" ht="15" hidden="false" customHeight="true" outlineLevel="0" collapsed="false">
      <c r="A4424" s="0" t="n">
        <v>2</v>
      </c>
      <c r="B4424" s="71" t="n">
        <v>46223</v>
      </c>
      <c r="C4424" s="0" t="n">
        <v>100</v>
      </c>
      <c r="D4424" s="0" t="s">
        <v>2499</v>
      </c>
      <c r="E4424" s="0" t="n">
        <v>48</v>
      </c>
      <c r="F4424" s="0" t="s">
        <v>153</v>
      </c>
      <c r="I4424" s="0" t="n">
        <v>1424332</v>
      </c>
      <c r="J4424" s="0" t="n">
        <v>100014</v>
      </c>
      <c r="K4424" s="0" t="n">
        <v>15</v>
      </c>
      <c r="L4424" s="0" t="s">
        <v>2491</v>
      </c>
      <c r="N4424" s="0" t="n">
        <v>4.748</v>
      </c>
      <c r="O4424" s="0" t="n">
        <v>218.18</v>
      </c>
      <c r="P4424" s="0" t="s">
        <v>2444</v>
      </c>
    </row>
    <row r="4425" customFormat="false" ht="15" hidden="false" customHeight="true" outlineLevel="0" collapsed="false">
      <c r="A4425" s="0" t="n">
        <v>2</v>
      </c>
      <c r="B4425" s="71" t="n">
        <v>46223</v>
      </c>
      <c r="C4425" s="0" t="n">
        <v>100</v>
      </c>
      <c r="D4425" s="0" t="s">
        <v>2499</v>
      </c>
      <c r="E4425" s="0" t="n">
        <v>48</v>
      </c>
      <c r="F4425" s="0" t="s">
        <v>153</v>
      </c>
      <c r="I4425" s="0" t="n">
        <v>1424332</v>
      </c>
      <c r="J4425" s="0" t="n">
        <v>100015</v>
      </c>
      <c r="K4425" s="0" t="n">
        <v>16</v>
      </c>
      <c r="L4425" s="0" t="s">
        <v>2492</v>
      </c>
      <c r="N4425" s="0" t="n">
        <v>1.782</v>
      </c>
      <c r="O4425" s="0" t="n">
        <v>72.79</v>
      </c>
      <c r="P4425" s="0" t="s">
        <v>2444</v>
      </c>
    </row>
    <row r="4426" customFormat="false" ht="15" hidden="false" customHeight="true" outlineLevel="0" collapsed="false">
      <c r="A4426" s="0" t="n">
        <v>2</v>
      </c>
      <c r="B4426" s="71" t="n">
        <v>46223</v>
      </c>
      <c r="C4426" s="0" t="n">
        <v>100</v>
      </c>
      <c r="D4426" s="0" t="s">
        <v>2499</v>
      </c>
      <c r="E4426" s="0" t="n">
        <v>48</v>
      </c>
      <c r="F4426" s="0" t="s">
        <v>153</v>
      </c>
      <c r="I4426" s="0" t="n">
        <v>1424332</v>
      </c>
      <c r="J4426" s="0" t="n">
        <v>100016</v>
      </c>
      <c r="K4426" s="0" t="n">
        <v>17</v>
      </c>
      <c r="L4426" s="0" t="s">
        <v>2493</v>
      </c>
      <c r="N4426" s="0" t="n">
        <v>1.84</v>
      </c>
      <c r="O4426" s="0" t="n">
        <v>109.61</v>
      </c>
      <c r="P4426" s="0" t="s">
        <v>2444</v>
      </c>
    </row>
    <row r="4427" customFormat="false" ht="15" hidden="false" customHeight="true" outlineLevel="0" collapsed="false">
      <c r="A4427" s="0" t="n">
        <v>2</v>
      </c>
      <c r="B4427" s="71" t="n">
        <v>46223</v>
      </c>
      <c r="C4427" s="0" t="n">
        <v>100</v>
      </c>
      <c r="D4427" s="0" t="s">
        <v>2499</v>
      </c>
      <c r="E4427" s="0" t="n">
        <v>48</v>
      </c>
      <c r="F4427" s="0" t="s">
        <v>153</v>
      </c>
      <c r="I4427" s="0" t="n">
        <v>1424332</v>
      </c>
      <c r="J4427" s="0" t="n">
        <v>100017</v>
      </c>
      <c r="K4427" s="0" t="n">
        <v>18</v>
      </c>
      <c r="L4427" s="0" t="s">
        <v>2494</v>
      </c>
      <c r="N4427" s="0" t="n">
        <v>1.3</v>
      </c>
      <c r="O4427" s="0" t="n">
        <v>77.44</v>
      </c>
      <c r="P4427" s="0" t="s">
        <v>2444</v>
      </c>
    </row>
    <row r="4428" customFormat="false" ht="15" hidden="false" customHeight="true" outlineLevel="0" collapsed="false">
      <c r="A4428" s="0" t="n">
        <v>2</v>
      </c>
      <c r="B4428" s="71" t="n">
        <v>46223</v>
      </c>
      <c r="C4428" s="0" t="n">
        <v>100</v>
      </c>
      <c r="D4428" s="0" t="s">
        <v>2499</v>
      </c>
      <c r="E4428" s="0" t="n">
        <v>48</v>
      </c>
      <c r="F4428" s="0" t="s">
        <v>153</v>
      </c>
      <c r="I4428" s="0" t="n">
        <v>1424332</v>
      </c>
      <c r="J4428" s="0" t="n">
        <v>100019</v>
      </c>
      <c r="K4428" s="0" t="n">
        <v>20</v>
      </c>
      <c r="L4428" s="0" t="s">
        <v>3779</v>
      </c>
      <c r="N4428" s="0" t="n">
        <v>0.186</v>
      </c>
      <c r="O4428" s="0" t="n">
        <v>6.65</v>
      </c>
      <c r="P4428" s="0" t="s">
        <v>2444</v>
      </c>
    </row>
    <row r="4429" customFormat="false" ht="15" hidden="false" customHeight="true" outlineLevel="0" collapsed="false">
      <c r="A4429" s="0" t="n">
        <v>2</v>
      </c>
      <c r="B4429" s="71" t="n">
        <v>46223</v>
      </c>
      <c r="C4429" s="0" t="n">
        <v>100</v>
      </c>
      <c r="D4429" s="0" t="s">
        <v>2499</v>
      </c>
      <c r="E4429" s="0" t="n">
        <v>48</v>
      </c>
      <c r="F4429" s="0" t="s">
        <v>153</v>
      </c>
      <c r="I4429" s="0" t="n">
        <v>1424332</v>
      </c>
      <c r="J4429" s="0" t="n">
        <v>100053</v>
      </c>
      <c r="K4429" s="0" t="n">
        <v>54</v>
      </c>
      <c r="L4429" s="0" t="s">
        <v>2495</v>
      </c>
      <c r="N4429" s="0" t="n">
        <v>2.148</v>
      </c>
      <c r="O4429" s="0" t="n">
        <v>80.42</v>
      </c>
      <c r="P4429" s="0" t="s">
        <v>2444</v>
      </c>
    </row>
    <row r="4430" customFormat="false" ht="15" hidden="false" customHeight="true" outlineLevel="0" collapsed="false">
      <c r="A4430" s="0" t="n">
        <v>2</v>
      </c>
      <c r="B4430" s="71" t="n">
        <v>46223</v>
      </c>
      <c r="C4430" s="0" t="n">
        <v>100</v>
      </c>
      <c r="D4430" s="0" t="s">
        <v>2499</v>
      </c>
      <c r="E4430" s="0" t="n">
        <v>48</v>
      </c>
      <c r="F4430" s="0" t="s">
        <v>153</v>
      </c>
      <c r="I4430" s="0" t="n">
        <v>1424332</v>
      </c>
      <c r="J4430" s="0" t="n">
        <v>100638</v>
      </c>
      <c r="K4430" s="0" t="n">
        <v>508</v>
      </c>
      <c r="L4430" s="0" t="s">
        <v>2496</v>
      </c>
      <c r="N4430" s="0" t="n">
        <v>0.8</v>
      </c>
      <c r="O4430" s="0" t="n">
        <v>2.04</v>
      </c>
      <c r="P4430" s="0" t="s">
        <v>2444</v>
      </c>
    </row>
    <row r="4431" customFormat="false" ht="15" hidden="false" customHeight="true" outlineLevel="0" collapsed="false">
      <c r="A4431" s="0" t="n">
        <v>2</v>
      </c>
      <c r="B4431" s="71" t="n">
        <v>46223</v>
      </c>
      <c r="C4431" s="0" t="n">
        <v>100</v>
      </c>
      <c r="D4431" s="0" t="s">
        <v>2499</v>
      </c>
      <c r="E4431" s="0" t="n">
        <v>48</v>
      </c>
      <c r="F4431" s="0" t="s">
        <v>153</v>
      </c>
      <c r="I4431" s="0" t="n">
        <v>1424332</v>
      </c>
      <c r="J4431" s="0" t="n">
        <v>100520</v>
      </c>
      <c r="K4431" s="0" t="n">
        <v>507</v>
      </c>
      <c r="L4431" s="0" t="s">
        <v>2497</v>
      </c>
      <c r="N4431" s="0" t="n">
        <v>11.465</v>
      </c>
      <c r="O4431" s="0" t="n">
        <v>29.18</v>
      </c>
      <c r="P4431" s="0" t="s">
        <v>2444</v>
      </c>
    </row>
    <row r="4432" customFormat="false" ht="15" hidden="false" customHeight="true" outlineLevel="0" collapsed="false">
      <c r="A4432" s="0" t="n">
        <v>2</v>
      </c>
      <c r="B4432" s="71" t="n">
        <v>46223</v>
      </c>
      <c r="C4432" s="0" t="n">
        <v>100</v>
      </c>
      <c r="D4432" s="0" t="s">
        <v>2499</v>
      </c>
      <c r="E4432" s="0" t="n">
        <v>48</v>
      </c>
      <c r="F4432" s="0" t="s">
        <v>153</v>
      </c>
      <c r="I4432" s="0" t="n">
        <v>1424332</v>
      </c>
      <c r="J4432" s="0" t="n">
        <v>110455</v>
      </c>
      <c r="K4432" s="0" t="n">
        <v>53212</v>
      </c>
      <c r="L4432" s="0" t="s">
        <v>2498</v>
      </c>
      <c r="N4432" s="0" t="n">
        <v>0.146</v>
      </c>
      <c r="O4432" s="0" t="n">
        <v>0.01</v>
      </c>
      <c r="P4432" s="0" t="s">
        <v>2444</v>
      </c>
    </row>
    <row r="4433" customFormat="false" ht="15" hidden="false" customHeight="true" outlineLevel="0" collapsed="false">
      <c r="A4433" s="0" t="n">
        <v>2</v>
      </c>
      <c r="B4433" s="71" t="n">
        <v>46223</v>
      </c>
      <c r="C4433" s="0" t="n">
        <v>100</v>
      </c>
      <c r="D4433" s="0" t="s">
        <v>2499</v>
      </c>
      <c r="E4433" s="0" t="n">
        <v>48</v>
      </c>
      <c r="F4433" s="0" t="s">
        <v>153</v>
      </c>
      <c r="I4433" s="0" t="n">
        <v>1424336</v>
      </c>
      <c r="J4433" s="0" t="n">
        <v>100000</v>
      </c>
      <c r="K4433" s="0" t="n">
        <v>1</v>
      </c>
      <c r="L4433" s="0" t="s">
        <v>2480</v>
      </c>
      <c r="N4433" s="0" t="n">
        <v>3.028</v>
      </c>
      <c r="O4433" s="0" t="n">
        <v>58.09</v>
      </c>
      <c r="P4433" s="0" t="s">
        <v>2444</v>
      </c>
    </row>
    <row r="4434" customFormat="false" ht="15" hidden="false" customHeight="true" outlineLevel="0" collapsed="false">
      <c r="A4434" s="0" t="n">
        <v>2</v>
      </c>
      <c r="B4434" s="71" t="n">
        <v>46223</v>
      </c>
      <c r="C4434" s="0" t="n">
        <v>100</v>
      </c>
      <c r="D4434" s="0" t="s">
        <v>2499</v>
      </c>
      <c r="E4434" s="0" t="n">
        <v>48</v>
      </c>
      <c r="F4434" s="0" t="s">
        <v>153</v>
      </c>
      <c r="I4434" s="0" t="n">
        <v>1424336</v>
      </c>
      <c r="J4434" s="0" t="n">
        <v>100001</v>
      </c>
      <c r="K4434" s="0" t="n">
        <v>2</v>
      </c>
      <c r="L4434" s="0" t="s">
        <v>2481</v>
      </c>
      <c r="N4434" s="0" t="n">
        <v>9.725</v>
      </c>
      <c r="O4434" s="0" t="n">
        <v>202.13</v>
      </c>
      <c r="P4434" s="0" t="s">
        <v>2444</v>
      </c>
    </row>
    <row r="4435" customFormat="false" ht="15" hidden="false" customHeight="true" outlineLevel="0" collapsed="false">
      <c r="A4435" s="0" t="n">
        <v>2</v>
      </c>
      <c r="B4435" s="71" t="n">
        <v>46223</v>
      </c>
      <c r="C4435" s="0" t="n">
        <v>100</v>
      </c>
      <c r="D4435" s="0" t="s">
        <v>2499</v>
      </c>
      <c r="E4435" s="0" t="n">
        <v>48</v>
      </c>
      <c r="F4435" s="0" t="s">
        <v>153</v>
      </c>
      <c r="I4435" s="0" t="n">
        <v>1424336</v>
      </c>
      <c r="J4435" s="0" t="n">
        <v>100002</v>
      </c>
      <c r="K4435" s="0" t="n">
        <v>3</v>
      </c>
      <c r="L4435" s="0" t="s">
        <v>2482</v>
      </c>
      <c r="N4435" s="0" t="n">
        <v>20</v>
      </c>
      <c r="O4435" s="0" t="n">
        <v>479.66</v>
      </c>
      <c r="P4435" s="0" t="s">
        <v>2444</v>
      </c>
    </row>
    <row r="4436" customFormat="false" ht="15" hidden="false" customHeight="true" outlineLevel="0" collapsed="false">
      <c r="A4436" s="0" t="n">
        <v>2</v>
      </c>
      <c r="B4436" s="71" t="n">
        <v>46223</v>
      </c>
      <c r="C4436" s="0" t="n">
        <v>100</v>
      </c>
      <c r="D4436" s="0" t="s">
        <v>2499</v>
      </c>
      <c r="E4436" s="0" t="n">
        <v>48</v>
      </c>
      <c r="F4436" s="0" t="s">
        <v>153</v>
      </c>
      <c r="I4436" s="0" t="n">
        <v>1424336</v>
      </c>
      <c r="J4436" s="0" t="n">
        <v>100003</v>
      </c>
      <c r="K4436" s="0" t="n">
        <v>4</v>
      </c>
      <c r="L4436" s="0" t="s">
        <v>2483</v>
      </c>
      <c r="N4436" s="0" t="n">
        <v>12.975</v>
      </c>
      <c r="O4436" s="0" t="n">
        <v>331.93</v>
      </c>
      <c r="P4436" s="0" t="s">
        <v>2444</v>
      </c>
    </row>
    <row r="4437" customFormat="false" ht="15" hidden="false" customHeight="true" outlineLevel="0" collapsed="false">
      <c r="A4437" s="0" t="n">
        <v>2</v>
      </c>
      <c r="B4437" s="71" t="n">
        <v>46223</v>
      </c>
      <c r="C4437" s="0" t="n">
        <v>100</v>
      </c>
      <c r="D4437" s="0" t="s">
        <v>2499</v>
      </c>
      <c r="E4437" s="0" t="n">
        <v>48</v>
      </c>
      <c r="F4437" s="0" t="s">
        <v>153</v>
      </c>
      <c r="I4437" s="0" t="n">
        <v>1424336</v>
      </c>
      <c r="J4437" s="0" t="n">
        <v>100004</v>
      </c>
      <c r="K4437" s="0" t="n">
        <v>5</v>
      </c>
      <c r="L4437" s="0" t="s">
        <v>2484</v>
      </c>
      <c r="N4437" s="0" t="n">
        <v>1.322</v>
      </c>
      <c r="O4437" s="0" t="n">
        <v>29.59</v>
      </c>
      <c r="P4437" s="0" t="s">
        <v>2444</v>
      </c>
    </row>
    <row r="4438" customFormat="false" ht="15" hidden="false" customHeight="true" outlineLevel="0" collapsed="false">
      <c r="A4438" s="0" t="n">
        <v>2</v>
      </c>
      <c r="B4438" s="71" t="n">
        <v>46223</v>
      </c>
      <c r="C4438" s="0" t="n">
        <v>100</v>
      </c>
      <c r="D4438" s="0" t="s">
        <v>2499</v>
      </c>
      <c r="E4438" s="0" t="n">
        <v>48</v>
      </c>
      <c r="F4438" s="0" t="s">
        <v>153</v>
      </c>
      <c r="I4438" s="0" t="n">
        <v>1424336</v>
      </c>
      <c r="J4438" s="0" t="n">
        <v>100007</v>
      </c>
      <c r="K4438" s="0" t="n">
        <v>8</v>
      </c>
      <c r="L4438" s="0" t="s">
        <v>2486</v>
      </c>
      <c r="N4438" s="0" t="n">
        <v>4.444</v>
      </c>
      <c r="O4438" s="0" t="n">
        <v>106.58</v>
      </c>
      <c r="P4438" s="0" t="s">
        <v>2444</v>
      </c>
    </row>
    <row r="4439" customFormat="false" ht="15" hidden="false" customHeight="true" outlineLevel="0" collapsed="false">
      <c r="A4439" s="0" t="n">
        <v>2</v>
      </c>
      <c r="B4439" s="71" t="n">
        <v>46223</v>
      </c>
      <c r="C4439" s="0" t="n">
        <v>100</v>
      </c>
      <c r="D4439" s="0" t="s">
        <v>2499</v>
      </c>
      <c r="E4439" s="0" t="n">
        <v>48</v>
      </c>
      <c r="F4439" s="0" t="s">
        <v>153</v>
      </c>
      <c r="I4439" s="0" t="n">
        <v>1424336</v>
      </c>
      <c r="J4439" s="0" t="n">
        <v>100019</v>
      </c>
      <c r="K4439" s="0" t="n">
        <v>20</v>
      </c>
      <c r="L4439" s="0" t="s">
        <v>3779</v>
      </c>
      <c r="N4439" s="0" t="n">
        <v>3.266</v>
      </c>
      <c r="O4439" s="0" t="n">
        <v>109.67</v>
      </c>
      <c r="P4439" s="0" t="s">
        <v>2444</v>
      </c>
    </row>
    <row r="4440" customFormat="false" ht="15" hidden="false" customHeight="true" outlineLevel="0" collapsed="false">
      <c r="A4440" s="0" t="n">
        <v>2</v>
      </c>
      <c r="B4440" s="71" t="n">
        <v>46223</v>
      </c>
      <c r="C4440" s="0" t="n">
        <v>100</v>
      </c>
      <c r="D4440" s="0" t="s">
        <v>2499</v>
      </c>
      <c r="E4440" s="0" t="n">
        <v>48</v>
      </c>
      <c r="F4440" s="0" t="s">
        <v>153</v>
      </c>
      <c r="I4440" s="0" t="n">
        <v>1424336</v>
      </c>
      <c r="J4440" s="0" t="n">
        <v>100638</v>
      </c>
      <c r="K4440" s="0" t="n">
        <v>508</v>
      </c>
      <c r="L4440" s="0" t="s">
        <v>2496</v>
      </c>
      <c r="N4440" s="0" t="n">
        <v>0.532</v>
      </c>
      <c r="O4440" s="0" t="n">
        <v>1.27</v>
      </c>
      <c r="P4440" s="0" t="s">
        <v>2444</v>
      </c>
    </row>
    <row r="4441" customFormat="false" ht="15" hidden="false" customHeight="true" outlineLevel="0" collapsed="false">
      <c r="A4441" s="0" t="n">
        <v>2</v>
      </c>
      <c r="B4441" s="71" t="n">
        <v>46223</v>
      </c>
      <c r="C4441" s="0" t="n">
        <v>100</v>
      </c>
      <c r="D4441" s="0" t="s">
        <v>2499</v>
      </c>
      <c r="E4441" s="0" t="n">
        <v>48</v>
      </c>
      <c r="F4441" s="0" t="s">
        <v>153</v>
      </c>
      <c r="I4441" s="0" t="n">
        <v>1424336</v>
      </c>
      <c r="J4441" s="0" t="n">
        <v>100520</v>
      </c>
      <c r="K4441" s="0" t="n">
        <v>507</v>
      </c>
      <c r="L4441" s="0" t="s">
        <v>2497</v>
      </c>
      <c r="N4441" s="0" t="n">
        <v>3.586</v>
      </c>
      <c r="O4441" s="0" t="n">
        <v>8.57</v>
      </c>
      <c r="P4441" s="0" t="s">
        <v>2444</v>
      </c>
    </row>
    <row r="4442" customFormat="false" ht="15" hidden="false" customHeight="true" outlineLevel="0" collapsed="false">
      <c r="A4442" s="0" t="n">
        <v>2</v>
      </c>
      <c r="B4442" s="71" t="n">
        <v>46223</v>
      </c>
      <c r="C4442" s="0" t="n">
        <v>100</v>
      </c>
      <c r="D4442" s="0" t="s">
        <v>2499</v>
      </c>
      <c r="E4442" s="0" t="n">
        <v>48</v>
      </c>
      <c r="F4442" s="0" t="s">
        <v>153</v>
      </c>
      <c r="I4442" s="0" t="n">
        <v>1424336</v>
      </c>
      <c r="J4442" s="0" t="n">
        <v>110455</v>
      </c>
      <c r="K4442" s="0" t="n">
        <v>53212</v>
      </c>
      <c r="L4442" s="0" t="s">
        <v>2498</v>
      </c>
      <c r="N4442" s="0" t="n">
        <v>0.122</v>
      </c>
      <c r="O4442" s="0" t="n">
        <v>0.01</v>
      </c>
      <c r="P4442" s="0" t="s">
        <v>2444</v>
      </c>
    </row>
    <row r="4443" customFormat="false" ht="15" hidden="false" customHeight="true" outlineLevel="0" collapsed="false">
      <c r="A4443" s="0" t="n">
        <v>2</v>
      </c>
      <c r="B4443" s="71" t="n">
        <v>46224</v>
      </c>
      <c r="C4443" s="0" t="n">
        <v>6</v>
      </c>
      <c r="D4443" s="0" t="s">
        <v>2553</v>
      </c>
      <c r="E4443" s="0" t="n">
        <v>48</v>
      </c>
      <c r="F4443" s="0" t="s">
        <v>153</v>
      </c>
      <c r="I4443" s="0" t="n">
        <v>2554</v>
      </c>
      <c r="J4443" s="0" t="n">
        <v>100105</v>
      </c>
      <c r="K4443" s="0" t="n">
        <v>106</v>
      </c>
      <c r="L4443" s="0" t="s">
        <v>2536</v>
      </c>
      <c r="N4443" s="0" t="n">
        <v>24</v>
      </c>
      <c r="O4443" s="0" t="n">
        <v>170</v>
      </c>
      <c r="P4443" s="0" t="s">
        <v>2444</v>
      </c>
    </row>
    <row r="4444" customFormat="false" ht="15" hidden="false" customHeight="true" outlineLevel="0" collapsed="false">
      <c r="A4444" s="0" t="n">
        <v>2</v>
      </c>
      <c r="B4444" s="71" t="n">
        <v>46224</v>
      </c>
      <c r="C4444" s="0" t="n">
        <v>6</v>
      </c>
      <c r="D4444" s="0" t="s">
        <v>2553</v>
      </c>
      <c r="E4444" s="0" t="n">
        <v>48</v>
      </c>
      <c r="F4444" s="0" t="s">
        <v>153</v>
      </c>
      <c r="I4444" s="0" t="n">
        <v>2554</v>
      </c>
      <c r="J4444" s="0" t="n">
        <v>100109</v>
      </c>
      <c r="K4444" s="0" t="n">
        <v>110</v>
      </c>
      <c r="L4444" s="0" t="s">
        <v>2537</v>
      </c>
      <c r="N4444" s="0" t="n">
        <v>20</v>
      </c>
      <c r="O4444" s="0" t="n">
        <v>140</v>
      </c>
      <c r="P4444" s="0" t="s">
        <v>2444</v>
      </c>
    </row>
    <row r="4445" customFormat="false" ht="15" hidden="false" customHeight="true" outlineLevel="0" collapsed="false">
      <c r="A4445" s="0" t="n">
        <v>2</v>
      </c>
      <c r="B4445" s="71" t="n">
        <v>46224</v>
      </c>
      <c r="C4445" s="0" t="n">
        <v>6</v>
      </c>
      <c r="D4445" s="0" t="s">
        <v>2553</v>
      </c>
      <c r="E4445" s="0" t="n">
        <v>48</v>
      </c>
      <c r="F4445" s="0" t="s">
        <v>153</v>
      </c>
      <c r="I4445" s="0" t="n">
        <v>2554</v>
      </c>
      <c r="J4445" s="0" t="n">
        <v>100110</v>
      </c>
      <c r="K4445" s="0" t="n">
        <v>111</v>
      </c>
      <c r="L4445" s="0" t="s">
        <v>2997</v>
      </c>
      <c r="N4445" s="0" t="n">
        <v>6</v>
      </c>
      <c r="O4445" s="0" t="n">
        <v>60</v>
      </c>
      <c r="P4445" s="0" t="s">
        <v>2444</v>
      </c>
    </row>
    <row r="4446" customFormat="false" ht="15" hidden="false" customHeight="true" outlineLevel="0" collapsed="false">
      <c r="A4446" s="0" t="n">
        <v>2</v>
      </c>
      <c r="B4446" s="71" t="n">
        <v>46224</v>
      </c>
      <c r="C4446" s="0" t="n">
        <v>6</v>
      </c>
      <c r="D4446" s="0" t="s">
        <v>2553</v>
      </c>
      <c r="E4446" s="0" t="n">
        <v>48</v>
      </c>
      <c r="F4446" s="0" t="s">
        <v>153</v>
      </c>
      <c r="I4446" s="0" t="n">
        <v>2554</v>
      </c>
      <c r="J4446" s="0" t="n">
        <v>100112</v>
      </c>
      <c r="K4446" s="0" t="n">
        <v>113</v>
      </c>
      <c r="L4446" s="0" t="s">
        <v>2538</v>
      </c>
      <c r="N4446" s="0" t="n">
        <v>20</v>
      </c>
      <c r="O4446" s="0" t="n">
        <v>60</v>
      </c>
      <c r="P4446" s="0" t="s">
        <v>2444</v>
      </c>
    </row>
    <row r="4447" customFormat="false" ht="15" hidden="false" customHeight="true" outlineLevel="0" collapsed="false">
      <c r="A4447" s="0" t="n">
        <v>2</v>
      </c>
      <c r="B4447" s="71" t="n">
        <v>46224</v>
      </c>
      <c r="C4447" s="0" t="n">
        <v>6</v>
      </c>
      <c r="D4447" s="0" t="s">
        <v>2553</v>
      </c>
      <c r="E4447" s="0" t="n">
        <v>48</v>
      </c>
      <c r="F4447" s="0" t="s">
        <v>153</v>
      </c>
      <c r="I4447" s="0" t="n">
        <v>2554</v>
      </c>
      <c r="J4447" s="0" t="n">
        <v>100115</v>
      </c>
      <c r="K4447" s="0" t="n">
        <v>116</v>
      </c>
      <c r="L4447" s="0" t="s">
        <v>2694</v>
      </c>
      <c r="N4447" s="0" t="n">
        <v>9</v>
      </c>
      <c r="O4447" s="0" t="n">
        <v>95.94</v>
      </c>
      <c r="P4447" s="0" t="s">
        <v>2444</v>
      </c>
    </row>
    <row r="4448" customFormat="false" ht="15" hidden="false" customHeight="true" outlineLevel="0" collapsed="false">
      <c r="A4448" s="0" t="n">
        <v>2</v>
      </c>
      <c r="B4448" s="71" t="n">
        <v>46224</v>
      </c>
      <c r="C4448" s="0" t="n">
        <v>6</v>
      </c>
      <c r="D4448" s="0" t="s">
        <v>2553</v>
      </c>
      <c r="E4448" s="0" t="n">
        <v>48</v>
      </c>
      <c r="F4448" s="0" t="s">
        <v>153</v>
      </c>
      <c r="I4448" s="0" t="n">
        <v>2554</v>
      </c>
      <c r="J4448" s="0" t="n">
        <v>100116</v>
      </c>
      <c r="K4448" s="0" t="n">
        <v>117</v>
      </c>
      <c r="L4448" s="0" t="s">
        <v>2540</v>
      </c>
      <c r="N4448" s="0" t="n">
        <v>2</v>
      </c>
      <c r="O4448" s="0" t="n">
        <v>20</v>
      </c>
      <c r="P4448" s="0" t="s">
        <v>2444</v>
      </c>
    </row>
    <row r="4449" customFormat="false" ht="15" hidden="false" customHeight="true" outlineLevel="0" collapsed="false">
      <c r="A4449" s="0" t="n">
        <v>2</v>
      </c>
      <c r="B4449" s="71" t="n">
        <v>46224</v>
      </c>
      <c r="C4449" s="0" t="n">
        <v>6</v>
      </c>
      <c r="D4449" s="0" t="s">
        <v>2553</v>
      </c>
      <c r="E4449" s="0" t="n">
        <v>48</v>
      </c>
      <c r="F4449" s="0" t="s">
        <v>153</v>
      </c>
      <c r="I4449" s="0" t="n">
        <v>2554</v>
      </c>
      <c r="J4449" s="0" t="n">
        <v>100118</v>
      </c>
      <c r="K4449" s="0" t="n">
        <v>119</v>
      </c>
      <c r="L4449" s="0" t="s">
        <v>2541</v>
      </c>
      <c r="N4449" s="0" t="n">
        <v>6</v>
      </c>
      <c r="O4449" s="0" t="n">
        <v>36</v>
      </c>
      <c r="P4449" s="0" t="s">
        <v>2444</v>
      </c>
    </row>
    <row r="4450" customFormat="false" ht="15" hidden="false" customHeight="true" outlineLevel="0" collapsed="false">
      <c r="A4450" s="0" t="n">
        <v>2</v>
      </c>
      <c r="B4450" s="71" t="n">
        <v>46224</v>
      </c>
      <c r="C4450" s="0" t="n">
        <v>6</v>
      </c>
      <c r="D4450" s="0" t="s">
        <v>2553</v>
      </c>
      <c r="E4450" s="0" t="n">
        <v>48</v>
      </c>
      <c r="F4450" s="0" t="s">
        <v>153</v>
      </c>
      <c r="I4450" s="0" t="n">
        <v>2554</v>
      </c>
      <c r="J4450" s="0" t="n">
        <v>100122</v>
      </c>
      <c r="K4450" s="0" t="n">
        <v>123</v>
      </c>
      <c r="L4450" s="0" t="s">
        <v>2543</v>
      </c>
      <c r="N4450" s="0" t="n">
        <v>2</v>
      </c>
      <c r="O4450" s="0" t="n">
        <v>20</v>
      </c>
      <c r="P4450" s="0" t="s">
        <v>2444</v>
      </c>
    </row>
    <row r="4451" customFormat="false" ht="15" hidden="false" customHeight="true" outlineLevel="0" collapsed="false">
      <c r="A4451" s="0" t="n">
        <v>2</v>
      </c>
      <c r="B4451" s="71" t="n">
        <v>46224</v>
      </c>
      <c r="C4451" s="0" t="n">
        <v>6</v>
      </c>
      <c r="D4451" s="0" t="s">
        <v>2553</v>
      </c>
      <c r="E4451" s="0" t="n">
        <v>48</v>
      </c>
      <c r="F4451" s="0" t="s">
        <v>153</v>
      </c>
      <c r="I4451" s="0" t="n">
        <v>2554</v>
      </c>
      <c r="J4451" s="0" t="n">
        <v>100124</v>
      </c>
      <c r="K4451" s="0" t="n">
        <v>125</v>
      </c>
      <c r="L4451" s="0" t="s">
        <v>2695</v>
      </c>
      <c r="N4451" s="0" t="n">
        <v>4</v>
      </c>
      <c r="O4451" s="0" t="n">
        <v>44</v>
      </c>
      <c r="P4451" s="0" t="s">
        <v>2444</v>
      </c>
    </row>
    <row r="4452" customFormat="false" ht="15" hidden="false" customHeight="true" outlineLevel="0" collapsed="false">
      <c r="A4452" s="0" t="n">
        <v>2</v>
      </c>
      <c r="B4452" s="71" t="n">
        <v>46224</v>
      </c>
      <c r="C4452" s="0" t="n">
        <v>6</v>
      </c>
      <c r="D4452" s="0" t="s">
        <v>2553</v>
      </c>
      <c r="E4452" s="0" t="n">
        <v>48</v>
      </c>
      <c r="F4452" s="0" t="s">
        <v>153</v>
      </c>
      <c r="I4452" s="0" t="n">
        <v>2554</v>
      </c>
      <c r="J4452" s="0" t="n">
        <v>100125</v>
      </c>
      <c r="K4452" s="0" t="n">
        <v>126</v>
      </c>
      <c r="L4452" s="0" t="s">
        <v>2597</v>
      </c>
      <c r="N4452" s="0" t="n">
        <v>20</v>
      </c>
      <c r="O4452" s="0" t="n">
        <v>140</v>
      </c>
      <c r="P4452" s="0" t="s">
        <v>2444</v>
      </c>
    </row>
    <row r="4453" customFormat="false" ht="15" hidden="false" customHeight="true" outlineLevel="0" collapsed="false">
      <c r="A4453" s="0" t="n">
        <v>2</v>
      </c>
      <c r="B4453" s="71" t="n">
        <v>46224</v>
      </c>
      <c r="C4453" s="0" t="n">
        <v>6</v>
      </c>
      <c r="D4453" s="0" t="s">
        <v>2553</v>
      </c>
      <c r="E4453" s="0" t="n">
        <v>48</v>
      </c>
      <c r="F4453" s="0" t="s">
        <v>153</v>
      </c>
      <c r="I4453" s="0" t="n">
        <v>2554</v>
      </c>
      <c r="J4453" s="0" t="n">
        <v>100132</v>
      </c>
      <c r="K4453" s="0" t="n">
        <v>133</v>
      </c>
      <c r="L4453" s="0" t="s">
        <v>2546</v>
      </c>
      <c r="N4453" s="0" t="n">
        <v>50.555</v>
      </c>
      <c r="O4453" s="0" t="n">
        <v>175</v>
      </c>
      <c r="P4453" s="0" t="s">
        <v>2444</v>
      </c>
    </row>
    <row r="4454" customFormat="false" ht="15" hidden="false" customHeight="true" outlineLevel="0" collapsed="false">
      <c r="A4454" s="0" t="n">
        <v>2</v>
      </c>
      <c r="B4454" s="71" t="n">
        <v>46224</v>
      </c>
      <c r="C4454" s="0" t="n">
        <v>6</v>
      </c>
      <c r="D4454" s="0" t="s">
        <v>2553</v>
      </c>
      <c r="E4454" s="0" t="n">
        <v>48</v>
      </c>
      <c r="F4454" s="0" t="s">
        <v>153</v>
      </c>
      <c r="I4454" s="0" t="n">
        <v>2554</v>
      </c>
      <c r="J4454" s="0" t="n">
        <v>100133</v>
      </c>
      <c r="K4454" s="0" t="n">
        <v>134</v>
      </c>
      <c r="L4454" s="0" t="s">
        <v>2547</v>
      </c>
      <c r="N4454" s="0" t="n">
        <v>14</v>
      </c>
      <c r="O4454" s="0" t="n">
        <v>70</v>
      </c>
      <c r="P4454" s="0" t="s">
        <v>2444</v>
      </c>
    </row>
    <row r="4455" customFormat="false" ht="15" hidden="false" customHeight="true" outlineLevel="0" collapsed="false">
      <c r="A4455" s="0" t="n">
        <v>2</v>
      </c>
      <c r="B4455" s="71" t="n">
        <v>46224</v>
      </c>
      <c r="C4455" s="0" t="n">
        <v>6</v>
      </c>
      <c r="D4455" s="0" t="s">
        <v>2553</v>
      </c>
      <c r="E4455" s="0" t="n">
        <v>48</v>
      </c>
      <c r="F4455" s="0" t="s">
        <v>153</v>
      </c>
      <c r="I4455" s="0" t="n">
        <v>2554</v>
      </c>
      <c r="J4455" s="0" t="n">
        <v>110142</v>
      </c>
      <c r="K4455" s="0" t="n">
        <v>16699</v>
      </c>
      <c r="L4455" s="0" t="s">
        <v>2549</v>
      </c>
      <c r="N4455" s="0" t="n">
        <v>20</v>
      </c>
      <c r="O4455" s="0" t="n">
        <v>125</v>
      </c>
      <c r="P4455" s="0" t="s">
        <v>2444</v>
      </c>
    </row>
    <row r="4456" customFormat="false" ht="15" hidden="false" customHeight="true" outlineLevel="0" collapsed="false">
      <c r="A4456" s="0" t="n">
        <v>2</v>
      </c>
      <c r="B4456" s="71" t="n">
        <v>46224</v>
      </c>
      <c r="C4456" s="0" t="n">
        <v>6</v>
      </c>
      <c r="D4456" s="0" t="s">
        <v>2553</v>
      </c>
      <c r="E4456" s="0" t="n">
        <v>48</v>
      </c>
      <c r="F4456" s="0" t="s">
        <v>153</v>
      </c>
      <c r="I4456" s="0" t="n">
        <v>2554</v>
      </c>
      <c r="J4456" s="0" t="n">
        <v>110374</v>
      </c>
      <c r="K4456" s="0" t="n">
        <v>48077</v>
      </c>
      <c r="L4456" s="0" t="s">
        <v>2696</v>
      </c>
      <c r="N4456" s="0" t="n">
        <v>3</v>
      </c>
      <c r="O4456" s="0" t="n">
        <v>21</v>
      </c>
      <c r="P4456" s="0" t="s">
        <v>2444</v>
      </c>
    </row>
    <row r="4457" customFormat="false" ht="15" hidden="false" customHeight="true" outlineLevel="0" collapsed="false">
      <c r="A4457" s="0" t="n">
        <v>2</v>
      </c>
      <c r="B4457" s="71" t="n">
        <v>46224</v>
      </c>
      <c r="C4457" s="0" t="n">
        <v>6</v>
      </c>
      <c r="D4457" s="0" t="s">
        <v>2553</v>
      </c>
      <c r="E4457" s="0" t="n">
        <v>48</v>
      </c>
      <c r="F4457" s="0" t="s">
        <v>153</v>
      </c>
      <c r="I4457" s="0" t="n">
        <v>2554</v>
      </c>
      <c r="J4457" s="0" t="n">
        <v>110489</v>
      </c>
      <c r="K4457" s="0" t="n">
        <v>54743</v>
      </c>
      <c r="L4457" s="0" t="s">
        <v>2550</v>
      </c>
      <c r="N4457" s="0" t="n">
        <v>40</v>
      </c>
      <c r="O4457" s="0" t="n">
        <v>240</v>
      </c>
      <c r="P4457" s="0" t="s">
        <v>2444</v>
      </c>
    </row>
    <row r="4458" customFormat="false" ht="15" hidden="false" customHeight="true" outlineLevel="0" collapsed="false">
      <c r="A4458" s="0" t="n">
        <v>2</v>
      </c>
      <c r="B4458" s="71" t="n">
        <v>46224</v>
      </c>
      <c r="C4458" s="0" t="n">
        <v>6</v>
      </c>
      <c r="D4458" s="0" t="s">
        <v>2553</v>
      </c>
      <c r="E4458" s="0" t="n">
        <v>48</v>
      </c>
      <c r="F4458" s="0" t="s">
        <v>153</v>
      </c>
      <c r="I4458" s="0" t="n">
        <v>2554</v>
      </c>
      <c r="J4458" s="0" t="n">
        <v>80078</v>
      </c>
      <c r="K4458" s="0" t="n">
        <v>710</v>
      </c>
      <c r="L4458" s="0" t="s">
        <v>2551</v>
      </c>
      <c r="N4458" s="0" t="n">
        <v>10</v>
      </c>
      <c r="O4458" s="0" t="n">
        <v>30</v>
      </c>
      <c r="P4458" s="0" t="s">
        <v>2444</v>
      </c>
    </row>
    <row r="4459" customFormat="false" ht="15" hidden="false" customHeight="true" outlineLevel="0" collapsed="false">
      <c r="A4459" s="0" t="n">
        <v>2</v>
      </c>
      <c r="B4459" s="71" t="n">
        <v>46224</v>
      </c>
      <c r="C4459" s="0" t="n">
        <v>6</v>
      </c>
      <c r="D4459" s="0" t="s">
        <v>2553</v>
      </c>
      <c r="E4459" s="0" t="n">
        <v>48</v>
      </c>
      <c r="F4459" s="0" t="s">
        <v>153</v>
      </c>
      <c r="I4459" s="0" t="n">
        <v>2555</v>
      </c>
      <c r="J4459" s="0" t="n">
        <v>100113</v>
      </c>
      <c r="K4459" s="0" t="n">
        <v>114</v>
      </c>
      <c r="L4459" s="0" t="s">
        <v>2539</v>
      </c>
      <c r="N4459" s="0" t="n">
        <v>20</v>
      </c>
      <c r="O4459" s="0" t="n">
        <v>55</v>
      </c>
      <c r="P4459" s="0" t="s">
        <v>2444</v>
      </c>
    </row>
    <row r="4460" customFormat="false" ht="15" hidden="false" customHeight="true" outlineLevel="0" collapsed="false">
      <c r="A4460" s="0" t="n">
        <v>2</v>
      </c>
      <c r="B4460" s="71" t="n">
        <v>46224</v>
      </c>
      <c r="C4460" s="0" t="n">
        <v>6</v>
      </c>
      <c r="D4460" s="0" t="s">
        <v>2553</v>
      </c>
      <c r="E4460" s="0" t="n">
        <v>48</v>
      </c>
      <c r="F4460" s="0" t="s">
        <v>153</v>
      </c>
      <c r="I4460" s="0" t="n">
        <v>2556</v>
      </c>
      <c r="J4460" s="0" t="n">
        <v>42564</v>
      </c>
      <c r="K4460" s="0" t="n">
        <v>574</v>
      </c>
      <c r="L4460" s="0" t="s">
        <v>2534</v>
      </c>
      <c r="N4460" s="0" t="n">
        <v>15</v>
      </c>
      <c r="O4460" s="0" t="n">
        <v>210</v>
      </c>
      <c r="P4460" s="0" t="s">
        <v>2444</v>
      </c>
    </row>
    <row r="4461" customFormat="false" ht="15" hidden="false" customHeight="true" outlineLevel="0" collapsed="false">
      <c r="A4461" s="0" t="n">
        <v>2</v>
      </c>
      <c r="B4461" s="71" t="n">
        <v>46224</v>
      </c>
      <c r="C4461" s="0" t="n">
        <v>11</v>
      </c>
      <c r="D4461" s="0" t="s">
        <v>2471</v>
      </c>
      <c r="E4461" s="0" t="n">
        <v>1899</v>
      </c>
      <c r="F4461" s="0" t="s">
        <v>204</v>
      </c>
      <c r="I4461" s="0" t="n">
        <v>724</v>
      </c>
      <c r="J4461" s="0" t="n">
        <v>44588</v>
      </c>
      <c r="K4461" s="0" t="n">
        <v>7898904331091</v>
      </c>
      <c r="L4461" s="0" t="s">
        <v>2443</v>
      </c>
      <c r="N4461" s="0" t="n">
        <v>10</v>
      </c>
      <c r="O4461" s="0" t="n">
        <v>49.9</v>
      </c>
      <c r="P4461" s="0" t="s">
        <v>2444</v>
      </c>
    </row>
    <row r="4462" customFormat="false" ht="15" hidden="false" customHeight="true" outlineLevel="0" collapsed="false">
      <c r="A4462" s="0" t="n">
        <v>2</v>
      </c>
      <c r="B4462" s="71" t="n">
        <v>46224</v>
      </c>
      <c r="C4462" s="0" t="n">
        <v>11</v>
      </c>
      <c r="D4462" s="0" t="s">
        <v>2471</v>
      </c>
      <c r="E4462" s="0" t="n">
        <v>1899</v>
      </c>
      <c r="F4462" s="0" t="s">
        <v>204</v>
      </c>
      <c r="I4462" s="0" t="n">
        <v>724</v>
      </c>
      <c r="J4462" s="0" t="n">
        <v>77463</v>
      </c>
      <c r="K4462" s="0" t="n">
        <v>774642</v>
      </c>
      <c r="L4462" s="0" t="s">
        <v>2445</v>
      </c>
      <c r="N4462" s="0" t="n">
        <v>20</v>
      </c>
      <c r="O4462" s="0" t="n">
        <v>90</v>
      </c>
      <c r="P4462" s="0" t="s">
        <v>2444</v>
      </c>
    </row>
    <row r="4463" customFormat="false" ht="15" hidden="false" customHeight="true" outlineLevel="0" collapsed="false">
      <c r="A4463" s="0" t="n">
        <v>2</v>
      </c>
      <c r="B4463" s="71" t="n">
        <v>46224</v>
      </c>
      <c r="C4463" s="0" t="n">
        <v>11</v>
      </c>
      <c r="D4463" s="0" t="s">
        <v>2471</v>
      </c>
      <c r="E4463" s="0" t="n">
        <v>1899</v>
      </c>
      <c r="F4463" s="0" t="s">
        <v>204</v>
      </c>
      <c r="I4463" s="0" t="n">
        <v>724</v>
      </c>
      <c r="J4463" s="0" t="n">
        <v>78013</v>
      </c>
      <c r="K4463" s="0" t="n">
        <v>780148</v>
      </c>
      <c r="L4463" s="0" t="s">
        <v>2584</v>
      </c>
      <c r="N4463" s="0" t="n">
        <v>5</v>
      </c>
      <c r="O4463" s="0" t="n">
        <v>22.5</v>
      </c>
      <c r="P4463" s="0" t="s">
        <v>2444</v>
      </c>
    </row>
    <row r="4464" customFormat="false" ht="15" hidden="false" customHeight="true" outlineLevel="0" collapsed="false">
      <c r="A4464" s="0" t="n">
        <v>2</v>
      </c>
      <c r="B4464" s="71" t="n">
        <v>46224</v>
      </c>
      <c r="C4464" s="0" t="n">
        <v>11</v>
      </c>
      <c r="D4464" s="0" t="s">
        <v>2471</v>
      </c>
      <c r="E4464" s="0" t="n">
        <v>1899</v>
      </c>
      <c r="F4464" s="0" t="s">
        <v>204</v>
      </c>
      <c r="I4464" s="0" t="n">
        <v>724</v>
      </c>
      <c r="J4464" s="0" t="n">
        <v>78015</v>
      </c>
      <c r="K4464" s="0" t="n">
        <v>780162</v>
      </c>
      <c r="L4464" s="0" t="s">
        <v>2447</v>
      </c>
      <c r="N4464" s="0" t="n">
        <v>4</v>
      </c>
      <c r="O4464" s="0" t="n">
        <v>19.96</v>
      </c>
      <c r="P4464" s="0" t="s">
        <v>2444</v>
      </c>
    </row>
    <row r="4465" customFormat="false" ht="15" hidden="false" customHeight="true" outlineLevel="0" collapsed="false">
      <c r="A4465" s="0" t="n">
        <v>2</v>
      </c>
      <c r="B4465" s="71" t="n">
        <v>46224</v>
      </c>
      <c r="C4465" s="0" t="n">
        <v>11</v>
      </c>
      <c r="D4465" s="0" t="s">
        <v>2471</v>
      </c>
      <c r="E4465" s="0" t="n">
        <v>1363</v>
      </c>
      <c r="F4465" s="0" t="s">
        <v>174</v>
      </c>
      <c r="I4465" s="0" t="n">
        <v>3579</v>
      </c>
      <c r="J4465" s="0" t="n">
        <v>73511</v>
      </c>
      <c r="K4465" s="0" t="n">
        <v>609963171019</v>
      </c>
      <c r="L4465" s="0" t="s">
        <v>2585</v>
      </c>
      <c r="N4465" s="0" t="n">
        <v>3</v>
      </c>
      <c r="O4465" s="0" t="n">
        <v>18</v>
      </c>
      <c r="P4465" s="0" t="s">
        <v>2444</v>
      </c>
    </row>
    <row r="4466" customFormat="false" ht="15" hidden="false" customHeight="true" outlineLevel="0" collapsed="false">
      <c r="A4466" s="0" t="n">
        <v>2</v>
      </c>
      <c r="B4466" s="71" t="n">
        <v>46224</v>
      </c>
      <c r="C4466" s="0" t="n">
        <v>11</v>
      </c>
      <c r="D4466" s="0" t="s">
        <v>2471</v>
      </c>
      <c r="E4466" s="0" t="n">
        <v>1363</v>
      </c>
      <c r="F4466" s="0" t="s">
        <v>174</v>
      </c>
      <c r="I4466" s="0" t="n">
        <v>3579</v>
      </c>
      <c r="J4466" s="0" t="n">
        <v>65493</v>
      </c>
      <c r="K4466" s="0" t="n">
        <v>609963171002</v>
      </c>
      <c r="L4466" s="0" t="s">
        <v>2586</v>
      </c>
      <c r="N4466" s="0" t="n">
        <v>3</v>
      </c>
      <c r="O4466" s="0" t="n">
        <v>18</v>
      </c>
      <c r="P4466" s="0" t="s">
        <v>2444</v>
      </c>
    </row>
    <row r="4467" customFormat="false" ht="15" hidden="false" customHeight="true" outlineLevel="0" collapsed="false">
      <c r="A4467" s="0" t="n">
        <v>2</v>
      </c>
      <c r="B4467" s="71" t="n">
        <v>46224</v>
      </c>
      <c r="C4467" s="0" t="n">
        <v>11</v>
      </c>
      <c r="D4467" s="0" t="s">
        <v>2471</v>
      </c>
      <c r="E4467" s="0" t="n">
        <v>1363</v>
      </c>
      <c r="F4467" s="0" t="s">
        <v>174</v>
      </c>
      <c r="I4467" s="0" t="n">
        <v>3579</v>
      </c>
      <c r="J4467" s="0" t="n">
        <v>65494</v>
      </c>
      <c r="K4467" s="0" t="n">
        <v>618231677535</v>
      </c>
      <c r="L4467" s="0" t="s">
        <v>2587</v>
      </c>
      <c r="N4467" s="0" t="n">
        <v>15</v>
      </c>
      <c r="O4467" s="0" t="n">
        <v>90</v>
      </c>
      <c r="P4467" s="0" t="s">
        <v>2444</v>
      </c>
    </row>
    <row r="4468" customFormat="false" ht="15" hidden="false" customHeight="true" outlineLevel="0" collapsed="false">
      <c r="A4468" s="0" t="n">
        <v>2</v>
      </c>
      <c r="B4468" s="71" t="n">
        <v>46224</v>
      </c>
      <c r="C4468" s="0" t="n">
        <v>11</v>
      </c>
      <c r="D4468" s="0" t="s">
        <v>2471</v>
      </c>
      <c r="E4468" s="0" t="n">
        <v>1363</v>
      </c>
      <c r="F4468" s="0" t="s">
        <v>174</v>
      </c>
      <c r="I4468" s="0" t="n">
        <v>3579</v>
      </c>
      <c r="J4468" s="0" t="n">
        <v>65496</v>
      </c>
      <c r="K4468" s="0" t="n">
        <v>618231677528</v>
      </c>
      <c r="L4468" s="0" t="s">
        <v>2588</v>
      </c>
      <c r="N4468" s="0" t="n">
        <v>3</v>
      </c>
      <c r="O4468" s="0" t="n">
        <v>18</v>
      </c>
      <c r="P4468" s="0" t="s">
        <v>2444</v>
      </c>
    </row>
    <row r="4469" customFormat="false" ht="15" hidden="false" customHeight="true" outlineLevel="0" collapsed="false">
      <c r="A4469" s="0" t="n">
        <v>2</v>
      </c>
      <c r="B4469" s="71" t="n">
        <v>46224</v>
      </c>
      <c r="C4469" s="0" t="n">
        <v>11</v>
      </c>
      <c r="D4469" s="0" t="s">
        <v>2471</v>
      </c>
      <c r="E4469" s="0" t="n">
        <v>1363</v>
      </c>
      <c r="F4469" s="0" t="s">
        <v>174</v>
      </c>
      <c r="I4469" s="0" t="n">
        <v>3579</v>
      </c>
      <c r="J4469" s="0" t="n">
        <v>65621</v>
      </c>
      <c r="K4469" s="0" t="n">
        <v>618231677504</v>
      </c>
      <c r="L4469" s="0" t="s">
        <v>2589</v>
      </c>
      <c r="N4469" s="0" t="n">
        <v>5</v>
      </c>
      <c r="O4469" s="0" t="n">
        <v>35</v>
      </c>
      <c r="P4469" s="0" t="s">
        <v>2444</v>
      </c>
    </row>
    <row r="4470" customFormat="false" ht="15" hidden="false" customHeight="true" outlineLevel="0" collapsed="false">
      <c r="A4470" s="0" t="n">
        <v>2</v>
      </c>
      <c r="B4470" s="71" t="n">
        <v>46224</v>
      </c>
      <c r="C4470" s="0" t="n">
        <v>11</v>
      </c>
      <c r="D4470" s="0" t="s">
        <v>2471</v>
      </c>
      <c r="E4470" s="0" t="n">
        <v>1328</v>
      </c>
      <c r="F4470" s="0" t="s">
        <v>95</v>
      </c>
      <c r="I4470" s="0" t="n">
        <v>4132</v>
      </c>
      <c r="J4470" s="0" t="n">
        <v>50310</v>
      </c>
      <c r="K4470" s="0" t="n">
        <v>7898588380101</v>
      </c>
      <c r="L4470" s="0" t="s">
        <v>2502</v>
      </c>
      <c r="N4470" s="0" t="n">
        <v>3</v>
      </c>
      <c r="O4470" s="0" t="n">
        <v>21.75</v>
      </c>
      <c r="P4470" s="0" t="s">
        <v>2444</v>
      </c>
    </row>
    <row r="4471" customFormat="false" ht="15" hidden="false" customHeight="true" outlineLevel="0" collapsed="false">
      <c r="A4471" s="0" t="n">
        <v>2</v>
      </c>
      <c r="B4471" s="71" t="n">
        <v>46224</v>
      </c>
      <c r="C4471" s="0" t="n">
        <v>11</v>
      </c>
      <c r="D4471" s="0" t="s">
        <v>2471</v>
      </c>
      <c r="E4471" s="0" t="n">
        <v>1328</v>
      </c>
      <c r="F4471" s="0" t="s">
        <v>95</v>
      </c>
      <c r="I4471" s="0" t="n">
        <v>4132</v>
      </c>
      <c r="J4471" s="0" t="n">
        <v>21045</v>
      </c>
      <c r="K4471" s="0" t="n">
        <v>7898588380255</v>
      </c>
      <c r="L4471" s="0" t="s">
        <v>2503</v>
      </c>
      <c r="N4471" s="0" t="n">
        <v>4</v>
      </c>
      <c r="O4471" s="0" t="n">
        <v>22</v>
      </c>
      <c r="P4471" s="0" t="s">
        <v>2444</v>
      </c>
    </row>
    <row r="4472" customFormat="false" ht="15" hidden="false" customHeight="true" outlineLevel="0" collapsed="false">
      <c r="A4472" s="0" t="n">
        <v>2</v>
      </c>
      <c r="B4472" s="71" t="n">
        <v>46224</v>
      </c>
      <c r="C4472" s="0" t="n">
        <v>11</v>
      </c>
      <c r="D4472" s="0" t="s">
        <v>2471</v>
      </c>
      <c r="E4472" s="0" t="n">
        <v>1328</v>
      </c>
      <c r="F4472" s="0" t="s">
        <v>95</v>
      </c>
      <c r="I4472" s="0" t="n">
        <v>4132</v>
      </c>
      <c r="J4472" s="0" t="n">
        <v>21060</v>
      </c>
      <c r="K4472" s="0" t="n">
        <v>7898588380118</v>
      </c>
      <c r="L4472" s="0" t="s">
        <v>2504</v>
      </c>
      <c r="N4472" s="0" t="n">
        <v>12</v>
      </c>
      <c r="O4472" s="0" t="n">
        <v>78</v>
      </c>
      <c r="P4472" s="0" t="s">
        <v>2444</v>
      </c>
    </row>
    <row r="4473" customFormat="false" ht="15" hidden="false" customHeight="true" outlineLevel="0" collapsed="false">
      <c r="A4473" s="0" t="n">
        <v>2</v>
      </c>
      <c r="B4473" s="71" t="n">
        <v>46224</v>
      </c>
      <c r="C4473" s="0" t="n">
        <v>11</v>
      </c>
      <c r="D4473" s="0" t="s">
        <v>2471</v>
      </c>
      <c r="E4473" s="0" t="n">
        <v>1328</v>
      </c>
      <c r="F4473" s="0" t="s">
        <v>95</v>
      </c>
      <c r="I4473" s="0" t="n">
        <v>4132</v>
      </c>
      <c r="J4473" s="0" t="n">
        <v>31789</v>
      </c>
      <c r="K4473" s="0" t="n">
        <v>7898588380149</v>
      </c>
      <c r="L4473" s="0" t="s">
        <v>2446</v>
      </c>
      <c r="N4473" s="0" t="n">
        <v>3</v>
      </c>
      <c r="O4473" s="0" t="n">
        <v>16.5</v>
      </c>
      <c r="P4473" s="0" t="s">
        <v>2444</v>
      </c>
    </row>
    <row r="4474" customFormat="false" ht="15" hidden="false" customHeight="true" outlineLevel="0" collapsed="false">
      <c r="A4474" s="0" t="n">
        <v>2</v>
      </c>
      <c r="B4474" s="71" t="n">
        <v>46224</v>
      </c>
      <c r="C4474" s="0" t="n">
        <v>11</v>
      </c>
      <c r="D4474" s="0" t="s">
        <v>2471</v>
      </c>
      <c r="E4474" s="0" t="n">
        <v>1328</v>
      </c>
      <c r="F4474" s="0" t="s">
        <v>95</v>
      </c>
      <c r="I4474" s="0" t="n">
        <v>4132</v>
      </c>
      <c r="J4474" s="0" t="n">
        <v>31782</v>
      </c>
      <c r="K4474" s="0" t="n">
        <v>7898588380132</v>
      </c>
      <c r="L4474" s="0" t="s">
        <v>2505</v>
      </c>
      <c r="N4474" s="0" t="n">
        <v>3</v>
      </c>
      <c r="O4474" s="0" t="n">
        <v>16.5</v>
      </c>
      <c r="P4474" s="0" t="s">
        <v>2444</v>
      </c>
    </row>
    <row r="4475" customFormat="false" ht="15" hidden="false" customHeight="true" outlineLevel="0" collapsed="false">
      <c r="A4475" s="0" t="n">
        <v>2</v>
      </c>
      <c r="B4475" s="71" t="n">
        <v>46224</v>
      </c>
      <c r="C4475" s="0" t="n">
        <v>11</v>
      </c>
      <c r="D4475" s="0" t="s">
        <v>2471</v>
      </c>
      <c r="E4475" s="0" t="n">
        <v>1328</v>
      </c>
      <c r="F4475" s="0" t="s">
        <v>95</v>
      </c>
      <c r="I4475" s="0" t="n">
        <v>4132</v>
      </c>
      <c r="J4475" s="0" t="n">
        <v>31784</v>
      </c>
      <c r="K4475" s="0" t="n">
        <v>7898588380545</v>
      </c>
      <c r="L4475" s="0" t="s">
        <v>2590</v>
      </c>
      <c r="N4475" s="0" t="n">
        <v>4</v>
      </c>
      <c r="O4475" s="0" t="n">
        <v>22</v>
      </c>
      <c r="P4475" s="0" t="s">
        <v>2444</v>
      </c>
    </row>
    <row r="4476" customFormat="false" ht="15" hidden="false" customHeight="true" outlineLevel="0" collapsed="false">
      <c r="A4476" s="0" t="n">
        <v>2</v>
      </c>
      <c r="B4476" s="71" t="n">
        <v>46224</v>
      </c>
      <c r="C4476" s="0" t="n">
        <v>11</v>
      </c>
      <c r="D4476" s="0" t="s">
        <v>2471</v>
      </c>
      <c r="E4476" s="0" t="n">
        <v>1328</v>
      </c>
      <c r="F4476" s="0" t="s">
        <v>95</v>
      </c>
      <c r="I4476" s="0" t="n">
        <v>4132</v>
      </c>
      <c r="J4476" s="0" t="n">
        <v>31786</v>
      </c>
      <c r="K4476" s="0" t="n">
        <v>7898588380187</v>
      </c>
      <c r="L4476" s="0" t="s">
        <v>2506</v>
      </c>
      <c r="N4476" s="0" t="n">
        <v>4</v>
      </c>
      <c r="O4476" s="0" t="n">
        <v>22</v>
      </c>
      <c r="P4476" s="0" t="s">
        <v>2444</v>
      </c>
    </row>
    <row r="4477" customFormat="false" ht="15" hidden="false" customHeight="true" outlineLevel="0" collapsed="false">
      <c r="A4477" s="0" t="n">
        <v>2</v>
      </c>
      <c r="B4477" s="71" t="n">
        <v>46224</v>
      </c>
      <c r="C4477" s="0" t="n">
        <v>11</v>
      </c>
      <c r="D4477" s="0" t="s">
        <v>2471</v>
      </c>
      <c r="E4477" s="0" t="n">
        <v>1328</v>
      </c>
      <c r="F4477" s="0" t="s">
        <v>95</v>
      </c>
      <c r="I4477" s="0" t="n">
        <v>4132</v>
      </c>
      <c r="J4477" s="0" t="n">
        <v>31787</v>
      </c>
      <c r="K4477" s="0" t="n">
        <v>7898588380125</v>
      </c>
      <c r="L4477" s="0" t="s">
        <v>2507</v>
      </c>
      <c r="N4477" s="0" t="n">
        <v>2</v>
      </c>
      <c r="O4477" s="0" t="n">
        <v>16.8</v>
      </c>
      <c r="P4477" s="0" t="s">
        <v>2444</v>
      </c>
    </row>
    <row r="4478" customFormat="false" ht="15" hidden="false" customHeight="true" outlineLevel="0" collapsed="false">
      <c r="A4478" s="0" t="n">
        <v>2</v>
      </c>
      <c r="B4478" s="71" t="n">
        <v>46224</v>
      </c>
      <c r="C4478" s="0" t="n">
        <v>11</v>
      </c>
      <c r="D4478" s="0" t="s">
        <v>2471</v>
      </c>
      <c r="E4478" s="0" t="n">
        <v>1328</v>
      </c>
      <c r="F4478" s="0" t="s">
        <v>95</v>
      </c>
      <c r="I4478" s="0" t="n">
        <v>4132</v>
      </c>
      <c r="J4478" s="0" t="n">
        <v>31790</v>
      </c>
      <c r="K4478" s="0" t="n">
        <v>7898588380231</v>
      </c>
      <c r="L4478" s="0" t="s">
        <v>2508</v>
      </c>
      <c r="N4478" s="0" t="n">
        <v>3</v>
      </c>
      <c r="O4478" s="0" t="n">
        <v>16.5</v>
      </c>
      <c r="P4478" s="0" t="s">
        <v>2444</v>
      </c>
    </row>
    <row r="4479" customFormat="false" ht="15" hidden="false" customHeight="true" outlineLevel="0" collapsed="false">
      <c r="A4479" s="0" t="n">
        <v>2</v>
      </c>
      <c r="B4479" s="71" t="n">
        <v>46224</v>
      </c>
      <c r="C4479" s="0" t="n">
        <v>11</v>
      </c>
      <c r="D4479" s="0" t="s">
        <v>2471</v>
      </c>
      <c r="E4479" s="0" t="n">
        <v>1683</v>
      </c>
      <c r="F4479" s="0" t="s">
        <v>406</v>
      </c>
      <c r="I4479" s="0" t="n">
        <v>1649880</v>
      </c>
      <c r="J4479" s="0" t="n">
        <v>109791</v>
      </c>
      <c r="K4479" s="0" t="n">
        <v>9667</v>
      </c>
      <c r="L4479" s="0" t="s">
        <v>2465</v>
      </c>
      <c r="N4479" s="0" t="n">
        <v>5</v>
      </c>
      <c r="O4479" s="0" t="n">
        <v>7.5</v>
      </c>
      <c r="P4479" s="0" t="s">
        <v>2444</v>
      </c>
    </row>
    <row r="4480" customFormat="false" ht="15" hidden="false" customHeight="true" outlineLevel="0" collapsed="false">
      <c r="A4480" s="0" t="n">
        <v>2</v>
      </c>
      <c r="B4480" s="71" t="n">
        <v>46224</v>
      </c>
      <c r="C4480" s="0" t="n">
        <v>11</v>
      </c>
      <c r="D4480" s="0" t="s">
        <v>2471</v>
      </c>
      <c r="E4480" s="0" t="n">
        <v>1683</v>
      </c>
      <c r="F4480" s="0" t="s">
        <v>406</v>
      </c>
      <c r="I4480" s="0" t="n">
        <v>1649880</v>
      </c>
      <c r="J4480" s="0" t="n">
        <v>37359</v>
      </c>
      <c r="K4480" s="0" t="n">
        <v>55526</v>
      </c>
      <c r="L4480" s="0" t="s">
        <v>2466</v>
      </c>
      <c r="N4480" s="0" t="n">
        <v>5</v>
      </c>
      <c r="O4480" s="0" t="n">
        <v>17.5</v>
      </c>
      <c r="P4480" s="0" t="s">
        <v>2444</v>
      </c>
    </row>
    <row r="4481" customFormat="false" ht="15" hidden="false" customHeight="true" outlineLevel="0" collapsed="false">
      <c r="A4481" s="0" t="n">
        <v>2</v>
      </c>
      <c r="B4481" s="71" t="n">
        <v>46224</v>
      </c>
      <c r="C4481" s="0" t="n">
        <v>11</v>
      </c>
      <c r="D4481" s="0" t="s">
        <v>2471</v>
      </c>
      <c r="E4481" s="0" t="n">
        <v>1683</v>
      </c>
      <c r="F4481" s="0" t="s">
        <v>406</v>
      </c>
      <c r="I4481" s="0" t="n">
        <v>1649880</v>
      </c>
      <c r="J4481" s="0" t="n">
        <v>37361</v>
      </c>
      <c r="K4481" s="0" t="n">
        <v>2240817</v>
      </c>
      <c r="L4481" s="0" t="s">
        <v>2467</v>
      </c>
      <c r="N4481" s="0" t="n">
        <v>70</v>
      </c>
      <c r="O4481" s="0" t="n">
        <v>126</v>
      </c>
      <c r="P4481" s="0" t="s">
        <v>2444</v>
      </c>
    </row>
    <row r="4482" customFormat="false" ht="15" hidden="false" customHeight="true" outlineLevel="0" collapsed="false">
      <c r="A4482" s="0" t="n">
        <v>2</v>
      </c>
      <c r="B4482" s="71" t="n">
        <v>46224</v>
      </c>
      <c r="C4482" s="0" t="n">
        <v>39</v>
      </c>
      <c r="D4482" s="0" t="s">
        <v>3298</v>
      </c>
      <c r="E4482" s="0" t="n">
        <v>1100</v>
      </c>
      <c r="F4482" s="0" t="s">
        <v>327</v>
      </c>
      <c r="I4482" s="0" t="n">
        <v>9481</v>
      </c>
      <c r="J4482" s="0" t="n">
        <v>81800</v>
      </c>
      <c r="K4482" s="0" t="n">
        <v>818018</v>
      </c>
      <c r="L4482" s="0" t="s">
        <v>4556</v>
      </c>
      <c r="N4482" s="0" t="n">
        <v>2</v>
      </c>
      <c r="O4482" s="0" t="n">
        <v>800</v>
      </c>
      <c r="P4482" s="0" t="s">
        <v>2444</v>
      </c>
    </row>
    <row r="4483" customFormat="false" ht="15" hidden="false" customHeight="true" outlineLevel="0" collapsed="false">
      <c r="A4483" s="0" t="n">
        <v>2</v>
      </c>
      <c r="B4483" s="71" t="n">
        <v>46225</v>
      </c>
      <c r="C4483" s="0" t="n">
        <v>6</v>
      </c>
      <c r="D4483" s="0" t="s">
        <v>2553</v>
      </c>
      <c r="E4483" s="0" t="n">
        <v>48</v>
      </c>
      <c r="F4483" s="0" t="s">
        <v>153</v>
      </c>
      <c r="I4483" s="0" t="n">
        <v>2557</v>
      </c>
      <c r="J4483" s="0" t="n">
        <v>42564</v>
      </c>
      <c r="K4483" s="0" t="n">
        <v>574</v>
      </c>
      <c r="L4483" s="0" t="s">
        <v>2534</v>
      </c>
      <c r="N4483" s="0" t="n">
        <v>15</v>
      </c>
      <c r="O4483" s="0" t="n">
        <v>210</v>
      </c>
      <c r="P4483" s="0" t="s">
        <v>2444</v>
      </c>
    </row>
    <row r="4484" customFormat="false" ht="15" hidden="false" customHeight="true" outlineLevel="0" collapsed="false">
      <c r="A4484" s="0" t="n">
        <v>2</v>
      </c>
      <c r="B4484" s="71" t="n">
        <v>46225</v>
      </c>
      <c r="C4484" s="0" t="n">
        <v>11</v>
      </c>
      <c r="D4484" s="0" t="s">
        <v>2471</v>
      </c>
      <c r="E4484" s="0" t="n">
        <v>10096</v>
      </c>
      <c r="F4484" s="0" t="s">
        <v>622</v>
      </c>
      <c r="I4484" s="0" t="n">
        <v>21</v>
      </c>
      <c r="J4484" s="0" t="n">
        <v>61580</v>
      </c>
      <c r="K4484" s="0" t="n">
        <v>2258157</v>
      </c>
      <c r="L4484" s="0" t="s">
        <v>2509</v>
      </c>
      <c r="N4484" s="0" t="n">
        <v>10</v>
      </c>
      <c r="O4484" s="0" t="n">
        <v>120</v>
      </c>
      <c r="P4484" s="0" t="s">
        <v>2444</v>
      </c>
    </row>
    <row r="4485" customFormat="false" ht="15" hidden="false" customHeight="true" outlineLevel="0" collapsed="false">
      <c r="A4485" s="0" t="n">
        <v>2</v>
      </c>
      <c r="B4485" s="71" t="n">
        <v>46225</v>
      </c>
      <c r="C4485" s="0" t="n">
        <v>11</v>
      </c>
      <c r="D4485" s="0" t="s">
        <v>2471</v>
      </c>
      <c r="E4485" s="0" t="n">
        <v>1152</v>
      </c>
      <c r="F4485" s="0" t="s">
        <v>812</v>
      </c>
      <c r="I4485" s="0" t="n">
        <v>261</v>
      </c>
      <c r="J4485" s="0" t="n">
        <v>108487</v>
      </c>
      <c r="K4485" s="0" t="n">
        <v>7898316970017</v>
      </c>
      <c r="L4485" s="0" t="s">
        <v>3610</v>
      </c>
      <c r="N4485" s="0" t="n">
        <v>100</v>
      </c>
      <c r="O4485" s="0" t="n">
        <v>1040</v>
      </c>
      <c r="P4485" s="0" t="s">
        <v>2444</v>
      </c>
    </row>
    <row r="4486" customFormat="false" ht="15" hidden="false" customHeight="true" outlineLevel="0" collapsed="false">
      <c r="A4486" s="0" t="n">
        <v>2</v>
      </c>
      <c r="B4486" s="71" t="n">
        <v>46225</v>
      </c>
      <c r="C4486" s="0" t="n">
        <v>11</v>
      </c>
      <c r="D4486" s="0" t="s">
        <v>2471</v>
      </c>
      <c r="E4486" s="0" t="n">
        <v>1635</v>
      </c>
      <c r="F4486" s="0" t="s">
        <v>128</v>
      </c>
      <c r="I4486" s="0" t="n">
        <v>1625</v>
      </c>
      <c r="J4486" s="0" t="n">
        <v>31384</v>
      </c>
      <c r="K4486" s="0" t="n">
        <v>7896328210022</v>
      </c>
      <c r="L4486" s="0" t="s">
        <v>4557</v>
      </c>
      <c r="N4486" s="0" t="n">
        <v>10</v>
      </c>
      <c r="O4486" s="0" t="n">
        <v>34.4</v>
      </c>
      <c r="P4486" s="0" t="s">
        <v>2444</v>
      </c>
    </row>
    <row r="4487" customFormat="false" ht="15" hidden="false" customHeight="true" outlineLevel="0" collapsed="false">
      <c r="A4487" s="0" t="n">
        <v>2</v>
      </c>
      <c r="B4487" s="71" t="n">
        <v>46225</v>
      </c>
      <c r="C4487" s="0" t="n">
        <v>11</v>
      </c>
      <c r="D4487" s="0" t="s">
        <v>2471</v>
      </c>
      <c r="E4487" s="0" t="n">
        <v>1635</v>
      </c>
      <c r="F4487" s="0" t="s">
        <v>128</v>
      </c>
      <c r="I4487" s="0" t="n">
        <v>1625</v>
      </c>
      <c r="J4487" s="0" t="n">
        <v>31838</v>
      </c>
      <c r="K4487" s="0" t="n">
        <v>7896328210060</v>
      </c>
      <c r="L4487" s="0" t="s">
        <v>4558</v>
      </c>
      <c r="N4487" s="0" t="n">
        <v>10</v>
      </c>
      <c r="O4487" s="0" t="n">
        <v>34.4</v>
      </c>
      <c r="P4487" s="0" t="s">
        <v>2444</v>
      </c>
    </row>
    <row r="4488" customFormat="false" ht="15" hidden="false" customHeight="true" outlineLevel="0" collapsed="false">
      <c r="A4488" s="0" t="n">
        <v>2</v>
      </c>
      <c r="B4488" s="71" t="n">
        <v>46225</v>
      </c>
      <c r="C4488" s="0" t="n">
        <v>11</v>
      </c>
      <c r="D4488" s="0" t="s">
        <v>2471</v>
      </c>
      <c r="E4488" s="0" t="n">
        <v>1635</v>
      </c>
      <c r="F4488" s="0" t="s">
        <v>128</v>
      </c>
      <c r="I4488" s="0" t="n">
        <v>1625</v>
      </c>
      <c r="J4488" s="0" t="n">
        <v>57364</v>
      </c>
      <c r="K4488" s="0" t="n">
        <v>7896074600993</v>
      </c>
      <c r="L4488" s="0" t="s">
        <v>4559</v>
      </c>
      <c r="N4488" s="0" t="n">
        <v>27</v>
      </c>
      <c r="O4488" s="0" t="n">
        <v>259.74</v>
      </c>
      <c r="P4488" s="0" t="s">
        <v>2444</v>
      </c>
    </row>
    <row r="4489" customFormat="false" ht="15" hidden="false" customHeight="true" outlineLevel="0" collapsed="false">
      <c r="A4489" s="0" t="n">
        <v>2</v>
      </c>
      <c r="B4489" s="71" t="n">
        <v>46225</v>
      </c>
      <c r="C4489" s="0" t="n">
        <v>11</v>
      </c>
      <c r="D4489" s="0" t="s">
        <v>2471</v>
      </c>
      <c r="E4489" s="0" t="n">
        <v>1609</v>
      </c>
      <c r="F4489" s="0" t="s">
        <v>84</v>
      </c>
      <c r="I4489" s="0" t="n">
        <v>5844</v>
      </c>
      <c r="J4489" s="0" t="n">
        <v>13720</v>
      </c>
      <c r="K4489" s="0" t="n">
        <v>7896981600307</v>
      </c>
      <c r="L4489" s="0" t="s">
        <v>2608</v>
      </c>
      <c r="N4489" s="0" t="n">
        <v>9</v>
      </c>
      <c r="O4489" s="0" t="n">
        <v>55</v>
      </c>
      <c r="P4489" s="0" t="s">
        <v>2444</v>
      </c>
    </row>
    <row r="4490" customFormat="false" ht="15" hidden="false" customHeight="true" outlineLevel="0" collapsed="false">
      <c r="A4490" s="0" t="n">
        <v>2</v>
      </c>
      <c r="B4490" s="71" t="n">
        <v>46225</v>
      </c>
      <c r="C4490" s="0" t="n">
        <v>11</v>
      </c>
      <c r="D4490" s="0" t="s">
        <v>2471</v>
      </c>
      <c r="E4490" s="0" t="n">
        <v>1609</v>
      </c>
      <c r="F4490" s="0" t="s">
        <v>84</v>
      </c>
      <c r="I4490" s="0" t="n">
        <v>5844</v>
      </c>
      <c r="J4490" s="0" t="n">
        <v>17163</v>
      </c>
      <c r="K4490" s="0" t="n">
        <v>7896981600567</v>
      </c>
      <c r="L4490" s="0" t="s">
        <v>2609</v>
      </c>
      <c r="N4490" s="0" t="n">
        <v>9</v>
      </c>
      <c r="O4490" s="0" t="n">
        <v>80</v>
      </c>
      <c r="P4490" s="0" t="s">
        <v>2444</v>
      </c>
    </row>
    <row r="4491" customFormat="false" ht="15" hidden="false" customHeight="true" outlineLevel="0" collapsed="false">
      <c r="A4491" s="0" t="n">
        <v>2</v>
      </c>
      <c r="B4491" s="71" t="n">
        <v>46225</v>
      </c>
      <c r="C4491" s="0" t="n">
        <v>11</v>
      </c>
      <c r="D4491" s="0" t="s">
        <v>2471</v>
      </c>
      <c r="E4491" s="0" t="n">
        <v>1609</v>
      </c>
      <c r="F4491" s="0" t="s">
        <v>84</v>
      </c>
      <c r="I4491" s="0" t="n">
        <v>5844</v>
      </c>
      <c r="J4491" s="0" t="n">
        <v>18382</v>
      </c>
      <c r="K4491" s="0" t="n">
        <v>7896878801190</v>
      </c>
      <c r="L4491" s="0" t="s">
        <v>2610</v>
      </c>
      <c r="N4491" s="0" t="n">
        <v>30</v>
      </c>
      <c r="O4491" s="0" t="n">
        <v>57</v>
      </c>
      <c r="P4491" s="0" t="s">
        <v>2444</v>
      </c>
    </row>
    <row r="4492" customFormat="false" ht="15" hidden="false" customHeight="true" outlineLevel="0" collapsed="false">
      <c r="A4492" s="0" t="n">
        <v>2</v>
      </c>
      <c r="B4492" s="71" t="n">
        <v>46225</v>
      </c>
      <c r="C4492" s="0" t="n">
        <v>11</v>
      </c>
      <c r="D4492" s="0" t="s">
        <v>2471</v>
      </c>
      <c r="E4492" s="0" t="n">
        <v>1609</v>
      </c>
      <c r="F4492" s="0" t="s">
        <v>84</v>
      </c>
      <c r="I4492" s="0" t="n">
        <v>5844</v>
      </c>
      <c r="J4492" s="0" t="n">
        <v>18385</v>
      </c>
      <c r="K4492" s="0" t="n">
        <v>7896878801220</v>
      </c>
      <c r="L4492" s="0" t="s">
        <v>2613</v>
      </c>
      <c r="N4492" s="0" t="n">
        <v>9</v>
      </c>
      <c r="O4492" s="0" t="n">
        <v>70.65</v>
      </c>
      <c r="P4492" s="0" t="s">
        <v>2444</v>
      </c>
    </row>
    <row r="4493" customFormat="false" ht="15" hidden="false" customHeight="true" outlineLevel="0" collapsed="false">
      <c r="A4493" s="0" t="n">
        <v>2</v>
      </c>
      <c r="B4493" s="71" t="n">
        <v>46225</v>
      </c>
      <c r="C4493" s="0" t="n">
        <v>11</v>
      </c>
      <c r="D4493" s="0" t="s">
        <v>2471</v>
      </c>
      <c r="E4493" s="0" t="n">
        <v>1609</v>
      </c>
      <c r="F4493" s="0" t="s">
        <v>84</v>
      </c>
      <c r="I4493" s="0" t="n">
        <v>5844</v>
      </c>
      <c r="J4493" s="0" t="n">
        <v>18775</v>
      </c>
      <c r="K4493" s="0" t="n">
        <v>7896878801237</v>
      </c>
      <c r="L4493" s="0" t="s">
        <v>2614</v>
      </c>
      <c r="N4493" s="0" t="n">
        <v>20</v>
      </c>
      <c r="O4493" s="0" t="n">
        <v>66</v>
      </c>
      <c r="P4493" s="0" t="s">
        <v>2444</v>
      </c>
    </row>
    <row r="4494" customFormat="false" ht="15" hidden="false" customHeight="true" outlineLevel="0" collapsed="false">
      <c r="A4494" s="0" t="n">
        <v>2</v>
      </c>
      <c r="B4494" s="71" t="n">
        <v>46225</v>
      </c>
      <c r="C4494" s="0" t="n">
        <v>11</v>
      </c>
      <c r="D4494" s="0" t="s">
        <v>2471</v>
      </c>
      <c r="E4494" s="0" t="n">
        <v>1609</v>
      </c>
      <c r="F4494" s="0" t="s">
        <v>84</v>
      </c>
      <c r="I4494" s="0" t="n">
        <v>5844</v>
      </c>
      <c r="J4494" s="0" t="n">
        <v>41614</v>
      </c>
      <c r="K4494" s="0" t="n">
        <v>7896878801213</v>
      </c>
      <c r="L4494" s="0" t="s">
        <v>2622</v>
      </c>
      <c r="N4494" s="0" t="n">
        <v>20</v>
      </c>
      <c r="O4494" s="0" t="n">
        <v>81</v>
      </c>
      <c r="P4494" s="0" t="s">
        <v>2444</v>
      </c>
    </row>
    <row r="4495" customFormat="false" ht="15" hidden="false" customHeight="true" outlineLevel="0" collapsed="false">
      <c r="A4495" s="0" t="n">
        <v>2</v>
      </c>
      <c r="B4495" s="71" t="n">
        <v>46225</v>
      </c>
      <c r="C4495" s="0" t="n">
        <v>11</v>
      </c>
      <c r="D4495" s="0" t="s">
        <v>2471</v>
      </c>
      <c r="E4495" s="0" t="n">
        <v>1815</v>
      </c>
      <c r="F4495" s="0" t="s">
        <v>172</v>
      </c>
      <c r="I4495" s="0" t="n">
        <v>393890</v>
      </c>
      <c r="J4495" s="0" t="n">
        <v>100034</v>
      </c>
      <c r="K4495" s="0" t="n">
        <v>35</v>
      </c>
      <c r="L4495" s="0" t="s">
        <v>2716</v>
      </c>
      <c r="N4495" s="0" t="n">
        <v>40</v>
      </c>
      <c r="O4495" s="0" t="n">
        <v>580</v>
      </c>
      <c r="P4495" s="0" t="s">
        <v>2444</v>
      </c>
    </row>
    <row r="4496" customFormat="false" ht="15" hidden="false" customHeight="true" outlineLevel="0" collapsed="false">
      <c r="A4496" s="0" t="n">
        <v>2</v>
      </c>
      <c r="B4496" s="71" t="n">
        <v>46225</v>
      </c>
      <c r="C4496" s="0" t="n">
        <v>11</v>
      </c>
      <c r="D4496" s="0" t="s">
        <v>2471</v>
      </c>
      <c r="E4496" s="0" t="n">
        <v>1815</v>
      </c>
      <c r="F4496" s="0" t="s">
        <v>172</v>
      </c>
      <c r="I4496" s="0" t="n">
        <v>393890</v>
      </c>
      <c r="J4496" s="0" t="n">
        <v>100036</v>
      </c>
      <c r="K4496" s="0" t="n">
        <v>37</v>
      </c>
      <c r="L4496" s="0" t="s">
        <v>3395</v>
      </c>
      <c r="N4496" s="0" t="n">
        <v>125</v>
      </c>
      <c r="O4496" s="0" t="n">
        <v>2498.75</v>
      </c>
      <c r="P4496" s="0" t="s">
        <v>2444</v>
      </c>
    </row>
    <row r="4497" customFormat="false" ht="15" hidden="false" customHeight="true" outlineLevel="0" collapsed="false">
      <c r="A4497" s="0" t="n">
        <v>2</v>
      </c>
      <c r="B4497" s="71" t="n">
        <v>46225</v>
      </c>
      <c r="C4497" s="0" t="n">
        <v>11</v>
      </c>
      <c r="D4497" s="0" t="s">
        <v>2471</v>
      </c>
      <c r="E4497" s="0" t="n">
        <v>1815</v>
      </c>
      <c r="F4497" s="0" t="s">
        <v>172</v>
      </c>
      <c r="I4497" s="0" t="n">
        <v>393890</v>
      </c>
      <c r="J4497" s="0" t="n">
        <v>110191</v>
      </c>
      <c r="K4497" s="0" t="n">
        <v>37402</v>
      </c>
      <c r="L4497" s="0" t="s">
        <v>2638</v>
      </c>
      <c r="N4497" s="0" t="n">
        <v>40</v>
      </c>
      <c r="O4497" s="0" t="n">
        <v>279.6</v>
      </c>
      <c r="P4497" s="0" t="s">
        <v>2444</v>
      </c>
    </row>
    <row r="4498" customFormat="false" ht="15" hidden="false" customHeight="true" outlineLevel="0" collapsed="false">
      <c r="A4498" s="0" t="n">
        <v>2</v>
      </c>
      <c r="B4498" s="71" t="n">
        <v>46225</v>
      </c>
      <c r="C4498" s="0" t="n">
        <v>11</v>
      </c>
      <c r="D4498" s="0" t="s">
        <v>2471</v>
      </c>
      <c r="E4498" s="0" t="n">
        <v>1815</v>
      </c>
      <c r="F4498" s="0" t="s">
        <v>172</v>
      </c>
      <c r="I4498" s="0" t="n">
        <v>393890</v>
      </c>
      <c r="J4498" s="0" t="n">
        <v>110778</v>
      </c>
      <c r="K4498" s="0" t="n">
        <v>71976</v>
      </c>
      <c r="L4498" s="0" t="s">
        <v>3396</v>
      </c>
      <c r="N4498" s="0" t="n">
        <v>15</v>
      </c>
      <c r="O4498" s="0" t="n">
        <v>134.85</v>
      </c>
      <c r="P4498" s="0" t="s">
        <v>2444</v>
      </c>
    </row>
    <row r="4499" customFormat="false" ht="15" hidden="false" customHeight="true" outlineLevel="0" collapsed="false">
      <c r="A4499" s="0" t="n">
        <v>2</v>
      </c>
      <c r="B4499" s="71" t="n">
        <v>46225</v>
      </c>
      <c r="C4499" s="0" t="n">
        <v>11</v>
      </c>
      <c r="D4499" s="0" t="s">
        <v>2471</v>
      </c>
      <c r="E4499" s="0" t="n">
        <v>1705</v>
      </c>
      <c r="F4499" s="0" t="s">
        <v>130</v>
      </c>
      <c r="I4499" s="0" t="n">
        <v>1215300</v>
      </c>
      <c r="J4499" s="0" t="n">
        <v>103139</v>
      </c>
      <c r="K4499" s="0" t="n">
        <v>7894900051759</v>
      </c>
      <c r="L4499" s="0" t="s">
        <v>2654</v>
      </c>
      <c r="N4499" s="0" t="n">
        <v>18</v>
      </c>
      <c r="O4499" s="0" t="n">
        <v>101.83</v>
      </c>
      <c r="P4499" s="0" t="s">
        <v>2444</v>
      </c>
    </row>
    <row r="4500" customFormat="false" ht="15" hidden="false" customHeight="true" outlineLevel="0" collapsed="false">
      <c r="A4500" s="0" t="n">
        <v>2</v>
      </c>
      <c r="B4500" s="71" t="n">
        <v>46225</v>
      </c>
      <c r="C4500" s="0" t="n">
        <v>11</v>
      </c>
      <c r="D4500" s="0" t="s">
        <v>2471</v>
      </c>
      <c r="E4500" s="0" t="n">
        <v>1705</v>
      </c>
      <c r="F4500" s="0" t="s">
        <v>130</v>
      </c>
      <c r="I4500" s="0" t="n">
        <v>1215300</v>
      </c>
      <c r="J4500" s="0" t="n">
        <v>103140</v>
      </c>
      <c r="K4500" s="0" t="n">
        <v>7894900031751</v>
      </c>
      <c r="L4500" s="0" t="s">
        <v>2655</v>
      </c>
      <c r="N4500" s="0" t="n">
        <v>12</v>
      </c>
      <c r="O4500" s="0" t="n">
        <v>67.89</v>
      </c>
      <c r="P4500" s="0" t="s">
        <v>2444</v>
      </c>
    </row>
    <row r="4501" customFormat="false" ht="15" hidden="false" customHeight="true" outlineLevel="0" collapsed="false">
      <c r="A4501" s="0" t="n">
        <v>2</v>
      </c>
      <c r="B4501" s="71" t="n">
        <v>46225</v>
      </c>
      <c r="C4501" s="0" t="n">
        <v>11</v>
      </c>
      <c r="D4501" s="0" t="s">
        <v>2471</v>
      </c>
      <c r="E4501" s="0" t="n">
        <v>1705</v>
      </c>
      <c r="F4501" s="0" t="s">
        <v>130</v>
      </c>
      <c r="I4501" s="0" t="n">
        <v>1215300</v>
      </c>
      <c r="J4501" s="0" t="n">
        <v>24662</v>
      </c>
      <c r="K4501" s="0" t="n">
        <v>7897105250019</v>
      </c>
      <c r="L4501" s="0" t="s">
        <v>3441</v>
      </c>
      <c r="N4501" s="0" t="n">
        <v>12</v>
      </c>
      <c r="O4501" s="0" t="n">
        <v>33.7</v>
      </c>
      <c r="P4501" s="0" t="s">
        <v>2444</v>
      </c>
    </row>
    <row r="4502" customFormat="false" ht="15" hidden="false" customHeight="true" outlineLevel="0" collapsed="false">
      <c r="A4502" s="0" t="n">
        <v>2</v>
      </c>
      <c r="B4502" s="71" t="n">
        <v>46225</v>
      </c>
      <c r="C4502" s="0" t="n">
        <v>11</v>
      </c>
      <c r="D4502" s="0" t="s">
        <v>2471</v>
      </c>
      <c r="E4502" s="0" t="n">
        <v>1672</v>
      </c>
      <c r="F4502" s="0" t="s">
        <v>343</v>
      </c>
      <c r="I4502" s="0" t="n">
        <v>1401844</v>
      </c>
      <c r="J4502" s="0" t="n">
        <v>103165</v>
      </c>
      <c r="K4502" s="0" t="n">
        <v>7896579310106</v>
      </c>
      <c r="L4502" s="0" t="s">
        <v>3654</v>
      </c>
      <c r="N4502" s="0" t="n">
        <v>45</v>
      </c>
      <c r="O4502" s="0" t="n">
        <v>184.5</v>
      </c>
      <c r="P4502" s="0" t="s">
        <v>2444</v>
      </c>
    </row>
    <row r="4503" customFormat="false" ht="15" hidden="false" customHeight="true" outlineLevel="0" collapsed="false">
      <c r="A4503" s="0" t="n">
        <v>2</v>
      </c>
      <c r="B4503" s="71" t="n">
        <v>46225</v>
      </c>
      <c r="C4503" s="0" t="n">
        <v>11</v>
      </c>
      <c r="D4503" s="0" t="s">
        <v>2471</v>
      </c>
      <c r="E4503" s="0" t="n">
        <v>1672</v>
      </c>
      <c r="F4503" s="0" t="s">
        <v>343</v>
      </c>
      <c r="I4503" s="0" t="n">
        <v>1401844</v>
      </c>
      <c r="J4503" s="0" t="n">
        <v>103916</v>
      </c>
      <c r="K4503" s="0" t="n">
        <v>7896579330067</v>
      </c>
      <c r="L4503" s="0" t="s">
        <v>3876</v>
      </c>
      <c r="N4503" s="0" t="n">
        <v>27</v>
      </c>
      <c r="O4503" s="0" t="n">
        <v>67.5</v>
      </c>
      <c r="P4503" s="0" t="s">
        <v>2444</v>
      </c>
    </row>
    <row r="4504" customFormat="false" ht="15" hidden="false" customHeight="true" outlineLevel="0" collapsed="false">
      <c r="A4504" s="0" t="n">
        <v>2</v>
      </c>
      <c r="B4504" s="71" t="n">
        <v>46225</v>
      </c>
      <c r="C4504" s="0" t="n">
        <v>11</v>
      </c>
      <c r="D4504" s="0" t="s">
        <v>2471</v>
      </c>
      <c r="E4504" s="0" t="n">
        <v>1672</v>
      </c>
      <c r="F4504" s="0" t="s">
        <v>343</v>
      </c>
      <c r="I4504" s="0" t="n">
        <v>1401844</v>
      </c>
      <c r="J4504" s="0" t="n">
        <v>103940</v>
      </c>
      <c r="K4504" s="0" t="n">
        <v>7896579330081</v>
      </c>
      <c r="L4504" s="0" t="s">
        <v>2719</v>
      </c>
      <c r="N4504" s="0" t="n">
        <v>60</v>
      </c>
      <c r="O4504" s="0" t="n">
        <v>54</v>
      </c>
      <c r="P4504" s="0" t="s">
        <v>2444</v>
      </c>
    </row>
    <row r="4505" customFormat="false" ht="15" hidden="false" customHeight="true" outlineLevel="0" collapsed="false">
      <c r="A4505" s="0" t="n">
        <v>2</v>
      </c>
      <c r="B4505" s="71" t="n">
        <v>46225</v>
      </c>
      <c r="C4505" s="0" t="n">
        <v>11</v>
      </c>
      <c r="D4505" s="0" t="s">
        <v>2471</v>
      </c>
      <c r="E4505" s="0" t="n">
        <v>1672</v>
      </c>
      <c r="F4505" s="0" t="s">
        <v>343</v>
      </c>
      <c r="I4505" s="0" t="n">
        <v>1401844</v>
      </c>
      <c r="J4505" s="0" t="n">
        <v>104355</v>
      </c>
      <c r="K4505" s="0" t="n">
        <v>7896579380116</v>
      </c>
      <c r="L4505" s="0" t="s">
        <v>3656</v>
      </c>
      <c r="N4505" s="0" t="n">
        <v>45</v>
      </c>
      <c r="O4505" s="0" t="n">
        <v>184.5</v>
      </c>
      <c r="P4505" s="0" t="s">
        <v>2444</v>
      </c>
    </row>
    <row r="4506" customFormat="false" ht="15" hidden="false" customHeight="true" outlineLevel="0" collapsed="false">
      <c r="A4506" s="0" t="n">
        <v>2</v>
      </c>
      <c r="B4506" s="71" t="n">
        <v>46225</v>
      </c>
      <c r="C4506" s="0" t="n">
        <v>11</v>
      </c>
      <c r="D4506" s="0" t="s">
        <v>2471</v>
      </c>
      <c r="E4506" s="0" t="n">
        <v>1672</v>
      </c>
      <c r="F4506" s="0" t="s">
        <v>343</v>
      </c>
      <c r="I4506" s="0" t="n">
        <v>1401844</v>
      </c>
      <c r="J4506" s="0" t="n">
        <v>104360</v>
      </c>
      <c r="K4506" s="0" t="n">
        <v>7896579330074</v>
      </c>
      <c r="L4506" s="0" t="s">
        <v>2720</v>
      </c>
      <c r="N4506" s="0" t="n">
        <v>36</v>
      </c>
      <c r="O4506" s="0" t="n">
        <v>46.8</v>
      </c>
      <c r="P4506" s="0" t="s">
        <v>2444</v>
      </c>
    </row>
    <row r="4507" customFormat="false" ht="15" hidden="false" customHeight="true" outlineLevel="0" collapsed="false">
      <c r="A4507" s="0" t="n">
        <v>2</v>
      </c>
      <c r="B4507" s="71" t="n">
        <v>46225</v>
      </c>
      <c r="C4507" s="0" t="n">
        <v>11</v>
      </c>
      <c r="D4507" s="0" t="s">
        <v>2471</v>
      </c>
      <c r="E4507" s="0" t="n">
        <v>1672</v>
      </c>
      <c r="F4507" s="0" t="s">
        <v>343</v>
      </c>
      <c r="I4507" s="0" t="n">
        <v>1401844</v>
      </c>
      <c r="J4507" s="0" t="n">
        <v>13084</v>
      </c>
      <c r="K4507" s="0" t="n">
        <v>7896520026407</v>
      </c>
      <c r="L4507" s="0" t="s">
        <v>4560</v>
      </c>
      <c r="N4507" s="0" t="n">
        <v>12</v>
      </c>
      <c r="O4507" s="0" t="n">
        <v>79.2</v>
      </c>
      <c r="P4507" s="0" t="s">
        <v>2444</v>
      </c>
    </row>
    <row r="4508" customFormat="false" ht="15" hidden="false" customHeight="true" outlineLevel="0" collapsed="false">
      <c r="A4508" s="0" t="n">
        <v>2</v>
      </c>
      <c r="B4508" s="71" t="n">
        <v>46225</v>
      </c>
      <c r="C4508" s="0" t="n">
        <v>11</v>
      </c>
      <c r="D4508" s="0" t="s">
        <v>2471</v>
      </c>
      <c r="E4508" s="0" t="n">
        <v>1672</v>
      </c>
      <c r="F4508" s="0" t="s">
        <v>343</v>
      </c>
      <c r="I4508" s="0" t="n">
        <v>1401844</v>
      </c>
      <c r="J4508" s="0" t="n">
        <v>13184</v>
      </c>
      <c r="K4508" s="0" t="n">
        <v>7896579310113</v>
      </c>
      <c r="L4508" s="0" t="s">
        <v>2722</v>
      </c>
      <c r="N4508" s="0" t="n">
        <v>27</v>
      </c>
      <c r="O4508" s="0" t="n">
        <v>81</v>
      </c>
      <c r="P4508" s="0" t="s">
        <v>2444</v>
      </c>
    </row>
    <row r="4509" customFormat="false" ht="15" hidden="false" customHeight="true" outlineLevel="0" collapsed="false">
      <c r="A4509" s="0" t="n">
        <v>2</v>
      </c>
      <c r="B4509" s="71" t="n">
        <v>46225</v>
      </c>
      <c r="C4509" s="0" t="n">
        <v>11</v>
      </c>
      <c r="D4509" s="0" t="s">
        <v>2471</v>
      </c>
      <c r="E4509" s="0" t="n">
        <v>1672</v>
      </c>
      <c r="F4509" s="0" t="s">
        <v>343</v>
      </c>
      <c r="I4509" s="0" t="n">
        <v>1401844</v>
      </c>
      <c r="J4509" s="0" t="n">
        <v>13763</v>
      </c>
      <c r="K4509" s="0" t="n">
        <v>7898938236652</v>
      </c>
      <c r="L4509" s="0" t="s">
        <v>4561</v>
      </c>
      <c r="N4509" s="0" t="n">
        <v>60</v>
      </c>
      <c r="O4509" s="0" t="n">
        <v>66</v>
      </c>
      <c r="P4509" s="0" t="s">
        <v>2444</v>
      </c>
    </row>
    <row r="4510" customFormat="false" ht="15" hidden="false" customHeight="true" outlineLevel="0" collapsed="false">
      <c r="A4510" s="0" t="n">
        <v>2</v>
      </c>
      <c r="B4510" s="71" t="n">
        <v>46225</v>
      </c>
      <c r="C4510" s="0" t="n">
        <v>11</v>
      </c>
      <c r="D4510" s="0" t="s">
        <v>2471</v>
      </c>
      <c r="E4510" s="0" t="n">
        <v>1672</v>
      </c>
      <c r="F4510" s="0" t="s">
        <v>343</v>
      </c>
      <c r="I4510" s="0" t="n">
        <v>1401844</v>
      </c>
      <c r="J4510" s="0" t="n">
        <v>18293</v>
      </c>
      <c r="K4510" s="0" t="n">
        <v>7896520027206</v>
      </c>
      <c r="L4510" s="0" t="s">
        <v>2724</v>
      </c>
      <c r="N4510" s="0" t="n">
        <v>6</v>
      </c>
      <c r="O4510" s="0" t="n">
        <v>40.8</v>
      </c>
      <c r="P4510" s="0" t="s">
        <v>2444</v>
      </c>
    </row>
    <row r="4511" customFormat="false" ht="15" hidden="false" customHeight="true" outlineLevel="0" collapsed="false">
      <c r="A4511" s="0" t="n">
        <v>2</v>
      </c>
      <c r="B4511" s="71" t="n">
        <v>46225</v>
      </c>
      <c r="C4511" s="0" t="n">
        <v>11</v>
      </c>
      <c r="D4511" s="0" t="s">
        <v>2471</v>
      </c>
      <c r="E4511" s="0" t="n">
        <v>1672</v>
      </c>
      <c r="F4511" s="0" t="s">
        <v>343</v>
      </c>
      <c r="I4511" s="0" t="n">
        <v>1401844</v>
      </c>
      <c r="J4511" s="0" t="n">
        <v>25875</v>
      </c>
      <c r="K4511" s="0" t="n">
        <v>7896579380147</v>
      </c>
      <c r="L4511" s="0" t="s">
        <v>4562</v>
      </c>
      <c r="N4511" s="0" t="n">
        <v>60</v>
      </c>
      <c r="O4511" s="0" t="n">
        <v>66</v>
      </c>
      <c r="P4511" s="0" t="s">
        <v>2444</v>
      </c>
    </row>
    <row r="4512" customFormat="false" ht="15" hidden="false" customHeight="true" outlineLevel="0" collapsed="false">
      <c r="A4512" s="0" t="n">
        <v>2</v>
      </c>
      <c r="B4512" s="71" t="n">
        <v>46225</v>
      </c>
      <c r="C4512" s="0" t="n">
        <v>11</v>
      </c>
      <c r="D4512" s="0" t="s">
        <v>2471</v>
      </c>
      <c r="E4512" s="0" t="n">
        <v>1672</v>
      </c>
      <c r="F4512" s="0" t="s">
        <v>343</v>
      </c>
      <c r="I4512" s="0" t="n">
        <v>1401844</v>
      </c>
      <c r="J4512" s="0" t="n">
        <v>26411</v>
      </c>
      <c r="K4512" s="0" t="n">
        <v>7899465200819</v>
      </c>
      <c r="L4512" s="0" t="s">
        <v>3658</v>
      </c>
      <c r="N4512" s="0" t="n">
        <v>18</v>
      </c>
      <c r="O4512" s="0" t="n">
        <v>43.2</v>
      </c>
      <c r="P4512" s="0" t="s">
        <v>2444</v>
      </c>
    </row>
    <row r="4513" customFormat="false" ht="15" hidden="false" customHeight="true" outlineLevel="0" collapsed="false">
      <c r="A4513" s="0" t="n">
        <v>2</v>
      </c>
      <c r="B4513" s="71" t="n">
        <v>46225</v>
      </c>
      <c r="C4513" s="0" t="n">
        <v>11</v>
      </c>
      <c r="D4513" s="0" t="s">
        <v>2471</v>
      </c>
      <c r="E4513" s="0" t="n">
        <v>1672</v>
      </c>
      <c r="F4513" s="0" t="s">
        <v>343</v>
      </c>
      <c r="I4513" s="0" t="n">
        <v>1401844</v>
      </c>
      <c r="J4513" s="0" t="n">
        <v>37154</v>
      </c>
      <c r="K4513" s="0" t="n">
        <v>7896579310601</v>
      </c>
      <c r="L4513" s="0" t="s">
        <v>3660</v>
      </c>
      <c r="N4513" s="0" t="n">
        <v>27</v>
      </c>
      <c r="O4513" s="0" t="n">
        <v>121.5</v>
      </c>
      <c r="P4513" s="0" t="s">
        <v>2444</v>
      </c>
    </row>
    <row r="4514" customFormat="false" ht="15" hidden="false" customHeight="true" outlineLevel="0" collapsed="false">
      <c r="A4514" s="0" t="n">
        <v>2</v>
      </c>
      <c r="B4514" s="71" t="n">
        <v>46225</v>
      </c>
      <c r="C4514" s="0" t="n">
        <v>11</v>
      </c>
      <c r="D4514" s="0" t="s">
        <v>2471</v>
      </c>
      <c r="E4514" s="0" t="n">
        <v>1672</v>
      </c>
      <c r="F4514" s="0" t="s">
        <v>343</v>
      </c>
      <c r="I4514" s="0" t="n">
        <v>1401844</v>
      </c>
      <c r="J4514" s="0" t="n">
        <v>37156</v>
      </c>
      <c r="K4514" s="0" t="n">
        <v>7896579310502</v>
      </c>
      <c r="L4514" s="0" t="s">
        <v>4563</v>
      </c>
      <c r="N4514" s="0" t="n">
        <v>27</v>
      </c>
      <c r="O4514" s="0" t="n">
        <v>121.5</v>
      </c>
      <c r="P4514" s="0" t="s">
        <v>2444</v>
      </c>
    </row>
    <row r="4515" customFormat="false" ht="15" hidden="false" customHeight="true" outlineLevel="0" collapsed="false">
      <c r="A4515" s="0" t="n">
        <v>2</v>
      </c>
      <c r="B4515" s="71" t="n">
        <v>46225</v>
      </c>
      <c r="C4515" s="0" t="n">
        <v>11</v>
      </c>
      <c r="D4515" s="0" t="s">
        <v>2471</v>
      </c>
      <c r="E4515" s="0" t="n">
        <v>1672</v>
      </c>
      <c r="F4515" s="0" t="s">
        <v>343</v>
      </c>
      <c r="I4515" s="0" t="n">
        <v>1401844</v>
      </c>
      <c r="J4515" s="0" t="n">
        <v>38315</v>
      </c>
      <c r="K4515" s="0" t="n">
        <v>7896579320242</v>
      </c>
      <c r="L4515" s="0" t="s">
        <v>2727</v>
      </c>
      <c r="N4515" s="0" t="n">
        <v>45</v>
      </c>
      <c r="O4515" s="0" t="n">
        <v>135</v>
      </c>
      <c r="P4515" s="0" t="s">
        <v>2444</v>
      </c>
    </row>
    <row r="4516" customFormat="false" ht="15" hidden="false" customHeight="true" outlineLevel="0" collapsed="false">
      <c r="A4516" s="0" t="n">
        <v>2</v>
      </c>
      <c r="B4516" s="71" t="n">
        <v>46225</v>
      </c>
      <c r="C4516" s="0" t="n">
        <v>11</v>
      </c>
      <c r="D4516" s="0" t="s">
        <v>2471</v>
      </c>
      <c r="E4516" s="0" t="n">
        <v>1672</v>
      </c>
      <c r="F4516" s="0" t="s">
        <v>343</v>
      </c>
      <c r="I4516" s="0" t="n">
        <v>1401844</v>
      </c>
      <c r="J4516" s="0" t="n">
        <v>38539</v>
      </c>
      <c r="K4516" s="0" t="n">
        <v>7896579320235</v>
      </c>
      <c r="L4516" s="0" t="s">
        <v>2728</v>
      </c>
      <c r="N4516" s="0" t="n">
        <v>36</v>
      </c>
      <c r="O4516" s="0" t="n">
        <v>147.6</v>
      </c>
      <c r="P4516" s="0" t="s">
        <v>2444</v>
      </c>
    </row>
    <row r="4517" customFormat="false" ht="15" hidden="false" customHeight="true" outlineLevel="0" collapsed="false">
      <c r="A4517" s="0" t="n">
        <v>2</v>
      </c>
      <c r="B4517" s="71" t="n">
        <v>46225</v>
      </c>
      <c r="C4517" s="0" t="n">
        <v>11</v>
      </c>
      <c r="D4517" s="0" t="s">
        <v>2471</v>
      </c>
      <c r="E4517" s="0" t="n">
        <v>1672</v>
      </c>
      <c r="F4517" s="0" t="s">
        <v>343</v>
      </c>
      <c r="I4517" s="0" t="n">
        <v>1401844</v>
      </c>
      <c r="J4517" s="0" t="n">
        <v>39420</v>
      </c>
      <c r="K4517" s="0" t="n">
        <v>7896579310533</v>
      </c>
      <c r="L4517" s="0" t="s">
        <v>3879</v>
      </c>
      <c r="N4517" s="0" t="n">
        <v>36</v>
      </c>
      <c r="O4517" s="0" t="n">
        <v>39.6</v>
      </c>
      <c r="P4517" s="0" t="s">
        <v>2444</v>
      </c>
    </row>
    <row r="4518" customFormat="false" ht="15" hidden="false" customHeight="true" outlineLevel="0" collapsed="false">
      <c r="A4518" s="0" t="n">
        <v>2</v>
      </c>
      <c r="B4518" s="71" t="n">
        <v>46225</v>
      </c>
      <c r="C4518" s="0" t="n">
        <v>11</v>
      </c>
      <c r="D4518" s="0" t="s">
        <v>2471</v>
      </c>
      <c r="E4518" s="0" t="n">
        <v>1672</v>
      </c>
      <c r="F4518" s="0" t="s">
        <v>343</v>
      </c>
      <c r="I4518" s="0" t="n">
        <v>1401844</v>
      </c>
      <c r="J4518" s="0" t="n">
        <v>43140</v>
      </c>
      <c r="K4518" s="0" t="n">
        <v>7896579310847</v>
      </c>
      <c r="L4518" s="0" t="s">
        <v>2729</v>
      </c>
      <c r="N4518" s="0" t="n">
        <v>27</v>
      </c>
      <c r="O4518" s="0" t="n">
        <v>64.8</v>
      </c>
      <c r="P4518" s="0" t="s">
        <v>2444</v>
      </c>
    </row>
    <row r="4519" customFormat="false" ht="15" hidden="false" customHeight="true" outlineLevel="0" collapsed="false">
      <c r="A4519" s="0" t="n">
        <v>2</v>
      </c>
      <c r="B4519" s="71" t="n">
        <v>46225</v>
      </c>
      <c r="C4519" s="0" t="n">
        <v>11</v>
      </c>
      <c r="D4519" s="0" t="s">
        <v>2471</v>
      </c>
      <c r="E4519" s="0" t="n">
        <v>1672</v>
      </c>
      <c r="F4519" s="0" t="s">
        <v>343</v>
      </c>
      <c r="I4519" s="0" t="n">
        <v>1401844</v>
      </c>
      <c r="J4519" s="0" t="n">
        <v>51477</v>
      </c>
      <c r="K4519" s="0" t="n">
        <v>7896579310809</v>
      </c>
      <c r="L4519" s="0" t="s">
        <v>2730</v>
      </c>
      <c r="N4519" s="0" t="n">
        <v>60</v>
      </c>
      <c r="O4519" s="0" t="n">
        <v>48</v>
      </c>
      <c r="P4519" s="0" t="s">
        <v>2444</v>
      </c>
    </row>
    <row r="4520" customFormat="false" ht="15" hidden="false" customHeight="true" outlineLevel="0" collapsed="false">
      <c r="A4520" s="0" t="n">
        <v>2</v>
      </c>
      <c r="B4520" s="71" t="n">
        <v>46225</v>
      </c>
      <c r="C4520" s="0" t="n">
        <v>11</v>
      </c>
      <c r="D4520" s="0" t="s">
        <v>2471</v>
      </c>
      <c r="E4520" s="0" t="n">
        <v>1672</v>
      </c>
      <c r="F4520" s="0" t="s">
        <v>343</v>
      </c>
      <c r="I4520" s="0" t="n">
        <v>1401844</v>
      </c>
      <c r="J4520" s="0" t="n">
        <v>61503</v>
      </c>
      <c r="K4520" s="0" t="n">
        <v>7896579310915</v>
      </c>
      <c r="L4520" s="0" t="s">
        <v>2731</v>
      </c>
      <c r="N4520" s="0" t="n">
        <v>5</v>
      </c>
      <c r="O4520" s="0" t="n">
        <v>40</v>
      </c>
      <c r="P4520" s="0" t="s">
        <v>2444</v>
      </c>
    </row>
    <row r="4521" customFormat="false" ht="15" hidden="false" customHeight="true" outlineLevel="0" collapsed="false">
      <c r="A4521" s="0" t="n">
        <v>2</v>
      </c>
      <c r="B4521" s="71" t="n">
        <v>46225</v>
      </c>
      <c r="C4521" s="0" t="n">
        <v>11</v>
      </c>
      <c r="D4521" s="0" t="s">
        <v>2471</v>
      </c>
      <c r="E4521" s="0" t="n">
        <v>1672</v>
      </c>
      <c r="F4521" s="0" t="s">
        <v>343</v>
      </c>
      <c r="I4521" s="0" t="n">
        <v>1401844</v>
      </c>
      <c r="J4521" s="0" t="n">
        <v>65610</v>
      </c>
      <c r="K4521" s="0" t="n">
        <v>7896579340172</v>
      </c>
      <c r="L4521" s="0" t="s">
        <v>4564</v>
      </c>
      <c r="N4521" s="0" t="n">
        <v>24</v>
      </c>
      <c r="O4521" s="0" t="n">
        <v>26</v>
      </c>
      <c r="P4521" s="0" t="s">
        <v>2444</v>
      </c>
    </row>
    <row r="4522" customFormat="false" ht="15" hidden="false" customHeight="true" outlineLevel="0" collapsed="false">
      <c r="A4522" s="0" t="n">
        <v>2</v>
      </c>
      <c r="B4522" s="71" t="n">
        <v>46225</v>
      </c>
      <c r="C4522" s="0" t="n">
        <v>11</v>
      </c>
      <c r="D4522" s="0" t="s">
        <v>2471</v>
      </c>
      <c r="E4522" s="0" t="n">
        <v>1672</v>
      </c>
      <c r="F4522" s="0" t="s">
        <v>343</v>
      </c>
      <c r="I4522" s="0" t="n">
        <v>1401844</v>
      </c>
      <c r="J4522" s="0" t="n">
        <v>73348</v>
      </c>
      <c r="K4522" s="0" t="n">
        <v>7896579310144</v>
      </c>
      <c r="L4522" s="0" t="s">
        <v>4565</v>
      </c>
      <c r="N4522" s="0" t="n">
        <v>45</v>
      </c>
      <c r="O4522" s="0" t="n">
        <v>39.6</v>
      </c>
      <c r="P4522" s="0" t="s">
        <v>2444</v>
      </c>
    </row>
    <row r="4523" customFormat="false" ht="15" hidden="false" customHeight="true" outlineLevel="0" collapsed="false">
      <c r="A4523" s="0" t="n">
        <v>2</v>
      </c>
      <c r="B4523" s="71" t="n">
        <v>46225</v>
      </c>
      <c r="C4523" s="0" t="n">
        <v>11</v>
      </c>
      <c r="D4523" s="0" t="s">
        <v>2471</v>
      </c>
      <c r="E4523" s="0" t="n">
        <v>1672</v>
      </c>
      <c r="F4523" s="0" t="s">
        <v>343</v>
      </c>
      <c r="I4523" s="0" t="n">
        <v>1401844</v>
      </c>
      <c r="J4523" s="0" t="n">
        <v>78779</v>
      </c>
      <c r="K4523" s="0" t="n">
        <v>7899465202042</v>
      </c>
      <c r="L4523" s="0" t="s">
        <v>2732</v>
      </c>
      <c r="N4523" s="0" t="n">
        <v>6</v>
      </c>
      <c r="O4523" s="0" t="n">
        <v>40.8</v>
      </c>
      <c r="P4523" s="0" t="s">
        <v>2444</v>
      </c>
    </row>
    <row r="4524" customFormat="false" ht="15" hidden="false" customHeight="true" outlineLevel="0" collapsed="false">
      <c r="A4524" s="0" t="n">
        <v>2</v>
      </c>
      <c r="B4524" s="71" t="n">
        <v>46225</v>
      </c>
      <c r="C4524" s="0" t="n">
        <v>11</v>
      </c>
      <c r="D4524" s="0" t="s">
        <v>2471</v>
      </c>
      <c r="E4524" s="0" t="n">
        <v>1672</v>
      </c>
      <c r="F4524" s="0" t="s">
        <v>343</v>
      </c>
      <c r="I4524" s="0" t="n">
        <v>1401844</v>
      </c>
      <c r="J4524" s="0" t="n">
        <v>80062</v>
      </c>
      <c r="K4524" s="0" t="n">
        <v>7896579390092</v>
      </c>
      <c r="L4524" s="0" t="s">
        <v>2734</v>
      </c>
      <c r="N4524" s="0" t="n">
        <v>12</v>
      </c>
      <c r="O4524" s="0" t="n">
        <v>31.2</v>
      </c>
      <c r="P4524" s="0" t="s">
        <v>2444</v>
      </c>
    </row>
    <row r="4525" customFormat="false" ht="15" hidden="false" customHeight="true" outlineLevel="0" collapsed="false">
      <c r="A4525" s="0" t="n">
        <v>2</v>
      </c>
      <c r="B4525" s="71" t="n">
        <v>46225</v>
      </c>
      <c r="C4525" s="0" t="n">
        <v>11</v>
      </c>
      <c r="D4525" s="0" t="s">
        <v>2471</v>
      </c>
      <c r="E4525" s="0" t="n">
        <v>1672</v>
      </c>
      <c r="F4525" s="0" t="s">
        <v>343</v>
      </c>
      <c r="I4525" s="0" t="n">
        <v>1401844</v>
      </c>
      <c r="J4525" s="0" t="n">
        <v>81819</v>
      </c>
      <c r="K4525" s="0" t="n">
        <v>7896579390191</v>
      </c>
      <c r="L4525" s="0" t="s">
        <v>4566</v>
      </c>
      <c r="N4525" s="0" t="n">
        <v>24</v>
      </c>
      <c r="O4525" s="0" t="n">
        <v>26</v>
      </c>
      <c r="P4525" s="0" t="s">
        <v>2444</v>
      </c>
    </row>
    <row r="4526" customFormat="false" ht="15" hidden="false" customHeight="true" outlineLevel="0" collapsed="false">
      <c r="A4526" s="0" t="n">
        <v>2</v>
      </c>
      <c r="B4526" s="71" t="n">
        <v>46225</v>
      </c>
      <c r="C4526" s="0" t="n">
        <v>11</v>
      </c>
      <c r="D4526" s="0" t="s">
        <v>2471</v>
      </c>
      <c r="E4526" s="0" t="n">
        <v>1672</v>
      </c>
      <c r="F4526" s="0" t="s">
        <v>343</v>
      </c>
      <c r="I4526" s="0" t="n">
        <v>1401844</v>
      </c>
      <c r="J4526" s="0" t="n">
        <v>81820</v>
      </c>
      <c r="K4526" s="0" t="n">
        <v>7896579390184</v>
      </c>
      <c r="L4526" s="0" t="s">
        <v>4567</v>
      </c>
      <c r="N4526" s="0" t="n">
        <v>24</v>
      </c>
      <c r="O4526" s="0" t="n">
        <v>26</v>
      </c>
      <c r="P4526" s="0" t="s">
        <v>2444</v>
      </c>
    </row>
    <row r="4527" customFormat="false" ht="15" hidden="false" customHeight="true" outlineLevel="0" collapsed="false">
      <c r="A4527" s="0" t="n">
        <v>2</v>
      </c>
      <c r="B4527" s="71" t="n">
        <v>46225</v>
      </c>
      <c r="C4527" s="0" t="n">
        <v>11</v>
      </c>
      <c r="D4527" s="0" t="s">
        <v>2471</v>
      </c>
      <c r="E4527" s="0" t="n">
        <v>1608</v>
      </c>
      <c r="F4527" s="0" t="s">
        <v>240</v>
      </c>
      <c r="I4527" s="0" t="n">
        <v>1695862</v>
      </c>
      <c r="J4527" s="0" t="n">
        <v>80195</v>
      </c>
      <c r="K4527" s="0" t="n">
        <v>7892840824976</v>
      </c>
      <c r="L4527" s="0" t="s">
        <v>3546</v>
      </c>
      <c r="N4527" s="0" t="n">
        <v>840</v>
      </c>
      <c r="O4527" s="0" t="n">
        <v>554.4</v>
      </c>
      <c r="P4527" s="0" t="s">
        <v>2444</v>
      </c>
    </row>
    <row r="4528" customFormat="false" ht="15" hidden="false" customHeight="true" outlineLevel="0" collapsed="false">
      <c r="A4528" s="0" t="n">
        <v>2</v>
      </c>
      <c r="B4528" s="71" t="n">
        <v>46225</v>
      </c>
      <c r="C4528" s="0" t="n">
        <v>11</v>
      </c>
      <c r="D4528" s="0" t="s">
        <v>2471</v>
      </c>
      <c r="E4528" s="0" t="n">
        <v>1705</v>
      </c>
      <c r="F4528" s="0" t="s">
        <v>130</v>
      </c>
      <c r="I4528" s="0" t="n">
        <v>1949480</v>
      </c>
      <c r="J4528" s="0" t="n">
        <v>103142</v>
      </c>
      <c r="K4528" s="0" t="n">
        <v>7894900011753</v>
      </c>
      <c r="L4528" s="0" t="s">
        <v>2581</v>
      </c>
      <c r="N4528" s="0" t="n">
        <v>60</v>
      </c>
      <c r="O4528" s="0" t="n">
        <v>381.56</v>
      </c>
      <c r="P4528" s="0" t="s">
        <v>2444</v>
      </c>
    </row>
    <row r="4529" customFormat="false" ht="15" hidden="false" customHeight="true" outlineLevel="0" collapsed="false">
      <c r="A4529" s="0" t="n">
        <v>2</v>
      </c>
      <c r="B4529" s="71" t="n">
        <v>46225</v>
      </c>
      <c r="C4529" s="0" t="n">
        <v>11</v>
      </c>
      <c r="D4529" s="0" t="s">
        <v>2471</v>
      </c>
      <c r="E4529" s="0" t="n">
        <v>1705</v>
      </c>
      <c r="F4529" s="0" t="s">
        <v>130</v>
      </c>
      <c r="I4529" s="0" t="n">
        <v>1949480</v>
      </c>
      <c r="J4529" s="0" t="n">
        <v>103146</v>
      </c>
      <c r="K4529" s="0" t="n">
        <v>7894900031515</v>
      </c>
      <c r="L4529" s="0" t="s">
        <v>2567</v>
      </c>
      <c r="N4529" s="0" t="n">
        <v>18</v>
      </c>
      <c r="O4529" s="0" t="n">
        <v>134.98</v>
      </c>
      <c r="P4529" s="0" t="s">
        <v>2444</v>
      </c>
    </row>
    <row r="4530" customFormat="false" ht="15" hidden="false" customHeight="true" outlineLevel="0" collapsed="false">
      <c r="A4530" s="0" t="n">
        <v>2</v>
      </c>
      <c r="B4530" s="71" t="n">
        <v>46225</v>
      </c>
      <c r="C4530" s="0" t="n">
        <v>11</v>
      </c>
      <c r="D4530" s="0" t="s">
        <v>2471</v>
      </c>
      <c r="E4530" s="0" t="n">
        <v>1705</v>
      </c>
      <c r="F4530" s="0" t="s">
        <v>130</v>
      </c>
      <c r="I4530" s="0" t="n">
        <v>1949480</v>
      </c>
      <c r="J4530" s="0" t="n">
        <v>105323</v>
      </c>
      <c r="K4530" s="0" t="n">
        <v>7894900701753</v>
      </c>
      <c r="L4530" s="0" t="s">
        <v>2570</v>
      </c>
      <c r="N4530" s="0" t="n">
        <v>30</v>
      </c>
      <c r="O4530" s="0" t="n">
        <v>182.84</v>
      </c>
      <c r="P4530" s="0" t="s">
        <v>2444</v>
      </c>
    </row>
    <row r="4531" customFormat="false" ht="15" hidden="false" customHeight="true" outlineLevel="0" collapsed="false">
      <c r="A4531" s="0" t="n">
        <v>2</v>
      </c>
      <c r="B4531" s="71" t="n">
        <v>46225</v>
      </c>
      <c r="C4531" s="0" t="n">
        <v>11</v>
      </c>
      <c r="D4531" s="0" t="s">
        <v>2471</v>
      </c>
      <c r="E4531" s="0" t="n">
        <v>1705</v>
      </c>
      <c r="F4531" s="0" t="s">
        <v>130</v>
      </c>
      <c r="I4531" s="0" t="n">
        <v>1949480</v>
      </c>
      <c r="J4531" s="0" t="n">
        <v>28739</v>
      </c>
      <c r="K4531" s="0" t="n">
        <v>7894900027044</v>
      </c>
      <c r="L4531" s="0" t="s">
        <v>2658</v>
      </c>
      <c r="N4531" s="0" t="n">
        <v>24</v>
      </c>
      <c r="O4531" s="0" t="n">
        <v>135.78</v>
      </c>
      <c r="P4531" s="0" t="s">
        <v>2444</v>
      </c>
    </row>
    <row r="4532" customFormat="false" ht="15" hidden="false" customHeight="true" outlineLevel="0" collapsed="false">
      <c r="A4532" s="0" t="n">
        <v>2</v>
      </c>
      <c r="B4532" s="71" t="n">
        <v>46225</v>
      </c>
      <c r="C4532" s="0" t="n">
        <v>11</v>
      </c>
      <c r="D4532" s="0" t="s">
        <v>2471</v>
      </c>
      <c r="E4532" s="0" t="n">
        <v>1705</v>
      </c>
      <c r="F4532" s="0" t="s">
        <v>130</v>
      </c>
      <c r="I4532" s="0" t="n">
        <v>1949480</v>
      </c>
      <c r="J4532" s="0" t="n">
        <v>29509</v>
      </c>
      <c r="K4532" s="0" t="n">
        <v>78933873</v>
      </c>
      <c r="L4532" s="0" t="s">
        <v>3258</v>
      </c>
      <c r="N4532" s="0" t="n">
        <v>6</v>
      </c>
      <c r="O4532" s="0" t="n">
        <v>11.29</v>
      </c>
      <c r="P4532" s="0" t="s">
        <v>2444</v>
      </c>
    </row>
    <row r="4533" customFormat="false" ht="15" hidden="false" customHeight="true" outlineLevel="0" collapsed="false">
      <c r="A4533" s="0" t="n">
        <v>2</v>
      </c>
      <c r="B4533" s="71" t="n">
        <v>46225</v>
      </c>
      <c r="C4533" s="0" t="n">
        <v>11</v>
      </c>
      <c r="D4533" s="0" t="s">
        <v>2471</v>
      </c>
      <c r="E4533" s="0" t="n">
        <v>1705</v>
      </c>
      <c r="F4533" s="0" t="s">
        <v>130</v>
      </c>
      <c r="I4533" s="0" t="n">
        <v>1949480</v>
      </c>
      <c r="J4533" s="0" t="n">
        <v>32339</v>
      </c>
      <c r="K4533" s="0" t="n">
        <v>7894900681000</v>
      </c>
      <c r="L4533" s="0" t="s">
        <v>2996</v>
      </c>
      <c r="N4533" s="0" t="n">
        <v>12</v>
      </c>
      <c r="O4533" s="0" t="n">
        <v>89.99</v>
      </c>
      <c r="P4533" s="0" t="s">
        <v>2444</v>
      </c>
    </row>
    <row r="4534" customFormat="false" ht="15" hidden="false" customHeight="true" outlineLevel="0" collapsed="false">
      <c r="A4534" s="0" t="n">
        <v>2</v>
      </c>
      <c r="B4534" s="71" t="n">
        <v>46225</v>
      </c>
      <c r="C4534" s="0" t="n">
        <v>11</v>
      </c>
      <c r="D4534" s="0" t="s">
        <v>2471</v>
      </c>
      <c r="E4534" s="0" t="n">
        <v>1705</v>
      </c>
      <c r="F4534" s="0" t="s">
        <v>130</v>
      </c>
      <c r="I4534" s="0" t="n">
        <v>1949480</v>
      </c>
      <c r="J4534" s="0" t="n">
        <v>37279</v>
      </c>
      <c r="K4534" s="0" t="n">
        <v>7894900027013</v>
      </c>
      <c r="L4534" s="0" t="s">
        <v>2575</v>
      </c>
      <c r="N4534" s="0" t="n">
        <v>78</v>
      </c>
      <c r="O4534" s="0" t="n">
        <v>688.09</v>
      </c>
      <c r="P4534" s="0" t="s">
        <v>2444</v>
      </c>
    </row>
    <row r="4535" customFormat="false" ht="15" hidden="false" customHeight="true" outlineLevel="0" collapsed="false">
      <c r="A4535" s="0" t="n">
        <v>2</v>
      </c>
      <c r="B4535" s="71" t="n">
        <v>46225</v>
      </c>
      <c r="C4535" s="0" t="n">
        <v>11</v>
      </c>
      <c r="D4535" s="0" t="s">
        <v>2471</v>
      </c>
      <c r="E4535" s="0" t="n">
        <v>1705</v>
      </c>
      <c r="F4535" s="0" t="s">
        <v>130</v>
      </c>
      <c r="I4535" s="0" t="n">
        <v>1949480</v>
      </c>
      <c r="J4535" s="0" t="n">
        <v>38060</v>
      </c>
      <c r="K4535" s="0" t="n">
        <v>7894900701609</v>
      </c>
      <c r="L4535" s="0" t="s">
        <v>2576</v>
      </c>
      <c r="N4535" s="0" t="n">
        <v>24</v>
      </c>
      <c r="O4535" s="0" t="n">
        <v>88.16</v>
      </c>
      <c r="P4535" s="0" t="s">
        <v>2444</v>
      </c>
    </row>
    <row r="4536" customFormat="false" ht="15" hidden="false" customHeight="true" outlineLevel="0" collapsed="false">
      <c r="A4536" s="0" t="n">
        <v>2</v>
      </c>
      <c r="B4536" s="71" t="n">
        <v>46225</v>
      </c>
      <c r="C4536" s="0" t="n">
        <v>39</v>
      </c>
      <c r="D4536" s="0" t="s">
        <v>3298</v>
      </c>
      <c r="E4536" s="0" t="n">
        <v>1668</v>
      </c>
      <c r="F4536" s="0" t="s">
        <v>151</v>
      </c>
      <c r="I4536" s="0" t="n">
        <v>740921</v>
      </c>
      <c r="J4536" s="0" t="n">
        <v>43686</v>
      </c>
      <c r="K4536" s="0" t="n">
        <v>7896030899249</v>
      </c>
      <c r="L4536" s="0" t="s">
        <v>4568</v>
      </c>
      <c r="N4536" s="0" t="n">
        <v>16</v>
      </c>
      <c r="O4536" s="0" t="n">
        <v>240.51</v>
      </c>
      <c r="P4536" s="0" t="s">
        <v>2444</v>
      </c>
    </row>
    <row r="4537" customFormat="false" ht="15" hidden="false" customHeight="true" outlineLevel="0" collapsed="false">
      <c r="A4537" s="0" t="n">
        <v>2</v>
      </c>
      <c r="B4537" s="71" t="n">
        <v>46225</v>
      </c>
      <c r="C4537" s="0" t="n">
        <v>39</v>
      </c>
      <c r="D4537" s="0" t="s">
        <v>3298</v>
      </c>
      <c r="E4537" s="0" t="n">
        <v>1668</v>
      </c>
      <c r="F4537" s="0" t="s">
        <v>151</v>
      </c>
      <c r="I4537" s="0" t="n">
        <v>740921</v>
      </c>
      <c r="J4537" s="0" t="n">
        <v>45825</v>
      </c>
      <c r="K4537" s="0" t="n">
        <v>7898948000038</v>
      </c>
      <c r="L4537" s="0" t="s">
        <v>4569</v>
      </c>
      <c r="N4537" s="0" t="n">
        <v>8</v>
      </c>
      <c r="O4537" s="0" t="n">
        <v>150.75</v>
      </c>
      <c r="P4537" s="0" t="s">
        <v>2444</v>
      </c>
    </row>
    <row r="4538" customFormat="false" ht="15" hidden="false" customHeight="true" outlineLevel="0" collapsed="false">
      <c r="A4538" s="0" t="n">
        <v>2</v>
      </c>
      <c r="B4538" s="71" t="n">
        <v>46226</v>
      </c>
      <c r="C4538" s="0" t="n">
        <v>11</v>
      </c>
      <c r="D4538" s="0" t="s">
        <v>2471</v>
      </c>
      <c r="E4538" s="0" t="n">
        <v>1899</v>
      </c>
      <c r="F4538" s="0" t="s">
        <v>204</v>
      </c>
      <c r="I4538" s="0" t="n">
        <v>728</v>
      </c>
      <c r="J4538" s="0" t="n">
        <v>77463</v>
      </c>
      <c r="K4538" s="0" t="n">
        <v>774642</v>
      </c>
      <c r="L4538" s="0" t="s">
        <v>2445</v>
      </c>
      <c r="N4538" s="0" t="n">
        <v>15</v>
      </c>
      <c r="O4538" s="0" t="n">
        <v>67.5</v>
      </c>
      <c r="P4538" s="0" t="s">
        <v>2444</v>
      </c>
    </row>
    <row r="4539" customFormat="false" ht="15" hidden="false" customHeight="true" outlineLevel="0" collapsed="false">
      <c r="A4539" s="0" t="n">
        <v>2</v>
      </c>
      <c r="B4539" s="71" t="n">
        <v>46226</v>
      </c>
      <c r="C4539" s="0" t="n">
        <v>11</v>
      </c>
      <c r="D4539" s="0" t="s">
        <v>2471</v>
      </c>
      <c r="E4539" s="0" t="n">
        <v>1899</v>
      </c>
      <c r="F4539" s="0" t="s">
        <v>204</v>
      </c>
      <c r="I4539" s="0" t="n">
        <v>728</v>
      </c>
      <c r="J4539" s="0" t="n">
        <v>77465</v>
      </c>
      <c r="K4539" s="0" t="n">
        <v>774666</v>
      </c>
      <c r="L4539" s="0" t="s">
        <v>2446</v>
      </c>
      <c r="N4539" s="0" t="n">
        <v>15</v>
      </c>
      <c r="O4539" s="0" t="n">
        <v>74.85</v>
      </c>
      <c r="P4539" s="0" t="s">
        <v>2444</v>
      </c>
    </row>
    <row r="4540" customFormat="false" ht="15" hidden="false" customHeight="true" outlineLevel="0" collapsed="false">
      <c r="A4540" s="0" t="n">
        <v>2</v>
      </c>
      <c r="B4540" s="71" t="n">
        <v>46226</v>
      </c>
      <c r="C4540" s="0" t="n">
        <v>11</v>
      </c>
      <c r="D4540" s="0" t="s">
        <v>2471</v>
      </c>
      <c r="E4540" s="0" t="n">
        <v>1899</v>
      </c>
      <c r="F4540" s="0" t="s">
        <v>204</v>
      </c>
      <c r="I4540" s="0" t="n">
        <v>728</v>
      </c>
      <c r="J4540" s="0" t="n">
        <v>77903</v>
      </c>
      <c r="K4540" s="0" t="n">
        <v>779043</v>
      </c>
      <c r="L4540" s="0" t="s">
        <v>2945</v>
      </c>
      <c r="N4540" s="0" t="n">
        <v>5</v>
      </c>
      <c r="O4540" s="0" t="n">
        <v>22.5</v>
      </c>
      <c r="P4540" s="0" t="s">
        <v>2444</v>
      </c>
    </row>
    <row r="4541" customFormat="false" ht="15" hidden="false" customHeight="true" outlineLevel="0" collapsed="false">
      <c r="A4541" s="0" t="n">
        <v>2</v>
      </c>
      <c r="B4541" s="71" t="n">
        <v>46226</v>
      </c>
      <c r="C4541" s="0" t="n">
        <v>11</v>
      </c>
      <c r="D4541" s="0" t="s">
        <v>2471</v>
      </c>
      <c r="E4541" s="0" t="n">
        <v>1899</v>
      </c>
      <c r="F4541" s="0" t="s">
        <v>204</v>
      </c>
      <c r="I4541" s="0" t="n">
        <v>728</v>
      </c>
      <c r="J4541" s="0" t="n">
        <v>78013</v>
      </c>
      <c r="K4541" s="0" t="n">
        <v>780148</v>
      </c>
      <c r="L4541" s="0" t="s">
        <v>2584</v>
      </c>
      <c r="N4541" s="0" t="n">
        <v>5</v>
      </c>
      <c r="O4541" s="0" t="n">
        <v>22.5</v>
      </c>
      <c r="P4541" s="0" t="s">
        <v>2444</v>
      </c>
    </row>
    <row r="4542" customFormat="false" ht="15" hidden="false" customHeight="true" outlineLevel="0" collapsed="false">
      <c r="A4542" s="0" t="n">
        <v>2</v>
      </c>
      <c r="B4542" s="71" t="n">
        <v>46226</v>
      </c>
      <c r="C4542" s="0" t="n">
        <v>11</v>
      </c>
      <c r="D4542" s="0" t="s">
        <v>2471</v>
      </c>
      <c r="E4542" s="0" t="n">
        <v>1899</v>
      </c>
      <c r="F4542" s="0" t="s">
        <v>204</v>
      </c>
      <c r="I4542" s="0" t="n">
        <v>728</v>
      </c>
      <c r="J4542" s="0" t="n">
        <v>78015</v>
      </c>
      <c r="K4542" s="0" t="n">
        <v>780162</v>
      </c>
      <c r="L4542" s="0" t="s">
        <v>2447</v>
      </c>
      <c r="N4542" s="0" t="n">
        <v>12</v>
      </c>
      <c r="O4542" s="0" t="n">
        <v>59.88</v>
      </c>
      <c r="P4542" s="0" t="s">
        <v>2444</v>
      </c>
    </row>
    <row r="4543" customFormat="false" ht="15" hidden="false" customHeight="true" outlineLevel="0" collapsed="false">
      <c r="A4543" s="0" t="n">
        <v>2</v>
      </c>
      <c r="B4543" s="71" t="n">
        <v>46226</v>
      </c>
      <c r="C4543" s="0" t="n">
        <v>11</v>
      </c>
      <c r="D4543" s="0" t="s">
        <v>2471</v>
      </c>
      <c r="E4543" s="0" t="n">
        <v>10014</v>
      </c>
      <c r="F4543" s="0" t="s">
        <v>176</v>
      </c>
      <c r="I4543" s="0" t="n">
        <v>3551</v>
      </c>
      <c r="J4543" s="0" t="n">
        <v>16933</v>
      </c>
      <c r="K4543" s="0" t="n">
        <v>7898420000747</v>
      </c>
      <c r="L4543" s="0" t="s">
        <v>4570</v>
      </c>
      <c r="N4543" s="0" t="n">
        <v>6</v>
      </c>
      <c r="O4543" s="0" t="n">
        <v>44.22</v>
      </c>
      <c r="P4543" s="0" t="s">
        <v>2444</v>
      </c>
    </row>
    <row r="4544" customFormat="false" ht="15" hidden="false" customHeight="true" outlineLevel="0" collapsed="false">
      <c r="A4544" s="0" t="n">
        <v>2</v>
      </c>
      <c r="B4544" s="71" t="n">
        <v>46226</v>
      </c>
      <c r="C4544" s="0" t="n">
        <v>11</v>
      </c>
      <c r="D4544" s="0" t="s">
        <v>2471</v>
      </c>
      <c r="E4544" s="0" t="n">
        <v>10014</v>
      </c>
      <c r="F4544" s="0" t="s">
        <v>176</v>
      </c>
      <c r="I4544" s="0" t="n">
        <v>3551</v>
      </c>
      <c r="J4544" s="0" t="n">
        <v>16934</v>
      </c>
      <c r="K4544" s="0" t="n">
        <v>7898420000730</v>
      </c>
      <c r="L4544" s="0" t="s">
        <v>4571</v>
      </c>
      <c r="N4544" s="0" t="n">
        <v>6</v>
      </c>
      <c r="O4544" s="0" t="n">
        <v>36.3</v>
      </c>
      <c r="P4544" s="0" t="s">
        <v>2444</v>
      </c>
    </row>
    <row r="4545" customFormat="false" ht="15" hidden="false" customHeight="true" outlineLevel="0" collapsed="false">
      <c r="A4545" s="0" t="n">
        <v>2</v>
      </c>
      <c r="B4545" s="71" t="n">
        <v>46226</v>
      </c>
      <c r="C4545" s="0" t="n">
        <v>11</v>
      </c>
      <c r="D4545" s="0" t="s">
        <v>2471</v>
      </c>
      <c r="E4545" s="0" t="n">
        <v>10014</v>
      </c>
      <c r="F4545" s="0" t="s">
        <v>176</v>
      </c>
      <c r="I4545" s="0" t="n">
        <v>3551</v>
      </c>
      <c r="J4545" s="0" t="n">
        <v>16935</v>
      </c>
      <c r="K4545" s="0" t="n">
        <v>7898420000723</v>
      </c>
      <c r="L4545" s="0" t="s">
        <v>4572</v>
      </c>
      <c r="N4545" s="0" t="n">
        <v>6</v>
      </c>
      <c r="O4545" s="0" t="n">
        <v>24.6</v>
      </c>
      <c r="P4545" s="0" t="s">
        <v>2444</v>
      </c>
    </row>
    <row r="4546" customFormat="false" ht="15" hidden="false" customHeight="true" outlineLevel="0" collapsed="false">
      <c r="A4546" s="0" t="n">
        <v>2</v>
      </c>
      <c r="B4546" s="71" t="n">
        <v>46226</v>
      </c>
      <c r="C4546" s="0" t="n">
        <v>11</v>
      </c>
      <c r="D4546" s="0" t="s">
        <v>2471</v>
      </c>
      <c r="E4546" s="0" t="n">
        <v>10014</v>
      </c>
      <c r="F4546" s="0" t="s">
        <v>176</v>
      </c>
      <c r="I4546" s="0" t="n">
        <v>3551</v>
      </c>
      <c r="J4546" s="0" t="n">
        <v>16936</v>
      </c>
      <c r="K4546" s="0" t="n">
        <v>7898420000716</v>
      </c>
      <c r="L4546" s="0" t="s">
        <v>4573</v>
      </c>
      <c r="N4546" s="0" t="n">
        <v>6</v>
      </c>
      <c r="O4546" s="0" t="n">
        <v>23.94</v>
      </c>
      <c r="P4546" s="0" t="s">
        <v>2444</v>
      </c>
    </row>
    <row r="4547" customFormat="false" ht="15" hidden="false" customHeight="true" outlineLevel="0" collapsed="false">
      <c r="A4547" s="0" t="n">
        <v>2</v>
      </c>
      <c r="B4547" s="71" t="n">
        <v>46226</v>
      </c>
      <c r="C4547" s="0" t="n">
        <v>11</v>
      </c>
      <c r="D4547" s="0" t="s">
        <v>2471</v>
      </c>
      <c r="E4547" s="0" t="n">
        <v>10014</v>
      </c>
      <c r="F4547" s="0" t="s">
        <v>176</v>
      </c>
      <c r="I4547" s="0" t="n">
        <v>3551</v>
      </c>
      <c r="J4547" s="0" t="n">
        <v>28947</v>
      </c>
      <c r="K4547" s="0" t="n">
        <v>7898337720127</v>
      </c>
      <c r="L4547" s="0" t="s">
        <v>4574</v>
      </c>
      <c r="N4547" s="0" t="n">
        <v>10</v>
      </c>
      <c r="O4547" s="0" t="n">
        <v>72.6</v>
      </c>
      <c r="P4547" s="0" t="s">
        <v>2444</v>
      </c>
    </row>
    <row r="4548" customFormat="false" ht="15" hidden="false" customHeight="true" outlineLevel="0" collapsed="false">
      <c r="A4548" s="0" t="n">
        <v>2</v>
      </c>
      <c r="B4548" s="71" t="n">
        <v>46226</v>
      </c>
      <c r="C4548" s="0" t="n">
        <v>11</v>
      </c>
      <c r="D4548" s="0" t="s">
        <v>2471</v>
      </c>
      <c r="E4548" s="0" t="n">
        <v>10014</v>
      </c>
      <c r="F4548" s="0" t="s">
        <v>176</v>
      </c>
      <c r="I4548" s="0" t="n">
        <v>3551</v>
      </c>
      <c r="J4548" s="0" t="n">
        <v>36547</v>
      </c>
      <c r="K4548" s="0" t="n">
        <v>7898337720035</v>
      </c>
      <c r="L4548" s="0" t="s">
        <v>4575</v>
      </c>
      <c r="N4548" s="0" t="n">
        <v>12</v>
      </c>
      <c r="O4548" s="0" t="n">
        <v>47.88</v>
      </c>
      <c r="P4548" s="0" t="s">
        <v>2444</v>
      </c>
    </row>
    <row r="4549" customFormat="false" ht="15" hidden="false" customHeight="true" outlineLevel="0" collapsed="false">
      <c r="A4549" s="0" t="n">
        <v>2</v>
      </c>
      <c r="B4549" s="71" t="n">
        <v>46226</v>
      </c>
      <c r="C4549" s="0" t="n">
        <v>11</v>
      </c>
      <c r="D4549" s="0" t="s">
        <v>2471</v>
      </c>
      <c r="E4549" s="0" t="n">
        <v>10014</v>
      </c>
      <c r="F4549" s="0" t="s">
        <v>176</v>
      </c>
      <c r="I4549" s="0" t="n">
        <v>3551</v>
      </c>
      <c r="J4549" s="0" t="n">
        <v>41938</v>
      </c>
      <c r="K4549" s="0" t="n">
        <v>7898337720141</v>
      </c>
      <c r="L4549" s="0" t="s">
        <v>4576</v>
      </c>
      <c r="N4549" s="0" t="n">
        <v>6</v>
      </c>
      <c r="O4549" s="0" t="n">
        <v>52.74</v>
      </c>
      <c r="P4549" s="0" t="s">
        <v>2444</v>
      </c>
    </row>
    <row r="4550" customFormat="false" ht="15" hidden="false" customHeight="true" outlineLevel="0" collapsed="false">
      <c r="A4550" s="0" t="n">
        <v>2</v>
      </c>
      <c r="B4550" s="71" t="n">
        <v>46226</v>
      </c>
      <c r="C4550" s="0" t="n">
        <v>11</v>
      </c>
      <c r="D4550" s="0" t="s">
        <v>2471</v>
      </c>
      <c r="E4550" s="0" t="n">
        <v>10014</v>
      </c>
      <c r="F4550" s="0" t="s">
        <v>176</v>
      </c>
      <c r="I4550" s="0" t="n">
        <v>3551</v>
      </c>
      <c r="J4550" s="0" t="n">
        <v>67108</v>
      </c>
      <c r="K4550" s="0" t="n">
        <v>7897938902307</v>
      </c>
      <c r="L4550" s="0" t="s">
        <v>4577</v>
      </c>
      <c r="N4550" s="0" t="n">
        <v>2</v>
      </c>
      <c r="O4550" s="0" t="n">
        <v>35.68</v>
      </c>
      <c r="P4550" s="0" t="s">
        <v>2444</v>
      </c>
    </row>
    <row r="4551" customFormat="false" ht="15" hidden="false" customHeight="true" outlineLevel="0" collapsed="false">
      <c r="A4551" s="0" t="n">
        <v>2</v>
      </c>
      <c r="B4551" s="71" t="n">
        <v>46226</v>
      </c>
      <c r="C4551" s="0" t="n">
        <v>11</v>
      </c>
      <c r="D4551" s="0" t="s">
        <v>2471</v>
      </c>
      <c r="E4551" s="0" t="n">
        <v>10014</v>
      </c>
      <c r="F4551" s="0" t="s">
        <v>176</v>
      </c>
      <c r="I4551" s="0" t="n">
        <v>3551</v>
      </c>
      <c r="J4551" s="0" t="n">
        <v>81760</v>
      </c>
      <c r="K4551" s="0" t="n">
        <v>7898948712863</v>
      </c>
      <c r="L4551" s="0" t="s">
        <v>4578</v>
      </c>
      <c r="N4551" s="0" t="n">
        <v>10</v>
      </c>
      <c r="O4551" s="0" t="n">
        <v>39.5</v>
      </c>
      <c r="P4551" s="0" t="s">
        <v>2444</v>
      </c>
    </row>
    <row r="4552" customFormat="false" ht="15" hidden="false" customHeight="true" outlineLevel="0" collapsed="false">
      <c r="A4552" s="0" t="n">
        <v>2</v>
      </c>
      <c r="B4552" s="71" t="n">
        <v>46226</v>
      </c>
      <c r="C4552" s="0" t="n">
        <v>11</v>
      </c>
      <c r="D4552" s="0" t="s">
        <v>2471</v>
      </c>
      <c r="E4552" s="0" t="n">
        <v>10014</v>
      </c>
      <c r="F4552" s="0" t="s">
        <v>176</v>
      </c>
      <c r="I4552" s="0" t="n">
        <v>3551</v>
      </c>
      <c r="J4552" s="0" t="n">
        <v>81822</v>
      </c>
      <c r="K4552" s="0" t="n">
        <v>7898420000921</v>
      </c>
      <c r="L4552" s="0" t="s">
        <v>4579</v>
      </c>
      <c r="N4552" s="0" t="n">
        <v>6</v>
      </c>
      <c r="O4552" s="0" t="n">
        <v>112.26</v>
      </c>
      <c r="P4552" s="0" t="s">
        <v>2444</v>
      </c>
    </row>
    <row r="4553" customFormat="false" ht="15" hidden="false" customHeight="true" outlineLevel="0" collapsed="false">
      <c r="A4553" s="0" t="n">
        <v>2</v>
      </c>
      <c r="B4553" s="71" t="n">
        <v>46226</v>
      </c>
      <c r="C4553" s="0" t="n">
        <v>11</v>
      </c>
      <c r="D4553" s="0" t="s">
        <v>2471</v>
      </c>
      <c r="E4553" s="0" t="n">
        <v>10014</v>
      </c>
      <c r="F4553" s="0" t="s">
        <v>176</v>
      </c>
      <c r="I4553" s="0" t="n">
        <v>3551</v>
      </c>
      <c r="J4553" s="0" t="n">
        <v>81823</v>
      </c>
      <c r="K4553" s="0" t="n">
        <v>7898420000945</v>
      </c>
      <c r="L4553" s="0" t="s">
        <v>4580</v>
      </c>
      <c r="N4553" s="0" t="n">
        <v>6</v>
      </c>
      <c r="O4553" s="0" t="n">
        <v>126</v>
      </c>
      <c r="P4553" s="0" t="s">
        <v>2444</v>
      </c>
    </row>
    <row r="4554" customFormat="false" ht="15" hidden="false" customHeight="true" outlineLevel="0" collapsed="false">
      <c r="A4554" s="0" t="n">
        <v>2</v>
      </c>
      <c r="B4554" s="71" t="n">
        <v>46226</v>
      </c>
      <c r="C4554" s="0" t="n">
        <v>11</v>
      </c>
      <c r="D4554" s="0" t="s">
        <v>2471</v>
      </c>
      <c r="E4554" s="0" t="n">
        <v>10014</v>
      </c>
      <c r="F4554" s="0" t="s">
        <v>176</v>
      </c>
      <c r="I4554" s="0" t="n">
        <v>3551</v>
      </c>
      <c r="J4554" s="0" t="n">
        <v>81824</v>
      </c>
      <c r="K4554" s="0" t="n">
        <v>7898420000464</v>
      </c>
      <c r="L4554" s="0" t="s">
        <v>4581</v>
      </c>
      <c r="N4554" s="0" t="n">
        <v>6</v>
      </c>
      <c r="O4554" s="0" t="n">
        <v>119.4</v>
      </c>
      <c r="P4554" s="0" t="s">
        <v>2444</v>
      </c>
    </row>
    <row r="4555" customFormat="false" ht="15" hidden="false" customHeight="true" outlineLevel="0" collapsed="false">
      <c r="A4555" s="0" t="n">
        <v>2</v>
      </c>
      <c r="B4555" s="71" t="n">
        <v>46226</v>
      </c>
      <c r="C4555" s="0" t="n">
        <v>11</v>
      </c>
      <c r="D4555" s="0" t="s">
        <v>2471</v>
      </c>
      <c r="E4555" s="0" t="n">
        <v>10014</v>
      </c>
      <c r="F4555" s="0" t="s">
        <v>176</v>
      </c>
      <c r="I4555" s="0" t="n">
        <v>3551</v>
      </c>
      <c r="J4555" s="0" t="n">
        <v>81825</v>
      </c>
      <c r="K4555" s="0" t="n">
        <v>7898420000587</v>
      </c>
      <c r="L4555" s="0" t="s">
        <v>4582</v>
      </c>
      <c r="N4555" s="0" t="n">
        <v>6</v>
      </c>
      <c r="O4555" s="0" t="n">
        <v>126</v>
      </c>
      <c r="P4555" s="0" t="s">
        <v>2444</v>
      </c>
    </row>
    <row r="4556" customFormat="false" ht="15" hidden="false" customHeight="true" outlineLevel="0" collapsed="false">
      <c r="A4556" s="0" t="n">
        <v>2</v>
      </c>
      <c r="B4556" s="71" t="n">
        <v>46226</v>
      </c>
      <c r="C4556" s="0" t="n">
        <v>11</v>
      </c>
      <c r="D4556" s="0" t="s">
        <v>2471</v>
      </c>
      <c r="E4556" s="0" t="n">
        <v>10014</v>
      </c>
      <c r="F4556" s="0" t="s">
        <v>176</v>
      </c>
      <c r="I4556" s="0" t="n">
        <v>3551</v>
      </c>
      <c r="J4556" s="0" t="n">
        <v>81826</v>
      </c>
      <c r="K4556" s="0" t="n">
        <v>7898420000143</v>
      </c>
      <c r="L4556" s="0" t="s">
        <v>4583</v>
      </c>
      <c r="N4556" s="0" t="n">
        <v>6</v>
      </c>
      <c r="O4556" s="0" t="n">
        <v>148.8</v>
      </c>
      <c r="P4556" s="0" t="s">
        <v>2444</v>
      </c>
    </row>
    <row r="4557" customFormat="false" ht="15" hidden="false" customHeight="true" outlineLevel="0" collapsed="false">
      <c r="A4557" s="0" t="n">
        <v>2</v>
      </c>
      <c r="B4557" s="71" t="n">
        <v>46226</v>
      </c>
      <c r="C4557" s="0" t="n">
        <v>11</v>
      </c>
      <c r="D4557" s="0" t="s">
        <v>2471</v>
      </c>
      <c r="E4557" s="0" t="n">
        <v>957</v>
      </c>
      <c r="F4557" s="0" t="s">
        <v>628</v>
      </c>
      <c r="I4557" s="0" t="n">
        <v>21189</v>
      </c>
      <c r="J4557" s="0" t="n">
        <v>100213</v>
      </c>
      <c r="K4557" s="0" t="n">
        <v>214</v>
      </c>
      <c r="L4557" s="0" t="s">
        <v>4584</v>
      </c>
      <c r="N4557" s="0" t="n">
        <v>20.2</v>
      </c>
      <c r="O4557" s="0" t="n">
        <v>240.22</v>
      </c>
      <c r="P4557" s="0" t="s">
        <v>2444</v>
      </c>
    </row>
    <row r="4558" customFormat="false" ht="15" hidden="false" customHeight="true" outlineLevel="0" collapsed="false">
      <c r="A4558" s="0" t="n">
        <v>2</v>
      </c>
      <c r="B4558" s="71" t="n">
        <v>46226</v>
      </c>
      <c r="C4558" s="0" t="n">
        <v>11</v>
      </c>
      <c r="D4558" s="0" t="s">
        <v>2471</v>
      </c>
      <c r="E4558" s="0" t="n">
        <v>957</v>
      </c>
      <c r="F4558" s="0" t="s">
        <v>628</v>
      </c>
      <c r="I4558" s="0" t="n">
        <v>21189</v>
      </c>
      <c r="J4558" s="0" t="n">
        <v>100215</v>
      </c>
      <c r="K4558" s="0" t="n">
        <v>216</v>
      </c>
      <c r="L4558" s="0" t="s">
        <v>4585</v>
      </c>
      <c r="N4558" s="0" t="n">
        <v>131.3</v>
      </c>
      <c r="O4558" s="0" t="n">
        <v>1561.43</v>
      </c>
      <c r="P4558" s="0" t="s">
        <v>2444</v>
      </c>
    </row>
    <row r="4559" customFormat="false" ht="15" hidden="false" customHeight="true" outlineLevel="0" collapsed="false">
      <c r="A4559" s="0" t="n">
        <v>2</v>
      </c>
      <c r="B4559" s="71" t="n">
        <v>46226</v>
      </c>
      <c r="C4559" s="0" t="n">
        <v>11</v>
      </c>
      <c r="D4559" s="0" t="s">
        <v>2471</v>
      </c>
      <c r="E4559" s="0" t="n">
        <v>957</v>
      </c>
      <c r="F4559" s="0" t="s">
        <v>628</v>
      </c>
      <c r="I4559" s="0" t="n">
        <v>21189</v>
      </c>
      <c r="J4559" s="0" t="n">
        <v>100357</v>
      </c>
      <c r="K4559" s="0" t="n">
        <v>228</v>
      </c>
      <c r="L4559" s="0" t="s">
        <v>4586</v>
      </c>
      <c r="N4559" s="0" t="n">
        <v>151.5</v>
      </c>
      <c r="O4559" s="0" t="n">
        <v>1801.65</v>
      </c>
      <c r="P4559" s="0" t="s">
        <v>2444</v>
      </c>
    </row>
    <row r="4560" customFormat="false" ht="15" hidden="false" customHeight="true" outlineLevel="0" collapsed="false">
      <c r="A4560" s="0" t="n">
        <v>2</v>
      </c>
      <c r="B4560" s="71" t="n">
        <v>46226</v>
      </c>
      <c r="C4560" s="0" t="n">
        <v>11</v>
      </c>
      <c r="D4560" s="0" t="s">
        <v>2471</v>
      </c>
      <c r="E4560" s="0" t="n">
        <v>957</v>
      </c>
      <c r="F4560" s="0" t="s">
        <v>628</v>
      </c>
      <c r="I4560" s="0" t="n">
        <v>21189</v>
      </c>
      <c r="J4560" s="0" t="n">
        <v>110233</v>
      </c>
      <c r="K4560" s="0" t="n">
        <v>38376</v>
      </c>
      <c r="L4560" s="0" t="s">
        <v>4587</v>
      </c>
      <c r="N4560" s="0" t="n">
        <v>181.8</v>
      </c>
      <c r="O4560" s="0" t="n">
        <v>2161.98</v>
      </c>
      <c r="P4560" s="0" t="s">
        <v>2444</v>
      </c>
    </row>
    <row r="4561" customFormat="false" ht="15" hidden="false" customHeight="true" outlineLevel="0" collapsed="false">
      <c r="A4561" s="0" t="n">
        <v>2</v>
      </c>
      <c r="B4561" s="71" t="n">
        <v>46226</v>
      </c>
      <c r="C4561" s="0" t="n">
        <v>11</v>
      </c>
      <c r="D4561" s="0" t="s">
        <v>2471</v>
      </c>
      <c r="E4561" s="0" t="n">
        <v>957</v>
      </c>
      <c r="F4561" s="0" t="s">
        <v>628</v>
      </c>
      <c r="I4561" s="0" t="n">
        <v>21189</v>
      </c>
      <c r="J4561" s="0" t="n">
        <v>110679</v>
      </c>
      <c r="K4561" s="0" t="n">
        <v>67079</v>
      </c>
      <c r="L4561" s="0" t="s">
        <v>4588</v>
      </c>
      <c r="N4561" s="0" t="n">
        <v>20.2</v>
      </c>
      <c r="O4561" s="0" t="n">
        <v>240.22</v>
      </c>
      <c r="P4561" s="0" t="s">
        <v>2444</v>
      </c>
    </row>
    <row r="4562" customFormat="false" ht="15" hidden="false" customHeight="true" outlineLevel="0" collapsed="false">
      <c r="A4562" s="0" t="n">
        <v>2</v>
      </c>
      <c r="B4562" s="71" t="n">
        <v>46226</v>
      </c>
      <c r="C4562" s="0" t="n">
        <v>11</v>
      </c>
      <c r="D4562" s="0" t="s">
        <v>2471</v>
      </c>
      <c r="E4562" s="0" t="n">
        <v>10011</v>
      </c>
      <c r="F4562" s="0" t="s">
        <v>349</v>
      </c>
      <c r="I4562" s="0" t="n">
        <v>34738</v>
      </c>
      <c r="J4562" s="0" t="n">
        <v>100484</v>
      </c>
      <c r="K4562" s="0" t="n">
        <v>355</v>
      </c>
      <c r="L4562" s="0" t="s">
        <v>4589</v>
      </c>
      <c r="N4562" s="0" t="n">
        <v>75</v>
      </c>
      <c r="O4562" s="0" t="n">
        <v>685.15</v>
      </c>
      <c r="P4562" s="0" t="s">
        <v>2444</v>
      </c>
    </row>
    <row r="4563" customFormat="false" ht="15" hidden="false" customHeight="true" outlineLevel="0" collapsed="false">
      <c r="A4563" s="0" t="n">
        <v>2</v>
      </c>
      <c r="B4563" s="71" t="n">
        <v>46226</v>
      </c>
      <c r="C4563" s="0" t="n">
        <v>11</v>
      </c>
      <c r="D4563" s="0" t="s">
        <v>2471</v>
      </c>
      <c r="E4563" s="0" t="n">
        <v>10011</v>
      </c>
      <c r="F4563" s="0" t="s">
        <v>349</v>
      </c>
      <c r="I4563" s="0" t="n">
        <v>34738</v>
      </c>
      <c r="J4563" s="0" t="n">
        <v>100487</v>
      </c>
      <c r="K4563" s="0" t="n">
        <v>358</v>
      </c>
      <c r="L4563" s="0" t="s">
        <v>4590</v>
      </c>
      <c r="N4563" s="0" t="n">
        <v>50.5</v>
      </c>
      <c r="O4563" s="0" t="n">
        <v>659.2</v>
      </c>
      <c r="P4563" s="0" t="s">
        <v>2444</v>
      </c>
    </row>
    <row r="4564" customFormat="false" ht="15" hidden="false" customHeight="true" outlineLevel="0" collapsed="false">
      <c r="A4564" s="0" t="n">
        <v>2</v>
      </c>
      <c r="B4564" s="71" t="n">
        <v>46226</v>
      </c>
      <c r="C4564" s="0" t="n">
        <v>11</v>
      </c>
      <c r="D4564" s="0" t="s">
        <v>2471</v>
      </c>
      <c r="E4564" s="0" t="n">
        <v>10011</v>
      </c>
      <c r="F4564" s="0" t="s">
        <v>349</v>
      </c>
      <c r="I4564" s="0" t="n">
        <v>34738</v>
      </c>
      <c r="J4564" s="0" t="n">
        <v>28691</v>
      </c>
      <c r="K4564" s="0" t="n">
        <v>1038</v>
      </c>
      <c r="L4564" s="0" t="s">
        <v>4591</v>
      </c>
      <c r="N4564" s="0" t="n">
        <v>30.3</v>
      </c>
      <c r="O4564" s="0" t="n">
        <v>428.85</v>
      </c>
      <c r="P4564" s="0" t="s">
        <v>2444</v>
      </c>
    </row>
    <row r="4565" customFormat="false" ht="15" hidden="false" customHeight="true" outlineLevel="0" collapsed="false">
      <c r="A4565" s="0" t="n">
        <v>2</v>
      </c>
      <c r="B4565" s="71" t="n">
        <v>46226</v>
      </c>
      <c r="C4565" s="0" t="n">
        <v>11</v>
      </c>
      <c r="D4565" s="0" t="s">
        <v>2471</v>
      </c>
      <c r="E4565" s="0" t="n">
        <v>1723</v>
      </c>
      <c r="F4565" s="0" t="s">
        <v>371</v>
      </c>
      <c r="I4565" s="0" t="n">
        <v>173594</v>
      </c>
      <c r="J4565" s="0" t="n">
        <v>29079</v>
      </c>
      <c r="K4565" s="0" t="n">
        <v>55515</v>
      </c>
      <c r="L4565" s="0" t="s">
        <v>2449</v>
      </c>
      <c r="N4565" s="0" t="n">
        <v>79.3</v>
      </c>
      <c r="O4565" s="0" t="n">
        <v>2537.6</v>
      </c>
      <c r="P4565" s="0" t="s">
        <v>2444</v>
      </c>
    </row>
    <row r="4566" customFormat="false" ht="15" hidden="false" customHeight="true" outlineLevel="0" collapsed="false">
      <c r="A4566" s="0" t="n">
        <v>2</v>
      </c>
      <c r="B4566" s="71" t="n">
        <v>46226</v>
      </c>
      <c r="C4566" s="0" t="n">
        <v>11</v>
      </c>
      <c r="D4566" s="0" t="s">
        <v>2471</v>
      </c>
      <c r="E4566" s="0" t="n">
        <v>1723</v>
      </c>
      <c r="F4566" s="0" t="s">
        <v>371</v>
      </c>
      <c r="I4566" s="0" t="n">
        <v>173594</v>
      </c>
      <c r="J4566" s="0" t="n">
        <v>29080</v>
      </c>
      <c r="K4566" s="0" t="n">
        <v>55516</v>
      </c>
      <c r="L4566" s="0" t="s">
        <v>2450</v>
      </c>
      <c r="N4566" s="0" t="n">
        <v>57.9</v>
      </c>
      <c r="O4566" s="0" t="n">
        <v>1273.8</v>
      </c>
      <c r="P4566" s="0" t="s">
        <v>2444</v>
      </c>
    </row>
    <row r="4567" customFormat="false" ht="15" hidden="false" customHeight="true" outlineLevel="0" collapsed="false">
      <c r="A4567" s="0" t="n">
        <v>2</v>
      </c>
      <c r="B4567" s="71" t="n">
        <v>46226</v>
      </c>
      <c r="C4567" s="0" t="n">
        <v>11</v>
      </c>
      <c r="D4567" s="0" t="s">
        <v>2471</v>
      </c>
      <c r="E4567" s="0" t="n">
        <v>1024</v>
      </c>
      <c r="F4567" s="0" t="s">
        <v>471</v>
      </c>
      <c r="I4567" s="0" t="n">
        <v>608657</v>
      </c>
      <c r="J4567" s="0" t="n">
        <v>30387</v>
      </c>
      <c r="K4567" s="0" t="n">
        <v>7898654710092</v>
      </c>
      <c r="L4567" s="0" t="s">
        <v>3699</v>
      </c>
      <c r="N4567" s="0" t="n">
        <v>60</v>
      </c>
      <c r="O4567" s="0" t="n">
        <v>65</v>
      </c>
      <c r="P4567" s="0" t="s">
        <v>2444</v>
      </c>
    </row>
    <row r="4568" customFormat="false" ht="15" hidden="false" customHeight="true" outlineLevel="0" collapsed="false">
      <c r="A4568" s="0" t="n">
        <v>2</v>
      </c>
      <c r="B4568" s="71" t="n">
        <v>46226</v>
      </c>
      <c r="C4568" s="0" t="n">
        <v>11</v>
      </c>
      <c r="D4568" s="0" t="s">
        <v>2471</v>
      </c>
      <c r="E4568" s="0" t="n">
        <v>1024</v>
      </c>
      <c r="F4568" s="0" t="s">
        <v>471</v>
      </c>
      <c r="I4568" s="0" t="n">
        <v>608657</v>
      </c>
      <c r="J4568" s="0" t="n">
        <v>103169</v>
      </c>
      <c r="K4568" s="0" t="n">
        <v>7898919635016</v>
      </c>
      <c r="L4568" s="0" t="s">
        <v>4592</v>
      </c>
      <c r="N4568" s="0" t="n">
        <v>18</v>
      </c>
      <c r="O4568" s="0" t="n">
        <v>70</v>
      </c>
      <c r="P4568" s="0" t="s">
        <v>2444</v>
      </c>
    </row>
    <row r="4569" customFormat="false" ht="15" hidden="false" customHeight="true" outlineLevel="0" collapsed="false">
      <c r="A4569" s="0" t="n">
        <v>2</v>
      </c>
      <c r="B4569" s="71" t="n">
        <v>46226</v>
      </c>
      <c r="C4569" s="0" t="n">
        <v>11</v>
      </c>
      <c r="D4569" s="0" t="s">
        <v>2471</v>
      </c>
      <c r="E4569" s="0" t="n">
        <v>1024</v>
      </c>
      <c r="F4569" s="0" t="s">
        <v>471</v>
      </c>
      <c r="I4569" s="0" t="n">
        <v>608657</v>
      </c>
      <c r="J4569" s="0" t="n">
        <v>103170</v>
      </c>
      <c r="K4569" s="0" t="n">
        <v>7896792000020</v>
      </c>
      <c r="L4569" s="0" t="s">
        <v>4593</v>
      </c>
      <c r="N4569" s="0" t="n">
        <v>18</v>
      </c>
      <c r="O4569" s="0" t="n">
        <v>70</v>
      </c>
      <c r="P4569" s="0" t="s">
        <v>2444</v>
      </c>
    </row>
    <row r="4570" customFormat="false" ht="15" hidden="false" customHeight="true" outlineLevel="0" collapsed="false">
      <c r="A4570" s="0" t="n">
        <v>2</v>
      </c>
      <c r="B4570" s="71" t="n">
        <v>46226</v>
      </c>
      <c r="C4570" s="0" t="n">
        <v>11</v>
      </c>
      <c r="D4570" s="0" t="s">
        <v>2471</v>
      </c>
      <c r="E4570" s="0" t="n">
        <v>1024</v>
      </c>
      <c r="F4570" s="0" t="s">
        <v>471</v>
      </c>
      <c r="I4570" s="0" t="n">
        <v>608657</v>
      </c>
      <c r="J4570" s="0" t="n">
        <v>10276</v>
      </c>
      <c r="K4570" s="0" t="n">
        <v>7898919635030</v>
      </c>
      <c r="L4570" s="0" t="s">
        <v>4594</v>
      </c>
      <c r="N4570" s="0" t="n">
        <v>9</v>
      </c>
      <c r="O4570" s="0" t="n">
        <v>35</v>
      </c>
      <c r="P4570" s="0" t="s">
        <v>2444</v>
      </c>
    </row>
    <row r="4571" customFormat="false" ht="15" hidden="false" customHeight="true" outlineLevel="0" collapsed="false">
      <c r="A4571" s="0" t="n">
        <v>2</v>
      </c>
      <c r="B4571" s="71" t="n">
        <v>46226</v>
      </c>
      <c r="C4571" s="0" t="n">
        <v>11</v>
      </c>
      <c r="D4571" s="0" t="s">
        <v>2471</v>
      </c>
      <c r="E4571" s="0" t="n">
        <v>1024</v>
      </c>
      <c r="F4571" s="0" t="s">
        <v>471</v>
      </c>
      <c r="I4571" s="0" t="n">
        <v>608657</v>
      </c>
      <c r="J4571" s="0" t="n">
        <v>32856</v>
      </c>
      <c r="K4571" s="0" t="n">
        <v>7898654710115</v>
      </c>
      <c r="L4571" s="0" t="s">
        <v>3700</v>
      </c>
      <c r="N4571" s="0" t="n">
        <v>60</v>
      </c>
      <c r="O4571" s="0" t="n">
        <v>65</v>
      </c>
      <c r="P4571" s="0" t="s">
        <v>2444</v>
      </c>
    </row>
    <row r="4572" customFormat="false" ht="15" hidden="false" customHeight="true" outlineLevel="0" collapsed="false">
      <c r="A4572" s="0" t="n">
        <v>2</v>
      </c>
      <c r="B4572" s="71" t="n">
        <v>46226</v>
      </c>
      <c r="C4572" s="0" t="n">
        <v>11</v>
      </c>
      <c r="D4572" s="0" t="s">
        <v>2471</v>
      </c>
      <c r="E4572" s="0" t="n">
        <v>1616</v>
      </c>
      <c r="F4572" s="0" t="s">
        <v>64</v>
      </c>
      <c r="I4572" s="0" t="n">
        <v>651350</v>
      </c>
      <c r="J4572" s="0" t="n">
        <v>101251</v>
      </c>
      <c r="K4572" s="0" t="n">
        <v>7891022101096</v>
      </c>
      <c r="L4572" s="0" t="s">
        <v>4595</v>
      </c>
      <c r="N4572" s="0" t="n">
        <v>6</v>
      </c>
      <c r="O4572" s="0" t="n">
        <v>52.74</v>
      </c>
      <c r="P4572" s="0" t="s">
        <v>2444</v>
      </c>
    </row>
    <row r="4573" customFormat="false" ht="15" hidden="false" customHeight="true" outlineLevel="0" collapsed="false">
      <c r="A4573" s="0" t="n">
        <v>2</v>
      </c>
      <c r="B4573" s="71" t="n">
        <v>46226</v>
      </c>
      <c r="C4573" s="0" t="n">
        <v>11</v>
      </c>
      <c r="D4573" s="0" t="s">
        <v>2471</v>
      </c>
      <c r="E4573" s="0" t="n">
        <v>1616</v>
      </c>
      <c r="F4573" s="0" t="s">
        <v>64</v>
      </c>
      <c r="I4573" s="0" t="n">
        <v>651350</v>
      </c>
      <c r="J4573" s="0" t="n">
        <v>101252</v>
      </c>
      <c r="K4573" s="0" t="n">
        <v>7891022101478</v>
      </c>
      <c r="L4573" s="0" t="s">
        <v>4595</v>
      </c>
      <c r="N4573" s="0" t="n">
        <v>6</v>
      </c>
      <c r="O4573" s="0" t="n">
        <v>52.74</v>
      </c>
      <c r="P4573" s="0" t="s">
        <v>2444</v>
      </c>
    </row>
    <row r="4574" customFormat="false" ht="15" hidden="false" customHeight="true" outlineLevel="0" collapsed="false">
      <c r="A4574" s="0" t="n">
        <v>2</v>
      </c>
      <c r="B4574" s="71" t="n">
        <v>46226</v>
      </c>
      <c r="C4574" s="0" t="n">
        <v>11</v>
      </c>
      <c r="D4574" s="0" t="s">
        <v>2471</v>
      </c>
      <c r="E4574" s="0" t="n">
        <v>1616</v>
      </c>
      <c r="F4574" s="0" t="s">
        <v>64</v>
      </c>
      <c r="I4574" s="0" t="n">
        <v>651350</v>
      </c>
      <c r="J4574" s="0" t="n">
        <v>101253</v>
      </c>
      <c r="K4574" s="0" t="n">
        <v>7891022100334</v>
      </c>
      <c r="L4574" s="0" t="s">
        <v>4596</v>
      </c>
      <c r="N4574" s="0" t="n">
        <v>6</v>
      </c>
      <c r="O4574" s="0" t="n">
        <v>52.74</v>
      </c>
      <c r="P4574" s="0" t="s">
        <v>2444</v>
      </c>
    </row>
    <row r="4575" customFormat="false" ht="15" hidden="false" customHeight="true" outlineLevel="0" collapsed="false">
      <c r="A4575" s="0" t="n">
        <v>2</v>
      </c>
      <c r="B4575" s="71" t="n">
        <v>46226</v>
      </c>
      <c r="C4575" s="0" t="n">
        <v>11</v>
      </c>
      <c r="D4575" s="0" t="s">
        <v>2471</v>
      </c>
      <c r="E4575" s="0" t="n">
        <v>1616</v>
      </c>
      <c r="F4575" s="0" t="s">
        <v>64</v>
      </c>
      <c r="I4575" s="0" t="n">
        <v>651350</v>
      </c>
      <c r="J4575" s="0" t="n">
        <v>101254</v>
      </c>
      <c r="K4575" s="0" t="n">
        <v>7891022080049</v>
      </c>
      <c r="L4575" s="0" t="s">
        <v>4597</v>
      </c>
      <c r="N4575" s="0" t="n">
        <v>6</v>
      </c>
      <c r="O4575" s="0" t="n">
        <v>52.74</v>
      </c>
      <c r="P4575" s="0" t="s">
        <v>2444</v>
      </c>
    </row>
    <row r="4576" customFormat="false" ht="15" hidden="false" customHeight="true" outlineLevel="0" collapsed="false">
      <c r="A4576" s="0" t="n">
        <v>2</v>
      </c>
      <c r="B4576" s="71" t="n">
        <v>46226</v>
      </c>
      <c r="C4576" s="0" t="n">
        <v>11</v>
      </c>
      <c r="D4576" s="0" t="s">
        <v>2471</v>
      </c>
      <c r="E4576" s="0" t="n">
        <v>1616</v>
      </c>
      <c r="F4576" s="0" t="s">
        <v>64</v>
      </c>
      <c r="I4576" s="0" t="n">
        <v>651350</v>
      </c>
      <c r="J4576" s="0" t="n">
        <v>11583</v>
      </c>
      <c r="K4576" s="0" t="n">
        <v>7891022854244</v>
      </c>
      <c r="L4576" s="0" t="s">
        <v>4598</v>
      </c>
      <c r="N4576" s="0" t="n">
        <v>12</v>
      </c>
      <c r="O4576" s="0" t="n">
        <v>52.68</v>
      </c>
      <c r="P4576" s="0" t="s">
        <v>2444</v>
      </c>
    </row>
    <row r="4577" customFormat="false" ht="15" hidden="false" customHeight="true" outlineLevel="0" collapsed="false">
      <c r="A4577" s="0" t="n">
        <v>2</v>
      </c>
      <c r="B4577" s="71" t="n">
        <v>46226</v>
      </c>
      <c r="C4577" s="0" t="n">
        <v>11</v>
      </c>
      <c r="D4577" s="0" t="s">
        <v>2471</v>
      </c>
      <c r="E4577" s="0" t="n">
        <v>1616</v>
      </c>
      <c r="F4577" s="0" t="s">
        <v>64</v>
      </c>
      <c r="I4577" s="0" t="n">
        <v>651350</v>
      </c>
      <c r="J4577" s="0" t="n">
        <v>11584</v>
      </c>
      <c r="K4577" s="0" t="n">
        <v>7891022854336</v>
      </c>
      <c r="L4577" s="0" t="s">
        <v>4599</v>
      </c>
      <c r="N4577" s="0" t="n">
        <v>12</v>
      </c>
      <c r="O4577" s="0" t="n">
        <v>52.68</v>
      </c>
      <c r="P4577" s="0" t="s">
        <v>2444</v>
      </c>
    </row>
    <row r="4578" customFormat="false" ht="15" hidden="false" customHeight="true" outlineLevel="0" collapsed="false">
      <c r="A4578" s="0" t="n">
        <v>2</v>
      </c>
      <c r="B4578" s="71" t="n">
        <v>46226</v>
      </c>
      <c r="C4578" s="0" t="n">
        <v>11</v>
      </c>
      <c r="D4578" s="0" t="s">
        <v>2471</v>
      </c>
      <c r="E4578" s="0" t="n">
        <v>1616</v>
      </c>
      <c r="F4578" s="0" t="s">
        <v>64</v>
      </c>
      <c r="I4578" s="0" t="n">
        <v>651350</v>
      </c>
      <c r="J4578" s="0" t="n">
        <v>11739</v>
      </c>
      <c r="K4578" s="0" t="n">
        <v>7891022854794</v>
      </c>
      <c r="L4578" s="0" t="s">
        <v>4600</v>
      </c>
      <c r="N4578" s="0" t="n">
        <v>12</v>
      </c>
      <c r="O4578" s="0" t="n">
        <v>52.68</v>
      </c>
      <c r="P4578" s="0" t="s">
        <v>2444</v>
      </c>
    </row>
    <row r="4579" customFormat="false" ht="15" hidden="false" customHeight="true" outlineLevel="0" collapsed="false">
      <c r="A4579" s="0" t="n">
        <v>2</v>
      </c>
      <c r="B4579" s="71" t="n">
        <v>46226</v>
      </c>
      <c r="C4579" s="0" t="n">
        <v>11</v>
      </c>
      <c r="D4579" s="0" t="s">
        <v>2471</v>
      </c>
      <c r="E4579" s="0" t="n">
        <v>1616</v>
      </c>
      <c r="F4579" s="0" t="s">
        <v>64</v>
      </c>
      <c r="I4579" s="0" t="n">
        <v>651350</v>
      </c>
      <c r="J4579" s="0" t="n">
        <v>21704</v>
      </c>
      <c r="K4579" s="0" t="n">
        <v>7891022854787</v>
      </c>
      <c r="L4579" s="0" t="s">
        <v>4601</v>
      </c>
      <c r="N4579" s="0" t="n">
        <v>12</v>
      </c>
      <c r="O4579" s="0" t="n">
        <v>52.68</v>
      </c>
      <c r="P4579" s="0" t="s">
        <v>2444</v>
      </c>
    </row>
    <row r="4580" customFormat="false" ht="15" hidden="false" customHeight="true" outlineLevel="0" collapsed="false">
      <c r="A4580" s="0" t="n">
        <v>2</v>
      </c>
      <c r="B4580" s="71" t="n">
        <v>46226</v>
      </c>
      <c r="C4580" s="0" t="n">
        <v>11</v>
      </c>
      <c r="D4580" s="0" t="s">
        <v>2471</v>
      </c>
      <c r="E4580" s="0" t="n">
        <v>1616</v>
      </c>
      <c r="F4580" s="0" t="s">
        <v>64</v>
      </c>
      <c r="I4580" s="0" t="n">
        <v>651350</v>
      </c>
      <c r="J4580" s="0" t="n">
        <v>29289</v>
      </c>
      <c r="K4580" s="0" t="n">
        <v>7896058256406</v>
      </c>
      <c r="L4580" s="0" t="s">
        <v>4602</v>
      </c>
      <c r="N4580" s="0" t="n">
        <v>1</v>
      </c>
      <c r="O4580" s="0" t="n">
        <v>2.2</v>
      </c>
      <c r="P4580" s="0" t="s">
        <v>2444</v>
      </c>
    </row>
    <row r="4581" customFormat="false" ht="15" hidden="false" customHeight="true" outlineLevel="0" collapsed="false">
      <c r="A4581" s="0" t="n">
        <v>2</v>
      </c>
      <c r="B4581" s="71" t="n">
        <v>46226</v>
      </c>
      <c r="C4581" s="0" t="n">
        <v>11</v>
      </c>
      <c r="D4581" s="0" t="s">
        <v>2471</v>
      </c>
      <c r="E4581" s="0" t="n">
        <v>1616</v>
      </c>
      <c r="F4581" s="0" t="s">
        <v>64</v>
      </c>
      <c r="I4581" s="0" t="n">
        <v>651350</v>
      </c>
      <c r="J4581" s="0" t="n">
        <v>75872</v>
      </c>
      <c r="K4581" s="0" t="n">
        <v>7891022868036</v>
      </c>
      <c r="L4581" s="0" t="s">
        <v>4603</v>
      </c>
      <c r="N4581" s="0" t="n">
        <v>100</v>
      </c>
      <c r="O4581" s="0" t="n">
        <v>225</v>
      </c>
      <c r="P4581" s="0" t="s">
        <v>2444</v>
      </c>
    </row>
    <row r="4582" customFormat="false" ht="15" hidden="false" customHeight="true" outlineLevel="0" collapsed="false">
      <c r="A4582" s="0" t="n">
        <v>2</v>
      </c>
      <c r="B4582" s="71" t="n">
        <v>46226</v>
      </c>
      <c r="C4582" s="0" t="n">
        <v>11</v>
      </c>
      <c r="D4582" s="0" t="s">
        <v>2471</v>
      </c>
      <c r="E4582" s="0" t="n">
        <v>1616</v>
      </c>
      <c r="F4582" s="0" t="s">
        <v>64</v>
      </c>
      <c r="I4582" s="0" t="n">
        <v>651350</v>
      </c>
      <c r="J4582" s="0" t="n">
        <v>78494</v>
      </c>
      <c r="K4582" s="0" t="n">
        <v>7891022868005</v>
      </c>
      <c r="L4582" s="0" t="s">
        <v>4604</v>
      </c>
      <c r="N4582" s="0" t="n">
        <v>12</v>
      </c>
      <c r="O4582" s="0" t="n">
        <v>29.75</v>
      </c>
      <c r="P4582" s="0" t="s">
        <v>2444</v>
      </c>
    </row>
    <row r="4583" customFormat="false" ht="15" hidden="false" customHeight="true" outlineLevel="0" collapsed="false">
      <c r="A4583" s="0" t="n">
        <v>2</v>
      </c>
      <c r="B4583" s="71" t="n">
        <v>46226</v>
      </c>
      <c r="C4583" s="0" t="n">
        <v>11</v>
      </c>
      <c r="D4583" s="0" t="s">
        <v>2471</v>
      </c>
      <c r="E4583" s="0" t="n">
        <v>1616</v>
      </c>
      <c r="F4583" s="0" t="s">
        <v>64</v>
      </c>
      <c r="I4583" s="0" t="n">
        <v>651350</v>
      </c>
      <c r="J4583" s="0" t="n">
        <v>81829</v>
      </c>
      <c r="K4583" s="0" t="n">
        <v>7891022867732</v>
      </c>
      <c r="L4583" s="0" t="s">
        <v>4605</v>
      </c>
      <c r="N4583" s="0" t="n">
        <v>6</v>
      </c>
      <c r="O4583" s="0" t="n">
        <v>48.6</v>
      </c>
      <c r="P4583" s="0" t="s">
        <v>2444</v>
      </c>
    </row>
    <row r="4584" customFormat="false" ht="15" hidden="false" customHeight="true" outlineLevel="0" collapsed="false">
      <c r="A4584" s="0" t="n">
        <v>2</v>
      </c>
      <c r="B4584" s="71" t="n">
        <v>46226</v>
      </c>
      <c r="C4584" s="0" t="n">
        <v>11</v>
      </c>
      <c r="D4584" s="0" t="s">
        <v>2471</v>
      </c>
      <c r="E4584" s="0" t="n">
        <v>1659</v>
      </c>
      <c r="F4584" s="0" t="s">
        <v>214</v>
      </c>
      <c r="I4584" s="0" t="n">
        <v>886799</v>
      </c>
      <c r="J4584" s="0" t="n">
        <v>102350</v>
      </c>
      <c r="K4584" s="0" t="n">
        <v>7891030003016</v>
      </c>
      <c r="L4584" s="0" t="s">
        <v>3118</v>
      </c>
      <c r="N4584" s="0" t="n">
        <v>135</v>
      </c>
      <c r="O4584" s="0" t="n">
        <v>195.25</v>
      </c>
      <c r="P4584" s="0" t="s">
        <v>2444</v>
      </c>
    </row>
    <row r="4585" customFormat="false" ht="15" hidden="false" customHeight="true" outlineLevel="0" collapsed="false">
      <c r="A4585" s="0" t="n">
        <v>2</v>
      </c>
      <c r="B4585" s="71" t="n">
        <v>46226</v>
      </c>
      <c r="C4585" s="0" t="n">
        <v>11</v>
      </c>
      <c r="D4585" s="0" t="s">
        <v>2471</v>
      </c>
      <c r="E4585" s="0" t="n">
        <v>1659</v>
      </c>
      <c r="F4585" s="0" t="s">
        <v>214</v>
      </c>
      <c r="I4585" s="0" t="n">
        <v>886799</v>
      </c>
      <c r="J4585" s="0" t="n">
        <v>102592</v>
      </c>
      <c r="K4585" s="0" t="n">
        <v>7891030003467</v>
      </c>
      <c r="L4585" s="0" t="s">
        <v>2770</v>
      </c>
      <c r="N4585" s="0" t="n">
        <v>270</v>
      </c>
      <c r="O4585" s="0" t="n">
        <v>738.3</v>
      </c>
      <c r="P4585" s="0" t="s">
        <v>2444</v>
      </c>
    </row>
    <row r="4586" customFormat="false" ht="15" hidden="false" customHeight="true" outlineLevel="0" collapsed="false">
      <c r="A4586" s="0" t="n">
        <v>2</v>
      </c>
      <c r="B4586" s="71" t="n">
        <v>46226</v>
      </c>
      <c r="C4586" s="0" t="n">
        <v>11</v>
      </c>
      <c r="D4586" s="0" t="s">
        <v>2471</v>
      </c>
      <c r="E4586" s="0" t="n">
        <v>1659</v>
      </c>
      <c r="F4586" s="0" t="s">
        <v>214</v>
      </c>
      <c r="I4586" s="0" t="n">
        <v>886799</v>
      </c>
      <c r="J4586" s="0" t="n">
        <v>10644</v>
      </c>
      <c r="K4586" s="0" t="n">
        <v>7891030002033</v>
      </c>
      <c r="L4586" s="0" t="s">
        <v>4606</v>
      </c>
      <c r="N4586" s="0" t="n">
        <v>135</v>
      </c>
      <c r="O4586" s="0" t="n">
        <v>913.2</v>
      </c>
      <c r="P4586" s="0" t="s">
        <v>2444</v>
      </c>
    </row>
    <row r="4587" customFormat="false" ht="15" hidden="false" customHeight="true" outlineLevel="0" collapsed="false">
      <c r="A4587" s="0" t="n">
        <v>2</v>
      </c>
      <c r="B4587" s="71" t="n">
        <v>46226</v>
      </c>
      <c r="C4587" s="0" t="n">
        <v>11</v>
      </c>
      <c r="D4587" s="0" t="s">
        <v>2471</v>
      </c>
      <c r="E4587" s="0" t="n">
        <v>1659</v>
      </c>
      <c r="F4587" s="0" t="s">
        <v>214</v>
      </c>
      <c r="I4587" s="0" t="n">
        <v>886799</v>
      </c>
      <c r="J4587" s="0" t="n">
        <v>25369</v>
      </c>
      <c r="K4587" s="0" t="n">
        <v>7898959504464</v>
      </c>
      <c r="L4587" s="0" t="s">
        <v>3107</v>
      </c>
      <c r="N4587" s="0" t="n">
        <v>24</v>
      </c>
      <c r="O4587" s="0" t="n">
        <v>70.13</v>
      </c>
      <c r="P4587" s="0" t="s">
        <v>2444</v>
      </c>
    </row>
    <row r="4588" customFormat="false" ht="15" hidden="false" customHeight="true" outlineLevel="0" collapsed="false">
      <c r="A4588" s="0" t="n">
        <v>2</v>
      </c>
      <c r="B4588" s="71" t="n">
        <v>46226</v>
      </c>
      <c r="C4588" s="0" t="n">
        <v>11</v>
      </c>
      <c r="D4588" s="0" t="s">
        <v>2471</v>
      </c>
      <c r="E4588" s="0" t="n">
        <v>1659</v>
      </c>
      <c r="F4588" s="0" t="s">
        <v>214</v>
      </c>
      <c r="I4588" s="0" t="n">
        <v>886799</v>
      </c>
      <c r="J4588" s="0" t="n">
        <v>27534</v>
      </c>
      <c r="K4588" s="0" t="n">
        <v>7898959504068</v>
      </c>
      <c r="L4588" s="0" t="s">
        <v>3105</v>
      </c>
      <c r="N4588" s="0" t="n">
        <v>25</v>
      </c>
      <c r="O4588" s="0" t="n">
        <v>337.22</v>
      </c>
      <c r="P4588" s="0" t="s">
        <v>2444</v>
      </c>
    </row>
    <row r="4589" customFormat="false" ht="15" hidden="false" customHeight="true" outlineLevel="0" collapsed="false">
      <c r="A4589" s="0" t="n">
        <v>2</v>
      </c>
      <c r="B4589" s="71" t="n">
        <v>46226</v>
      </c>
      <c r="C4589" s="0" t="n">
        <v>11</v>
      </c>
      <c r="D4589" s="0" t="s">
        <v>2471</v>
      </c>
      <c r="E4589" s="0" t="n">
        <v>1659</v>
      </c>
      <c r="F4589" s="0" t="s">
        <v>214</v>
      </c>
      <c r="I4589" s="0" t="n">
        <v>886799</v>
      </c>
      <c r="J4589" s="0" t="n">
        <v>29497</v>
      </c>
      <c r="K4589" s="0" t="n">
        <v>7891030300207</v>
      </c>
      <c r="L4589" s="0" t="s">
        <v>4607</v>
      </c>
      <c r="N4589" s="0" t="n">
        <v>135</v>
      </c>
      <c r="O4589" s="0" t="n">
        <v>504.5</v>
      </c>
      <c r="P4589" s="0" t="s">
        <v>2444</v>
      </c>
    </row>
    <row r="4590" customFormat="false" ht="15" hidden="false" customHeight="true" outlineLevel="0" collapsed="false">
      <c r="A4590" s="0" t="n">
        <v>2</v>
      </c>
      <c r="B4590" s="71" t="n">
        <v>46226</v>
      </c>
      <c r="C4590" s="0" t="n">
        <v>11</v>
      </c>
      <c r="D4590" s="0" t="s">
        <v>2471</v>
      </c>
      <c r="E4590" s="0" t="n">
        <v>1659</v>
      </c>
      <c r="F4590" s="0" t="s">
        <v>214</v>
      </c>
      <c r="I4590" s="0" t="n">
        <v>886799</v>
      </c>
      <c r="J4590" s="0" t="n">
        <v>31312</v>
      </c>
      <c r="K4590" s="0" t="n">
        <v>7891030300306</v>
      </c>
      <c r="L4590" s="0" t="s">
        <v>3119</v>
      </c>
      <c r="N4590" s="0" t="n">
        <v>135</v>
      </c>
      <c r="O4590" s="0" t="n">
        <v>259.5</v>
      </c>
      <c r="P4590" s="0" t="s">
        <v>2444</v>
      </c>
    </row>
    <row r="4591" customFormat="false" ht="15" hidden="false" customHeight="true" outlineLevel="0" collapsed="false">
      <c r="A4591" s="0" t="n">
        <v>2</v>
      </c>
      <c r="B4591" s="71" t="n">
        <v>46226</v>
      </c>
      <c r="C4591" s="0" t="n">
        <v>11</v>
      </c>
      <c r="D4591" s="0" t="s">
        <v>2471</v>
      </c>
      <c r="E4591" s="0" t="n">
        <v>1683</v>
      </c>
      <c r="F4591" s="0" t="s">
        <v>406</v>
      </c>
      <c r="I4591" s="0" t="n">
        <v>1651550</v>
      </c>
      <c r="J4591" s="0" t="n">
        <v>109791</v>
      </c>
      <c r="K4591" s="0" t="n">
        <v>9667</v>
      </c>
      <c r="L4591" s="0" t="s">
        <v>2465</v>
      </c>
      <c r="N4591" s="0" t="n">
        <v>15</v>
      </c>
      <c r="O4591" s="0" t="n">
        <v>22.5</v>
      </c>
      <c r="P4591" s="0" t="s">
        <v>2444</v>
      </c>
    </row>
    <row r="4592" customFormat="false" ht="15" hidden="false" customHeight="true" outlineLevel="0" collapsed="false">
      <c r="A4592" s="0" t="n">
        <v>2</v>
      </c>
      <c r="B4592" s="71" t="n">
        <v>46226</v>
      </c>
      <c r="C4592" s="0" t="n">
        <v>11</v>
      </c>
      <c r="D4592" s="0" t="s">
        <v>2471</v>
      </c>
      <c r="E4592" s="0" t="n">
        <v>1683</v>
      </c>
      <c r="F4592" s="0" t="s">
        <v>406</v>
      </c>
      <c r="I4592" s="0" t="n">
        <v>1651550</v>
      </c>
      <c r="J4592" s="0" t="n">
        <v>37361</v>
      </c>
      <c r="K4592" s="0" t="n">
        <v>2240817</v>
      </c>
      <c r="L4592" s="0" t="s">
        <v>2467</v>
      </c>
      <c r="N4592" s="0" t="n">
        <v>60</v>
      </c>
      <c r="O4592" s="0" t="n">
        <v>108</v>
      </c>
      <c r="P4592" s="0" t="s">
        <v>2444</v>
      </c>
    </row>
    <row r="4593" customFormat="false" ht="15" hidden="false" customHeight="true" outlineLevel="0" collapsed="false">
      <c r="A4593" s="0" t="n">
        <v>2</v>
      </c>
      <c r="B4593" s="71" t="n">
        <v>46226</v>
      </c>
      <c r="C4593" s="0" t="n">
        <v>11</v>
      </c>
      <c r="D4593" s="0" t="s">
        <v>2471</v>
      </c>
      <c r="E4593" s="0" t="n">
        <v>1608</v>
      </c>
      <c r="F4593" s="0" t="s">
        <v>240</v>
      </c>
      <c r="I4593" s="0" t="n">
        <v>1697796</v>
      </c>
      <c r="J4593" s="0" t="n">
        <v>66089</v>
      </c>
      <c r="K4593" s="0" t="n">
        <v>7892840822323</v>
      </c>
      <c r="L4593" s="0" t="s">
        <v>3539</v>
      </c>
      <c r="N4593" s="0" t="n">
        <v>180</v>
      </c>
      <c r="O4593" s="0" t="n">
        <v>1188</v>
      </c>
      <c r="P4593" s="0" t="s">
        <v>2444</v>
      </c>
    </row>
    <row r="4594" customFormat="false" ht="15" hidden="false" customHeight="true" outlineLevel="0" collapsed="false">
      <c r="A4594" s="0" t="n">
        <v>2</v>
      </c>
      <c r="B4594" s="71" t="n">
        <v>46226</v>
      </c>
      <c r="C4594" s="0" t="n">
        <v>22</v>
      </c>
      <c r="D4594" s="0" t="s">
        <v>2479</v>
      </c>
      <c r="E4594" s="0" t="n">
        <v>48</v>
      </c>
      <c r="F4594" s="0" t="s">
        <v>153</v>
      </c>
      <c r="I4594" s="0" t="n">
        <v>2559</v>
      </c>
      <c r="J4594" s="0" t="n">
        <v>100000</v>
      </c>
      <c r="K4594" s="0" t="n">
        <v>1</v>
      </c>
      <c r="L4594" s="0" t="s">
        <v>2480</v>
      </c>
      <c r="N4594" s="0" t="n">
        <v>2.108</v>
      </c>
      <c r="O4594" s="0" t="n">
        <v>39.6</v>
      </c>
      <c r="P4594" s="0" t="s">
        <v>2444</v>
      </c>
    </row>
    <row r="4595" customFormat="false" ht="15" hidden="false" customHeight="true" outlineLevel="0" collapsed="false">
      <c r="A4595" s="0" t="n">
        <v>2</v>
      </c>
      <c r="B4595" s="71" t="n">
        <v>46226</v>
      </c>
      <c r="C4595" s="0" t="n">
        <v>22</v>
      </c>
      <c r="D4595" s="0" t="s">
        <v>2479</v>
      </c>
      <c r="E4595" s="0" t="n">
        <v>48</v>
      </c>
      <c r="F4595" s="0" t="s">
        <v>153</v>
      </c>
      <c r="I4595" s="0" t="n">
        <v>2559</v>
      </c>
      <c r="J4595" s="0" t="n">
        <v>100000</v>
      </c>
      <c r="K4595" s="0" t="n">
        <v>1</v>
      </c>
      <c r="L4595" s="0" t="s">
        <v>2480</v>
      </c>
      <c r="N4595" s="0" t="n">
        <v>3.55</v>
      </c>
      <c r="O4595" s="0" t="n">
        <v>70.77</v>
      </c>
      <c r="P4595" s="0" t="s">
        <v>2444</v>
      </c>
    </row>
    <row r="4596" customFormat="false" ht="15" hidden="false" customHeight="true" outlineLevel="0" collapsed="false">
      <c r="A4596" s="0" t="n">
        <v>2</v>
      </c>
      <c r="B4596" s="71" t="n">
        <v>46226</v>
      </c>
      <c r="C4596" s="0" t="n">
        <v>22</v>
      </c>
      <c r="D4596" s="0" t="s">
        <v>2479</v>
      </c>
      <c r="E4596" s="0" t="n">
        <v>48</v>
      </c>
      <c r="F4596" s="0" t="s">
        <v>153</v>
      </c>
      <c r="I4596" s="0" t="n">
        <v>2559</v>
      </c>
      <c r="J4596" s="0" t="n">
        <v>100001</v>
      </c>
      <c r="K4596" s="0" t="n">
        <v>2</v>
      </c>
      <c r="L4596" s="0" t="s">
        <v>2481</v>
      </c>
      <c r="N4596" s="0" t="n">
        <v>8.62</v>
      </c>
      <c r="O4596" s="0" t="n">
        <v>175.44</v>
      </c>
      <c r="P4596" s="0" t="s">
        <v>2444</v>
      </c>
    </row>
    <row r="4597" customFormat="false" ht="15" hidden="false" customHeight="true" outlineLevel="0" collapsed="false">
      <c r="A4597" s="0" t="n">
        <v>2</v>
      </c>
      <c r="B4597" s="71" t="n">
        <v>46226</v>
      </c>
      <c r="C4597" s="0" t="n">
        <v>22</v>
      </c>
      <c r="D4597" s="0" t="s">
        <v>2479</v>
      </c>
      <c r="E4597" s="0" t="n">
        <v>48</v>
      </c>
      <c r="F4597" s="0" t="s">
        <v>153</v>
      </c>
      <c r="I4597" s="0" t="n">
        <v>2559</v>
      </c>
      <c r="J4597" s="0" t="n">
        <v>100002</v>
      </c>
      <c r="K4597" s="0" t="n">
        <v>3</v>
      </c>
      <c r="L4597" s="0" t="s">
        <v>2482</v>
      </c>
      <c r="N4597" s="0" t="n">
        <v>15.99</v>
      </c>
      <c r="O4597" s="0" t="n">
        <v>375.52</v>
      </c>
      <c r="P4597" s="0" t="s">
        <v>2444</v>
      </c>
    </row>
    <row r="4598" customFormat="false" ht="15" hidden="false" customHeight="true" outlineLevel="0" collapsed="false">
      <c r="A4598" s="0" t="n">
        <v>2</v>
      </c>
      <c r="B4598" s="71" t="n">
        <v>46226</v>
      </c>
      <c r="C4598" s="0" t="n">
        <v>22</v>
      </c>
      <c r="D4598" s="0" t="s">
        <v>2479</v>
      </c>
      <c r="E4598" s="0" t="n">
        <v>48</v>
      </c>
      <c r="F4598" s="0" t="s">
        <v>153</v>
      </c>
      <c r="I4598" s="0" t="n">
        <v>2559</v>
      </c>
      <c r="J4598" s="0" t="n">
        <v>100003</v>
      </c>
      <c r="K4598" s="0" t="n">
        <v>4</v>
      </c>
      <c r="L4598" s="0" t="s">
        <v>2483</v>
      </c>
      <c r="N4598" s="0" t="n">
        <v>13.305</v>
      </c>
      <c r="O4598" s="0" t="n">
        <v>333.3</v>
      </c>
      <c r="P4598" s="0" t="s">
        <v>2444</v>
      </c>
    </row>
    <row r="4599" customFormat="false" ht="15" hidden="false" customHeight="true" outlineLevel="0" collapsed="false">
      <c r="A4599" s="0" t="n">
        <v>2</v>
      </c>
      <c r="B4599" s="71" t="n">
        <v>46226</v>
      </c>
      <c r="C4599" s="0" t="n">
        <v>22</v>
      </c>
      <c r="D4599" s="0" t="s">
        <v>2479</v>
      </c>
      <c r="E4599" s="0" t="n">
        <v>48</v>
      </c>
      <c r="F4599" s="0" t="s">
        <v>153</v>
      </c>
      <c r="I4599" s="0" t="n">
        <v>2559</v>
      </c>
      <c r="J4599" s="0" t="n">
        <v>100004</v>
      </c>
      <c r="K4599" s="0" t="n">
        <v>5</v>
      </c>
      <c r="L4599" s="0" t="s">
        <v>2484</v>
      </c>
      <c r="N4599" s="0" t="n">
        <v>0.628</v>
      </c>
      <c r="O4599" s="0" t="n">
        <v>13.76</v>
      </c>
      <c r="P4599" s="0" t="s">
        <v>2444</v>
      </c>
    </row>
    <row r="4600" customFormat="false" ht="15" hidden="false" customHeight="true" outlineLevel="0" collapsed="false">
      <c r="A4600" s="0" t="n">
        <v>2</v>
      </c>
      <c r="B4600" s="71" t="n">
        <v>46226</v>
      </c>
      <c r="C4600" s="0" t="n">
        <v>22</v>
      </c>
      <c r="D4600" s="0" t="s">
        <v>2479</v>
      </c>
      <c r="E4600" s="0" t="n">
        <v>48</v>
      </c>
      <c r="F4600" s="0" t="s">
        <v>153</v>
      </c>
      <c r="I4600" s="0" t="n">
        <v>2559</v>
      </c>
      <c r="J4600" s="0" t="n">
        <v>100005</v>
      </c>
      <c r="K4600" s="0" t="n">
        <v>6</v>
      </c>
      <c r="L4600" s="0" t="s">
        <v>2582</v>
      </c>
      <c r="N4600" s="0" t="n">
        <v>2.584</v>
      </c>
      <c r="O4600" s="0" t="n">
        <v>60.68</v>
      </c>
      <c r="P4600" s="0" t="s">
        <v>2444</v>
      </c>
    </row>
    <row r="4601" customFormat="false" ht="15" hidden="false" customHeight="true" outlineLevel="0" collapsed="false">
      <c r="A4601" s="0" t="n">
        <v>2</v>
      </c>
      <c r="B4601" s="71" t="n">
        <v>46226</v>
      </c>
      <c r="C4601" s="0" t="n">
        <v>22</v>
      </c>
      <c r="D4601" s="0" t="s">
        <v>2479</v>
      </c>
      <c r="E4601" s="0" t="n">
        <v>48</v>
      </c>
      <c r="F4601" s="0" t="s">
        <v>153</v>
      </c>
      <c r="I4601" s="0" t="n">
        <v>2559</v>
      </c>
      <c r="J4601" s="0" t="n">
        <v>100006</v>
      </c>
      <c r="K4601" s="0" t="n">
        <v>7</v>
      </c>
      <c r="L4601" s="0" t="s">
        <v>2485</v>
      </c>
      <c r="N4601" s="0" t="n">
        <v>2.682</v>
      </c>
      <c r="O4601" s="0" t="n">
        <v>75.75</v>
      </c>
      <c r="P4601" s="0" t="s">
        <v>2444</v>
      </c>
    </row>
    <row r="4602" customFormat="false" ht="15" hidden="false" customHeight="true" outlineLevel="0" collapsed="false">
      <c r="A4602" s="0" t="n">
        <v>2</v>
      </c>
      <c r="B4602" s="71" t="n">
        <v>46226</v>
      </c>
      <c r="C4602" s="0" t="n">
        <v>22</v>
      </c>
      <c r="D4602" s="0" t="s">
        <v>2479</v>
      </c>
      <c r="E4602" s="0" t="n">
        <v>48</v>
      </c>
      <c r="F4602" s="0" t="s">
        <v>153</v>
      </c>
      <c r="I4602" s="0" t="n">
        <v>2559</v>
      </c>
      <c r="J4602" s="0" t="n">
        <v>100007</v>
      </c>
      <c r="K4602" s="0" t="n">
        <v>8</v>
      </c>
      <c r="L4602" s="0" t="s">
        <v>2486</v>
      </c>
      <c r="N4602" s="0" t="n">
        <v>5.718</v>
      </c>
      <c r="O4602" s="0" t="n">
        <v>134.29</v>
      </c>
      <c r="P4602" s="0" t="s">
        <v>2444</v>
      </c>
    </row>
    <row r="4603" customFormat="false" ht="15" hidden="false" customHeight="true" outlineLevel="0" collapsed="false">
      <c r="A4603" s="0" t="n">
        <v>2</v>
      </c>
      <c r="B4603" s="71" t="n">
        <v>46226</v>
      </c>
      <c r="C4603" s="0" t="n">
        <v>22</v>
      </c>
      <c r="D4603" s="0" t="s">
        <v>2479</v>
      </c>
      <c r="E4603" s="0" t="n">
        <v>48</v>
      </c>
      <c r="F4603" s="0" t="s">
        <v>153</v>
      </c>
      <c r="I4603" s="0" t="n">
        <v>2559</v>
      </c>
      <c r="J4603" s="0" t="n">
        <v>100007</v>
      </c>
      <c r="K4603" s="0" t="n">
        <v>8</v>
      </c>
      <c r="L4603" s="0" t="s">
        <v>2486</v>
      </c>
      <c r="N4603" s="0" t="n">
        <v>4.364</v>
      </c>
      <c r="O4603" s="0" t="n">
        <v>108.76</v>
      </c>
      <c r="P4603" s="0" t="s">
        <v>2444</v>
      </c>
    </row>
    <row r="4604" customFormat="false" ht="15" hidden="false" customHeight="true" outlineLevel="0" collapsed="false">
      <c r="A4604" s="0" t="n">
        <v>2</v>
      </c>
      <c r="B4604" s="71" t="n">
        <v>46226</v>
      </c>
      <c r="C4604" s="0" t="n">
        <v>22</v>
      </c>
      <c r="D4604" s="0" t="s">
        <v>2479</v>
      </c>
      <c r="E4604" s="0" t="n">
        <v>48</v>
      </c>
      <c r="F4604" s="0" t="s">
        <v>153</v>
      </c>
      <c r="I4604" s="0" t="n">
        <v>2559</v>
      </c>
      <c r="J4604" s="0" t="n">
        <v>100008</v>
      </c>
      <c r="K4604" s="0" t="n">
        <v>9</v>
      </c>
      <c r="L4604" s="0" t="s">
        <v>2487</v>
      </c>
      <c r="N4604" s="0" t="n">
        <v>17.23</v>
      </c>
      <c r="O4604" s="0" t="n">
        <v>558.26</v>
      </c>
      <c r="P4604" s="0" t="s">
        <v>2444</v>
      </c>
    </row>
    <row r="4605" customFormat="false" ht="15" hidden="false" customHeight="true" outlineLevel="0" collapsed="false">
      <c r="A4605" s="0" t="n">
        <v>2</v>
      </c>
      <c r="B4605" s="71" t="n">
        <v>46226</v>
      </c>
      <c r="C4605" s="0" t="n">
        <v>22</v>
      </c>
      <c r="D4605" s="0" t="s">
        <v>2479</v>
      </c>
      <c r="E4605" s="0" t="n">
        <v>48</v>
      </c>
      <c r="F4605" s="0" t="s">
        <v>153</v>
      </c>
      <c r="I4605" s="0" t="n">
        <v>2559</v>
      </c>
      <c r="J4605" s="0" t="n">
        <v>100011</v>
      </c>
      <c r="K4605" s="0" t="n">
        <v>12</v>
      </c>
      <c r="L4605" s="0" t="s">
        <v>2488</v>
      </c>
      <c r="N4605" s="0" t="n">
        <v>10.16</v>
      </c>
      <c r="O4605" s="0" t="n">
        <v>371.4</v>
      </c>
      <c r="P4605" s="0" t="s">
        <v>2444</v>
      </c>
    </row>
    <row r="4606" customFormat="false" ht="15" hidden="false" customHeight="true" outlineLevel="0" collapsed="false">
      <c r="A4606" s="0" t="n">
        <v>2</v>
      </c>
      <c r="B4606" s="71" t="n">
        <v>46226</v>
      </c>
      <c r="C4606" s="0" t="n">
        <v>22</v>
      </c>
      <c r="D4606" s="0" t="s">
        <v>2479</v>
      </c>
      <c r="E4606" s="0" t="n">
        <v>48</v>
      </c>
      <c r="F4606" s="0" t="s">
        <v>153</v>
      </c>
      <c r="I4606" s="0" t="n">
        <v>2559</v>
      </c>
      <c r="J4606" s="0" t="n">
        <v>100012</v>
      </c>
      <c r="K4606" s="0" t="n">
        <v>13</v>
      </c>
      <c r="L4606" s="0" t="s">
        <v>2489</v>
      </c>
      <c r="N4606" s="0" t="n">
        <v>5.834</v>
      </c>
      <c r="O4606" s="0" t="n">
        <v>242.35</v>
      </c>
      <c r="P4606" s="0" t="s">
        <v>2444</v>
      </c>
    </row>
    <row r="4607" customFormat="false" ht="15" hidden="false" customHeight="true" outlineLevel="0" collapsed="false">
      <c r="A4607" s="0" t="n">
        <v>2</v>
      </c>
      <c r="B4607" s="71" t="n">
        <v>46226</v>
      </c>
      <c r="C4607" s="0" t="n">
        <v>22</v>
      </c>
      <c r="D4607" s="0" t="s">
        <v>2479</v>
      </c>
      <c r="E4607" s="0" t="n">
        <v>48</v>
      </c>
      <c r="F4607" s="0" t="s">
        <v>153</v>
      </c>
      <c r="I4607" s="0" t="n">
        <v>2559</v>
      </c>
      <c r="J4607" s="0" t="n">
        <v>100013</v>
      </c>
      <c r="K4607" s="0" t="n">
        <v>14</v>
      </c>
      <c r="L4607" s="0" t="s">
        <v>2490</v>
      </c>
      <c r="N4607" s="0" t="n">
        <v>11.545</v>
      </c>
      <c r="O4607" s="0" t="n">
        <v>508.37</v>
      </c>
      <c r="P4607" s="0" t="s">
        <v>2444</v>
      </c>
    </row>
    <row r="4608" customFormat="false" ht="15" hidden="false" customHeight="true" outlineLevel="0" collapsed="false">
      <c r="A4608" s="0" t="n">
        <v>2</v>
      </c>
      <c r="B4608" s="71" t="n">
        <v>46226</v>
      </c>
      <c r="C4608" s="0" t="n">
        <v>22</v>
      </c>
      <c r="D4608" s="0" t="s">
        <v>2479</v>
      </c>
      <c r="E4608" s="0" t="n">
        <v>48</v>
      </c>
      <c r="F4608" s="0" t="s">
        <v>153</v>
      </c>
      <c r="I4608" s="0" t="n">
        <v>2559</v>
      </c>
      <c r="J4608" s="0" t="n">
        <v>100014</v>
      </c>
      <c r="K4608" s="0" t="n">
        <v>15</v>
      </c>
      <c r="L4608" s="0" t="s">
        <v>2491</v>
      </c>
      <c r="N4608" s="0" t="n">
        <v>4.914</v>
      </c>
      <c r="O4608" s="0" t="n">
        <v>220.47</v>
      </c>
      <c r="P4608" s="0" t="s">
        <v>2444</v>
      </c>
    </row>
    <row r="4609" customFormat="false" ht="15" hidden="false" customHeight="true" outlineLevel="0" collapsed="false">
      <c r="A4609" s="0" t="n">
        <v>2</v>
      </c>
      <c r="B4609" s="71" t="n">
        <v>46226</v>
      </c>
      <c r="C4609" s="0" t="n">
        <v>22</v>
      </c>
      <c r="D4609" s="0" t="s">
        <v>2479</v>
      </c>
      <c r="E4609" s="0" t="n">
        <v>48</v>
      </c>
      <c r="F4609" s="0" t="s">
        <v>153</v>
      </c>
      <c r="I4609" s="0" t="n">
        <v>2559</v>
      </c>
      <c r="J4609" s="0" t="n">
        <v>100015</v>
      </c>
      <c r="K4609" s="0" t="n">
        <v>16</v>
      </c>
      <c r="L4609" s="0" t="s">
        <v>2492</v>
      </c>
      <c r="N4609" s="0" t="n">
        <v>1.78</v>
      </c>
      <c r="O4609" s="0" t="n">
        <v>70.98</v>
      </c>
      <c r="P4609" s="0" t="s">
        <v>2444</v>
      </c>
    </row>
    <row r="4610" customFormat="false" ht="15" hidden="false" customHeight="true" outlineLevel="0" collapsed="false">
      <c r="A4610" s="0" t="n">
        <v>2</v>
      </c>
      <c r="B4610" s="71" t="n">
        <v>46226</v>
      </c>
      <c r="C4610" s="0" t="n">
        <v>22</v>
      </c>
      <c r="D4610" s="0" t="s">
        <v>2479</v>
      </c>
      <c r="E4610" s="0" t="n">
        <v>48</v>
      </c>
      <c r="F4610" s="0" t="s">
        <v>153</v>
      </c>
      <c r="I4610" s="0" t="n">
        <v>2559</v>
      </c>
      <c r="J4610" s="0" t="n">
        <v>100016</v>
      </c>
      <c r="K4610" s="0" t="n">
        <v>17</v>
      </c>
      <c r="L4610" s="0" t="s">
        <v>2493</v>
      </c>
      <c r="N4610" s="0" t="n">
        <v>1.866</v>
      </c>
      <c r="O4610" s="0" t="n">
        <v>108.53</v>
      </c>
      <c r="P4610" s="0" t="s">
        <v>2444</v>
      </c>
    </row>
    <row r="4611" customFormat="false" ht="15" hidden="false" customHeight="true" outlineLevel="0" collapsed="false">
      <c r="A4611" s="0" t="n">
        <v>2</v>
      </c>
      <c r="B4611" s="71" t="n">
        <v>46226</v>
      </c>
      <c r="C4611" s="0" t="n">
        <v>22</v>
      </c>
      <c r="D4611" s="0" t="s">
        <v>2479</v>
      </c>
      <c r="E4611" s="0" t="n">
        <v>48</v>
      </c>
      <c r="F4611" s="0" t="s">
        <v>153</v>
      </c>
      <c r="I4611" s="0" t="n">
        <v>2559</v>
      </c>
      <c r="J4611" s="0" t="n">
        <v>100017</v>
      </c>
      <c r="K4611" s="0" t="n">
        <v>18</v>
      </c>
      <c r="L4611" s="0" t="s">
        <v>2494</v>
      </c>
      <c r="N4611" s="0" t="n">
        <v>1.732</v>
      </c>
      <c r="O4611" s="0" t="n">
        <v>100.73</v>
      </c>
      <c r="P4611" s="0" t="s">
        <v>2444</v>
      </c>
    </row>
    <row r="4612" customFormat="false" ht="15" hidden="false" customHeight="true" outlineLevel="0" collapsed="false">
      <c r="A4612" s="0" t="n">
        <v>2</v>
      </c>
      <c r="B4612" s="71" t="n">
        <v>46226</v>
      </c>
      <c r="C4612" s="0" t="n">
        <v>22</v>
      </c>
      <c r="D4612" s="0" t="s">
        <v>2479</v>
      </c>
      <c r="E4612" s="0" t="n">
        <v>48</v>
      </c>
      <c r="F4612" s="0" t="s">
        <v>153</v>
      </c>
      <c r="I4612" s="0" t="n">
        <v>2559</v>
      </c>
      <c r="J4612" s="0" t="n">
        <v>100019</v>
      </c>
      <c r="K4612" s="0" t="n">
        <v>20</v>
      </c>
      <c r="L4612" s="0" t="s">
        <v>3779</v>
      </c>
      <c r="N4612" s="0" t="n">
        <v>3.812</v>
      </c>
      <c r="O4612" s="0" t="n">
        <v>125.35</v>
      </c>
      <c r="P4612" s="0" t="s">
        <v>2444</v>
      </c>
    </row>
    <row r="4613" customFormat="false" ht="15" hidden="false" customHeight="true" outlineLevel="0" collapsed="false">
      <c r="A4613" s="0" t="n">
        <v>2</v>
      </c>
      <c r="B4613" s="71" t="n">
        <v>46226</v>
      </c>
      <c r="C4613" s="0" t="n">
        <v>22</v>
      </c>
      <c r="D4613" s="0" t="s">
        <v>2479</v>
      </c>
      <c r="E4613" s="0" t="n">
        <v>48</v>
      </c>
      <c r="F4613" s="0" t="s">
        <v>153</v>
      </c>
      <c r="I4613" s="0" t="n">
        <v>2559</v>
      </c>
      <c r="J4613" s="0" t="n">
        <v>100053</v>
      </c>
      <c r="K4613" s="0" t="n">
        <v>54</v>
      </c>
      <c r="L4613" s="0" t="s">
        <v>2495</v>
      </c>
      <c r="N4613" s="0" t="n">
        <v>1.478</v>
      </c>
      <c r="O4613" s="0" t="n">
        <v>54.03</v>
      </c>
      <c r="P4613" s="0" t="s">
        <v>2444</v>
      </c>
    </row>
    <row r="4614" customFormat="false" ht="15" hidden="false" customHeight="true" outlineLevel="0" collapsed="false">
      <c r="A4614" s="0" t="n">
        <v>2</v>
      </c>
      <c r="B4614" s="71" t="n">
        <v>46226</v>
      </c>
      <c r="C4614" s="0" t="n">
        <v>22</v>
      </c>
      <c r="D4614" s="0" t="s">
        <v>2479</v>
      </c>
      <c r="E4614" s="0" t="n">
        <v>48</v>
      </c>
      <c r="F4614" s="0" t="s">
        <v>153</v>
      </c>
      <c r="I4614" s="0" t="n">
        <v>2559</v>
      </c>
      <c r="J4614" s="0" t="n">
        <v>100638</v>
      </c>
      <c r="K4614" s="0" t="n">
        <v>508</v>
      </c>
      <c r="L4614" s="0" t="s">
        <v>2496</v>
      </c>
      <c r="N4614" s="0" t="n">
        <v>0.944</v>
      </c>
      <c r="O4614" s="0" t="n">
        <v>2.35</v>
      </c>
      <c r="P4614" s="0" t="s">
        <v>2444</v>
      </c>
    </row>
    <row r="4615" customFormat="false" ht="15" hidden="false" customHeight="true" outlineLevel="0" collapsed="false">
      <c r="A4615" s="0" t="n">
        <v>2</v>
      </c>
      <c r="B4615" s="71" t="n">
        <v>46226</v>
      </c>
      <c r="C4615" s="0" t="n">
        <v>22</v>
      </c>
      <c r="D4615" s="0" t="s">
        <v>2479</v>
      </c>
      <c r="E4615" s="0" t="n">
        <v>48</v>
      </c>
      <c r="F4615" s="0" t="s">
        <v>153</v>
      </c>
      <c r="I4615" s="0" t="n">
        <v>2559</v>
      </c>
      <c r="J4615" s="0" t="n">
        <v>100638</v>
      </c>
      <c r="K4615" s="0" t="n">
        <v>508</v>
      </c>
      <c r="L4615" s="0" t="s">
        <v>2496</v>
      </c>
      <c r="N4615" s="0" t="n">
        <v>1.462</v>
      </c>
      <c r="O4615" s="0" t="n">
        <v>3.42</v>
      </c>
      <c r="P4615" s="0" t="s">
        <v>2444</v>
      </c>
    </row>
    <row r="4616" customFormat="false" ht="15" hidden="false" customHeight="true" outlineLevel="0" collapsed="false">
      <c r="A4616" s="0" t="n">
        <v>2</v>
      </c>
      <c r="B4616" s="71" t="n">
        <v>46226</v>
      </c>
      <c r="C4616" s="0" t="n">
        <v>22</v>
      </c>
      <c r="D4616" s="0" t="s">
        <v>2479</v>
      </c>
      <c r="E4616" s="0" t="n">
        <v>48</v>
      </c>
      <c r="F4616" s="0" t="s">
        <v>153</v>
      </c>
      <c r="I4616" s="0" t="n">
        <v>2559</v>
      </c>
      <c r="J4616" s="0" t="n">
        <v>110137</v>
      </c>
      <c r="K4616" s="0" t="n">
        <v>13899</v>
      </c>
      <c r="L4616" s="0" t="s">
        <v>3780</v>
      </c>
      <c r="N4616" s="0" t="n">
        <v>3.182</v>
      </c>
      <c r="O4616" s="0" t="n">
        <v>12.43</v>
      </c>
      <c r="P4616" s="0" t="s">
        <v>2444</v>
      </c>
    </row>
    <row r="4617" customFormat="false" ht="15" hidden="false" customHeight="true" outlineLevel="0" collapsed="false">
      <c r="A4617" s="0" t="n">
        <v>2</v>
      </c>
      <c r="B4617" s="71" t="n">
        <v>46226</v>
      </c>
      <c r="C4617" s="0" t="n">
        <v>22</v>
      </c>
      <c r="D4617" s="0" t="s">
        <v>2479</v>
      </c>
      <c r="E4617" s="0" t="n">
        <v>48</v>
      </c>
      <c r="F4617" s="0" t="s">
        <v>153</v>
      </c>
      <c r="I4617" s="0" t="n">
        <v>2559</v>
      </c>
      <c r="J4617" s="0" t="n">
        <v>110137</v>
      </c>
      <c r="K4617" s="0" t="n">
        <v>13899</v>
      </c>
      <c r="L4617" s="0" t="s">
        <v>3780</v>
      </c>
      <c r="N4617" s="0" t="n">
        <v>10.815</v>
      </c>
      <c r="O4617" s="0" t="n">
        <v>44.85</v>
      </c>
      <c r="P4617" s="0" t="s">
        <v>2444</v>
      </c>
    </row>
    <row r="4618" customFormat="false" ht="15" hidden="false" customHeight="true" outlineLevel="0" collapsed="false">
      <c r="A4618" s="0" t="n">
        <v>2</v>
      </c>
      <c r="B4618" s="71" t="n">
        <v>46226</v>
      </c>
      <c r="C4618" s="0" t="n">
        <v>22</v>
      </c>
      <c r="D4618" s="0" t="s">
        <v>2479</v>
      </c>
      <c r="E4618" s="0" t="n">
        <v>48</v>
      </c>
      <c r="F4618" s="0" t="s">
        <v>153</v>
      </c>
      <c r="I4618" s="0" t="n">
        <v>2559</v>
      </c>
      <c r="J4618" s="0" t="n">
        <v>110455</v>
      </c>
      <c r="K4618" s="0" t="n">
        <v>53212</v>
      </c>
      <c r="L4618" s="0" t="s">
        <v>2498</v>
      </c>
      <c r="N4618" s="0" t="n">
        <v>0.491</v>
      </c>
      <c r="O4618" s="0" t="n">
        <v>0.01</v>
      </c>
      <c r="P4618" s="0" t="s">
        <v>2444</v>
      </c>
    </row>
    <row r="4619" customFormat="false" ht="15" hidden="false" customHeight="true" outlineLevel="0" collapsed="false">
      <c r="A4619" s="0" t="n">
        <v>2</v>
      </c>
      <c r="B4619" s="71" t="n">
        <v>46226</v>
      </c>
      <c r="C4619" s="0" t="n">
        <v>22</v>
      </c>
      <c r="D4619" s="0" t="s">
        <v>2479</v>
      </c>
      <c r="E4619" s="0" t="n">
        <v>48</v>
      </c>
      <c r="F4619" s="0" t="s">
        <v>153</v>
      </c>
      <c r="I4619" s="0" t="n">
        <v>2559</v>
      </c>
      <c r="J4619" s="0" t="n">
        <v>110455</v>
      </c>
      <c r="K4619" s="0" t="n">
        <v>53212</v>
      </c>
      <c r="L4619" s="0" t="s">
        <v>2498</v>
      </c>
      <c r="N4619" s="0" t="n">
        <v>0.406</v>
      </c>
      <c r="O4619" s="0" t="n">
        <v>0</v>
      </c>
      <c r="P4619" s="0" t="s">
        <v>2444</v>
      </c>
    </row>
    <row r="4620" customFormat="false" ht="15" hidden="false" customHeight="true" outlineLevel="0" collapsed="false">
      <c r="A4620" s="0" t="n">
        <v>2</v>
      </c>
      <c r="B4620" s="71" t="n">
        <v>46226</v>
      </c>
      <c r="C4620" s="0" t="n">
        <v>100</v>
      </c>
      <c r="D4620" s="0" t="s">
        <v>2499</v>
      </c>
      <c r="E4620" s="0" t="n">
        <v>48</v>
      </c>
      <c r="F4620" s="0" t="s">
        <v>153</v>
      </c>
      <c r="I4620" s="0" t="n">
        <v>1439208</v>
      </c>
      <c r="J4620" s="0" t="n">
        <v>100000</v>
      </c>
      <c r="K4620" s="0" t="n">
        <v>1</v>
      </c>
      <c r="L4620" s="0" t="s">
        <v>2480</v>
      </c>
      <c r="N4620" s="0" t="n">
        <v>2.108</v>
      </c>
      <c r="O4620" s="0" t="n">
        <v>39.6</v>
      </c>
      <c r="P4620" s="0" t="s">
        <v>2444</v>
      </c>
    </row>
    <row r="4621" customFormat="false" ht="15" hidden="false" customHeight="true" outlineLevel="0" collapsed="false">
      <c r="A4621" s="0" t="n">
        <v>2</v>
      </c>
      <c r="B4621" s="71" t="n">
        <v>46226</v>
      </c>
      <c r="C4621" s="0" t="n">
        <v>100</v>
      </c>
      <c r="D4621" s="0" t="s">
        <v>2499</v>
      </c>
      <c r="E4621" s="0" t="n">
        <v>48</v>
      </c>
      <c r="F4621" s="0" t="s">
        <v>153</v>
      </c>
      <c r="I4621" s="0" t="n">
        <v>1439208</v>
      </c>
      <c r="J4621" s="0" t="n">
        <v>100001</v>
      </c>
      <c r="K4621" s="0" t="n">
        <v>2</v>
      </c>
      <c r="L4621" s="0" t="s">
        <v>2481</v>
      </c>
      <c r="N4621" s="0" t="n">
        <v>8.62</v>
      </c>
      <c r="O4621" s="0" t="n">
        <v>175.44</v>
      </c>
      <c r="P4621" s="0" t="s">
        <v>2444</v>
      </c>
    </row>
    <row r="4622" customFormat="false" ht="15" hidden="false" customHeight="true" outlineLevel="0" collapsed="false">
      <c r="A4622" s="0" t="n">
        <v>2</v>
      </c>
      <c r="B4622" s="71" t="n">
        <v>46226</v>
      </c>
      <c r="C4622" s="0" t="n">
        <v>100</v>
      </c>
      <c r="D4622" s="0" t="s">
        <v>2499</v>
      </c>
      <c r="E4622" s="0" t="n">
        <v>48</v>
      </c>
      <c r="F4622" s="0" t="s">
        <v>153</v>
      </c>
      <c r="I4622" s="0" t="n">
        <v>1439208</v>
      </c>
      <c r="J4622" s="0" t="n">
        <v>100002</v>
      </c>
      <c r="K4622" s="0" t="n">
        <v>3</v>
      </c>
      <c r="L4622" s="0" t="s">
        <v>2482</v>
      </c>
      <c r="N4622" s="0" t="n">
        <v>15.99</v>
      </c>
      <c r="O4622" s="0" t="n">
        <v>375.52</v>
      </c>
      <c r="P4622" s="0" t="s">
        <v>2444</v>
      </c>
    </row>
    <row r="4623" customFormat="false" ht="15" hidden="false" customHeight="true" outlineLevel="0" collapsed="false">
      <c r="A4623" s="0" t="n">
        <v>2</v>
      </c>
      <c r="B4623" s="71" t="n">
        <v>46226</v>
      </c>
      <c r="C4623" s="0" t="n">
        <v>100</v>
      </c>
      <c r="D4623" s="0" t="s">
        <v>2499</v>
      </c>
      <c r="E4623" s="0" t="n">
        <v>48</v>
      </c>
      <c r="F4623" s="0" t="s">
        <v>153</v>
      </c>
      <c r="I4623" s="0" t="n">
        <v>1439208</v>
      </c>
      <c r="J4623" s="0" t="n">
        <v>100003</v>
      </c>
      <c r="K4623" s="0" t="n">
        <v>4</v>
      </c>
      <c r="L4623" s="0" t="s">
        <v>2483</v>
      </c>
      <c r="N4623" s="0" t="n">
        <v>13.305</v>
      </c>
      <c r="O4623" s="0" t="n">
        <v>333.3</v>
      </c>
      <c r="P4623" s="0" t="s">
        <v>2444</v>
      </c>
    </row>
    <row r="4624" customFormat="false" ht="15" hidden="false" customHeight="true" outlineLevel="0" collapsed="false">
      <c r="A4624" s="0" t="n">
        <v>2</v>
      </c>
      <c r="B4624" s="71" t="n">
        <v>46226</v>
      </c>
      <c r="C4624" s="0" t="n">
        <v>100</v>
      </c>
      <c r="D4624" s="0" t="s">
        <v>2499</v>
      </c>
      <c r="E4624" s="0" t="n">
        <v>48</v>
      </c>
      <c r="F4624" s="0" t="s">
        <v>153</v>
      </c>
      <c r="I4624" s="0" t="n">
        <v>1439208</v>
      </c>
      <c r="J4624" s="0" t="n">
        <v>100004</v>
      </c>
      <c r="K4624" s="0" t="n">
        <v>5</v>
      </c>
      <c r="L4624" s="0" t="s">
        <v>2484</v>
      </c>
      <c r="N4624" s="0" t="n">
        <v>0.628</v>
      </c>
      <c r="O4624" s="0" t="n">
        <v>13.76</v>
      </c>
      <c r="P4624" s="0" t="s">
        <v>2444</v>
      </c>
    </row>
    <row r="4625" customFormat="false" ht="15" hidden="false" customHeight="true" outlineLevel="0" collapsed="false">
      <c r="A4625" s="0" t="n">
        <v>2</v>
      </c>
      <c r="B4625" s="71" t="n">
        <v>46226</v>
      </c>
      <c r="C4625" s="0" t="n">
        <v>100</v>
      </c>
      <c r="D4625" s="0" t="s">
        <v>2499</v>
      </c>
      <c r="E4625" s="0" t="n">
        <v>48</v>
      </c>
      <c r="F4625" s="0" t="s">
        <v>153</v>
      </c>
      <c r="I4625" s="0" t="n">
        <v>1439208</v>
      </c>
      <c r="J4625" s="0" t="n">
        <v>100005</v>
      </c>
      <c r="K4625" s="0" t="n">
        <v>6</v>
      </c>
      <c r="L4625" s="0" t="s">
        <v>2582</v>
      </c>
      <c r="N4625" s="0" t="n">
        <v>2.584</v>
      </c>
      <c r="O4625" s="0" t="n">
        <v>60.68</v>
      </c>
      <c r="P4625" s="0" t="s">
        <v>2444</v>
      </c>
    </row>
    <row r="4626" customFormat="false" ht="15" hidden="false" customHeight="true" outlineLevel="0" collapsed="false">
      <c r="A4626" s="0" t="n">
        <v>2</v>
      </c>
      <c r="B4626" s="71" t="n">
        <v>46226</v>
      </c>
      <c r="C4626" s="0" t="n">
        <v>100</v>
      </c>
      <c r="D4626" s="0" t="s">
        <v>2499</v>
      </c>
      <c r="E4626" s="0" t="n">
        <v>48</v>
      </c>
      <c r="F4626" s="0" t="s">
        <v>153</v>
      </c>
      <c r="I4626" s="0" t="n">
        <v>1439208</v>
      </c>
      <c r="J4626" s="0" t="n">
        <v>100007</v>
      </c>
      <c r="K4626" s="0" t="n">
        <v>8</v>
      </c>
      <c r="L4626" s="0" t="s">
        <v>2486</v>
      </c>
      <c r="N4626" s="0" t="n">
        <v>5.718</v>
      </c>
      <c r="O4626" s="0" t="n">
        <v>134.29</v>
      </c>
      <c r="P4626" s="0" t="s">
        <v>2444</v>
      </c>
    </row>
    <row r="4627" customFormat="false" ht="15" hidden="false" customHeight="true" outlineLevel="0" collapsed="false">
      <c r="A4627" s="0" t="n">
        <v>2</v>
      </c>
      <c r="B4627" s="71" t="n">
        <v>46226</v>
      </c>
      <c r="C4627" s="0" t="n">
        <v>100</v>
      </c>
      <c r="D4627" s="0" t="s">
        <v>2499</v>
      </c>
      <c r="E4627" s="0" t="n">
        <v>48</v>
      </c>
      <c r="F4627" s="0" t="s">
        <v>153</v>
      </c>
      <c r="I4627" s="0" t="n">
        <v>1439208</v>
      </c>
      <c r="J4627" s="0" t="n">
        <v>100019</v>
      </c>
      <c r="K4627" s="0" t="n">
        <v>20</v>
      </c>
      <c r="L4627" s="0" t="s">
        <v>3779</v>
      </c>
      <c r="N4627" s="0" t="n">
        <v>3.812</v>
      </c>
      <c r="O4627" s="0" t="n">
        <v>125.35</v>
      </c>
      <c r="P4627" s="0" t="s">
        <v>2444</v>
      </c>
    </row>
    <row r="4628" customFormat="false" ht="15" hidden="false" customHeight="true" outlineLevel="0" collapsed="false">
      <c r="A4628" s="0" t="n">
        <v>2</v>
      </c>
      <c r="B4628" s="71" t="n">
        <v>46226</v>
      </c>
      <c r="C4628" s="0" t="n">
        <v>100</v>
      </c>
      <c r="D4628" s="0" t="s">
        <v>2499</v>
      </c>
      <c r="E4628" s="0" t="n">
        <v>48</v>
      </c>
      <c r="F4628" s="0" t="s">
        <v>153</v>
      </c>
      <c r="I4628" s="0" t="n">
        <v>1439208</v>
      </c>
      <c r="J4628" s="0" t="n">
        <v>100638</v>
      </c>
      <c r="K4628" s="0" t="n">
        <v>508</v>
      </c>
      <c r="L4628" s="0" t="s">
        <v>2496</v>
      </c>
      <c r="N4628" s="0" t="n">
        <v>1.462</v>
      </c>
      <c r="O4628" s="0" t="n">
        <v>3.42</v>
      </c>
      <c r="P4628" s="0" t="s">
        <v>2444</v>
      </c>
    </row>
    <row r="4629" customFormat="false" ht="15" hidden="false" customHeight="true" outlineLevel="0" collapsed="false">
      <c r="A4629" s="0" t="n">
        <v>2</v>
      </c>
      <c r="B4629" s="71" t="n">
        <v>46226</v>
      </c>
      <c r="C4629" s="0" t="n">
        <v>100</v>
      </c>
      <c r="D4629" s="0" t="s">
        <v>2499</v>
      </c>
      <c r="E4629" s="0" t="n">
        <v>48</v>
      </c>
      <c r="F4629" s="0" t="s">
        <v>153</v>
      </c>
      <c r="I4629" s="0" t="n">
        <v>1439208</v>
      </c>
      <c r="J4629" s="0" t="n">
        <v>110137</v>
      </c>
      <c r="K4629" s="0" t="n">
        <v>13899</v>
      </c>
      <c r="L4629" s="0" t="s">
        <v>3780</v>
      </c>
      <c r="N4629" s="0" t="n">
        <v>3.182</v>
      </c>
      <c r="O4629" s="0" t="n">
        <v>12.43</v>
      </c>
      <c r="P4629" s="0" t="s">
        <v>2444</v>
      </c>
    </row>
    <row r="4630" customFormat="false" ht="15" hidden="false" customHeight="true" outlineLevel="0" collapsed="false">
      <c r="A4630" s="0" t="n">
        <v>2</v>
      </c>
      <c r="B4630" s="71" t="n">
        <v>46226</v>
      </c>
      <c r="C4630" s="0" t="n">
        <v>100</v>
      </c>
      <c r="D4630" s="0" t="s">
        <v>2499</v>
      </c>
      <c r="E4630" s="0" t="n">
        <v>48</v>
      </c>
      <c r="F4630" s="0" t="s">
        <v>153</v>
      </c>
      <c r="I4630" s="0" t="n">
        <v>1439208</v>
      </c>
      <c r="J4630" s="0" t="n">
        <v>110455</v>
      </c>
      <c r="K4630" s="0" t="n">
        <v>53212</v>
      </c>
      <c r="L4630" s="0" t="s">
        <v>2498</v>
      </c>
      <c r="N4630" s="0" t="n">
        <v>0.491</v>
      </c>
      <c r="O4630" s="0" t="n">
        <v>0.01</v>
      </c>
      <c r="P4630" s="0" t="s">
        <v>2444</v>
      </c>
    </row>
    <row r="4631" customFormat="false" ht="15" hidden="false" customHeight="true" outlineLevel="0" collapsed="false">
      <c r="A4631" s="0" t="n">
        <v>2</v>
      </c>
      <c r="B4631" s="71" t="n">
        <v>46226</v>
      </c>
      <c r="C4631" s="0" t="n">
        <v>100</v>
      </c>
      <c r="D4631" s="0" t="s">
        <v>2499</v>
      </c>
      <c r="E4631" s="0" t="n">
        <v>48</v>
      </c>
      <c r="F4631" s="0" t="s">
        <v>153</v>
      </c>
      <c r="I4631" s="0" t="n">
        <v>1439212</v>
      </c>
      <c r="J4631" s="0" t="n">
        <v>100000</v>
      </c>
      <c r="K4631" s="0" t="n">
        <v>1</v>
      </c>
      <c r="L4631" s="0" t="s">
        <v>2480</v>
      </c>
      <c r="N4631" s="0" t="n">
        <v>3.55</v>
      </c>
      <c r="O4631" s="0" t="n">
        <v>70.77</v>
      </c>
      <c r="P4631" s="0" t="s">
        <v>2444</v>
      </c>
    </row>
    <row r="4632" customFormat="false" ht="15" hidden="false" customHeight="true" outlineLevel="0" collapsed="false">
      <c r="A4632" s="0" t="n">
        <v>2</v>
      </c>
      <c r="B4632" s="71" t="n">
        <v>46226</v>
      </c>
      <c r="C4632" s="0" t="n">
        <v>100</v>
      </c>
      <c r="D4632" s="0" t="s">
        <v>2499</v>
      </c>
      <c r="E4632" s="0" t="n">
        <v>48</v>
      </c>
      <c r="F4632" s="0" t="s">
        <v>153</v>
      </c>
      <c r="I4632" s="0" t="n">
        <v>1439212</v>
      </c>
      <c r="J4632" s="0" t="n">
        <v>100006</v>
      </c>
      <c r="K4632" s="0" t="n">
        <v>7</v>
      </c>
      <c r="L4632" s="0" t="s">
        <v>2485</v>
      </c>
      <c r="N4632" s="0" t="n">
        <v>2.682</v>
      </c>
      <c r="O4632" s="0" t="n">
        <v>75.75</v>
      </c>
      <c r="P4632" s="0" t="s">
        <v>2444</v>
      </c>
    </row>
    <row r="4633" customFormat="false" ht="15" hidden="false" customHeight="true" outlineLevel="0" collapsed="false">
      <c r="A4633" s="0" t="n">
        <v>2</v>
      </c>
      <c r="B4633" s="71" t="n">
        <v>46226</v>
      </c>
      <c r="C4633" s="0" t="n">
        <v>100</v>
      </c>
      <c r="D4633" s="0" t="s">
        <v>2499</v>
      </c>
      <c r="E4633" s="0" t="n">
        <v>48</v>
      </c>
      <c r="F4633" s="0" t="s">
        <v>153</v>
      </c>
      <c r="I4633" s="0" t="n">
        <v>1439212</v>
      </c>
      <c r="J4633" s="0" t="n">
        <v>100007</v>
      </c>
      <c r="K4633" s="0" t="n">
        <v>8</v>
      </c>
      <c r="L4633" s="0" t="s">
        <v>2486</v>
      </c>
      <c r="N4633" s="0" t="n">
        <v>4.364</v>
      </c>
      <c r="O4633" s="0" t="n">
        <v>108.76</v>
      </c>
      <c r="P4633" s="0" t="s">
        <v>2444</v>
      </c>
    </row>
    <row r="4634" customFormat="false" ht="15" hidden="false" customHeight="true" outlineLevel="0" collapsed="false">
      <c r="A4634" s="0" t="n">
        <v>2</v>
      </c>
      <c r="B4634" s="71" t="n">
        <v>46226</v>
      </c>
      <c r="C4634" s="0" t="n">
        <v>100</v>
      </c>
      <c r="D4634" s="0" t="s">
        <v>2499</v>
      </c>
      <c r="E4634" s="0" t="n">
        <v>48</v>
      </c>
      <c r="F4634" s="0" t="s">
        <v>153</v>
      </c>
      <c r="I4634" s="0" t="n">
        <v>1439212</v>
      </c>
      <c r="J4634" s="0" t="n">
        <v>100008</v>
      </c>
      <c r="K4634" s="0" t="n">
        <v>9</v>
      </c>
      <c r="L4634" s="0" t="s">
        <v>2487</v>
      </c>
      <c r="N4634" s="0" t="n">
        <v>17.23</v>
      </c>
      <c r="O4634" s="0" t="n">
        <v>558.26</v>
      </c>
      <c r="P4634" s="0" t="s">
        <v>2444</v>
      </c>
    </row>
    <row r="4635" customFormat="false" ht="15" hidden="false" customHeight="true" outlineLevel="0" collapsed="false">
      <c r="A4635" s="0" t="n">
        <v>2</v>
      </c>
      <c r="B4635" s="71" t="n">
        <v>46226</v>
      </c>
      <c r="C4635" s="0" t="n">
        <v>100</v>
      </c>
      <c r="D4635" s="0" t="s">
        <v>2499</v>
      </c>
      <c r="E4635" s="0" t="n">
        <v>48</v>
      </c>
      <c r="F4635" s="0" t="s">
        <v>153</v>
      </c>
      <c r="I4635" s="0" t="n">
        <v>1439212</v>
      </c>
      <c r="J4635" s="0" t="n">
        <v>100011</v>
      </c>
      <c r="K4635" s="0" t="n">
        <v>12</v>
      </c>
      <c r="L4635" s="0" t="s">
        <v>2488</v>
      </c>
      <c r="N4635" s="0" t="n">
        <v>10.16</v>
      </c>
      <c r="O4635" s="0" t="n">
        <v>371.4</v>
      </c>
      <c r="P4635" s="0" t="s">
        <v>2444</v>
      </c>
    </row>
    <row r="4636" customFormat="false" ht="15" hidden="false" customHeight="true" outlineLevel="0" collapsed="false">
      <c r="A4636" s="0" t="n">
        <v>2</v>
      </c>
      <c r="B4636" s="71" t="n">
        <v>46226</v>
      </c>
      <c r="C4636" s="0" t="n">
        <v>100</v>
      </c>
      <c r="D4636" s="0" t="s">
        <v>2499</v>
      </c>
      <c r="E4636" s="0" t="n">
        <v>48</v>
      </c>
      <c r="F4636" s="0" t="s">
        <v>153</v>
      </c>
      <c r="I4636" s="0" t="n">
        <v>1439212</v>
      </c>
      <c r="J4636" s="0" t="n">
        <v>100012</v>
      </c>
      <c r="K4636" s="0" t="n">
        <v>13</v>
      </c>
      <c r="L4636" s="0" t="s">
        <v>2489</v>
      </c>
      <c r="N4636" s="0" t="n">
        <v>5.834</v>
      </c>
      <c r="O4636" s="0" t="n">
        <v>242.35</v>
      </c>
      <c r="P4636" s="0" t="s">
        <v>2444</v>
      </c>
    </row>
    <row r="4637" customFormat="false" ht="15" hidden="false" customHeight="true" outlineLevel="0" collapsed="false">
      <c r="A4637" s="0" t="n">
        <v>2</v>
      </c>
      <c r="B4637" s="71" t="n">
        <v>46226</v>
      </c>
      <c r="C4637" s="0" t="n">
        <v>100</v>
      </c>
      <c r="D4637" s="0" t="s">
        <v>2499</v>
      </c>
      <c r="E4637" s="0" t="n">
        <v>48</v>
      </c>
      <c r="F4637" s="0" t="s">
        <v>153</v>
      </c>
      <c r="I4637" s="0" t="n">
        <v>1439212</v>
      </c>
      <c r="J4637" s="0" t="n">
        <v>100013</v>
      </c>
      <c r="K4637" s="0" t="n">
        <v>14</v>
      </c>
      <c r="L4637" s="0" t="s">
        <v>2490</v>
      </c>
      <c r="N4637" s="0" t="n">
        <v>11.545</v>
      </c>
      <c r="O4637" s="0" t="n">
        <v>508.37</v>
      </c>
      <c r="P4637" s="0" t="s">
        <v>2444</v>
      </c>
    </row>
    <row r="4638" customFormat="false" ht="15" hidden="false" customHeight="true" outlineLevel="0" collapsed="false">
      <c r="A4638" s="0" t="n">
        <v>2</v>
      </c>
      <c r="B4638" s="71" t="n">
        <v>46226</v>
      </c>
      <c r="C4638" s="0" t="n">
        <v>100</v>
      </c>
      <c r="D4638" s="0" t="s">
        <v>2499</v>
      </c>
      <c r="E4638" s="0" t="n">
        <v>48</v>
      </c>
      <c r="F4638" s="0" t="s">
        <v>153</v>
      </c>
      <c r="I4638" s="0" t="n">
        <v>1439212</v>
      </c>
      <c r="J4638" s="0" t="n">
        <v>100014</v>
      </c>
      <c r="K4638" s="0" t="n">
        <v>15</v>
      </c>
      <c r="L4638" s="0" t="s">
        <v>2491</v>
      </c>
      <c r="N4638" s="0" t="n">
        <v>4.914</v>
      </c>
      <c r="O4638" s="0" t="n">
        <v>220.47</v>
      </c>
      <c r="P4638" s="0" t="s">
        <v>2444</v>
      </c>
    </row>
    <row r="4639" customFormat="false" ht="15" hidden="false" customHeight="true" outlineLevel="0" collapsed="false">
      <c r="A4639" s="0" t="n">
        <v>2</v>
      </c>
      <c r="B4639" s="71" t="n">
        <v>46226</v>
      </c>
      <c r="C4639" s="0" t="n">
        <v>100</v>
      </c>
      <c r="D4639" s="0" t="s">
        <v>2499</v>
      </c>
      <c r="E4639" s="0" t="n">
        <v>48</v>
      </c>
      <c r="F4639" s="0" t="s">
        <v>153</v>
      </c>
      <c r="I4639" s="0" t="n">
        <v>1439212</v>
      </c>
      <c r="J4639" s="0" t="n">
        <v>100015</v>
      </c>
      <c r="K4639" s="0" t="n">
        <v>16</v>
      </c>
      <c r="L4639" s="0" t="s">
        <v>2492</v>
      </c>
      <c r="N4639" s="0" t="n">
        <v>1.78</v>
      </c>
      <c r="O4639" s="0" t="n">
        <v>70.98</v>
      </c>
      <c r="P4639" s="0" t="s">
        <v>2444</v>
      </c>
    </row>
    <row r="4640" customFormat="false" ht="15" hidden="false" customHeight="true" outlineLevel="0" collapsed="false">
      <c r="A4640" s="0" t="n">
        <v>2</v>
      </c>
      <c r="B4640" s="71" t="n">
        <v>46226</v>
      </c>
      <c r="C4640" s="0" t="n">
        <v>100</v>
      </c>
      <c r="D4640" s="0" t="s">
        <v>2499</v>
      </c>
      <c r="E4640" s="0" t="n">
        <v>48</v>
      </c>
      <c r="F4640" s="0" t="s">
        <v>153</v>
      </c>
      <c r="I4640" s="0" t="n">
        <v>1439212</v>
      </c>
      <c r="J4640" s="0" t="n">
        <v>100016</v>
      </c>
      <c r="K4640" s="0" t="n">
        <v>17</v>
      </c>
      <c r="L4640" s="0" t="s">
        <v>2493</v>
      </c>
      <c r="N4640" s="0" t="n">
        <v>1.866</v>
      </c>
      <c r="O4640" s="0" t="n">
        <v>108.53</v>
      </c>
      <c r="P4640" s="0" t="s">
        <v>2444</v>
      </c>
    </row>
    <row r="4641" customFormat="false" ht="15" hidden="false" customHeight="true" outlineLevel="0" collapsed="false">
      <c r="A4641" s="0" t="n">
        <v>2</v>
      </c>
      <c r="B4641" s="71" t="n">
        <v>46226</v>
      </c>
      <c r="C4641" s="0" t="n">
        <v>100</v>
      </c>
      <c r="D4641" s="0" t="s">
        <v>2499</v>
      </c>
      <c r="E4641" s="0" t="n">
        <v>48</v>
      </c>
      <c r="F4641" s="0" t="s">
        <v>153</v>
      </c>
      <c r="I4641" s="0" t="n">
        <v>1439212</v>
      </c>
      <c r="J4641" s="0" t="n">
        <v>100017</v>
      </c>
      <c r="K4641" s="0" t="n">
        <v>18</v>
      </c>
      <c r="L4641" s="0" t="s">
        <v>2494</v>
      </c>
      <c r="N4641" s="0" t="n">
        <v>1.732</v>
      </c>
      <c r="O4641" s="0" t="n">
        <v>100.73</v>
      </c>
      <c r="P4641" s="0" t="s">
        <v>2444</v>
      </c>
    </row>
    <row r="4642" customFormat="false" ht="15" hidden="false" customHeight="true" outlineLevel="0" collapsed="false">
      <c r="A4642" s="0" t="n">
        <v>2</v>
      </c>
      <c r="B4642" s="71" t="n">
        <v>46226</v>
      </c>
      <c r="C4642" s="0" t="n">
        <v>100</v>
      </c>
      <c r="D4642" s="0" t="s">
        <v>2499</v>
      </c>
      <c r="E4642" s="0" t="n">
        <v>48</v>
      </c>
      <c r="F4642" s="0" t="s">
        <v>153</v>
      </c>
      <c r="I4642" s="0" t="n">
        <v>1439212</v>
      </c>
      <c r="J4642" s="0" t="n">
        <v>100053</v>
      </c>
      <c r="K4642" s="0" t="n">
        <v>54</v>
      </c>
      <c r="L4642" s="0" t="s">
        <v>2495</v>
      </c>
      <c r="N4642" s="0" t="n">
        <v>1.478</v>
      </c>
      <c r="O4642" s="0" t="n">
        <v>54.03</v>
      </c>
      <c r="P4642" s="0" t="s">
        <v>2444</v>
      </c>
    </row>
    <row r="4643" customFormat="false" ht="15" hidden="false" customHeight="true" outlineLevel="0" collapsed="false">
      <c r="A4643" s="0" t="n">
        <v>2</v>
      </c>
      <c r="B4643" s="71" t="n">
        <v>46226</v>
      </c>
      <c r="C4643" s="0" t="n">
        <v>100</v>
      </c>
      <c r="D4643" s="0" t="s">
        <v>2499</v>
      </c>
      <c r="E4643" s="0" t="n">
        <v>48</v>
      </c>
      <c r="F4643" s="0" t="s">
        <v>153</v>
      </c>
      <c r="I4643" s="0" t="n">
        <v>1439212</v>
      </c>
      <c r="J4643" s="0" t="n">
        <v>100638</v>
      </c>
      <c r="K4643" s="0" t="n">
        <v>508</v>
      </c>
      <c r="L4643" s="0" t="s">
        <v>2496</v>
      </c>
      <c r="N4643" s="0" t="n">
        <v>0.944</v>
      </c>
      <c r="O4643" s="0" t="n">
        <v>2.35</v>
      </c>
      <c r="P4643" s="0" t="s">
        <v>2444</v>
      </c>
    </row>
    <row r="4644" customFormat="false" ht="15" hidden="false" customHeight="true" outlineLevel="0" collapsed="false">
      <c r="A4644" s="0" t="n">
        <v>2</v>
      </c>
      <c r="B4644" s="71" t="n">
        <v>46226</v>
      </c>
      <c r="C4644" s="0" t="n">
        <v>100</v>
      </c>
      <c r="D4644" s="0" t="s">
        <v>2499</v>
      </c>
      <c r="E4644" s="0" t="n">
        <v>48</v>
      </c>
      <c r="F4644" s="0" t="s">
        <v>153</v>
      </c>
      <c r="I4644" s="0" t="n">
        <v>1439212</v>
      </c>
      <c r="J4644" s="0" t="n">
        <v>110137</v>
      </c>
      <c r="K4644" s="0" t="n">
        <v>13899</v>
      </c>
      <c r="L4644" s="0" t="s">
        <v>3780</v>
      </c>
      <c r="N4644" s="0" t="n">
        <v>10.815</v>
      </c>
      <c r="O4644" s="0" t="n">
        <v>44.85</v>
      </c>
      <c r="P4644" s="0" t="s">
        <v>2444</v>
      </c>
    </row>
    <row r="4645" customFormat="false" ht="15" hidden="false" customHeight="true" outlineLevel="0" collapsed="false">
      <c r="A4645" s="0" t="n">
        <v>2</v>
      </c>
      <c r="B4645" s="71" t="n">
        <v>46226</v>
      </c>
      <c r="C4645" s="0" t="n">
        <v>100</v>
      </c>
      <c r="D4645" s="0" t="s">
        <v>2499</v>
      </c>
      <c r="E4645" s="0" t="n">
        <v>48</v>
      </c>
      <c r="F4645" s="0" t="s">
        <v>153</v>
      </c>
      <c r="I4645" s="0" t="n">
        <v>1439212</v>
      </c>
      <c r="J4645" s="0" t="n">
        <v>110455</v>
      </c>
      <c r="K4645" s="0" t="n">
        <v>53212</v>
      </c>
      <c r="L4645" s="0" t="s">
        <v>2498</v>
      </c>
      <c r="N4645" s="0" t="n">
        <v>0.406</v>
      </c>
      <c r="O4645" s="0" t="n">
        <v>0</v>
      </c>
      <c r="P4645" s="0" t="s">
        <v>2444</v>
      </c>
    </row>
    <row r="4646" customFormat="false" ht="15" hidden="false" customHeight="true" outlineLevel="0" collapsed="false">
      <c r="A4646" s="0" t="n">
        <v>2</v>
      </c>
      <c r="B4646" s="71" t="n">
        <v>46227</v>
      </c>
      <c r="C4646" s="0" t="n">
        <v>6</v>
      </c>
      <c r="D4646" s="0" t="s">
        <v>2553</v>
      </c>
      <c r="E4646" s="0" t="n">
        <v>48</v>
      </c>
      <c r="F4646" s="0" t="s">
        <v>153</v>
      </c>
      <c r="I4646" s="0" t="n">
        <v>2560</v>
      </c>
      <c r="J4646" s="0" t="n">
        <v>100062</v>
      </c>
      <c r="K4646" s="0" t="n">
        <v>63</v>
      </c>
      <c r="L4646" s="0" t="s">
        <v>2535</v>
      </c>
      <c r="N4646" s="0" t="n">
        <v>13</v>
      </c>
      <c r="O4646" s="0" t="n">
        <v>86.58</v>
      </c>
      <c r="P4646" s="0" t="s">
        <v>2444</v>
      </c>
    </row>
    <row r="4647" customFormat="false" ht="15" hidden="false" customHeight="true" outlineLevel="0" collapsed="false">
      <c r="A4647" s="0" t="n">
        <v>2</v>
      </c>
      <c r="B4647" s="71" t="n">
        <v>46227</v>
      </c>
      <c r="C4647" s="0" t="n">
        <v>6</v>
      </c>
      <c r="D4647" s="0" t="s">
        <v>2553</v>
      </c>
      <c r="E4647" s="0" t="n">
        <v>48</v>
      </c>
      <c r="F4647" s="0" t="s">
        <v>153</v>
      </c>
      <c r="I4647" s="0" t="n">
        <v>2560</v>
      </c>
      <c r="J4647" s="0" t="n">
        <v>100105</v>
      </c>
      <c r="K4647" s="0" t="n">
        <v>106</v>
      </c>
      <c r="L4647" s="0" t="s">
        <v>2536</v>
      </c>
      <c r="N4647" s="0" t="n">
        <v>24</v>
      </c>
      <c r="O4647" s="0" t="n">
        <v>150</v>
      </c>
      <c r="P4647" s="0" t="s">
        <v>2444</v>
      </c>
    </row>
    <row r="4648" customFormat="false" ht="15" hidden="false" customHeight="true" outlineLevel="0" collapsed="false">
      <c r="A4648" s="0" t="n">
        <v>2</v>
      </c>
      <c r="B4648" s="71" t="n">
        <v>46227</v>
      </c>
      <c r="C4648" s="0" t="n">
        <v>6</v>
      </c>
      <c r="D4648" s="0" t="s">
        <v>2553</v>
      </c>
      <c r="E4648" s="0" t="n">
        <v>48</v>
      </c>
      <c r="F4648" s="0" t="s">
        <v>153</v>
      </c>
      <c r="I4648" s="0" t="n">
        <v>2560</v>
      </c>
      <c r="J4648" s="0" t="n">
        <v>100109</v>
      </c>
      <c r="K4648" s="0" t="n">
        <v>110</v>
      </c>
      <c r="L4648" s="0" t="s">
        <v>2537</v>
      </c>
      <c r="N4648" s="0" t="n">
        <v>20</v>
      </c>
      <c r="O4648" s="0" t="n">
        <v>120</v>
      </c>
      <c r="P4648" s="0" t="s">
        <v>2444</v>
      </c>
    </row>
    <row r="4649" customFormat="false" ht="15" hidden="false" customHeight="true" outlineLevel="0" collapsed="false">
      <c r="A4649" s="0" t="n">
        <v>2</v>
      </c>
      <c r="B4649" s="71" t="n">
        <v>46227</v>
      </c>
      <c r="C4649" s="0" t="n">
        <v>6</v>
      </c>
      <c r="D4649" s="0" t="s">
        <v>2553</v>
      </c>
      <c r="E4649" s="0" t="n">
        <v>48</v>
      </c>
      <c r="F4649" s="0" t="s">
        <v>153</v>
      </c>
      <c r="I4649" s="0" t="n">
        <v>2560</v>
      </c>
      <c r="J4649" s="0" t="n">
        <v>100110</v>
      </c>
      <c r="K4649" s="0" t="n">
        <v>111</v>
      </c>
      <c r="L4649" s="0" t="s">
        <v>2997</v>
      </c>
      <c r="N4649" s="0" t="n">
        <v>16</v>
      </c>
      <c r="O4649" s="0" t="n">
        <v>128</v>
      </c>
      <c r="P4649" s="0" t="s">
        <v>2444</v>
      </c>
    </row>
    <row r="4650" customFormat="false" ht="15" hidden="false" customHeight="true" outlineLevel="0" collapsed="false">
      <c r="A4650" s="0" t="n">
        <v>2</v>
      </c>
      <c r="B4650" s="71" t="n">
        <v>46227</v>
      </c>
      <c r="C4650" s="0" t="n">
        <v>6</v>
      </c>
      <c r="D4650" s="0" t="s">
        <v>2553</v>
      </c>
      <c r="E4650" s="0" t="n">
        <v>48</v>
      </c>
      <c r="F4650" s="0" t="s">
        <v>153</v>
      </c>
      <c r="I4650" s="0" t="n">
        <v>2560</v>
      </c>
      <c r="J4650" s="0" t="n">
        <v>100113</v>
      </c>
      <c r="K4650" s="0" t="n">
        <v>114</v>
      </c>
      <c r="L4650" s="0" t="s">
        <v>2539</v>
      </c>
      <c r="N4650" s="0" t="n">
        <v>20</v>
      </c>
      <c r="O4650" s="0" t="n">
        <v>55</v>
      </c>
      <c r="P4650" s="0" t="s">
        <v>2444</v>
      </c>
    </row>
    <row r="4651" customFormat="false" ht="15" hidden="false" customHeight="true" outlineLevel="0" collapsed="false">
      <c r="A4651" s="0" t="n">
        <v>2</v>
      </c>
      <c r="B4651" s="71" t="n">
        <v>46227</v>
      </c>
      <c r="C4651" s="0" t="n">
        <v>6</v>
      </c>
      <c r="D4651" s="0" t="s">
        <v>2553</v>
      </c>
      <c r="E4651" s="0" t="n">
        <v>48</v>
      </c>
      <c r="F4651" s="0" t="s">
        <v>153</v>
      </c>
      <c r="I4651" s="0" t="n">
        <v>2560</v>
      </c>
      <c r="J4651" s="0" t="n">
        <v>100115</v>
      </c>
      <c r="K4651" s="0" t="n">
        <v>116</v>
      </c>
      <c r="L4651" s="0" t="s">
        <v>2694</v>
      </c>
      <c r="N4651" s="0" t="n">
        <v>10</v>
      </c>
      <c r="O4651" s="0" t="n">
        <v>66.6</v>
      </c>
      <c r="P4651" s="0" t="s">
        <v>2444</v>
      </c>
    </row>
    <row r="4652" customFormat="false" ht="15" hidden="false" customHeight="true" outlineLevel="0" collapsed="false">
      <c r="A4652" s="0" t="n">
        <v>2</v>
      </c>
      <c r="B4652" s="71" t="n">
        <v>46227</v>
      </c>
      <c r="C4652" s="0" t="n">
        <v>6</v>
      </c>
      <c r="D4652" s="0" t="s">
        <v>2553</v>
      </c>
      <c r="E4652" s="0" t="n">
        <v>48</v>
      </c>
      <c r="F4652" s="0" t="s">
        <v>153</v>
      </c>
      <c r="I4652" s="0" t="n">
        <v>2560</v>
      </c>
      <c r="J4652" s="0" t="n">
        <v>100116</v>
      </c>
      <c r="K4652" s="0" t="n">
        <v>117</v>
      </c>
      <c r="L4652" s="0" t="s">
        <v>2540</v>
      </c>
      <c r="N4652" s="0" t="n">
        <v>2</v>
      </c>
      <c r="O4652" s="0" t="n">
        <v>20</v>
      </c>
      <c r="P4652" s="0" t="s">
        <v>2444</v>
      </c>
    </row>
    <row r="4653" customFormat="false" ht="15" hidden="false" customHeight="true" outlineLevel="0" collapsed="false">
      <c r="A4653" s="0" t="n">
        <v>2</v>
      </c>
      <c r="B4653" s="71" t="n">
        <v>46227</v>
      </c>
      <c r="C4653" s="0" t="n">
        <v>6</v>
      </c>
      <c r="D4653" s="0" t="s">
        <v>2553</v>
      </c>
      <c r="E4653" s="0" t="n">
        <v>48</v>
      </c>
      <c r="F4653" s="0" t="s">
        <v>153</v>
      </c>
      <c r="I4653" s="0" t="n">
        <v>2560</v>
      </c>
      <c r="J4653" s="0" t="n">
        <v>100121</v>
      </c>
      <c r="K4653" s="0" t="n">
        <v>122</v>
      </c>
      <c r="L4653" s="0" t="s">
        <v>2542</v>
      </c>
      <c r="N4653" s="0" t="n">
        <v>5</v>
      </c>
      <c r="O4653" s="0" t="n">
        <v>50</v>
      </c>
      <c r="P4653" s="0" t="s">
        <v>2444</v>
      </c>
    </row>
    <row r="4654" customFormat="false" ht="15" hidden="false" customHeight="true" outlineLevel="0" collapsed="false">
      <c r="A4654" s="0" t="n">
        <v>2</v>
      </c>
      <c r="B4654" s="71" t="n">
        <v>46227</v>
      </c>
      <c r="C4654" s="0" t="n">
        <v>6</v>
      </c>
      <c r="D4654" s="0" t="s">
        <v>2553</v>
      </c>
      <c r="E4654" s="0" t="n">
        <v>48</v>
      </c>
      <c r="F4654" s="0" t="s">
        <v>153</v>
      </c>
      <c r="I4654" s="0" t="n">
        <v>2560</v>
      </c>
      <c r="J4654" s="0" t="n">
        <v>100122</v>
      </c>
      <c r="K4654" s="0" t="n">
        <v>123</v>
      </c>
      <c r="L4654" s="0" t="s">
        <v>2543</v>
      </c>
      <c r="N4654" s="0" t="n">
        <v>5</v>
      </c>
      <c r="O4654" s="0" t="n">
        <v>50</v>
      </c>
      <c r="P4654" s="0" t="s">
        <v>2444</v>
      </c>
    </row>
    <row r="4655" customFormat="false" ht="15" hidden="false" customHeight="true" outlineLevel="0" collapsed="false">
      <c r="A4655" s="0" t="n">
        <v>2</v>
      </c>
      <c r="B4655" s="71" t="n">
        <v>46227</v>
      </c>
      <c r="C4655" s="0" t="n">
        <v>6</v>
      </c>
      <c r="D4655" s="0" t="s">
        <v>2553</v>
      </c>
      <c r="E4655" s="0" t="n">
        <v>48</v>
      </c>
      <c r="F4655" s="0" t="s">
        <v>153</v>
      </c>
      <c r="I4655" s="0" t="n">
        <v>2560</v>
      </c>
      <c r="J4655" s="0" t="n">
        <v>100123</v>
      </c>
      <c r="K4655" s="0" t="n">
        <v>124</v>
      </c>
      <c r="L4655" s="0" t="s">
        <v>2544</v>
      </c>
      <c r="N4655" s="0" t="n">
        <v>1</v>
      </c>
      <c r="O4655" s="0" t="n">
        <v>10</v>
      </c>
      <c r="P4655" s="0" t="s">
        <v>2444</v>
      </c>
    </row>
    <row r="4656" customFormat="false" ht="15" hidden="false" customHeight="true" outlineLevel="0" collapsed="false">
      <c r="A4656" s="0" t="n">
        <v>2</v>
      </c>
      <c r="B4656" s="71" t="n">
        <v>46227</v>
      </c>
      <c r="C4656" s="0" t="n">
        <v>6</v>
      </c>
      <c r="D4656" s="0" t="s">
        <v>2553</v>
      </c>
      <c r="E4656" s="0" t="n">
        <v>48</v>
      </c>
      <c r="F4656" s="0" t="s">
        <v>153</v>
      </c>
      <c r="I4656" s="0" t="n">
        <v>2560</v>
      </c>
      <c r="J4656" s="0" t="n">
        <v>100124</v>
      </c>
      <c r="K4656" s="0" t="n">
        <v>125</v>
      </c>
      <c r="L4656" s="0" t="s">
        <v>2695</v>
      </c>
      <c r="N4656" s="0" t="n">
        <v>5</v>
      </c>
      <c r="O4656" s="0" t="n">
        <v>55</v>
      </c>
      <c r="P4656" s="0" t="s">
        <v>2444</v>
      </c>
    </row>
    <row r="4657" customFormat="false" ht="15" hidden="false" customHeight="true" outlineLevel="0" collapsed="false">
      <c r="A4657" s="0" t="n">
        <v>2</v>
      </c>
      <c r="B4657" s="71" t="n">
        <v>46227</v>
      </c>
      <c r="C4657" s="0" t="n">
        <v>6</v>
      </c>
      <c r="D4657" s="0" t="s">
        <v>2553</v>
      </c>
      <c r="E4657" s="0" t="n">
        <v>48</v>
      </c>
      <c r="F4657" s="0" t="s">
        <v>153</v>
      </c>
      <c r="I4657" s="0" t="n">
        <v>2560</v>
      </c>
      <c r="J4657" s="0" t="n">
        <v>100125</v>
      </c>
      <c r="K4657" s="0" t="n">
        <v>126</v>
      </c>
      <c r="L4657" s="0" t="s">
        <v>2597</v>
      </c>
      <c r="N4657" s="0" t="n">
        <v>20</v>
      </c>
      <c r="O4657" s="0" t="n">
        <v>100</v>
      </c>
      <c r="P4657" s="0" t="s">
        <v>2444</v>
      </c>
    </row>
    <row r="4658" customFormat="false" ht="15" hidden="false" customHeight="true" outlineLevel="0" collapsed="false">
      <c r="A4658" s="0" t="n">
        <v>2</v>
      </c>
      <c r="B4658" s="71" t="n">
        <v>46227</v>
      </c>
      <c r="C4658" s="0" t="n">
        <v>6</v>
      </c>
      <c r="D4658" s="0" t="s">
        <v>2553</v>
      </c>
      <c r="E4658" s="0" t="n">
        <v>48</v>
      </c>
      <c r="F4658" s="0" t="s">
        <v>153</v>
      </c>
      <c r="I4658" s="0" t="n">
        <v>2560</v>
      </c>
      <c r="J4658" s="0" t="n">
        <v>100130</v>
      </c>
      <c r="K4658" s="0" t="n">
        <v>131</v>
      </c>
      <c r="L4658" s="0" t="s">
        <v>2545</v>
      </c>
      <c r="N4658" s="0" t="n">
        <v>30</v>
      </c>
      <c r="O4658" s="0" t="n">
        <v>210</v>
      </c>
      <c r="P4658" s="0" t="s">
        <v>2444</v>
      </c>
    </row>
    <row r="4659" customFormat="false" ht="15" hidden="false" customHeight="true" outlineLevel="0" collapsed="false">
      <c r="A4659" s="0" t="n">
        <v>2</v>
      </c>
      <c r="B4659" s="71" t="n">
        <v>46227</v>
      </c>
      <c r="C4659" s="0" t="n">
        <v>6</v>
      </c>
      <c r="D4659" s="0" t="s">
        <v>2553</v>
      </c>
      <c r="E4659" s="0" t="n">
        <v>48</v>
      </c>
      <c r="F4659" s="0" t="s">
        <v>153</v>
      </c>
      <c r="I4659" s="0" t="n">
        <v>2560</v>
      </c>
      <c r="J4659" s="0" t="n">
        <v>100132</v>
      </c>
      <c r="K4659" s="0" t="n">
        <v>133</v>
      </c>
      <c r="L4659" s="0" t="s">
        <v>2546</v>
      </c>
      <c r="N4659" s="0" t="n">
        <v>55.44</v>
      </c>
      <c r="O4659" s="0" t="n">
        <v>190</v>
      </c>
      <c r="P4659" s="0" t="s">
        <v>2444</v>
      </c>
    </row>
    <row r="4660" customFormat="false" ht="15" hidden="false" customHeight="true" outlineLevel="0" collapsed="false">
      <c r="A4660" s="0" t="n">
        <v>2</v>
      </c>
      <c r="B4660" s="71" t="n">
        <v>46227</v>
      </c>
      <c r="C4660" s="0" t="n">
        <v>6</v>
      </c>
      <c r="D4660" s="0" t="s">
        <v>2553</v>
      </c>
      <c r="E4660" s="0" t="n">
        <v>48</v>
      </c>
      <c r="F4660" s="0" t="s">
        <v>153</v>
      </c>
      <c r="I4660" s="0" t="n">
        <v>2560</v>
      </c>
      <c r="J4660" s="0" t="n">
        <v>100133</v>
      </c>
      <c r="K4660" s="0" t="n">
        <v>134</v>
      </c>
      <c r="L4660" s="0" t="s">
        <v>2547</v>
      </c>
      <c r="N4660" s="0" t="n">
        <v>14</v>
      </c>
      <c r="O4660" s="0" t="n">
        <v>56</v>
      </c>
      <c r="P4660" s="0" t="s">
        <v>2444</v>
      </c>
    </row>
    <row r="4661" customFormat="false" ht="15" hidden="false" customHeight="true" outlineLevel="0" collapsed="false">
      <c r="A4661" s="0" t="n">
        <v>2</v>
      </c>
      <c r="B4661" s="71" t="n">
        <v>46227</v>
      </c>
      <c r="C4661" s="0" t="n">
        <v>6</v>
      </c>
      <c r="D4661" s="0" t="s">
        <v>2553</v>
      </c>
      <c r="E4661" s="0" t="n">
        <v>48</v>
      </c>
      <c r="F4661" s="0" t="s">
        <v>153</v>
      </c>
      <c r="I4661" s="0" t="n">
        <v>2560</v>
      </c>
      <c r="J4661" s="0" t="n">
        <v>110142</v>
      </c>
      <c r="K4661" s="0" t="n">
        <v>16699</v>
      </c>
      <c r="L4661" s="0" t="s">
        <v>2549</v>
      </c>
      <c r="N4661" s="0" t="n">
        <v>20</v>
      </c>
      <c r="O4661" s="0" t="n">
        <v>125</v>
      </c>
      <c r="P4661" s="0" t="s">
        <v>2444</v>
      </c>
    </row>
    <row r="4662" customFormat="false" ht="15" hidden="false" customHeight="true" outlineLevel="0" collapsed="false">
      <c r="A4662" s="0" t="n">
        <v>2</v>
      </c>
      <c r="B4662" s="71" t="n">
        <v>46227</v>
      </c>
      <c r="C4662" s="0" t="n">
        <v>6</v>
      </c>
      <c r="D4662" s="0" t="s">
        <v>2553</v>
      </c>
      <c r="E4662" s="0" t="n">
        <v>48</v>
      </c>
      <c r="F4662" s="0" t="s">
        <v>153</v>
      </c>
      <c r="I4662" s="0" t="n">
        <v>2560</v>
      </c>
      <c r="J4662" s="0" t="n">
        <v>110489</v>
      </c>
      <c r="K4662" s="0" t="n">
        <v>54743</v>
      </c>
      <c r="L4662" s="0" t="s">
        <v>2550</v>
      </c>
      <c r="N4662" s="0" t="n">
        <v>40</v>
      </c>
      <c r="O4662" s="0" t="n">
        <v>280</v>
      </c>
      <c r="P4662" s="0" t="s">
        <v>2444</v>
      </c>
    </row>
    <row r="4663" customFormat="false" ht="15" hidden="false" customHeight="true" outlineLevel="0" collapsed="false">
      <c r="A4663" s="0" t="n">
        <v>2</v>
      </c>
      <c r="B4663" s="71" t="n">
        <v>46227</v>
      </c>
      <c r="C4663" s="0" t="n">
        <v>6</v>
      </c>
      <c r="D4663" s="0" t="s">
        <v>2553</v>
      </c>
      <c r="E4663" s="0" t="n">
        <v>48</v>
      </c>
      <c r="F4663" s="0" t="s">
        <v>153</v>
      </c>
      <c r="I4663" s="0" t="n">
        <v>2560</v>
      </c>
      <c r="J4663" s="0" t="n">
        <v>80078</v>
      </c>
      <c r="K4663" s="0" t="n">
        <v>710</v>
      </c>
      <c r="L4663" s="0" t="s">
        <v>2551</v>
      </c>
      <c r="N4663" s="0" t="n">
        <v>10</v>
      </c>
      <c r="O4663" s="0" t="n">
        <v>30</v>
      </c>
      <c r="P4663" s="0" t="s">
        <v>2444</v>
      </c>
    </row>
    <row r="4664" customFormat="false" ht="15" hidden="false" customHeight="true" outlineLevel="0" collapsed="false">
      <c r="A4664" s="0" t="n">
        <v>2</v>
      </c>
      <c r="B4664" s="71" t="n">
        <v>46227</v>
      </c>
      <c r="C4664" s="0" t="n">
        <v>6</v>
      </c>
      <c r="D4664" s="0" t="s">
        <v>2553</v>
      </c>
      <c r="E4664" s="0" t="n">
        <v>48</v>
      </c>
      <c r="F4664" s="0" t="s">
        <v>153</v>
      </c>
      <c r="I4664" s="0" t="n">
        <v>2560</v>
      </c>
      <c r="J4664" s="0" t="n">
        <v>81699</v>
      </c>
      <c r="K4664" s="0" t="n">
        <v>1311</v>
      </c>
      <c r="L4664" s="0" t="s">
        <v>4045</v>
      </c>
      <c r="N4664" s="0" t="n">
        <v>20</v>
      </c>
      <c r="O4664" s="0" t="n">
        <v>100</v>
      </c>
      <c r="P4664" s="0" t="s">
        <v>2444</v>
      </c>
    </row>
    <row r="4665" customFormat="false" ht="15" hidden="false" customHeight="true" outlineLevel="0" collapsed="false">
      <c r="A4665" s="0" t="n">
        <v>2</v>
      </c>
      <c r="B4665" s="71" t="n">
        <v>46227</v>
      </c>
      <c r="C4665" s="0" t="n">
        <v>6</v>
      </c>
      <c r="D4665" s="0" t="s">
        <v>2553</v>
      </c>
      <c r="E4665" s="0" t="n">
        <v>48</v>
      </c>
      <c r="F4665" s="0" t="s">
        <v>153</v>
      </c>
      <c r="I4665" s="0" t="n">
        <v>2560</v>
      </c>
      <c r="J4665" s="0" t="n">
        <v>81837</v>
      </c>
      <c r="K4665" s="0" t="n">
        <v>1304</v>
      </c>
      <c r="L4665" s="0" t="s">
        <v>4608</v>
      </c>
      <c r="N4665" s="0" t="n">
        <v>10</v>
      </c>
      <c r="O4665" s="0" t="n">
        <v>37</v>
      </c>
      <c r="P4665" s="0" t="s">
        <v>2444</v>
      </c>
    </row>
    <row r="4666" customFormat="false" ht="15" hidden="false" customHeight="true" outlineLevel="0" collapsed="false">
      <c r="A4666" s="0" t="n">
        <v>2</v>
      </c>
      <c r="B4666" s="71" t="n">
        <v>46227</v>
      </c>
      <c r="C4666" s="0" t="n">
        <v>6</v>
      </c>
      <c r="D4666" s="0" t="s">
        <v>2553</v>
      </c>
      <c r="E4666" s="0" t="n">
        <v>48</v>
      </c>
      <c r="F4666" s="0" t="s">
        <v>153</v>
      </c>
      <c r="I4666" s="0" t="n">
        <v>2561</v>
      </c>
      <c r="J4666" s="0" t="n">
        <v>42564</v>
      </c>
      <c r="K4666" s="0" t="n">
        <v>574</v>
      </c>
      <c r="L4666" s="0" t="s">
        <v>2534</v>
      </c>
      <c r="N4666" s="0" t="n">
        <v>20</v>
      </c>
      <c r="O4666" s="0" t="n">
        <v>280</v>
      </c>
      <c r="P4666" s="0" t="s">
        <v>2444</v>
      </c>
    </row>
    <row r="4667" customFormat="false" ht="15" hidden="false" customHeight="true" outlineLevel="0" collapsed="false">
      <c r="A4667" s="0" t="n">
        <v>2</v>
      </c>
      <c r="B4667" s="71" t="n">
        <v>46227</v>
      </c>
      <c r="C4667" s="0" t="n">
        <v>11</v>
      </c>
      <c r="D4667" s="0" t="s">
        <v>2471</v>
      </c>
      <c r="E4667" s="0" t="n">
        <v>10035</v>
      </c>
      <c r="F4667" s="0" t="s">
        <v>86</v>
      </c>
      <c r="I4667" s="0" t="n">
        <v>375</v>
      </c>
      <c r="J4667" s="0" t="n">
        <v>38652</v>
      </c>
      <c r="K4667" s="0" t="n">
        <v>7898994684220</v>
      </c>
      <c r="L4667" s="0" t="s">
        <v>2711</v>
      </c>
      <c r="N4667" s="0" t="n">
        <v>30</v>
      </c>
      <c r="O4667" s="0" t="n">
        <v>270</v>
      </c>
      <c r="P4667" s="0" t="s">
        <v>2444</v>
      </c>
    </row>
    <row r="4668" customFormat="false" ht="15" hidden="false" customHeight="true" outlineLevel="0" collapsed="false">
      <c r="A4668" s="0" t="n">
        <v>2</v>
      </c>
      <c r="B4668" s="71" t="n">
        <v>46227</v>
      </c>
      <c r="C4668" s="0" t="n">
        <v>11</v>
      </c>
      <c r="D4668" s="0" t="s">
        <v>2471</v>
      </c>
      <c r="E4668" s="0" t="n">
        <v>1921</v>
      </c>
      <c r="F4668" s="0" t="s">
        <v>167</v>
      </c>
      <c r="I4668" s="0" t="n">
        <v>21130</v>
      </c>
      <c r="J4668" s="0" t="n">
        <v>45512</v>
      </c>
      <c r="K4668" s="0" t="n">
        <v>7899085120023</v>
      </c>
      <c r="L4668" s="0" t="s">
        <v>2665</v>
      </c>
      <c r="N4668" s="0" t="n">
        <v>40</v>
      </c>
      <c r="O4668" s="0" t="n">
        <v>51.43</v>
      </c>
      <c r="P4668" s="0" t="s">
        <v>2444</v>
      </c>
    </row>
    <row r="4669" customFormat="false" ht="15" hidden="false" customHeight="true" outlineLevel="0" collapsed="false">
      <c r="A4669" s="0" t="n">
        <v>2</v>
      </c>
      <c r="B4669" s="71" t="n">
        <v>46227</v>
      </c>
      <c r="C4669" s="0" t="n">
        <v>11</v>
      </c>
      <c r="D4669" s="0" t="s">
        <v>2471</v>
      </c>
      <c r="E4669" s="0" t="n">
        <v>1921</v>
      </c>
      <c r="F4669" s="0" t="s">
        <v>167</v>
      </c>
      <c r="I4669" s="0" t="n">
        <v>21130</v>
      </c>
      <c r="J4669" s="0" t="n">
        <v>46078</v>
      </c>
      <c r="K4669" s="0" t="n">
        <v>7899085120016</v>
      </c>
      <c r="L4669" s="0" t="s">
        <v>2667</v>
      </c>
      <c r="N4669" s="0" t="n">
        <v>20</v>
      </c>
      <c r="O4669" s="0" t="n">
        <v>48.75</v>
      </c>
      <c r="P4669" s="0" t="s">
        <v>2444</v>
      </c>
    </row>
    <row r="4670" customFormat="false" ht="15" hidden="false" customHeight="true" outlineLevel="0" collapsed="false">
      <c r="A4670" s="0" t="n">
        <v>2</v>
      </c>
      <c r="B4670" s="71" t="n">
        <v>46227</v>
      </c>
      <c r="C4670" s="0" t="n">
        <v>11</v>
      </c>
      <c r="D4670" s="0" t="s">
        <v>2471</v>
      </c>
      <c r="E4670" s="0" t="n">
        <v>1921</v>
      </c>
      <c r="F4670" s="0" t="s">
        <v>167</v>
      </c>
      <c r="I4670" s="0" t="n">
        <v>21130</v>
      </c>
      <c r="J4670" s="0" t="n">
        <v>46080</v>
      </c>
      <c r="K4670" s="0" t="n">
        <v>7899085120603</v>
      </c>
      <c r="L4670" s="0" t="s">
        <v>2668</v>
      </c>
      <c r="N4670" s="0" t="n">
        <v>20</v>
      </c>
      <c r="O4670" s="0" t="n">
        <v>40.15</v>
      </c>
      <c r="P4670" s="0" t="s">
        <v>2444</v>
      </c>
    </row>
    <row r="4671" customFormat="false" ht="15" hidden="false" customHeight="true" outlineLevel="0" collapsed="false">
      <c r="A4671" s="0" t="n">
        <v>2</v>
      </c>
      <c r="B4671" s="71" t="n">
        <v>46227</v>
      </c>
      <c r="C4671" s="0" t="n">
        <v>11</v>
      </c>
      <c r="D4671" s="0" t="s">
        <v>2471</v>
      </c>
      <c r="E4671" s="0" t="n">
        <v>1921</v>
      </c>
      <c r="F4671" s="0" t="s">
        <v>167</v>
      </c>
      <c r="I4671" s="0" t="n">
        <v>21130</v>
      </c>
      <c r="J4671" s="0" t="n">
        <v>46089</v>
      </c>
      <c r="K4671" s="0" t="n">
        <v>7899085120542</v>
      </c>
      <c r="L4671" s="0" t="s">
        <v>2671</v>
      </c>
      <c r="N4671" s="0" t="n">
        <v>20</v>
      </c>
      <c r="O4671" s="0" t="n">
        <v>42.52</v>
      </c>
      <c r="P4671" s="0" t="s">
        <v>2444</v>
      </c>
    </row>
    <row r="4672" customFormat="false" ht="15" hidden="false" customHeight="true" outlineLevel="0" collapsed="false">
      <c r="A4672" s="0" t="n">
        <v>2</v>
      </c>
      <c r="B4672" s="71" t="n">
        <v>46227</v>
      </c>
      <c r="C4672" s="0" t="n">
        <v>11</v>
      </c>
      <c r="D4672" s="0" t="s">
        <v>2471</v>
      </c>
      <c r="E4672" s="0" t="n">
        <v>1921</v>
      </c>
      <c r="F4672" s="0" t="s">
        <v>167</v>
      </c>
      <c r="I4672" s="0" t="n">
        <v>21130</v>
      </c>
      <c r="J4672" s="0" t="n">
        <v>47045</v>
      </c>
      <c r="K4672" s="0" t="n">
        <v>7899085120351</v>
      </c>
      <c r="L4672" s="0" t="s">
        <v>2677</v>
      </c>
      <c r="N4672" s="0" t="n">
        <v>20</v>
      </c>
      <c r="O4672" s="0" t="n">
        <v>44.44</v>
      </c>
      <c r="P4672" s="0" t="s">
        <v>2444</v>
      </c>
    </row>
    <row r="4673" customFormat="false" ht="15" hidden="false" customHeight="true" outlineLevel="0" collapsed="false">
      <c r="A4673" s="0" t="n">
        <v>2</v>
      </c>
      <c r="B4673" s="71" t="n">
        <v>46227</v>
      </c>
      <c r="C4673" s="0" t="n">
        <v>11</v>
      </c>
      <c r="D4673" s="0" t="s">
        <v>2471</v>
      </c>
      <c r="E4673" s="0" t="n">
        <v>1921</v>
      </c>
      <c r="F4673" s="0" t="s">
        <v>167</v>
      </c>
      <c r="I4673" s="0" t="n">
        <v>21130</v>
      </c>
      <c r="J4673" s="0" t="n">
        <v>47049</v>
      </c>
      <c r="K4673" s="0" t="n">
        <v>7899085120474</v>
      </c>
      <c r="L4673" s="0" t="s">
        <v>2679</v>
      </c>
      <c r="N4673" s="0" t="n">
        <v>20</v>
      </c>
      <c r="O4673" s="0" t="n">
        <v>45.52</v>
      </c>
      <c r="P4673" s="0" t="s">
        <v>2444</v>
      </c>
    </row>
    <row r="4674" customFormat="false" ht="15" hidden="false" customHeight="true" outlineLevel="0" collapsed="false">
      <c r="A4674" s="0" t="n">
        <v>2</v>
      </c>
      <c r="B4674" s="71" t="n">
        <v>46227</v>
      </c>
      <c r="C4674" s="0" t="n">
        <v>11</v>
      </c>
      <c r="D4674" s="0" t="s">
        <v>2471</v>
      </c>
      <c r="E4674" s="0" t="n">
        <v>1921</v>
      </c>
      <c r="F4674" s="0" t="s">
        <v>167</v>
      </c>
      <c r="I4674" s="0" t="n">
        <v>21130</v>
      </c>
      <c r="J4674" s="0" t="n">
        <v>47050</v>
      </c>
      <c r="K4674" s="0" t="n">
        <v>7899085120146</v>
      </c>
      <c r="L4674" s="0" t="s">
        <v>2680</v>
      </c>
      <c r="N4674" s="0" t="n">
        <v>20</v>
      </c>
      <c r="O4674" s="0" t="n">
        <v>38</v>
      </c>
      <c r="P4674" s="0" t="s">
        <v>2444</v>
      </c>
    </row>
    <row r="4675" customFormat="false" ht="15" hidden="false" customHeight="true" outlineLevel="0" collapsed="false">
      <c r="A4675" s="0" t="n">
        <v>2</v>
      </c>
      <c r="B4675" s="71" t="n">
        <v>46227</v>
      </c>
      <c r="C4675" s="0" t="n">
        <v>11</v>
      </c>
      <c r="D4675" s="0" t="s">
        <v>2471</v>
      </c>
      <c r="E4675" s="0" t="n">
        <v>1921</v>
      </c>
      <c r="F4675" s="0" t="s">
        <v>167</v>
      </c>
      <c r="I4675" s="0" t="n">
        <v>21130</v>
      </c>
      <c r="J4675" s="0" t="n">
        <v>47060</v>
      </c>
      <c r="K4675" s="0" t="n">
        <v>7899085120368</v>
      </c>
      <c r="L4675" s="0" t="s">
        <v>4609</v>
      </c>
      <c r="N4675" s="0" t="n">
        <v>10</v>
      </c>
      <c r="O4675" s="0" t="n">
        <v>28.33</v>
      </c>
      <c r="P4675" s="0" t="s">
        <v>2444</v>
      </c>
    </row>
    <row r="4676" customFormat="false" ht="15" hidden="false" customHeight="true" outlineLevel="0" collapsed="false">
      <c r="A4676" s="0" t="n">
        <v>2</v>
      </c>
      <c r="B4676" s="71" t="n">
        <v>46227</v>
      </c>
      <c r="C4676" s="0" t="n">
        <v>11</v>
      </c>
      <c r="D4676" s="0" t="s">
        <v>2471</v>
      </c>
      <c r="E4676" s="0" t="n">
        <v>1921</v>
      </c>
      <c r="F4676" s="0" t="s">
        <v>167</v>
      </c>
      <c r="I4676" s="0" t="n">
        <v>21130</v>
      </c>
      <c r="J4676" s="0" t="n">
        <v>47065</v>
      </c>
      <c r="K4676" s="0" t="n">
        <v>7899085120320</v>
      </c>
      <c r="L4676" s="0" t="s">
        <v>4610</v>
      </c>
      <c r="N4676" s="0" t="n">
        <v>20</v>
      </c>
      <c r="O4676" s="0" t="n">
        <v>41.22</v>
      </c>
      <c r="P4676" s="0" t="s">
        <v>2444</v>
      </c>
    </row>
    <row r="4677" customFormat="false" ht="15" hidden="false" customHeight="true" outlineLevel="0" collapsed="false">
      <c r="A4677" s="0" t="n">
        <v>2</v>
      </c>
      <c r="B4677" s="71" t="n">
        <v>46227</v>
      </c>
      <c r="C4677" s="0" t="n">
        <v>11</v>
      </c>
      <c r="D4677" s="0" t="s">
        <v>2471</v>
      </c>
      <c r="E4677" s="0" t="n">
        <v>1921</v>
      </c>
      <c r="F4677" s="0" t="s">
        <v>167</v>
      </c>
      <c r="I4677" s="0" t="n">
        <v>21130</v>
      </c>
      <c r="J4677" s="0" t="n">
        <v>49805</v>
      </c>
      <c r="K4677" s="0" t="n">
        <v>7899085120887</v>
      </c>
      <c r="L4677" s="0" t="s">
        <v>4611</v>
      </c>
      <c r="N4677" s="0" t="n">
        <v>10</v>
      </c>
      <c r="O4677" s="0" t="n">
        <v>28.33</v>
      </c>
      <c r="P4677" s="0" t="s">
        <v>2444</v>
      </c>
    </row>
    <row r="4678" customFormat="false" ht="15" hidden="false" customHeight="true" outlineLevel="0" collapsed="false">
      <c r="A4678" s="0" t="n">
        <v>2</v>
      </c>
      <c r="B4678" s="71" t="n">
        <v>46227</v>
      </c>
      <c r="C4678" s="0" t="n">
        <v>11</v>
      </c>
      <c r="D4678" s="0" t="s">
        <v>2471</v>
      </c>
      <c r="E4678" s="0" t="n">
        <v>1921</v>
      </c>
      <c r="F4678" s="0" t="s">
        <v>167</v>
      </c>
      <c r="I4678" s="0" t="n">
        <v>21130</v>
      </c>
      <c r="J4678" s="0" t="n">
        <v>50497</v>
      </c>
      <c r="K4678" s="0" t="n">
        <v>7899085120047</v>
      </c>
      <c r="L4678" s="0" t="s">
        <v>4612</v>
      </c>
      <c r="N4678" s="0" t="n">
        <v>20</v>
      </c>
      <c r="O4678" s="0" t="n">
        <v>34.78</v>
      </c>
      <c r="P4678" s="0" t="s">
        <v>2444</v>
      </c>
    </row>
    <row r="4679" customFormat="false" ht="15" hidden="false" customHeight="true" outlineLevel="0" collapsed="false">
      <c r="A4679" s="0" t="n">
        <v>2</v>
      </c>
      <c r="B4679" s="71" t="n">
        <v>46227</v>
      </c>
      <c r="C4679" s="0" t="n">
        <v>11</v>
      </c>
      <c r="D4679" s="0" t="s">
        <v>2471</v>
      </c>
      <c r="E4679" s="0" t="n">
        <v>1921</v>
      </c>
      <c r="F4679" s="0" t="s">
        <v>167</v>
      </c>
      <c r="I4679" s="0" t="n">
        <v>21130</v>
      </c>
      <c r="J4679" s="0" t="n">
        <v>50797</v>
      </c>
      <c r="K4679" s="0" t="n">
        <v>7899085120245</v>
      </c>
      <c r="L4679" s="0" t="s">
        <v>4613</v>
      </c>
      <c r="N4679" s="0" t="n">
        <v>20</v>
      </c>
      <c r="O4679" s="0" t="n">
        <v>41.22</v>
      </c>
      <c r="P4679" s="0" t="s">
        <v>2444</v>
      </c>
    </row>
    <row r="4680" customFormat="false" ht="15" hidden="false" customHeight="true" outlineLevel="0" collapsed="false">
      <c r="A4680" s="0" t="n">
        <v>2</v>
      </c>
      <c r="B4680" s="71" t="n">
        <v>46227</v>
      </c>
      <c r="C4680" s="0" t="n">
        <v>11</v>
      </c>
      <c r="D4680" s="0" t="s">
        <v>2471</v>
      </c>
      <c r="E4680" s="0" t="n">
        <v>1921</v>
      </c>
      <c r="F4680" s="0" t="s">
        <v>167</v>
      </c>
      <c r="I4680" s="0" t="n">
        <v>21130</v>
      </c>
      <c r="J4680" s="0" t="n">
        <v>51817</v>
      </c>
      <c r="K4680" s="0" t="n">
        <v>7899085120801</v>
      </c>
      <c r="L4680" s="0" t="s">
        <v>4614</v>
      </c>
      <c r="N4680" s="0" t="n">
        <v>10</v>
      </c>
      <c r="O4680" s="0" t="n">
        <v>49.82</v>
      </c>
      <c r="P4680" s="0" t="s">
        <v>2444</v>
      </c>
    </row>
    <row r="4681" customFormat="false" ht="15" hidden="false" customHeight="true" outlineLevel="0" collapsed="false">
      <c r="A4681" s="0" t="n">
        <v>2</v>
      </c>
      <c r="B4681" s="71" t="n">
        <v>46227</v>
      </c>
      <c r="C4681" s="0" t="n">
        <v>11</v>
      </c>
      <c r="D4681" s="0" t="s">
        <v>2471</v>
      </c>
      <c r="E4681" s="0" t="n">
        <v>1921</v>
      </c>
      <c r="F4681" s="0" t="s">
        <v>167</v>
      </c>
      <c r="I4681" s="0" t="n">
        <v>21130</v>
      </c>
      <c r="J4681" s="0" t="n">
        <v>52679</v>
      </c>
      <c r="K4681" s="0" t="n">
        <v>7899085120658</v>
      </c>
      <c r="L4681" s="0" t="s">
        <v>4615</v>
      </c>
      <c r="N4681" s="0" t="n">
        <v>10</v>
      </c>
      <c r="O4681" s="0" t="n">
        <v>47.14</v>
      </c>
      <c r="P4681" s="0" t="s">
        <v>2444</v>
      </c>
    </row>
    <row r="4682" customFormat="false" ht="15" hidden="false" customHeight="true" outlineLevel="0" collapsed="false">
      <c r="A4682" s="0" t="n">
        <v>2</v>
      </c>
      <c r="B4682" s="71" t="n">
        <v>46227</v>
      </c>
      <c r="C4682" s="0" t="n">
        <v>11</v>
      </c>
      <c r="D4682" s="0" t="s">
        <v>2471</v>
      </c>
      <c r="E4682" s="0" t="n">
        <v>1700</v>
      </c>
      <c r="F4682" s="0" t="s">
        <v>1215</v>
      </c>
      <c r="I4682" s="0" t="n">
        <v>294640</v>
      </c>
      <c r="J4682" s="0" t="n">
        <v>104678</v>
      </c>
      <c r="K4682" s="0" t="n">
        <v>7898247780075</v>
      </c>
      <c r="L4682" s="0" t="s">
        <v>3306</v>
      </c>
      <c r="N4682" s="0" t="n">
        <v>300</v>
      </c>
      <c r="O4682" s="0" t="n">
        <v>2070</v>
      </c>
      <c r="P4682" s="0" t="s">
        <v>2444</v>
      </c>
    </row>
    <row r="4683" customFormat="false" ht="15" hidden="false" customHeight="true" outlineLevel="0" collapsed="false">
      <c r="A4683" s="0" t="n">
        <v>2</v>
      </c>
      <c r="B4683" s="71" t="n">
        <v>46227</v>
      </c>
      <c r="C4683" s="0" t="n">
        <v>11</v>
      </c>
      <c r="D4683" s="0" t="s">
        <v>2471</v>
      </c>
      <c r="E4683" s="0" t="n">
        <v>1666</v>
      </c>
      <c r="F4683" s="0" t="s">
        <v>266</v>
      </c>
      <c r="I4683" s="0" t="n">
        <v>568309</v>
      </c>
      <c r="J4683" s="0" t="n">
        <v>21964</v>
      </c>
      <c r="K4683" s="0" t="n">
        <v>78934412</v>
      </c>
      <c r="L4683" s="0" t="s">
        <v>4049</v>
      </c>
      <c r="N4683" s="0" t="n">
        <v>13</v>
      </c>
      <c r="O4683" s="0" t="n">
        <v>83.31</v>
      </c>
      <c r="P4683" s="0" t="s">
        <v>2444</v>
      </c>
    </row>
    <row r="4684" customFormat="false" ht="15" hidden="false" customHeight="true" outlineLevel="0" collapsed="false">
      <c r="A4684" s="0" t="n">
        <v>2</v>
      </c>
      <c r="B4684" s="71" t="n">
        <v>46227</v>
      </c>
      <c r="C4684" s="0" t="n">
        <v>11</v>
      </c>
      <c r="D4684" s="0" t="s">
        <v>2471</v>
      </c>
      <c r="E4684" s="0" t="n">
        <v>1666</v>
      </c>
      <c r="F4684" s="0" t="s">
        <v>266</v>
      </c>
      <c r="I4684" s="0" t="n">
        <v>568309</v>
      </c>
      <c r="J4684" s="0" t="n">
        <v>24990</v>
      </c>
      <c r="K4684" s="0" t="n">
        <v>78935761</v>
      </c>
      <c r="L4684" s="0" t="s">
        <v>2746</v>
      </c>
      <c r="N4684" s="0" t="n">
        <v>400</v>
      </c>
      <c r="O4684" s="0" t="n">
        <v>5929.11</v>
      </c>
      <c r="P4684" s="0" t="s">
        <v>2444</v>
      </c>
    </row>
    <row r="4685" customFormat="false" ht="15" hidden="false" customHeight="true" outlineLevel="0" collapsed="false">
      <c r="A4685" s="0" t="n">
        <v>2</v>
      </c>
      <c r="B4685" s="71" t="n">
        <v>46227</v>
      </c>
      <c r="C4685" s="0" t="n">
        <v>11</v>
      </c>
      <c r="D4685" s="0" t="s">
        <v>2471</v>
      </c>
      <c r="E4685" s="0" t="n">
        <v>1666</v>
      </c>
      <c r="F4685" s="0" t="s">
        <v>266</v>
      </c>
      <c r="I4685" s="0" t="n">
        <v>568309</v>
      </c>
      <c r="J4685" s="0" t="n">
        <v>37536</v>
      </c>
      <c r="K4685" s="0" t="n">
        <v>78942066</v>
      </c>
      <c r="L4685" s="0" t="s">
        <v>2750</v>
      </c>
      <c r="N4685" s="0" t="n">
        <v>150</v>
      </c>
      <c r="O4685" s="0" t="n">
        <v>2011.64</v>
      </c>
      <c r="P4685" s="0" t="s">
        <v>2444</v>
      </c>
    </row>
    <row r="4686" customFormat="false" ht="15" hidden="false" customHeight="true" outlineLevel="0" collapsed="false">
      <c r="A4686" s="0" t="n">
        <v>2</v>
      </c>
      <c r="B4686" s="71" t="n">
        <v>46227</v>
      </c>
      <c r="C4686" s="0" t="n">
        <v>11</v>
      </c>
      <c r="D4686" s="0" t="s">
        <v>2471</v>
      </c>
      <c r="E4686" s="0" t="n">
        <v>1666</v>
      </c>
      <c r="F4686" s="0" t="s">
        <v>266</v>
      </c>
      <c r="I4686" s="0" t="n">
        <v>568309</v>
      </c>
      <c r="J4686" s="0" t="n">
        <v>40750</v>
      </c>
      <c r="K4686" s="0" t="n">
        <v>78943032</v>
      </c>
      <c r="L4686" s="0" t="s">
        <v>2751</v>
      </c>
      <c r="N4686" s="0" t="n">
        <v>10</v>
      </c>
      <c r="O4686" s="0" t="n">
        <v>127.05</v>
      </c>
      <c r="P4686" s="0" t="s">
        <v>2444</v>
      </c>
    </row>
    <row r="4687" customFormat="false" ht="15" hidden="false" customHeight="true" outlineLevel="0" collapsed="false">
      <c r="A4687" s="0" t="n">
        <v>2</v>
      </c>
      <c r="B4687" s="71" t="n">
        <v>46227</v>
      </c>
      <c r="C4687" s="0" t="n">
        <v>11</v>
      </c>
      <c r="D4687" s="0" t="s">
        <v>2471</v>
      </c>
      <c r="E4687" s="0" t="n">
        <v>1666</v>
      </c>
      <c r="F4687" s="0" t="s">
        <v>266</v>
      </c>
      <c r="I4687" s="0" t="n">
        <v>568309</v>
      </c>
      <c r="J4687" s="0" t="n">
        <v>49090</v>
      </c>
      <c r="K4687" s="0" t="n">
        <v>78942813</v>
      </c>
      <c r="L4687" s="0" t="s">
        <v>2752</v>
      </c>
      <c r="N4687" s="0" t="n">
        <v>10</v>
      </c>
      <c r="O4687" s="0" t="n">
        <v>112.94</v>
      </c>
      <c r="P4687" s="0" t="s">
        <v>2444</v>
      </c>
    </row>
    <row r="4688" customFormat="false" ht="15" hidden="false" customHeight="true" outlineLevel="0" collapsed="false">
      <c r="A4688" s="0" t="n">
        <v>2</v>
      </c>
      <c r="B4688" s="71" t="n">
        <v>46227</v>
      </c>
      <c r="C4688" s="0" t="n">
        <v>11</v>
      </c>
      <c r="D4688" s="0" t="s">
        <v>2471</v>
      </c>
      <c r="E4688" s="0" t="n">
        <v>1666</v>
      </c>
      <c r="F4688" s="0" t="s">
        <v>266</v>
      </c>
      <c r="I4688" s="0" t="n">
        <v>568309</v>
      </c>
      <c r="J4688" s="0" t="n">
        <v>50760</v>
      </c>
      <c r="K4688" s="0" t="n">
        <v>78943087</v>
      </c>
      <c r="L4688" s="0" t="s">
        <v>2753</v>
      </c>
      <c r="N4688" s="0" t="n">
        <v>90</v>
      </c>
      <c r="O4688" s="0" t="n">
        <v>1058.76</v>
      </c>
      <c r="P4688" s="0" t="s">
        <v>2444</v>
      </c>
    </row>
    <row r="4689" customFormat="false" ht="15" hidden="false" customHeight="true" outlineLevel="0" collapsed="false">
      <c r="A4689" s="0" t="n">
        <v>2</v>
      </c>
      <c r="B4689" s="71" t="n">
        <v>46227</v>
      </c>
      <c r="C4689" s="0" t="n">
        <v>11</v>
      </c>
      <c r="D4689" s="0" t="s">
        <v>2471</v>
      </c>
      <c r="E4689" s="0" t="n">
        <v>1666</v>
      </c>
      <c r="F4689" s="0" t="s">
        <v>266</v>
      </c>
      <c r="I4689" s="0" t="n">
        <v>568309</v>
      </c>
      <c r="J4689" s="0" t="n">
        <v>53207</v>
      </c>
      <c r="K4689" s="0" t="n">
        <v>78944480</v>
      </c>
      <c r="L4689" s="0" t="s">
        <v>2754</v>
      </c>
      <c r="N4689" s="0" t="n">
        <v>150</v>
      </c>
      <c r="O4689" s="0" t="n">
        <v>1411.69</v>
      </c>
      <c r="P4689" s="0" t="s">
        <v>2444</v>
      </c>
    </row>
    <row r="4690" customFormat="false" ht="15" hidden="false" customHeight="true" outlineLevel="0" collapsed="false">
      <c r="A4690" s="0" t="n">
        <v>2</v>
      </c>
      <c r="B4690" s="71" t="n">
        <v>46227</v>
      </c>
      <c r="C4690" s="0" t="n">
        <v>11</v>
      </c>
      <c r="D4690" s="0" t="s">
        <v>2471</v>
      </c>
      <c r="E4690" s="0" t="n">
        <v>1666</v>
      </c>
      <c r="F4690" s="0" t="s">
        <v>266</v>
      </c>
      <c r="I4690" s="0" t="n">
        <v>568309</v>
      </c>
      <c r="J4690" s="0" t="n">
        <v>57287</v>
      </c>
      <c r="K4690" s="0" t="n">
        <v>78944251</v>
      </c>
      <c r="L4690" s="0" t="s">
        <v>2755</v>
      </c>
      <c r="N4690" s="0" t="n">
        <v>30</v>
      </c>
      <c r="O4690" s="0" t="n">
        <v>388.21</v>
      </c>
      <c r="P4690" s="0" t="s">
        <v>2444</v>
      </c>
    </row>
    <row r="4691" customFormat="false" ht="15" hidden="false" customHeight="true" outlineLevel="0" collapsed="false">
      <c r="A4691" s="0" t="n">
        <v>2</v>
      </c>
      <c r="B4691" s="71" t="n">
        <v>46227</v>
      </c>
      <c r="C4691" s="0" t="n">
        <v>11</v>
      </c>
      <c r="D4691" s="0" t="s">
        <v>2471</v>
      </c>
      <c r="E4691" s="0" t="n">
        <v>1666</v>
      </c>
      <c r="F4691" s="0" t="s">
        <v>266</v>
      </c>
      <c r="I4691" s="0" t="n">
        <v>568309</v>
      </c>
      <c r="J4691" s="0" t="n">
        <v>67177</v>
      </c>
      <c r="K4691" s="0" t="n">
        <v>78944466</v>
      </c>
      <c r="L4691" s="0" t="s">
        <v>2757</v>
      </c>
      <c r="N4691" s="0" t="n">
        <v>350</v>
      </c>
      <c r="O4691" s="0" t="n">
        <v>3541.01</v>
      </c>
      <c r="P4691" s="0" t="s">
        <v>2444</v>
      </c>
    </row>
    <row r="4692" customFormat="false" ht="15" hidden="false" customHeight="true" outlineLevel="0" collapsed="false">
      <c r="A4692" s="0" t="n">
        <v>2</v>
      </c>
      <c r="B4692" s="71" t="n">
        <v>46227</v>
      </c>
      <c r="C4692" s="0" t="n">
        <v>11</v>
      </c>
      <c r="D4692" s="0" t="s">
        <v>2471</v>
      </c>
      <c r="E4692" s="0" t="n">
        <v>1666</v>
      </c>
      <c r="F4692" s="0" t="s">
        <v>266</v>
      </c>
      <c r="I4692" s="0" t="n">
        <v>568309</v>
      </c>
      <c r="J4692" s="0" t="n">
        <v>67622</v>
      </c>
      <c r="K4692" s="0" t="n">
        <v>78944503</v>
      </c>
      <c r="L4692" s="0" t="s">
        <v>2758</v>
      </c>
      <c r="N4692" s="0" t="n">
        <v>40</v>
      </c>
      <c r="O4692" s="0" t="n">
        <v>376.45</v>
      </c>
      <c r="P4692" s="0" t="s">
        <v>2444</v>
      </c>
    </row>
    <row r="4693" customFormat="false" ht="15" hidden="false" customHeight="true" outlineLevel="0" collapsed="false">
      <c r="A4693" s="0" t="n">
        <v>2</v>
      </c>
      <c r="B4693" s="71" t="n">
        <v>46227</v>
      </c>
      <c r="C4693" s="0" t="n">
        <v>11</v>
      </c>
      <c r="D4693" s="0" t="s">
        <v>2471</v>
      </c>
      <c r="E4693" s="0" t="n">
        <v>1666</v>
      </c>
      <c r="F4693" s="0" t="s">
        <v>266</v>
      </c>
      <c r="I4693" s="0" t="n">
        <v>568309</v>
      </c>
      <c r="J4693" s="0" t="n">
        <v>71518</v>
      </c>
      <c r="K4693" s="0" t="n">
        <v>78946200</v>
      </c>
      <c r="L4693" s="0" t="s">
        <v>2759</v>
      </c>
      <c r="N4693" s="0" t="n">
        <v>40</v>
      </c>
      <c r="O4693" s="0" t="n">
        <v>291.75</v>
      </c>
      <c r="P4693" s="0" t="s">
        <v>2444</v>
      </c>
    </row>
    <row r="4694" customFormat="false" ht="15" hidden="false" customHeight="true" outlineLevel="0" collapsed="false">
      <c r="A4694" s="0" t="n">
        <v>2</v>
      </c>
      <c r="B4694" s="71" t="n">
        <v>46227</v>
      </c>
      <c r="C4694" s="0" t="n">
        <v>11</v>
      </c>
      <c r="D4694" s="0" t="s">
        <v>2471</v>
      </c>
      <c r="E4694" s="0" t="n">
        <v>1666</v>
      </c>
      <c r="F4694" s="0" t="s">
        <v>266</v>
      </c>
      <c r="I4694" s="0" t="n">
        <v>568309</v>
      </c>
      <c r="J4694" s="0" t="n">
        <v>77084</v>
      </c>
      <c r="K4694" s="0" t="n">
        <v>78947535</v>
      </c>
      <c r="L4694" s="0" t="s">
        <v>2760</v>
      </c>
      <c r="N4694" s="0" t="n">
        <v>30</v>
      </c>
      <c r="O4694" s="0" t="n">
        <v>458.8</v>
      </c>
      <c r="P4694" s="0" t="s">
        <v>2444</v>
      </c>
    </row>
    <row r="4695" customFormat="false" ht="15" hidden="false" customHeight="true" outlineLevel="0" collapsed="false">
      <c r="A4695" s="0" t="n">
        <v>2</v>
      </c>
      <c r="B4695" s="71" t="n">
        <v>46227</v>
      </c>
      <c r="C4695" s="0" t="n">
        <v>11</v>
      </c>
      <c r="D4695" s="0" t="s">
        <v>2471</v>
      </c>
      <c r="E4695" s="0" t="n">
        <v>1666</v>
      </c>
      <c r="F4695" s="0" t="s">
        <v>266</v>
      </c>
      <c r="I4695" s="0" t="n">
        <v>568309</v>
      </c>
      <c r="J4695" s="0" t="n">
        <v>78026</v>
      </c>
      <c r="K4695" s="0" t="n">
        <v>78947504</v>
      </c>
      <c r="L4695" s="0" t="s">
        <v>2761</v>
      </c>
      <c r="N4695" s="0" t="n">
        <v>70</v>
      </c>
      <c r="O4695" s="0" t="n">
        <v>872.9</v>
      </c>
      <c r="P4695" s="0" t="s">
        <v>2444</v>
      </c>
    </row>
    <row r="4696" customFormat="false" ht="15" hidden="false" customHeight="true" outlineLevel="0" collapsed="false">
      <c r="A4696" s="0" t="n">
        <v>2</v>
      </c>
      <c r="B4696" s="71" t="n">
        <v>46227</v>
      </c>
      <c r="C4696" s="0" t="n">
        <v>11</v>
      </c>
      <c r="D4696" s="0" t="s">
        <v>2471</v>
      </c>
      <c r="E4696" s="0" t="n">
        <v>1666</v>
      </c>
      <c r="F4696" s="0" t="s">
        <v>266</v>
      </c>
      <c r="I4696" s="0" t="n">
        <v>568309</v>
      </c>
      <c r="J4696" s="0" t="n">
        <v>78170</v>
      </c>
      <c r="K4696" s="0" t="n">
        <v>781718</v>
      </c>
      <c r="L4696" s="0" t="s">
        <v>2762</v>
      </c>
      <c r="N4696" s="0" t="n">
        <v>10</v>
      </c>
      <c r="O4696" s="0" t="n">
        <v>72.94</v>
      </c>
      <c r="P4696" s="0" t="s">
        <v>2444</v>
      </c>
    </row>
    <row r="4697" customFormat="false" ht="15" hidden="false" customHeight="true" outlineLevel="0" collapsed="false">
      <c r="A4697" s="0" t="n">
        <v>2</v>
      </c>
      <c r="B4697" s="71" t="n">
        <v>46227</v>
      </c>
      <c r="C4697" s="0" t="n">
        <v>11</v>
      </c>
      <c r="D4697" s="0" t="s">
        <v>2471</v>
      </c>
      <c r="E4697" s="0" t="n">
        <v>1666</v>
      </c>
      <c r="F4697" s="0" t="s">
        <v>266</v>
      </c>
      <c r="I4697" s="0" t="n">
        <v>568309</v>
      </c>
      <c r="J4697" s="0" t="n">
        <v>78629</v>
      </c>
      <c r="K4697" s="0" t="n">
        <v>786300</v>
      </c>
      <c r="L4697" s="0" t="s">
        <v>2763</v>
      </c>
      <c r="N4697" s="0" t="n">
        <v>130</v>
      </c>
      <c r="O4697" s="0" t="n">
        <v>1223.46</v>
      </c>
      <c r="P4697" s="0" t="s">
        <v>2444</v>
      </c>
    </row>
    <row r="4698" customFormat="false" ht="15" hidden="false" customHeight="true" outlineLevel="0" collapsed="false">
      <c r="A4698" s="0" t="n">
        <v>2</v>
      </c>
      <c r="B4698" s="71" t="n">
        <v>46227</v>
      </c>
      <c r="C4698" s="0" t="n">
        <v>11</v>
      </c>
      <c r="D4698" s="0" t="s">
        <v>2471</v>
      </c>
      <c r="E4698" s="0" t="n">
        <v>1666</v>
      </c>
      <c r="F4698" s="0" t="s">
        <v>266</v>
      </c>
      <c r="I4698" s="0" t="n">
        <v>568309</v>
      </c>
      <c r="J4698" s="0" t="n">
        <v>81691</v>
      </c>
      <c r="K4698" s="0" t="n">
        <v>78947610</v>
      </c>
      <c r="L4698" s="0" t="s">
        <v>4053</v>
      </c>
      <c r="N4698" s="0" t="n">
        <v>300</v>
      </c>
      <c r="O4698" s="0" t="n">
        <v>2188.13</v>
      </c>
      <c r="P4698" s="0" t="s">
        <v>2444</v>
      </c>
    </row>
    <row r="4699" customFormat="false" ht="15" hidden="false" customHeight="true" outlineLevel="0" collapsed="false">
      <c r="A4699" s="0" t="n">
        <v>2</v>
      </c>
      <c r="B4699" s="71" t="n">
        <v>46227</v>
      </c>
      <c r="C4699" s="0" t="n">
        <v>11</v>
      </c>
      <c r="D4699" s="0" t="s">
        <v>2471</v>
      </c>
      <c r="E4699" s="0" t="n">
        <v>1642</v>
      </c>
      <c r="F4699" s="0" t="s">
        <v>228</v>
      </c>
      <c r="I4699" s="0" t="n">
        <v>1033458</v>
      </c>
      <c r="J4699" s="0" t="n">
        <v>105780</v>
      </c>
      <c r="K4699" s="0" t="n">
        <v>7896289210017</v>
      </c>
      <c r="L4699" s="0" t="s">
        <v>2511</v>
      </c>
      <c r="N4699" s="0" t="n">
        <v>10</v>
      </c>
      <c r="O4699" s="0" t="n">
        <v>106.7</v>
      </c>
      <c r="P4699" s="0" t="s">
        <v>2444</v>
      </c>
    </row>
    <row r="4700" customFormat="false" ht="15" hidden="false" customHeight="true" outlineLevel="0" collapsed="false">
      <c r="A4700" s="0" t="n">
        <v>2</v>
      </c>
      <c r="B4700" s="71" t="n">
        <v>46227</v>
      </c>
      <c r="C4700" s="0" t="n">
        <v>11</v>
      </c>
      <c r="D4700" s="0" t="s">
        <v>2471</v>
      </c>
      <c r="E4700" s="0" t="n">
        <v>1642</v>
      </c>
      <c r="F4700" s="0" t="s">
        <v>228</v>
      </c>
      <c r="I4700" s="0" t="n">
        <v>1033458</v>
      </c>
      <c r="J4700" s="0" t="n">
        <v>105782</v>
      </c>
      <c r="K4700" s="0" t="n">
        <v>7896289210352</v>
      </c>
      <c r="L4700" s="0" t="s">
        <v>2512</v>
      </c>
      <c r="N4700" s="0" t="n">
        <v>5</v>
      </c>
      <c r="O4700" s="0" t="n">
        <v>34.3</v>
      </c>
      <c r="P4700" s="0" t="s">
        <v>2444</v>
      </c>
    </row>
    <row r="4701" customFormat="false" ht="15" hidden="false" customHeight="true" outlineLevel="0" collapsed="false">
      <c r="A4701" s="0" t="n">
        <v>2</v>
      </c>
      <c r="B4701" s="71" t="n">
        <v>46227</v>
      </c>
      <c r="C4701" s="0" t="n">
        <v>11</v>
      </c>
      <c r="D4701" s="0" t="s">
        <v>2471</v>
      </c>
      <c r="E4701" s="0" t="n">
        <v>1642</v>
      </c>
      <c r="F4701" s="0" t="s">
        <v>228</v>
      </c>
      <c r="I4701" s="0" t="n">
        <v>1033458</v>
      </c>
      <c r="J4701" s="0" t="n">
        <v>106079</v>
      </c>
      <c r="K4701" s="0" t="n">
        <v>7896289210130</v>
      </c>
      <c r="L4701" s="0" t="s">
        <v>2513</v>
      </c>
      <c r="N4701" s="0" t="n">
        <v>4</v>
      </c>
      <c r="O4701" s="0" t="n">
        <v>54.8</v>
      </c>
      <c r="P4701" s="0" t="s">
        <v>2444</v>
      </c>
    </row>
    <row r="4702" customFormat="false" ht="15" hidden="false" customHeight="true" outlineLevel="0" collapsed="false">
      <c r="A4702" s="0" t="n">
        <v>2</v>
      </c>
      <c r="B4702" s="71" t="n">
        <v>46227</v>
      </c>
      <c r="C4702" s="0" t="n">
        <v>11</v>
      </c>
      <c r="D4702" s="0" t="s">
        <v>2471</v>
      </c>
      <c r="E4702" s="0" t="n">
        <v>1642</v>
      </c>
      <c r="F4702" s="0" t="s">
        <v>228</v>
      </c>
      <c r="I4702" s="0" t="n">
        <v>1033458</v>
      </c>
      <c r="J4702" s="0" t="n">
        <v>106407</v>
      </c>
      <c r="K4702" s="0" t="n">
        <v>7896289210031</v>
      </c>
      <c r="L4702" s="0" t="s">
        <v>2516</v>
      </c>
      <c r="N4702" s="0" t="n">
        <v>5</v>
      </c>
      <c r="O4702" s="0" t="n">
        <v>58.2</v>
      </c>
      <c r="P4702" s="0" t="s">
        <v>2444</v>
      </c>
    </row>
    <row r="4703" customFormat="false" ht="15" hidden="false" customHeight="true" outlineLevel="0" collapsed="false">
      <c r="A4703" s="0" t="n">
        <v>2</v>
      </c>
      <c r="B4703" s="71" t="n">
        <v>46227</v>
      </c>
      <c r="C4703" s="0" t="n">
        <v>11</v>
      </c>
      <c r="D4703" s="0" t="s">
        <v>2471</v>
      </c>
      <c r="E4703" s="0" t="n">
        <v>1613</v>
      </c>
      <c r="F4703" s="0" t="s">
        <v>50</v>
      </c>
      <c r="I4703" s="0" t="n">
        <v>1611346</v>
      </c>
      <c r="J4703" s="0" t="n">
        <v>105663</v>
      </c>
      <c r="K4703" s="0" t="n">
        <v>7893000980006</v>
      </c>
      <c r="L4703" s="0" t="s">
        <v>3760</v>
      </c>
      <c r="N4703" s="0" t="n">
        <v>24</v>
      </c>
      <c r="O4703" s="0" t="n">
        <v>150.8</v>
      </c>
      <c r="P4703" s="0" t="s">
        <v>2444</v>
      </c>
    </row>
    <row r="4704" customFormat="false" ht="15" hidden="false" customHeight="true" outlineLevel="0" collapsed="false">
      <c r="A4704" s="0" t="n">
        <v>2</v>
      </c>
      <c r="B4704" s="71" t="n">
        <v>46227</v>
      </c>
      <c r="C4704" s="0" t="n">
        <v>11</v>
      </c>
      <c r="D4704" s="0" t="s">
        <v>2471</v>
      </c>
      <c r="E4704" s="0" t="n">
        <v>1613</v>
      </c>
      <c r="F4704" s="0" t="s">
        <v>50</v>
      </c>
      <c r="I4704" s="0" t="n">
        <v>1611346</v>
      </c>
      <c r="J4704" s="0" t="n">
        <v>109076</v>
      </c>
      <c r="K4704" s="0" t="n">
        <v>7891515989408</v>
      </c>
      <c r="L4704" s="0" t="s">
        <v>2976</v>
      </c>
      <c r="N4704" s="0" t="n">
        <v>36</v>
      </c>
      <c r="O4704" s="0" t="n">
        <v>40.41</v>
      </c>
      <c r="P4704" s="0" t="s">
        <v>2444</v>
      </c>
    </row>
    <row r="4705" customFormat="false" ht="15" hidden="false" customHeight="true" outlineLevel="0" collapsed="false">
      <c r="A4705" s="0" t="n">
        <v>2</v>
      </c>
      <c r="B4705" s="71" t="n">
        <v>46227</v>
      </c>
      <c r="C4705" s="0" t="n">
        <v>11</v>
      </c>
      <c r="D4705" s="0" t="s">
        <v>2471</v>
      </c>
      <c r="E4705" s="0" t="n">
        <v>1613</v>
      </c>
      <c r="F4705" s="0" t="s">
        <v>50</v>
      </c>
      <c r="I4705" s="0" t="n">
        <v>1611346</v>
      </c>
      <c r="J4705" s="0" t="n">
        <v>12464</v>
      </c>
      <c r="K4705" s="0" t="n">
        <v>7891515775636</v>
      </c>
      <c r="L4705" s="0" t="s">
        <v>4616</v>
      </c>
      <c r="N4705" s="0" t="n">
        <v>21</v>
      </c>
      <c r="O4705" s="0" t="n">
        <v>102.94</v>
      </c>
      <c r="P4705" s="0" t="s">
        <v>2444</v>
      </c>
    </row>
    <row r="4706" customFormat="false" ht="15" hidden="false" customHeight="true" outlineLevel="0" collapsed="false">
      <c r="A4706" s="0" t="n">
        <v>2</v>
      </c>
      <c r="B4706" s="71" t="n">
        <v>46227</v>
      </c>
      <c r="C4706" s="0" t="n">
        <v>11</v>
      </c>
      <c r="D4706" s="0" t="s">
        <v>2471</v>
      </c>
      <c r="E4706" s="0" t="n">
        <v>1613</v>
      </c>
      <c r="F4706" s="0" t="s">
        <v>50</v>
      </c>
      <c r="I4706" s="0" t="n">
        <v>1611346</v>
      </c>
      <c r="J4706" s="0" t="n">
        <v>13255</v>
      </c>
      <c r="K4706" s="0" t="n">
        <v>7893000005969</v>
      </c>
      <c r="L4706" s="0" t="s">
        <v>4043</v>
      </c>
      <c r="N4706" s="0" t="n">
        <v>12</v>
      </c>
      <c r="O4706" s="0" t="n">
        <v>124.64</v>
      </c>
      <c r="P4706" s="0" t="s">
        <v>2444</v>
      </c>
    </row>
    <row r="4707" customFormat="false" ht="15" hidden="false" customHeight="true" outlineLevel="0" collapsed="false">
      <c r="A4707" s="0" t="n">
        <v>2</v>
      </c>
      <c r="B4707" s="71" t="n">
        <v>46227</v>
      </c>
      <c r="C4707" s="0" t="n">
        <v>11</v>
      </c>
      <c r="D4707" s="0" t="s">
        <v>2471</v>
      </c>
      <c r="E4707" s="0" t="n">
        <v>1613</v>
      </c>
      <c r="F4707" s="0" t="s">
        <v>50</v>
      </c>
      <c r="I4707" s="0" t="n">
        <v>1611346</v>
      </c>
      <c r="J4707" s="0" t="n">
        <v>23694</v>
      </c>
      <c r="K4707" s="0" t="n">
        <v>7891515474737</v>
      </c>
      <c r="L4707" s="0" t="s">
        <v>2978</v>
      </c>
      <c r="N4707" s="0" t="n">
        <v>45</v>
      </c>
      <c r="O4707" s="0" t="n">
        <v>77.82</v>
      </c>
      <c r="P4707" s="0" t="s">
        <v>2444</v>
      </c>
    </row>
    <row r="4708" customFormat="false" ht="15" hidden="false" customHeight="true" outlineLevel="0" collapsed="false">
      <c r="A4708" s="0" t="n">
        <v>2</v>
      </c>
      <c r="B4708" s="71" t="n">
        <v>46227</v>
      </c>
      <c r="C4708" s="0" t="n">
        <v>11</v>
      </c>
      <c r="D4708" s="0" t="s">
        <v>2471</v>
      </c>
      <c r="E4708" s="0" t="n">
        <v>1613</v>
      </c>
      <c r="F4708" s="0" t="s">
        <v>50</v>
      </c>
      <c r="I4708" s="0" t="n">
        <v>1611346</v>
      </c>
      <c r="J4708" s="0" t="n">
        <v>23694</v>
      </c>
      <c r="K4708" s="0" t="n">
        <v>7891515474737</v>
      </c>
      <c r="L4708" s="0" t="s">
        <v>2978</v>
      </c>
      <c r="N4708" s="0" t="n">
        <v>45</v>
      </c>
      <c r="O4708" s="0" t="n">
        <v>73.7</v>
      </c>
      <c r="P4708" s="0" t="s">
        <v>2444</v>
      </c>
    </row>
    <row r="4709" customFormat="false" ht="15" hidden="false" customHeight="true" outlineLevel="0" collapsed="false">
      <c r="A4709" s="0" t="n">
        <v>2</v>
      </c>
      <c r="B4709" s="71" t="n">
        <v>46227</v>
      </c>
      <c r="C4709" s="0" t="n">
        <v>11</v>
      </c>
      <c r="D4709" s="0" t="s">
        <v>2471</v>
      </c>
      <c r="E4709" s="0" t="n">
        <v>1613</v>
      </c>
      <c r="F4709" s="0" t="s">
        <v>50</v>
      </c>
      <c r="I4709" s="0" t="n">
        <v>1611346</v>
      </c>
      <c r="J4709" s="0" t="n">
        <v>23695</v>
      </c>
      <c r="K4709" s="0" t="n">
        <v>7891515474126</v>
      </c>
      <c r="L4709" s="0" t="s">
        <v>2979</v>
      </c>
      <c r="N4709" s="0" t="n">
        <v>45</v>
      </c>
      <c r="O4709" s="0" t="n">
        <v>73.7</v>
      </c>
      <c r="P4709" s="0" t="s">
        <v>2444</v>
      </c>
    </row>
    <row r="4710" customFormat="false" ht="15" hidden="false" customHeight="true" outlineLevel="0" collapsed="false">
      <c r="A4710" s="0" t="n">
        <v>2</v>
      </c>
      <c r="B4710" s="71" t="n">
        <v>46227</v>
      </c>
      <c r="C4710" s="0" t="n">
        <v>11</v>
      </c>
      <c r="D4710" s="0" t="s">
        <v>2471</v>
      </c>
      <c r="E4710" s="0" t="n">
        <v>1613</v>
      </c>
      <c r="F4710" s="0" t="s">
        <v>50</v>
      </c>
      <c r="I4710" s="0" t="n">
        <v>1611346</v>
      </c>
      <c r="J4710" s="0" t="n">
        <v>110181</v>
      </c>
      <c r="K4710" s="0" t="n">
        <v>37389</v>
      </c>
      <c r="L4710" s="0" t="s">
        <v>2981</v>
      </c>
      <c r="N4710" s="0" t="n">
        <v>15</v>
      </c>
      <c r="O4710" s="0" t="n">
        <v>147.23</v>
      </c>
      <c r="P4710" s="0" t="s">
        <v>2444</v>
      </c>
    </row>
    <row r="4711" customFormat="false" ht="15" hidden="false" customHeight="true" outlineLevel="0" collapsed="false">
      <c r="A4711" s="0" t="n">
        <v>2</v>
      </c>
      <c r="B4711" s="71" t="n">
        <v>46227</v>
      </c>
      <c r="C4711" s="0" t="n">
        <v>11</v>
      </c>
      <c r="D4711" s="0" t="s">
        <v>2471</v>
      </c>
      <c r="E4711" s="0" t="n">
        <v>1683</v>
      </c>
      <c r="F4711" s="0" t="s">
        <v>406</v>
      </c>
      <c r="I4711" s="0" t="n">
        <v>1652599</v>
      </c>
      <c r="J4711" s="0" t="n">
        <v>37359</v>
      </c>
      <c r="K4711" s="0" t="n">
        <v>55526</v>
      </c>
      <c r="L4711" s="0" t="s">
        <v>2466</v>
      </c>
      <c r="N4711" s="0" t="n">
        <v>5</v>
      </c>
      <c r="O4711" s="0" t="n">
        <v>17.5</v>
      </c>
      <c r="P4711" s="0" t="s">
        <v>2444</v>
      </c>
    </row>
    <row r="4712" customFormat="false" ht="15" hidden="false" customHeight="true" outlineLevel="0" collapsed="false">
      <c r="A4712" s="0" t="n">
        <v>2</v>
      </c>
      <c r="B4712" s="71" t="n">
        <v>46227</v>
      </c>
      <c r="C4712" s="0" t="n">
        <v>11</v>
      </c>
      <c r="D4712" s="0" t="s">
        <v>2471</v>
      </c>
      <c r="E4712" s="0" t="n">
        <v>1683</v>
      </c>
      <c r="F4712" s="0" t="s">
        <v>406</v>
      </c>
      <c r="I4712" s="0" t="n">
        <v>1652599</v>
      </c>
      <c r="J4712" s="0" t="n">
        <v>37361</v>
      </c>
      <c r="K4712" s="0" t="n">
        <v>2240817</v>
      </c>
      <c r="L4712" s="0" t="s">
        <v>2467</v>
      </c>
      <c r="N4712" s="0" t="n">
        <v>30</v>
      </c>
      <c r="O4712" s="0" t="n">
        <v>54</v>
      </c>
      <c r="P4712" s="0" t="s">
        <v>2444</v>
      </c>
    </row>
    <row r="4713" customFormat="false" ht="15" hidden="false" customHeight="true" outlineLevel="0" collapsed="false">
      <c r="A4713" s="0" t="n">
        <v>2</v>
      </c>
      <c r="B4713" s="71" t="n">
        <v>46227</v>
      </c>
      <c r="C4713" s="0" t="n">
        <v>11</v>
      </c>
      <c r="D4713" s="0" t="s">
        <v>2471</v>
      </c>
      <c r="E4713" s="0" t="n">
        <v>1608</v>
      </c>
      <c r="F4713" s="0" t="s">
        <v>240</v>
      </c>
      <c r="I4713" s="0" t="n">
        <v>1698151</v>
      </c>
      <c r="J4713" s="0" t="n">
        <v>30307</v>
      </c>
      <c r="K4713" s="0" t="n">
        <v>7896009301179</v>
      </c>
      <c r="L4713" s="0" t="s">
        <v>4617</v>
      </c>
      <c r="N4713" s="0" t="n">
        <v>6</v>
      </c>
      <c r="O4713" s="0" t="n">
        <v>40.38</v>
      </c>
      <c r="P4713" s="0" t="s">
        <v>2444</v>
      </c>
    </row>
    <row r="4714" customFormat="false" ht="15" hidden="false" customHeight="true" outlineLevel="0" collapsed="false">
      <c r="A4714" s="0" t="n">
        <v>2</v>
      </c>
      <c r="B4714" s="71" t="n">
        <v>46227</v>
      </c>
      <c r="C4714" s="0" t="n">
        <v>11</v>
      </c>
      <c r="D4714" s="0" t="s">
        <v>2471</v>
      </c>
      <c r="E4714" s="0" t="n">
        <v>1608</v>
      </c>
      <c r="F4714" s="0" t="s">
        <v>240</v>
      </c>
      <c r="I4714" s="0" t="n">
        <v>1698151</v>
      </c>
      <c r="J4714" s="0" t="n">
        <v>101947</v>
      </c>
      <c r="K4714" s="0" t="n">
        <v>7891079001028</v>
      </c>
      <c r="L4714" s="0" t="s">
        <v>3703</v>
      </c>
      <c r="N4714" s="0" t="n">
        <v>50</v>
      </c>
      <c r="O4714" s="0" t="n">
        <v>109</v>
      </c>
      <c r="P4714" s="0" t="s">
        <v>2444</v>
      </c>
    </row>
    <row r="4715" customFormat="false" ht="15" hidden="false" customHeight="true" outlineLevel="0" collapsed="false">
      <c r="A4715" s="0" t="n">
        <v>2</v>
      </c>
      <c r="B4715" s="71" t="n">
        <v>46227</v>
      </c>
      <c r="C4715" s="0" t="n">
        <v>11</v>
      </c>
      <c r="D4715" s="0" t="s">
        <v>2471</v>
      </c>
      <c r="E4715" s="0" t="n">
        <v>1608</v>
      </c>
      <c r="F4715" s="0" t="s">
        <v>240</v>
      </c>
      <c r="I4715" s="0" t="n">
        <v>1698151</v>
      </c>
      <c r="J4715" s="0" t="n">
        <v>101948</v>
      </c>
      <c r="K4715" s="0" t="n">
        <v>7891079001011</v>
      </c>
      <c r="L4715" s="0" t="s">
        <v>3704</v>
      </c>
      <c r="N4715" s="0" t="n">
        <v>50</v>
      </c>
      <c r="O4715" s="0" t="n">
        <v>109</v>
      </c>
      <c r="P4715" s="0" t="s">
        <v>2444</v>
      </c>
    </row>
    <row r="4716" customFormat="false" ht="15" hidden="false" customHeight="true" outlineLevel="0" collapsed="false">
      <c r="A4716" s="0" t="n">
        <v>2</v>
      </c>
      <c r="B4716" s="71" t="n">
        <v>46227</v>
      </c>
      <c r="C4716" s="0" t="n">
        <v>11</v>
      </c>
      <c r="D4716" s="0" t="s">
        <v>2471</v>
      </c>
      <c r="E4716" s="0" t="n">
        <v>1608</v>
      </c>
      <c r="F4716" s="0" t="s">
        <v>240</v>
      </c>
      <c r="I4716" s="0" t="n">
        <v>1698151</v>
      </c>
      <c r="J4716" s="0" t="n">
        <v>101949</v>
      </c>
      <c r="K4716" s="0" t="n">
        <v>7891079001004</v>
      </c>
      <c r="L4716" s="0" t="s">
        <v>3705</v>
      </c>
      <c r="N4716" s="0" t="n">
        <v>25</v>
      </c>
      <c r="O4716" s="0" t="n">
        <v>54.5</v>
      </c>
      <c r="P4716" s="0" t="s">
        <v>2444</v>
      </c>
    </row>
    <row r="4717" customFormat="false" ht="15" hidden="false" customHeight="true" outlineLevel="0" collapsed="false">
      <c r="A4717" s="0" t="n">
        <v>2</v>
      </c>
      <c r="B4717" s="71" t="n">
        <v>46227</v>
      </c>
      <c r="C4717" s="0" t="n">
        <v>11</v>
      </c>
      <c r="D4717" s="0" t="s">
        <v>2471</v>
      </c>
      <c r="E4717" s="0" t="n">
        <v>1608</v>
      </c>
      <c r="F4717" s="0" t="s">
        <v>240</v>
      </c>
      <c r="I4717" s="0" t="n">
        <v>1698151</v>
      </c>
      <c r="J4717" s="0" t="n">
        <v>101953</v>
      </c>
      <c r="K4717" s="0" t="n">
        <v>7891079000229</v>
      </c>
      <c r="L4717" s="0" t="s">
        <v>3706</v>
      </c>
      <c r="N4717" s="0" t="n">
        <v>50</v>
      </c>
      <c r="O4717" s="0" t="n">
        <v>105</v>
      </c>
      <c r="P4717" s="0" t="s">
        <v>2444</v>
      </c>
    </row>
    <row r="4718" customFormat="false" ht="15" hidden="false" customHeight="true" outlineLevel="0" collapsed="false">
      <c r="A4718" s="0" t="n">
        <v>2</v>
      </c>
      <c r="B4718" s="71" t="n">
        <v>46227</v>
      </c>
      <c r="C4718" s="0" t="n">
        <v>11</v>
      </c>
      <c r="D4718" s="0" t="s">
        <v>2471</v>
      </c>
      <c r="E4718" s="0" t="n">
        <v>1608</v>
      </c>
      <c r="F4718" s="0" t="s">
        <v>240</v>
      </c>
      <c r="I4718" s="0" t="n">
        <v>1698151</v>
      </c>
      <c r="J4718" s="0" t="n">
        <v>101954</v>
      </c>
      <c r="K4718" s="0" t="n">
        <v>7891079000212</v>
      </c>
      <c r="L4718" s="0" t="s">
        <v>4618</v>
      </c>
      <c r="N4718" s="0" t="n">
        <v>50</v>
      </c>
      <c r="O4718" s="0" t="n">
        <v>105</v>
      </c>
      <c r="P4718" s="0" t="s">
        <v>2444</v>
      </c>
    </row>
    <row r="4719" customFormat="false" ht="15" hidden="false" customHeight="true" outlineLevel="0" collapsed="false">
      <c r="A4719" s="0" t="n">
        <v>2</v>
      </c>
      <c r="B4719" s="71" t="n">
        <v>46227</v>
      </c>
      <c r="C4719" s="0" t="n">
        <v>11</v>
      </c>
      <c r="D4719" s="0" t="s">
        <v>2471</v>
      </c>
      <c r="E4719" s="0" t="n">
        <v>1608</v>
      </c>
      <c r="F4719" s="0" t="s">
        <v>240</v>
      </c>
      <c r="I4719" s="0" t="n">
        <v>1698151</v>
      </c>
      <c r="J4719" s="0" t="n">
        <v>101957</v>
      </c>
      <c r="K4719" s="0" t="n">
        <v>7891079000205</v>
      </c>
      <c r="L4719" s="0" t="s">
        <v>3707</v>
      </c>
      <c r="N4719" s="0" t="n">
        <v>50</v>
      </c>
      <c r="O4719" s="0" t="n">
        <v>105</v>
      </c>
      <c r="P4719" s="0" t="s">
        <v>2444</v>
      </c>
    </row>
    <row r="4720" customFormat="false" ht="15" hidden="false" customHeight="true" outlineLevel="0" collapsed="false">
      <c r="A4720" s="0" t="n">
        <v>2</v>
      </c>
      <c r="B4720" s="71" t="n">
        <v>46227</v>
      </c>
      <c r="C4720" s="0" t="n">
        <v>11</v>
      </c>
      <c r="D4720" s="0" t="s">
        <v>2471</v>
      </c>
      <c r="E4720" s="0" t="n">
        <v>1608</v>
      </c>
      <c r="F4720" s="0" t="s">
        <v>240</v>
      </c>
      <c r="I4720" s="0" t="n">
        <v>1698151</v>
      </c>
      <c r="J4720" s="0" t="n">
        <v>104192</v>
      </c>
      <c r="K4720" s="0" t="n">
        <v>7891079011515</v>
      </c>
      <c r="L4720" s="0" t="s">
        <v>3709</v>
      </c>
      <c r="N4720" s="0" t="n">
        <v>2</v>
      </c>
      <c r="O4720" s="0" t="n">
        <v>14.24</v>
      </c>
      <c r="P4720" s="0" t="s">
        <v>2444</v>
      </c>
    </row>
    <row r="4721" customFormat="false" ht="15" hidden="false" customHeight="true" outlineLevel="0" collapsed="false">
      <c r="A4721" s="0" t="n">
        <v>2</v>
      </c>
      <c r="B4721" s="71" t="n">
        <v>46227</v>
      </c>
      <c r="C4721" s="0" t="n">
        <v>11</v>
      </c>
      <c r="D4721" s="0" t="s">
        <v>2471</v>
      </c>
      <c r="E4721" s="0" t="n">
        <v>1608</v>
      </c>
      <c r="F4721" s="0" t="s">
        <v>240</v>
      </c>
      <c r="I4721" s="0" t="n">
        <v>1698151</v>
      </c>
      <c r="J4721" s="0" t="n">
        <v>107876</v>
      </c>
      <c r="K4721" s="0" t="n">
        <v>7891079006009</v>
      </c>
      <c r="L4721" s="0" t="s">
        <v>3710</v>
      </c>
      <c r="N4721" s="0" t="n">
        <v>2</v>
      </c>
      <c r="O4721" s="0" t="n">
        <v>13.78</v>
      </c>
      <c r="P4721" s="0" t="s">
        <v>2444</v>
      </c>
    </row>
    <row r="4722" customFormat="false" ht="15" hidden="false" customHeight="true" outlineLevel="0" collapsed="false">
      <c r="A4722" s="0" t="n">
        <v>2</v>
      </c>
      <c r="B4722" s="71" t="n">
        <v>46227</v>
      </c>
      <c r="C4722" s="0" t="n">
        <v>11</v>
      </c>
      <c r="D4722" s="0" t="s">
        <v>2471</v>
      </c>
      <c r="E4722" s="0" t="n">
        <v>1608</v>
      </c>
      <c r="F4722" s="0" t="s">
        <v>240</v>
      </c>
      <c r="I4722" s="0" t="n">
        <v>1698151</v>
      </c>
      <c r="J4722" s="0" t="n">
        <v>19594</v>
      </c>
      <c r="K4722" s="0" t="n">
        <v>7891079000434</v>
      </c>
      <c r="L4722" s="0" t="s">
        <v>3711</v>
      </c>
      <c r="N4722" s="0" t="n">
        <v>15</v>
      </c>
      <c r="O4722" s="0" t="n">
        <v>42.75</v>
      </c>
      <c r="P4722" s="0" t="s">
        <v>2444</v>
      </c>
    </row>
    <row r="4723" customFormat="false" ht="15" hidden="false" customHeight="true" outlineLevel="0" collapsed="false">
      <c r="A4723" s="0" t="n">
        <v>2</v>
      </c>
      <c r="B4723" s="71" t="n">
        <v>46227</v>
      </c>
      <c r="C4723" s="0" t="n">
        <v>11</v>
      </c>
      <c r="D4723" s="0" t="s">
        <v>2471</v>
      </c>
      <c r="E4723" s="0" t="n">
        <v>1608</v>
      </c>
      <c r="F4723" s="0" t="s">
        <v>240</v>
      </c>
      <c r="I4723" s="0" t="n">
        <v>1698151</v>
      </c>
      <c r="J4723" s="0" t="n">
        <v>19595</v>
      </c>
      <c r="K4723" s="0" t="n">
        <v>7891079000410</v>
      </c>
      <c r="L4723" s="0" t="s">
        <v>3712</v>
      </c>
      <c r="N4723" s="0" t="n">
        <v>15</v>
      </c>
      <c r="O4723" s="0" t="n">
        <v>42.75</v>
      </c>
      <c r="P4723" s="0" t="s">
        <v>2444</v>
      </c>
    </row>
    <row r="4724" customFormat="false" ht="15" hidden="false" customHeight="true" outlineLevel="0" collapsed="false">
      <c r="A4724" s="0" t="n">
        <v>2</v>
      </c>
      <c r="B4724" s="71" t="n">
        <v>46227</v>
      </c>
      <c r="C4724" s="0" t="n">
        <v>11</v>
      </c>
      <c r="D4724" s="0" t="s">
        <v>2471</v>
      </c>
      <c r="E4724" s="0" t="n">
        <v>1608</v>
      </c>
      <c r="F4724" s="0" t="s">
        <v>240</v>
      </c>
      <c r="I4724" s="0" t="n">
        <v>1698151</v>
      </c>
      <c r="J4724" s="0" t="n">
        <v>28034</v>
      </c>
      <c r="K4724" s="0" t="n">
        <v>7891079013069</v>
      </c>
      <c r="L4724" s="0" t="s">
        <v>3718</v>
      </c>
      <c r="N4724" s="0" t="n">
        <v>12</v>
      </c>
      <c r="O4724" s="0" t="n">
        <v>52.56</v>
      </c>
      <c r="P4724" s="0" t="s">
        <v>2444</v>
      </c>
    </row>
    <row r="4725" customFormat="false" ht="15" hidden="false" customHeight="true" outlineLevel="0" collapsed="false">
      <c r="A4725" s="0" t="n">
        <v>2</v>
      </c>
      <c r="B4725" s="71" t="n">
        <v>46227</v>
      </c>
      <c r="C4725" s="0" t="n">
        <v>11</v>
      </c>
      <c r="D4725" s="0" t="s">
        <v>2471</v>
      </c>
      <c r="E4725" s="0" t="n">
        <v>1608</v>
      </c>
      <c r="F4725" s="0" t="s">
        <v>240</v>
      </c>
      <c r="I4725" s="0" t="n">
        <v>1698151</v>
      </c>
      <c r="J4725" s="0" t="n">
        <v>28035</v>
      </c>
      <c r="K4725" s="0" t="n">
        <v>7891079013052</v>
      </c>
      <c r="L4725" s="0" t="s">
        <v>3719</v>
      </c>
      <c r="N4725" s="0" t="n">
        <v>24</v>
      </c>
      <c r="O4725" s="0" t="n">
        <v>105.12</v>
      </c>
      <c r="P4725" s="0" t="s">
        <v>2444</v>
      </c>
    </row>
    <row r="4726" customFormat="false" ht="15" hidden="false" customHeight="true" outlineLevel="0" collapsed="false">
      <c r="A4726" s="0" t="n">
        <v>2</v>
      </c>
      <c r="B4726" s="71" t="n">
        <v>46227</v>
      </c>
      <c r="C4726" s="0" t="n">
        <v>11</v>
      </c>
      <c r="D4726" s="0" t="s">
        <v>2471</v>
      </c>
      <c r="E4726" s="0" t="n">
        <v>1608</v>
      </c>
      <c r="F4726" s="0" t="s">
        <v>240</v>
      </c>
      <c r="I4726" s="0" t="n">
        <v>1698151</v>
      </c>
      <c r="J4726" s="0" t="n">
        <v>29594</v>
      </c>
      <c r="K4726" s="0" t="n">
        <v>7896009301162</v>
      </c>
      <c r="L4726" s="0" t="s">
        <v>4619</v>
      </c>
      <c r="N4726" s="0" t="n">
        <v>12</v>
      </c>
      <c r="O4726" s="0" t="n">
        <v>80.76</v>
      </c>
      <c r="P4726" s="0" t="s">
        <v>2444</v>
      </c>
    </row>
    <row r="4727" customFormat="false" ht="15" hidden="false" customHeight="true" outlineLevel="0" collapsed="false">
      <c r="A4727" s="0" t="n">
        <v>2</v>
      </c>
      <c r="B4727" s="71" t="n">
        <v>46227</v>
      </c>
      <c r="C4727" s="0" t="n">
        <v>11</v>
      </c>
      <c r="D4727" s="0" t="s">
        <v>2471</v>
      </c>
      <c r="E4727" s="0" t="n">
        <v>1608</v>
      </c>
      <c r="F4727" s="0" t="s">
        <v>240</v>
      </c>
      <c r="I4727" s="0" t="n">
        <v>1698151</v>
      </c>
      <c r="J4727" s="0" t="n">
        <v>61507</v>
      </c>
      <c r="K4727" s="0" t="n">
        <v>7891079014028</v>
      </c>
      <c r="L4727" s="0" t="s">
        <v>4620</v>
      </c>
      <c r="N4727" s="0" t="n">
        <v>25</v>
      </c>
      <c r="O4727" s="0" t="n">
        <v>52.5</v>
      </c>
      <c r="P4727" s="0" t="s">
        <v>2444</v>
      </c>
    </row>
    <row r="4728" customFormat="false" ht="15" hidden="false" customHeight="true" outlineLevel="0" collapsed="false">
      <c r="A4728" s="0" t="n">
        <v>2</v>
      </c>
      <c r="B4728" s="71" t="n">
        <v>46227</v>
      </c>
      <c r="C4728" s="0" t="n">
        <v>11</v>
      </c>
      <c r="D4728" s="0" t="s">
        <v>2471</v>
      </c>
      <c r="E4728" s="0" t="n">
        <v>1608</v>
      </c>
      <c r="F4728" s="0" t="s">
        <v>240</v>
      </c>
      <c r="I4728" s="0" t="n">
        <v>1698151</v>
      </c>
      <c r="J4728" s="0" t="n">
        <v>75714</v>
      </c>
      <c r="K4728" s="0" t="n">
        <v>7891079014233</v>
      </c>
      <c r="L4728" s="0" t="s">
        <v>4621</v>
      </c>
      <c r="N4728" s="0" t="n">
        <v>6</v>
      </c>
      <c r="O4728" s="0" t="n">
        <v>26.28</v>
      </c>
      <c r="P4728" s="0" t="s">
        <v>2444</v>
      </c>
    </row>
    <row r="4729" customFormat="false" ht="15" hidden="false" customHeight="true" outlineLevel="0" collapsed="false">
      <c r="A4729" s="0" t="n">
        <v>2</v>
      </c>
      <c r="B4729" s="71" t="n">
        <v>46227</v>
      </c>
      <c r="C4729" s="0" t="n">
        <v>11</v>
      </c>
      <c r="D4729" s="0" t="s">
        <v>2471</v>
      </c>
      <c r="E4729" s="0" t="n">
        <v>1608</v>
      </c>
      <c r="F4729" s="0" t="s">
        <v>240</v>
      </c>
      <c r="I4729" s="0" t="n">
        <v>1698151</v>
      </c>
      <c r="J4729" s="0" t="n">
        <v>76679</v>
      </c>
      <c r="K4729" s="0" t="n">
        <v>7891079014295</v>
      </c>
      <c r="L4729" s="0" t="s">
        <v>4622</v>
      </c>
      <c r="N4729" s="0" t="n">
        <v>25</v>
      </c>
      <c r="O4729" s="0" t="n">
        <v>52.5</v>
      </c>
      <c r="P4729" s="0" t="s">
        <v>2444</v>
      </c>
    </row>
    <row r="4730" customFormat="false" ht="15" hidden="false" customHeight="true" outlineLevel="0" collapsed="false">
      <c r="A4730" s="0" t="n">
        <v>2</v>
      </c>
      <c r="B4730" s="71" t="n">
        <v>46227</v>
      </c>
      <c r="C4730" s="0" t="n">
        <v>11</v>
      </c>
      <c r="D4730" s="0" t="s">
        <v>2471</v>
      </c>
      <c r="E4730" s="0" t="n">
        <v>1608</v>
      </c>
      <c r="F4730" s="0" t="s">
        <v>240</v>
      </c>
      <c r="I4730" s="0" t="n">
        <v>1698937</v>
      </c>
      <c r="J4730" s="0" t="n">
        <v>50232</v>
      </c>
      <c r="K4730" s="0" t="n">
        <v>7891025123057</v>
      </c>
      <c r="L4730" s="0" t="s">
        <v>2639</v>
      </c>
      <c r="N4730" s="0" t="n">
        <v>4</v>
      </c>
      <c r="O4730" s="0" t="n">
        <v>10.24</v>
      </c>
      <c r="P4730" s="0" t="s">
        <v>2444</v>
      </c>
    </row>
    <row r="4731" customFormat="false" ht="15" hidden="false" customHeight="true" outlineLevel="0" collapsed="false">
      <c r="A4731" s="0" t="n">
        <v>2</v>
      </c>
      <c r="B4731" s="71" t="n">
        <v>46227</v>
      </c>
      <c r="C4731" s="0" t="n">
        <v>11</v>
      </c>
      <c r="D4731" s="0" t="s">
        <v>2471</v>
      </c>
      <c r="E4731" s="0" t="n">
        <v>1608</v>
      </c>
      <c r="F4731" s="0" t="s">
        <v>240</v>
      </c>
      <c r="I4731" s="0" t="n">
        <v>1698937</v>
      </c>
      <c r="J4731" s="0" t="n">
        <v>19906</v>
      </c>
      <c r="K4731" s="0" t="n">
        <v>7898553442933</v>
      </c>
      <c r="L4731" s="0" t="s">
        <v>2982</v>
      </c>
      <c r="N4731" s="0" t="n">
        <v>12</v>
      </c>
      <c r="O4731" s="0" t="n">
        <v>125.76</v>
      </c>
      <c r="P4731" s="0" t="s">
        <v>2444</v>
      </c>
    </row>
    <row r="4732" customFormat="false" ht="15" hidden="false" customHeight="true" outlineLevel="0" collapsed="false">
      <c r="A4732" s="0" t="n">
        <v>2</v>
      </c>
      <c r="B4732" s="71" t="n">
        <v>46227</v>
      </c>
      <c r="C4732" s="0" t="n">
        <v>11</v>
      </c>
      <c r="D4732" s="0" t="s">
        <v>2471</v>
      </c>
      <c r="E4732" s="0" t="n">
        <v>1608</v>
      </c>
      <c r="F4732" s="0" t="s">
        <v>240</v>
      </c>
      <c r="I4732" s="0" t="n">
        <v>1698937</v>
      </c>
      <c r="J4732" s="0" t="n">
        <v>24123</v>
      </c>
      <c r="K4732" s="0" t="n">
        <v>7891025109396</v>
      </c>
      <c r="L4732" s="0" t="s">
        <v>2643</v>
      </c>
      <c r="N4732" s="0" t="n">
        <v>6</v>
      </c>
      <c r="O4732" s="0" t="n">
        <v>20.16</v>
      </c>
      <c r="P4732" s="0" t="s">
        <v>2444</v>
      </c>
    </row>
    <row r="4733" customFormat="false" ht="15" hidden="false" customHeight="true" outlineLevel="0" collapsed="false">
      <c r="A4733" s="0" t="n">
        <v>2</v>
      </c>
      <c r="B4733" s="71" t="n">
        <v>46227</v>
      </c>
      <c r="C4733" s="0" t="n">
        <v>11</v>
      </c>
      <c r="D4733" s="0" t="s">
        <v>2471</v>
      </c>
      <c r="E4733" s="0" t="n">
        <v>1608</v>
      </c>
      <c r="F4733" s="0" t="s">
        <v>240</v>
      </c>
      <c r="I4733" s="0" t="n">
        <v>1698937</v>
      </c>
      <c r="J4733" s="0" t="n">
        <v>24124</v>
      </c>
      <c r="K4733" s="0" t="n">
        <v>7891025109419</v>
      </c>
      <c r="L4733" s="0" t="s">
        <v>2644</v>
      </c>
      <c r="N4733" s="0" t="n">
        <v>6</v>
      </c>
      <c r="O4733" s="0" t="n">
        <v>20.16</v>
      </c>
      <c r="P4733" s="0" t="s">
        <v>2444</v>
      </c>
    </row>
    <row r="4734" customFormat="false" ht="15" hidden="false" customHeight="true" outlineLevel="0" collapsed="false">
      <c r="A4734" s="0" t="n">
        <v>2</v>
      </c>
      <c r="B4734" s="71" t="n">
        <v>46227</v>
      </c>
      <c r="C4734" s="0" t="n">
        <v>11</v>
      </c>
      <c r="D4734" s="0" t="s">
        <v>2471</v>
      </c>
      <c r="E4734" s="0" t="n">
        <v>1608</v>
      </c>
      <c r="F4734" s="0" t="s">
        <v>240</v>
      </c>
      <c r="I4734" s="0" t="n">
        <v>1698937</v>
      </c>
      <c r="J4734" s="0" t="n">
        <v>24832</v>
      </c>
      <c r="K4734" s="0" t="n">
        <v>7891025109891</v>
      </c>
      <c r="L4734" s="0" t="s">
        <v>2646</v>
      </c>
      <c r="N4734" s="0" t="n">
        <v>6</v>
      </c>
      <c r="O4734" s="0" t="n">
        <v>50.76</v>
      </c>
      <c r="P4734" s="0" t="s">
        <v>2444</v>
      </c>
    </row>
    <row r="4735" customFormat="false" ht="15" hidden="false" customHeight="true" outlineLevel="0" collapsed="false">
      <c r="A4735" s="0" t="n">
        <v>2</v>
      </c>
      <c r="B4735" s="71" t="n">
        <v>46227</v>
      </c>
      <c r="C4735" s="0" t="n">
        <v>11</v>
      </c>
      <c r="D4735" s="0" t="s">
        <v>2471</v>
      </c>
      <c r="E4735" s="0" t="n">
        <v>1608</v>
      </c>
      <c r="F4735" s="0" t="s">
        <v>240</v>
      </c>
      <c r="I4735" s="0" t="n">
        <v>1698937</v>
      </c>
      <c r="J4735" s="0" t="n">
        <v>29446</v>
      </c>
      <c r="K4735" s="0" t="n">
        <v>7891025116790</v>
      </c>
      <c r="L4735" s="0" t="s">
        <v>4623</v>
      </c>
      <c r="N4735" s="0" t="n">
        <v>2</v>
      </c>
      <c r="O4735" s="0" t="n">
        <v>17.26</v>
      </c>
      <c r="P4735" s="0" t="s">
        <v>2444</v>
      </c>
    </row>
    <row r="4736" customFormat="false" ht="15" hidden="false" customHeight="true" outlineLevel="0" collapsed="false">
      <c r="A4736" s="0" t="n">
        <v>2</v>
      </c>
      <c r="B4736" s="71" t="n">
        <v>46227</v>
      </c>
      <c r="C4736" s="0" t="n">
        <v>11</v>
      </c>
      <c r="D4736" s="0" t="s">
        <v>2471</v>
      </c>
      <c r="E4736" s="0" t="n">
        <v>1608</v>
      </c>
      <c r="F4736" s="0" t="s">
        <v>240</v>
      </c>
      <c r="I4736" s="0" t="n">
        <v>1698937</v>
      </c>
      <c r="J4736" s="0" t="n">
        <v>31496</v>
      </c>
      <c r="K4736" s="0" t="n">
        <v>7891025117797</v>
      </c>
      <c r="L4736" s="0" t="s">
        <v>2519</v>
      </c>
      <c r="N4736" s="0" t="n">
        <v>2</v>
      </c>
      <c r="O4736" s="0" t="n">
        <v>10.6</v>
      </c>
      <c r="P4736" s="0" t="s">
        <v>2444</v>
      </c>
    </row>
    <row r="4737" customFormat="false" ht="15" hidden="false" customHeight="true" outlineLevel="0" collapsed="false">
      <c r="A4737" s="0" t="n">
        <v>2</v>
      </c>
      <c r="B4737" s="71" t="n">
        <v>46227</v>
      </c>
      <c r="C4737" s="0" t="n">
        <v>11</v>
      </c>
      <c r="D4737" s="0" t="s">
        <v>2471</v>
      </c>
      <c r="E4737" s="0" t="n">
        <v>1608</v>
      </c>
      <c r="F4737" s="0" t="s">
        <v>240</v>
      </c>
      <c r="I4737" s="0" t="n">
        <v>1698937</v>
      </c>
      <c r="J4737" s="0" t="n">
        <v>31497</v>
      </c>
      <c r="K4737" s="0" t="n">
        <v>7891025117773</v>
      </c>
      <c r="L4737" s="0" t="s">
        <v>2520</v>
      </c>
      <c r="N4737" s="0" t="n">
        <v>2</v>
      </c>
      <c r="O4737" s="0" t="n">
        <v>10.6</v>
      </c>
      <c r="P4737" s="0" t="s">
        <v>2444</v>
      </c>
    </row>
    <row r="4738" customFormat="false" ht="15" hidden="false" customHeight="true" outlineLevel="0" collapsed="false">
      <c r="A4738" s="0" t="n">
        <v>2</v>
      </c>
      <c r="B4738" s="71" t="n">
        <v>46227</v>
      </c>
      <c r="C4738" s="0" t="n">
        <v>11</v>
      </c>
      <c r="D4738" s="0" t="s">
        <v>2471</v>
      </c>
      <c r="E4738" s="0" t="n">
        <v>1608</v>
      </c>
      <c r="F4738" s="0" t="s">
        <v>240</v>
      </c>
      <c r="I4738" s="0" t="n">
        <v>1698937</v>
      </c>
      <c r="J4738" s="0" t="n">
        <v>31551</v>
      </c>
      <c r="K4738" s="0" t="n">
        <v>7891025117742</v>
      </c>
      <c r="L4738" s="0" t="s">
        <v>2521</v>
      </c>
      <c r="N4738" s="0" t="n">
        <v>2</v>
      </c>
      <c r="O4738" s="0" t="n">
        <v>10.6</v>
      </c>
      <c r="P4738" s="0" t="s">
        <v>2444</v>
      </c>
    </row>
    <row r="4739" customFormat="false" ht="15" hidden="false" customHeight="true" outlineLevel="0" collapsed="false">
      <c r="A4739" s="0" t="n">
        <v>2</v>
      </c>
      <c r="B4739" s="71" t="n">
        <v>46227</v>
      </c>
      <c r="C4739" s="0" t="n">
        <v>11</v>
      </c>
      <c r="D4739" s="0" t="s">
        <v>2471</v>
      </c>
      <c r="E4739" s="0" t="n">
        <v>1608</v>
      </c>
      <c r="F4739" s="0" t="s">
        <v>240</v>
      </c>
      <c r="I4739" s="0" t="n">
        <v>1698937</v>
      </c>
      <c r="J4739" s="0" t="n">
        <v>32614</v>
      </c>
      <c r="K4739" s="0" t="n">
        <v>7891025119456</v>
      </c>
      <c r="L4739" s="0" t="s">
        <v>2650</v>
      </c>
      <c r="N4739" s="0" t="n">
        <v>18</v>
      </c>
      <c r="O4739" s="0" t="n">
        <v>50.4</v>
      </c>
      <c r="P4739" s="0" t="s">
        <v>2444</v>
      </c>
    </row>
    <row r="4740" customFormat="false" ht="15" hidden="false" customHeight="true" outlineLevel="0" collapsed="false">
      <c r="A4740" s="0" t="n">
        <v>2</v>
      </c>
      <c r="B4740" s="71" t="n">
        <v>46227</v>
      </c>
      <c r="C4740" s="0" t="n">
        <v>11</v>
      </c>
      <c r="D4740" s="0" t="s">
        <v>2471</v>
      </c>
      <c r="E4740" s="0" t="n">
        <v>1608</v>
      </c>
      <c r="F4740" s="0" t="s">
        <v>240</v>
      </c>
      <c r="I4740" s="0" t="n">
        <v>1698937</v>
      </c>
      <c r="J4740" s="0" t="n">
        <v>35359</v>
      </c>
      <c r="K4740" s="0" t="n">
        <v>7891025119869</v>
      </c>
      <c r="L4740" s="0" t="s">
        <v>2651</v>
      </c>
      <c r="N4740" s="0" t="n">
        <v>2</v>
      </c>
      <c r="O4740" s="0" t="n">
        <v>24.4</v>
      </c>
      <c r="P4740" s="0" t="s">
        <v>2444</v>
      </c>
    </row>
    <row r="4741" customFormat="false" ht="15" hidden="false" customHeight="true" outlineLevel="0" collapsed="false">
      <c r="A4741" s="0" t="n">
        <v>2</v>
      </c>
      <c r="B4741" s="71" t="n">
        <v>46227</v>
      </c>
      <c r="C4741" s="0" t="n">
        <v>11</v>
      </c>
      <c r="D4741" s="0" t="s">
        <v>2471</v>
      </c>
      <c r="E4741" s="0" t="n">
        <v>1608</v>
      </c>
      <c r="F4741" s="0" t="s">
        <v>240</v>
      </c>
      <c r="I4741" s="0" t="n">
        <v>1698937</v>
      </c>
      <c r="J4741" s="0" t="n">
        <v>35395</v>
      </c>
      <c r="K4741" s="0" t="n">
        <v>7891025119852</v>
      </c>
      <c r="L4741" s="0" t="s">
        <v>2987</v>
      </c>
      <c r="N4741" s="0" t="n">
        <v>2</v>
      </c>
      <c r="O4741" s="0" t="n">
        <v>24.4</v>
      </c>
      <c r="P4741" s="0" t="s">
        <v>2444</v>
      </c>
    </row>
    <row r="4742" customFormat="false" ht="15" hidden="false" customHeight="true" outlineLevel="0" collapsed="false">
      <c r="A4742" s="0" t="n">
        <v>2</v>
      </c>
      <c r="B4742" s="71" t="n">
        <v>46227</v>
      </c>
      <c r="C4742" s="0" t="n">
        <v>11</v>
      </c>
      <c r="D4742" s="0" t="s">
        <v>2471</v>
      </c>
      <c r="E4742" s="0" t="n">
        <v>1608</v>
      </c>
      <c r="F4742" s="0" t="s">
        <v>240</v>
      </c>
      <c r="I4742" s="0" t="n">
        <v>1698937</v>
      </c>
      <c r="J4742" s="0" t="n">
        <v>37980</v>
      </c>
      <c r="K4742" s="0" t="n">
        <v>7891025121640</v>
      </c>
      <c r="L4742" s="0" t="s">
        <v>2989</v>
      </c>
      <c r="N4742" s="0" t="n">
        <v>4</v>
      </c>
      <c r="O4742" s="0" t="n">
        <v>29.44</v>
      </c>
      <c r="P4742" s="0" t="s">
        <v>2444</v>
      </c>
    </row>
    <row r="4743" customFormat="false" ht="15" hidden="false" customHeight="true" outlineLevel="0" collapsed="false">
      <c r="A4743" s="0" t="n">
        <v>2</v>
      </c>
      <c r="B4743" s="71" t="n">
        <v>46227</v>
      </c>
      <c r="C4743" s="0" t="n">
        <v>11</v>
      </c>
      <c r="D4743" s="0" t="s">
        <v>2471</v>
      </c>
      <c r="E4743" s="0" t="n">
        <v>1608</v>
      </c>
      <c r="F4743" s="0" t="s">
        <v>240</v>
      </c>
      <c r="I4743" s="0" t="n">
        <v>1698937</v>
      </c>
      <c r="J4743" s="0" t="n">
        <v>50877</v>
      </c>
      <c r="K4743" s="0" t="n">
        <v>7891025123040</v>
      </c>
      <c r="L4743" s="0" t="s">
        <v>2990</v>
      </c>
      <c r="N4743" s="0" t="n">
        <v>2</v>
      </c>
      <c r="O4743" s="0" t="n">
        <v>5.12</v>
      </c>
      <c r="P4743" s="0" t="s">
        <v>2444</v>
      </c>
    </row>
    <row r="4744" customFormat="false" ht="15" hidden="false" customHeight="true" outlineLevel="0" collapsed="false">
      <c r="A4744" s="0" t="n">
        <v>2</v>
      </c>
      <c r="B4744" s="71" t="n">
        <v>46227</v>
      </c>
      <c r="C4744" s="0" t="n">
        <v>11</v>
      </c>
      <c r="D4744" s="0" t="s">
        <v>2471</v>
      </c>
      <c r="E4744" s="0" t="n">
        <v>1608</v>
      </c>
      <c r="F4744" s="0" t="s">
        <v>240</v>
      </c>
      <c r="I4744" s="0" t="n">
        <v>1698937</v>
      </c>
      <c r="J4744" s="0" t="n">
        <v>69612</v>
      </c>
      <c r="K4744" s="0" t="n">
        <v>7891025123453</v>
      </c>
      <c r="L4744" s="0" t="s">
        <v>2525</v>
      </c>
      <c r="N4744" s="0" t="n">
        <v>3</v>
      </c>
      <c r="O4744" s="0" t="n">
        <v>36.87</v>
      </c>
      <c r="P4744" s="0" t="s">
        <v>2444</v>
      </c>
    </row>
    <row r="4745" customFormat="false" ht="15" hidden="false" customHeight="true" outlineLevel="0" collapsed="false">
      <c r="A4745" s="0" t="n">
        <v>2</v>
      </c>
      <c r="B4745" s="71" t="n">
        <v>46227</v>
      </c>
      <c r="C4745" s="0" t="n">
        <v>11</v>
      </c>
      <c r="D4745" s="0" t="s">
        <v>2471</v>
      </c>
      <c r="E4745" s="0" t="n">
        <v>1608</v>
      </c>
      <c r="F4745" s="0" t="s">
        <v>240</v>
      </c>
      <c r="I4745" s="0" t="n">
        <v>1698937</v>
      </c>
      <c r="J4745" s="0" t="n">
        <v>69613</v>
      </c>
      <c r="K4745" s="0" t="n">
        <v>7891025123460</v>
      </c>
      <c r="L4745" s="0" t="s">
        <v>2526</v>
      </c>
      <c r="N4745" s="0" t="n">
        <v>2</v>
      </c>
      <c r="O4745" s="0" t="n">
        <v>24.58</v>
      </c>
      <c r="P4745" s="0" t="s">
        <v>2444</v>
      </c>
    </row>
    <row r="4746" customFormat="false" ht="15" hidden="false" customHeight="true" outlineLevel="0" collapsed="false">
      <c r="A4746" s="0" t="n">
        <v>2</v>
      </c>
      <c r="B4746" s="71" t="n">
        <v>46227</v>
      </c>
      <c r="C4746" s="0" t="n">
        <v>11</v>
      </c>
      <c r="D4746" s="0" t="s">
        <v>2471</v>
      </c>
      <c r="E4746" s="0" t="n">
        <v>1608</v>
      </c>
      <c r="F4746" s="0" t="s">
        <v>240</v>
      </c>
      <c r="I4746" s="0" t="n">
        <v>1698937</v>
      </c>
      <c r="J4746" s="0" t="n">
        <v>69614</v>
      </c>
      <c r="K4746" s="0" t="n">
        <v>7891025123477</v>
      </c>
      <c r="L4746" s="0" t="s">
        <v>2527</v>
      </c>
      <c r="N4746" s="0" t="n">
        <v>2</v>
      </c>
      <c r="O4746" s="0" t="n">
        <v>24.58</v>
      </c>
      <c r="P4746" s="0" t="s">
        <v>2444</v>
      </c>
    </row>
    <row r="4747" customFormat="false" ht="15" hidden="false" customHeight="true" outlineLevel="0" collapsed="false">
      <c r="A4747" s="0" t="n">
        <v>2</v>
      </c>
      <c r="B4747" s="71" t="n">
        <v>46227</v>
      </c>
      <c r="C4747" s="0" t="n">
        <v>11</v>
      </c>
      <c r="D4747" s="0" t="s">
        <v>2471</v>
      </c>
      <c r="E4747" s="0" t="n">
        <v>1608</v>
      </c>
      <c r="F4747" s="0" t="s">
        <v>240</v>
      </c>
      <c r="I4747" s="0" t="n">
        <v>1698937</v>
      </c>
      <c r="J4747" s="0" t="n">
        <v>79069</v>
      </c>
      <c r="K4747" s="0" t="n">
        <v>7899916919901</v>
      </c>
      <c r="L4747" s="0" t="s">
        <v>2528</v>
      </c>
      <c r="N4747" s="0" t="n">
        <v>6</v>
      </c>
      <c r="O4747" s="0" t="n">
        <v>46.32</v>
      </c>
      <c r="P4747" s="0" t="s">
        <v>2444</v>
      </c>
    </row>
    <row r="4748" customFormat="false" ht="15" hidden="false" customHeight="true" outlineLevel="0" collapsed="false">
      <c r="A4748" s="0" t="n">
        <v>2</v>
      </c>
      <c r="B4748" s="71" t="n">
        <v>46227</v>
      </c>
      <c r="C4748" s="0" t="n">
        <v>11</v>
      </c>
      <c r="D4748" s="0" t="s">
        <v>2471</v>
      </c>
      <c r="E4748" s="0" t="n">
        <v>1608</v>
      </c>
      <c r="F4748" s="0" t="s">
        <v>240</v>
      </c>
      <c r="I4748" s="0" t="n">
        <v>1698937</v>
      </c>
      <c r="J4748" s="0" t="n">
        <v>80307</v>
      </c>
      <c r="K4748" s="0" t="n">
        <v>7891025125372</v>
      </c>
      <c r="L4748" s="0" t="s">
        <v>2992</v>
      </c>
      <c r="N4748" s="0" t="n">
        <v>2</v>
      </c>
      <c r="O4748" s="0" t="n">
        <v>30.8</v>
      </c>
      <c r="P4748" s="0" t="s">
        <v>2444</v>
      </c>
    </row>
    <row r="4749" customFormat="false" ht="15" hidden="false" customHeight="true" outlineLevel="0" collapsed="false">
      <c r="A4749" s="0" t="n">
        <v>2</v>
      </c>
      <c r="B4749" s="71" t="n">
        <v>46227</v>
      </c>
      <c r="C4749" s="0" t="n">
        <v>11</v>
      </c>
      <c r="D4749" s="0" t="s">
        <v>2471</v>
      </c>
      <c r="E4749" s="0" t="n">
        <v>1608</v>
      </c>
      <c r="F4749" s="0" t="s">
        <v>240</v>
      </c>
      <c r="I4749" s="0" t="n">
        <v>1698937</v>
      </c>
      <c r="J4749" s="0" t="n">
        <v>80681</v>
      </c>
      <c r="K4749" s="0" t="n">
        <v>7891025125495</v>
      </c>
      <c r="L4749" s="0" t="s">
        <v>2532</v>
      </c>
      <c r="N4749" s="0" t="n">
        <v>6</v>
      </c>
      <c r="O4749" s="0" t="n">
        <v>17.04</v>
      </c>
      <c r="P4749" s="0" t="s">
        <v>2444</v>
      </c>
    </row>
    <row r="4750" customFormat="false" ht="15" hidden="false" customHeight="true" outlineLevel="0" collapsed="false">
      <c r="A4750" s="0" t="n">
        <v>2</v>
      </c>
      <c r="B4750" s="71" t="n">
        <v>46227</v>
      </c>
      <c r="C4750" s="0" t="n">
        <v>39</v>
      </c>
      <c r="D4750" s="0" t="s">
        <v>3298</v>
      </c>
      <c r="E4750" s="0" t="n">
        <v>1842</v>
      </c>
      <c r="F4750" s="0" t="s">
        <v>1090</v>
      </c>
      <c r="I4750" s="0" t="n">
        <v>7695</v>
      </c>
      <c r="J4750" s="0" t="n">
        <v>67095</v>
      </c>
      <c r="K4750" s="0" t="n">
        <v>2262253</v>
      </c>
      <c r="L4750" s="0" t="s">
        <v>4624</v>
      </c>
      <c r="N4750" s="0" t="n">
        <v>1</v>
      </c>
      <c r="O4750" s="0" t="n">
        <v>25</v>
      </c>
      <c r="P4750" s="0" t="s">
        <v>2444</v>
      </c>
    </row>
    <row r="4751" customFormat="false" ht="15" hidden="false" customHeight="true" outlineLevel="0" collapsed="false">
      <c r="A4751" s="0" t="n">
        <v>2</v>
      </c>
      <c r="B4751" s="71" t="n">
        <v>46227</v>
      </c>
      <c r="C4751" s="0" t="n">
        <v>39</v>
      </c>
      <c r="D4751" s="0" t="s">
        <v>3298</v>
      </c>
      <c r="E4751" s="0" t="n">
        <v>1842</v>
      </c>
      <c r="F4751" s="0" t="s">
        <v>1090</v>
      </c>
      <c r="I4751" s="0" t="n">
        <v>7695</v>
      </c>
      <c r="J4751" s="0" t="n">
        <v>81835</v>
      </c>
      <c r="K4751" s="0" t="n">
        <v>818360</v>
      </c>
      <c r="L4751" s="0" t="s">
        <v>4625</v>
      </c>
      <c r="N4751" s="0" t="n">
        <v>1</v>
      </c>
      <c r="O4751" s="0" t="n">
        <v>300</v>
      </c>
      <c r="P4751" s="0" t="s">
        <v>2444</v>
      </c>
    </row>
    <row r="4752" customFormat="false" ht="15" hidden="false" customHeight="true" outlineLevel="0" collapsed="false">
      <c r="A4752" s="0" t="n">
        <v>2</v>
      </c>
      <c r="B4752" s="71" t="n">
        <v>46228</v>
      </c>
      <c r="C4752" s="0" t="n">
        <v>6</v>
      </c>
      <c r="D4752" s="0" t="s">
        <v>2553</v>
      </c>
      <c r="E4752" s="0" t="n">
        <v>48</v>
      </c>
      <c r="F4752" s="0" t="s">
        <v>153</v>
      </c>
      <c r="I4752" s="0" t="n">
        <v>2562</v>
      </c>
      <c r="J4752" s="0" t="n">
        <v>110263</v>
      </c>
      <c r="K4752" s="0" t="n">
        <v>41228</v>
      </c>
      <c r="L4752" s="0" t="s">
        <v>2659</v>
      </c>
      <c r="N4752" s="0" t="n">
        <v>10</v>
      </c>
      <c r="O4752" s="0" t="n">
        <v>200</v>
      </c>
      <c r="P4752" s="0" t="s">
        <v>2444</v>
      </c>
    </row>
    <row r="4753" customFormat="false" ht="15" hidden="false" customHeight="true" outlineLevel="0" collapsed="false">
      <c r="A4753" s="0" t="n">
        <v>2</v>
      </c>
      <c r="B4753" s="71" t="n">
        <v>46228</v>
      </c>
      <c r="C4753" s="0" t="n">
        <v>11</v>
      </c>
      <c r="D4753" s="0" t="s">
        <v>2471</v>
      </c>
      <c r="E4753" s="0" t="n">
        <v>642</v>
      </c>
      <c r="F4753" s="0" t="s">
        <v>123</v>
      </c>
      <c r="I4753" s="0" t="n">
        <v>544</v>
      </c>
      <c r="J4753" s="0" t="n">
        <v>71766</v>
      </c>
      <c r="K4753" s="0" t="n">
        <v>779180</v>
      </c>
      <c r="L4753" s="0" t="s">
        <v>2501</v>
      </c>
      <c r="N4753" s="0" t="n">
        <v>14</v>
      </c>
      <c r="O4753" s="0" t="n">
        <v>168</v>
      </c>
      <c r="P4753" s="0" t="s">
        <v>2444</v>
      </c>
    </row>
    <row r="4754" customFormat="false" ht="15" hidden="false" customHeight="true" outlineLevel="0" collapsed="false">
      <c r="A4754" s="0" t="n">
        <v>2</v>
      </c>
      <c r="B4754" s="71" t="n">
        <v>46228</v>
      </c>
      <c r="C4754" s="0" t="n">
        <v>11</v>
      </c>
      <c r="D4754" s="0" t="s">
        <v>2471</v>
      </c>
      <c r="E4754" s="0" t="n">
        <v>1899</v>
      </c>
      <c r="F4754" s="0" t="s">
        <v>204</v>
      </c>
      <c r="I4754" s="0" t="n">
        <v>731</v>
      </c>
      <c r="J4754" s="0" t="n">
        <v>44588</v>
      </c>
      <c r="K4754" s="0" t="n">
        <v>7898904331091</v>
      </c>
      <c r="L4754" s="0" t="s">
        <v>2443</v>
      </c>
      <c r="N4754" s="0" t="n">
        <v>15</v>
      </c>
      <c r="O4754" s="0" t="n">
        <v>74.85</v>
      </c>
      <c r="P4754" s="0" t="s">
        <v>2444</v>
      </c>
    </row>
    <row r="4755" customFormat="false" ht="15" hidden="false" customHeight="true" outlineLevel="0" collapsed="false">
      <c r="A4755" s="0" t="n">
        <v>2</v>
      </c>
      <c r="B4755" s="71" t="n">
        <v>46228</v>
      </c>
      <c r="C4755" s="0" t="n">
        <v>11</v>
      </c>
      <c r="D4755" s="0" t="s">
        <v>2471</v>
      </c>
      <c r="E4755" s="0" t="n">
        <v>1899</v>
      </c>
      <c r="F4755" s="0" t="s">
        <v>204</v>
      </c>
      <c r="I4755" s="0" t="n">
        <v>731</v>
      </c>
      <c r="J4755" s="0" t="n">
        <v>77463</v>
      </c>
      <c r="K4755" s="0" t="n">
        <v>774642</v>
      </c>
      <c r="L4755" s="0" t="s">
        <v>2445</v>
      </c>
      <c r="N4755" s="0" t="n">
        <v>20</v>
      </c>
      <c r="O4755" s="0" t="n">
        <v>90</v>
      </c>
      <c r="P4755" s="0" t="s">
        <v>2444</v>
      </c>
    </row>
    <row r="4756" customFormat="false" ht="15" hidden="false" customHeight="true" outlineLevel="0" collapsed="false">
      <c r="A4756" s="0" t="n">
        <v>2</v>
      </c>
      <c r="B4756" s="71" t="n">
        <v>46228</v>
      </c>
      <c r="C4756" s="0" t="n">
        <v>11</v>
      </c>
      <c r="D4756" s="0" t="s">
        <v>2471</v>
      </c>
      <c r="E4756" s="0" t="n">
        <v>1899</v>
      </c>
      <c r="F4756" s="0" t="s">
        <v>204</v>
      </c>
      <c r="I4756" s="0" t="n">
        <v>731</v>
      </c>
      <c r="J4756" s="0" t="n">
        <v>77465</v>
      </c>
      <c r="K4756" s="0" t="n">
        <v>774666</v>
      </c>
      <c r="L4756" s="0" t="s">
        <v>2446</v>
      </c>
      <c r="N4756" s="0" t="n">
        <v>15</v>
      </c>
      <c r="O4756" s="0" t="n">
        <v>74.85</v>
      </c>
      <c r="P4756" s="0" t="s">
        <v>2444</v>
      </c>
    </row>
    <row r="4757" customFormat="false" ht="15" hidden="false" customHeight="true" outlineLevel="0" collapsed="false">
      <c r="A4757" s="0" t="n">
        <v>2</v>
      </c>
      <c r="B4757" s="71" t="n">
        <v>46228</v>
      </c>
      <c r="C4757" s="0" t="n">
        <v>11</v>
      </c>
      <c r="D4757" s="0" t="s">
        <v>2471</v>
      </c>
      <c r="E4757" s="0" t="n">
        <v>1635</v>
      </c>
      <c r="F4757" s="0" t="s">
        <v>128</v>
      </c>
      <c r="I4757" s="0" t="n">
        <v>1842</v>
      </c>
      <c r="J4757" s="0" t="n">
        <v>100035</v>
      </c>
      <c r="K4757" s="0" t="n">
        <v>36</v>
      </c>
      <c r="L4757" s="0" t="s">
        <v>2717</v>
      </c>
      <c r="N4757" s="0" t="n">
        <v>198</v>
      </c>
      <c r="O4757" s="0" t="n">
        <v>1481.04</v>
      </c>
      <c r="P4757" s="0" t="s">
        <v>2444</v>
      </c>
    </row>
    <row r="4758" customFormat="false" ht="15" hidden="false" customHeight="true" outlineLevel="0" collapsed="false">
      <c r="A4758" s="0" t="n">
        <v>2</v>
      </c>
      <c r="B4758" s="71" t="n">
        <v>46228</v>
      </c>
      <c r="C4758" s="0" t="n">
        <v>11</v>
      </c>
      <c r="D4758" s="0" t="s">
        <v>2471</v>
      </c>
      <c r="E4758" s="0" t="n">
        <v>1643</v>
      </c>
      <c r="F4758" s="0" t="s">
        <v>212</v>
      </c>
      <c r="I4758" s="0" t="n">
        <v>10760</v>
      </c>
      <c r="J4758" s="0" t="n">
        <v>63172</v>
      </c>
      <c r="K4758" s="0" t="n">
        <v>7898928536526</v>
      </c>
      <c r="L4758" s="0" t="s">
        <v>3454</v>
      </c>
      <c r="N4758" s="0" t="n">
        <v>24</v>
      </c>
      <c r="O4758" s="0" t="n">
        <v>38</v>
      </c>
      <c r="P4758" s="0" t="s">
        <v>2444</v>
      </c>
    </row>
    <row r="4759" customFormat="false" ht="15" hidden="false" customHeight="true" outlineLevel="0" collapsed="false">
      <c r="A4759" s="0" t="n">
        <v>2</v>
      </c>
      <c r="B4759" s="71" t="n">
        <v>46228</v>
      </c>
      <c r="C4759" s="0" t="n">
        <v>11</v>
      </c>
      <c r="D4759" s="0" t="s">
        <v>2471</v>
      </c>
      <c r="E4759" s="0" t="n">
        <v>1643</v>
      </c>
      <c r="F4759" s="0" t="s">
        <v>212</v>
      </c>
      <c r="I4759" s="0" t="n">
        <v>10760</v>
      </c>
      <c r="J4759" s="0" t="n">
        <v>63904</v>
      </c>
      <c r="K4759" s="0" t="n">
        <v>7898928536595</v>
      </c>
      <c r="L4759" s="0" t="s">
        <v>3455</v>
      </c>
      <c r="N4759" s="0" t="n">
        <v>60</v>
      </c>
      <c r="O4759" s="0" t="n">
        <v>95</v>
      </c>
      <c r="P4759" s="0" t="s">
        <v>2444</v>
      </c>
    </row>
    <row r="4760" customFormat="false" ht="15" hidden="false" customHeight="true" outlineLevel="0" collapsed="false">
      <c r="A4760" s="0" t="n">
        <v>2</v>
      </c>
      <c r="B4760" s="71" t="n">
        <v>46228</v>
      </c>
      <c r="C4760" s="0" t="n">
        <v>11</v>
      </c>
      <c r="D4760" s="0" t="s">
        <v>2471</v>
      </c>
      <c r="E4760" s="0" t="n">
        <v>1643</v>
      </c>
      <c r="F4760" s="0" t="s">
        <v>212</v>
      </c>
      <c r="I4760" s="0" t="n">
        <v>10760</v>
      </c>
      <c r="J4760" s="0" t="n">
        <v>64175</v>
      </c>
      <c r="K4760" s="0" t="n">
        <v>7898928536533</v>
      </c>
      <c r="L4760" s="0" t="s">
        <v>3455</v>
      </c>
      <c r="N4760" s="0" t="n">
        <v>60</v>
      </c>
      <c r="O4760" s="0" t="n">
        <v>95</v>
      </c>
      <c r="P4760" s="0" t="s">
        <v>2444</v>
      </c>
    </row>
    <row r="4761" customFormat="false" ht="15" hidden="false" customHeight="true" outlineLevel="0" collapsed="false">
      <c r="A4761" s="0" t="n">
        <v>2</v>
      </c>
      <c r="B4761" s="71" t="n">
        <v>46230</v>
      </c>
      <c r="C4761" s="0" t="n">
        <v>6</v>
      </c>
      <c r="D4761" s="0" t="s">
        <v>2553</v>
      </c>
      <c r="E4761" s="0" t="n">
        <v>48</v>
      </c>
      <c r="F4761" s="0" t="s">
        <v>153</v>
      </c>
      <c r="I4761" s="0" t="n">
        <v>2563</v>
      </c>
      <c r="J4761" s="0" t="n">
        <v>42564</v>
      </c>
      <c r="K4761" s="0" t="n">
        <v>574</v>
      </c>
      <c r="L4761" s="0" t="s">
        <v>2534</v>
      </c>
      <c r="N4761" s="0" t="n">
        <v>15</v>
      </c>
      <c r="O4761" s="0" t="n">
        <v>210</v>
      </c>
      <c r="P4761" s="0" t="s">
        <v>2444</v>
      </c>
    </row>
    <row r="4762" customFormat="false" ht="15" hidden="false" customHeight="true" outlineLevel="0" collapsed="false">
      <c r="A4762" s="0" t="n">
        <v>2</v>
      </c>
      <c r="B4762" s="71" t="n">
        <v>46230</v>
      </c>
      <c r="C4762" s="0" t="n">
        <v>11</v>
      </c>
      <c r="D4762" s="0" t="s">
        <v>2471</v>
      </c>
      <c r="E4762" s="0" t="n">
        <v>10096</v>
      </c>
      <c r="F4762" s="0" t="s">
        <v>622</v>
      </c>
      <c r="I4762" s="0" t="n">
        <v>81</v>
      </c>
      <c r="J4762" s="0" t="n">
        <v>61580</v>
      </c>
      <c r="K4762" s="0" t="n">
        <v>2258157</v>
      </c>
      <c r="L4762" s="0" t="s">
        <v>2509</v>
      </c>
      <c r="N4762" s="0" t="n">
        <v>10</v>
      </c>
      <c r="O4762" s="0" t="n">
        <v>120</v>
      </c>
      <c r="P4762" s="0" t="s">
        <v>2444</v>
      </c>
    </row>
    <row r="4763" customFormat="false" ht="15" hidden="false" customHeight="true" outlineLevel="0" collapsed="false">
      <c r="A4763" s="0" t="n">
        <v>2</v>
      </c>
      <c r="B4763" s="71" t="n">
        <v>46230</v>
      </c>
      <c r="C4763" s="0" t="n">
        <v>11</v>
      </c>
      <c r="D4763" s="0" t="s">
        <v>2471</v>
      </c>
      <c r="E4763" s="0" t="n">
        <v>10096</v>
      </c>
      <c r="F4763" s="0" t="s">
        <v>622</v>
      </c>
      <c r="I4763" s="0" t="n">
        <v>81</v>
      </c>
      <c r="J4763" s="0" t="n">
        <v>61597</v>
      </c>
      <c r="K4763" s="0" t="n">
        <v>2258188</v>
      </c>
      <c r="L4763" s="0" t="s">
        <v>2510</v>
      </c>
      <c r="N4763" s="0" t="n">
        <v>5</v>
      </c>
      <c r="O4763" s="0" t="n">
        <v>20</v>
      </c>
      <c r="P4763" s="0" t="s">
        <v>2444</v>
      </c>
    </row>
    <row r="4764" customFormat="false" ht="15" hidden="false" customHeight="true" outlineLevel="0" collapsed="false">
      <c r="A4764" s="0" t="n">
        <v>2</v>
      </c>
      <c r="B4764" s="71" t="n">
        <v>46230</v>
      </c>
      <c r="C4764" s="0" t="n">
        <v>11</v>
      </c>
      <c r="D4764" s="0" t="s">
        <v>2471</v>
      </c>
      <c r="E4764" s="0" t="n">
        <v>10018</v>
      </c>
      <c r="F4764" s="0" t="s">
        <v>216</v>
      </c>
      <c r="I4764" s="0" t="n">
        <v>345</v>
      </c>
      <c r="J4764" s="0" t="n">
        <v>100933</v>
      </c>
      <c r="K4764" s="0" t="n">
        <v>7896982100059</v>
      </c>
      <c r="L4764" s="0" t="s">
        <v>2500</v>
      </c>
      <c r="N4764" s="0" t="n">
        <v>1800</v>
      </c>
      <c r="O4764" s="0" t="n">
        <v>950</v>
      </c>
      <c r="P4764" s="0" t="s">
        <v>2444</v>
      </c>
    </row>
    <row r="4765" customFormat="false" ht="15" hidden="false" customHeight="true" outlineLevel="0" collapsed="false">
      <c r="A4765" s="0" t="n">
        <v>2</v>
      </c>
      <c r="B4765" s="71" t="n">
        <v>46230</v>
      </c>
      <c r="C4765" s="0" t="n">
        <v>11</v>
      </c>
      <c r="D4765" s="0" t="s">
        <v>2471</v>
      </c>
      <c r="E4765" s="0" t="n">
        <v>1269</v>
      </c>
      <c r="F4765" s="0" t="s">
        <v>1143</v>
      </c>
      <c r="I4765" s="0" t="n">
        <v>749</v>
      </c>
      <c r="J4765" s="0" t="n">
        <v>13532</v>
      </c>
      <c r="K4765" s="0" t="n">
        <v>7896359005710</v>
      </c>
      <c r="L4765" s="0" t="s">
        <v>4626</v>
      </c>
      <c r="N4765" s="0" t="n">
        <v>100</v>
      </c>
      <c r="O4765" s="0" t="n">
        <v>99</v>
      </c>
      <c r="P4765" s="0" t="s">
        <v>2444</v>
      </c>
    </row>
    <row r="4766" customFormat="false" ht="15" hidden="false" customHeight="true" outlineLevel="0" collapsed="false">
      <c r="A4766" s="0" t="n">
        <v>2</v>
      </c>
      <c r="B4766" s="71" t="n">
        <v>46230</v>
      </c>
      <c r="C4766" s="0" t="n">
        <v>11</v>
      </c>
      <c r="D4766" s="0" t="s">
        <v>2471</v>
      </c>
      <c r="E4766" s="0" t="n">
        <v>1269</v>
      </c>
      <c r="F4766" s="0" t="s">
        <v>1143</v>
      </c>
      <c r="I4766" s="0" t="n">
        <v>749</v>
      </c>
      <c r="J4766" s="0" t="n">
        <v>33792</v>
      </c>
      <c r="K4766" s="0" t="n">
        <v>7896359621330</v>
      </c>
      <c r="L4766" s="0" t="s">
        <v>4627</v>
      </c>
      <c r="N4766" s="0" t="n">
        <v>100</v>
      </c>
      <c r="O4766" s="0" t="n">
        <v>258</v>
      </c>
      <c r="P4766" s="0" t="s">
        <v>2444</v>
      </c>
    </row>
    <row r="4767" customFormat="false" ht="15" hidden="false" customHeight="true" outlineLevel="0" collapsed="false">
      <c r="A4767" s="0" t="n">
        <v>2</v>
      </c>
      <c r="B4767" s="71" t="n">
        <v>46230</v>
      </c>
      <c r="C4767" s="0" t="n">
        <v>11</v>
      </c>
      <c r="D4767" s="0" t="s">
        <v>2471</v>
      </c>
      <c r="E4767" s="0" t="n">
        <v>1269</v>
      </c>
      <c r="F4767" s="0" t="s">
        <v>1143</v>
      </c>
      <c r="I4767" s="0" t="n">
        <v>749</v>
      </c>
      <c r="J4767" s="0" t="n">
        <v>33793</v>
      </c>
      <c r="K4767" s="0" t="n">
        <v>7896355621198</v>
      </c>
      <c r="L4767" s="0" t="s">
        <v>4628</v>
      </c>
      <c r="N4767" s="0" t="n">
        <v>50</v>
      </c>
      <c r="O4767" s="0" t="n">
        <v>123</v>
      </c>
      <c r="P4767" s="0" t="s">
        <v>2444</v>
      </c>
    </row>
    <row r="4768" customFormat="false" ht="15" hidden="false" customHeight="true" outlineLevel="0" collapsed="false">
      <c r="A4768" s="0" t="n">
        <v>2</v>
      </c>
      <c r="B4768" s="71" t="n">
        <v>46230</v>
      </c>
      <c r="C4768" s="0" t="n">
        <v>11</v>
      </c>
      <c r="D4768" s="0" t="s">
        <v>2471</v>
      </c>
      <c r="E4768" s="0" t="n">
        <v>1269</v>
      </c>
      <c r="F4768" s="0" t="s">
        <v>1143</v>
      </c>
      <c r="I4768" s="0" t="n">
        <v>749</v>
      </c>
      <c r="J4768" s="0" t="n">
        <v>34428</v>
      </c>
      <c r="K4768" s="0" t="n">
        <v>7896359621507</v>
      </c>
      <c r="L4768" s="0" t="s">
        <v>4629</v>
      </c>
      <c r="N4768" s="0" t="n">
        <v>100</v>
      </c>
      <c r="O4768" s="0" t="n">
        <v>298</v>
      </c>
      <c r="P4768" s="0" t="s">
        <v>2444</v>
      </c>
    </row>
    <row r="4769" customFormat="false" ht="15" hidden="false" customHeight="true" outlineLevel="0" collapsed="false">
      <c r="A4769" s="0" t="n">
        <v>2</v>
      </c>
      <c r="B4769" s="71" t="n">
        <v>46230</v>
      </c>
      <c r="C4769" s="0" t="n">
        <v>11</v>
      </c>
      <c r="D4769" s="0" t="s">
        <v>2471</v>
      </c>
      <c r="E4769" s="0" t="n">
        <v>1363</v>
      </c>
      <c r="F4769" s="0" t="s">
        <v>174</v>
      </c>
      <c r="I4769" s="0" t="n">
        <v>3618</v>
      </c>
      <c r="J4769" s="0" t="n">
        <v>73511</v>
      </c>
      <c r="K4769" s="0" t="n">
        <v>609963171019</v>
      </c>
      <c r="L4769" s="0" t="s">
        <v>2585</v>
      </c>
      <c r="N4769" s="0" t="n">
        <v>3</v>
      </c>
      <c r="O4769" s="0" t="n">
        <v>18</v>
      </c>
      <c r="P4769" s="0" t="s">
        <v>2444</v>
      </c>
    </row>
    <row r="4770" customFormat="false" ht="15" hidden="false" customHeight="true" outlineLevel="0" collapsed="false">
      <c r="A4770" s="0" t="n">
        <v>2</v>
      </c>
      <c r="B4770" s="71" t="n">
        <v>46230</v>
      </c>
      <c r="C4770" s="0" t="n">
        <v>11</v>
      </c>
      <c r="D4770" s="0" t="s">
        <v>2471</v>
      </c>
      <c r="E4770" s="0" t="n">
        <v>1363</v>
      </c>
      <c r="F4770" s="0" t="s">
        <v>174</v>
      </c>
      <c r="I4770" s="0" t="n">
        <v>3618</v>
      </c>
      <c r="J4770" s="0" t="n">
        <v>65493</v>
      </c>
      <c r="K4770" s="0" t="n">
        <v>609963171002</v>
      </c>
      <c r="L4770" s="0" t="s">
        <v>2586</v>
      </c>
      <c r="N4770" s="0" t="n">
        <v>3</v>
      </c>
      <c r="O4770" s="0" t="n">
        <v>18</v>
      </c>
      <c r="P4770" s="0" t="s">
        <v>2444</v>
      </c>
    </row>
    <row r="4771" customFormat="false" ht="15" hidden="false" customHeight="true" outlineLevel="0" collapsed="false">
      <c r="A4771" s="0" t="n">
        <v>2</v>
      </c>
      <c r="B4771" s="71" t="n">
        <v>46230</v>
      </c>
      <c r="C4771" s="0" t="n">
        <v>11</v>
      </c>
      <c r="D4771" s="0" t="s">
        <v>2471</v>
      </c>
      <c r="E4771" s="0" t="n">
        <v>1363</v>
      </c>
      <c r="F4771" s="0" t="s">
        <v>174</v>
      </c>
      <c r="I4771" s="0" t="n">
        <v>3618</v>
      </c>
      <c r="J4771" s="0" t="n">
        <v>65494</v>
      </c>
      <c r="K4771" s="0" t="n">
        <v>618231677535</v>
      </c>
      <c r="L4771" s="0" t="s">
        <v>2587</v>
      </c>
      <c r="N4771" s="0" t="n">
        <v>6</v>
      </c>
      <c r="O4771" s="0" t="n">
        <v>36</v>
      </c>
      <c r="P4771" s="0" t="s">
        <v>2444</v>
      </c>
    </row>
    <row r="4772" customFormat="false" ht="15" hidden="false" customHeight="true" outlineLevel="0" collapsed="false">
      <c r="A4772" s="0" t="n">
        <v>2</v>
      </c>
      <c r="B4772" s="71" t="n">
        <v>46230</v>
      </c>
      <c r="C4772" s="0" t="n">
        <v>11</v>
      </c>
      <c r="D4772" s="0" t="s">
        <v>2471</v>
      </c>
      <c r="E4772" s="0" t="n">
        <v>1363</v>
      </c>
      <c r="F4772" s="0" t="s">
        <v>174</v>
      </c>
      <c r="I4772" s="0" t="n">
        <v>3618</v>
      </c>
      <c r="J4772" s="0" t="n">
        <v>65496</v>
      </c>
      <c r="K4772" s="0" t="n">
        <v>618231677528</v>
      </c>
      <c r="L4772" s="0" t="s">
        <v>2588</v>
      </c>
      <c r="N4772" s="0" t="n">
        <v>3</v>
      </c>
      <c r="O4772" s="0" t="n">
        <v>18</v>
      </c>
      <c r="P4772" s="0" t="s">
        <v>2444</v>
      </c>
    </row>
    <row r="4773" customFormat="false" ht="15" hidden="false" customHeight="true" outlineLevel="0" collapsed="false">
      <c r="A4773" s="0" t="n">
        <v>2</v>
      </c>
      <c r="B4773" s="71" t="n">
        <v>46230</v>
      </c>
      <c r="C4773" s="0" t="n">
        <v>11</v>
      </c>
      <c r="D4773" s="0" t="s">
        <v>2471</v>
      </c>
      <c r="E4773" s="0" t="n">
        <v>1363</v>
      </c>
      <c r="F4773" s="0" t="s">
        <v>174</v>
      </c>
      <c r="I4773" s="0" t="n">
        <v>3618</v>
      </c>
      <c r="J4773" s="0" t="n">
        <v>65621</v>
      </c>
      <c r="K4773" s="0" t="n">
        <v>618231677504</v>
      </c>
      <c r="L4773" s="0" t="s">
        <v>2589</v>
      </c>
      <c r="N4773" s="0" t="n">
        <v>5</v>
      </c>
      <c r="O4773" s="0" t="n">
        <v>35</v>
      </c>
      <c r="P4773" s="0" t="s">
        <v>2444</v>
      </c>
    </row>
    <row r="4774" customFormat="false" ht="15" hidden="false" customHeight="true" outlineLevel="0" collapsed="false">
      <c r="A4774" s="0" t="n">
        <v>2</v>
      </c>
      <c r="B4774" s="71" t="n">
        <v>46230</v>
      </c>
      <c r="C4774" s="0" t="n">
        <v>11</v>
      </c>
      <c r="D4774" s="0" t="s">
        <v>2471</v>
      </c>
      <c r="E4774" s="0" t="n">
        <v>1625</v>
      </c>
      <c r="F4774" s="0" t="s">
        <v>270</v>
      </c>
      <c r="I4774" s="0" t="n">
        <v>14816</v>
      </c>
      <c r="J4774" s="0" t="n">
        <v>29079</v>
      </c>
      <c r="K4774" s="0" t="n">
        <v>55515</v>
      </c>
      <c r="L4774" s="0" t="s">
        <v>2449</v>
      </c>
      <c r="N4774" s="0" t="n">
        <v>69.8</v>
      </c>
      <c r="O4774" s="0" t="n">
        <v>2233.6</v>
      </c>
      <c r="P4774" s="0" t="s">
        <v>2444</v>
      </c>
    </row>
    <row r="4775" customFormat="false" ht="15" hidden="false" customHeight="true" outlineLevel="0" collapsed="false">
      <c r="A4775" s="0" t="n">
        <v>2</v>
      </c>
      <c r="B4775" s="71" t="n">
        <v>46230</v>
      </c>
      <c r="C4775" s="0" t="n">
        <v>11</v>
      </c>
      <c r="D4775" s="0" t="s">
        <v>2471</v>
      </c>
      <c r="E4775" s="0" t="n">
        <v>1625</v>
      </c>
      <c r="F4775" s="0" t="s">
        <v>270</v>
      </c>
      <c r="I4775" s="0" t="n">
        <v>14816</v>
      </c>
      <c r="J4775" s="0" t="n">
        <v>29080</v>
      </c>
      <c r="K4775" s="0" t="n">
        <v>55516</v>
      </c>
      <c r="L4775" s="0" t="s">
        <v>2450</v>
      </c>
      <c r="N4775" s="0" t="n">
        <v>64.2</v>
      </c>
      <c r="O4775" s="0" t="n">
        <v>1444.5</v>
      </c>
      <c r="P4775" s="0" t="s">
        <v>2444</v>
      </c>
    </row>
    <row r="4776" customFormat="false" ht="15" hidden="false" customHeight="true" outlineLevel="0" collapsed="false">
      <c r="A4776" s="0" t="n">
        <v>2</v>
      </c>
      <c r="B4776" s="71" t="n">
        <v>46230</v>
      </c>
      <c r="C4776" s="0" t="n">
        <v>11</v>
      </c>
      <c r="D4776" s="0" t="s">
        <v>2471</v>
      </c>
      <c r="E4776" s="0" t="n">
        <v>1625</v>
      </c>
      <c r="F4776" s="0" t="s">
        <v>270</v>
      </c>
      <c r="I4776" s="0" t="n">
        <v>14816</v>
      </c>
      <c r="J4776" s="0" t="n">
        <v>77455</v>
      </c>
      <c r="K4776" s="0" t="n">
        <v>774567</v>
      </c>
      <c r="L4776" s="0" t="s">
        <v>2624</v>
      </c>
      <c r="N4776" s="0" t="n">
        <v>19.4</v>
      </c>
      <c r="O4776" s="0" t="n">
        <v>620.8</v>
      </c>
      <c r="P4776" s="0" t="s">
        <v>2444</v>
      </c>
    </row>
    <row r="4777" customFormat="false" ht="15" hidden="false" customHeight="true" outlineLevel="0" collapsed="false">
      <c r="A4777" s="0" t="n">
        <v>2</v>
      </c>
      <c r="B4777" s="71" t="n">
        <v>46230</v>
      </c>
      <c r="C4777" s="0" t="n">
        <v>11</v>
      </c>
      <c r="D4777" s="0" t="s">
        <v>2471</v>
      </c>
      <c r="E4777" s="0" t="n">
        <v>1625</v>
      </c>
      <c r="F4777" s="0" t="s">
        <v>270</v>
      </c>
      <c r="I4777" s="0" t="n">
        <v>14816</v>
      </c>
      <c r="J4777" s="0" t="n">
        <v>77455</v>
      </c>
      <c r="K4777" s="0" t="n">
        <v>774567</v>
      </c>
      <c r="L4777" s="0" t="s">
        <v>2624</v>
      </c>
      <c r="N4777" s="0" t="n">
        <v>20.6</v>
      </c>
      <c r="O4777" s="0" t="n">
        <v>659.2</v>
      </c>
      <c r="P4777" s="0" t="s">
        <v>2444</v>
      </c>
    </row>
    <row r="4778" customFormat="false" ht="15" hidden="false" customHeight="true" outlineLevel="0" collapsed="false">
      <c r="A4778" s="0" t="n">
        <v>2</v>
      </c>
      <c r="B4778" s="71" t="n">
        <v>46230</v>
      </c>
      <c r="C4778" s="0" t="n">
        <v>11</v>
      </c>
      <c r="D4778" s="0" t="s">
        <v>2471</v>
      </c>
      <c r="E4778" s="0" t="n">
        <v>1631</v>
      </c>
      <c r="F4778" s="0" t="s">
        <v>299</v>
      </c>
      <c r="I4778" s="0" t="n">
        <v>15180</v>
      </c>
      <c r="J4778" s="0" t="n">
        <v>108539</v>
      </c>
      <c r="K4778" s="0" t="n">
        <v>7898185800170</v>
      </c>
      <c r="L4778" s="0" t="s">
        <v>2451</v>
      </c>
      <c r="N4778" s="0" t="n">
        <v>3</v>
      </c>
      <c r="O4778" s="0" t="n">
        <v>12.4</v>
      </c>
      <c r="P4778" s="0" t="s">
        <v>2444</v>
      </c>
    </row>
    <row r="4779" customFormat="false" ht="15" hidden="false" customHeight="true" outlineLevel="0" collapsed="false">
      <c r="A4779" s="0" t="n">
        <v>2</v>
      </c>
      <c r="B4779" s="71" t="n">
        <v>46230</v>
      </c>
      <c r="C4779" s="0" t="n">
        <v>11</v>
      </c>
      <c r="D4779" s="0" t="s">
        <v>2471</v>
      </c>
      <c r="E4779" s="0" t="n">
        <v>1631</v>
      </c>
      <c r="F4779" s="0" t="s">
        <v>299</v>
      </c>
      <c r="I4779" s="0" t="n">
        <v>15180</v>
      </c>
      <c r="J4779" s="0" t="n">
        <v>14393</v>
      </c>
      <c r="K4779" s="0" t="n">
        <v>7898185800125</v>
      </c>
      <c r="L4779" s="0" t="s">
        <v>2453</v>
      </c>
      <c r="N4779" s="0" t="n">
        <v>6</v>
      </c>
      <c r="O4779" s="0" t="n">
        <v>24.81</v>
      </c>
      <c r="P4779" s="0" t="s">
        <v>2444</v>
      </c>
    </row>
    <row r="4780" customFormat="false" ht="15" hidden="false" customHeight="true" outlineLevel="0" collapsed="false">
      <c r="A4780" s="0" t="n">
        <v>2</v>
      </c>
      <c r="B4780" s="71" t="n">
        <v>46230</v>
      </c>
      <c r="C4780" s="0" t="n">
        <v>11</v>
      </c>
      <c r="D4780" s="0" t="s">
        <v>2471</v>
      </c>
      <c r="E4780" s="0" t="n">
        <v>1631</v>
      </c>
      <c r="F4780" s="0" t="s">
        <v>299</v>
      </c>
      <c r="I4780" s="0" t="n">
        <v>15180</v>
      </c>
      <c r="J4780" s="0" t="n">
        <v>19882</v>
      </c>
      <c r="K4780" s="0" t="n">
        <v>7898185800156</v>
      </c>
      <c r="L4780" s="0" t="s">
        <v>2454</v>
      </c>
      <c r="N4780" s="0" t="n">
        <v>3</v>
      </c>
      <c r="O4780" s="0" t="n">
        <v>12.4</v>
      </c>
      <c r="P4780" s="0" t="s">
        <v>2444</v>
      </c>
    </row>
    <row r="4781" customFormat="false" ht="15" hidden="false" customHeight="true" outlineLevel="0" collapsed="false">
      <c r="A4781" s="0" t="n">
        <v>2</v>
      </c>
      <c r="B4781" s="71" t="n">
        <v>46230</v>
      </c>
      <c r="C4781" s="0" t="n">
        <v>11</v>
      </c>
      <c r="D4781" s="0" t="s">
        <v>2471</v>
      </c>
      <c r="E4781" s="0" t="n">
        <v>1631</v>
      </c>
      <c r="F4781" s="0" t="s">
        <v>299</v>
      </c>
      <c r="I4781" s="0" t="n">
        <v>15180</v>
      </c>
      <c r="J4781" s="0" t="n">
        <v>24098</v>
      </c>
      <c r="K4781" s="0" t="n">
        <v>7898185800385</v>
      </c>
      <c r="L4781" s="0" t="s">
        <v>2455</v>
      </c>
      <c r="N4781" s="0" t="n">
        <v>25</v>
      </c>
      <c r="O4781" s="0" t="n">
        <v>93.98</v>
      </c>
      <c r="P4781" s="0" t="s">
        <v>2444</v>
      </c>
    </row>
    <row r="4782" customFormat="false" ht="15" hidden="false" customHeight="true" outlineLevel="0" collapsed="false">
      <c r="A4782" s="0" t="n">
        <v>2</v>
      </c>
      <c r="B4782" s="71" t="n">
        <v>46230</v>
      </c>
      <c r="C4782" s="0" t="n">
        <v>11</v>
      </c>
      <c r="D4782" s="0" t="s">
        <v>2471</v>
      </c>
      <c r="E4782" s="0" t="n">
        <v>1631</v>
      </c>
      <c r="F4782" s="0" t="s">
        <v>299</v>
      </c>
      <c r="I4782" s="0" t="n">
        <v>15180</v>
      </c>
      <c r="J4782" s="0" t="n">
        <v>25555</v>
      </c>
      <c r="K4782" s="0" t="n">
        <v>7898185800200</v>
      </c>
      <c r="L4782" s="0" t="s">
        <v>2456</v>
      </c>
      <c r="N4782" s="0" t="n">
        <v>5</v>
      </c>
      <c r="O4782" s="0" t="n">
        <v>41.35</v>
      </c>
      <c r="P4782" s="0" t="s">
        <v>2444</v>
      </c>
    </row>
    <row r="4783" customFormat="false" ht="15" hidden="false" customHeight="true" outlineLevel="0" collapsed="false">
      <c r="A4783" s="0" t="n">
        <v>2</v>
      </c>
      <c r="B4783" s="71" t="n">
        <v>46230</v>
      </c>
      <c r="C4783" s="0" t="n">
        <v>11</v>
      </c>
      <c r="D4783" s="0" t="s">
        <v>2471</v>
      </c>
      <c r="E4783" s="0" t="n">
        <v>1631</v>
      </c>
      <c r="F4783" s="0" t="s">
        <v>299</v>
      </c>
      <c r="I4783" s="0" t="n">
        <v>15180</v>
      </c>
      <c r="J4783" s="0" t="n">
        <v>26573</v>
      </c>
      <c r="K4783" s="0" t="n">
        <v>7898185800347</v>
      </c>
      <c r="L4783" s="0" t="s">
        <v>2457</v>
      </c>
      <c r="N4783" s="0" t="n">
        <v>5</v>
      </c>
      <c r="O4783" s="0" t="n">
        <v>41.35</v>
      </c>
      <c r="P4783" s="0" t="s">
        <v>2444</v>
      </c>
    </row>
    <row r="4784" customFormat="false" ht="15" hidden="false" customHeight="true" outlineLevel="0" collapsed="false">
      <c r="A4784" s="0" t="n">
        <v>2</v>
      </c>
      <c r="B4784" s="71" t="n">
        <v>46230</v>
      </c>
      <c r="C4784" s="0" t="n">
        <v>11</v>
      </c>
      <c r="D4784" s="0" t="s">
        <v>2471</v>
      </c>
      <c r="E4784" s="0" t="n">
        <v>1631</v>
      </c>
      <c r="F4784" s="0" t="s">
        <v>299</v>
      </c>
      <c r="I4784" s="0" t="n">
        <v>15180</v>
      </c>
      <c r="J4784" s="0" t="n">
        <v>30684</v>
      </c>
      <c r="K4784" s="0" t="n">
        <v>7898185800453</v>
      </c>
      <c r="L4784" s="0" t="s">
        <v>2459</v>
      </c>
      <c r="N4784" s="0" t="n">
        <v>30</v>
      </c>
      <c r="O4784" s="0" t="n">
        <v>33.83</v>
      </c>
      <c r="P4784" s="0" t="s">
        <v>2444</v>
      </c>
    </row>
    <row r="4785" customFormat="false" ht="15" hidden="false" customHeight="true" outlineLevel="0" collapsed="false">
      <c r="A4785" s="0" t="n">
        <v>2</v>
      </c>
      <c r="B4785" s="71" t="n">
        <v>46230</v>
      </c>
      <c r="C4785" s="0" t="n">
        <v>11</v>
      </c>
      <c r="D4785" s="0" t="s">
        <v>2471</v>
      </c>
      <c r="E4785" s="0" t="n">
        <v>1631</v>
      </c>
      <c r="F4785" s="0" t="s">
        <v>299</v>
      </c>
      <c r="I4785" s="0" t="n">
        <v>15180</v>
      </c>
      <c r="J4785" s="0" t="n">
        <v>41359</v>
      </c>
      <c r="K4785" s="0" t="n">
        <v>7898185800132</v>
      </c>
      <c r="L4785" s="0" t="s">
        <v>2461</v>
      </c>
      <c r="N4785" s="0" t="n">
        <v>3</v>
      </c>
      <c r="O4785" s="0" t="n">
        <v>12.4</v>
      </c>
      <c r="P4785" s="0" t="s">
        <v>2444</v>
      </c>
    </row>
    <row r="4786" customFormat="false" ht="15" hidden="false" customHeight="true" outlineLevel="0" collapsed="false">
      <c r="A4786" s="0" t="n">
        <v>2</v>
      </c>
      <c r="B4786" s="71" t="n">
        <v>46230</v>
      </c>
      <c r="C4786" s="0" t="n">
        <v>11</v>
      </c>
      <c r="D4786" s="0" t="s">
        <v>2471</v>
      </c>
      <c r="E4786" s="0" t="n">
        <v>754</v>
      </c>
      <c r="F4786" s="0" t="s">
        <v>162</v>
      </c>
      <c r="I4786" s="0" t="n">
        <v>32052</v>
      </c>
      <c r="J4786" s="0" t="n">
        <v>110184</v>
      </c>
      <c r="K4786" s="0" t="n">
        <v>37393</v>
      </c>
      <c r="L4786" s="0" t="s">
        <v>3467</v>
      </c>
      <c r="N4786" s="0" t="n">
        <v>60</v>
      </c>
      <c r="O4786" s="0" t="n">
        <v>528</v>
      </c>
      <c r="P4786" s="0" t="s">
        <v>2444</v>
      </c>
    </row>
    <row r="4787" customFormat="false" ht="15" hidden="false" customHeight="true" outlineLevel="0" collapsed="false">
      <c r="A4787" s="0" t="n">
        <v>2</v>
      </c>
      <c r="B4787" s="71" t="n">
        <v>46230</v>
      </c>
      <c r="C4787" s="0" t="n">
        <v>11</v>
      </c>
      <c r="D4787" s="0" t="s">
        <v>2471</v>
      </c>
      <c r="E4787" s="0" t="n">
        <v>1621</v>
      </c>
      <c r="F4787" s="0" t="s">
        <v>232</v>
      </c>
      <c r="I4787" s="0" t="n">
        <v>924535</v>
      </c>
      <c r="J4787" s="0" t="n">
        <v>103126</v>
      </c>
      <c r="K4787" s="0" t="n">
        <v>7891991000727</v>
      </c>
      <c r="L4787" s="0" t="s">
        <v>3065</v>
      </c>
      <c r="N4787" s="0" t="n">
        <v>12</v>
      </c>
      <c r="O4787" s="0" t="n">
        <v>32.06</v>
      </c>
      <c r="P4787" s="0" t="s">
        <v>2444</v>
      </c>
    </row>
    <row r="4788" customFormat="false" ht="15" hidden="false" customHeight="true" outlineLevel="0" collapsed="false">
      <c r="A4788" s="0" t="n">
        <v>2</v>
      </c>
      <c r="B4788" s="71" t="n">
        <v>46230</v>
      </c>
      <c r="C4788" s="0" t="n">
        <v>11</v>
      </c>
      <c r="D4788" s="0" t="s">
        <v>2471</v>
      </c>
      <c r="E4788" s="0" t="n">
        <v>1621</v>
      </c>
      <c r="F4788" s="0" t="s">
        <v>232</v>
      </c>
      <c r="I4788" s="0" t="n">
        <v>924535</v>
      </c>
      <c r="J4788" s="0" t="n">
        <v>103127</v>
      </c>
      <c r="K4788" s="0" t="n">
        <v>7891991000826</v>
      </c>
      <c r="L4788" s="0" t="s">
        <v>3066</v>
      </c>
      <c r="N4788" s="0" t="n">
        <v>12</v>
      </c>
      <c r="O4788" s="0" t="n">
        <v>32.78</v>
      </c>
      <c r="P4788" s="0" t="s">
        <v>2444</v>
      </c>
    </row>
    <row r="4789" customFormat="false" ht="15" hidden="false" customHeight="true" outlineLevel="0" collapsed="false">
      <c r="A4789" s="0" t="n">
        <v>2</v>
      </c>
      <c r="B4789" s="71" t="n">
        <v>46230</v>
      </c>
      <c r="C4789" s="0" t="n">
        <v>11</v>
      </c>
      <c r="D4789" s="0" t="s">
        <v>2471</v>
      </c>
      <c r="E4789" s="0" t="n">
        <v>1621</v>
      </c>
      <c r="F4789" s="0" t="s">
        <v>232</v>
      </c>
      <c r="I4789" s="0" t="n">
        <v>924535</v>
      </c>
      <c r="J4789" s="0" t="n">
        <v>103133</v>
      </c>
      <c r="K4789" s="0" t="n">
        <v>7891991001373</v>
      </c>
      <c r="L4789" s="0" t="s">
        <v>3069</v>
      </c>
      <c r="N4789" s="0" t="n">
        <v>6</v>
      </c>
      <c r="O4789" s="0" t="n">
        <v>46.2</v>
      </c>
      <c r="P4789" s="0" t="s">
        <v>2444</v>
      </c>
    </row>
    <row r="4790" customFormat="false" ht="15" hidden="false" customHeight="true" outlineLevel="0" collapsed="false">
      <c r="A4790" s="0" t="n">
        <v>2</v>
      </c>
      <c r="B4790" s="71" t="n">
        <v>46230</v>
      </c>
      <c r="C4790" s="0" t="n">
        <v>11</v>
      </c>
      <c r="D4790" s="0" t="s">
        <v>2471</v>
      </c>
      <c r="E4790" s="0" t="n">
        <v>1621</v>
      </c>
      <c r="F4790" s="0" t="s">
        <v>232</v>
      </c>
      <c r="I4790" s="0" t="n">
        <v>924535</v>
      </c>
      <c r="J4790" s="0" t="n">
        <v>104358</v>
      </c>
      <c r="K4790" s="0" t="n">
        <v>7891149440603</v>
      </c>
      <c r="L4790" s="0" t="s">
        <v>4630</v>
      </c>
      <c r="N4790" s="0" t="n">
        <v>12</v>
      </c>
      <c r="O4790" s="0" t="n">
        <v>31.07</v>
      </c>
      <c r="P4790" s="0" t="s">
        <v>2444</v>
      </c>
    </row>
    <row r="4791" customFormat="false" ht="15" hidden="false" customHeight="true" outlineLevel="0" collapsed="false">
      <c r="A4791" s="0" t="n">
        <v>2</v>
      </c>
      <c r="B4791" s="71" t="n">
        <v>46230</v>
      </c>
      <c r="C4791" s="0" t="n">
        <v>11</v>
      </c>
      <c r="D4791" s="0" t="s">
        <v>2471</v>
      </c>
      <c r="E4791" s="0" t="n">
        <v>1621</v>
      </c>
      <c r="F4791" s="0" t="s">
        <v>232</v>
      </c>
      <c r="I4791" s="0" t="n">
        <v>924535</v>
      </c>
      <c r="J4791" s="0" t="n">
        <v>31032</v>
      </c>
      <c r="K4791" s="0" t="n">
        <v>7891991002561</v>
      </c>
      <c r="L4791" s="0" t="s">
        <v>3083</v>
      </c>
      <c r="N4791" s="0" t="n">
        <v>24</v>
      </c>
      <c r="O4791" s="0" t="n">
        <v>92.52</v>
      </c>
      <c r="P4791" s="0" t="s">
        <v>2444</v>
      </c>
    </row>
    <row r="4792" customFormat="false" ht="15" hidden="false" customHeight="true" outlineLevel="0" collapsed="false">
      <c r="A4792" s="0" t="n">
        <v>2</v>
      </c>
      <c r="B4792" s="71" t="n">
        <v>46230</v>
      </c>
      <c r="C4792" s="0" t="n">
        <v>11</v>
      </c>
      <c r="D4792" s="0" t="s">
        <v>2471</v>
      </c>
      <c r="E4792" s="0" t="n">
        <v>1621</v>
      </c>
      <c r="F4792" s="0" t="s">
        <v>232</v>
      </c>
      <c r="I4792" s="0" t="n">
        <v>924535</v>
      </c>
      <c r="J4792" s="0" t="n">
        <v>40755</v>
      </c>
      <c r="K4792" s="0" t="n">
        <v>7892840813505</v>
      </c>
      <c r="L4792" s="0" t="s">
        <v>4631</v>
      </c>
      <c r="N4792" s="0" t="n">
        <v>12</v>
      </c>
      <c r="O4792" s="0" t="n">
        <v>30.72</v>
      </c>
      <c r="P4792" s="0" t="s">
        <v>2444</v>
      </c>
    </row>
    <row r="4793" customFormat="false" ht="15" hidden="false" customHeight="true" outlineLevel="0" collapsed="false">
      <c r="A4793" s="0" t="n">
        <v>2</v>
      </c>
      <c r="B4793" s="71" t="n">
        <v>46230</v>
      </c>
      <c r="C4793" s="0" t="n">
        <v>11</v>
      </c>
      <c r="D4793" s="0" t="s">
        <v>2471</v>
      </c>
      <c r="E4793" s="0" t="n">
        <v>1621</v>
      </c>
      <c r="F4793" s="0" t="s">
        <v>232</v>
      </c>
      <c r="I4793" s="0" t="n">
        <v>924535</v>
      </c>
      <c r="J4793" s="0" t="n">
        <v>48553</v>
      </c>
      <c r="K4793" s="0" t="n">
        <v>7892840813444</v>
      </c>
      <c r="L4793" s="0" t="s">
        <v>3775</v>
      </c>
      <c r="N4793" s="0" t="n">
        <v>6</v>
      </c>
      <c r="O4793" s="0" t="n">
        <v>39.08</v>
      </c>
      <c r="P4793" s="0" t="s">
        <v>2444</v>
      </c>
    </row>
    <row r="4794" customFormat="false" ht="15" hidden="false" customHeight="true" outlineLevel="0" collapsed="false">
      <c r="A4794" s="0" t="n">
        <v>2</v>
      </c>
      <c r="B4794" s="71" t="n">
        <v>46230</v>
      </c>
      <c r="C4794" s="0" t="n">
        <v>11</v>
      </c>
      <c r="D4794" s="0" t="s">
        <v>2471</v>
      </c>
      <c r="E4794" s="0" t="n">
        <v>1705</v>
      </c>
      <c r="F4794" s="0" t="s">
        <v>130</v>
      </c>
      <c r="I4794" s="0" t="n">
        <v>1221623</v>
      </c>
      <c r="J4794" s="0" t="n">
        <v>103158</v>
      </c>
      <c r="K4794" s="0" t="n">
        <v>7894900060010</v>
      </c>
      <c r="L4794" s="0" t="s">
        <v>2559</v>
      </c>
      <c r="N4794" s="0" t="n">
        <v>12</v>
      </c>
      <c r="O4794" s="0" t="n">
        <v>32.48</v>
      </c>
      <c r="P4794" s="0" t="s">
        <v>2444</v>
      </c>
    </row>
    <row r="4795" customFormat="false" ht="15" hidden="false" customHeight="true" outlineLevel="0" collapsed="false">
      <c r="A4795" s="0" t="n">
        <v>2</v>
      </c>
      <c r="B4795" s="71" t="n">
        <v>46230</v>
      </c>
      <c r="C4795" s="0" t="n">
        <v>11</v>
      </c>
      <c r="D4795" s="0" t="s">
        <v>2471</v>
      </c>
      <c r="E4795" s="0" t="n">
        <v>1705</v>
      </c>
      <c r="F4795" s="0" t="s">
        <v>130</v>
      </c>
      <c r="I4795" s="0" t="n">
        <v>1221623</v>
      </c>
      <c r="J4795" s="0" t="n">
        <v>18192</v>
      </c>
      <c r="K4795" s="0" t="n">
        <v>7894900320015</v>
      </c>
      <c r="L4795" s="0" t="s">
        <v>4632</v>
      </c>
      <c r="N4795" s="0" t="n">
        <v>6</v>
      </c>
      <c r="O4795" s="0" t="n">
        <v>19.23</v>
      </c>
      <c r="P4795" s="0" t="s">
        <v>2444</v>
      </c>
    </row>
    <row r="4796" customFormat="false" ht="15" hidden="false" customHeight="true" outlineLevel="0" collapsed="false">
      <c r="A4796" s="0" t="n">
        <v>2</v>
      </c>
      <c r="B4796" s="71" t="n">
        <v>46230</v>
      </c>
      <c r="C4796" s="0" t="n">
        <v>11</v>
      </c>
      <c r="D4796" s="0" t="s">
        <v>2471</v>
      </c>
      <c r="E4796" s="0" t="n">
        <v>1705</v>
      </c>
      <c r="F4796" s="0" t="s">
        <v>130</v>
      </c>
      <c r="I4796" s="0" t="n">
        <v>1221623</v>
      </c>
      <c r="J4796" s="0" t="n">
        <v>24324</v>
      </c>
      <c r="K4796" s="0" t="n">
        <v>70847022015</v>
      </c>
      <c r="L4796" s="0" t="s">
        <v>2462</v>
      </c>
      <c r="N4796" s="0" t="n">
        <v>24</v>
      </c>
      <c r="O4796" s="0" t="n">
        <v>203.42</v>
      </c>
      <c r="P4796" s="0" t="s">
        <v>2444</v>
      </c>
    </row>
    <row r="4797" customFormat="false" ht="15" hidden="false" customHeight="true" outlineLevel="0" collapsed="false">
      <c r="A4797" s="0" t="n">
        <v>2</v>
      </c>
      <c r="B4797" s="71" t="n">
        <v>46230</v>
      </c>
      <c r="C4797" s="0" t="n">
        <v>11</v>
      </c>
      <c r="D4797" s="0" t="s">
        <v>2471</v>
      </c>
      <c r="E4797" s="0" t="n">
        <v>1705</v>
      </c>
      <c r="F4797" s="0" t="s">
        <v>130</v>
      </c>
      <c r="I4797" s="0" t="n">
        <v>1221623</v>
      </c>
      <c r="J4797" s="0" t="n">
        <v>27643</v>
      </c>
      <c r="K4797" s="0" t="n">
        <v>7894900031713</v>
      </c>
      <c r="L4797" s="0" t="s">
        <v>4351</v>
      </c>
      <c r="N4797" s="0" t="n">
        <v>18</v>
      </c>
      <c r="O4797" s="0" t="n">
        <v>86.08</v>
      </c>
      <c r="P4797" s="0" t="s">
        <v>2444</v>
      </c>
    </row>
    <row r="4798" customFormat="false" ht="15" hidden="false" customHeight="true" outlineLevel="0" collapsed="false">
      <c r="A4798" s="0" t="n">
        <v>2</v>
      </c>
      <c r="B4798" s="71" t="n">
        <v>46230</v>
      </c>
      <c r="C4798" s="0" t="n">
        <v>11</v>
      </c>
      <c r="D4798" s="0" t="s">
        <v>2471</v>
      </c>
      <c r="E4798" s="0" t="n">
        <v>1705</v>
      </c>
      <c r="F4798" s="0" t="s">
        <v>130</v>
      </c>
      <c r="I4798" s="0" t="n">
        <v>1221623</v>
      </c>
      <c r="J4798" s="0" t="n">
        <v>27673</v>
      </c>
      <c r="K4798" s="0" t="n">
        <v>7894900701715</v>
      </c>
      <c r="L4798" s="0" t="s">
        <v>2660</v>
      </c>
      <c r="N4798" s="0" t="n">
        <v>12</v>
      </c>
      <c r="O4798" s="0" t="n">
        <v>65.81</v>
      </c>
      <c r="P4798" s="0" t="s">
        <v>2444</v>
      </c>
    </row>
    <row r="4799" customFormat="false" ht="15" hidden="false" customHeight="true" outlineLevel="0" collapsed="false">
      <c r="A4799" s="0" t="n">
        <v>2</v>
      </c>
      <c r="B4799" s="71" t="n">
        <v>46230</v>
      </c>
      <c r="C4799" s="0" t="n">
        <v>11</v>
      </c>
      <c r="D4799" s="0" t="s">
        <v>2471</v>
      </c>
      <c r="E4799" s="0" t="n">
        <v>1705</v>
      </c>
      <c r="F4799" s="0" t="s">
        <v>130</v>
      </c>
      <c r="I4799" s="0" t="n">
        <v>1221623</v>
      </c>
      <c r="J4799" s="0" t="n">
        <v>29747</v>
      </c>
      <c r="K4799" s="0" t="n">
        <v>70847022305</v>
      </c>
      <c r="L4799" s="0" t="s">
        <v>4124</v>
      </c>
      <c r="N4799" s="0" t="n">
        <v>6</v>
      </c>
      <c r="O4799" s="0" t="n">
        <v>50.85</v>
      </c>
      <c r="P4799" s="0" t="s">
        <v>2444</v>
      </c>
    </row>
    <row r="4800" customFormat="false" ht="15" hidden="false" customHeight="true" outlineLevel="0" collapsed="false">
      <c r="A4800" s="0" t="n">
        <v>2</v>
      </c>
      <c r="B4800" s="71" t="n">
        <v>46230</v>
      </c>
      <c r="C4800" s="0" t="n">
        <v>11</v>
      </c>
      <c r="D4800" s="0" t="s">
        <v>2471</v>
      </c>
      <c r="E4800" s="0" t="n">
        <v>1705</v>
      </c>
      <c r="F4800" s="0" t="s">
        <v>130</v>
      </c>
      <c r="I4800" s="0" t="n">
        <v>1221623</v>
      </c>
      <c r="J4800" s="0" t="n">
        <v>29748</v>
      </c>
      <c r="K4800" s="0" t="n">
        <v>70847033301</v>
      </c>
      <c r="L4800" s="0" t="s">
        <v>2562</v>
      </c>
      <c r="N4800" s="0" t="n">
        <v>6</v>
      </c>
      <c r="O4800" s="0" t="n">
        <v>50.85</v>
      </c>
      <c r="P4800" s="0" t="s">
        <v>2444</v>
      </c>
    </row>
    <row r="4801" customFormat="false" ht="15" hidden="false" customHeight="true" outlineLevel="0" collapsed="false">
      <c r="A4801" s="0" t="n">
        <v>2</v>
      </c>
      <c r="B4801" s="71" t="n">
        <v>46230</v>
      </c>
      <c r="C4801" s="0" t="n">
        <v>11</v>
      </c>
      <c r="D4801" s="0" t="s">
        <v>2471</v>
      </c>
      <c r="E4801" s="0" t="n">
        <v>1705</v>
      </c>
      <c r="F4801" s="0" t="s">
        <v>130</v>
      </c>
      <c r="I4801" s="0" t="n">
        <v>1221623</v>
      </c>
      <c r="J4801" s="0" t="n">
        <v>35357</v>
      </c>
      <c r="K4801" s="0" t="n">
        <v>7894900681017</v>
      </c>
      <c r="L4801" s="0" t="s">
        <v>2564</v>
      </c>
      <c r="N4801" s="0" t="n">
        <v>12</v>
      </c>
      <c r="O4801" s="0" t="n">
        <v>34.31</v>
      </c>
      <c r="P4801" s="0" t="s">
        <v>2444</v>
      </c>
    </row>
    <row r="4802" customFormat="false" ht="15" hidden="false" customHeight="true" outlineLevel="0" collapsed="false">
      <c r="A4802" s="0" t="n">
        <v>2</v>
      </c>
      <c r="B4802" s="71" t="n">
        <v>46230</v>
      </c>
      <c r="C4802" s="0" t="n">
        <v>11</v>
      </c>
      <c r="D4802" s="0" t="s">
        <v>2471</v>
      </c>
      <c r="E4802" s="0" t="n">
        <v>1705</v>
      </c>
      <c r="F4802" s="0" t="s">
        <v>130</v>
      </c>
      <c r="I4802" s="0" t="n">
        <v>1221623</v>
      </c>
      <c r="J4802" s="0" t="n">
        <v>41322</v>
      </c>
      <c r="K4802" s="0" t="n">
        <v>7897105200076</v>
      </c>
      <c r="L4802" s="0" t="s">
        <v>2661</v>
      </c>
      <c r="N4802" s="0" t="n">
        <v>18</v>
      </c>
      <c r="O4802" s="0" t="n">
        <v>61.36</v>
      </c>
      <c r="P4802" s="0" t="s">
        <v>2444</v>
      </c>
    </row>
    <row r="4803" customFormat="false" ht="15" hidden="false" customHeight="true" outlineLevel="0" collapsed="false">
      <c r="A4803" s="0" t="n">
        <v>2</v>
      </c>
      <c r="B4803" s="71" t="n">
        <v>46230</v>
      </c>
      <c r="C4803" s="0" t="n">
        <v>11</v>
      </c>
      <c r="D4803" s="0" t="s">
        <v>2471</v>
      </c>
      <c r="E4803" s="0" t="n">
        <v>1705</v>
      </c>
      <c r="F4803" s="0" t="s">
        <v>130</v>
      </c>
      <c r="I4803" s="0" t="n">
        <v>1221623</v>
      </c>
      <c r="J4803" s="0" t="n">
        <v>54315</v>
      </c>
      <c r="K4803" s="0" t="n">
        <v>1220000250222</v>
      </c>
      <c r="L4803" s="0" t="s">
        <v>2464</v>
      </c>
      <c r="N4803" s="0" t="n">
        <v>6</v>
      </c>
      <c r="O4803" s="0" t="n">
        <v>50.85</v>
      </c>
      <c r="P4803" s="0" t="s">
        <v>2444</v>
      </c>
    </row>
    <row r="4804" customFormat="false" ht="15" hidden="false" customHeight="true" outlineLevel="0" collapsed="false">
      <c r="A4804" s="0" t="n">
        <v>2</v>
      </c>
      <c r="B4804" s="71" t="n">
        <v>46230</v>
      </c>
      <c r="C4804" s="0" t="n">
        <v>11</v>
      </c>
      <c r="D4804" s="0" t="s">
        <v>2471</v>
      </c>
      <c r="E4804" s="0" t="n">
        <v>1683</v>
      </c>
      <c r="F4804" s="0" t="s">
        <v>406</v>
      </c>
      <c r="I4804" s="0" t="n">
        <v>1653050</v>
      </c>
      <c r="J4804" s="0" t="n">
        <v>109791</v>
      </c>
      <c r="K4804" s="0" t="n">
        <v>9667</v>
      </c>
      <c r="L4804" s="0" t="s">
        <v>2465</v>
      </c>
      <c r="N4804" s="0" t="n">
        <v>12</v>
      </c>
      <c r="O4804" s="0" t="n">
        <v>18</v>
      </c>
      <c r="P4804" s="0" t="s">
        <v>2444</v>
      </c>
    </row>
    <row r="4805" customFormat="false" ht="15" hidden="false" customHeight="true" outlineLevel="0" collapsed="false">
      <c r="A4805" s="0" t="n">
        <v>2</v>
      </c>
      <c r="B4805" s="71" t="n">
        <v>46230</v>
      </c>
      <c r="C4805" s="0" t="n">
        <v>11</v>
      </c>
      <c r="D4805" s="0" t="s">
        <v>2471</v>
      </c>
      <c r="E4805" s="0" t="n">
        <v>1683</v>
      </c>
      <c r="F4805" s="0" t="s">
        <v>406</v>
      </c>
      <c r="I4805" s="0" t="n">
        <v>1653050</v>
      </c>
      <c r="J4805" s="0" t="n">
        <v>37359</v>
      </c>
      <c r="K4805" s="0" t="n">
        <v>55526</v>
      </c>
      <c r="L4805" s="0" t="s">
        <v>2466</v>
      </c>
      <c r="N4805" s="0" t="n">
        <v>4</v>
      </c>
      <c r="O4805" s="0" t="n">
        <v>14</v>
      </c>
      <c r="P4805" s="0" t="s">
        <v>2444</v>
      </c>
    </row>
    <row r="4806" customFormat="false" ht="15" hidden="false" customHeight="true" outlineLevel="0" collapsed="false">
      <c r="A4806" s="0" t="n">
        <v>2</v>
      </c>
      <c r="B4806" s="71" t="n">
        <v>46230</v>
      </c>
      <c r="C4806" s="0" t="n">
        <v>11</v>
      </c>
      <c r="D4806" s="0" t="s">
        <v>2471</v>
      </c>
      <c r="E4806" s="0" t="n">
        <v>1683</v>
      </c>
      <c r="F4806" s="0" t="s">
        <v>406</v>
      </c>
      <c r="I4806" s="0" t="n">
        <v>1653050</v>
      </c>
      <c r="J4806" s="0" t="n">
        <v>37361</v>
      </c>
      <c r="K4806" s="0" t="n">
        <v>2240817</v>
      </c>
      <c r="L4806" s="0" t="s">
        <v>2467</v>
      </c>
      <c r="N4806" s="0" t="n">
        <v>70</v>
      </c>
      <c r="O4806" s="0" t="n">
        <v>126</v>
      </c>
      <c r="P4806" s="0" t="s">
        <v>2444</v>
      </c>
    </row>
    <row r="4807" customFormat="false" ht="15" hidden="false" customHeight="true" outlineLevel="0" collapsed="false">
      <c r="A4807" s="0" t="n">
        <v>2</v>
      </c>
      <c r="B4807" s="71" t="n">
        <v>46230</v>
      </c>
      <c r="C4807" s="0" t="n">
        <v>11</v>
      </c>
      <c r="D4807" s="0" t="s">
        <v>2471</v>
      </c>
      <c r="E4807" s="0" t="n">
        <v>1705</v>
      </c>
      <c r="F4807" s="0" t="s">
        <v>130</v>
      </c>
      <c r="I4807" s="0" t="n">
        <v>1955856</v>
      </c>
      <c r="J4807" s="0" t="n">
        <v>30188</v>
      </c>
      <c r="K4807" s="0" t="n">
        <v>78908901</v>
      </c>
      <c r="L4807" s="0" t="s">
        <v>2477</v>
      </c>
      <c r="N4807" s="0" t="n">
        <v>30</v>
      </c>
      <c r="O4807" s="0" t="n">
        <v>58.91</v>
      </c>
      <c r="P4807" s="0" t="s">
        <v>2444</v>
      </c>
    </row>
    <row r="4808" customFormat="false" ht="15" hidden="false" customHeight="true" outlineLevel="0" collapsed="false">
      <c r="A4808" s="0" t="n">
        <v>2</v>
      </c>
      <c r="B4808" s="71" t="n">
        <v>46230</v>
      </c>
      <c r="C4808" s="0" t="n">
        <v>11</v>
      </c>
      <c r="D4808" s="0" t="s">
        <v>2471</v>
      </c>
      <c r="E4808" s="0" t="n">
        <v>1705</v>
      </c>
      <c r="F4808" s="0" t="s">
        <v>130</v>
      </c>
      <c r="I4808" s="0" t="n">
        <v>1955856</v>
      </c>
      <c r="J4808" s="0" t="n">
        <v>103160</v>
      </c>
      <c r="K4808" s="0" t="n">
        <v>7894900030013</v>
      </c>
      <c r="L4808" s="0" t="s">
        <v>2568</v>
      </c>
      <c r="N4808" s="0" t="n">
        <v>6</v>
      </c>
      <c r="O4808" s="0" t="n">
        <v>17.16</v>
      </c>
      <c r="P4808" s="0" t="s">
        <v>2444</v>
      </c>
    </row>
    <row r="4809" customFormat="false" ht="15" hidden="false" customHeight="true" outlineLevel="0" collapsed="false">
      <c r="A4809" s="0" t="n">
        <v>2</v>
      </c>
      <c r="B4809" s="71" t="n">
        <v>46230</v>
      </c>
      <c r="C4809" s="0" t="n">
        <v>11</v>
      </c>
      <c r="D4809" s="0" t="s">
        <v>2471</v>
      </c>
      <c r="E4809" s="0" t="n">
        <v>1705</v>
      </c>
      <c r="F4809" s="0" t="s">
        <v>130</v>
      </c>
      <c r="I4809" s="0" t="n">
        <v>1955856</v>
      </c>
      <c r="J4809" s="0" t="n">
        <v>103161</v>
      </c>
      <c r="K4809" s="0" t="n">
        <v>7894900010015</v>
      </c>
      <c r="L4809" s="0" t="s">
        <v>2569</v>
      </c>
      <c r="N4809" s="0" t="n">
        <v>48</v>
      </c>
      <c r="O4809" s="0" t="n">
        <v>153.85</v>
      </c>
      <c r="P4809" s="0" t="s">
        <v>2444</v>
      </c>
    </row>
    <row r="4810" customFormat="false" ht="15" hidden="false" customHeight="true" outlineLevel="0" collapsed="false">
      <c r="A4810" s="0" t="n">
        <v>2</v>
      </c>
      <c r="B4810" s="71" t="n">
        <v>46230</v>
      </c>
      <c r="C4810" s="0" t="n">
        <v>11</v>
      </c>
      <c r="D4810" s="0" t="s">
        <v>2471</v>
      </c>
      <c r="E4810" s="0" t="n">
        <v>1705</v>
      </c>
      <c r="F4810" s="0" t="s">
        <v>130</v>
      </c>
      <c r="I4810" s="0" t="n">
        <v>1955856</v>
      </c>
      <c r="J4810" s="0" t="n">
        <v>107100</v>
      </c>
      <c r="K4810" s="0" t="n">
        <v>7894900700015</v>
      </c>
      <c r="L4810" s="0" t="s">
        <v>2572</v>
      </c>
      <c r="N4810" s="0" t="n">
        <v>24</v>
      </c>
      <c r="O4810" s="0" t="n">
        <v>74.97</v>
      </c>
      <c r="P4810" s="0" t="s">
        <v>2444</v>
      </c>
    </row>
    <row r="4811" customFormat="false" ht="15" hidden="false" customHeight="true" outlineLevel="0" collapsed="false">
      <c r="A4811" s="0" t="n">
        <v>2</v>
      </c>
      <c r="B4811" s="71" t="n">
        <v>46230</v>
      </c>
      <c r="C4811" s="0" t="n">
        <v>11</v>
      </c>
      <c r="D4811" s="0" t="s">
        <v>2471</v>
      </c>
      <c r="E4811" s="0" t="n">
        <v>1705</v>
      </c>
      <c r="F4811" s="0" t="s">
        <v>130</v>
      </c>
      <c r="I4811" s="0" t="n">
        <v>1955856</v>
      </c>
      <c r="J4811" s="0" t="n">
        <v>21425</v>
      </c>
      <c r="K4811" s="0" t="n">
        <v>7894900034219</v>
      </c>
      <c r="L4811" s="0" t="s">
        <v>2469</v>
      </c>
      <c r="N4811" s="0" t="n">
        <v>9</v>
      </c>
      <c r="O4811" s="0" t="n">
        <v>52.56</v>
      </c>
      <c r="P4811" s="0" t="s">
        <v>2444</v>
      </c>
    </row>
    <row r="4812" customFormat="false" ht="15" hidden="false" customHeight="true" outlineLevel="0" collapsed="false">
      <c r="A4812" s="0" t="n">
        <v>2</v>
      </c>
      <c r="B4812" s="71" t="n">
        <v>46230</v>
      </c>
      <c r="C4812" s="0" t="n">
        <v>11</v>
      </c>
      <c r="D4812" s="0" t="s">
        <v>2471</v>
      </c>
      <c r="E4812" s="0" t="n">
        <v>1705</v>
      </c>
      <c r="F4812" s="0" t="s">
        <v>130</v>
      </c>
      <c r="I4812" s="0" t="n">
        <v>1955856</v>
      </c>
      <c r="J4812" s="0" t="n">
        <v>21426</v>
      </c>
      <c r="K4812" s="0" t="n">
        <v>7894900014211</v>
      </c>
      <c r="L4812" s="0" t="s">
        <v>2470</v>
      </c>
      <c r="N4812" s="0" t="n">
        <v>45</v>
      </c>
      <c r="O4812" s="0" t="n">
        <v>301.74</v>
      </c>
      <c r="P4812" s="0" t="s">
        <v>2444</v>
      </c>
    </row>
    <row r="4813" customFormat="false" ht="15" hidden="false" customHeight="true" outlineLevel="0" collapsed="false">
      <c r="A4813" s="0" t="n">
        <v>2</v>
      </c>
      <c r="B4813" s="71" t="n">
        <v>46230</v>
      </c>
      <c r="C4813" s="0" t="n">
        <v>11</v>
      </c>
      <c r="D4813" s="0" t="s">
        <v>2471</v>
      </c>
      <c r="E4813" s="0" t="n">
        <v>1705</v>
      </c>
      <c r="F4813" s="0" t="s">
        <v>130</v>
      </c>
      <c r="I4813" s="0" t="n">
        <v>1955856</v>
      </c>
      <c r="J4813" s="0" t="n">
        <v>24662</v>
      </c>
      <c r="K4813" s="0" t="n">
        <v>7897105250019</v>
      </c>
      <c r="L4813" s="0" t="s">
        <v>3441</v>
      </c>
      <c r="N4813" s="0" t="n">
        <v>18</v>
      </c>
      <c r="O4813" s="0" t="n">
        <v>50.55</v>
      </c>
      <c r="P4813" s="0" t="s">
        <v>2444</v>
      </c>
    </row>
    <row r="4814" customFormat="false" ht="15" hidden="false" customHeight="true" outlineLevel="0" collapsed="false">
      <c r="A4814" s="0" t="n">
        <v>2</v>
      </c>
      <c r="B4814" s="71" t="n">
        <v>46230</v>
      </c>
      <c r="C4814" s="0" t="n">
        <v>11</v>
      </c>
      <c r="D4814" s="0" t="s">
        <v>2471</v>
      </c>
      <c r="E4814" s="0" t="n">
        <v>1705</v>
      </c>
      <c r="F4814" s="0" t="s">
        <v>130</v>
      </c>
      <c r="I4814" s="0" t="n">
        <v>1955856</v>
      </c>
      <c r="J4814" s="0" t="n">
        <v>29509</v>
      </c>
      <c r="K4814" s="0" t="n">
        <v>78933873</v>
      </c>
      <c r="L4814" s="0" t="s">
        <v>3258</v>
      </c>
      <c r="N4814" s="0" t="n">
        <v>6</v>
      </c>
      <c r="O4814" s="0" t="n">
        <v>11.29</v>
      </c>
      <c r="P4814" s="0" t="s">
        <v>2444</v>
      </c>
    </row>
    <row r="4815" customFormat="false" ht="15" hidden="false" customHeight="true" outlineLevel="0" collapsed="false">
      <c r="A4815" s="0" t="n">
        <v>2</v>
      </c>
      <c r="B4815" s="71" t="n">
        <v>46230</v>
      </c>
      <c r="C4815" s="0" t="n">
        <v>11</v>
      </c>
      <c r="D4815" s="0" t="s">
        <v>2471</v>
      </c>
      <c r="E4815" s="0" t="n">
        <v>1705</v>
      </c>
      <c r="F4815" s="0" t="s">
        <v>130</v>
      </c>
      <c r="I4815" s="0" t="n">
        <v>1955856</v>
      </c>
      <c r="J4815" s="0" t="n">
        <v>30017</v>
      </c>
      <c r="K4815" s="0" t="n">
        <v>7894900680508</v>
      </c>
      <c r="L4815" s="0" t="s">
        <v>3589</v>
      </c>
      <c r="N4815" s="0" t="n">
        <v>12</v>
      </c>
      <c r="O4815" s="0" t="n">
        <v>42.12</v>
      </c>
      <c r="P4815" s="0" t="s">
        <v>2444</v>
      </c>
    </row>
    <row r="4816" customFormat="false" ht="15" hidden="false" customHeight="true" outlineLevel="0" collapsed="false">
      <c r="A4816" s="0" t="n">
        <v>2</v>
      </c>
      <c r="B4816" s="71" t="n">
        <v>46230</v>
      </c>
      <c r="C4816" s="0" t="n">
        <v>11</v>
      </c>
      <c r="D4816" s="0" t="s">
        <v>2471</v>
      </c>
      <c r="E4816" s="0" t="n">
        <v>1705</v>
      </c>
      <c r="F4816" s="0" t="s">
        <v>130</v>
      </c>
      <c r="I4816" s="0" t="n">
        <v>1955856</v>
      </c>
      <c r="J4816" s="0" t="n">
        <v>30085</v>
      </c>
      <c r="K4816" s="0" t="n">
        <v>7894900054217</v>
      </c>
      <c r="L4816" s="0" t="s">
        <v>3588</v>
      </c>
      <c r="N4816" s="0" t="n">
        <v>9</v>
      </c>
      <c r="O4816" s="0" t="n">
        <v>52.56</v>
      </c>
      <c r="P4816" s="0" t="s">
        <v>2444</v>
      </c>
    </row>
    <row r="4817" customFormat="false" ht="15" hidden="false" customHeight="true" outlineLevel="0" collapsed="false">
      <c r="A4817" s="0" t="n">
        <v>2</v>
      </c>
      <c r="B4817" s="71" t="n">
        <v>46230</v>
      </c>
      <c r="C4817" s="0" t="n">
        <v>11</v>
      </c>
      <c r="D4817" s="0" t="s">
        <v>2471</v>
      </c>
      <c r="E4817" s="0" t="n">
        <v>1705</v>
      </c>
      <c r="F4817" s="0" t="s">
        <v>130</v>
      </c>
      <c r="I4817" s="0" t="n">
        <v>1955856</v>
      </c>
      <c r="J4817" s="0" t="n">
        <v>31367</v>
      </c>
      <c r="K4817" s="0" t="n">
        <v>7894900704211</v>
      </c>
      <c r="L4817" s="0" t="s">
        <v>3258</v>
      </c>
      <c r="N4817" s="0" t="n">
        <v>9</v>
      </c>
      <c r="O4817" s="0" t="n">
        <v>52.56</v>
      </c>
      <c r="P4817" s="0" t="s">
        <v>2444</v>
      </c>
    </row>
    <row r="4818" customFormat="false" ht="15" hidden="false" customHeight="true" outlineLevel="0" collapsed="false">
      <c r="A4818" s="0" t="n">
        <v>2</v>
      </c>
      <c r="B4818" s="71" t="n">
        <v>46230</v>
      </c>
      <c r="C4818" s="0" t="n">
        <v>22</v>
      </c>
      <c r="D4818" s="0" t="s">
        <v>2479</v>
      </c>
      <c r="E4818" s="0" t="n">
        <v>48</v>
      </c>
      <c r="F4818" s="0" t="s">
        <v>153</v>
      </c>
      <c r="I4818" s="0" t="n">
        <v>2565</v>
      </c>
      <c r="J4818" s="0" t="n">
        <v>100000</v>
      </c>
      <c r="K4818" s="0" t="n">
        <v>1</v>
      </c>
      <c r="L4818" s="0" t="s">
        <v>2480</v>
      </c>
      <c r="N4818" s="0" t="n">
        <v>2.378</v>
      </c>
      <c r="O4818" s="0" t="n">
        <v>46.73</v>
      </c>
      <c r="P4818" s="0" t="s">
        <v>2444</v>
      </c>
    </row>
    <row r="4819" customFormat="false" ht="15" hidden="false" customHeight="true" outlineLevel="0" collapsed="false">
      <c r="A4819" s="0" t="n">
        <v>2</v>
      </c>
      <c r="B4819" s="71" t="n">
        <v>46230</v>
      </c>
      <c r="C4819" s="0" t="n">
        <v>22</v>
      </c>
      <c r="D4819" s="0" t="s">
        <v>2479</v>
      </c>
      <c r="E4819" s="0" t="n">
        <v>48</v>
      </c>
      <c r="F4819" s="0" t="s">
        <v>153</v>
      </c>
      <c r="I4819" s="0" t="n">
        <v>2565</v>
      </c>
      <c r="J4819" s="0" t="n">
        <v>100000</v>
      </c>
      <c r="K4819" s="0" t="n">
        <v>1</v>
      </c>
      <c r="L4819" s="0" t="s">
        <v>2480</v>
      </c>
      <c r="N4819" s="0" t="n">
        <v>2.396</v>
      </c>
      <c r="O4819" s="0" t="n">
        <v>47.11</v>
      </c>
      <c r="P4819" s="0" t="s">
        <v>2444</v>
      </c>
    </row>
    <row r="4820" customFormat="false" ht="15" hidden="false" customHeight="true" outlineLevel="0" collapsed="false">
      <c r="A4820" s="0" t="n">
        <v>2</v>
      </c>
      <c r="B4820" s="71" t="n">
        <v>46230</v>
      </c>
      <c r="C4820" s="0" t="n">
        <v>22</v>
      </c>
      <c r="D4820" s="0" t="s">
        <v>2479</v>
      </c>
      <c r="E4820" s="0" t="n">
        <v>48</v>
      </c>
      <c r="F4820" s="0" t="s">
        <v>153</v>
      </c>
      <c r="I4820" s="0" t="n">
        <v>2565</v>
      </c>
      <c r="J4820" s="0" t="n">
        <v>100001</v>
      </c>
      <c r="K4820" s="0" t="n">
        <v>2</v>
      </c>
      <c r="L4820" s="0" t="s">
        <v>2481</v>
      </c>
      <c r="N4820" s="0" t="n">
        <v>12.575</v>
      </c>
      <c r="O4820" s="0" t="n">
        <v>267.69</v>
      </c>
      <c r="P4820" s="0" t="s">
        <v>2444</v>
      </c>
    </row>
    <row r="4821" customFormat="false" ht="15" hidden="false" customHeight="true" outlineLevel="0" collapsed="false">
      <c r="A4821" s="0" t="n">
        <v>2</v>
      </c>
      <c r="B4821" s="71" t="n">
        <v>46230</v>
      </c>
      <c r="C4821" s="0" t="n">
        <v>22</v>
      </c>
      <c r="D4821" s="0" t="s">
        <v>2479</v>
      </c>
      <c r="E4821" s="0" t="n">
        <v>48</v>
      </c>
      <c r="F4821" s="0" t="s">
        <v>153</v>
      </c>
      <c r="I4821" s="0" t="n">
        <v>2565</v>
      </c>
      <c r="J4821" s="0" t="n">
        <v>100002</v>
      </c>
      <c r="K4821" s="0" t="n">
        <v>3</v>
      </c>
      <c r="L4821" s="0" t="s">
        <v>2482</v>
      </c>
      <c r="N4821" s="0" t="n">
        <v>19.15</v>
      </c>
      <c r="O4821" s="0" t="n">
        <v>470.4</v>
      </c>
      <c r="P4821" s="0" t="s">
        <v>2444</v>
      </c>
    </row>
    <row r="4822" customFormat="false" ht="15" hidden="false" customHeight="true" outlineLevel="0" collapsed="false">
      <c r="A4822" s="0" t="n">
        <v>2</v>
      </c>
      <c r="B4822" s="71" t="n">
        <v>46230</v>
      </c>
      <c r="C4822" s="0" t="n">
        <v>22</v>
      </c>
      <c r="D4822" s="0" t="s">
        <v>2479</v>
      </c>
      <c r="E4822" s="0" t="n">
        <v>48</v>
      </c>
      <c r="F4822" s="0" t="s">
        <v>153</v>
      </c>
      <c r="I4822" s="0" t="n">
        <v>2565</v>
      </c>
      <c r="J4822" s="0" t="n">
        <v>100003</v>
      </c>
      <c r="K4822" s="0" t="n">
        <v>4</v>
      </c>
      <c r="L4822" s="0" t="s">
        <v>2483</v>
      </c>
      <c r="N4822" s="0" t="n">
        <v>17.74</v>
      </c>
      <c r="O4822" s="0" t="n">
        <v>464.82</v>
      </c>
      <c r="P4822" s="0" t="s">
        <v>2444</v>
      </c>
    </row>
    <row r="4823" customFormat="false" ht="15" hidden="false" customHeight="true" outlineLevel="0" collapsed="false">
      <c r="A4823" s="0" t="n">
        <v>2</v>
      </c>
      <c r="B4823" s="71" t="n">
        <v>46230</v>
      </c>
      <c r="C4823" s="0" t="n">
        <v>22</v>
      </c>
      <c r="D4823" s="0" t="s">
        <v>2479</v>
      </c>
      <c r="E4823" s="0" t="n">
        <v>48</v>
      </c>
      <c r="F4823" s="0" t="s">
        <v>153</v>
      </c>
      <c r="I4823" s="0" t="n">
        <v>2565</v>
      </c>
      <c r="J4823" s="0" t="n">
        <v>100004</v>
      </c>
      <c r="K4823" s="0" t="n">
        <v>5</v>
      </c>
      <c r="L4823" s="0" t="s">
        <v>2484</v>
      </c>
      <c r="N4823" s="0" t="n">
        <v>1.486</v>
      </c>
      <c r="O4823" s="0" t="n">
        <v>34.07</v>
      </c>
      <c r="P4823" s="0" t="s">
        <v>2444</v>
      </c>
    </row>
    <row r="4824" customFormat="false" ht="15" hidden="false" customHeight="true" outlineLevel="0" collapsed="false">
      <c r="A4824" s="0" t="n">
        <v>2</v>
      </c>
      <c r="B4824" s="71" t="n">
        <v>46230</v>
      </c>
      <c r="C4824" s="0" t="n">
        <v>22</v>
      </c>
      <c r="D4824" s="0" t="s">
        <v>2479</v>
      </c>
      <c r="E4824" s="0" t="n">
        <v>48</v>
      </c>
      <c r="F4824" s="0" t="s">
        <v>153</v>
      </c>
      <c r="I4824" s="0" t="n">
        <v>2565</v>
      </c>
      <c r="J4824" s="0" t="n">
        <v>100005</v>
      </c>
      <c r="K4824" s="0" t="n">
        <v>6</v>
      </c>
      <c r="L4824" s="0" t="s">
        <v>2582</v>
      </c>
      <c r="N4824" s="0" t="n">
        <v>2.924</v>
      </c>
      <c r="O4824" s="0" t="n">
        <v>71.82</v>
      </c>
      <c r="P4824" s="0" t="s">
        <v>2444</v>
      </c>
    </row>
    <row r="4825" customFormat="false" ht="15" hidden="false" customHeight="true" outlineLevel="0" collapsed="false">
      <c r="A4825" s="0" t="n">
        <v>2</v>
      </c>
      <c r="B4825" s="71" t="n">
        <v>46230</v>
      </c>
      <c r="C4825" s="0" t="n">
        <v>22</v>
      </c>
      <c r="D4825" s="0" t="s">
        <v>2479</v>
      </c>
      <c r="E4825" s="0" t="n">
        <v>48</v>
      </c>
      <c r="F4825" s="0" t="s">
        <v>153</v>
      </c>
      <c r="I4825" s="0" t="n">
        <v>2565</v>
      </c>
      <c r="J4825" s="0" t="n">
        <v>100005</v>
      </c>
      <c r="K4825" s="0" t="n">
        <v>6</v>
      </c>
      <c r="L4825" s="0" t="s">
        <v>2582</v>
      </c>
      <c r="N4825" s="0" t="n">
        <v>1.26</v>
      </c>
      <c r="O4825" s="0" t="n">
        <v>30.97</v>
      </c>
      <c r="P4825" s="0" t="s">
        <v>2444</v>
      </c>
    </row>
    <row r="4826" customFormat="false" ht="15" hidden="false" customHeight="true" outlineLevel="0" collapsed="false">
      <c r="A4826" s="0" t="n">
        <v>2</v>
      </c>
      <c r="B4826" s="71" t="n">
        <v>46230</v>
      </c>
      <c r="C4826" s="0" t="n">
        <v>22</v>
      </c>
      <c r="D4826" s="0" t="s">
        <v>2479</v>
      </c>
      <c r="E4826" s="0" t="n">
        <v>48</v>
      </c>
      <c r="F4826" s="0" t="s">
        <v>153</v>
      </c>
      <c r="I4826" s="0" t="n">
        <v>2565</v>
      </c>
      <c r="J4826" s="0" t="n">
        <v>100006</v>
      </c>
      <c r="K4826" s="0" t="n">
        <v>7</v>
      </c>
      <c r="L4826" s="0" t="s">
        <v>2485</v>
      </c>
      <c r="N4826" s="0" t="n">
        <v>2.278</v>
      </c>
      <c r="O4826" s="0" t="n">
        <v>63.46</v>
      </c>
      <c r="P4826" s="0" t="s">
        <v>2444</v>
      </c>
    </row>
    <row r="4827" customFormat="false" ht="15" hidden="false" customHeight="true" outlineLevel="0" collapsed="false">
      <c r="A4827" s="0" t="n">
        <v>2</v>
      </c>
      <c r="B4827" s="71" t="n">
        <v>46230</v>
      </c>
      <c r="C4827" s="0" t="n">
        <v>22</v>
      </c>
      <c r="D4827" s="0" t="s">
        <v>2479</v>
      </c>
      <c r="E4827" s="0" t="n">
        <v>48</v>
      </c>
      <c r="F4827" s="0" t="s">
        <v>153</v>
      </c>
      <c r="I4827" s="0" t="n">
        <v>2565</v>
      </c>
      <c r="J4827" s="0" t="n">
        <v>100007</v>
      </c>
      <c r="K4827" s="0" t="n">
        <v>8</v>
      </c>
      <c r="L4827" s="0" t="s">
        <v>2486</v>
      </c>
      <c r="N4827" s="0" t="n">
        <v>1.752</v>
      </c>
      <c r="O4827" s="0" t="n">
        <v>43.04</v>
      </c>
      <c r="P4827" s="0" t="s">
        <v>2444</v>
      </c>
    </row>
    <row r="4828" customFormat="false" ht="15" hidden="false" customHeight="true" outlineLevel="0" collapsed="false">
      <c r="A4828" s="0" t="n">
        <v>2</v>
      </c>
      <c r="B4828" s="71" t="n">
        <v>46230</v>
      </c>
      <c r="C4828" s="0" t="n">
        <v>22</v>
      </c>
      <c r="D4828" s="0" t="s">
        <v>2479</v>
      </c>
      <c r="E4828" s="0" t="n">
        <v>48</v>
      </c>
      <c r="F4828" s="0" t="s">
        <v>153</v>
      </c>
      <c r="I4828" s="0" t="n">
        <v>2565</v>
      </c>
      <c r="J4828" s="0" t="n">
        <v>100007</v>
      </c>
      <c r="K4828" s="0" t="n">
        <v>8</v>
      </c>
      <c r="L4828" s="0" t="s">
        <v>2486</v>
      </c>
      <c r="N4828" s="0" t="n">
        <v>0.836</v>
      </c>
      <c r="O4828" s="0" t="n">
        <v>20.55</v>
      </c>
      <c r="P4828" s="0" t="s">
        <v>2444</v>
      </c>
    </row>
    <row r="4829" customFormat="false" ht="15" hidden="false" customHeight="true" outlineLevel="0" collapsed="false">
      <c r="A4829" s="0" t="n">
        <v>2</v>
      </c>
      <c r="B4829" s="71" t="n">
        <v>46230</v>
      </c>
      <c r="C4829" s="0" t="n">
        <v>22</v>
      </c>
      <c r="D4829" s="0" t="s">
        <v>2479</v>
      </c>
      <c r="E4829" s="0" t="n">
        <v>48</v>
      </c>
      <c r="F4829" s="0" t="s">
        <v>153</v>
      </c>
      <c r="I4829" s="0" t="n">
        <v>2565</v>
      </c>
      <c r="J4829" s="0" t="n">
        <v>100008</v>
      </c>
      <c r="K4829" s="0" t="n">
        <v>9</v>
      </c>
      <c r="L4829" s="0" t="s">
        <v>2487</v>
      </c>
      <c r="N4829" s="0" t="n">
        <v>31.15</v>
      </c>
      <c r="O4829" s="0" t="n">
        <v>882.05</v>
      </c>
      <c r="P4829" s="0" t="s">
        <v>2444</v>
      </c>
    </row>
    <row r="4830" customFormat="false" ht="15" hidden="false" customHeight="true" outlineLevel="0" collapsed="false">
      <c r="A4830" s="0" t="n">
        <v>2</v>
      </c>
      <c r="B4830" s="71" t="n">
        <v>46230</v>
      </c>
      <c r="C4830" s="0" t="n">
        <v>22</v>
      </c>
      <c r="D4830" s="0" t="s">
        <v>2479</v>
      </c>
      <c r="E4830" s="0" t="n">
        <v>48</v>
      </c>
      <c r="F4830" s="0" t="s">
        <v>153</v>
      </c>
      <c r="I4830" s="0" t="n">
        <v>2565</v>
      </c>
      <c r="J4830" s="0" t="n">
        <v>100008</v>
      </c>
      <c r="K4830" s="0" t="n">
        <v>9</v>
      </c>
      <c r="L4830" s="0" t="s">
        <v>2487</v>
      </c>
      <c r="N4830" s="0" t="n">
        <v>17</v>
      </c>
      <c r="O4830" s="0" t="n">
        <v>543.21</v>
      </c>
      <c r="P4830" s="0" t="s">
        <v>2444</v>
      </c>
    </row>
    <row r="4831" customFormat="false" ht="15" hidden="false" customHeight="true" outlineLevel="0" collapsed="false">
      <c r="A4831" s="0" t="n">
        <v>2</v>
      </c>
      <c r="B4831" s="71" t="n">
        <v>46230</v>
      </c>
      <c r="C4831" s="0" t="n">
        <v>22</v>
      </c>
      <c r="D4831" s="0" t="s">
        <v>2479</v>
      </c>
      <c r="E4831" s="0" t="n">
        <v>48</v>
      </c>
      <c r="F4831" s="0" t="s">
        <v>153</v>
      </c>
      <c r="I4831" s="0" t="n">
        <v>2565</v>
      </c>
      <c r="J4831" s="0" t="n">
        <v>100011</v>
      </c>
      <c r="K4831" s="0" t="n">
        <v>12</v>
      </c>
      <c r="L4831" s="0" t="s">
        <v>2488</v>
      </c>
      <c r="N4831" s="0" t="n">
        <v>9.555</v>
      </c>
      <c r="O4831" s="0" t="n">
        <v>344.47</v>
      </c>
      <c r="P4831" s="0" t="s">
        <v>2444</v>
      </c>
    </row>
    <row r="4832" customFormat="false" ht="15" hidden="false" customHeight="true" outlineLevel="0" collapsed="false">
      <c r="A4832" s="0" t="n">
        <v>2</v>
      </c>
      <c r="B4832" s="71" t="n">
        <v>46230</v>
      </c>
      <c r="C4832" s="0" t="n">
        <v>22</v>
      </c>
      <c r="D4832" s="0" t="s">
        <v>2479</v>
      </c>
      <c r="E4832" s="0" t="n">
        <v>48</v>
      </c>
      <c r="F4832" s="0" t="s">
        <v>153</v>
      </c>
      <c r="I4832" s="0" t="n">
        <v>2565</v>
      </c>
      <c r="J4832" s="0" t="n">
        <v>100012</v>
      </c>
      <c r="K4832" s="0" t="n">
        <v>13</v>
      </c>
      <c r="L4832" s="0" t="s">
        <v>2489</v>
      </c>
      <c r="N4832" s="0" t="n">
        <v>5.19</v>
      </c>
      <c r="O4832" s="0" t="n">
        <v>212.62</v>
      </c>
      <c r="P4832" s="0" t="s">
        <v>2444</v>
      </c>
    </row>
    <row r="4833" customFormat="false" ht="15" hidden="false" customHeight="true" outlineLevel="0" collapsed="false">
      <c r="A4833" s="0" t="n">
        <v>2</v>
      </c>
      <c r="B4833" s="71" t="n">
        <v>46230</v>
      </c>
      <c r="C4833" s="0" t="n">
        <v>22</v>
      </c>
      <c r="D4833" s="0" t="s">
        <v>2479</v>
      </c>
      <c r="E4833" s="0" t="n">
        <v>48</v>
      </c>
      <c r="F4833" s="0" t="s">
        <v>153</v>
      </c>
      <c r="I4833" s="0" t="n">
        <v>2565</v>
      </c>
      <c r="J4833" s="0" t="n">
        <v>100013</v>
      </c>
      <c r="K4833" s="0" t="n">
        <v>14</v>
      </c>
      <c r="L4833" s="0" t="s">
        <v>2490</v>
      </c>
      <c r="N4833" s="0" t="n">
        <v>10.01</v>
      </c>
      <c r="O4833" s="0" t="n">
        <v>434.7</v>
      </c>
      <c r="P4833" s="0" t="s">
        <v>2444</v>
      </c>
    </row>
    <row r="4834" customFormat="false" ht="15" hidden="false" customHeight="true" outlineLevel="0" collapsed="false">
      <c r="A4834" s="0" t="n">
        <v>2</v>
      </c>
      <c r="B4834" s="71" t="n">
        <v>46230</v>
      </c>
      <c r="C4834" s="0" t="n">
        <v>22</v>
      </c>
      <c r="D4834" s="0" t="s">
        <v>2479</v>
      </c>
      <c r="E4834" s="0" t="n">
        <v>48</v>
      </c>
      <c r="F4834" s="0" t="s">
        <v>153</v>
      </c>
      <c r="I4834" s="0" t="n">
        <v>2565</v>
      </c>
      <c r="J4834" s="0" t="n">
        <v>100014</v>
      </c>
      <c r="K4834" s="0" t="n">
        <v>15</v>
      </c>
      <c r="L4834" s="0" t="s">
        <v>2491</v>
      </c>
      <c r="N4834" s="0" t="n">
        <v>3.68</v>
      </c>
      <c r="O4834" s="0" t="n">
        <v>162.83</v>
      </c>
      <c r="P4834" s="0" t="s">
        <v>2444</v>
      </c>
    </row>
    <row r="4835" customFormat="false" ht="15" hidden="false" customHeight="true" outlineLevel="0" collapsed="false">
      <c r="A4835" s="0" t="n">
        <v>2</v>
      </c>
      <c r="B4835" s="71" t="n">
        <v>46230</v>
      </c>
      <c r="C4835" s="0" t="n">
        <v>22</v>
      </c>
      <c r="D4835" s="0" t="s">
        <v>2479</v>
      </c>
      <c r="E4835" s="0" t="n">
        <v>48</v>
      </c>
      <c r="F4835" s="0" t="s">
        <v>153</v>
      </c>
      <c r="I4835" s="0" t="n">
        <v>2565</v>
      </c>
      <c r="J4835" s="0" t="n">
        <v>100015</v>
      </c>
      <c r="K4835" s="0" t="n">
        <v>16</v>
      </c>
      <c r="L4835" s="0" t="s">
        <v>2492</v>
      </c>
      <c r="N4835" s="0" t="n">
        <v>1.56</v>
      </c>
      <c r="O4835" s="0" t="n">
        <v>61.35</v>
      </c>
      <c r="P4835" s="0" t="s">
        <v>2444</v>
      </c>
    </row>
    <row r="4836" customFormat="false" ht="15" hidden="false" customHeight="true" outlineLevel="0" collapsed="false">
      <c r="A4836" s="0" t="n">
        <v>2</v>
      </c>
      <c r="B4836" s="71" t="n">
        <v>46230</v>
      </c>
      <c r="C4836" s="0" t="n">
        <v>22</v>
      </c>
      <c r="D4836" s="0" t="s">
        <v>2479</v>
      </c>
      <c r="E4836" s="0" t="n">
        <v>48</v>
      </c>
      <c r="F4836" s="0" t="s">
        <v>153</v>
      </c>
      <c r="I4836" s="0" t="n">
        <v>2565</v>
      </c>
      <c r="J4836" s="0" t="n">
        <v>100016</v>
      </c>
      <c r="K4836" s="0" t="n">
        <v>17</v>
      </c>
      <c r="L4836" s="0" t="s">
        <v>2493</v>
      </c>
      <c r="N4836" s="0" t="n">
        <v>2.472</v>
      </c>
      <c r="O4836" s="0" t="n">
        <v>141.79</v>
      </c>
      <c r="P4836" s="0" t="s">
        <v>2444</v>
      </c>
    </row>
    <row r="4837" customFormat="false" ht="15" hidden="false" customHeight="true" outlineLevel="0" collapsed="false">
      <c r="A4837" s="0" t="n">
        <v>2</v>
      </c>
      <c r="B4837" s="71" t="n">
        <v>46230</v>
      </c>
      <c r="C4837" s="0" t="n">
        <v>22</v>
      </c>
      <c r="D4837" s="0" t="s">
        <v>2479</v>
      </c>
      <c r="E4837" s="0" t="n">
        <v>48</v>
      </c>
      <c r="F4837" s="0" t="s">
        <v>153</v>
      </c>
      <c r="I4837" s="0" t="n">
        <v>2565</v>
      </c>
      <c r="J4837" s="0" t="n">
        <v>100016</v>
      </c>
      <c r="K4837" s="0" t="n">
        <v>17</v>
      </c>
      <c r="L4837" s="0" t="s">
        <v>2493</v>
      </c>
      <c r="N4837" s="0" t="n">
        <v>6.118</v>
      </c>
      <c r="O4837" s="0" t="n">
        <v>310.73</v>
      </c>
      <c r="P4837" s="0" t="s">
        <v>2444</v>
      </c>
    </row>
    <row r="4838" customFormat="false" ht="15" hidden="false" customHeight="true" outlineLevel="0" collapsed="false">
      <c r="A4838" s="0" t="n">
        <v>2</v>
      </c>
      <c r="B4838" s="71" t="n">
        <v>46230</v>
      </c>
      <c r="C4838" s="0" t="n">
        <v>22</v>
      </c>
      <c r="D4838" s="0" t="s">
        <v>2479</v>
      </c>
      <c r="E4838" s="0" t="n">
        <v>48</v>
      </c>
      <c r="F4838" s="0" t="s">
        <v>153</v>
      </c>
      <c r="I4838" s="0" t="n">
        <v>2565</v>
      </c>
      <c r="J4838" s="0" t="n">
        <v>100017</v>
      </c>
      <c r="K4838" s="0" t="n">
        <v>18</v>
      </c>
      <c r="L4838" s="0" t="s">
        <v>2494</v>
      </c>
      <c r="N4838" s="0" t="n">
        <v>1.508</v>
      </c>
      <c r="O4838" s="0" t="n">
        <v>86.5</v>
      </c>
      <c r="P4838" s="0" t="s">
        <v>2444</v>
      </c>
    </row>
    <row r="4839" customFormat="false" ht="15" hidden="false" customHeight="true" outlineLevel="0" collapsed="false">
      <c r="A4839" s="0" t="n">
        <v>2</v>
      </c>
      <c r="B4839" s="71" t="n">
        <v>46230</v>
      </c>
      <c r="C4839" s="0" t="n">
        <v>22</v>
      </c>
      <c r="D4839" s="0" t="s">
        <v>2479</v>
      </c>
      <c r="E4839" s="0" t="n">
        <v>48</v>
      </c>
      <c r="F4839" s="0" t="s">
        <v>153</v>
      </c>
      <c r="I4839" s="0" t="n">
        <v>2565</v>
      </c>
      <c r="J4839" s="0" t="n">
        <v>100040</v>
      </c>
      <c r="K4839" s="0" t="n">
        <v>41</v>
      </c>
      <c r="L4839" s="0" t="s">
        <v>2583</v>
      </c>
      <c r="N4839" s="0" t="n">
        <v>1.348</v>
      </c>
      <c r="O4839" s="0" t="n">
        <v>35.32</v>
      </c>
      <c r="P4839" s="0" t="s">
        <v>2444</v>
      </c>
    </row>
    <row r="4840" customFormat="false" ht="15" hidden="false" customHeight="true" outlineLevel="0" collapsed="false">
      <c r="A4840" s="0" t="n">
        <v>2</v>
      </c>
      <c r="B4840" s="71" t="n">
        <v>46230</v>
      </c>
      <c r="C4840" s="0" t="n">
        <v>22</v>
      </c>
      <c r="D4840" s="0" t="s">
        <v>2479</v>
      </c>
      <c r="E4840" s="0" t="n">
        <v>48</v>
      </c>
      <c r="F4840" s="0" t="s">
        <v>153</v>
      </c>
      <c r="I4840" s="0" t="n">
        <v>2565</v>
      </c>
      <c r="J4840" s="0" t="n">
        <v>100053</v>
      </c>
      <c r="K4840" s="0" t="n">
        <v>54</v>
      </c>
      <c r="L4840" s="0" t="s">
        <v>2495</v>
      </c>
      <c r="N4840" s="0" t="n">
        <v>1.638</v>
      </c>
      <c r="O4840" s="0" t="n">
        <v>59.05</v>
      </c>
      <c r="P4840" s="0" t="s">
        <v>2444</v>
      </c>
    </row>
    <row r="4841" customFormat="false" ht="15" hidden="false" customHeight="true" outlineLevel="0" collapsed="false">
      <c r="A4841" s="0" t="n">
        <v>2</v>
      </c>
      <c r="B4841" s="71" t="n">
        <v>46230</v>
      </c>
      <c r="C4841" s="0" t="n">
        <v>22</v>
      </c>
      <c r="D4841" s="0" t="s">
        <v>2479</v>
      </c>
      <c r="E4841" s="0" t="n">
        <v>48</v>
      </c>
      <c r="F4841" s="0" t="s">
        <v>153</v>
      </c>
      <c r="I4841" s="0" t="n">
        <v>2565</v>
      </c>
      <c r="J4841" s="0" t="n">
        <v>100053</v>
      </c>
      <c r="K4841" s="0" t="n">
        <v>54</v>
      </c>
      <c r="L4841" s="0" t="s">
        <v>2495</v>
      </c>
      <c r="N4841" s="0" t="n">
        <v>2.732</v>
      </c>
      <c r="O4841" s="0" t="n">
        <v>87.22</v>
      </c>
      <c r="P4841" s="0" t="s">
        <v>2444</v>
      </c>
    </row>
    <row r="4842" customFormat="false" ht="15" hidden="false" customHeight="true" outlineLevel="0" collapsed="false">
      <c r="A4842" s="0" t="n">
        <v>2</v>
      </c>
      <c r="B4842" s="71" t="n">
        <v>46230</v>
      </c>
      <c r="C4842" s="0" t="n">
        <v>22</v>
      </c>
      <c r="D4842" s="0" t="s">
        <v>2479</v>
      </c>
      <c r="E4842" s="0" t="n">
        <v>48</v>
      </c>
      <c r="F4842" s="0" t="s">
        <v>153</v>
      </c>
      <c r="I4842" s="0" t="n">
        <v>2565</v>
      </c>
      <c r="J4842" s="0" t="n">
        <v>100638</v>
      </c>
      <c r="K4842" s="0" t="n">
        <v>508</v>
      </c>
      <c r="L4842" s="0" t="s">
        <v>2496</v>
      </c>
      <c r="N4842" s="0" t="n">
        <v>1.546</v>
      </c>
      <c r="O4842" s="0" t="n">
        <v>3.79</v>
      </c>
      <c r="P4842" s="0" t="s">
        <v>2444</v>
      </c>
    </row>
    <row r="4843" customFormat="false" ht="15" hidden="false" customHeight="true" outlineLevel="0" collapsed="false">
      <c r="A4843" s="0" t="n">
        <v>2</v>
      </c>
      <c r="B4843" s="71" t="n">
        <v>46230</v>
      </c>
      <c r="C4843" s="0" t="n">
        <v>22</v>
      </c>
      <c r="D4843" s="0" t="s">
        <v>2479</v>
      </c>
      <c r="E4843" s="0" t="n">
        <v>48</v>
      </c>
      <c r="F4843" s="0" t="s">
        <v>153</v>
      </c>
      <c r="I4843" s="0" t="n">
        <v>2565</v>
      </c>
      <c r="J4843" s="0" t="n">
        <v>100638</v>
      </c>
      <c r="K4843" s="0" t="n">
        <v>508</v>
      </c>
      <c r="L4843" s="0" t="s">
        <v>2496</v>
      </c>
      <c r="N4843" s="0" t="n">
        <v>2.682</v>
      </c>
      <c r="O4843" s="0" t="n">
        <v>6.57</v>
      </c>
      <c r="P4843" s="0" t="s">
        <v>2444</v>
      </c>
    </row>
    <row r="4844" customFormat="false" ht="15" hidden="false" customHeight="true" outlineLevel="0" collapsed="false">
      <c r="A4844" s="0" t="n">
        <v>2</v>
      </c>
      <c r="B4844" s="71" t="n">
        <v>46230</v>
      </c>
      <c r="C4844" s="0" t="n">
        <v>22</v>
      </c>
      <c r="D4844" s="0" t="s">
        <v>2479</v>
      </c>
      <c r="E4844" s="0" t="n">
        <v>48</v>
      </c>
      <c r="F4844" s="0" t="s">
        <v>153</v>
      </c>
      <c r="I4844" s="0" t="n">
        <v>2565</v>
      </c>
      <c r="J4844" s="0" t="n">
        <v>100520</v>
      </c>
      <c r="K4844" s="0" t="n">
        <v>507</v>
      </c>
      <c r="L4844" s="0" t="s">
        <v>2497</v>
      </c>
      <c r="N4844" s="0" t="n">
        <v>8.66</v>
      </c>
      <c r="O4844" s="0" t="n">
        <v>21.22</v>
      </c>
      <c r="P4844" s="0" t="s">
        <v>2444</v>
      </c>
    </row>
    <row r="4845" customFormat="false" ht="15" hidden="false" customHeight="true" outlineLevel="0" collapsed="false">
      <c r="A4845" s="0" t="n">
        <v>2</v>
      </c>
      <c r="B4845" s="71" t="n">
        <v>46230</v>
      </c>
      <c r="C4845" s="0" t="n">
        <v>22</v>
      </c>
      <c r="D4845" s="0" t="s">
        <v>2479</v>
      </c>
      <c r="E4845" s="0" t="n">
        <v>48</v>
      </c>
      <c r="F4845" s="0" t="s">
        <v>153</v>
      </c>
      <c r="I4845" s="0" t="n">
        <v>2565</v>
      </c>
      <c r="J4845" s="0" t="n">
        <v>100520</v>
      </c>
      <c r="K4845" s="0" t="n">
        <v>507</v>
      </c>
      <c r="L4845" s="0" t="s">
        <v>2497</v>
      </c>
      <c r="N4845" s="0" t="n">
        <v>1.654</v>
      </c>
      <c r="O4845" s="0" t="n">
        <v>4.05</v>
      </c>
      <c r="P4845" s="0" t="s">
        <v>2444</v>
      </c>
    </row>
    <row r="4846" customFormat="false" ht="15" hidden="false" customHeight="true" outlineLevel="0" collapsed="false">
      <c r="A4846" s="0" t="n">
        <v>2</v>
      </c>
      <c r="B4846" s="71" t="n">
        <v>46230</v>
      </c>
      <c r="C4846" s="0" t="n">
        <v>22</v>
      </c>
      <c r="D4846" s="0" t="s">
        <v>2479</v>
      </c>
      <c r="E4846" s="0" t="n">
        <v>48</v>
      </c>
      <c r="F4846" s="0" t="s">
        <v>153</v>
      </c>
      <c r="I4846" s="0" t="n">
        <v>2565</v>
      </c>
      <c r="J4846" s="0" t="n">
        <v>110455</v>
      </c>
      <c r="K4846" s="0" t="n">
        <v>53212</v>
      </c>
      <c r="L4846" s="0" t="s">
        <v>2498</v>
      </c>
      <c r="N4846" s="0" t="n">
        <v>0.511</v>
      </c>
      <c r="O4846" s="0" t="n">
        <v>0</v>
      </c>
      <c r="P4846" s="0" t="s">
        <v>2444</v>
      </c>
    </row>
    <row r="4847" customFormat="false" ht="15" hidden="false" customHeight="true" outlineLevel="0" collapsed="false">
      <c r="A4847" s="0" t="n">
        <v>2</v>
      </c>
      <c r="B4847" s="71" t="n">
        <v>46230</v>
      </c>
      <c r="C4847" s="0" t="n">
        <v>22</v>
      </c>
      <c r="D4847" s="0" t="s">
        <v>2479</v>
      </c>
      <c r="E4847" s="0" t="n">
        <v>48</v>
      </c>
      <c r="F4847" s="0" t="s">
        <v>153</v>
      </c>
      <c r="I4847" s="0" t="n">
        <v>2565</v>
      </c>
      <c r="J4847" s="0" t="n">
        <v>110455</v>
      </c>
      <c r="K4847" s="0" t="n">
        <v>53212</v>
      </c>
      <c r="L4847" s="0" t="s">
        <v>2498</v>
      </c>
      <c r="N4847" s="0" t="n">
        <v>0.211</v>
      </c>
      <c r="O4847" s="0" t="n">
        <v>0</v>
      </c>
      <c r="P4847" s="0" t="s">
        <v>2444</v>
      </c>
    </row>
    <row r="4848" customFormat="false" ht="15" hidden="false" customHeight="true" outlineLevel="0" collapsed="false">
      <c r="A4848" s="0" t="n">
        <v>2</v>
      </c>
      <c r="B4848" s="71" t="n">
        <v>46230</v>
      </c>
      <c r="C4848" s="0" t="n">
        <v>100</v>
      </c>
      <c r="D4848" s="0" t="s">
        <v>2499</v>
      </c>
      <c r="E4848" s="0" t="n">
        <v>48</v>
      </c>
      <c r="F4848" s="0" t="s">
        <v>153</v>
      </c>
      <c r="I4848" s="0" t="n">
        <v>1459653</v>
      </c>
      <c r="J4848" s="0" t="n">
        <v>100000</v>
      </c>
      <c r="K4848" s="0" t="n">
        <v>1</v>
      </c>
      <c r="L4848" s="0" t="s">
        <v>2480</v>
      </c>
      <c r="N4848" s="0" t="n">
        <v>2.396</v>
      </c>
      <c r="O4848" s="0" t="n">
        <v>47.11</v>
      </c>
      <c r="P4848" s="0" t="s">
        <v>2444</v>
      </c>
    </row>
    <row r="4849" customFormat="false" ht="15" hidden="false" customHeight="true" outlineLevel="0" collapsed="false">
      <c r="A4849" s="0" t="n">
        <v>2</v>
      </c>
      <c r="B4849" s="71" t="n">
        <v>46230</v>
      </c>
      <c r="C4849" s="0" t="n">
        <v>100</v>
      </c>
      <c r="D4849" s="0" t="s">
        <v>2499</v>
      </c>
      <c r="E4849" s="0" t="n">
        <v>48</v>
      </c>
      <c r="F4849" s="0" t="s">
        <v>153</v>
      </c>
      <c r="I4849" s="0" t="n">
        <v>1459653</v>
      </c>
      <c r="J4849" s="0" t="n">
        <v>100005</v>
      </c>
      <c r="K4849" s="0" t="n">
        <v>6</v>
      </c>
      <c r="L4849" s="0" t="s">
        <v>2582</v>
      </c>
      <c r="N4849" s="0" t="n">
        <v>1.26</v>
      </c>
      <c r="O4849" s="0" t="n">
        <v>30.97</v>
      </c>
      <c r="P4849" s="0" t="s">
        <v>2444</v>
      </c>
    </row>
    <row r="4850" customFormat="false" ht="15" hidden="false" customHeight="true" outlineLevel="0" collapsed="false">
      <c r="A4850" s="0" t="n">
        <v>2</v>
      </c>
      <c r="B4850" s="71" t="n">
        <v>46230</v>
      </c>
      <c r="C4850" s="0" t="n">
        <v>100</v>
      </c>
      <c r="D4850" s="0" t="s">
        <v>2499</v>
      </c>
      <c r="E4850" s="0" t="n">
        <v>48</v>
      </c>
      <c r="F4850" s="0" t="s">
        <v>153</v>
      </c>
      <c r="I4850" s="0" t="n">
        <v>1459653</v>
      </c>
      <c r="J4850" s="0" t="n">
        <v>100006</v>
      </c>
      <c r="K4850" s="0" t="n">
        <v>7</v>
      </c>
      <c r="L4850" s="0" t="s">
        <v>2485</v>
      </c>
      <c r="N4850" s="0" t="n">
        <v>2.278</v>
      </c>
      <c r="O4850" s="0" t="n">
        <v>63.46</v>
      </c>
      <c r="P4850" s="0" t="s">
        <v>2444</v>
      </c>
    </row>
    <row r="4851" customFormat="false" ht="15" hidden="false" customHeight="true" outlineLevel="0" collapsed="false">
      <c r="A4851" s="0" t="n">
        <v>2</v>
      </c>
      <c r="B4851" s="71" t="n">
        <v>46230</v>
      </c>
      <c r="C4851" s="0" t="n">
        <v>100</v>
      </c>
      <c r="D4851" s="0" t="s">
        <v>2499</v>
      </c>
      <c r="E4851" s="0" t="n">
        <v>48</v>
      </c>
      <c r="F4851" s="0" t="s">
        <v>153</v>
      </c>
      <c r="I4851" s="0" t="n">
        <v>1459653</v>
      </c>
      <c r="J4851" s="0" t="n">
        <v>100007</v>
      </c>
      <c r="K4851" s="0" t="n">
        <v>8</v>
      </c>
      <c r="L4851" s="0" t="s">
        <v>2486</v>
      </c>
      <c r="N4851" s="0" t="n">
        <v>0.836</v>
      </c>
      <c r="O4851" s="0" t="n">
        <v>20.55</v>
      </c>
      <c r="P4851" s="0" t="s">
        <v>2444</v>
      </c>
    </row>
    <row r="4852" customFormat="false" ht="15" hidden="false" customHeight="true" outlineLevel="0" collapsed="false">
      <c r="A4852" s="0" t="n">
        <v>2</v>
      </c>
      <c r="B4852" s="71" t="n">
        <v>46230</v>
      </c>
      <c r="C4852" s="0" t="n">
        <v>100</v>
      </c>
      <c r="D4852" s="0" t="s">
        <v>2499</v>
      </c>
      <c r="E4852" s="0" t="n">
        <v>48</v>
      </c>
      <c r="F4852" s="0" t="s">
        <v>153</v>
      </c>
      <c r="I4852" s="0" t="n">
        <v>1459653</v>
      </c>
      <c r="J4852" s="0" t="n">
        <v>100008</v>
      </c>
      <c r="K4852" s="0" t="n">
        <v>9</v>
      </c>
      <c r="L4852" s="0" t="s">
        <v>2487</v>
      </c>
      <c r="N4852" s="0" t="n">
        <v>17</v>
      </c>
      <c r="O4852" s="0" t="n">
        <v>543.21</v>
      </c>
      <c r="P4852" s="0" t="s">
        <v>2444</v>
      </c>
    </row>
    <row r="4853" customFormat="false" ht="15" hidden="false" customHeight="true" outlineLevel="0" collapsed="false">
      <c r="A4853" s="0" t="n">
        <v>2</v>
      </c>
      <c r="B4853" s="71" t="n">
        <v>46230</v>
      </c>
      <c r="C4853" s="0" t="n">
        <v>100</v>
      </c>
      <c r="D4853" s="0" t="s">
        <v>2499</v>
      </c>
      <c r="E4853" s="0" t="n">
        <v>48</v>
      </c>
      <c r="F4853" s="0" t="s">
        <v>153</v>
      </c>
      <c r="I4853" s="0" t="n">
        <v>1459653</v>
      </c>
      <c r="J4853" s="0" t="n">
        <v>100011</v>
      </c>
      <c r="K4853" s="0" t="n">
        <v>12</v>
      </c>
      <c r="L4853" s="0" t="s">
        <v>2488</v>
      </c>
      <c r="N4853" s="0" t="n">
        <v>9.555</v>
      </c>
      <c r="O4853" s="0" t="n">
        <v>344.47</v>
      </c>
      <c r="P4853" s="0" t="s">
        <v>2444</v>
      </c>
    </row>
    <row r="4854" customFormat="false" ht="15" hidden="false" customHeight="true" outlineLevel="0" collapsed="false">
      <c r="A4854" s="0" t="n">
        <v>2</v>
      </c>
      <c r="B4854" s="71" t="n">
        <v>46230</v>
      </c>
      <c r="C4854" s="0" t="n">
        <v>100</v>
      </c>
      <c r="D4854" s="0" t="s">
        <v>2499</v>
      </c>
      <c r="E4854" s="0" t="n">
        <v>48</v>
      </c>
      <c r="F4854" s="0" t="s">
        <v>153</v>
      </c>
      <c r="I4854" s="0" t="n">
        <v>1459653</v>
      </c>
      <c r="J4854" s="0" t="n">
        <v>100012</v>
      </c>
      <c r="K4854" s="0" t="n">
        <v>13</v>
      </c>
      <c r="L4854" s="0" t="s">
        <v>2489</v>
      </c>
      <c r="N4854" s="0" t="n">
        <v>5.19</v>
      </c>
      <c r="O4854" s="0" t="n">
        <v>212.62</v>
      </c>
      <c r="P4854" s="0" t="s">
        <v>2444</v>
      </c>
    </row>
    <row r="4855" customFormat="false" ht="15" hidden="false" customHeight="true" outlineLevel="0" collapsed="false">
      <c r="A4855" s="0" t="n">
        <v>2</v>
      </c>
      <c r="B4855" s="71" t="n">
        <v>46230</v>
      </c>
      <c r="C4855" s="0" t="n">
        <v>100</v>
      </c>
      <c r="D4855" s="0" t="s">
        <v>2499</v>
      </c>
      <c r="E4855" s="0" t="n">
        <v>48</v>
      </c>
      <c r="F4855" s="0" t="s">
        <v>153</v>
      </c>
      <c r="I4855" s="0" t="n">
        <v>1459653</v>
      </c>
      <c r="J4855" s="0" t="n">
        <v>100013</v>
      </c>
      <c r="K4855" s="0" t="n">
        <v>14</v>
      </c>
      <c r="L4855" s="0" t="s">
        <v>2490</v>
      </c>
      <c r="N4855" s="0" t="n">
        <v>10.01</v>
      </c>
      <c r="O4855" s="0" t="n">
        <v>434.7</v>
      </c>
      <c r="P4855" s="0" t="s">
        <v>2444</v>
      </c>
    </row>
    <row r="4856" customFormat="false" ht="15" hidden="false" customHeight="true" outlineLevel="0" collapsed="false">
      <c r="A4856" s="0" t="n">
        <v>2</v>
      </c>
      <c r="B4856" s="71" t="n">
        <v>46230</v>
      </c>
      <c r="C4856" s="0" t="n">
        <v>100</v>
      </c>
      <c r="D4856" s="0" t="s">
        <v>2499</v>
      </c>
      <c r="E4856" s="0" t="n">
        <v>48</v>
      </c>
      <c r="F4856" s="0" t="s">
        <v>153</v>
      </c>
      <c r="I4856" s="0" t="n">
        <v>1459653</v>
      </c>
      <c r="J4856" s="0" t="n">
        <v>100014</v>
      </c>
      <c r="K4856" s="0" t="n">
        <v>15</v>
      </c>
      <c r="L4856" s="0" t="s">
        <v>2491</v>
      </c>
      <c r="N4856" s="0" t="n">
        <v>3.68</v>
      </c>
      <c r="O4856" s="0" t="n">
        <v>162.83</v>
      </c>
      <c r="P4856" s="0" t="s">
        <v>2444</v>
      </c>
    </row>
    <row r="4857" customFormat="false" ht="15" hidden="false" customHeight="true" outlineLevel="0" collapsed="false">
      <c r="A4857" s="0" t="n">
        <v>2</v>
      </c>
      <c r="B4857" s="71" t="n">
        <v>46230</v>
      </c>
      <c r="C4857" s="0" t="n">
        <v>100</v>
      </c>
      <c r="D4857" s="0" t="s">
        <v>2499</v>
      </c>
      <c r="E4857" s="0" t="n">
        <v>48</v>
      </c>
      <c r="F4857" s="0" t="s">
        <v>153</v>
      </c>
      <c r="I4857" s="0" t="n">
        <v>1459653</v>
      </c>
      <c r="J4857" s="0" t="n">
        <v>100015</v>
      </c>
      <c r="K4857" s="0" t="n">
        <v>16</v>
      </c>
      <c r="L4857" s="0" t="s">
        <v>2492</v>
      </c>
      <c r="N4857" s="0" t="n">
        <v>1.56</v>
      </c>
      <c r="O4857" s="0" t="n">
        <v>61.35</v>
      </c>
      <c r="P4857" s="0" t="s">
        <v>2444</v>
      </c>
    </row>
    <row r="4858" customFormat="false" ht="15" hidden="false" customHeight="true" outlineLevel="0" collapsed="false">
      <c r="A4858" s="0" t="n">
        <v>2</v>
      </c>
      <c r="B4858" s="71" t="n">
        <v>46230</v>
      </c>
      <c r="C4858" s="0" t="n">
        <v>100</v>
      </c>
      <c r="D4858" s="0" t="s">
        <v>2499</v>
      </c>
      <c r="E4858" s="0" t="n">
        <v>48</v>
      </c>
      <c r="F4858" s="0" t="s">
        <v>153</v>
      </c>
      <c r="I4858" s="0" t="n">
        <v>1459653</v>
      </c>
      <c r="J4858" s="0" t="n">
        <v>100016</v>
      </c>
      <c r="K4858" s="0" t="n">
        <v>17</v>
      </c>
      <c r="L4858" s="0" t="s">
        <v>2493</v>
      </c>
      <c r="N4858" s="0" t="n">
        <v>2.472</v>
      </c>
      <c r="O4858" s="0" t="n">
        <v>141.79</v>
      </c>
      <c r="P4858" s="0" t="s">
        <v>2444</v>
      </c>
    </row>
    <row r="4859" customFormat="false" ht="15" hidden="false" customHeight="true" outlineLevel="0" collapsed="false">
      <c r="A4859" s="0" t="n">
        <v>2</v>
      </c>
      <c r="B4859" s="71" t="n">
        <v>46230</v>
      </c>
      <c r="C4859" s="0" t="n">
        <v>100</v>
      </c>
      <c r="D4859" s="0" t="s">
        <v>2499</v>
      </c>
      <c r="E4859" s="0" t="n">
        <v>48</v>
      </c>
      <c r="F4859" s="0" t="s">
        <v>153</v>
      </c>
      <c r="I4859" s="0" t="n">
        <v>1459653</v>
      </c>
      <c r="J4859" s="0" t="n">
        <v>100017</v>
      </c>
      <c r="K4859" s="0" t="n">
        <v>18</v>
      </c>
      <c r="L4859" s="0" t="s">
        <v>2494</v>
      </c>
      <c r="N4859" s="0" t="n">
        <v>1.508</v>
      </c>
      <c r="O4859" s="0" t="n">
        <v>86.5</v>
      </c>
      <c r="P4859" s="0" t="s">
        <v>2444</v>
      </c>
    </row>
    <row r="4860" customFormat="false" ht="15" hidden="false" customHeight="true" outlineLevel="0" collapsed="false">
      <c r="A4860" s="0" t="n">
        <v>2</v>
      </c>
      <c r="B4860" s="71" t="n">
        <v>46230</v>
      </c>
      <c r="C4860" s="0" t="n">
        <v>100</v>
      </c>
      <c r="D4860" s="0" t="s">
        <v>2499</v>
      </c>
      <c r="E4860" s="0" t="n">
        <v>48</v>
      </c>
      <c r="F4860" s="0" t="s">
        <v>153</v>
      </c>
      <c r="I4860" s="0" t="n">
        <v>1459653</v>
      </c>
      <c r="J4860" s="0" t="n">
        <v>100053</v>
      </c>
      <c r="K4860" s="0" t="n">
        <v>54</v>
      </c>
      <c r="L4860" s="0" t="s">
        <v>2495</v>
      </c>
      <c r="N4860" s="0" t="n">
        <v>1.638</v>
      </c>
      <c r="O4860" s="0" t="n">
        <v>59.05</v>
      </c>
      <c r="P4860" s="0" t="s">
        <v>2444</v>
      </c>
    </row>
    <row r="4861" customFormat="false" ht="15" hidden="false" customHeight="true" outlineLevel="0" collapsed="false">
      <c r="A4861" s="0" t="n">
        <v>2</v>
      </c>
      <c r="B4861" s="71" t="n">
        <v>46230</v>
      </c>
      <c r="C4861" s="0" t="n">
        <v>100</v>
      </c>
      <c r="D4861" s="0" t="s">
        <v>2499</v>
      </c>
      <c r="E4861" s="0" t="n">
        <v>48</v>
      </c>
      <c r="F4861" s="0" t="s">
        <v>153</v>
      </c>
      <c r="I4861" s="0" t="n">
        <v>1459653</v>
      </c>
      <c r="J4861" s="0" t="n">
        <v>100638</v>
      </c>
      <c r="K4861" s="0" t="n">
        <v>508</v>
      </c>
      <c r="L4861" s="0" t="s">
        <v>2496</v>
      </c>
      <c r="N4861" s="0" t="n">
        <v>1.546</v>
      </c>
      <c r="O4861" s="0" t="n">
        <v>3.79</v>
      </c>
      <c r="P4861" s="0" t="s">
        <v>2444</v>
      </c>
    </row>
    <row r="4862" customFormat="false" ht="15" hidden="false" customHeight="true" outlineLevel="0" collapsed="false">
      <c r="A4862" s="0" t="n">
        <v>2</v>
      </c>
      <c r="B4862" s="71" t="n">
        <v>46230</v>
      </c>
      <c r="C4862" s="0" t="n">
        <v>100</v>
      </c>
      <c r="D4862" s="0" t="s">
        <v>2499</v>
      </c>
      <c r="E4862" s="0" t="n">
        <v>48</v>
      </c>
      <c r="F4862" s="0" t="s">
        <v>153</v>
      </c>
      <c r="I4862" s="0" t="n">
        <v>1459653</v>
      </c>
      <c r="J4862" s="0" t="n">
        <v>100520</v>
      </c>
      <c r="K4862" s="0" t="n">
        <v>507</v>
      </c>
      <c r="L4862" s="0" t="s">
        <v>2497</v>
      </c>
      <c r="N4862" s="0" t="n">
        <v>8.66</v>
      </c>
      <c r="O4862" s="0" t="n">
        <v>21.22</v>
      </c>
      <c r="P4862" s="0" t="s">
        <v>2444</v>
      </c>
    </row>
    <row r="4863" customFormat="false" ht="15" hidden="false" customHeight="true" outlineLevel="0" collapsed="false">
      <c r="A4863" s="0" t="n">
        <v>2</v>
      </c>
      <c r="B4863" s="71" t="n">
        <v>46230</v>
      </c>
      <c r="C4863" s="0" t="n">
        <v>100</v>
      </c>
      <c r="D4863" s="0" t="s">
        <v>2499</v>
      </c>
      <c r="E4863" s="0" t="n">
        <v>48</v>
      </c>
      <c r="F4863" s="0" t="s">
        <v>153</v>
      </c>
      <c r="I4863" s="0" t="n">
        <v>1459653</v>
      </c>
      <c r="J4863" s="0" t="n">
        <v>110455</v>
      </c>
      <c r="K4863" s="0" t="n">
        <v>53212</v>
      </c>
      <c r="L4863" s="0" t="s">
        <v>2498</v>
      </c>
      <c r="N4863" s="0" t="n">
        <v>0.211</v>
      </c>
      <c r="O4863" s="0" t="n">
        <v>0</v>
      </c>
      <c r="P4863" s="0" t="s">
        <v>2444</v>
      </c>
    </row>
    <row r="4864" customFormat="false" ht="15" hidden="false" customHeight="true" outlineLevel="0" collapsed="false">
      <c r="A4864" s="0" t="n">
        <v>2</v>
      </c>
      <c r="B4864" s="71" t="n">
        <v>46230</v>
      </c>
      <c r="C4864" s="0" t="n">
        <v>100</v>
      </c>
      <c r="D4864" s="0" t="s">
        <v>2499</v>
      </c>
      <c r="E4864" s="0" t="n">
        <v>48</v>
      </c>
      <c r="F4864" s="0" t="s">
        <v>153</v>
      </c>
      <c r="I4864" s="0" t="n">
        <v>1459663</v>
      </c>
      <c r="J4864" s="0" t="n">
        <v>100000</v>
      </c>
      <c r="K4864" s="0" t="n">
        <v>1</v>
      </c>
      <c r="L4864" s="0" t="s">
        <v>2480</v>
      </c>
      <c r="N4864" s="0" t="n">
        <v>2.378</v>
      </c>
      <c r="O4864" s="0" t="n">
        <v>46.73</v>
      </c>
      <c r="P4864" s="0" t="s">
        <v>2444</v>
      </c>
    </row>
    <row r="4865" customFormat="false" ht="15" hidden="false" customHeight="true" outlineLevel="0" collapsed="false">
      <c r="A4865" s="0" t="n">
        <v>2</v>
      </c>
      <c r="B4865" s="71" t="n">
        <v>46230</v>
      </c>
      <c r="C4865" s="0" t="n">
        <v>100</v>
      </c>
      <c r="D4865" s="0" t="s">
        <v>2499</v>
      </c>
      <c r="E4865" s="0" t="n">
        <v>48</v>
      </c>
      <c r="F4865" s="0" t="s">
        <v>153</v>
      </c>
      <c r="I4865" s="0" t="n">
        <v>1459663</v>
      </c>
      <c r="J4865" s="0" t="n">
        <v>100001</v>
      </c>
      <c r="K4865" s="0" t="n">
        <v>2</v>
      </c>
      <c r="L4865" s="0" t="s">
        <v>2481</v>
      </c>
      <c r="N4865" s="0" t="n">
        <v>12.575</v>
      </c>
      <c r="O4865" s="0" t="n">
        <v>267.69</v>
      </c>
      <c r="P4865" s="0" t="s">
        <v>2444</v>
      </c>
    </row>
    <row r="4866" customFormat="false" ht="15" hidden="false" customHeight="true" outlineLevel="0" collapsed="false">
      <c r="A4866" s="0" t="n">
        <v>2</v>
      </c>
      <c r="B4866" s="71" t="n">
        <v>46230</v>
      </c>
      <c r="C4866" s="0" t="n">
        <v>100</v>
      </c>
      <c r="D4866" s="0" t="s">
        <v>2499</v>
      </c>
      <c r="E4866" s="0" t="n">
        <v>48</v>
      </c>
      <c r="F4866" s="0" t="s">
        <v>153</v>
      </c>
      <c r="I4866" s="0" t="n">
        <v>1459663</v>
      </c>
      <c r="J4866" s="0" t="n">
        <v>100002</v>
      </c>
      <c r="K4866" s="0" t="n">
        <v>3</v>
      </c>
      <c r="L4866" s="0" t="s">
        <v>2482</v>
      </c>
      <c r="N4866" s="0" t="n">
        <v>19.15</v>
      </c>
      <c r="O4866" s="0" t="n">
        <v>470.4</v>
      </c>
      <c r="P4866" s="0" t="s">
        <v>2444</v>
      </c>
    </row>
    <row r="4867" customFormat="false" ht="15" hidden="false" customHeight="true" outlineLevel="0" collapsed="false">
      <c r="A4867" s="0" t="n">
        <v>2</v>
      </c>
      <c r="B4867" s="71" t="n">
        <v>46230</v>
      </c>
      <c r="C4867" s="0" t="n">
        <v>100</v>
      </c>
      <c r="D4867" s="0" t="s">
        <v>2499</v>
      </c>
      <c r="E4867" s="0" t="n">
        <v>48</v>
      </c>
      <c r="F4867" s="0" t="s">
        <v>153</v>
      </c>
      <c r="I4867" s="0" t="n">
        <v>1459663</v>
      </c>
      <c r="J4867" s="0" t="n">
        <v>100003</v>
      </c>
      <c r="K4867" s="0" t="n">
        <v>4</v>
      </c>
      <c r="L4867" s="0" t="s">
        <v>2483</v>
      </c>
      <c r="N4867" s="0" t="n">
        <v>17.74</v>
      </c>
      <c r="O4867" s="0" t="n">
        <v>464.82</v>
      </c>
      <c r="P4867" s="0" t="s">
        <v>2444</v>
      </c>
    </row>
    <row r="4868" customFormat="false" ht="15" hidden="false" customHeight="true" outlineLevel="0" collapsed="false">
      <c r="A4868" s="0" t="n">
        <v>2</v>
      </c>
      <c r="B4868" s="71" t="n">
        <v>46230</v>
      </c>
      <c r="C4868" s="0" t="n">
        <v>100</v>
      </c>
      <c r="D4868" s="0" t="s">
        <v>2499</v>
      </c>
      <c r="E4868" s="0" t="n">
        <v>48</v>
      </c>
      <c r="F4868" s="0" t="s">
        <v>153</v>
      </c>
      <c r="I4868" s="0" t="n">
        <v>1459663</v>
      </c>
      <c r="J4868" s="0" t="n">
        <v>100004</v>
      </c>
      <c r="K4868" s="0" t="n">
        <v>5</v>
      </c>
      <c r="L4868" s="0" t="s">
        <v>2484</v>
      </c>
      <c r="N4868" s="0" t="n">
        <v>1.486</v>
      </c>
      <c r="O4868" s="0" t="n">
        <v>34.07</v>
      </c>
      <c r="P4868" s="0" t="s">
        <v>2444</v>
      </c>
    </row>
    <row r="4869" customFormat="false" ht="15" hidden="false" customHeight="true" outlineLevel="0" collapsed="false">
      <c r="A4869" s="0" t="n">
        <v>2</v>
      </c>
      <c r="B4869" s="71" t="n">
        <v>46230</v>
      </c>
      <c r="C4869" s="0" t="n">
        <v>100</v>
      </c>
      <c r="D4869" s="0" t="s">
        <v>2499</v>
      </c>
      <c r="E4869" s="0" t="n">
        <v>48</v>
      </c>
      <c r="F4869" s="0" t="s">
        <v>153</v>
      </c>
      <c r="I4869" s="0" t="n">
        <v>1459663</v>
      </c>
      <c r="J4869" s="0" t="n">
        <v>100005</v>
      </c>
      <c r="K4869" s="0" t="n">
        <v>6</v>
      </c>
      <c r="L4869" s="0" t="s">
        <v>2582</v>
      </c>
      <c r="N4869" s="0" t="n">
        <v>2.924</v>
      </c>
      <c r="O4869" s="0" t="n">
        <v>71.82</v>
      </c>
      <c r="P4869" s="0" t="s">
        <v>2444</v>
      </c>
    </row>
    <row r="4870" customFormat="false" ht="15" hidden="false" customHeight="true" outlineLevel="0" collapsed="false">
      <c r="A4870" s="0" t="n">
        <v>2</v>
      </c>
      <c r="B4870" s="71" t="n">
        <v>46230</v>
      </c>
      <c r="C4870" s="0" t="n">
        <v>100</v>
      </c>
      <c r="D4870" s="0" t="s">
        <v>2499</v>
      </c>
      <c r="E4870" s="0" t="n">
        <v>48</v>
      </c>
      <c r="F4870" s="0" t="s">
        <v>153</v>
      </c>
      <c r="I4870" s="0" t="n">
        <v>1459663</v>
      </c>
      <c r="J4870" s="0" t="n">
        <v>100007</v>
      </c>
      <c r="K4870" s="0" t="n">
        <v>8</v>
      </c>
      <c r="L4870" s="0" t="s">
        <v>2486</v>
      </c>
      <c r="N4870" s="0" t="n">
        <v>1.752</v>
      </c>
      <c r="O4870" s="0" t="n">
        <v>43.04</v>
      </c>
      <c r="P4870" s="0" t="s">
        <v>2444</v>
      </c>
    </row>
    <row r="4871" customFormat="false" ht="15" hidden="false" customHeight="true" outlineLevel="0" collapsed="false">
      <c r="A4871" s="0" t="n">
        <v>2</v>
      </c>
      <c r="B4871" s="71" t="n">
        <v>46230</v>
      </c>
      <c r="C4871" s="0" t="n">
        <v>100</v>
      </c>
      <c r="D4871" s="0" t="s">
        <v>2499</v>
      </c>
      <c r="E4871" s="0" t="n">
        <v>48</v>
      </c>
      <c r="F4871" s="0" t="s">
        <v>153</v>
      </c>
      <c r="I4871" s="0" t="n">
        <v>1459663</v>
      </c>
      <c r="J4871" s="0" t="n">
        <v>100040</v>
      </c>
      <c r="K4871" s="0" t="n">
        <v>41</v>
      </c>
      <c r="L4871" s="0" t="s">
        <v>2583</v>
      </c>
      <c r="N4871" s="0" t="n">
        <v>1.348</v>
      </c>
      <c r="O4871" s="0" t="n">
        <v>35.32</v>
      </c>
      <c r="P4871" s="0" t="s">
        <v>2444</v>
      </c>
    </row>
    <row r="4872" customFormat="false" ht="15" hidden="false" customHeight="true" outlineLevel="0" collapsed="false">
      <c r="A4872" s="0" t="n">
        <v>2</v>
      </c>
      <c r="B4872" s="71" t="n">
        <v>46230</v>
      </c>
      <c r="C4872" s="0" t="n">
        <v>100</v>
      </c>
      <c r="D4872" s="0" t="s">
        <v>2499</v>
      </c>
      <c r="E4872" s="0" t="n">
        <v>48</v>
      </c>
      <c r="F4872" s="0" t="s">
        <v>153</v>
      </c>
      <c r="I4872" s="0" t="n">
        <v>1459663</v>
      </c>
      <c r="J4872" s="0" t="n">
        <v>100638</v>
      </c>
      <c r="K4872" s="0" t="n">
        <v>508</v>
      </c>
      <c r="L4872" s="0" t="s">
        <v>2496</v>
      </c>
      <c r="N4872" s="0" t="n">
        <v>2.682</v>
      </c>
      <c r="O4872" s="0" t="n">
        <v>6.57</v>
      </c>
      <c r="P4872" s="0" t="s">
        <v>2444</v>
      </c>
    </row>
    <row r="4873" customFormat="false" ht="15" hidden="false" customHeight="true" outlineLevel="0" collapsed="false">
      <c r="A4873" s="0" t="n">
        <v>2</v>
      </c>
      <c r="B4873" s="71" t="n">
        <v>46230</v>
      </c>
      <c r="C4873" s="0" t="n">
        <v>100</v>
      </c>
      <c r="D4873" s="0" t="s">
        <v>2499</v>
      </c>
      <c r="E4873" s="0" t="n">
        <v>48</v>
      </c>
      <c r="F4873" s="0" t="s">
        <v>153</v>
      </c>
      <c r="I4873" s="0" t="n">
        <v>1459663</v>
      </c>
      <c r="J4873" s="0" t="n">
        <v>100520</v>
      </c>
      <c r="K4873" s="0" t="n">
        <v>507</v>
      </c>
      <c r="L4873" s="0" t="s">
        <v>2497</v>
      </c>
      <c r="N4873" s="0" t="n">
        <v>1.654</v>
      </c>
      <c r="O4873" s="0" t="n">
        <v>4.05</v>
      </c>
      <c r="P4873" s="0" t="s">
        <v>2444</v>
      </c>
    </row>
    <row r="4874" customFormat="false" ht="15" hidden="false" customHeight="true" outlineLevel="0" collapsed="false">
      <c r="A4874" s="0" t="n">
        <v>2</v>
      </c>
      <c r="B4874" s="71" t="n">
        <v>46230</v>
      </c>
      <c r="C4874" s="0" t="n">
        <v>100</v>
      </c>
      <c r="D4874" s="0" t="s">
        <v>2499</v>
      </c>
      <c r="E4874" s="0" t="n">
        <v>48</v>
      </c>
      <c r="F4874" s="0" t="s">
        <v>153</v>
      </c>
      <c r="I4874" s="0" t="n">
        <v>1459663</v>
      </c>
      <c r="J4874" s="0" t="n">
        <v>110455</v>
      </c>
      <c r="K4874" s="0" t="n">
        <v>53212</v>
      </c>
      <c r="L4874" s="0" t="s">
        <v>2498</v>
      </c>
      <c r="N4874" s="0" t="n">
        <v>0.511</v>
      </c>
      <c r="O4874" s="0" t="n">
        <v>0</v>
      </c>
      <c r="P4874" s="0" t="s">
        <v>2444</v>
      </c>
    </row>
    <row r="4875" customFormat="false" ht="15" hidden="false" customHeight="true" outlineLevel="0" collapsed="false">
      <c r="A4875" s="0" t="n">
        <v>2</v>
      </c>
      <c r="B4875" s="71" t="n">
        <v>46230</v>
      </c>
      <c r="C4875" s="0" t="n">
        <v>100</v>
      </c>
      <c r="D4875" s="0" t="s">
        <v>2499</v>
      </c>
      <c r="E4875" s="0" t="n">
        <v>48</v>
      </c>
      <c r="F4875" s="0" t="s">
        <v>153</v>
      </c>
      <c r="I4875" s="0" t="n">
        <v>1459665</v>
      </c>
      <c r="J4875" s="0" t="n">
        <v>100008</v>
      </c>
      <c r="K4875" s="0" t="n">
        <v>9</v>
      </c>
      <c r="L4875" s="0" t="s">
        <v>2487</v>
      </c>
      <c r="N4875" s="0" t="n">
        <v>16.35</v>
      </c>
      <c r="O4875" s="0" t="n">
        <v>466.76</v>
      </c>
      <c r="P4875" s="0" t="s">
        <v>2444</v>
      </c>
    </row>
    <row r="4876" customFormat="false" ht="15" hidden="false" customHeight="true" outlineLevel="0" collapsed="false">
      <c r="A4876" s="0" t="n">
        <v>2</v>
      </c>
      <c r="B4876" s="71" t="n">
        <v>46230</v>
      </c>
      <c r="C4876" s="0" t="n">
        <v>100</v>
      </c>
      <c r="D4876" s="0" t="s">
        <v>2499</v>
      </c>
      <c r="E4876" s="0" t="n">
        <v>48</v>
      </c>
      <c r="F4876" s="0" t="s">
        <v>153</v>
      </c>
      <c r="I4876" s="0" t="n">
        <v>1459665</v>
      </c>
      <c r="J4876" s="0" t="n">
        <v>100016</v>
      </c>
      <c r="K4876" s="0" t="n">
        <v>17</v>
      </c>
      <c r="L4876" s="0" t="s">
        <v>2493</v>
      </c>
      <c r="N4876" s="0" t="n">
        <v>2.918</v>
      </c>
      <c r="O4876" s="0" t="n">
        <v>149.54</v>
      </c>
      <c r="P4876" s="0" t="s">
        <v>2444</v>
      </c>
    </row>
    <row r="4877" customFormat="false" ht="15" hidden="false" customHeight="true" outlineLevel="0" collapsed="false">
      <c r="A4877" s="0" t="n">
        <v>2</v>
      </c>
      <c r="B4877" s="71" t="n">
        <v>46230</v>
      </c>
      <c r="C4877" s="0" t="n">
        <v>100</v>
      </c>
      <c r="D4877" s="0" t="s">
        <v>2499</v>
      </c>
      <c r="E4877" s="0" t="n">
        <v>48</v>
      </c>
      <c r="F4877" s="0" t="s">
        <v>153</v>
      </c>
      <c r="I4877" s="0" t="n">
        <v>1459665</v>
      </c>
      <c r="J4877" s="0" t="n">
        <v>100053</v>
      </c>
      <c r="K4877" s="0" t="n">
        <v>54</v>
      </c>
      <c r="L4877" s="0" t="s">
        <v>2495</v>
      </c>
      <c r="N4877" s="0" t="n">
        <v>1.332</v>
      </c>
      <c r="O4877" s="0" t="n">
        <v>42.9</v>
      </c>
      <c r="P4877" s="0" t="s">
        <v>2444</v>
      </c>
    </row>
    <row r="4878" customFormat="false" ht="15" hidden="false" customHeight="true" outlineLevel="0" collapsed="false">
      <c r="A4878" s="0" t="n">
        <v>2</v>
      </c>
      <c r="B4878" s="71" t="n">
        <v>46230</v>
      </c>
      <c r="C4878" s="0" t="n">
        <v>100</v>
      </c>
      <c r="D4878" s="0" t="s">
        <v>2499</v>
      </c>
      <c r="E4878" s="0" t="n">
        <v>48</v>
      </c>
      <c r="F4878" s="0" t="s">
        <v>153</v>
      </c>
      <c r="I4878" s="0" t="n">
        <v>1459668</v>
      </c>
      <c r="J4878" s="0" t="n">
        <v>100008</v>
      </c>
      <c r="K4878" s="0" t="n">
        <v>9</v>
      </c>
      <c r="L4878" s="0" t="s">
        <v>2487</v>
      </c>
      <c r="N4878" s="0" t="n">
        <v>14.8</v>
      </c>
      <c r="O4878" s="0" t="n">
        <v>415.29</v>
      </c>
      <c r="P4878" s="0" t="s">
        <v>2444</v>
      </c>
    </row>
    <row r="4879" customFormat="false" ht="15" hidden="false" customHeight="true" outlineLevel="0" collapsed="false">
      <c r="A4879" s="0" t="n">
        <v>2</v>
      </c>
      <c r="B4879" s="71" t="n">
        <v>46230</v>
      </c>
      <c r="C4879" s="0" t="n">
        <v>100</v>
      </c>
      <c r="D4879" s="0" t="s">
        <v>2499</v>
      </c>
      <c r="E4879" s="0" t="n">
        <v>48</v>
      </c>
      <c r="F4879" s="0" t="s">
        <v>153</v>
      </c>
      <c r="I4879" s="0" t="n">
        <v>1459668</v>
      </c>
      <c r="J4879" s="0" t="n">
        <v>100016</v>
      </c>
      <c r="K4879" s="0" t="n">
        <v>17</v>
      </c>
      <c r="L4879" s="0" t="s">
        <v>2493</v>
      </c>
      <c r="N4879" s="0" t="n">
        <v>3.2</v>
      </c>
      <c r="O4879" s="0" t="n">
        <v>161.19</v>
      </c>
      <c r="P4879" s="0" t="s">
        <v>2444</v>
      </c>
    </row>
    <row r="4880" customFormat="false" ht="15" hidden="false" customHeight="true" outlineLevel="0" collapsed="false">
      <c r="A4880" s="0" t="n">
        <v>2</v>
      </c>
      <c r="B4880" s="71" t="n">
        <v>46230</v>
      </c>
      <c r="C4880" s="0" t="n">
        <v>100</v>
      </c>
      <c r="D4880" s="0" t="s">
        <v>2499</v>
      </c>
      <c r="E4880" s="0" t="n">
        <v>48</v>
      </c>
      <c r="F4880" s="0" t="s">
        <v>153</v>
      </c>
      <c r="I4880" s="0" t="n">
        <v>1459668</v>
      </c>
      <c r="J4880" s="0" t="n">
        <v>100053</v>
      </c>
      <c r="K4880" s="0" t="n">
        <v>54</v>
      </c>
      <c r="L4880" s="0" t="s">
        <v>2495</v>
      </c>
      <c r="N4880" s="0" t="n">
        <v>1.4</v>
      </c>
      <c r="O4880" s="0" t="n">
        <v>44.32</v>
      </c>
      <c r="P4880" s="0" t="s">
        <v>2444</v>
      </c>
    </row>
    <row r="4881" customFormat="false" ht="15" hidden="false" customHeight="true" outlineLevel="0" collapsed="false">
      <c r="A4881" s="0" t="n">
        <v>2</v>
      </c>
      <c r="B4881" s="71" t="n">
        <v>46231</v>
      </c>
      <c r="C4881" s="0" t="n">
        <v>6</v>
      </c>
      <c r="D4881" s="0" t="s">
        <v>2553</v>
      </c>
      <c r="E4881" s="0" t="n">
        <v>48</v>
      </c>
      <c r="F4881" s="0" t="s">
        <v>153</v>
      </c>
      <c r="I4881" s="0" t="n">
        <v>2568</v>
      </c>
      <c r="J4881" s="0" t="n">
        <v>100062</v>
      </c>
      <c r="K4881" s="0" t="n">
        <v>63</v>
      </c>
      <c r="L4881" s="0" t="s">
        <v>2535</v>
      </c>
      <c r="N4881" s="0" t="n">
        <v>13</v>
      </c>
      <c r="O4881" s="0" t="n">
        <v>93.86</v>
      </c>
      <c r="P4881" s="0" t="s">
        <v>2444</v>
      </c>
    </row>
    <row r="4882" customFormat="false" ht="15" hidden="false" customHeight="true" outlineLevel="0" collapsed="false">
      <c r="A4882" s="0" t="n">
        <v>2</v>
      </c>
      <c r="B4882" s="71" t="n">
        <v>46231</v>
      </c>
      <c r="C4882" s="0" t="n">
        <v>6</v>
      </c>
      <c r="D4882" s="0" t="s">
        <v>2553</v>
      </c>
      <c r="E4882" s="0" t="n">
        <v>48</v>
      </c>
      <c r="F4882" s="0" t="s">
        <v>153</v>
      </c>
      <c r="I4882" s="0" t="n">
        <v>2568</v>
      </c>
      <c r="J4882" s="0" t="n">
        <v>100105</v>
      </c>
      <c r="K4882" s="0" t="n">
        <v>106</v>
      </c>
      <c r="L4882" s="0" t="s">
        <v>2536</v>
      </c>
      <c r="N4882" s="0" t="n">
        <v>24</v>
      </c>
      <c r="O4882" s="0" t="n">
        <v>150</v>
      </c>
      <c r="P4882" s="0" t="s">
        <v>2444</v>
      </c>
    </row>
    <row r="4883" customFormat="false" ht="15" hidden="false" customHeight="true" outlineLevel="0" collapsed="false">
      <c r="A4883" s="0" t="n">
        <v>2</v>
      </c>
      <c r="B4883" s="71" t="n">
        <v>46231</v>
      </c>
      <c r="C4883" s="0" t="n">
        <v>6</v>
      </c>
      <c r="D4883" s="0" t="s">
        <v>2553</v>
      </c>
      <c r="E4883" s="0" t="n">
        <v>48</v>
      </c>
      <c r="F4883" s="0" t="s">
        <v>153</v>
      </c>
      <c r="I4883" s="0" t="n">
        <v>2568</v>
      </c>
      <c r="J4883" s="0" t="n">
        <v>100109</v>
      </c>
      <c r="K4883" s="0" t="n">
        <v>110</v>
      </c>
      <c r="L4883" s="0" t="s">
        <v>2537</v>
      </c>
      <c r="N4883" s="0" t="n">
        <v>20</v>
      </c>
      <c r="O4883" s="0" t="n">
        <v>120</v>
      </c>
      <c r="P4883" s="0" t="s">
        <v>2444</v>
      </c>
    </row>
    <row r="4884" customFormat="false" ht="15" hidden="false" customHeight="true" outlineLevel="0" collapsed="false">
      <c r="A4884" s="0" t="n">
        <v>2</v>
      </c>
      <c r="B4884" s="71" t="n">
        <v>46231</v>
      </c>
      <c r="C4884" s="0" t="n">
        <v>6</v>
      </c>
      <c r="D4884" s="0" t="s">
        <v>2553</v>
      </c>
      <c r="E4884" s="0" t="n">
        <v>48</v>
      </c>
      <c r="F4884" s="0" t="s">
        <v>153</v>
      </c>
      <c r="I4884" s="0" t="n">
        <v>2568</v>
      </c>
      <c r="J4884" s="0" t="n">
        <v>100112</v>
      </c>
      <c r="K4884" s="0" t="n">
        <v>113</v>
      </c>
      <c r="L4884" s="0" t="s">
        <v>2538</v>
      </c>
      <c r="N4884" s="0" t="n">
        <v>30</v>
      </c>
      <c r="O4884" s="0" t="n">
        <v>90</v>
      </c>
      <c r="P4884" s="0" t="s">
        <v>2444</v>
      </c>
    </row>
    <row r="4885" customFormat="false" ht="15" hidden="false" customHeight="true" outlineLevel="0" collapsed="false">
      <c r="A4885" s="0" t="n">
        <v>2</v>
      </c>
      <c r="B4885" s="71" t="n">
        <v>46231</v>
      </c>
      <c r="C4885" s="0" t="n">
        <v>6</v>
      </c>
      <c r="D4885" s="0" t="s">
        <v>2553</v>
      </c>
      <c r="E4885" s="0" t="n">
        <v>48</v>
      </c>
      <c r="F4885" s="0" t="s">
        <v>153</v>
      </c>
      <c r="I4885" s="0" t="n">
        <v>2568</v>
      </c>
      <c r="J4885" s="0" t="n">
        <v>100115</v>
      </c>
      <c r="K4885" s="0" t="n">
        <v>116</v>
      </c>
      <c r="L4885" s="0" t="s">
        <v>2694</v>
      </c>
      <c r="N4885" s="0" t="n">
        <v>12</v>
      </c>
      <c r="O4885" s="0" t="n">
        <v>79.92</v>
      </c>
      <c r="P4885" s="0" t="s">
        <v>2444</v>
      </c>
    </row>
    <row r="4886" customFormat="false" ht="15" hidden="false" customHeight="true" outlineLevel="0" collapsed="false">
      <c r="A4886" s="0" t="n">
        <v>2</v>
      </c>
      <c r="B4886" s="71" t="n">
        <v>46231</v>
      </c>
      <c r="C4886" s="0" t="n">
        <v>6</v>
      </c>
      <c r="D4886" s="0" t="s">
        <v>2553</v>
      </c>
      <c r="E4886" s="0" t="n">
        <v>48</v>
      </c>
      <c r="F4886" s="0" t="s">
        <v>153</v>
      </c>
      <c r="I4886" s="0" t="n">
        <v>2568</v>
      </c>
      <c r="J4886" s="0" t="n">
        <v>100118</v>
      </c>
      <c r="K4886" s="0" t="n">
        <v>119</v>
      </c>
      <c r="L4886" s="0" t="s">
        <v>2541</v>
      </c>
      <c r="N4886" s="0" t="n">
        <v>6</v>
      </c>
      <c r="O4886" s="0" t="n">
        <v>42</v>
      </c>
      <c r="P4886" s="0" t="s">
        <v>2444</v>
      </c>
    </row>
    <row r="4887" customFormat="false" ht="15" hidden="false" customHeight="true" outlineLevel="0" collapsed="false">
      <c r="A4887" s="0" t="n">
        <v>2</v>
      </c>
      <c r="B4887" s="71" t="n">
        <v>46231</v>
      </c>
      <c r="C4887" s="0" t="n">
        <v>6</v>
      </c>
      <c r="D4887" s="0" t="s">
        <v>2553</v>
      </c>
      <c r="E4887" s="0" t="n">
        <v>48</v>
      </c>
      <c r="F4887" s="0" t="s">
        <v>153</v>
      </c>
      <c r="I4887" s="0" t="n">
        <v>2568</v>
      </c>
      <c r="J4887" s="0" t="n">
        <v>100121</v>
      </c>
      <c r="K4887" s="0" t="n">
        <v>122</v>
      </c>
      <c r="L4887" s="0" t="s">
        <v>2542</v>
      </c>
      <c r="N4887" s="0" t="n">
        <v>3</v>
      </c>
      <c r="O4887" s="0" t="n">
        <v>30</v>
      </c>
      <c r="P4887" s="0" t="s">
        <v>2444</v>
      </c>
    </row>
    <row r="4888" customFormat="false" ht="15" hidden="false" customHeight="true" outlineLevel="0" collapsed="false">
      <c r="A4888" s="0" t="n">
        <v>2</v>
      </c>
      <c r="B4888" s="71" t="n">
        <v>46231</v>
      </c>
      <c r="C4888" s="0" t="n">
        <v>6</v>
      </c>
      <c r="D4888" s="0" t="s">
        <v>2553</v>
      </c>
      <c r="E4888" s="0" t="n">
        <v>48</v>
      </c>
      <c r="F4888" s="0" t="s">
        <v>153</v>
      </c>
      <c r="I4888" s="0" t="n">
        <v>2568</v>
      </c>
      <c r="J4888" s="0" t="n">
        <v>100122</v>
      </c>
      <c r="K4888" s="0" t="n">
        <v>123</v>
      </c>
      <c r="L4888" s="0" t="s">
        <v>2543</v>
      </c>
      <c r="N4888" s="0" t="n">
        <v>3</v>
      </c>
      <c r="O4888" s="0" t="n">
        <v>30</v>
      </c>
      <c r="P4888" s="0" t="s">
        <v>2444</v>
      </c>
    </row>
    <row r="4889" customFormat="false" ht="15" hidden="false" customHeight="true" outlineLevel="0" collapsed="false">
      <c r="A4889" s="0" t="n">
        <v>2</v>
      </c>
      <c r="B4889" s="71" t="n">
        <v>46231</v>
      </c>
      <c r="C4889" s="0" t="n">
        <v>6</v>
      </c>
      <c r="D4889" s="0" t="s">
        <v>2553</v>
      </c>
      <c r="E4889" s="0" t="n">
        <v>48</v>
      </c>
      <c r="F4889" s="0" t="s">
        <v>153</v>
      </c>
      <c r="I4889" s="0" t="n">
        <v>2568</v>
      </c>
      <c r="J4889" s="0" t="n">
        <v>100129</v>
      </c>
      <c r="K4889" s="0" t="n">
        <v>130</v>
      </c>
      <c r="L4889" s="0" t="s">
        <v>2598</v>
      </c>
      <c r="N4889" s="0" t="n">
        <v>8</v>
      </c>
      <c r="O4889" s="0" t="n">
        <v>43.04</v>
      </c>
      <c r="P4889" s="0" t="s">
        <v>2444</v>
      </c>
    </row>
    <row r="4890" customFormat="false" ht="15" hidden="false" customHeight="true" outlineLevel="0" collapsed="false">
      <c r="A4890" s="0" t="n">
        <v>2</v>
      </c>
      <c r="B4890" s="71" t="n">
        <v>46231</v>
      </c>
      <c r="C4890" s="0" t="n">
        <v>6</v>
      </c>
      <c r="D4890" s="0" t="s">
        <v>2553</v>
      </c>
      <c r="E4890" s="0" t="n">
        <v>48</v>
      </c>
      <c r="F4890" s="0" t="s">
        <v>153</v>
      </c>
      <c r="I4890" s="0" t="n">
        <v>2568</v>
      </c>
      <c r="J4890" s="0" t="n">
        <v>100132</v>
      </c>
      <c r="K4890" s="0" t="n">
        <v>133</v>
      </c>
      <c r="L4890" s="0" t="s">
        <v>2546</v>
      </c>
      <c r="N4890" s="0" t="n">
        <v>35</v>
      </c>
      <c r="O4890" s="0" t="n">
        <v>98.16</v>
      </c>
      <c r="P4890" s="0" t="s">
        <v>2444</v>
      </c>
    </row>
    <row r="4891" customFormat="false" ht="15" hidden="false" customHeight="true" outlineLevel="0" collapsed="false">
      <c r="A4891" s="0" t="n">
        <v>2</v>
      </c>
      <c r="B4891" s="71" t="n">
        <v>46231</v>
      </c>
      <c r="C4891" s="0" t="n">
        <v>6</v>
      </c>
      <c r="D4891" s="0" t="s">
        <v>2553</v>
      </c>
      <c r="E4891" s="0" t="n">
        <v>48</v>
      </c>
      <c r="F4891" s="0" t="s">
        <v>153</v>
      </c>
      <c r="I4891" s="0" t="n">
        <v>2568</v>
      </c>
      <c r="J4891" s="0" t="n">
        <v>100133</v>
      </c>
      <c r="K4891" s="0" t="n">
        <v>134</v>
      </c>
      <c r="L4891" s="0" t="s">
        <v>2547</v>
      </c>
      <c r="N4891" s="0" t="n">
        <v>14</v>
      </c>
      <c r="O4891" s="0" t="n">
        <v>84</v>
      </c>
      <c r="P4891" s="0" t="s">
        <v>2444</v>
      </c>
    </row>
    <row r="4892" customFormat="false" ht="15" hidden="false" customHeight="true" outlineLevel="0" collapsed="false">
      <c r="A4892" s="0" t="n">
        <v>2</v>
      </c>
      <c r="B4892" s="71" t="n">
        <v>46231</v>
      </c>
      <c r="C4892" s="0" t="n">
        <v>6</v>
      </c>
      <c r="D4892" s="0" t="s">
        <v>2553</v>
      </c>
      <c r="E4892" s="0" t="n">
        <v>48</v>
      </c>
      <c r="F4892" s="0" t="s">
        <v>153</v>
      </c>
      <c r="I4892" s="0" t="n">
        <v>2568</v>
      </c>
      <c r="J4892" s="0" t="n">
        <v>100135</v>
      </c>
      <c r="K4892" s="0" t="n">
        <v>136</v>
      </c>
      <c r="L4892" s="0" t="s">
        <v>2599</v>
      </c>
      <c r="N4892" s="0" t="n">
        <v>13</v>
      </c>
      <c r="O4892" s="0" t="n">
        <v>144.43</v>
      </c>
      <c r="P4892" s="0" t="s">
        <v>2444</v>
      </c>
    </row>
    <row r="4893" customFormat="false" ht="15" hidden="false" customHeight="true" outlineLevel="0" collapsed="false">
      <c r="A4893" s="0" t="n">
        <v>2</v>
      </c>
      <c r="B4893" s="71" t="n">
        <v>46231</v>
      </c>
      <c r="C4893" s="0" t="n">
        <v>6</v>
      </c>
      <c r="D4893" s="0" t="s">
        <v>2553</v>
      </c>
      <c r="E4893" s="0" t="n">
        <v>48</v>
      </c>
      <c r="F4893" s="0" t="s">
        <v>153</v>
      </c>
      <c r="I4893" s="0" t="n">
        <v>2568</v>
      </c>
      <c r="J4893" s="0" t="n">
        <v>100148</v>
      </c>
      <c r="K4893" s="0" t="n">
        <v>149</v>
      </c>
      <c r="L4893" s="0" t="s">
        <v>2600</v>
      </c>
      <c r="N4893" s="0" t="n">
        <v>12</v>
      </c>
      <c r="O4893" s="0" t="n">
        <v>75</v>
      </c>
      <c r="P4893" s="0" t="s">
        <v>2444</v>
      </c>
    </row>
    <row r="4894" customFormat="false" ht="15" hidden="false" customHeight="true" outlineLevel="0" collapsed="false">
      <c r="A4894" s="0" t="n">
        <v>2</v>
      </c>
      <c r="B4894" s="71" t="n">
        <v>46231</v>
      </c>
      <c r="C4894" s="0" t="n">
        <v>6</v>
      </c>
      <c r="D4894" s="0" t="s">
        <v>2553</v>
      </c>
      <c r="E4894" s="0" t="n">
        <v>48</v>
      </c>
      <c r="F4894" s="0" t="s">
        <v>153</v>
      </c>
      <c r="I4894" s="0" t="n">
        <v>2568</v>
      </c>
      <c r="J4894" s="0" t="n">
        <v>110374</v>
      </c>
      <c r="K4894" s="0" t="n">
        <v>48077</v>
      </c>
      <c r="L4894" s="0" t="s">
        <v>2696</v>
      </c>
      <c r="N4894" s="0" t="n">
        <v>2</v>
      </c>
      <c r="O4894" s="0" t="n">
        <v>14</v>
      </c>
      <c r="P4894" s="0" t="s">
        <v>2444</v>
      </c>
    </row>
    <row r="4895" customFormat="false" ht="15" hidden="false" customHeight="true" outlineLevel="0" collapsed="false">
      <c r="A4895" s="0" t="n">
        <v>2</v>
      </c>
      <c r="B4895" s="71" t="n">
        <v>46231</v>
      </c>
      <c r="C4895" s="0" t="n">
        <v>6</v>
      </c>
      <c r="D4895" s="0" t="s">
        <v>2553</v>
      </c>
      <c r="E4895" s="0" t="n">
        <v>48</v>
      </c>
      <c r="F4895" s="0" t="s">
        <v>153</v>
      </c>
      <c r="I4895" s="0" t="n">
        <v>2568</v>
      </c>
      <c r="J4895" s="0" t="n">
        <v>110489</v>
      </c>
      <c r="K4895" s="0" t="n">
        <v>54743</v>
      </c>
      <c r="L4895" s="0" t="s">
        <v>2550</v>
      </c>
      <c r="N4895" s="0" t="n">
        <v>40</v>
      </c>
      <c r="O4895" s="0" t="n">
        <v>240</v>
      </c>
      <c r="P4895" s="0" t="s">
        <v>2444</v>
      </c>
    </row>
    <row r="4896" customFormat="false" ht="15" hidden="false" customHeight="true" outlineLevel="0" collapsed="false">
      <c r="A4896" s="0" t="n">
        <v>2</v>
      </c>
      <c r="B4896" s="71" t="n">
        <v>46231</v>
      </c>
      <c r="C4896" s="0" t="n">
        <v>6</v>
      </c>
      <c r="D4896" s="0" t="s">
        <v>2553</v>
      </c>
      <c r="E4896" s="0" t="n">
        <v>48</v>
      </c>
      <c r="F4896" s="0" t="s">
        <v>153</v>
      </c>
      <c r="I4896" s="0" t="n">
        <v>2568</v>
      </c>
      <c r="J4896" s="0" t="n">
        <v>80078</v>
      </c>
      <c r="K4896" s="0" t="n">
        <v>710</v>
      </c>
      <c r="L4896" s="0" t="s">
        <v>2551</v>
      </c>
      <c r="N4896" s="0" t="n">
        <v>5</v>
      </c>
      <c r="O4896" s="0" t="n">
        <v>15</v>
      </c>
      <c r="P4896" s="0" t="s">
        <v>2444</v>
      </c>
    </row>
    <row r="4897" customFormat="false" ht="15" hidden="false" customHeight="true" outlineLevel="0" collapsed="false">
      <c r="A4897" s="0" t="n">
        <v>2</v>
      </c>
      <c r="B4897" s="71" t="n">
        <v>46231</v>
      </c>
      <c r="C4897" s="0" t="n">
        <v>6</v>
      </c>
      <c r="D4897" s="0" t="s">
        <v>2553</v>
      </c>
      <c r="E4897" s="0" t="n">
        <v>48</v>
      </c>
      <c r="F4897" s="0" t="s">
        <v>153</v>
      </c>
      <c r="I4897" s="0" t="n">
        <v>2568</v>
      </c>
      <c r="J4897" s="0" t="n">
        <v>80308</v>
      </c>
      <c r="K4897" s="0" t="n">
        <v>1250</v>
      </c>
      <c r="L4897" s="0" t="s">
        <v>2552</v>
      </c>
      <c r="N4897" s="0" t="n">
        <v>10</v>
      </c>
      <c r="O4897" s="0" t="n">
        <v>40</v>
      </c>
      <c r="P4897" s="0" t="s">
        <v>2444</v>
      </c>
    </row>
    <row r="4898" customFormat="false" ht="15" hidden="false" customHeight="true" outlineLevel="0" collapsed="false">
      <c r="A4898" s="0" t="n">
        <v>2</v>
      </c>
      <c r="B4898" s="71" t="n">
        <v>46231</v>
      </c>
      <c r="C4898" s="0" t="n">
        <v>11</v>
      </c>
      <c r="D4898" s="0" t="s">
        <v>2471</v>
      </c>
      <c r="E4898" s="0" t="n">
        <v>1292</v>
      </c>
      <c r="F4898" s="0" t="s">
        <v>209</v>
      </c>
      <c r="I4898" s="0" t="n">
        <v>3718</v>
      </c>
      <c r="J4898" s="0" t="n">
        <v>28574</v>
      </c>
      <c r="K4898" s="0" t="n">
        <v>7898028069009</v>
      </c>
      <c r="L4898" s="0" t="s">
        <v>2607</v>
      </c>
      <c r="N4898" s="0" t="n">
        <v>10</v>
      </c>
      <c r="O4898" s="0" t="n">
        <v>56</v>
      </c>
      <c r="P4898" s="0" t="s">
        <v>2444</v>
      </c>
    </row>
    <row r="4899" customFormat="false" ht="15" hidden="false" customHeight="true" outlineLevel="0" collapsed="false">
      <c r="A4899" s="0" t="n">
        <v>2</v>
      </c>
      <c r="B4899" s="71" t="n">
        <v>46231</v>
      </c>
      <c r="C4899" s="0" t="n">
        <v>11</v>
      </c>
      <c r="D4899" s="0" t="s">
        <v>2471</v>
      </c>
      <c r="E4899" s="0" t="n">
        <v>1292</v>
      </c>
      <c r="F4899" s="0" t="s">
        <v>209</v>
      </c>
      <c r="I4899" s="0" t="n">
        <v>3718</v>
      </c>
      <c r="J4899" s="0" t="n">
        <v>58633</v>
      </c>
      <c r="K4899" s="0" t="n">
        <v>7891164025250</v>
      </c>
      <c r="L4899" s="0" t="s">
        <v>2448</v>
      </c>
      <c r="N4899" s="0" t="n">
        <v>50</v>
      </c>
      <c r="O4899" s="0" t="n">
        <v>449.5</v>
      </c>
      <c r="P4899" s="0" t="s">
        <v>2444</v>
      </c>
    </row>
    <row r="4900" customFormat="false" ht="15" hidden="false" customHeight="true" outlineLevel="0" collapsed="false">
      <c r="A4900" s="0" t="n">
        <v>2</v>
      </c>
      <c r="B4900" s="71" t="n">
        <v>46231</v>
      </c>
      <c r="C4900" s="0" t="n">
        <v>11</v>
      </c>
      <c r="D4900" s="0" t="s">
        <v>2471</v>
      </c>
      <c r="E4900" s="0" t="n">
        <v>1328</v>
      </c>
      <c r="F4900" s="0" t="s">
        <v>95</v>
      </c>
      <c r="I4900" s="0" t="n">
        <v>4207</v>
      </c>
      <c r="J4900" s="0" t="n">
        <v>21045</v>
      </c>
      <c r="K4900" s="0" t="n">
        <v>7898588380255</v>
      </c>
      <c r="L4900" s="0" t="s">
        <v>2503</v>
      </c>
      <c r="N4900" s="0" t="n">
        <v>4</v>
      </c>
      <c r="O4900" s="0" t="n">
        <v>22</v>
      </c>
      <c r="P4900" s="0" t="s">
        <v>2444</v>
      </c>
    </row>
    <row r="4901" customFormat="false" ht="15" hidden="false" customHeight="true" outlineLevel="0" collapsed="false">
      <c r="A4901" s="0" t="n">
        <v>2</v>
      </c>
      <c r="B4901" s="71" t="n">
        <v>46231</v>
      </c>
      <c r="C4901" s="0" t="n">
        <v>11</v>
      </c>
      <c r="D4901" s="0" t="s">
        <v>2471</v>
      </c>
      <c r="E4901" s="0" t="n">
        <v>1328</v>
      </c>
      <c r="F4901" s="0" t="s">
        <v>95</v>
      </c>
      <c r="I4901" s="0" t="n">
        <v>4207</v>
      </c>
      <c r="J4901" s="0" t="n">
        <v>21060</v>
      </c>
      <c r="K4901" s="0" t="n">
        <v>7898588380118</v>
      </c>
      <c r="L4901" s="0" t="s">
        <v>2504</v>
      </c>
      <c r="N4901" s="0" t="n">
        <v>15</v>
      </c>
      <c r="O4901" s="0" t="n">
        <v>97.5</v>
      </c>
      <c r="P4901" s="0" t="s">
        <v>2444</v>
      </c>
    </row>
    <row r="4902" customFormat="false" ht="15" hidden="false" customHeight="true" outlineLevel="0" collapsed="false">
      <c r="A4902" s="0" t="n">
        <v>2</v>
      </c>
      <c r="B4902" s="71" t="n">
        <v>46231</v>
      </c>
      <c r="C4902" s="0" t="n">
        <v>11</v>
      </c>
      <c r="D4902" s="0" t="s">
        <v>2471</v>
      </c>
      <c r="E4902" s="0" t="n">
        <v>1328</v>
      </c>
      <c r="F4902" s="0" t="s">
        <v>95</v>
      </c>
      <c r="I4902" s="0" t="n">
        <v>4207</v>
      </c>
      <c r="J4902" s="0" t="n">
        <v>31789</v>
      </c>
      <c r="K4902" s="0" t="n">
        <v>7898588380149</v>
      </c>
      <c r="L4902" s="0" t="s">
        <v>2446</v>
      </c>
      <c r="N4902" s="0" t="n">
        <v>3</v>
      </c>
      <c r="O4902" s="0" t="n">
        <v>16.5</v>
      </c>
      <c r="P4902" s="0" t="s">
        <v>2444</v>
      </c>
    </row>
    <row r="4903" customFormat="false" ht="15" hidden="false" customHeight="true" outlineLevel="0" collapsed="false">
      <c r="A4903" s="0" t="n">
        <v>2</v>
      </c>
      <c r="B4903" s="71" t="n">
        <v>46231</v>
      </c>
      <c r="C4903" s="0" t="n">
        <v>11</v>
      </c>
      <c r="D4903" s="0" t="s">
        <v>2471</v>
      </c>
      <c r="E4903" s="0" t="n">
        <v>1328</v>
      </c>
      <c r="F4903" s="0" t="s">
        <v>95</v>
      </c>
      <c r="I4903" s="0" t="n">
        <v>4207</v>
      </c>
      <c r="J4903" s="0" t="n">
        <v>31782</v>
      </c>
      <c r="K4903" s="0" t="n">
        <v>7898588380132</v>
      </c>
      <c r="L4903" s="0" t="s">
        <v>2505</v>
      </c>
      <c r="N4903" s="0" t="n">
        <v>4</v>
      </c>
      <c r="O4903" s="0" t="n">
        <v>22</v>
      </c>
      <c r="P4903" s="0" t="s">
        <v>2444</v>
      </c>
    </row>
    <row r="4904" customFormat="false" ht="15" hidden="false" customHeight="true" outlineLevel="0" collapsed="false">
      <c r="A4904" s="0" t="n">
        <v>2</v>
      </c>
      <c r="B4904" s="71" t="n">
        <v>46231</v>
      </c>
      <c r="C4904" s="0" t="n">
        <v>11</v>
      </c>
      <c r="D4904" s="0" t="s">
        <v>2471</v>
      </c>
      <c r="E4904" s="0" t="n">
        <v>1328</v>
      </c>
      <c r="F4904" s="0" t="s">
        <v>95</v>
      </c>
      <c r="I4904" s="0" t="n">
        <v>4207</v>
      </c>
      <c r="J4904" s="0" t="n">
        <v>31784</v>
      </c>
      <c r="K4904" s="0" t="n">
        <v>7898588380545</v>
      </c>
      <c r="L4904" s="0" t="s">
        <v>2590</v>
      </c>
      <c r="N4904" s="0" t="n">
        <v>3</v>
      </c>
      <c r="O4904" s="0" t="n">
        <v>16.5</v>
      </c>
      <c r="P4904" s="0" t="s">
        <v>2444</v>
      </c>
    </row>
    <row r="4905" customFormat="false" ht="15" hidden="false" customHeight="true" outlineLevel="0" collapsed="false">
      <c r="A4905" s="0" t="n">
        <v>2</v>
      </c>
      <c r="B4905" s="71" t="n">
        <v>46231</v>
      </c>
      <c r="C4905" s="0" t="n">
        <v>11</v>
      </c>
      <c r="D4905" s="0" t="s">
        <v>2471</v>
      </c>
      <c r="E4905" s="0" t="n">
        <v>1328</v>
      </c>
      <c r="F4905" s="0" t="s">
        <v>95</v>
      </c>
      <c r="I4905" s="0" t="n">
        <v>4207</v>
      </c>
      <c r="J4905" s="0" t="n">
        <v>31786</v>
      </c>
      <c r="K4905" s="0" t="n">
        <v>7898588380187</v>
      </c>
      <c r="L4905" s="0" t="s">
        <v>2506</v>
      </c>
      <c r="N4905" s="0" t="n">
        <v>2</v>
      </c>
      <c r="O4905" s="0" t="n">
        <v>11</v>
      </c>
      <c r="P4905" s="0" t="s">
        <v>2444</v>
      </c>
    </row>
    <row r="4906" customFormat="false" ht="15" hidden="false" customHeight="true" outlineLevel="0" collapsed="false">
      <c r="A4906" s="0" t="n">
        <v>2</v>
      </c>
      <c r="B4906" s="71" t="n">
        <v>46231</v>
      </c>
      <c r="C4906" s="0" t="n">
        <v>11</v>
      </c>
      <c r="D4906" s="0" t="s">
        <v>2471</v>
      </c>
      <c r="E4906" s="0" t="n">
        <v>1328</v>
      </c>
      <c r="F4906" s="0" t="s">
        <v>95</v>
      </c>
      <c r="I4906" s="0" t="n">
        <v>4207</v>
      </c>
      <c r="J4906" s="0" t="n">
        <v>31787</v>
      </c>
      <c r="K4906" s="0" t="n">
        <v>7898588380125</v>
      </c>
      <c r="L4906" s="0" t="s">
        <v>2507</v>
      </c>
      <c r="N4906" s="0" t="n">
        <v>5</v>
      </c>
      <c r="O4906" s="0" t="n">
        <v>42</v>
      </c>
      <c r="P4906" s="0" t="s">
        <v>2444</v>
      </c>
    </row>
    <row r="4907" customFormat="false" ht="15" hidden="false" customHeight="true" outlineLevel="0" collapsed="false">
      <c r="A4907" s="0" t="n">
        <v>2</v>
      </c>
      <c r="B4907" s="71" t="n">
        <v>46231</v>
      </c>
      <c r="C4907" s="0" t="n">
        <v>11</v>
      </c>
      <c r="D4907" s="0" t="s">
        <v>2471</v>
      </c>
      <c r="E4907" s="0" t="n">
        <v>1328</v>
      </c>
      <c r="F4907" s="0" t="s">
        <v>95</v>
      </c>
      <c r="I4907" s="0" t="n">
        <v>4207</v>
      </c>
      <c r="J4907" s="0" t="n">
        <v>31790</v>
      </c>
      <c r="K4907" s="0" t="n">
        <v>7898588380231</v>
      </c>
      <c r="L4907" s="0" t="s">
        <v>2508</v>
      </c>
      <c r="N4907" s="0" t="n">
        <v>3</v>
      </c>
      <c r="O4907" s="0" t="n">
        <v>16.5</v>
      </c>
      <c r="P4907" s="0" t="s">
        <v>2444</v>
      </c>
    </row>
    <row r="4908" customFormat="false" ht="15" hidden="false" customHeight="true" outlineLevel="0" collapsed="false">
      <c r="A4908" s="0" t="n">
        <v>2</v>
      </c>
      <c r="B4908" s="71" t="n">
        <v>46231</v>
      </c>
      <c r="C4908" s="0" t="n">
        <v>11</v>
      </c>
      <c r="D4908" s="0" t="s">
        <v>2471</v>
      </c>
      <c r="E4908" s="0" t="n">
        <v>1723</v>
      </c>
      <c r="F4908" s="0" t="s">
        <v>371</v>
      </c>
      <c r="I4908" s="0" t="n">
        <v>173885</v>
      </c>
      <c r="J4908" s="0" t="n">
        <v>29080</v>
      </c>
      <c r="K4908" s="0" t="n">
        <v>55516</v>
      </c>
      <c r="L4908" s="0" t="s">
        <v>2450</v>
      </c>
      <c r="N4908" s="0" t="n">
        <v>57.4</v>
      </c>
      <c r="O4908" s="0" t="n">
        <v>1262.8</v>
      </c>
      <c r="P4908" s="0" t="s">
        <v>2444</v>
      </c>
    </row>
    <row r="4909" customFormat="false" ht="15" hidden="false" customHeight="true" outlineLevel="0" collapsed="false">
      <c r="A4909" s="0" t="n">
        <v>2</v>
      </c>
      <c r="B4909" s="71" t="n">
        <v>46231</v>
      </c>
      <c r="C4909" s="0" t="n">
        <v>11</v>
      </c>
      <c r="D4909" s="0" t="s">
        <v>2471</v>
      </c>
      <c r="E4909" s="0" t="n">
        <v>1642</v>
      </c>
      <c r="F4909" s="0" t="s">
        <v>228</v>
      </c>
      <c r="I4909" s="0" t="n">
        <v>1033945</v>
      </c>
      <c r="J4909" s="0" t="n">
        <v>105780</v>
      </c>
      <c r="K4909" s="0" t="n">
        <v>7896289210017</v>
      </c>
      <c r="L4909" s="0" t="s">
        <v>2511</v>
      </c>
      <c r="N4909" s="0" t="n">
        <v>10</v>
      </c>
      <c r="O4909" s="0" t="n">
        <v>106.7</v>
      </c>
      <c r="P4909" s="0" t="s">
        <v>2444</v>
      </c>
    </row>
    <row r="4910" customFormat="false" ht="15" hidden="false" customHeight="true" outlineLevel="0" collapsed="false">
      <c r="A4910" s="0" t="n">
        <v>2</v>
      </c>
      <c r="B4910" s="71" t="n">
        <v>46231</v>
      </c>
      <c r="C4910" s="0" t="n">
        <v>11</v>
      </c>
      <c r="D4910" s="0" t="s">
        <v>2471</v>
      </c>
      <c r="E4910" s="0" t="n">
        <v>1642</v>
      </c>
      <c r="F4910" s="0" t="s">
        <v>228</v>
      </c>
      <c r="I4910" s="0" t="n">
        <v>1033945</v>
      </c>
      <c r="J4910" s="0" t="n">
        <v>105782</v>
      </c>
      <c r="K4910" s="0" t="n">
        <v>7896289210352</v>
      </c>
      <c r="L4910" s="0" t="s">
        <v>2512</v>
      </c>
      <c r="N4910" s="0" t="n">
        <v>5</v>
      </c>
      <c r="O4910" s="0" t="n">
        <v>34.3</v>
      </c>
      <c r="P4910" s="0" t="s">
        <v>2444</v>
      </c>
    </row>
    <row r="4911" customFormat="false" ht="15" hidden="false" customHeight="true" outlineLevel="0" collapsed="false">
      <c r="A4911" s="0" t="n">
        <v>2</v>
      </c>
      <c r="B4911" s="71" t="n">
        <v>46231</v>
      </c>
      <c r="C4911" s="0" t="n">
        <v>11</v>
      </c>
      <c r="D4911" s="0" t="s">
        <v>2471</v>
      </c>
      <c r="E4911" s="0" t="n">
        <v>1642</v>
      </c>
      <c r="F4911" s="0" t="s">
        <v>228</v>
      </c>
      <c r="I4911" s="0" t="n">
        <v>1033945</v>
      </c>
      <c r="J4911" s="0" t="n">
        <v>106079</v>
      </c>
      <c r="K4911" s="0" t="n">
        <v>7896289210130</v>
      </c>
      <c r="L4911" s="0" t="s">
        <v>2513</v>
      </c>
      <c r="N4911" s="0" t="n">
        <v>5</v>
      </c>
      <c r="O4911" s="0" t="n">
        <v>68.5</v>
      </c>
      <c r="P4911" s="0" t="s">
        <v>2444</v>
      </c>
    </row>
    <row r="4912" customFormat="false" ht="15" hidden="false" customHeight="true" outlineLevel="0" collapsed="false">
      <c r="A4912" s="0" t="n">
        <v>2</v>
      </c>
      <c r="B4912" s="71" t="n">
        <v>46231</v>
      </c>
      <c r="C4912" s="0" t="n">
        <v>11</v>
      </c>
      <c r="D4912" s="0" t="s">
        <v>2471</v>
      </c>
      <c r="E4912" s="0" t="n">
        <v>1642</v>
      </c>
      <c r="F4912" s="0" t="s">
        <v>228</v>
      </c>
      <c r="I4912" s="0" t="n">
        <v>1033945</v>
      </c>
      <c r="J4912" s="0" t="n">
        <v>106274</v>
      </c>
      <c r="K4912" s="0" t="n">
        <v>7896289210086</v>
      </c>
      <c r="L4912" s="0" t="s">
        <v>2514</v>
      </c>
      <c r="N4912" s="0" t="n">
        <v>5</v>
      </c>
      <c r="O4912" s="0" t="n">
        <v>62.8</v>
      </c>
      <c r="P4912" s="0" t="s">
        <v>2444</v>
      </c>
    </row>
    <row r="4913" customFormat="false" ht="15" hidden="false" customHeight="true" outlineLevel="0" collapsed="false">
      <c r="A4913" s="0" t="n">
        <v>2</v>
      </c>
      <c r="B4913" s="71" t="n">
        <v>46231</v>
      </c>
      <c r="C4913" s="0" t="n">
        <v>11</v>
      </c>
      <c r="D4913" s="0" t="s">
        <v>2471</v>
      </c>
      <c r="E4913" s="0" t="n">
        <v>1642</v>
      </c>
      <c r="F4913" s="0" t="s">
        <v>228</v>
      </c>
      <c r="I4913" s="0" t="n">
        <v>1033945</v>
      </c>
      <c r="J4913" s="0" t="n">
        <v>106280</v>
      </c>
      <c r="K4913" s="0" t="n">
        <v>7896289210062</v>
      </c>
      <c r="L4913" s="0" t="s">
        <v>2515</v>
      </c>
      <c r="N4913" s="0" t="n">
        <v>2</v>
      </c>
      <c r="O4913" s="0" t="n">
        <v>25.12</v>
      </c>
      <c r="P4913" s="0" t="s">
        <v>2444</v>
      </c>
    </row>
    <row r="4914" customFormat="false" ht="15" hidden="false" customHeight="true" outlineLevel="0" collapsed="false">
      <c r="A4914" s="0" t="n">
        <v>2</v>
      </c>
      <c r="B4914" s="71" t="n">
        <v>46231</v>
      </c>
      <c r="C4914" s="0" t="n">
        <v>11</v>
      </c>
      <c r="D4914" s="0" t="s">
        <v>2471</v>
      </c>
      <c r="E4914" s="0" t="n">
        <v>1642</v>
      </c>
      <c r="F4914" s="0" t="s">
        <v>228</v>
      </c>
      <c r="I4914" s="0" t="n">
        <v>1033945</v>
      </c>
      <c r="J4914" s="0" t="n">
        <v>106407</v>
      </c>
      <c r="K4914" s="0" t="n">
        <v>7896289210031</v>
      </c>
      <c r="L4914" s="0" t="s">
        <v>2516</v>
      </c>
      <c r="N4914" s="0" t="n">
        <v>5</v>
      </c>
      <c r="O4914" s="0" t="n">
        <v>58.2</v>
      </c>
      <c r="P4914" s="0" t="s">
        <v>2444</v>
      </c>
    </row>
    <row r="4915" customFormat="false" ht="15" hidden="false" customHeight="true" outlineLevel="0" collapsed="false">
      <c r="A4915" s="0" t="n">
        <v>2</v>
      </c>
      <c r="B4915" s="71" t="n">
        <v>46231</v>
      </c>
      <c r="C4915" s="0" t="n">
        <v>11</v>
      </c>
      <c r="D4915" s="0" t="s">
        <v>2471</v>
      </c>
      <c r="E4915" s="0" t="n">
        <v>1683</v>
      </c>
      <c r="F4915" s="0" t="s">
        <v>406</v>
      </c>
      <c r="I4915" s="0" t="n">
        <v>1653511</v>
      </c>
      <c r="J4915" s="0" t="n">
        <v>37361</v>
      </c>
      <c r="K4915" s="0" t="n">
        <v>2240817</v>
      </c>
      <c r="L4915" s="0" t="s">
        <v>2467</v>
      </c>
      <c r="N4915" s="0" t="n">
        <v>30</v>
      </c>
      <c r="O4915" s="0" t="n">
        <v>54</v>
      </c>
      <c r="P4915" s="0" t="s">
        <v>2444</v>
      </c>
    </row>
    <row r="4916" customFormat="false" ht="15" hidden="false" customHeight="true" outlineLevel="0" collapsed="false">
      <c r="A4916" s="0" t="n">
        <v>2</v>
      </c>
      <c r="B4916" s="71" t="n">
        <v>46231</v>
      </c>
      <c r="C4916" s="0" t="n">
        <v>22</v>
      </c>
      <c r="D4916" s="0" t="s">
        <v>2479</v>
      </c>
      <c r="E4916" s="0" t="n">
        <v>48</v>
      </c>
      <c r="F4916" s="0" t="s">
        <v>153</v>
      </c>
      <c r="I4916" s="0" t="n">
        <v>2567</v>
      </c>
      <c r="J4916" s="0" t="n">
        <v>100000</v>
      </c>
      <c r="K4916" s="0" t="n">
        <v>1</v>
      </c>
      <c r="L4916" s="0" t="s">
        <v>2480</v>
      </c>
      <c r="N4916" s="0" t="n">
        <v>2.662</v>
      </c>
      <c r="O4916" s="0" t="n">
        <v>50.75</v>
      </c>
      <c r="P4916" s="0" t="s">
        <v>2444</v>
      </c>
    </row>
    <row r="4917" customFormat="false" ht="15" hidden="false" customHeight="true" outlineLevel="0" collapsed="false">
      <c r="A4917" s="0" t="n">
        <v>2</v>
      </c>
      <c r="B4917" s="71" t="n">
        <v>46231</v>
      </c>
      <c r="C4917" s="0" t="n">
        <v>22</v>
      </c>
      <c r="D4917" s="0" t="s">
        <v>2479</v>
      </c>
      <c r="E4917" s="0" t="n">
        <v>48</v>
      </c>
      <c r="F4917" s="0" t="s">
        <v>153</v>
      </c>
      <c r="I4917" s="0" t="n">
        <v>2567</v>
      </c>
      <c r="J4917" s="0" t="n">
        <v>100001</v>
      </c>
      <c r="K4917" s="0" t="n">
        <v>2</v>
      </c>
      <c r="L4917" s="0" t="s">
        <v>2481</v>
      </c>
      <c r="N4917" s="0" t="n">
        <v>9.23</v>
      </c>
      <c r="O4917" s="0" t="n">
        <v>190.63</v>
      </c>
      <c r="P4917" s="0" t="s">
        <v>2444</v>
      </c>
    </row>
    <row r="4918" customFormat="false" ht="15" hidden="false" customHeight="true" outlineLevel="0" collapsed="false">
      <c r="A4918" s="0" t="n">
        <v>2</v>
      </c>
      <c r="B4918" s="71" t="n">
        <v>46231</v>
      </c>
      <c r="C4918" s="0" t="n">
        <v>22</v>
      </c>
      <c r="D4918" s="0" t="s">
        <v>2479</v>
      </c>
      <c r="E4918" s="0" t="n">
        <v>48</v>
      </c>
      <c r="F4918" s="0" t="s">
        <v>153</v>
      </c>
      <c r="I4918" s="0" t="n">
        <v>2567</v>
      </c>
      <c r="J4918" s="0" t="n">
        <v>100002</v>
      </c>
      <c r="K4918" s="0" t="n">
        <v>3</v>
      </c>
      <c r="L4918" s="0" t="s">
        <v>2482</v>
      </c>
      <c r="N4918" s="0" t="n">
        <v>18.72</v>
      </c>
      <c r="O4918" s="0" t="n">
        <v>446.14</v>
      </c>
      <c r="P4918" s="0" t="s">
        <v>2444</v>
      </c>
    </row>
    <row r="4919" customFormat="false" ht="15" hidden="false" customHeight="true" outlineLevel="0" collapsed="false">
      <c r="A4919" s="0" t="n">
        <v>2</v>
      </c>
      <c r="B4919" s="71" t="n">
        <v>46231</v>
      </c>
      <c r="C4919" s="0" t="n">
        <v>22</v>
      </c>
      <c r="D4919" s="0" t="s">
        <v>2479</v>
      </c>
      <c r="E4919" s="0" t="n">
        <v>48</v>
      </c>
      <c r="F4919" s="0" t="s">
        <v>153</v>
      </c>
      <c r="I4919" s="0" t="n">
        <v>2567</v>
      </c>
      <c r="J4919" s="0" t="n">
        <v>100003</v>
      </c>
      <c r="K4919" s="0" t="n">
        <v>4</v>
      </c>
      <c r="L4919" s="0" t="s">
        <v>2483</v>
      </c>
      <c r="N4919" s="0" t="n">
        <v>17.77</v>
      </c>
      <c r="O4919" s="0" t="n">
        <v>451.74</v>
      </c>
      <c r="P4919" s="0" t="s">
        <v>2444</v>
      </c>
    </row>
    <row r="4920" customFormat="false" ht="15" hidden="false" customHeight="true" outlineLevel="0" collapsed="false">
      <c r="A4920" s="0" t="n">
        <v>2</v>
      </c>
      <c r="B4920" s="71" t="n">
        <v>46231</v>
      </c>
      <c r="C4920" s="0" t="n">
        <v>22</v>
      </c>
      <c r="D4920" s="0" t="s">
        <v>2479</v>
      </c>
      <c r="E4920" s="0" t="n">
        <v>48</v>
      </c>
      <c r="F4920" s="0" t="s">
        <v>153</v>
      </c>
      <c r="I4920" s="0" t="n">
        <v>2567</v>
      </c>
      <c r="J4920" s="0" t="n">
        <v>100004</v>
      </c>
      <c r="K4920" s="0" t="n">
        <v>5</v>
      </c>
      <c r="L4920" s="0" t="s">
        <v>2484</v>
      </c>
      <c r="N4920" s="0" t="n">
        <v>1.368</v>
      </c>
      <c r="O4920" s="0" t="n">
        <v>30.43</v>
      </c>
      <c r="P4920" s="0" t="s">
        <v>2444</v>
      </c>
    </row>
    <row r="4921" customFormat="false" ht="15" hidden="false" customHeight="true" outlineLevel="0" collapsed="false">
      <c r="A4921" s="0" t="n">
        <v>2</v>
      </c>
      <c r="B4921" s="71" t="n">
        <v>46231</v>
      </c>
      <c r="C4921" s="0" t="n">
        <v>22</v>
      </c>
      <c r="D4921" s="0" t="s">
        <v>2479</v>
      </c>
      <c r="E4921" s="0" t="n">
        <v>48</v>
      </c>
      <c r="F4921" s="0" t="s">
        <v>153</v>
      </c>
      <c r="I4921" s="0" t="n">
        <v>2567</v>
      </c>
      <c r="J4921" s="0" t="n">
        <v>100005</v>
      </c>
      <c r="K4921" s="0" t="n">
        <v>6</v>
      </c>
      <c r="L4921" s="0" t="s">
        <v>2582</v>
      </c>
      <c r="N4921" s="0" t="n">
        <v>3.026</v>
      </c>
      <c r="O4921" s="0" t="n">
        <v>72.12</v>
      </c>
      <c r="P4921" s="0" t="s">
        <v>2444</v>
      </c>
    </row>
    <row r="4922" customFormat="false" ht="15" hidden="false" customHeight="true" outlineLevel="0" collapsed="false">
      <c r="A4922" s="0" t="n">
        <v>2</v>
      </c>
      <c r="B4922" s="71" t="n">
        <v>46231</v>
      </c>
      <c r="C4922" s="0" t="n">
        <v>22</v>
      </c>
      <c r="D4922" s="0" t="s">
        <v>2479</v>
      </c>
      <c r="E4922" s="0" t="n">
        <v>48</v>
      </c>
      <c r="F4922" s="0" t="s">
        <v>153</v>
      </c>
      <c r="I4922" s="0" t="n">
        <v>2567</v>
      </c>
      <c r="J4922" s="0" t="n">
        <v>100007</v>
      </c>
      <c r="K4922" s="0" t="n">
        <v>8</v>
      </c>
      <c r="L4922" s="0" t="s">
        <v>2486</v>
      </c>
      <c r="N4922" s="0" t="n">
        <v>0.494</v>
      </c>
      <c r="O4922" s="0" t="n">
        <v>11.77</v>
      </c>
      <c r="P4922" s="0" t="s">
        <v>2444</v>
      </c>
    </row>
    <row r="4923" customFormat="false" ht="15" hidden="false" customHeight="true" outlineLevel="0" collapsed="false">
      <c r="A4923" s="0" t="n">
        <v>2</v>
      </c>
      <c r="B4923" s="71" t="n">
        <v>46231</v>
      </c>
      <c r="C4923" s="0" t="n">
        <v>22</v>
      </c>
      <c r="D4923" s="0" t="s">
        <v>2479</v>
      </c>
      <c r="E4923" s="0" t="n">
        <v>48</v>
      </c>
      <c r="F4923" s="0" t="s">
        <v>153</v>
      </c>
      <c r="I4923" s="0" t="n">
        <v>2567</v>
      </c>
      <c r="J4923" s="0" t="n">
        <v>100638</v>
      </c>
      <c r="K4923" s="0" t="n">
        <v>508</v>
      </c>
      <c r="L4923" s="0" t="s">
        <v>2496</v>
      </c>
      <c r="N4923" s="0" t="n">
        <v>2</v>
      </c>
      <c r="O4923" s="0" t="n">
        <v>4.75</v>
      </c>
      <c r="P4923" s="0" t="s">
        <v>2444</v>
      </c>
    </row>
    <row r="4924" customFormat="false" ht="15" hidden="false" customHeight="true" outlineLevel="0" collapsed="false">
      <c r="A4924" s="0" t="n">
        <v>2</v>
      </c>
      <c r="B4924" s="71" t="n">
        <v>46231</v>
      </c>
      <c r="C4924" s="0" t="n">
        <v>22</v>
      </c>
      <c r="D4924" s="0" t="s">
        <v>2479</v>
      </c>
      <c r="E4924" s="0" t="n">
        <v>48</v>
      </c>
      <c r="F4924" s="0" t="s">
        <v>153</v>
      </c>
      <c r="I4924" s="0" t="n">
        <v>2567</v>
      </c>
      <c r="J4924" s="0" t="n">
        <v>100520</v>
      </c>
      <c r="K4924" s="0" t="n">
        <v>507</v>
      </c>
      <c r="L4924" s="0" t="s">
        <v>2497</v>
      </c>
      <c r="N4924" s="0" t="n">
        <v>1.878</v>
      </c>
      <c r="O4924" s="0" t="n">
        <v>4.46</v>
      </c>
      <c r="P4924" s="0" t="s">
        <v>2444</v>
      </c>
    </row>
    <row r="4925" customFormat="false" ht="15" hidden="false" customHeight="true" outlineLevel="0" collapsed="false">
      <c r="A4925" s="0" t="n">
        <v>2</v>
      </c>
      <c r="B4925" s="71" t="n">
        <v>46231</v>
      </c>
      <c r="C4925" s="0" t="n">
        <v>22</v>
      </c>
      <c r="D4925" s="0" t="s">
        <v>2479</v>
      </c>
      <c r="E4925" s="0" t="n">
        <v>48</v>
      </c>
      <c r="F4925" s="0" t="s">
        <v>153</v>
      </c>
      <c r="I4925" s="0" t="n">
        <v>2567</v>
      </c>
      <c r="J4925" s="0" t="n">
        <v>110455</v>
      </c>
      <c r="K4925" s="0" t="n">
        <v>53212</v>
      </c>
      <c r="L4925" s="0" t="s">
        <v>2498</v>
      </c>
      <c r="N4925" s="0" t="n">
        <v>0.252</v>
      </c>
      <c r="O4925" s="0" t="n">
        <v>0.01</v>
      </c>
      <c r="P4925" s="0" t="s">
        <v>2444</v>
      </c>
    </row>
    <row r="4926" customFormat="false" ht="15" hidden="false" customHeight="true" outlineLevel="0" collapsed="false">
      <c r="A4926" s="0" t="n">
        <v>2</v>
      </c>
      <c r="B4926" s="71" t="n">
        <v>46231</v>
      </c>
      <c r="C4926" s="0" t="n">
        <v>100</v>
      </c>
      <c r="D4926" s="0" t="s">
        <v>2499</v>
      </c>
      <c r="E4926" s="0" t="n">
        <v>48</v>
      </c>
      <c r="F4926" s="0" t="s">
        <v>153</v>
      </c>
      <c r="I4926" s="0" t="n">
        <v>1464579</v>
      </c>
      <c r="J4926" s="0" t="n">
        <v>100000</v>
      </c>
      <c r="K4926" s="0" t="n">
        <v>1</v>
      </c>
      <c r="L4926" s="0" t="s">
        <v>2480</v>
      </c>
      <c r="N4926" s="0" t="n">
        <v>2.662</v>
      </c>
      <c r="O4926" s="0" t="n">
        <v>50.75</v>
      </c>
      <c r="P4926" s="0" t="s">
        <v>2444</v>
      </c>
    </row>
    <row r="4927" customFormat="false" ht="15" hidden="false" customHeight="true" outlineLevel="0" collapsed="false">
      <c r="A4927" s="0" t="n">
        <v>2</v>
      </c>
      <c r="B4927" s="71" t="n">
        <v>46231</v>
      </c>
      <c r="C4927" s="0" t="n">
        <v>100</v>
      </c>
      <c r="D4927" s="0" t="s">
        <v>2499</v>
      </c>
      <c r="E4927" s="0" t="n">
        <v>48</v>
      </c>
      <c r="F4927" s="0" t="s">
        <v>153</v>
      </c>
      <c r="I4927" s="0" t="n">
        <v>1464579</v>
      </c>
      <c r="J4927" s="0" t="n">
        <v>100001</v>
      </c>
      <c r="K4927" s="0" t="n">
        <v>2</v>
      </c>
      <c r="L4927" s="0" t="s">
        <v>2481</v>
      </c>
      <c r="N4927" s="0" t="n">
        <v>9.23</v>
      </c>
      <c r="O4927" s="0" t="n">
        <v>190.63</v>
      </c>
      <c r="P4927" s="0" t="s">
        <v>2444</v>
      </c>
    </row>
    <row r="4928" customFormat="false" ht="15" hidden="false" customHeight="true" outlineLevel="0" collapsed="false">
      <c r="A4928" s="0" t="n">
        <v>2</v>
      </c>
      <c r="B4928" s="71" t="n">
        <v>46231</v>
      </c>
      <c r="C4928" s="0" t="n">
        <v>100</v>
      </c>
      <c r="D4928" s="0" t="s">
        <v>2499</v>
      </c>
      <c r="E4928" s="0" t="n">
        <v>48</v>
      </c>
      <c r="F4928" s="0" t="s">
        <v>153</v>
      </c>
      <c r="I4928" s="0" t="n">
        <v>1464579</v>
      </c>
      <c r="J4928" s="0" t="n">
        <v>100002</v>
      </c>
      <c r="K4928" s="0" t="n">
        <v>3</v>
      </c>
      <c r="L4928" s="0" t="s">
        <v>2482</v>
      </c>
      <c r="N4928" s="0" t="n">
        <v>18.72</v>
      </c>
      <c r="O4928" s="0" t="n">
        <v>446.14</v>
      </c>
      <c r="P4928" s="0" t="s">
        <v>2444</v>
      </c>
    </row>
    <row r="4929" customFormat="false" ht="15" hidden="false" customHeight="true" outlineLevel="0" collapsed="false">
      <c r="A4929" s="0" t="n">
        <v>2</v>
      </c>
      <c r="B4929" s="71" t="n">
        <v>46231</v>
      </c>
      <c r="C4929" s="0" t="n">
        <v>100</v>
      </c>
      <c r="D4929" s="0" t="s">
        <v>2499</v>
      </c>
      <c r="E4929" s="0" t="n">
        <v>48</v>
      </c>
      <c r="F4929" s="0" t="s">
        <v>153</v>
      </c>
      <c r="I4929" s="0" t="n">
        <v>1464579</v>
      </c>
      <c r="J4929" s="0" t="n">
        <v>100003</v>
      </c>
      <c r="K4929" s="0" t="n">
        <v>4</v>
      </c>
      <c r="L4929" s="0" t="s">
        <v>2483</v>
      </c>
      <c r="N4929" s="0" t="n">
        <v>17.77</v>
      </c>
      <c r="O4929" s="0" t="n">
        <v>451.74</v>
      </c>
      <c r="P4929" s="0" t="s">
        <v>2444</v>
      </c>
    </row>
    <row r="4930" customFormat="false" ht="15" hidden="false" customHeight="true" outlineLevel="0" collapsed="false">
      <c r="A4930" s="0" t="n">
        <v>2</v>
      </c>
      <c r="B4930" s="71" t="n">
        <v>46231</v>
      </c>
      <c r="C4930" s="0" t="n">
        <v>100</v>
      </c>
      <c r="D4930" s="0" t="s">
        <v>2499</v>
      </c>
      <c r="E4930" s="0" t="n">
        <v>48</v>
      </c>
      <c r="F4930" s="0" t="s">
        <v>153</v>
      </c>
      <c r="I4930" s="0" t="n">
        <v>1464579</v>
      </c>
      <c r="J4930" s="0" t="n">
        <v>100004</v>
      </c>
      <c r="K4930" s="0" t="n">
        <v>5</v>
      </c>
      <c r="L4930" s="0" t="s">
        <v>2484</v>
      </c>
      <c r="N4930" s="0" t="n">
        <v>1.368</v>
      </c>
      <c r="O4930" s="0" t="n">
        <v>30.43</v>
      </c>
      <c r="P4930" s="0" t="s">
        <v>2444</v>
      </c>
    </row>
    <row r="4931" customFormat="false" ht="15" hidden="false" customHeight="true" outlineLevel="0" collapsed="false">
      <c r="A4931" s="0" t="n">
        <v>2</v>
      </c>
      <c r="B4931" s="71" t="n">
        <v>46231</v>
      </c>
      <c r="C4931" s="0" t="n">
        <v>100</v>
      </c>
      <c r="D4931" s="0" t="s">
        <v>2499</v>
      </c>
      <c r="E4931" s="0" t="n">
        <v>48</v>
      </c>
      <c r="F4931" s="0" t="s">
        <v>153</v>
      </c>
      <c r="I4931" s="0" t="n">
        <v>1464579</v>
      </c>
      <c r="J4931" s="0" t="n">
        <v>100005</v>
      </c>
      <c r="K4931" s="0" t="n">
        <v>6</v>
      </c>
      <c r="L4931" s="0" t="s">
        <v>2582</v>
      </c>
      <c r="N4931" s="0" t="n">
        <v>3.026</v>
      </c>
      <c r="O4931" s="0" t="n">
        <v>72.12</v>
      </c>
      <c r="P4931" s="0" t="s">
        <v>2444</v>
      </c>
    </row>
    <row r="4932" customFormat="false" ht="15" hidden="false" customHeight="true" outlineLevel="0" collapsed="false">
      <c r="A4932" s="0" t="n">
        <v>2</v>
      </c>
      <c r="B4932" s="71" t="n">
        <v>46231</v>
      </c>
      <c r="C4932" s="0" t="n">
        <v>100</v>
      </c>
      <c r="D4932" s="0" t="s">
        <v>2499</v>
      </c>
      <c r="E4932" s="0" t="n">
        <v>48</v>
      </c>
      <c r="F4932" s="0" t="s">
        <v>153</v>
      </c>
      <c r="I4932" s="0" t="n">
        <v>1464579</v>
      </c>
      <c r="J4932" s="0" t="n">
        <v>100007</v>
      </c>
      <c r="K4932" s="0" t="n">
        <v>8</v>
      </c>
      <c r="L4932" s="0" t="s">
        <v>2486</v>
      </c>
      <c r="N4932" s="0" t="n">
        <v>0.494</v>
      </c>
      <c r="O4932" s="0" t="n">
        <v>11.77</v>
      </c>
      <c r="P4932" s="0" t="s">
        <v>2444</v>
      </c>
    </row>
    <row r="4933" customFormat="false" ht="15" hidden="false" customHeight="true" outlineLevel="0" collapsed="false">
      <c r="A4933" s="0" t="n">
        <v>2</v>
      </c>
      <c r="B4933" s="71" t="n">
        <v>46231</v>
      </c>
      <c r="C4933" s="0" t="n">
        <v>100</v>
      </c>
      <c r="D4933" s="0" t="s">
        <v>2499</v>
      </c>
      <c r="E4933" s="0" t="n">
        <v>48</v>
      </c>
      <c r="F4933" s="0" t="s">
        <v>153</v>
      </c>
      <c r="I4933" s="0" t="n">
        <v>1464579</v>
      </c>
      <c r="J4933" s="0" t="n">
        <v>100638</v>
      </c>
      <c r="K4933" s="0" t="n">
        <v>508</v>
      </c>
      <c r="L4933" s="0" t="s">
        <v>2496</v>
      </c>
      <c r="N4933" s="0" t="n">
        <v>2</v>
      </c>
      <c r="O4933" s="0" t="n">
        <v>4.75</v>
      </c>
      <c r="P4933" s="0" t="s">
        <v>2444</v>
      </c>
    </row>
    <row r="4934" customFormat="false" ht="15" hidden="false" customHeight="true" outlineLevel="0" collapsed="false">
      <c r="A4934" s="0" t="n">
        <v>2</v>
      </c>
      <c r="B4934" s="71" t="n">
        <v>46231</v>
      </c>
      <c r="C4934" s="0" t="n">
        <v>100</v>
      </c>
      <c r="D4934" s="0" t="s">
        <v>2499</v>
      </c>
      <c r="E4934" s="0" t="n">
        <v>48</v>
      </c>
      <c r="F4934" s="0" t="s">
        <v>153</v>
      </c>
      <c r="I4934" s="0" t="n">
        <v>1464579</v>
      </c>
      <c r="J4934" s="0" t="n">
        <v>100520</v>
      </c>
      <c r="K4934" s="0" t="n">
        <v>507</v>
      </c>
      <c r="L4934" s="0" t="s">
        <v>2497</v>
      </c>
      <c r="N4934" s="0" t="n">
        <v>1.878</v>
      </c>
      <c r="O4934" s="0" t="n">
        <v>4.46</v>
      </c>
      <c r="P4934" s="0" t="s">
        <v>2444</v>
      </c>
    </row>
    <row r="4935" customFormat="false" ht="15" hidden="false" customHeight="true" outlineLevel="0" collapsed="false">
      <c r="A4935" s="0" t="n">
        <v>2</v>
      </c>
      <c r="B4935" s="71" t="n">
        <v>46231</v>
      </c>
      <c r="C4935" s="0" t="n">
        <v>100</v>
      </c>
      <c r="D4935" s="0" t="s">
        <v>2499</v>
      </c>
      <c r="E4935" s="0" t="n">
        <v>48</v>
      </c>
      <c r="F4935" s="0" t="s">
        <v>153</v>
      </c>
      <c r="I4935" s="0" t="n">
        <v>1464579</v>
      </c>
      <c r="J4935" s="0" t="n">
        <v>110455</v>
      </c>
      <c r="K4935" s="0" t="n">
        <v>53212</v>
      </c>
      <c r="L4935" s="0" t="s">
        <v>2498</v>
      </c>
      <c r="N4935" s="0" t="n">
        <v>0.252</v>
      </c>
      <c r="O4935" s="0" t="n">
        <v>0.01</v>
      </c>
      <c r="P4935" s="0" t="s">
        <v>2444</v>
      </c>
    </row>
    <row r="4936" customFormat="false" ht="15" hidden="false" customHeight="true" outlineLevel="0" collapsed="false">
      <c r="A4936" s="0" t="n">
        <v>2</v>
      </c>
      <c r="B4936" s="71" t="n">
        <v>46232</v>
      </c>
      <c r="C4936" s="0" t="n">
        <v>11</v>
      </c>
      <c r="D4936" s="0" t="s">
        <v>2471</v>
      </c>
      <c r="E4936" s="0" t="n">
        <v>1721</v>
      </c>
      <c r="F4936" s="0" t="s">
        <v>1081</v>
      </c>
      <c r="I4936" s="0" t="n">
        <v>1295</v>
      </c>
      <c r="J4936" s="0" t="n">
        <v>36195</v>
      </c>
      <c r="K4936" s="0" t="n">
        <v>602883856882</v>
      </c>
      <c r="L4936" s="0" t="s">
        <v>4633</v>
      </c>
      <c r="N4936" s="0" t="n">
        <v>20</v>
      </c>
      <c r="O4936" s="0" t="n">
        <v>139</v>
      </c>
      <c r="P4936" s="0" t="s">
        <v>2444</v>
      </c>
    </row>
    <row r="4937" customFormat="false" ht="15" hidden="false" customHeight="true" outlineLevel="0" collapsed="false">
      <c r="A4937" s="0" t="n">
        <v>2</v>
      </c>
      <c r="B4937" s="71" t="n">
        <v>46232</v>
      </c>
      <c r="C4937" s="0" t="n">
        <v>11</v>
      </c>
      <c r="D4937" s="0" t="s">
        <v>2471</v>
      </c>
      <c r="E4937" s="0" t="n">
        <v>1635</v>
      </c>
      <c r="F4937" s="0" t="s">
        <v>128</v>
      </c>
      <c r="I4937" s="0" t="n">
        <v>2078</v>
      </c>
      <c r="J4937" s="0" t="n">
        <v>100024</v>
      </c>
      <c r="K4937" s="0" t="n">
        <v>25</v>
      </c>
      <c r="L4937" s="0" t="s">
        <v>3345</v>
      </c>
      <c r="N4937" s="0" t="n">
        <v>77.29</v>
      </c>
      <c r="O4937" s="0" t="n">
        <v>926.71</v>
      </c>
      <c r="P4937" s="0" t="s">
        <v>2444</v>
      </c>
    </row>
    <row r="4938" customFormat="false" ht="15" hidden="false" customHeight="true" outlineLevel="0" collapsed="false">
      <c r="A4938" s="0" t="n">
        <v>2</v>
      </c>
      <c r="B4938" s="71" t="n">
        <v>46232</v>
      </c>
      <c r="C4938" s="0" t="n">
        <v>11</v>
      </c>
      <c r="D4938" s="0" t="s">
        <v>2471</v>
      </c>
      <c r="E4938" s="0" t="n">
        <v>1739</v>
      </c>
      <c r="F4938" s="0" t="s">
        <v>1206</v>
      </c>
      <c r="I4938" s="0" t="n">
        <v>253576</v>
      </c>
      <c r="J4938" s="0" t="n">
        <v>31309</v>
      </c>
      <c r="K4938" s="0" t="n">
        <v>7896013552185</v>
      </c>
      <c r="L4938" s="0" t="s">
        <v>4634</v>
      </c>
      <c r="N4938" s="0" t="n">
        <v>3</v>
      </c>
      <c r="O4938" s="0" t="n">
        <v>43.21</v>
      </c>
      <c r="P4938" s="0" t="s">
        <v>2444</v>
      </c>
    </row>
    <row r="4939" customFormat="false" ht="15" hidden="false" customHeight="true" outlineLevel="0" collapsed="false">
      <c r="A4939" s="0" t="n">
        <v>2</v>
      </c>
      <c r="B4939" s="71" t="n">
        <v>46232</v>
      </c>
      <c r="C4939" s="0" t="n">
        <v>11</v>
      </c>
      <c r="D4939" s="0" t="s">
        <v>2471</v>
      </c>
      <c r="E4939" s="0" t="n">
        <v>1739</v>
      </c>
      <c r="F4939" s="0" t="s">
        <v>1206</v>
      </c>
      <c r="I4939" s="0" t="n">
        <v>253576</v>
      </c>
      <c r="J4939" s="0" t="n">
        <v>31328</v>
      </c>
      <c r="K4939" s="0" t="n">
        <v>7896064471015</v>
      </c>
      <c r="L4939" s="0" t="s">
        <v>4635</v>
      </c>
      <c r="N4939" s="0" t="n">
        <v>48</v>
      </c>
      <c r="O4939" s="0" t="n">
        <v>219.76</v>
      </c>
      <c r="P4939" s="0" t="s">
        <v>2444</v>
      </c>
    </row>
    <row r="4940" customFormat="false" ht="15" hidden="false" customHeight="true" outlineLevel="0" collapsed="false">
      <c r="A4940" s="0" t="n">
        <v>2</v>
      </c>
      <c r="B4940" s="71" t="n">
        <v>46232</v>
      </c>
      <c r="C4940" s="0" t="n">
        <v>11</v>
      </c>
      <c r="D4940" s="0" t="s">
        <v>2471</v>
      </c>
      <c r="E4940" s="0" t="n">
        <v>1739</v>
      </c>
      <c r="F4940" s="0" t="s">
        <v>1206</v>
      </c>
      <c r="I4940" s="0" t="n">
        <v>253576</v>
      </c>
      <c r="J4940" s="0" t="n">
        <v>39128</v>
      </c>
      <c r="K4940" s="0" t="n">
        <v>7896013568568</v>
      </c>
      <c r="L4940" s="0" t="s">
        <v>4636</v>
      </c>
      <c r="N4940" s="0" t="n">
        <v>3</v>
      </c>
      <c r="O4940" s="0" t="n">
        <v>43.21</v>
      </c>
      <c r="P4940" s="0" t="s">
        <v>2444</v>
      </c>
    </row>
    <row r="4941" customFormat="false" ht="15" hidden="false" customHeight="true" outlineLevel="0" collapsed="false">
      <c r="A4941" s="0" t="n">
        <v>2</v>
      </c>
      <c r="B4941" s="71" t="n">
        <v>46232</v>
      </c>
      <c r="C4941" s="0" t="n">
        <v>11</v>
      </c>
      <c r="D4941" s="0" t="s">
        <v>2471</v>
      </c>
      <c r="E4941" s="0" t="n">
        <v>1683</v>
      </c>
      <c r="F4941" s="0" t="s">
        <v>406</v>
      </c>
      <c r="I4941" s="0" t="n">
        <v>1654882</v>
      </c>
      <c r="J4941" s="0" t="n">
        <v>109791</v>
      </c>
      <c r="K4941" s="0" t="n">
        <v>9667</v>
      </c>
      <c r="L4941" s="0" t="s">
        <v>2465</v>
      </c>
      <c r="N4941" s="0" t="n">
        <v>15</v>
      </c>
      <c r="O4941" s="0" t="n">
        <v>22.5</v>
      </c>
      <c r="P4941" s="0" t="s">
        <v>2444</v>
      </c>
    </row>
    <row r="4942" customFormat="false" ht="15" hidden="false" customHeight="true" outlineLevel="0" collapsed="false">
      <c r="A4942" s="0" t="n">
        <v>2</v>
      </c>
      <c r="B4942" s="71" t="n">
        <v>46232</v>
      </c>
      <c r="C4942" s="0" t="n">
        <v>11</v>
      </c>
      <c r="D4942" s="0" t="s">
        <v>2471</v>
      </c>
      <c r="E4942" s="0" t="n">
        <v>1683</v>
      </c>
      <c r="F4942" s="0" t="s">
        <v>406</v>
      </c>
      <c r="I4942" s="0" t="n">
        <v>1654882</v>
      </c>
      <c r="J4942" s="0" t="n">
        <v>37359</v>
      </c>
      <c r="K4942" s="0" t="n">
        <v>55526</v>
      </c>
      <c r="L4942" s="0" t="s">
        <v>2466</v>
      </c>
      <c r="N4942" s="0" t="n">
        <v>10</v>
      </c>
      <c r="O4942" s="0" t="n">
        <v>35</v>
      </c>
      <c r="P4942" s="0" t="s">
        <v>2444</v>
      </c>
    </row>
    <row r="4943" customFormat="false" ht="15" hidden="false" customHeight="true" outlineLevel="0" collapsed="false">
      <c r="A4943" s="0" t="n">
        <v>2</v>
      </c>
      <c r="B4943" s="71" t="n">
        <v>46232</v>
      </c>
      <c r="C4943" s="0" t="n">
        <v>11</v>
      </c>
      <c r="D4943" s="0" t="s">
        <v>2471</v>
      </c>
      <c r="E4943" s="0" t="n">
        <v>1683</v>
      </c>
      <c r="F4943" s="0" t="s">
        <v>406</v>
      </c>
      <c r="I4943" s="0" t="n">
        <v>1654882</v>
      </c>
      <c r="J4943" s="0" t="n">
        <v>37361</v>
      </c>
      <c r="K4943" s="0" t="n">
        <v>2240817</v>
      </c>
      <c r="L4943" s="0" t="s">
        <v>2467</v>
      </c>
      <c r="N4943" s="0" t="n">
        <v>40</v>
      </c>
      <c r="O4943" s="0" t="n">
        <v>72</v>
      </c>
      <c r="P4943" s="0" t="s">
        <v>2444</v>
      </c>
    </row>
    <row r="4944" customFormat="false" ht="15" hidden="false" customHeight="true" outlineLevel="0" collapsed="false">
      <c r="A4944" s="0" t="n">
        <v>2</v>
      </c>
      <c r="B4944" s="71" t="n">
        <v>46233</v>
      </c>
      <c r="C4944" s="0" t="n">
        <v>6</v>
      </c>
      <c r="D4944" s="0" t="s">
        <v>2553</v>
      </c>
      <c r="E4944" s="0" t="n">
        <v>48</v>
      </c>
      <c r="F4944" s="0" t="s">
        <v>153</v>
      </c>
      <c r="I4944" s="0" t="n">
        <v>2571</v>
      </c>
      <c r="J4944" s="0" t="n">
        <v>42564</v>
      </c>
      <c r="K4944" s="0" t="n">
        <v>574</v>
      </c>
      <c r="L4944" s="0" t="s">
        <v>2534</v>
      </c>
      <c r="N4944" s="0" t="n">
        <v>14</v>
      </c>
      <c r="O4944" s="0" t="n">
        <v>196</v>
      </c>
      <c r="P4944" s="0" t="s">
        <v>2444</v>
      </c>
    </row>
    <row r="4945" customFormat="false" ht="15" hidden="false" customHeight="true" outlineLevel="0" collapsed="false">
      <c r="A4945" s="0" t="n">
        <v>2</v>
      </c>
      <c r="B4945" s="71" t="n">
        <v>46233</v>
      </c>
      <c r="C4945" s="0" t="n">
        <v>6</v>
      </c>
      <c r="D4945" s="0" t="s">
        <v>2553</v>
      </c>
      <c r="E4945" s="0" t="n">
        <v>48</v>
      </c>
      <c r="F4945" s="0" t="s">
        <v>153</v>
      </c>
      <c r="I4945" s="0" t="n">
        <v>2572</v>
      </c>
      <c r="J4945" s="0" t="n">
        <v>42564</v>
      </c>
      <c r="K4945" s="0" t="n">
        <v>574</v>
      </c>
      <c r="L4945" s="0" t="s">
        <v>2534</v>
      </c>
      <c r="N4945" s="0" t="n">
        <v>15</v>
      </c>
      <c r="O4945" s="0" t="n">
        <v>210</v>
      </c>
      <c r="P4945" s="0" t="s">
        <v>2444</v>
      </c>
    </row>
    <row r="4946" customFormat="false" ht="15" hidden="false" customHeight="true" outlineLevel="0" collapsed="false">
      <c r="A4946" s="0" t="n">
        <v>2</v>
      </c>
      <c r="B4946" s="71" t="n">
        <v>46233</v>
      </c>
      <c r="C4946" s="0" t="n">
        <v>11</v>
      </c>
      <c r="D4946" s="0" t="s">
        <v>2471</v>
      </c>
      <c r="E4946" s="0" t="n">
        <v>10018</v>
      </c>
      <c r="F4946" s="0" t="s">
        <v>216</v>
      </c>
      <c r="I4946" s="0" t="n">
        <v>351</v>
      </c>
      <c r="J4946" s="0" t="n">
        <v>100827</v>
      </c>
      <c r="K4946" s="0" t="n">
        <v>7897312400078</v>
      </c>
      <c r="L4946" s="0" t="s">
        <v>3020</v>
      </c>
      <c r="N4946" s="0" t="n">
        <v>60</v>
      </c>
      <c r="O4946" s="0" t="n">
        <v>120</v>
      </c>
      <c r="P4946" s="0" t="s">
        <v>2444</v>
      </c>
    </row>
    <row r="4947" customFormat="false" ht="15" hidden="false" customHeight="true" outlineLevel="0" collapsed="false">
      <c r="A4947" s="0" t="n">
        <v>2</v>
      </c>
      <c r="B4947" s="71" t="n">
        <v>46233</v>
      </c>
      <c r="C4947" s="0" t="n">
        <v>11</v>
      </c>
      <c r="D4947" s="0" t="s">
        <v>2471</v>
      </c>
      <c r="E4947" s="0" t="n">
        <v>10018</v>
      </c>
      <c r="F4947" s="0" t="s">
        <v>216</v>
      </c>
      <c r="I4947" s="0" t="n">
        <v>351</v>
      </c>
      <c r="J4947" s="0" t="n">
        <v>101974</v>
      </c>
      <c r="K4947" s="0" t="n">
        <v>7897272900120</v>
      </c>
      <c r="L4947" s="0" t="s">
        <v>3858</v>
      </c>
      <c r="N4947" s="0" t="n">
        <v>20</v>
      </c>
      <c r="O4947" s="0" t="n">
        <v>49.99</v>
      </c>
      <c r="P4947" s="0" t="s">
        <v>2444</v>
      </c>
    </row>
    <row r="4948" customFormat="false" ht="15" hidden="false" customHeight="true" outlineLevel="0" collapsed="false">
      <c r="A4948" s="0" t="n">
        <v>2</v>
      </c>
      <c r="B4948" s="71" t="n">
        <v>46233</v>
      </c>
      <c r="C4948" s="0" t="n">
        <v>11</v>
      </c>
      <c r="D4948" s="0" t="s">
        <v>2471</v>
      </c>
      <c r="E4948" s="0" t="n">
        <v>10018</v>
      </c>
      <c r="F4948" s="0" t="s">
        <v>216</v>
      </c>
      <c r="I4948" s="0" t="n">
        <v>351</v>
      </c>
      <c r="J4948" s="0" t="n">
        <v>101977</v>
      </c>
      <c r="K4948" s="0" t="n">
        <v>7897272900151</v>
      </c>
      <c r="L4948" s="0" t="s">
        <v>3859</v>
      </c>
      <c r="N4948" s="0" t="n">
        <v>20</v>
      </c>
      <c r="O4948" s="0" t="n">
        <v>49.99</v>
      </c>
      <c r="P4948" s="0" t="s">
        <v>2444</v>
      </c>
    </row>
    <row r="4949" customFormat="false" ht="15" hidden="false" customHeight="true" outlineLevel="0" collapsed="false">
      <c r="A4949" s="0" t="n">
        <v>2</v>
      </c>
      <c r="B4949" s="71" t="n">
        <v>46233</v>
      </c>
      <c r="C4949" s="0" t="n">
        <v>11</v>
      </c>
      <c r="D4949" s="0" t="s">
        <v>2471</v>
      </c>
      <c r="E4949" s="0" t="n">
        <v>10018</v>
      </c>
      <c r="F4949" s="0" t="s">
        <v>216</v>
      </c>
      <c r="I4949" s="0" t="n">
        <v>351</v>
      </c>
      <c r="J4949" s="0" t="n">
        <v>102408</v>
      </c>
      <c r="K4949" s="0" t="n">
        <v>7891515602918</v>
      </c>
      <c r="L4949" s="0" t="s">
        <v>2968</v>
      </c>
      <c r="N4949" s="0" t="n">
        <v>72</v>
      </c>
      <c r="O4949" s="0" t="n">
        <v>234</v>
      </c>
      <c r="P4949" s="0" t="s">
        <v>2444</v>
      </c>
    </row>
    <row r="4950" customFormat="false" ht="15" hidden="false" customHeight="true" outlineLevel="0" collapsed="false">
      <c r="A4950" s="0" t="n">
        <v>2</v>
      </c>
      <c r="B4950" s="71" t="n">
        <v>46233</v>
      </c>
      <c r="C4950" s="0" t="n">
        <v>11</v>
      </c>
      <c r="D4950" s="0" t="s">
        <v>2471</v>
      </c>
      <c r="E4950" s="0" t="n">
        <v>10018</v>
      </c>
      <c r="F4950" s="0" t="s">
        <v>216</v>
      </c>
      <c r="I4950" s="0" t="n">
        <v>351</v>
      </c>
      <c r="J4950" s="0" t="n">
        <v>81830</v>
      </c>
      <c r="K4950" s="0" t="n">
        <v>1588</v>
      </c>
      <c r="L4950" s="0" t="s">
        <v>4637</v>
      </c>
      <c r="N4950" s="0" t="n">
        <v>20</v>
      </c>
      <c r="O4950" s="0" t="n">
        <v>279.8</v>
      </c>
      <c r="P4950" s="0" t="s">
        <v>2444</v>
      </c>
    </row>
    <row r="4951" customFormat="false" ht="15" hidden="false" customHeight="true" outlineLevel="0" collapsed="false">
      <c r="A4951" s="0" t="n">
        <v>2</v>
      </c>
      <c r="B4951" s="71" t="n">
        <v>46233</v>
      </c>
      <c r="C4951" s="0" t="n">
        <v>11</v>
      </c>
      <c r="D4951" s="0" t="s">
        <v>2471</v>
      </c>
      <c r="E4951" s="0" t="n">
        <v>1783</v>
      </c>
      <c r="F4951" s="0" t="s">
        <v>340</v>
      </c>
      <c r="I4951" s="0" t="n">
        <v>523</v>
      </c>
      <c r="J4951" s="0" t="n">
        <v>39453</v>
      </c>
      <c r="K4951" s="0" t="n">
        <v>4901088061111</v>
      </c>
      <c r="L4951" s="0" t="s">
        <v>2713</v>
      </c>
      <c r="N4951" s="0" t="n">
        <v>96</v>
      </c>
      <c r="O4951" s="0" t="n">
        <v>160.32</v>
      </c>
      <c r="P4951" s="0" t="s">
        <v>2444</v>
      </c>
    </row>
    <row r="4952" customFormat="false" ht="15" hidden="false" customHeight="true" outlineLevel="0" collapsed="false">
      <c r="A4952" s="0" t="n">
        <v>2</v>
      </c>
      <c r="B4952" s="71" t="n">
        <v>46233</v>
      </c>
      <c r="C4952" s="0" t="n">
        <v>11</v>
      </c>
      <c r="D4952" s="0" t="s">
        <v>2471</v>
      </c>
      <c r="E4952" s="0" t="n">
        <v>642</v>
      </c>
      <c r="F4952" s="0" t="s">
        <v>123</v>
      </c>
      <c r="I4952" s="0" t="n">
        <v>562</v>
      </c>
      <c r="J4952" s="0" t="n">
        <v>71766</v>
      </c>
      <c r="K4952" s="0" t="n">
        <v>779180</v>
      </c>
      <c r="L4952" s="0" t="s">
        <v>2501</v>
      </c>
      <c r="N4952" s="0" t="n">
        <v>15</v>
      </c>
      <c r="O4952" s="0" t="n">
        <v>180</v>
      </c>
      <c r="P4952" s="0" t="s">
        <v>2444</v>
      </c>
    </row>
    <row r="4953" customFormat="false" ht="15" hidden="false" customHeight="true" outlineLevel="0" collapsed="false">
      <c r="A4953" s="0" t="n">
        <v>2</v>
      </c>
      <c r="B4953" s="71" t="n">
        <v>46233</v>
      </c>
      <c r="C4953" s="0" t="n">
        <v>11</v>
      </c>
      <c r="D4953" s="0" t="s">
        <v>2471</v>
      </c>
      <c r="E4953" s="0" t="n">
        <v>1899</v>
      </c>
      <c r="F4953" s="0" t="s">
        <v>204</v>
      </c>
      <c r="I4953" s="0" t="n">
        <v>737</v>
      </c>
      <c r="J4953" s="0" t="n">
        <v>44588</v>
      </c>
      <c r="K4953" s="0" t="n">
        <v>7898904331091</v>
      </c>
      <c r="L4953" s="0" t="s">
        <v>2443</v>
      </c>
      <c r="N4953" s="0" t="n">
        <v>10</v>
      </c>
      <c r="O4953" s="0" t="n">
        <v>49.9</v>
      </c>
      <c r="P4953" s="0" t="s">
        <v>2444</v>
      </c>
    </row>
    <row r="4954" customFormat="false" ht="15" hidden="false" customHeight="true" outlineLevel="0" collapsed="false">
      <c r="A4954" s="0" t="n">
        <v>2</v>
      </c>
      <c r="B4954" s="71" t="n">
        <v>46233</v>
      </c>
      <c r="C4954" s="0" t="n">
        <v>11</v>
      </c>
      <c r="D4954" s="0" t="s">
        <v>2471</v>
      </c>
      <c r="E4954" s="0" t="n">
        <v>1899</v>
      </c>
      <c r="F4954" s="0" t="s">
        <v>204</v>
      </c>
      <c r="I4954" s="0" t="n">
        <v>737</v>
      </c>
      <c r="J4954" s="0" t="n">
        <v>77463</v>
      </c>
      <c r="K4954" s="0" t="n">
        <v>774642</v>
      </c>
      <c r="L4954" s="0" t="s">
        <v>2445</v>
      </c>
      <c r="N4954" s="0" t="n">
        <v>20</v>
      </c>
      <c r="O4954" s="0" t="n">
        <v>90</v>
      </c>
      <c r="P4954" s="0" t="s">
        <v>2444</v>
      </c>
    </row>
    <row r="4955" customFormat="false" ht="15" hidden="false" customHeight="true" outlineLevel="0" collapsed="false">
      <c r="A4955" s="0" t="n">
        <v>2</v>
      </c>
      <c r="B4955" s="71" t="n">
        <v>46233</v>
      </c>
      <c r="C4955" s="0" t="n">
        <v>11</v>
      </c>
      <c r="D4955" s="0" t="s">
        <v>2471</v>
      </c>
      <c r="E4955" s="0" t="n">
        <v>1899</v>
      </c>
      <c r="F4955" s="0" t="s">
        <v>204</v>
      </c>
      <c r="I4955" s="0" t="n">
        <v>737</v>
      </c>
      <c r="J4955" s="0" t="n">
        <v>77465</v>
      </c>
      <c r="K4955" s="0" t="n">
        <v>774666</v>
      </c>
      <c r="L4955" s="0" t="s">
        <v>2446</v>
      </c>
      <c r="N4955" s="0" t="n">
        <v>10</v>
      </c>
      <c r="O4955" s="0" t="n">
        <v>49.9</v>
      </c>
      <c r="P4955" s="0" t="s">
        <v>2444</v>
      </c>
    </row>
    <row r="4956" customFormat="false" ht="15" hidden="false" customHeight="true" outlineLevel="0" collapsed="false">
      <c r="A4956" s="0" t="n">
        <v>2</v>
      </c>
      <c r="B4956" s="71" t="n">
        <v>46233</v>
      </c>
      <c r="C4956" s="0" t="n">
        <v>11</v>
      </c>
      <c r="D4956" s="0" t="s">
        <v>2471</v>
      </c>
      <c r="E4956" s="0" t="n">
        <v>1899</v>
      </c>
      <c r="F4956" s="0" t="s">
        <v>204</v>
      </c>
      <c r="I4956" s="0" t="n">
        <v>737</v>
      </c>
      <c r="J4956" s="0" t="n">
        <v>77903</v>
      </c>
      <c r="K4956" s="0" t="n">
        <v>779043</v>
      </c>
      <c r="L4956" s="0" t="s">
        <v>2945</v>
      </c>
      <c r="N4956" s="0" t="n">
        <v>5</v>
      </c>
      <c r="O4956" s="0" t="n">
        <v>22.5</v>
      </c>
      <c r="P4956" s="0" t="s">
        <v>2444</v>
      </c>
    </row>
    <row r="4957" customFormat="false" ht="15" hidden="false" customHeight="true" outlineLevel="0" collapsed="false">
      <c r="A4957" s="0" t="n">
        <v>2</v>
      </c>
      <c r="B4957" s="71" t="n">
        <v>46233</v>
      </c>
      <c r="C4957" s="0" t="n">
        <v>11</v>
      </c>
      <c r="D4957" s="0" t="s">
        <v>2471</v>
      </c>
      <c r="E4957" s="0" t="n">
        <v>1899</v>
      </c>
      <c r="F4957" s="0" t="s">
        <v>204</v>
      </c>
      <c r="I4957" s="0" t="n">
        <v>737</v>
      </c>
      <c r="J4957" s="0" t="n">
        <v>78013</v>
      </c>
      <c r="K4957" s="0" t="n">
        <v>780148</v>
      </c>
      <c r="L4957" s="0" t="s">
        <v>2584</v>
      </c>
      <c r="N4957" s="0" t="n">
        <v>5</v>
      </c>
      <c r="O4957" s="0" t="n">
        <v>22.5</v>
      </c>
      <c r="P4957" s="0" t="s">
        <v>2444</v>
      </c>
    </row>
    <row r="4958" customFormat="false" ht="15" hidden="false" customHeight="true" outlineLevel="0" collapsed="false">
      <c r="A4958" s="0" t="n">
        <v>2</v>
      </c>
      <c r="B4958" s="71" t="n">
        <v>46233</v>
      </c>
      <c r="C4958" s="0" t="n">
        <v>11</v>
      </c>
      <c r="D4958" s="0" t="s">
        <v>2471</v>
      </c>
      <c r="E4958" s="0" t="n">
        <v>1899</v>
      </c>
      <c r="F4958" s="0" t="s">
        <v>204</v>
      </c>
      <c r="I4958" s="0" t="n">
        <v>737</v>
      </c>
      <c r="J4958" s="0" t="n">
        <v>78015</v>
      </c>
      <c r="K4958" s="0" t="n">
        <v>780162</v>
      </c>
      <c r="L4958" s="0" t="s">
        <v>2447</v>
      </c>
      <c r="N4958" s="0" t="n">
        <v>10</v>
      </c>
      <c r="O4958" s="0" t="n">
        <v>49.9</v>
      </c>
      <c r="P4958" s="0" t="s">
        <v>2444</v>
      </c>
    </row>
    <row r="4959" customFormat="false" ht="15" hidden="false" customHeight="true" outlineLevel="0" collapsed="false">
      <c r="A4959" s="0" t="n">
        <v>2</v>
      </c>
      <c r="B4959" s="71" t="n">
        <v>46233</v>
      </c>
      <c r="C4959" s="0" t="n">
        <v>11</v>
      </c>
      <c r="D4959" s="0" t="s">
        <v>2471</v>
      </c>
      <c r="E4959" s="0" t="n">
        <v>1609</v>
      </c>
      <c r="F4959" s="0" t="s">
        <v>84</v>
      </c>
      <c r="I4959" s="0" t="n">
        <v>5889</v>
      </c>
      <c r="J4959" s="0" t="n">
        <v>13225</v>
      </c>
      <c r="K4959" s="0" t="n">
        <v>7896981601151</v>
      </c>
      <c r="L4959" s="0" t="s">
        <v>3453</v>
      </c>
      <c r="N4959" s="0" t="n">
        <v>12</v>
      </c>
      <c r="O4959" s="0" t="n">
        <v>45</v>
      </c>
      <c r="P4959" s="0" t="s">
        <v>2444</v>
      </c>
    </row>
    <row r="4960" customFormat="false" ht="15" hidden="false" customHeight="true" outlineLevel="0" collapsed="false">
      <c r="A4960" s="0" t="n">
        <v>2</v>
      </c>
      <c r="B4960" s="71" t="n">
        <v>46233</v>
      </c>
      <c r="C4960" s="0" t="n">
        <v>11</v>
      </c>
      <c r="D4960" s="0" t="s">
        <v>2471</v>
      </c>
      <c r="E4960" s="0" t="n">
        <v>1609</v>
      </c>
      <c r="F4960" s="0" t="s">
        <v>84</v>
      </c>
      <c r="I4960" s="0" t="n">
        <v>5889</v>
      </c>
      <c r="J4960" s="0" t="n">
        <v>13720</v>
      </c>
      <c r="K4960" s="0" t="n">
        <v>7896981600307</v>
      </c>
      <c r="L4960" s="0" t="s">
        <v>2608</v>
      </c>
      <c r="N4960" s="0" t="n">
        <v>9</v>
      </c>
      <c r="O4960" s="0" t="n">
        <v>55</v>
      </c>
      <c r="P4960" s="0" t="s">
        <v>2444</v>
      </c>
    </row>
    <row r="4961" customFormat="false" ht="15" hidden="false" customHeight="true" outlineLevel="0" collapsed="false">
      <c r="A4961" s="0" t="n">
        <v>2</v>
      </c>
      <c r="B4961" s="71" t="n">
        <v>46233</v>
      </c>
      <c r="C4961" s="0" t="n">
        <v>11</v>
      </c>
      <c r="D4961" s="0" t="s">
        <v>2471</v>
      </c>
      <c r="E4961" s="0" t="n">
        <v>1609</v>
      </c>
      <c r="F4961" s="0" t="s">
        <v>84</v>
      </c>
      <c r="I4961" s="0" t="n">
        <v>5889</v>
      </c>
      <c r="J4961" s="0" t="n">
        <v>17163</v>
      </c>
      <c r="K4961" s="0" t="n">
        <v>7896981600567</v>
      </c>
      <c r="L4961" s="0" t="s">
        <v>2609</v>
      </c>
      <c r="N4961" s="0" t="n">
        <v>9</v>
      </c>
      <c r="O4961" s="0" t="n">
        <v>80</v>
      </c>
      <c r="P4961" s="0" t="s">
        <v>2444</v>
      </c>
    </row>
    <row r="4962" customFormat="false" ht="15" hidden="false" customHeight="true" outlineLevel="0" collapsed="false">
      <c r="A4962" s="0" t="n">
        <v>2</v>
      </c>
      <c r="B4962" s="71" t="n">
        <v>46233</v>
      </c>
      <c r="C4962" s="0" t="n">
        <v>11</v>
      </c>
      <c r="D4962" s="0" t="s">
        <v>2471</v>
      </c>
      <c r="E4962" s="0" t="n">
        <v>1609</v>
      </c>
      <c r="F4962" s="0" t="s">
        <v>84</v>
      </c>
      <c r="I4962" s="0" t="n">
        <v>5889</v>
      </c>
      <c r="J4962" s="0" t="n">
        <v>18383</v>
      </c>
      <c r="K4962" s="0" t="n">
        <v>7896878801138</v>
      </c>
      <c r="L4962" s="0" t="s">
        <v>2611</v>
      </c>
      <c r="N4962" s="0" t="n">
        <v>5</v>
      </c>
      <c r="O4962" s="0" t="n">
        <v>20.25</v>
      </c>
      <c r="P4962" s="0" t="s">
        <v>2444</v>
      </c>
    </row>
    <row r="4963" customFormat="false" ht="15" hidden="false" customHeight="true" outlineLevel="0" collapsed="false">
      <c r="A4963" s="0" t="n">
        <v>2</v>
      </c>
      <c r="B4963" s="71" t="n">
        <v>46233</v>
      </c>
      <c r="C4963" s="0" t="n">
        <v>11</v>
      </c>
      <c r="D4963" s="0" t="s">
        <v>2471</v>
      </c>
      <c r="E4963" s="0" t="n">
        <v>1609</v>
      </c>
      <c r="F4963" s="0" t="s">
        <v>84</v>
      </c>
      <c r="I4963" s="0" t="n">
        <v>5889</v>
      </c>
      <c r="J4963" s="0" t="n">
        <v>18384</v>
      </c>
      <c r="K4963" s="0" t="n">
        <v>7896878801206</v>
      </c>
      <c r="L4963" s="0" t="s">
        <v>2612</v>
      </c>
      <c r="N4963" s="0" t="n">
        <v>20</v>
      </c>
      <c r="O4963" s="0" t="n">
        <v>61</v>
      </c>
      <c r="P4963" s="0" t="s">
        <v>2444</v>
      </c>
    </row>
    <row r="4964" customFormat="false" ht="15" hidden="false" customHeight="true" outlineLevel="0" collapsed="false">
      <c r="A4964" s="0" t="n">
        <v>2</v>
      </c>
      <c r="B4964" s="71" t="n">
        <v>46233</v>
      </c>
      <c r="C4964" s="0" t="n">
        <v>11</v>
      </c>
      <c r="D4964" s="0" t="s">
        <v>2471</v>
      </c>
      <c r="E4964" s="0" t="n">
        <v>1609</v>
      </c>
      <c r="F4964" s="0" t="s">
        <v>84</v>
      </c>
      <c r="I4964" s="0" t="n">
        <v>5889</v>
      </c>
      <c r="J4964" s="0" t="n">
        <v>18775</v>
      </c>
      <c r="K4964" s="0" t="n">
        <v>7896878801237</v>
      </c>
      <c r="L4964" s="0" t="s">
        <v>2614</v>
      </c>
      <c r="N4964" s="0" t="n">
        <v>20</v>
      </c>
      <c r="O4964" s="0" t="n">
        <v>66</v>
      </c>
      <c r="P4964" s="0" t="s">
        <v>2444</v>
      </c>
    </row>
    <row r="4965" customFormat="false" ht="15" hidden="false" customHeight="true" outlineLevel="0" collapsed="false">
      <c r="A4965" s="0" t="n">
        <v>2</v>
      </c>
      <c r="B4965" s="71" t="n">
        <v>46233</v>
      </c>
      <c r="C4965" s="0" t="n">
        <v>11</v>
      </c>
      <c r="D4965" s="0" t="s">
        <v>2471</v>
      </c>
      <c r="E4965" s="0" t="n">
        <v>1609</v>
      </c>
      <c r="F4965" s="0" t="s">
        <v>84</v>
      </c>
      <c r="I4965" s="0" t="n">
        <v>5889</v>
      </c>
      <c r="J4965" s="0" t="n">
        <v>18910</v>
      </c>
      <c r="K4965" s="0" t="n">
        <v>7896878801176</v>
      </c>
      <c r="L4965" s="0" t="s">
        <v>2615</v>
      </c>
      <c r="N4965" s="0" t="n">
        <v>5</v>
      </c>
      <c r="O4965" s="0" t="n">
        <v>20.25</v>
      </c>
      <c r="P4965" s="0" t="s">
        <v>2444</v>
      </c>
    </row>
    <row r="4966" customFormat="false" ht="15" hidden="false" customHeight="true" outlineLevel="0" collapsed="false">
      <c r="A4966" s="0" t="n">
        <v>2</v>
      </c>
      <c r="B4966" s="71" t="n">
        <v>46233</v>
      </c>
      <c r="C4966" s="0" t="n">
        <v>11</v>
      </c>
      <c r="D4966" s="0" t="s">
        <v>2471</v>
      </c>
      <c r="E4966" s="0" t="n">
        <v>1609</v>
      </c>
      <c r="F4966" s="0" t="s">
        <v>84</v>
      </c>
      <c r="I4966" s="0" t="n">
        <v>5889</v>
      </c>
      <c r="J4966" s="0" t="n">
        <v>18968</v>
      </c>
      <c r="K4966" s="0" t="n">
        <v>7896878801244</v>
      </c>
      <c r="L4966" s="0" t="s">
        <v>2616</v>
      </c>
      <c r="N4966" s="0" t="n">
        <v>20</v>
      </c>
      <c r="O4966" s="0" t="n">
        <v>66</v>
      </c>
      <c r="P4966" s="0" t="s">
        <v>2444</v>
      </c>
    </row>
    <row r="4967" customFormat="false" ht="15" hidden="false" customHeight="true" outlineLevel="0" collapsed="false">
      <c r="A4967" s="0" t="n">
        <v>2</v>
      </c>
      <c r="B4967" s="71" t="n">
        <v>46233</v>
      </c>
      <c r="C4967" s="0" t="n">
        <v>11</v>
      </c>
      <c r="D4967" s="0" t="s">
        <v>2471</v>
      </c>
      <c r="E4967" s="0" t="n">
        <v>1609</v>
      </c>
      <c r="F4967" s="0" t="s">
        <v>84</v>
      </c>
      <c r="I4967" s="0" t="n">
        <v>5889</v>
      </c>
      <c r="J4967" s="0" t="n">
        <v>20027</v>
      </c>
      <c r="K4967" s="0" t="n">
        <v>7896878801053</v>
      </c>
      <c r="L4967" s="0" t="s">
        <v>2617</v>
      </c>
      <c r="N4967" s="0" t="n">
        <v>5</v>
      </c>
      <c r="O4967" s="0" t="n">
        <v>20.25</v>
      </c>
      <c r="P4967" s="0" t="s">
        <v>2444</v>
      </c>
    </row>
    <row r="4968" customFormat="false" ht="15" hidden="false" customHeight="true" outlineLevel="0" collapsed="false">
      <c r="A4968" s="0" t="n">
        <v>2</v>
      </c>
      <c r="B4968" s="71" t="n">
        <v>46233</v>
      </c>
      <c r="C4968" s="0" t="n">
        <v>11</v>
      </c>
      <c r="D4968" s="0" t="s">
        <v>2471</v>
      </c>
      <c r="E4968" s="0" t="n">
        <v>1609</v>
      </c>
      <c r="F4968" s="0" t="s">
        <v>84</v>
      </c>
      <c r="I4968" s="0" t="n">
        <v>5889</v>
      </c>
      <c r="J4968" s="0" t="n">
        <v>24963</v>
      </c>
      <c r="K4968" s="0" t="n">
        <v>7896878801060</v>
      </c>
      <c r="L4968" s="0" t="s">
        <v>2618</v>
      </c>
      <c r="N4968" s="0" t="n">
        <v>2</v>
      </c>
      <c r="O4968" s="0" t="n">
        <v>15.7</v>
      </c>
      <c r="P4968" s="0" t="s">
        <v>2444</v>
      </c>
    </row>
    <row r="4969" customFormat="false" ht="15" hidden="false" customHeight="true" outlineLevel="0" collapsed="false">
      <c r="A4969" s="0" t="n">
        <v>2</v>
      </c>
      <c r="B4969" s="71" t="n">
        <v>46233</v>
      </c>
      <c r="C4969" s="0" t="n">
        <v>11</v>
      </c>
      <c r="D4969" s="0" t="s">
        <v>2471</v>
      </c>
      <c r="E4969" s="0" t="n">
        <v>1609</v>
      </c>
      <c r="F4969" s="0" t="s">
        <v>84</v>
      </c>
      <c r="I4969" s="0" t="n">
        <v>5889</v>
      </c>
      <c r="J4969" s="0" t="n">
        <v>24964</v>
      </c>
      <c r="K4969" s="0" t="n">
        <v>7896878801183</v>
      </c>
      <c r="L4969" s="0" t="s">
        <v>2619</v>
      </c>
      <c r="N4969" s="0" t="n">
        <v>2</v>
      </c>
      <c r="O4969" s="0" t="n">
        <v>15.7</v>
      </c>
      <c r="P4969" s="0" t="s">
        <v>2444</v>
      </c>
    </row>
    <row r="4970" customFormat="false" ht="15" hidden="false" customHeight="true" outlineLevel="0" collapsed="false">
      <c r="A4970" s="0" t="n">
        <v>2</v>
      </c>
      <c r="B4970" s="71" t="n">
        <v>46233</v>
      </c>
      <c r="C4970" s="0" t="n">
        <v>11</v>
      </c>
      <c r="D4970" s="0" t="s">
        <v>2471</v>
      </c>
      <c r="E4970" s="0" t="n">
        <v>1609</v>
      </c>
      <c r="F4970" s="0" t="s">
        <v>84</v>
      </c>
      <c r="I4970" s="0" t="n">
        <v>5889</v>
      </c>
      <c r="J4970" s="0" t="n">
        <v>24965</v>
      </c>
      <c r="K4970" s="0" t="n">
        <v>7896878801107</v>
      </c>
      <c r="L4970" s="0" t="s">
        <v>2620</v>
      </c>
      <c r="N4970" s="0" t="n">
        <v>2</v>
      </c>
      <c r="O4970" s="0" t="n">
        <v>15.7</v>
      </c>
      <c r="P4970" s="0" t="s">
        <v>2444</v>
      </c>
    </row>
    <row r="4971" customFormat="false" ht="15" hidden="false" customHeight="true" outlineLevel="0" collapsed="false">
      <c r="A4971" s="0" t="n">
        <v>2</v>
      </c>
      <c r="B4971" s="71" t="n">
        <v>46233</v>
      </c>
      <c r="C4971" s="0" t="n">
        <v>11</v>
      </c>
      <c r="D4971" s="0" t="s">
        <v>2471</v>
      </c>
      <c r="E4971" s="0" t="n">
        <v>1609</v>
      </c>
      <c r="F4971" s="0" t="s">
        <v>84</v>
      </c>
      <c r="I4971" s="0" t="n">
        <v>5889</v>
      </c>
      <c r="J4971" s="0" t="n">
        <v>32861</v>
      </c>
      <c r="K4971" s="0" t="n">
        <v>7896878801145</v>
      </c>
      <c r="L4971" s="0" t="s">
        <v>2621</v>
      </c>
      <c r="N4971" s="0" t="n">
        <v>3</v>
      </c>
      <c r="O4971" s="0" t="n">
        <v>23.55</v>
      </c>
      <c r="P4971" s="0" t="s">
        <v>2444</v>
      </c>
    </row>
    <row r="4972" customFormat="false" ht="15" hidden="false" customHeight="true" outlineLevel="0" collapsed="false">
      <c r="A4972" s="0" t="n">
        <v>2</v>
      </c>
      <c r="B4972" s="71" t="n">
        <v>46233</v>
      </c>
      <c r="C4972" s="0" t="n">
        <v>11</v>
      </c>
      <c r="D4972" s="0" t="s">
        <v>2471</v>
      </c>
      <c r="E4972" s="0" t="n">
        <v>1609</v>
      </c>
      <c r="F4972" s="0" t="s">
        <v>84</v>
      </c>
      <c r="I4972" s="0" t="n">
        <v>5889</v>
      </c>
      <c r="J4972" s="0" t="n">
        <v>80962</v>
      </c>
      <c r="K4972" s="0" t="n">
        <v>7890678801091</v>
      </c>
      <c r="L4972" s="0" t="s">
        <v>2623</v>
      </c>
      <c r="N4972" s="0" t="n">
        <v>5</v>
      </c>
      <c r="O4972" s="0" t="n">
        <v>20.25</v>
      </c>
      <c r="P4972" s="0" t="s">
        <v>2444</v>
      </c>
    </row>
    <row r="4973" customFormat="false" ht="15" hidden="false" customHeight="true" outlineLevel="0" collapsed="false">
      <c r="A4973" s="0" t="n">
        <v>2</v>
      </c>
      <c r="B4973" s="71" t="n">
        <v>46233</v>
      </c>
      <c r="C4973" s="0" t="n">
        <v>11</v>
      </c>
      <c r="D4973" s="0" t="s">
        <v>2471</v>
      </c>
      <c r="E4973" s="0" t="n">
        <v>1625</v>
      </c>
      <c r="F4973" s="0" t="s">
        <v>270</v>
      </c>
      <c r="I4973" s="0" t="n">
        <v>14864</v>
      </c>
      <c r="J4973" s="0" t="n">
        <v>29079</v>
      </c>
      <c r="K4973" s="0" t="n">
        <v>55515</v>
      </c>
      <c r="L4973" s="0" t="s">
        <v>2449</v>
      </c>
      <c r="N4973" s="0" t="n">
        <v>79.8</v>
      </c>
      <c r="O4973" s="0" t="n">
        <v>2553.6</v>
      </c>
      <c r="P4973" s="0" t="s">
        <v>2444</v>
      </c>
    </row>
    <row r="4974" customFormat="false" ht="15" hidden="false" customHeight="true" outlineLevel="0" collapsed="false">
      <c r="A4974" s="0" t="n">
        <v>2</v>
      </c>
      <c r="B4974" s="71" t="n">
        <v>46233</v>
      </c>
      <c r="C4974" s="0" t="n">
        <v>11</v>
      </c>
      <c r="D4974" s="0" t="s">
        <v>2471</v>
      </c>
      <c r="E4974" s="0" t="n">
        <v>1625</v>
      </c>
      <c r="F4974" s="0" t="s">
        <v>270</v>
      </c>
      <c r="I4974" s="0" t="n">
        <v>14864</v>
      </c>
      <c r="J4974" s="0" t="n">
        <v>77455</v>
      </c>
      <c r="K4974" s="0" t="n">
        <v>774567</v>
      </c>
      <c r="L4974" s="0" t="s">
        <v>2624</v>
      </c>
      <c r="N4974" s="0" t="n">
        <v>21.8</v>
      </c>
      <c r="O4974" s="0" t="n">
        <v>697.6</v>
      </c>
      <c r="P4974" s="0" t="s">
        <v>2444</v>
      </c>
    </row>
    <row r="4975" customFormat="false" ht="15" hidden="false" customHeight="true" outlineLevel="0" collapsed="false">
      <c r="A4975" s="0" t="n">
        <v>2</v>
      </c>
      <c r="B4975" s="71" t="n">
        <v>46233</v>
      </c>
      <c r="C4975" s="0" t="n">
        <v>11</v>
      </c>
      <c r="D4975" s="0" t="s">
        <v>2471</v>
      </c>
      <c r="E4975" s="0" t="n">
        <v>1625</v>
      </c>
      <c r="F4975" s="0" t="s">
        <v>270</v>
      </c>
      <c r="I4975" s="0" t="n">
        <v>14864</v>
      </c>
      <c r="J4975" s="0" t="n">
        <v>77455</v>
      </c>
      <c r="K4975" s="0" t="n">
        <v>774567</v>
      </c>
      <c r="L4975" s="0" t="s">
        <v>2624</v>
      </c>
      <c r="N4975" s="0" t="n">
        <v>18.4</v>
      </c>
      <c r="O4975" s="0" t="n">
        <v>588.8</v>
      </c>
      <c r="P4975" s="0" t="s">
        <v>2444</v>
      </c>
    </row>
    <row r="4976" customFormat="false" ht="15" hidden="false" customHeight="true" outlineLevel="0" collapsed="false">
      <c r="A4976" s="0" t="n">
        <v>2</v>
      </c>
      <c r="B4976" s="71" t="n">
        <v>46233</v>
      </c>
      <c r="C4976" s="0" t="n">
        <v>11</v>
      </c>
      <c r="D4976" s="0" t="s">
        <v>2471</v>
      </c>
      <c r="E4976" s="0" t="n">
        <v>10002</v>
      </c>
      <c r="F4976" s="0" t="s">
        <v>197</v>
      </c>
      <c r="I4976" s="0" t="n">
        <v>197070</v>
      </c>
      <c r="J4976" s="0" t="n">
        <v>103117</v>
      </c>
      <c r="K4976" s="0" t="n">
        <v>7896014400737</v>
      </c>
      <c r="L4976" s="0" t="s">
        <v>2591</v>
      </c>
      <c r="N4976" s="0" t="n">
        <v>48</v>
      </c>
      <c r="O4976" s="0" t="n">
        <v>69.16</v>
      </c>
      <c r="P4976" s="0" t="s">
        <v>2444</v>
      </c>
    </row>
    <row r="4977" customFormat="false" ht="15" hidden="false" customHeight="true" outlineLevel="0" collapsed="false">
      <c r="A4977" s="0" t="n">
        <v>2</v>
      </c>
      <c r="B4977" s="71" t="n">
        <v>46233</v>
      </c>
      <c r="C4977" s="0" t="n">
        <v>11</v>
      </c>
      <c r="D4977" s="0" t="s">
        <v>2471</v>
      </c>
      <c r="E4977" s="0" t="n">
        <v>10002</v>
      </c>
      <c r="F4977" s="0" t="s">
        <v>197</v>
      </c>
      <c r="I4977" s="0" t="n">
        <v>197070</v>
      </c>
      <c r="J4977" s="0" t="n">
        <v>103118</v>
      </c>
      <c r="K4977" s="0" t="n">
        <v>7896014400645</v>
      </c>
      <c r="L4977" s="0" t="s">
        <v>2592</v>
      </c>
      <c r="N4977" s="0" t="n">
        <v>96</v>
      </c>
      <c r="O4977" s="0" t="n">
        <v>163.6</v>
      </c>
      <c r="P4977" s="0" t="s">
        <v>2444</v>
      </c>
    </row>
    <row r="4978" customFormat="false" ht="15" hidden="false" customHeight="true" outlineLevel="0" collapsed="false">
      <c r="A4978" s="0" t="n">
        <v>2</v>
      </c>
      <c r="B4978" s="71" t="n">
        <v>46233</v>
      </c>
      <c r="C4978" s="0" t="n">
        <v>11</v>
      </c>
      <c r="D4978" s="0" t="s">
        <v>2471</v>
      </c>
      <c r="E4978" s="0" t="n">
        <v>10002</v>
      </c>
      <c r="F4978" s="0" t="s">
        <v>197</v>
      </c>
      <c r="I4978" s="0" t="n">
        <v>197070</v>
      </c>
      <c r="J4978" s="0" t="n">
        <v>103120</v>
      </c>
      <c r="K4978" s="0" t="n">
        <v>7896014400287</v>
      </c>
      <c r="L4978" s="0" t="s">
        <v>4638</v>
      </c>
      <c r="N4978" s="0" t="n">
        <v>48</v>
      </c>
      <c r="O4978" s="0" t="n">
        <v>93.2</v>
      </c>
      <c r="P4978" s="0" t="s">
        <v>2444</v>
      </c>
    </row>
    <row r="4979" customFormat="false" ht="15" hidden="false" customHeight="true" outlineLevel="0" collapsed="false">
      <c r="A4979" s="0" t="n">
        <v>2</v>
      </c>
      <c r="B4979" s="71" t="n">
        <v>46233</v>
      </c>
      <c r="C4979" s="0" t="n">
        <v>11</v>
      </c>
      <c r="D4979" s="0" t="s">
        <v>2471</v>
      </c>
      <c r="E4979" s="0" t="n">
        <v>10002</v>
      </c>
      <c r="F4979" s="0" t="s">
        <v>197</v>
      </c>
      <c r="I4979" s="0" t="n">
        <v>197070</v>
      </c>
      <c r="J4979" s="0" t="n">
        <v>12081</v>
      </c>
      <c r="K4979" s="0" t="n">
        <v>7896014401079</v>
      </c>
      <c r="L4979" s="0" t="s">
        <v>2594</v>
      </c>
      <c r="N4979" s="0" t="n">
        <v>48</v>
      </c>
      <c r="O4979" s="0" t="n">
        <v>116.88</v>
      </c>
      <c r="P4979" s="0" t="s">
        <v>2444</v>
      </c>
    </row>
    <row r="4980" customFormat="false" ht="15" hidden="false" customHeight="true" outlineLevel="0" collapsed="false">
      <c r="A4980" s="0" t="n">
        <v>2</v>
      </c>
      <c r="B4980" s="71" t="n">
        <v>46233</v>
      </c>
      <c r="C4980" s="0" t="n">
        <v>11</v>
      </c>
      <c r="D4980" s="0" t="s">
        <v>2471</v>
      </c>
      <c r="E4980" s="0" t="n">
        <v>10002</v>
      </c>
      <c r="F4980" s="0" t="s">
        <v>197</v>
      </c>
      <c r="I4980" s="0" t="n">
        <v>197070</v>
      </c>
      <c r="J4980" s="0" t="n">
        <v>12082</v>
      </c>
      <c r="K4980" s="0" t="n">
        <v>7896014400829</v>
      </c>
      <c r="L4980" s="0" t="s">
        <v>2595</v>
      </c>
      <c r="N4980" s="0" t="n">
        <v>48</v>
      </c>
      <c r="O4980" s="0" t="n">
        <v>195.6</v>
      </c>
      <c r="P4980" s="0" t="s">
        <v>2444</v>
      </c>
    </row>
    <row r="4981" customFormat="false" ht="15" hidden="false" customHeight="true" outlineLevel="0" collapsed="false">
      <c r="A4981" s="0" t="n">
        <v>2</v>
      </c>
      <c r="B4981" s="71" t="n">
        <v>46233</v>
      </c>
      <c r="C4981" s="0" t="n">
        <v>11</v>
      </c>
      <c r="D4981" s="0" t="s">
        <v>2471</v>
      </c>
      <c r="E4981" s="0" t="n">
        <v>10002</v>
      </c>
      <c r="F4981" s="0" t="s">
        <v>197</v>
      </c>
      <c r="I4981" s="0" t="n">
        <v>197070</v>
      </c>
      <c r="J4981" s="0" t="n">
        <v>29066</v>
      </c>
      <c r="K4981" s="0" t="n">
        <v>7896014499007</v>
      </c>
      <c r="L4981" s="0" t="s">
        <v>2596</v>
      </c>
      <c r="N4981" s="0" t="n">
        <v>48</v>
      </c>
      <c r="O4981" s="0" t="n">
        <v>126.4</v>
      </c>
      <c r="P4981" s="0" t="s">
        <v>2444</v>
      </c>
    </row>
    <row r="4982" customFormat="false" ht="15" hidden="false" customHeight="true" outlineLevel="0" collapsed="false">
      <c r="A4982" s="0" t="n">
        <v>2</v>
      </c>
      <c r="B4982" s="71" t="n">
        <v>46233</v>
      </c>
      <c r="C4982" s="0" t="n">
        <v>11</v>
      </c>
      <c r="D4982" s="0" t="s">
        <v>2471</v>
      </c>
      <c r="E4982" s="0" t="n">
        <v>10002</v>
      </c>
      <c r="F4982" s="0" t="s">
        <v>197</v>
      </c>
      <c r="I4982" s="0" t="n">
        <v>197070</v>
      </c>
      <c r="J4982" s="0" t="n">
        <v>30958</v>
      </c>
      <c r="K4982" s="0" t="n">
        <v>7896014400720</v>
      </c>
      <c r="L4982" s="0" t="s">
        <v>2592</v>
      </c>
      <c r="N4982" s="0" t="n">
        <v>4</v>
      </c>
      <c r="O4982" s="0" t="n">
        <v>66.04</v>
      </c>
      <c r="P4982" s="0" t="s">
        <v>2444</v>
      </c>
    </row>
    <row r="4983" customFormat="false" ht="15" hidden="false" customHeight="true" outlineLevel="0" collapsed="false">
      <c r="A4983" s="0" t="n">
        <v>2</v>
      </c>
      <c r="B4983" s="71" t="n">
        <v>46233</v>
      </c>
      <c r="C4983" s="0" t="n">
        <v>11</v>
      </c>
      <c r="D4983" s="0" t="s">
        <v>2471</v>
      </c>
      <c r="E4983" s="0" t="n">
        <v>1734</v>
      </c>
      <c r="F4983" s="0" t="s">
        <v>566</v>
      </c>
      <c r="I4983" s="0" t="n">
        <v>256582</v>
      </c>
      <c r="J4983" s="0" t="n">
        <v>38201</v>
      </c>
      <c r="K4983" s="0" t="n">
        <v>7898055451587</v>
      </c>
      <c r="L4983" s="0" t="s">
        <v>2775</v>
      </c>
      <c r="N4983" s="0" t="n">
        <v>2</v>
      </c>
      <c r="O4983" s="0" t="n">
        <v>49.72</v>
      </c>
      <c r="P4983" s="0" t="s">
        <v>2444</v>
      </c>
    </row>
    <row r="4984" customFormat="false" ht="15" hidden="false" customHeight="true" outlineLevel="0" collapsed="false">
      <c r="A4984" s="0" t="n">
        <v>2</v>
      </c>
      <c r="B4984" s="71" t="n">
        <v>46233</v>
      </c>
      <c r="C4984" s="0" t="n">
        <v>11</v>
      </c>
      <c r="D4984" s="0" t="s">
        <v>2471</v>
      </c>
      <c r="E4984" s="0" t="n">
        <v>1734</v>
      </c>
      <c r="F4984" s="0" t="s">
        <v>566</v>
      </c>
      <c r="I4984" s="0" t="n">
        <v>256582</v>
      </c>
      <c r="J4984" s="0" t="n">
        <v>38209</v>
      </c>
      <c r="K4984" s="0" t="n">
        <v>7898055451761</v>
      </c>
      <c r="L4984" s="0" t="s">
        <v>3849</v>
      </c>
      <c r="N4984" s="0" t="n">
        <v>2</v>
      </c>
      <c r="O4984" s="0" t="n">
        <v>49.72</v>
      </c>
      <c r="P4984" s="0" t="s">
        <v>2444</v>
      </c>
    </row>
    <row r="4985" customFormat="false" ht="15" hidden="false" customHeight="true" outlineLevel="0" collapsed="false">
      <c r="A4985" s="0" t="n">
        <v>2</v>
      </c>
      <c r="B4985" s="71" t="n">
        <v>46233</v>
      </c>
      <c r="C4985" s="0" t="n">
        <v>11</v>
      </c>
      <c r="D4985" s="0" t="s">
        <v>2471</v>
      </c>
      <c r="E4985" s="0" t="n">
        <v>1734</v>
      </c>
      <c r="F4985" s="0" t="s">
        <v>566</v>
      </c>
      <c r="I4985" s="0" t="n">
        <v>256582</v>
      </c>
      <c r="J4985" s="0" t="n">
        <v>38210</v>
      </c>
      <c r="K4985" s="0" t="n">
        <v>7898055452119</v>
      </c>
      <c r="L4985" s="0" t="s">
        <v>4639</v>
      </c>
      <c r="N4985" s="0" t="n">
        <v>2</v>
      </c>
      <c r="O4985" s="0" t="n">
        <v>49.72</v>
      </c>
      <c r="P4985" s="0" t="s">
        <v>2444</v>
      </c>
    </row>
    <row r="4986" customFormat="false" ht="15" hidden="false" customHeight="true" outlineLevel="0" collapsed="false">
      <c r="A4986" s="0" t="n">
        <v>2</v>
      </c>
      <c r="B4986" s="71" t="n">
        <v>46233</v>
      </c>
      <c r="C4986" s="0" t="n">
        <v>11</v>
      </c>
      <c r="D4986" s="0" t="s">
        <v>2471</v>
      </c>
      <c r="E4986" s="0" t="n">
        <v>1734</v>
      </c>
      <c r="F4986" s="0" t="s">
        <v>566</v>
      </c>
      <c r="I4986" s="0" t="n">
        <v>256582</v>
      </c>
      <c r="J4986" s="0" t="n">
        <v>38212</v>
      </c>
      <c r="K4986" s="0" t="n">
        <v>7898055451624</v>
      </c>
      <c r="L4986" s="0" t="s">
        <v>3850</v>
      </c>
      <c r="N4986" s="0" t="n">
        <v>2</v>
      </c>
      <c r="O4986" s="0" t="n">
        <v>32.94</v>
      </c>
      <c r="P4986" s="0" t="s">
        <v>2444</v>
      </c>
    </row>
    <row r="4987" customFormat="false" ht="15" hidden="false" customHeight="true" outlineLevel="0" collapsed="false">
      <c r="A4987" s="0" t="n">
        <v>2</v>
      </c>
      <c r="B4987" s="71" t="n">
        <v>46233</v>
      </c>
      <c r="C4987" s="0" t="n">
        <v>11</v>
      </c>
      <c r="D4987" s="0" t="s">
        <v>2471</v>
      </c>
      <c r="E4987" s="0" t="n">
        <v>1734</v>
      </c>
      <c r="F4987" s="0" t="s">
        <v>566</v>
      </c>
      <c r="I4987" s="0" t="n">
        <v>256582</v>
      </c>
      <c r="J4987" s="0" t="n">
        <v>38213</v>
      </c>
      <c r="K4987" s="0" t="n">
        <v>7898055450023</v>
      </c>
      <c r="L4987" s="0" t="s">
        <v>2775</v>
      </c>
      <c r="N4987" s="0" t="n">
        <v>2</v>
      </c>
      <c r="O4987" s="0" t="n">
        <v>49.72</v>
      </c>
      <c r="P4987" s="0" t="s">
        <v>2444</v>
      </c>
    </row>
    <row r="4988" customFormat="false" ht="15" hidden="false" customHeight="true" outlineLevel="0" collapsed="false">
      <c r="A4988" s="0" t="n">
        <v>2</v>
      </c>
      <c r="B4988" s="71" t="n">
        <v>46233</v>
      </c>
      <c r="C4988" s="0" t="n">
        <v>11</v>
      </c>
      <c r="D4988" s="0" t="s">
        <v>2471</v>
      </c>
      <c r="E4988" s="0" t="n">
        <v>1734</v>
      </c>
      <c r="F4988" s="0" t="s">
        <v>566</v>
      </c>
      <c r="I4988" s="0" t="n">
        <v>256582</v>
      </c>
      <c r="J4988" s="0" t="n">
        <v>38214</v>
      </c>
      <c r="K4988" s="0" t="n">
        <v>7898055452249</v>
      </c>
      <c r="L4988" s="0" t="s">
        <v>2776</v>
      </c>
      <c r="N4988" s="0" t="n">
        <v>3</v>
      </c>
      <c r="O4988" s="0" t="n">
        <v>74.58</v>
      </c>
      <c r="P4988" s="0" t="s">
        <v>2444</v>
      </c>
    </row>
    <row r="4989" customFormat="false" ht="15" hidden="false" customHeight="true" outlineLevel="0" collapsed="false">
      <c r="A4989" s="0" t="n">
        <v>2</v>
      </c>
      <c r="B4989" s="71" t="n">
        <v>46233</v>
      </c>
      <c r="C4989" s="0" t="n">
        <v>11</v>
      </c>
      <c r="D4989" s="0" t="s">
        <v>2471</v>
      </c>
      <c r="E4989" s="0" t="n">
        <v>1734</v>
      </c>
      <c r="F4989" s="0" t="s">
        <v>566</v>
      </c>
      <c r="I4989" s="0" t="n">
        <v>256582</v>
      </c>
      <c r="J4989" s="0" t="n">
        <v>38216</v>
      </c>
      <c r="K4989" s="0" t="n">
        <v>7898055454281</v>
      </c>
      <c r="L4989" s="0" t="s">
        <v>3851</v>
      </c>
      <c r="N4989" s="0" t="n">
        <v>3</v>
      </c>
      <c r="O4989" s="0" t="n">
        <v>49.41</v>
      </c>
      <c r="P4989" s="0" t="s">
        <v>2444</v>
      </c>
    </row>
    <row r="4990" customFormat="false" ht="15" hidden="false" customHeight="true" outlineLevel="0" collapsed="false">
      <c r="A4990" s="0" t="n">
        <v>2</v>
      </c>
      <c r="B4990" s="71" t="n">
        <v>46233</v>
      </c>
      <c r="C4990" s="0" t="n">
        <v>11</v>
      </c>
      <c r="D4990" s="0" t="s">
        <v>2471</v>
      </c>
      <c r="E4990" s="0" t="n">
        <v>1734</v>
      </c>
      <c r="F4990" s="0" t="s">
        <v>566</v>
      </c>
      <c r="I4990" s="0" t="n">
        <v>256582</v>
      </c>
      <c r="J4990" s="0" t="n">
        <v>38221</v>
      </c>
      <c r="K4990" s="0" t="n">
        <v>7898055452102</v>
      </c>
      <c r="L4990" s="0" t="s">
        <v>3852</v>
      </c>
      <c r="N4990" s="0" t="n">
        <v>2</v>
      </c>
      <c r="O4990" s="0" t="n">
        <v>32.94</v>
      </c>
      <c r="P4990" s="0" t="s">
        <v>2444</v>
      </c>
    </row>
    <row r="4991" customFormat="false" ht="15" hidden="false" customHeight="true" outlineLevel="0" collapsed="false">
      <c r="A4991" s="0" t="n">
        <v>2</v>
      </c>
      <c r="B4991" s="71" t="n">
        <v>46233</v>
      </c>
      <c r="C4991" s="0" t="n">
        <v>11</v>
      </c>
      <c r="D4991" s="0" t="s">
        <v>2471</v>
      </c>
      <c r="E4991" s="0" t="n">
        <v>1734</v>
      </c>
      <c r="F4991" s="0" t="s">
        <v>566</v>
      </c>
      <c r="I4991" s="0" t="n">
        <v>256582</v>
      </c>
      <c r="J4991" s="0" t="n">
        <v>38782</v>
      </c>
      <c r="K4991" s="0" t="n">
        <v>7898055450306</v>
      </c>
      <c r="L4991" s="0" t="s">
        <v>2778</v>
      </c>
      <c r="N4991" s="0" t="n">
        <v>20</v>
      </c>
      <c r="O4991" s="0" t="n">
        <v>56.65</v>
      </c>
      <c r="P4991" s="0" t="s">
        <v>2444</v>
      </c>
    </row>
    <row r="4992" customFormat="false" ht="15" hidden="false" customHeight="true" outlineLevel="0" collapsed="false">
      <c r="A4992" s="0" t="n">
        <v>2</v>
      </c>
      <c r="B4992" s="71" t="n">
        <v>46233</v>
      </c>
      <c r="C4992" s="0" t="n">
        <v>11</v>
      </c>
      <c r="D4992" s="0" t="s">
        <v>2471</v>
      </c>
      <c r="E4992" s="0" t="n">
        <v>1734</v>
      </c>
      <c r="F4992" s="0" t="s">
        <v>566</v>
      </c>
      <c r="I4992" s="0" t="n">
        <v>256582</v>
      </c>
      <c r="J4992" s="0" t="n">
        <v>38789</v>
      </c>
      <c r="K4992" s="0" t="n">
        <v>7898055451754</v>
      </c>
      <c r="L4992" s="0" t="s">
        <v>3853</v>
      </c>
      <c r="N4992" s="0" t="n">
        <v>2</v>
      </c>
      <c r="O4992" s="0" t="n">
        <v>32.94</v>
      </c>
      <c r="P4992" s="0" t="s">
        <v>2444</v>
      </c>
    </row>
    <row r="4993" customFormat="false" ht="15" hidden="false" customHeight="true" outlineLevel="0" collapsed="false">
      <c r="A4993" s="0" t="n">
        <v>2</v>
      </c>
      <c r="B4993" s="71" t="n">
        <v>46233</v>
      </c>
      <c r="C4993" s="0" t="n">
        <v>11</v>
      </c>
      <c r="D4993" s="0" t="s">
        <v>2471</v>
      </c>
      <c r="E4993" s="0" t="n">
        <v>1734</v>
      </c>
      <c r="F4993" s="0" t="s">
        <v>566</v>
      </c>
      <c r="I4993" s="0" t="n">
        <v>256582</v>
      </c>
      <c r="J4993" s="0" t="n">
        <v>39028</v>
      </c>
      <c r="K4993" s="0" t="n">
        <v>7898055450368</v>
      </c>
      <c r="L4993" s="0" t="s">
        <v>2780</v>
      </c>
      <c r="N4993" s="0" t="n">
        <v>20</v>
      </c>
      <c r="O4993" s="0" t="n">
        <v>111.19</v>
      </c>
      <c r="P4993" s="0" t="s">
        <v>2444</v>
      </c>
    </row>
    <row r="4994" customFormat="false" ht="15" hidden="false" customHeight="true" outlineLevel="0" collapsed="false">
      <c r="A4994" s="0" t="n">
        <v>2</v>
      </c>
      <c r="B4994" s="71" t="n">
        <v>46233</v>
      </c>
      <c r="C4994" s="0" t="n">
        <v>11</v>
      </c>
      <c r="D4994" s="0" t="s">
        <v>2471</v>
      </c>
      <c r="E4994" s="0" t="n">
        <v>1734</v>
      </c>
      <c r="F4994" s="0" t="s">
        <v>566</v>
      </c>
      <c r="I4994" s="0" t="n">
        <v>256582</v>
      </c>
      <c r="J4994" s="0" t="n">
        <v>39252</v>
      </c>
      <c r="K4994" s="0" t="n">
        <v>7898055450993</v>
      </c>
      <c r="L4994" s="0" t="s">
        <v>3855</v>
      </c>
      <c r="N4994" s="0" t="n">
        <v>2</v>
      </c>
      <c r="O4994" s="0" t="n">
        <v>32.94</v>
      </c>
      <c r="P4994" s="0" t="s">
        <v>2444</v>
      </c>
    </row>
    <row r="4995" customFormat="false" ht="15" hidden="false" customHeight="true" outlineLevel="0" collapsed="false">
      <c r="A4995" s="0" t="n">
        <v>2</v>
      </c>
      <c r="B4995" s="71" t="n">
        <v>46233</v>
      </c>
      <c r="C4995" s="0" t="n">
        <v>11</v>
      </c>
      <c r="D4995" s="0" t="s">
        <v>2471</v>
      </c>
      <c r="E4995" s="0" t="n">
        <v>1734</v>
      </c>
      <c r="F4995" s="0" t="s">
        <v>566</v>
      </c>
      <c r="I4995" s="0" t="n">
        <v>256582</v>
      </c>
      <c r="J4995" s="0" t="n">
        <v>39440</v>
      </c>
      <c r="K4995" s="0" t="n">
        <v>7898055451662</v>
      </c>
      <c r="L4995" s="0" t="s">
        <v>4640</v>
      </c>
      <c r="N4995" s="0" t="n">
        <v>2</v>
      </c>
      <c r="O4995" s="0" t="n">
        <v>32.94</v>
      </c>
      <c r="P4995" s="0" t="s">
        <v>2444</v>
      </c>
    </row>
    <row r="4996" customFormat="false" ht="15" hidden="false" customHeight="true" outlineLevel="0" collapsed="false">
      <c r="A4996" s="0" t="n">
        <v>2</v>
      </c>
      <c r="B4996" s="71" t="n">
        <v>46233</v>
      </c>
      <c r="C4996" s="0" t="n">
        <v>11</v>
      </c>
      <c r="D4996" s="0" t="s">
        <v>2471</v>
      </c>
      <c r="E4996" s="0" t="n">
        <v>1734</v>
      </c>
      <c r="F4996" s="0" t="s">
        <v>566</v>
      </c>
      <c r="I4996" s="0" t="n">
        <v>256582</v>
      </c>
      <c r="J4996" s="0" t="n">
        <v>39443</v>
      </c>
      <c r="K4996" s="0" t="n">
        <v>7898055451648</v>
      </c>
      <c r="L4996" s="0" t="s">
        <v>4641</v>
      </c>
      <c r="N4996" s="0" t="n">
        <v>2</v>
      </c>
      <c r="O4996" s="0" t="n">
        <v>32.94</v>
      </c>
      <c r="P4996" s="0" t="s">
        <v>2444</v>
      </c>
    </row>
    <row r="4997" customFormat="false" ht="15" hidden="false" customHeight="true" outlineLevel="0" collapsed="false">
      <c r="A4997" s="0" t="n">
        <v>2</v>
      </c>
      <c r="B4997" s="71" t="n">
        <v>46233</v>
      </c>
      <c r="C4997" s="0" t="n">
        <v>11</v>
      </c>
      <c r="D4997" s="0" t="s">
        <v>2471</v>
      </c>
      <c r="E4997" s="0" t="n">
        <v>1734</v>
      </c>
      <c r="F4997" s="0" t="s">
        <v>566</v>
      </c>
      <c r="I4997" s="0" t="n">
        <v>256582</v>
      </c>
      <c r="J4997" s="0" t="n">
        <v>39450</v>
      </c>
      <c r="K4997" s="0" t="n">
        <v>7898055450030</v>
      </c>
      <c r="L4997" s="0" t="s">
        <v>2782</v>
      </c>
      <c r="N4997" s="0" t="n">
        <v>2</v>
      </c>
      <c r="O4997" s="0" t="n">
        <v>49.72</v>
      </c>
      <c r="P4997" s="0" t="s">
        <v>2444</v>
      </c>
    </row>
    <row r="4998" customFormat="false" ht="15" hidden="false" customHeight="true" outlineLevel="0" collapsed="false">
      <c r="A4998" s="0" t="n">
        <v>2</v>
      </c>
      <c r="B4998" s="71" t="n">
        <v>46233</v>
      </c>
      <c r="C4998" s="0" t="n">
        <v>11</v>
      </c>
      <c r="D4998" s="0" t="s">
        <v>2471</v>
      </c>
      <c r="E4998" s="0" t="n">
        <v>1734</v>
      </c>
      <c r="F4998" s="0" t="s">
        <v>566</v>
      </c>
      <c r="I4998" s="0" t="n">
        <v>256582</v>
      </c>
      <c r="J4998" s="0" t="n">
        <v>41689</v>
      </c>
      <c r="K4998" s="0" t="n">
        <v>7898055450092</v>
      </c>
      <c r="L4998" s="0" t="s">
        <v>4642</v>
      </c>
      <c r="N4998" s="0" t="n">
        <v>2</v>
      </c>
      <c r="O4998" s="0" t="n">
        <v>49.72</v>
      </c>
      <c r="P4998" s="0" t="s">
        <v>2444</v>
      </c>
    </row>
    <row r="4999" customFormat="false" ht="15" hidden="false" customHeight="true" outlineLevel="0" collapsed="false">
      <c r="A4999" s="0" t="n">
        <v>2</v>
      </c>
      <c r="B4999" s="71" t="n">
        <v>46233</v>
      </c>
      <c r="C4999" s="0" t="n">
        <v>11</v>
      </c>
      <c r="D4999" s="0" t="s">
        <v>2471</v>
      </c>
      <c r="E4999" s="0" t="n">
        <v>1734</v>
      </c>
      <c r="F4999" s="0" t="s">
        <v>566</v>
      </c>
      <c r="I4999" s="0" t="n">
        <v>256582</v>
      </c>
      <c r="J4999" s="0" t="n">
        <v>45875</v>
      </c>
      <c r="K4999" s="0" t="n">
        <v>7898055450214</v>
      </c>
      <c r="L4999" s="0" t="s">
        <v>2784</v>
      </c>
      <c r="N4999" s="0" t="n">
        <v>20</v>
      </c>
      <c r="O4999" s="0" t="n">
        <v>56.65</v>
      </c>
      <c r="P4999" s="0" t="s">
        <v>2444</v>
      </c>
    </row>
    <row r="5000" customFormat="false" ht="15" hidden="false" customHeight="true" outlineLevel="0" collapsed="false">
      <c r="A5000" s="0" t="n">
        <v>2</v>
      </c>
      <c r="B5000" s="71" t="n">
        <v>46233</v>
      </c>
      <c r="C5000" s="0" t="n">
        <v>11</v>
      </c>
      <c r="D5000" s="0" t="s">
        <v>2471</v>
      </c>
      <c r="E5000" s="0" t="n">
        <v>1734</v>
      </c>
      <c r="F5000" s="0" t="s">
        <v>566</v>
      </c>
      <c r="I5000" s="0" t="n">
        <v>256582</v>
      </c>
      <c r="J5000" s="0" t="n">
        <v>57021</v>
      </c>
      <c r="K5000" s="0" t="n">
        <v>7898055455189</v>
      </c>
      <c r="L5000" s="0" t="s">
        <v>2787</v>
      </c>
      <c r="N5000" s="0" t="n">
        <v>2</v>
      </c>
      <c r="O5000" s="0" t="n">
        <v>49.72</v>
      </c>
      <c r="P5000" s="0" t="s">
        <v>2444</v>
      </c>
    </row>
    <row r="5001" customFormat="false" ht="15" hidden="false" customHeight="true" outlineLevel="0" collapsed="false">
      <c r="A5001" s="0" t="n">
        <v>2</v>
      </c>
      <c r="B5001" s="71" t="n">
        <v>46233</v>
      </c>
      <c r="C5001" s="0" t="n">
        <v>11</v>
      </c>
      <c r="D5001" s="0" t="s">
        <v>2471</v>
      </c>
      <c r="E5001" s="0" t="n">
        <v>1740</v>
      </c>
      <c r="F5001" s="0" t="s">
        <v>468</v>
      </c>
      <c r="I5001" s="0" t="n">
        <v>1253268</v>
      </c>
      <c r="J5001" s="0" t="n">
        <v>106130</v>
      </c>
      <c r="K5001" s="0" t="n">
        <v>7891000340004</v>
      </c>
      <c r="L5001" s="0" t="s">
        <v>2819</v>
      </c>
      <c r="N5001" s="0" t="n">
        <v>4</v>
      </c>
      <c r="O5001" s="0" t="n">
        <v>15.12</v>
      </c>
      <c r="P5001" s="0" t="s">
        <v>2444</v>
      </c>
    </row>
    <row r="5002" customFormat="false" ht="15" hidden="false" customHeight="true" outlineLevel="0" collapsed="false">
      <c r="A5002" s="0" t="n">
        <v>2</v>
      </c>
      <c r="B5002" s="71" t="n">
        <v>46233</v>
      </c>
      <c r="C5002" s="0" t="n">
        <v>11</v>
      </c>
      <c r="D5002" s="0" t="s">
        <v>2471</v>
      </c>
      <c r="E5002" s="0" t="n">
        <v>1740</v>
      </c>
      <c r="F5002" s="0" t="s">
        <v>468</v>
      </c>
      <c r="I5002" s="0" t="n">
        <v>1253268</v>
      </c>
      <c r="J5002" s="0" t="n">
        <v>14219</v>
      </c>
      <c r="K5002" s="0" t="n">
        <v>7891000072950</v>
      </c>
      <c r="L5002" s="0" t="s">
        <v>2820</v>
      </c>
      <c r="N5002" s="0" t="n">
        <v>3</v>
      </c>
      <c r="O5002" s="0" t="n">
        <v>13.62</v>
      </c>
      <c r="P5002" s="0" t="s">
        <v>2444</v>
      </c>
    </row>
    <row r="5003" customFormat="false" ht="15" hidden="false" customHeight="true" outlineLevel="0" collapsed="false">
      <c r="A5003" s="0" t="n">
        <v>2</v>
      </c>
      <c r="B5003" s="71" t="n">
        <v>46233</v>
      </c>
      <c r="C5003" s="0" t="n">
        <v>11</v>
      </c>
      <c r="D5003" s="0" t="s">
        <v>2471</v>
      </c>
      <c r="E5003" s="0" t="n">
        <v>1740</v>
      </c>
      <c r="F5003" s="0" t="s">
        <v>468</v>
      </c>
      <c r="I5003" s="0" t="n">
        <v>1253268</v>
      </c>
      <c r="J5003" s="0" t="n">
        <v>14220</v>
      </c>
      <c r="K5003" s="0" t="n">
        <v>7891000072998</v>
      </c>
      <c r="L5003" s="0" t="s">
        <v>4643</v>
      </c>
      <c r="N5003" s="0" t="n">
        <v>2</v>
      </c>
      <c r="O5003" s="0" t="n">
        <v>9.08</v>
      </c>
      <c r="P5003" s="0" t="s">
        <v>2444</v>
      </c>
    </row>
    <row r="5004" customFormat="false" ht="15" hidden="false" customHeight="true" outlineLevel="0" collapsed="false">
      <c r="A5004" s="0" t="n">
        <v>2</v>
      </c>
      <c r="B5004" s="71" t="n">
        <v>46233</v>
      </c>
      <c r="C5004" s="0" t="n">
        <v>11</v>
      </c>
      <c r="D5004" s="0" t="s">
        <v>2471</v>
      </c>
      <c r="E5004" s="0" t="n">
        <v>1740</v>
      </c>
      <c r="F5004" s="0" t="s">
        <v>468</v>
      </c>
      <c r="I5004" s="0" t="n">
        <v>1253268</v>
      </c>
      <c r="J5004" s="0" t="n">
        <v>16602</v>
      </c>
      <c r="K5004" s="0" t="n">
        <v>7891000084649</v>
      </c>
      <c r="L5004" s="0" t="s">
        <v>2821</v>
      </c>
      <c r="N5004" s="0" t="n">
        <v>2</v>
      </c>
      <c r="O5004" s="0" t="n">
        <v>21.98</v>
      </c>
      <c r="P5004" s="0" t="s">
        <v>2444</v>
      </c>
    </row>
    <row r="5005" customFormat="false" ht="15" hidden="false" customHeight="true" outlineLevel="0" collapsed="false">
      <c r="A5005" s="0" t="n">
        <v>2</v>
      </c>
      <c r="B5005" s="71" t="n">
        <v>46233</v>
      </c>
      <c r="C5005" s="0" t="n">
        <v>11</v>
      </c>
      <c r="D5005" s="0" t="s">
        <v>2471</v>
      </c>
      <c r="E5005" s="0" t="n">
        <v>1740</v>
      </c>
      <c r="F5005" s="0" t="s">
        <v>468</v>
      </c>
      <c r="I5005" s="0" t="n">
        <v>1253268</v>
      </c>
      <c r="J5005" s="0" t="n">
        <v>20584</v>
      </c>
      <c r="K5005" s="0" t="n">
        <v>7891000103876</v>
      </c>
      <c r="L5005" s="0" t="s">
        <v>4644</v>
      </c>
      <c r="N5005" s="0" t="n">
        <v>3</v>
      </c>
      <c r="O5005" s="0" t="n">
        <v>10.26</v>
      </c>
      <c r="P5005" s="0" t="s">
        <v>2444</v>
      </c>
    </row>
    <row r="5006" customFormat="false" ht="15" hidden="false" customHeight="true" outlineLevel="0" collapsed="false">
      <c r="A5006" s="0" t="n">
        <v>2</v>
      </c>
      <c r="B5006" s="71" t="n">
        <v>46233</v>
      </c>
      <c r="C5006" s="0" t="n">
        <v>11</v>
      </c>
      <c r="D5006" s="0" t="s">
        <v>2471</v>
      </c>
      <c r="E5006" s="0" t="n">
        <v>1740</v>
      </c>
      <c r="F5006" s="0" t="s">
        <v>468</v>
      </c>
      <c r="I5006" s="0" t="n">
        <v>1253268</v>
      </c>
      <c r="J5006" s="0" t="n">
        <v>26803</v>
      </c>
      <c r="K5006" s="0" t="n">
        <v>7891000252833</v>
      </c>
      <c r="L5006" s="0" t="s">
        <v>3934</v>
      </c>
      <c r="N5006" s="0" t="n">
        <v>3</v>
      </c>
      <c r="O5006" s="0" t="n">
        <v>10.65</v>
      </c>
      <c r="P5006" s="0" t="s">
        <v>2444</v>
      </c>
    </row>
    <row r="5007" customFormat="false" ht="15" hidden="false" customHeight="true" outlineLevel="0" collapsed="false">
      <c r="A5007" s="0" t="n">
        <v>2</v>
      </c>
      <c r="B5007" s="71" t="n">
        <v>46233</v>
      </c>
      <c r="C5007" s="0" t="n">
        <v>11</v>
      </c>
      <c r="D5007" s="0" t="s">
        <v>2471</v>
      </c>
      <c r="E5007" s="0" t="n">
        <v>1740</v>
      </c>
      <c r="F5007" s="0" t="s">
        <v>468</v>
      </c>
      <c r="I5007" s="0" t="n">
        <v>1253268</v>
      </c>
      <c r="J5007" s="0" t="n">
        <v>27878</v>
      </c>
      <c r="K5007" s="0" t="n">
        <v>7891000261026</v>
      </c>
      <c r="L5007" s="0" t="s">
        <v>2828</v>
      </c>
      <c r="N5007" s="0" t="n">
        <v>8</v>
      </c>
      <c r="O5007" s="0" t="n">
        <v>70.8</v>
      </c>
      <c r="P5007" s="0" t="s">
        <v>2444</v>
      </c>
    </row>
    <row r="5008" customFormat="false" ht="15" hidden="false" customHeight="true" outlineLevel="0" collapsed="false">
      <c r="A5008" s="0" t="n">
        <v>2</v>
      </c>
      <c r="B5008" s="71" t="n">
        <v>46233</v>
      </c>
      <c r="C5008" s="0" t="n">
        <v>11</v>
      </c>
      <c r="D5008" s="0" t="s">
        <v>2471</v>
      </c>
      <c r="E5008" s="0" t="n">
        <v>1740</v>
      </c>
      <c r="F5008" s="0" t="s">
        <v>468</v>
      </c>
      <c r="I5008" s="0" t="n">
        <v>1253268</v>
      </c>
      <c r="J5008" s="0" t="n">
        <v>28388</v>
      </c>
      <c r="K5008" s="0" t="n">
        <v>7891000260166</v>
      </c>
      <c r="L5008" s="0" t="s">
        <v>2829</v>
      </c>
      <c r="N5008" s="0" t="n">
        <v>6</v>
      </c>
      <c r="O5008" s="0" t="n">
        <v>28.38</v>
      </c>
      <c r="P5008" s="0" t="s">
        <v>2444</v>
      </c>
    </row>
    <row r="5009" customFormat="false" ht="15" hidden="false" customHeight="true" outlineLevel="0" collapsed="false">
      <c r="A5009" s="0" t="n">
        <v>2</v>
      </c>
      <c r="B5009" s="71" t="n">
        <v>46233</v>
      </c>
      <c r="C5009" s="0" t="n">
        <v>11</v>
      </c>
      <c r="D5009" s="0" t="s">
        <v>2471</v>
      </c>
      <c r="E5009" s="0" t="n">
        <v>1740</v>
      </c>
      <c r="F5009" s="0" t="s">
        <v>468</v>
      </c>
      <c r="I5009" s="0" t="n">
        <v>1253268</v>
      </c>
      <c r="J5009" s="0" t="n">
        <v>47789</v>
      </c>
      <c r="K5009" s="0" t="n">
        <v>7891000362037</v>
      </c>
      <c r="L5009" s="0" t="s">
        <v>2831</v>
      </c>
      <c r="N5009" s="0" t="n">
        <v>4</v>
      </c>
      <c r="O5009" s="0" t="n">
        <v>32.76</v>
      </c>
      <c r="P5009" s="0" t="s">
        <v>2444</v>
      </c>
    </row>
    <row r="5010" customFormat="false" ht="15" hidden="false" customHeight="true" outlineLevel="0" collapsed="false">
      <c r="A5010" s="0" t="n">
        <v>2</v>
      </c>
      <c r="B5010" s="71" t="n">
        <v>46233</v>
      </c>
      <c r="C5010" s="0" t="n">
        <v>11</v>
      </c>
      <c r="D5010" s="0" t="s">
        <v>2471</v>
      </c>
      <c r="E5010" s="0" t="n">
        <v>1740</v>
      </c>
      <c r="F5010" s="0" t="s">
        <v>468</v>
      </c>
      <c r="I5010" s="0" t="n">
        <v>1253268</v>
      </c>
      <c r="J5010" s="0" t="n">
        <v>47983</v>
      </c>
      <c r="K5010" s="0" t="n">
        <v>7891000360323</v>
      </c>
      <c r="L5010" s="0" t="s">
        <v>2832</v>
      </c>
      <c r="N5010" s="0" t="n">
        <v>3</v>
      </c>
      <c r="O5010" s="0" t="n">
        <v>24.87</v>
      </c>
      <c r="P5010" s="0" t="s">
        <v>2444</v>
      </c>
    </row>
    <row r="5011" customFormat="false" ht="15" hidden="false" customHeight="true" outlineLevel="0" collapsed="false">
      <c r="A5011" s="0" t="n">
        <v>2</v>
      </c>
      <c r="B5011" s="71" t="n">
        <v>46233</v>
      </c>
      <c r="C5011" s="0" t="n">
        <v>11</v>
      </c>
      <c r="D5011" s="0" t="s">
        <v>2471</v>
      </c>
      <c r="E5011" s="0" t="n">
        <v>1740</v>
      </c>
      <c r="F5011" s="0" t="s">
        <v>468</v>
      </c>
      <c r="I5011" s="0" t="n">
        <v>1253268</v>
      </c>
      <c r="J5011" s="0" t="n">
        <v>50418</v>
      </c>
      <c r="K5011" s="0" t="n">
        <v>7898953148718</v>
      </c>
      <c r="L5011" s="0" t="s">
        <v>4645</v>
      </c>
      <c r="N5011" s="0" t="n">
        <v>6</v>
      </c>
      <c r="O5011" s="0" t="n">
        <v>33.3</v>
      </c>
      <c r="P5011" s="0" t="s">
        <v>2444</v>
      </c>
    </row>
    <row r="5012" customFormat="false" ht="15" hidden="false" customHeight="true" outlineLevel="0" collapsed="false">
      <c r="A5012" s="0" t="n">
        <v>2</v>
      </c>
      <c r="B5012" s="71" t="n">
        <v>46233</v>
      </c>
      <c r="C5012" s="0" t="n">
        <v>11</v>
      </c>
      <c r="D5012" s="0" t="s">
        <v>2471</v>
      </c>
      <c r="E5012" s="0" t="n">
        <v>1740</v>
      </c>
      <c r="F5012" s="0" t="s">
        <v>468</v>
      </c>
      <c r="I5012" s="0" t="n">
        <v>1253268</v>
      </c>
      <c r="J5012" s="0" t="n">
        <v>50420</v>
      </c>
      <c r="K5012" s="0" t="n">
        <v>7898953148701</v>
      </c>
      <c r="L5012" s="0" t="s">
        <v>4646</v>
      </c>
      <c r="N5012" s="0" t="n">
        <v>6</v>
      </c>
      <c r="O5012" s="0" t="n">
        <v>25.74</v>
      </c>
      <c r="P5012" s="0" t="s">
        <v>2444</v>
      </c>
    </row>
    <row r="5013" customFormat="false" ht="15" hidden="false" customHeight="true" outlineLevel="0" collapsed="false">
      <c r="A5013" s="0" t="n">
        <v>2</v>
      </c>
      <c r="B5013" s="71" t="n">
        <v>46233</v>
      </c>
      <c r="C5013" s="0" t="n">
        <v>11</v>
      </c>
      <c r="D5013" s="0" t="s">
        <v>2471</v>
      </c>
      <c r="E5013" s="0" t="n">
        <v>1740</v>
      </c>
      <c r="F5013" s="0" t="s">
        <v>468</v>
      </c>
      <c r="I5013" s="0" t="n">
        <v>1253268</v>
      </c>
      <c r="J5013" s="0" t="n">
        <v>50422</v>
      </c>
      <c r="K5013" s="0" t="n">
        <v>7898953148220</v>
      </c>
      <c r="L5013" s="0" t="s">
        <v>4647</v>
      </c>
      <c r="N5013" s="0" t="n">
        <v>5</v>
      </c>
      <c r="O5013" s="0" t="n">
        <v>64.9</v>
      </c>
      <c r="P5013" s="0" t="s">
        <v>2444</v>
      </c>
    </row>
    <row r="5014" customFormat="false" ht="15" hidden="false" customHeight="true" outlineLevel="0" collapsed="false">
      <c r="A5014" s="0" t="n">
        <v>2</v>
      </c>
      <c r="B5014" s="71" t="n">
        <v>46233</v>
      </c>
      <c r="C5014" s="0" t="n">
        <v>11</v>
      </c>
      <c r="D5014" s="0" t="s">
        <v>2471</v>
      </c>
      <c r="E5014" s="0" t="n">
        <v>1740</v>
      </c>
      <c r="F5014" s="0" t="s">
        <v>468</v>
      </c>
      <c r="I5014" s="0" t="n">
        <v>1253268</v>
      </c>
      <c r="J5014" s="0" t="n">
        <v>50424</v>
      </c>
      <c r="K5014" s="0" t="n">
        <v>7898953148169</v>
      </c>
      <c r="L5014" s="0" t="s">
        <v>4648</v>
      </c>
      <c r="N5014" s="0" t="n">
        <v>6</v>
      </c>
      <c r="O5014" s="0" t="n">
        <v>59.88</v>
      </c>
      <c r="P5014" s="0" t="s">
        <v>2444</v>
      </c>
    </row>
    <row r="5015" customFormat="false" ht="15" hidden="false" customHeight="true" outlineLevel="0" collapsed="false">
      <c r="A5015" s="0" t="n">
        <v>2</v>
      </c>
      <c r="B5015" s="71" t="n">
        <v>46233</v>
      </c>
      <c r="C5015" s="0" t="n">
        <v>11</v>
      </c>
      <c r="D5015" s="0" t="s">
        <v>2471</v>
      </c>
      <c r="E5015" s="0" t="n">
        <v>1740</v>
      </c>
      <c r="F5015" s="0" t="s">
        <v>468</v>
      </c>
      <c r="I5015" s="0" t="n">
        <v>1253268</v>
      </c>
      <c r="J5015" s="0" t="n">
        <v>61867</v>
      </c>
      <c r="K5015" s="0" t="n">
        <v>7891000103913</v>
      </c>
      <c r="L5015" s="0" t="s">
        <v>2822</v>
      </c>
      <c r="N5015" s="0" t="n">
        <v>1</v>
      </c>
      <c r="O5015" s="0" t="n">
        <v>13.38</v>
      </c>
      <c r="P5015" s="0" t="s">
        <v>2444</v>
      </c>
    </row>
    <row r="5016" customFormat="false" ht="15" hidden="false" customHeight="true" outlineLevel="0" collapsed="false">
      <c r="A5016" s="0" t="n">
        <v>2</v>
      </c>
      <c r="B5016" s="71" t="n">
        <v>46233</v>
      </c>
      <c r="C5016" s="0" t="n">
        <v>11</v>
      </c>
      <c r="D5016" s="0" t="s">
        <v>2471</v>
      </c>
      <c r="E5016" s="0" t="n">
        <v>1740</v>
      </c>
      <c r="F5016" s="0" t="s">
        <v>468</v>
      </c>
      <c r="I5016" s="0" t="n">
        <v>1253268</v>
      </c>
      <c r="J5016" s="0" t="n">
        <v>62922</v>
      </c>
      <c r="K5016" s="0" t="n">
        <v>7891000260623</v>
      </c>
      <c r="L5016" s="0" t="s">
        <v>3937</v>
      </c>
      <c r="N5016" s="0" t="n">
        <v>1</v>
      </c>
      <c r="O5016" s="0" t="n">
        <v>14.21</v>
      </c>
      <c r="P5016" s="0" t="s">
        <v>2444</v>
      </c>
    </row>
    <row r="5017" customFormat="false" ht="15" hidden="false" customHeight="true" outlineLevel="0" collapsed="false">
      <c r="A5017" s="0" t="n">
        <v>2</v>
      </c>
      <c r="B5017" s="71" t="n">
        <v>46233</v>
      </c>
      <c r="C5017" s="0" t="n">
        <v>11</v>
      </c>
      <c r="D5017" s="0" t="s">
        <v>2471</v>
      </c>
      <c r="E5017" s="0" t="n">
        <v>1740</v>
      </c>
      <c r="F5017" s="0" t="s">
        <v>468</v>
      </c>
      <c r="I5017" s="0" t="n">
        <v>1253268</v>
      </c>
      <c r="J5017" s="0" t="n">
        <v>69214</v>
      </c>
      <c r="K5017" s="0" t="n">
        <v>7898755200041</v>
      </c>
      <c r="L5017" s="0" t="s">
        <v>4649</v>
      </c>
      <c r="N5017" s="0" t="n">
        <v>3</v>
      </c>
      <c r="O5017" s="0" t="n">
        <v>10.32</v>
      </c>
      <c r="P5017" s="0" t="s">
        <v>2444</v>
      </c>
    </row>
    <row r="5018" customFormat="false" ht="15" hidden="false" customHeight="true" outlineLevel="0" collapsed="false">
      <c r="A5018" s="0" t="n">
        <v>2</v>
      </c>
      <c r="B5018" s="71" t="n">
        <v>46233</v>
      </c>
      <c r="C5018" s="0" t="n">
        <v>22</v>
      </c>
      <c r="D5018" s="0" t="s">
        <v>2479</v>
      </c>
      <c r="E5018" s="0" t="n">
        <v>48</v>
      </c>
      <c r="F5018" s="0" t="s">
        <v>153</v>
      </c>
      <c r="I5018" s="0" t="n">
        <v>2570</v>
      </c>
      <c r="J5018" s="0" t="n">
        <v>100000</v>
      </c>
      <c r="K5018" s="0" t="n">
        <v>1</v>
      </c>
      <c r="L5018" s="0" t="s">
        <v>2480</v>
      </c>
      <c r="N5018" s="0" t="n">
        <v>3.04</v>
      </c>
      <c r="O5018" s="0" t="n">
        <v>61.11</v>
      </c>
      <c r="P5018" s="0" t="s">
        <v>2444</v>
      </c>
    </row>
    <row r="5019" customFormat="false" ht="15" hidden="false" customHeight="true" outlineLevel="0" collapsed="false">
      <c r="A5019" s="0" t="n">
        <v>2</v>
      </c>
      <c r="B5019" s="71" t="n">
        <v>46233</v>
      </c>
      <c r="C5019" s="0" t="n">
        <v>22</v>
      </c>
      <c r="D5019" s="0" t="s">
        <v>2479</v>
      </c>
      <c r="E5019" s="0" t="n">
        <v>48</v>
      </c>
      <c r="F5019" s="0" t="s">
        <v>153</v>
      </c>
      <c r="I5019" s="0" t="n">
        <v>2570</v>
      </c>
      <c r="J5019" s="0" t="n">
        <v>100006</v>
      </c>
      <c r="K5019" s="0" t="n">
        <v>7</v>
      </c>
      <c r="L5019" s="0" t="s">
        <v>2485</v>
      </c>
      <c r="N5019" s="0" t="n">
        <v>2.606</v>
      </c>
      <c r="O5019" s="0" t="n">
        <v>74.22</v>
      </c>
      <c r="P5019" s="0" t="s">
        <v>2444</v>
      </c>
    </row>
    <row r="5020" customFormat="false" ht="15" hidden="false" customHeight="true" outlineLevel="0" collapsed="false">
      <c r="A5020" s="0" t="n">
        <v>2</v>
      </c>
      <c r="B5020" s="71" t="n">
        <v>46233</v>
      </c>
      <c r="C5020" s="0" t="n">
        <v>22</v>
      </c>
      <c r="D5020" s="0" t="s">
        <v>2479</v>
      </c>
      <c r="E5020" s="0" t="n">
        <v>48</v>
      </c>
      <c r="F5020" s="0" t="s">
        <v>153</v>
      </c>
      <c r="I5020" s="0" t="n">
        <v>2570</v>
      </c>
      <c r="J5020" s="0" t="n">
        <v>100007</v>
      </c>
      <c r="K5020" s="0" t="n">
        <v>8</v>
      </c>
      <c r="L5020" s="0" t="s">
        <v>2486</v>
      </c>
      <c r="N5020" s="0" t="n">
        <v>2.5</v>
      </c>
      <c r="O5020" s="0" t="n">
        <v>62.82</v>
      </c>
      <c r="P5020" s="0" t="s">
        <v>2444</v>
      </c>
    </row>
    <row r="5021" customFormat="false" ht="15" hidden="false" customHeight="true" outlineLevel="0" collapsed="false">
      <c r="A5021" s="0" t="n">
        <v>2</v>
      </c>
      <c r="B5021" s="71" t="n">
        <v>46233</v>
      </c>
      <c r="C5021" s="0" t="n">
        <v>22</v>
      </c>
      <c r="D5021" s="0" t="s">
        <v>2479</v>
      </c>
      <c r="E5021" s="0" t="n">
        <v>48</v>
      </c>
      <c r="F5021" s="0" t="s">
        <v>153</v>
      </c>
      <c r="I5021" s="0" t="n">
        <v>2570</v>
      </c>
      <c r="J5021" s="0" t="n">
        <v>100008</v>
      </c>
      <c r="K5021" s="0" t="n">
        <v>9</v>
      </c>
      <c r="L5021" s="0" t="s">
        <v>2487</v>
      </c>
      <c r="N5021" s="0" t="n">
        <v>16.73</v>
      </c>
      <c r="O5021" s="0" t="n">
        <v>546.55</v>
      </c>
      <c r="P5021" s="0" t="s">
        <v>2444</v>
      </c>
    </row>
    <row r="5022" customFormat="false" ht="15" hidden="false" customHeight="true" outlineLevel="0" collapsed="false">
      <c r="A5022" s="0" t="n">
        <v>2</v>
      </c>
      <c r="B5022" s="71" t="n">
        <v>46233</v>
      </c>
      <c r="C5022" s="0" t="n">
        <v>22</v>
      </c>
      <c r="D5022" s="0" t="s">
        <v>2479</v>
      </c>
      <c r="E5022" s="0" t="n">
        <v>48</v>
      </c>
      <c r="F5022" s="0" t="s">
        <v>153</v>
      </c>
      <c r="I5022" s="0" t="n">
        <v>2570</v>
      </c>
      <c r="J5022" s="0" t="n">
        <v>100008</v>
      </c>
      <c r="K5022" s="0" t="n">
        <v>9</v>
      </c>
      <c r="L5022" s="0" t="s">
        <v>2487</v>
      </c>
      <c r="N5022" s="0" t="n">
        <v>30.69</v>
      </c>
      <c r="O5022" s="0" t="n">
        <v>873.3</v>
      </c>
      <c r="P5022" s="0" t="s">
        <v>2444</v>
      </c>
    </row>
    <row r="5023" customFormat="false" ht="15" hidden="false" customHeight="true" outlineLevel="0" collapsed="false">
      <c r="A5023" s="0" t="n">
        <v>2</v>
      </c>
      <c r="B5023" s="71" t="n">
        <v>46233</v>
      </c>
      <c r="C5023" s="0" t="n">
        <v>22</v>
      </c>
      <c r="D5023" s="0" t="s">
        <v>2479</v>
      </c>
      <c r="E5023" s="0" t="n">
        <v>48</v>
      </c>
      <c r="F5023" s="0" t="s">
        <v>153</v>
      </c>
      <c r="I5023" s="0" t="n">
        <v>2570</v>
      </c>
      <c r="J5023" s="0" t="n">
        <v>100011</v>
      </c>
      <c r="K5023" s="0" t="n">
        <v>12</v>
      </c>
      <c r="L5023" s="0" t="s">
        <v>2488</v>
      </c>
      <c r="N5023" s="0" t="n">
        <v>10.63</v>
      </c>
      <c r="O5023" s="0" t="n">
        <v>391.8</v>
      </c>
      <c r="P5023" s="0" t="s">
        <v>2444</v>
      </c>
    </row>
    <row r="5024" customFormat="false" ht="15" hidden="false" customHeight="true" outlineLevel="0" collapsed="false">
      <c r="A5024" s="0" t="n">
        <v>2</v>
      </c>
      <c r="B5024" s="71" t="n">
        <v>46233</v>
      </c>
      <c r="C5024" s="0" t="n">
        <v>22</v>
      </c>
      <c r="D5024" s="0" t="s">
        <v>2479</v>
      </c>
      <c r="E5024" s="0" t="n">
        <v>48</v>
      </c>
      <c r="F5024" s="0" t="s">
        <v>153</v>
      </c>
      <c r="I5024" s="0" t="n">
        <v>2570</v>
      </c>
      <c r="J5024" s="0" t="n">
        <v>100012</v>
      </c>
      <c r="K5024" s="0" t="n">
        <v>13</v>
      </c>
      <c r="L5024" s="0" t="s">
        <v>2489</v>
      </c>
      <c r="N5024" s="0" t="n">
        <v>5.6</v>
      </c>
      <c r="O5024" s="0" t="n">
        <v>234.56</v>
      </c>
      <c r="P5024" s="0" t="s">
        <v>2444</v>
      </c>
    </row>
    <row r="5025" customFormat="false" ht="15" hidden="false" customHeight="true" outlineLevel="0" collapsed="false">
      <c r="A5025" s="0" t="n">
        <v>2</v>
      </c>
      <c r="B5025" s="71" t="n">
        <v>46233</v>
      </c>
      <c r="C5025" s="0" t="n">
        <v>22</v>
      </c>
      <c r="D5025" s="0" t="s">
        <v>2479</v>
      </c>
      <c r="E5025" s="0" t="n">
        <v>48</v>
      </c>
      <c r="F5025" s="0" t="s">
        <v>153</v>
      </c>
      <c r="I5025" s="0" t="n">
        <v>2570</v>
      </c>
      <c r="J5025" s="0" t="n">
        <v>100013</v>
      </c>
      <c r="K5025" s="0" t="n">
        <v>14</v>
      </c>
      <c r="L5025" s="0" t="s">
        <v>2490</v>
      </c>
      <c r="N5025" s="0" t="n">
        <v>12.235</v>
      </c>
      <c r="O5025" s="0" t="n">
        <v>543.22</v>
      </c>
      <c r="P5025" s="0" t="s">
        <v>2444</v>
      </c>
    </row>
    <row r="5026" customFormat="false" ht="15" hidden="false" customHeight="true" outlineLevel="0" collapsed="false">
      <c r="A5026" s="0" t="n">
        <v>2</v>
      </c>
      <c r="B5026" s="71" t="n">
        <v>46233</v>
      </c>
      <c r="C5026" s="0" t="n">
        <v>22</v>
      </c>
      <c r="D5026" s="0" t="s">
        <v>2479</v>
      </c>
      <c r="E5026" s="0" t="n">
        <v>48</v>
      </c>
      <c r="F5026" s="0" t="s">
        <v>153</v>
      </c>
      <c r="I5026" s="0" t="n">
        <v>2570</v>
      </c>
      <c r="J5026" s="0" t="n">
        <v>100014</v>
      </c>
      <c r="K5026" s="0" t="n">
        <v>15</v>
      </c>
      <c r="L5026" s="0" t="s">
        <v>2491</v>
      </c>
      <c r="N5026" s="0" t="n">
        <v>4.362</v>
      </c>
      <c r="O5026" s="0" t="n">
        <v>197.32</v>
      </c>
      <c r="P5026" s="0" t="s">
        <v>2444</v>
      </c>
    </row>
    <row r="5027" customFormat="false" ht="15" hidden="false" customHeight="true" outlineLevel="0" collapsed="false">
      <c r="A5027" s="0" t="n">
        <v>2</v>
      </c>
      <c r="B5027" s="71" t="n">
        <v>46233</v>
      </c>
      <c r="C5027" s="0" t="n">
        <v>22</v>
      </c>
      <c r="D5027" s="0" t="s">
        <v>2479</v>
      </c>
      <c r="E5027" s="0" t="n">
        <v>48</v>
      </c>
      <c r="F5027" s="0" t="s">
        <v>153</v>
      </c>
      <c r="I5027" s="0" t="n">
        <v>2570</v>
      </c>
      <c r="J5027" s="0" t="n">
        <v>100015</v>
      </c>
      <c r="K5027" s="0" t="n">
        <v>16</v>
      </c>
      <c r="L5027" s="0" t="s">
        <v>2492</v>
      </c>
      <c r="N5027" s="0" t="n">
        <v>1.828</v>
      </c>
      <c r="O5027" s="0" t="n">
        <v>73.5</v>
      </c>
      <c r="P5027" s="0" t="s">
        <v>2444</v>
      </c>
    </row>
    <row r="5028" customFormat="false" ht="15" hidden="false" customHeight="true" outlineLevel="0" collapsed="false">
      <c r="A5028" s="0" t="n">
        <v>2</v>
      </c>
      <c r="B5028" s="71" t="n">
        <v>46233</v>
      </c>
      <c r="C5028" s="0" t="n">
        <v>22</v>
      </c>
      <c r="D5028" s="0" t="s">
        <v>2479</v>
      </c>
      <c r="E5028" s="0" t="n">
        <v>48</v>
      </c>
      <c r="F5028" s="0" t="s">
        <v>153</v>
      </c>
      <c r="I5028" s="0" t="n">
        <v>2570</v>
      </c>
      <c r="J5028" s="0" t="n">
        <v>100016</v>
      </c>
      <c r="K5028" s="0" t="n">
        <v>17</v>
      </c>
      <c r="L5028" s="0" t="s">
        <v>2493</v>
      </c>
      <c r="N5028" s="0" t="n">
        <v>2.986</v>
      </c>
      <c r="O5028" s="0" t="n">
        <v>175.11</v>
      </c>
      <c r="P5028" s="0" t="s">
        <v>2444</v>
      </c>
    </row>
    <row r="5029" customFormat="false" ht="15" hidden="false" customHeight="true" outlineLevel="0" collapsed="false">
      <c r="A5029" s="0" t="n">
        <v>2</v>
      </c>
      <c r="B5029" s="71" t="n">
        <v>46233</v>
      </c>
      <c r="C5029" s="0" t="n">
        <v>22</v>
      </c>
      <c r="D5029" s="0" t="s">
        <v>2479</v>
      </c>
      <c r="E5029" s="0" t="n">
        <v>48</v>
      </c>
      <c r="F5029" s="0" t="s">
        <v>153</v>
      </c>
      <c r="I5029" s="0" t="n">
        <v>2570</v>
      </c>
      <c r="J5029" s="0" t="n">
        <v>100016</v>
      </c>
      <c r="K5029" s="0" t="n">
        <v>17</v>
      </c>
      <c r="L5029" s="0" t="s">
        <v>2493</v>
      </c>
      <c r="N5029" s="0" t="n">
        <v>5.71</v>
      </c>
      <c r="O5029" s="0" t="n">
        <v>291.25</v>
      </c>
      <c r="P5029" s="0" t="s">
        <v>2444</v>
      </c>
    </row>
    <row r="5030" customFormat="false" ht="15" hidden="false" customHeight="true" outlineLevel="0" collapsed="false">
      <c r="A5030" s="0" t="n">
        <v>2</v>
      </c>
      <c r="B5030" s="71" t="n">
        <v>46233</v>
      </c>
      <c r="C5030" s="0" t="n">
        <v>22</v>
      </c>
      <c r="D5030" s="0" t="s">
        <v>2479</v>
      </c>
      <c r="E5030" s="0" t="n">
        <v>48</v>
      </c>
      <c r="F5030" s="0" t="s">
        <v>153</v>
      </c>
      <c r="I5030" s="0" t="n">
        <v>2570</v>
      </c>
      <c r="J5030" s="0" t="n">
        <v>100017</v>
      </c>
      <c r="K5030" s="0" t="n">
        <v>18</v>
      </c>
      <c r="L5030" s="0" t="s">
        <v>2494</v>
      </c>
      <c r="N5030" s="0" t="n">
        <v>1.696</v>
      </c>
      <c r="O5030" s="0" t="n">
        <v>99.46</v>
      </c>
      <c r="P5030" s="0" t="s">
        <v>2444</v>
      </c>
    </row>
    <row r="5031" customFormat="false" ht="15" hidden="false" customHeight="true" outlineLevel="0" collapsed="false">
      <c r="A5031" s="0" t="n">
        <v>2</v>
      </c>
      <c r="B5031" s="71" t="n">
        <v>46233</v>
      </c>
      <c r="C5031" s="0" t="n">
        <v>22</v>
      </c>
      <c r="D5031" s="0" t="s">
        <v>2479</v>
      </c>
      <c r="E5031" s="0" t="n">
        <v>48</v>
      </c>
      <c r="F5031" s="0" t="s">
        <v>153</v>
      </c>
      <c r="I5031" s="0" t="n">
        <v>2570</v>
      </c>
      <c r="J5031" s="0" t="n">
        <v>100053</v>
      </c>
      <c r="K5031" s="0" t="n">
        <v>54</v>
      </c>
      <c r="L5031" s="0" t="s">
        <v>2495</v>
      </c>
      <c r="N5031" s="0" t="n">
        <v>1.664</v>
      </c>
      <c r="O5031" s="0" t="n">
        <v>61.33</v>
      </c>
      <c r="P5031" s="0" t="s">
        <v>2444</v>
      </c>
    </row>
    <row r="5032" customFormat="false" ht="15" hidden="false" customHeight="true" outlineLevel="0" collapsed="false">
      <c r="A5032" s="0" t="n">
        <v>2</v>
      </c>
      <c r="B5032" s="71" t="n">
        <v>46233</v>
      </c>
      <c r="C5032" s="0" t="n">
        <v>22</v>
      </c>
      <c r="D5032" s="0" t="s">
        <v>2479</v>
      </c>
      <c r="E5032" s="0" t="n">
        <v>48</v>
      </c>
      <c r="F5032" s="0" t="s">
        <v>153</v>
      </c>
      <c r="I5032" s="0" t="n">
        <v>2570</v>
      </c>
      <c r="J5032" s="0" t="n">
        <v>100053</v>
      </c>
      <c r="K5032" s="0" t="n">
        <v>54</v>
      </c>
      <c r="L5032" s="0" t="s">
        <v>2495</v>
      </c>
      <c r="N5032" s="0" t="n">
        <v>3.8</v>
      </c>
      <c r="O5032" s="0" t="n">
        <v>121.85</v>
      </c>
      <c r="P5032" s="0" t="s">
        <v>2444</v>
      </c>
    </row>
    <row r="5033" customFormat="false" ht="15" hidden="false" customHeight="true" outlineLevel="0" collapsed="false">
      <c r="A5033" s="0" t="n">
        <v>2</v>
      </c>
      <c r="B5033" s="71" t="n">
        <v>46233</v>
      </c>
      <c r="C5033" s="0" t="n">
        <v>22</v>
      </c>
      <c r="D5033" s="0" t="s">
        <v>2479</v>
      </c>
      <c r="E5033" s="0" t="n">
        <v>48</v>
      </c>
      <c r="F5033" s="0" t="s">
        <v>153</v>
      </c>
      <c r="I5033" s="0" t="n">
        <v>2570</v>
      </c>
      <c r="J5033" s="0" t="n">
        <v>100638</v>
      </c>
      <c r="K5033" s="0" t="n">
        <v>508</v>
      </c>
      <c r="L5033" s="0" t="s">
        <v>2496</v>
      </c>
      <c r="N5033" s="0" t="n">
        <v>2.566</v>
      </c>
      <c r="O5033" s="0" t="n">
        <v>6.43</v>
      </c>
      <c r="P5033" s="0" t="s">
        <v>2444</v>
      </c>
    </row>
    <row r="5034" customFormat="false" ht="15" hidden="false" customHeight="true" outlineLevel="0" collapsed="false">
      <c r="A5034" s="0" t="n">
        <v>2</v>
      </c>
      <c r="B5034" s="71" t="n">
        <v>46233</v>
      </c>
      <c r="C5034" s="0" t="n">
        <v>22</v>
      </c>
      <c r="D5034" s="0" t="s">
        <v>2479</v>
      </c>
      <c r="E5034" s="0" t="n">
        <v>48</v>
      </c>
      <c r="F5034" s="0" t="s">
        <v>153</v>
      </c>
      <c r="I5034" s="0" t="n">
        <v>2570</v>
      </c>
      <c r="J5034" s="0" t="n">
        <v>100520</v>
      </c>
      <c r="K5034" s="0" t="n">
        <v>507</v>
      </c>
      <c r="L5034" s="0" t="s">
        <v>2497</v>
      </c>
      <c r="N5034" s="0" t="n">
        <v>10.445</v>
      </c>
      <c r="O5034" s="0" t="n">
        <v>26.17</v>
      </c>
      <c r="P5034" s="0" t="s">
        <v>2444</v>
      </c>
    </row>
    <row r="5035" customFormat="false" ht="15" hidden="false" customHeight="true" outlineLevel="0" collapsed="false">
      <c r="A5035" s="0" t="n">
        <v>2</v>
      </c>
      <c r="B5035" s="71" t="n">
        <v>46233</v>
      </c>
      <c r="C5035" s="0" t="n">
        <v>22</v>
      </c>
      <c r="D5035" s="0" t="s">
        <v>2479</v>
      </c>
      <c r="E5035" s="0" t="n">
        <v>48</v>
      </c>
      <c r="F5035" s="0" t="s">
        <v>153</v>
      </c>
      <c r="I5035" s="0" t="n">
        <v>2570</v>
      </c>
      <c r="J5035" s="0" t="n">
        <v>110455</v>
      </c>
      <c r="K5035" s="0" t="n">
        <v>53212</v>
      </c>
      <c r="L5035" s="0" t="s">
        <v>2498</v>
      </c>
      <c r="N5035" s="0" t="n">
        <v>0.912</v>
      </c>
      <c r="O5035" s="0" t="n">
        <v>0</v>
      </c>
      <c r="P5035" s="0" t="s">
        <v>2444</v>
      </c>
    </row>
    <row r="5036" customFormat="false" ht="15" hidden="false" customHeight="true" outlineLevel="0" collapsed="false">
      <c r="A5036" s="0" t="n">
        <v>2</v>
      </c>
      <c r="B5036" s="71" t="n">
        <v>46233</v>
      </c>
      <c r="C5036" s="0" t="n">
        <v>100</v>
      </c>
      <c r="D5036" s="0" t="s">
        <v>2499</v>
      </c>
      <c r="E5036" s="0" t="n">
        <v>48</v>
      </c>
      <c r="F5036" s="0" t="s">
        <v>153</v>
      </c>
      <c r="I5036" s="0" t="n">
        <v>1472751</v>
      </c>
      <c r="J5036" s="0" t="n">
        <v>100000</v>
      </c>
      <c r="K5036" s="0" t="n">
        <v>1</v>
      </c>
      <c r="L5036" s="0" t="s">
        <v>2480</v>
      </c>
      <c r="N5036" s="0" t="n">
        <v>3.04</v>
      </c>
      <c r="O5036" s="0" t="n">
        <v>61.11</v>
      </c>
      <c r="P5036" s="0" t="s">
        <v>2444</v>
      </c>
    </row>
    <row r="5037" customFormat="false" ht="15" hidden="false" customHeight="true" outlineLevel="0" collapsed="false">
      <c r="A5037" s="0" t="n">
        <v>2</v>
      </c>
      <c r="B5037" s="71" t="n">
        <v>46233</v>
      </c>
      <c r="C5037" s="0" t="n">
        <v>100</v>
      </c>
      <c r="D5037" s="0" t="s">
        <v>2499</v>
      </c>
      <c r="E5037" s="0" t="n">
        <v>48</v>
      </c>
      <c r="F5037" s="0" t="s">
        <v>153</v>
      </c>
      <c r="I5037" s="0" t="n">
        <v>1472751</v>
      </c>
      <c r="J5037" s="0" t="n">
        <v>100006</v>
      </c>
      <c r="K5037" s="0" t="n">
        <v>7</v>
      </c>
      <c r="L5037" s="0" t="s">
        <v>2485</v>
      </c>
      <c r="N5037" s="0" t="n">
        <v>2.606</v>
      </c>
      <c r="O5037" s="0" t="n">
        <v>74.22</v>
      </c>
      <c r="P5037" s="0" t="s">
        <v>2444</v>
      </c>
    </row>
    <row r="5038" customFormat="false" ht="15" hidden="false" customHeight="true" outlineLevel="0" collapsed="false">
      <c r="A5038" s="0" t="n">
        <v>2</v>
      </c>
      <c r="B5038" s="71" t="n">
        <v>46233</v>
      </c>
      <c r="C5038" s="0" t="n">
        <v>100</v>
      </c>
      <c r="D5038" s="0" t="s">
        <v>2499</v>
      </c>
      <c r="E5038" s="0" t="n">
        <v>48</v>
      </c>
      <c r="F5038" s="0" t="s">
        <v>153</v>
      </c>
      <c r="I5038" s="0" t="n">
        <v>1472751</v>
      </c>
      <c r="J5038" s="0" t="n">
        <v>100007</v>
      </c>
      <c r="K5038" s="0" t="n">
        <v>8</v>
      </c>
      <c r="L5038" s="0" t="s">
        <v>2486</v>
      </c>
      <c r="N5038" s="0" t="n">
        <v>2.5</v>
      </c>
      <c r="O5038" s="0" t="n">
        <v>62.82</v>
      </c>
      <c r="P5038" s="0" t="s">
        <v>2444</v>
      </c>
    </row>
    <row r="5039" customFormat="false" ht="15" hidden="false" customHeight="true" outlineLevel="0" collapsed="false">
      <c r="A5039" s="0" t="n">
        <v>2</v>
      </c>
      <c r="B5039" s="71" t="n">
        <v>46233</v>
      </c>
      <c r="C5039" s="0" t="n">
        <v>100</v>
      </c>
      <c r="D5039" s="0" t="s">
        <v>2499</v>
      </c>
      <c r="E5039" s="0" t="n">
        <v>48</v>
      </c>
      <c r="F5039" s="0" t="s">
        <v>153</v>
      </c>
      <c r="I5039" s="0" t="n">
        <v>1472751</v>
      </c>
      <c r="J5039" s="0" t="n">
        <v>100008</v>
      </c>
      <c r="K5039" s="0" t="n">
        <v>9</v>
      </c>
      <c r="L5039" s="0" t="s">
        <v>2487</v>
      </c>
      <c r="N5039" s="0" t="n">
        <v>16.73</v>
      </c>
      <c r="O5039" s="0" t="n">
        <v>546.55</v>
      </c>
      <c r="P5039" s="0" t="s">
        <v>2444</v>
      </c>
    </row>
    <row r="5040" customFormat="false" ht="15" hidden="false" customHeight="true" outlineLevel="0" collapsed="false">
      <c r="A5040" s="0" t="n">
        <v>2</v>
      </c>
      <c r="B5040" s="71" t="n">
        <v>46233</v>
      </c>
      <c r="C5040" s="0" t="n">
        <v>100</v>
      </c>
      <c r="D5040" s="0" t="s">
        <v>2499</v>
      </c>
      <c r="E5040" s="0" t="n">
        <v>48</v>
      </c>
      <c r="F5040" s="0" t="s">
        <v>153</v>
      </c>
      <c r="I5040" s="0" t="n">
        <v>1472751</v>
      </c>
      <c r="J5040" s="0" t="n">
        <v>100011</v>
      </c>
      <c r="K5040" s="0" t="n">
        <v>12</v>
      </c>
      <c r="L5040" s="0" t="s">
        <v>2488</v>
      </c>
      <c r="N5040" s="0" t="n">
        <v>10.63</v>
      </c>
      <c r="O5040" s="0" t="n">
        <v>391.8</v>
      </c>
      <c r="P5040" s="0" t="s">
        <v>2444</v>
      </c>
    </row>
    <row r="5041" customFormat="false" ht="15" hidden="false" customHeight="true" outlineLevel="0" collapsed="false">
      <c r="A5041" s="0" t="n">
        <v>2</v>
      </c>
      <c r="B5041" s="71" t="n">
        <v>46233</v>
      </c>
      <c r="C5041" s="0" t="n">
        <v>100</v>
      </c>
      <c r="D5041" s="0" t="s">
        <v>2499</v>
      </c>
      <c r="E5041" s="0" t="n">
        <v>48</v>
      </c>
      <c r="F5041" s="0" t="s">
        <v>153</v>
      </c>
      <c r="I5041" s="0" t="n">
        <v>1472751</v>
      </c>
      <c r="J5041" s="0" t="n">
        <v>100012</v>
      </c>
      <c r="K5041" s="0" t="n">
        <v>13</v>
      </c>
      <c r="L5041" s="0" t="s">
        <v>2489</v>
      </c>
      <c r="N5041" s="0" t="n">
        <v>5.6</v>
      </c>
      <c r="O5041" s="0" t="n">
        <v>234.56</v>
      </c>
      <c r="P5041" s="0" t="s">
        <v>2444</v>
      </c>
    </row>
    <row r="5042" customFormat="false" ht="15" hidden="false" customHeight="true" outlineLevel="0" collapsed="false">
      <c r="A5042" s="0" t="n">
        <v>2</v>
      </c>
      <c r="B5042" s="71" t="n">
        <v>46233</v>
      </c>
      <c r="C5042" s="0" t="n">
        <v>100</v>
      </c>
      <c r="D5042" s="0" t="s">
        <v>2499</v>
      </c>
      <c r="E5042" s="0" t="n">
        <v>48</v>
      </c>
      <c r="F5042" s="0" t="s">
        <v>153</v>
      </c>
      <c r="I5042" s="0" t="n">
        <v>1472751</v>
      </c>
      <c r="J5042" s="0" t="n">
        <v>100013</v>
      </c>
      <c r="K5042" s="0" t="n">
        <v>14</v>
      </c>
      <c r="L5042" s="0" t="s">
        <v>2490</v>
      </c>
      <c r="N5042" s="0" t="n">
        <v>12.235</v>
      </c>
      <c r="O5042" s="0" t="n">
        <v>543.22</v>
      </c>
      <c r="P5042" s="0" t="s">
        <v>2444</v>
      </c>
    </row>
    <row r="5043" customFormat="false" ht="15" hidden="false" customHeight="true" outlineLevel="0" collapsed="false">
      <c r="A5043" s="0" t="n">
        <v>2</v>
      </c>
      <c r="B5043" s="71" t="n">
        <v>46233</v>
      </c>
      <c r="C5043" s="0" t="n">
        <v>100</v>
      </c>
      <c r="D5043" s="0" t="s">
        <v>2499</v>
      </c>
      <c r="E5043" s="0" t="n">
        <v>48</v>
      </c>
      <c r="F5043" s="0" t="s">
        <v>153</v>
      </c>
      <c r="I5043" s="0" t="n">
        <v>1472751</v>
      </c>
      <c r="J5043" s="0" t="n">
        <v>100014</v>
      </c>
      <c r="K5043" s="0" t="n">
        <v>15</v>
      </c>
      <c r="L5043" s="0" t="s">
        <v>2491</v>
      </c>
      <c r="N5043" s="0" t="n">
        <v>4.362</v>
      </c>
      <c r="O5043" s="0" t="n">
        <v>197.32</v>
      </c>
      <c r="P5043" s="0" t="s">
        <v>2444</v>
      </c>
    </row>
    <row r="5044" customFormat="false" ht="15" hidden="false" customHeight="true" outlineLevel="0" collapsed="false">
      <c r="A5044" s="0" t="n">
        <v>2</v>
      </c>
      <c r="B5044" s="71" t="n">
        <v>46233</v>
      </c>
      <c r="C5044" s="0" t="n">
        <v>100</v>
      </c>
      <c r="D5044" s="0" t="s">
        <v>2499</v>
      </c>
      <c r="E5044" s="0" t="n">
        <v>48</v>
      </c>
      <c r="F5044" s="0" t="s">
        <v>153</v>
      </c>
      <c r="I5044" s="0" t="n">
        <v>1472751</v>
      </c>
      <c r="J5044" s="0" t="n">
        <v>100015</v>
      </c>
      <c r="K5044" s="0" t="n">
        <v>16</v>
      </c>
      <c r="L5044" s="0" t="s">
        <v>2492</v>
      </c>
      <c r="N5044" s="0" t="n">
        <v>1.828</v>
      </c>
      <c r="O5044" s="0" t="n">
        <v>73.5</v>
      </c>
      <c r="P5044" s="0" t="s">
        <v>2444</v>
      </c>
    </row>
    <row r="5045" customFormat="false" ht="15" hidden="false" customHeight="true" outlineLevel="0" collapsed="false">
      <c r="A5045" s="0" t="n">
        <v>2</v>
      </c>
      <c r="B5045" s="71" t="n">
        <v>46233</v>
      </c>
      <c r="C5045" s="0" t="n">
        <v>100</v>
      </c>
      <c r="D5045" s="0" t="s">
        <v>2499</v>
      </c>
      <c r="E5045" s="0" t="n">
        <v>48</v>
      </c>
      <c r="F5045" s="0" t="s">
        <v>153</v>
      </c>
      <c r="I5045" s="0" t="n">
        <v>1472751</v>
      </c>
      <c r="J5045" s="0" t="n">
        <v>100016</v>
      </c>
      <c r="K5045" s="0" t="n">
        <v>17</v>
      </c>
      <c r="L5045" s="0" t="s">
        <v>2493</v>
      </c>
      <c r="N5045" s="0" t="n">
        <v>2.986</v>
      </c>
      <c r="O5045" s="0" t="n">
        <v>175.11</v>
      </c>
      <c r="P5045" s="0" t="s">
        <v>2444</v>
      </c>
    </row>
    <row r="5046" customFormat="false" ht="15" hidden="false" customHeight="true" outlineLevel="0" collapsed="false">
      <c r="A5046" s="0" t="n">
        <v>2</v>
      </c>
      <c r="B5046" s="71" t="n">
        <v>46233</v>
      </c>
      <c r="C5046" s="0" t="n">
        <v>100</v>
      </c>
      <c r="D5046" s="0" t="s">
        <v>2499</v>
      </c>
      <c r="E5046" s="0" t="n">
        <v>48</v>
      </c>
      <c r="F5046" s="0" t="s">
        <v>153</v>
      </c>
      <c r="I5046" s="0" t="n">
        <v>1472751</v>
      </c>
      <c r="J5046" s="0" t="n">
        <v>100017</v>
      </c>
      <c r="K5046" s="0" t="n">
        <v>18</v>
      </c>
      <c r="L5046" s="0" t="s">
        <v>2494</v>
      </c>
      <c r="N5046" s="0" t="n">
        <v>1.696</v>
      </c>
      <c r="O5046" s="0" t="n">
        <v>99.46</v>
      </c>
      <c r="P5046" s="0" t="s">
        <v>2444</v>
      </c>
    </row>
    <row r="5047" customFormat="false" ht="15" hidden="false" customHeight="true" outlineLevel="0" collapsed="false">
      <c r="A5047" s="0" t="n">
        <v>2</v>
      </c>
      <c r="B5047" s="71" t="n">
        <v>46233</v>
      </c>
      <c r="C5047" s="0" t="n">
        <v>100</v>
      </c>
      <c r="D5047" s="0" t="s">
        <v>2499</v>
      </c>
      <c r="E5047" s="0" t="n">
        <v>48</v>
      </c>
      <c r="F5047" s="0" t="s">
        <v>153</v>
      </c>
      <c r="I5047" s="0" t="n">
        <v>1472751</v>
      </c>
      <c r="J5047" s="0" t="n">
        <v>100053</v>
      </c>
      <c r="K5047" s="0" t="n">
        <v>54</v>
      </c>
      <c r="L5047" s="0" t="s">
        <v>2495</v>
      </c>
      <c r="N5047" s="0" t="n">
        <v>1.664</v>
      </c>
      <c r="O5047" s="0" t="n">
        <v>61.33</v>
      </c>
      <c r="P5047" s="0" t="s">
        <v>2444</v>
      </c>
    </row>
    <row r="5048" customFormat="false" ht="15" hidden="false" customHeight="true" outlineLevel="0" collapsed="false">
      <c r="A5048" s="0" t="n">
        <v>2</v>
      </c>
      <c r="B5048" s="71" t="n">
        <v>46233</v>
      </c>
      <c r="C5048" s="0" t="n">
        <v>100</v>
      </c>
      <c r="D5048" s="0" t="s">
        <v>2499</v>
      </c>
      <c r="E5048" s="0" t="n">
        <v>48</v>
      </c>
      <c r="F5048" s="0" t="s">
        <v>153</v>
      </c>
      <c r="I5048" s="0" t="n">
        <v>1472751</v>
      </c>
      <c r="J5048" s="0" t="n">
        <v>100638</v>
      </c>
      <c r="K5048" s="0" t="n">
        <v>508</v>
      </c>
      <c r="L5048" s="0" t="s">
        <v>2496</v>
      </c>
      <c r="N5048" s="0" t="n">
        <v>2.566</v>
      </c>
      <c r="O5048" s="0" t="n">
        <v>6.43</v>
      </c>
      <c r="P5048" s="0" t="s">
        <v>2444</v>
      </c>
    </row>
    <row r="5049" customFormat="false" ht="15" hidden="false" customHeight="true" outlineLevel="0" collapsed="false">
      <c r="A5049" s="0" t="n">
        <v>2</v>
      </c>
      <c r="B5049" s="71" t="n">
        <v>46233</v>
      </c>
      <c r="C5049" s="0" t="n">
        <v>100</v>
      </c>
      <c r="D5049" s="0" t="s">
        <v>2499</v>
      </c>
      <c r="E5049" s="0" t="n">
        <v>48</v>
      </c>
      <c r="F5049" s="0" t="s">
        <v>153</v>
      </c>
      <c r="I5049" s="0" t="n">
        <v>1472751</v>
      </c>
      <c r="J5049" s="0" t="n">
        <v>100520</v>
      </c>
      <c r="K5049" s="0" t="n">
        <v>507</v>
      </c>
      <c r="L5049" s="0" t="s">
        <v>2497</v>
      </c>
      <c r="N5049" s="0" t="n">
        <v>10.445</v>
      </c>
      <c r="O5049" s="0" t="n">
        <v>26.17</v>
      </c>
      <c r="P5049" s="0" t="s">
        <v>2444</v>
      </c>
    </row>
    <row r="5050" customFormat="false" ht="15" hidden="false" customHeight="true" outlineLevel="0" collapsed="false">
      <c r="A5050" s="0" t="n">
        <v>2</v>
      </c>
      <c r="B5050" s="71" t="n">
        <v>46233</v>
      </c>
      <c r="C5050" s="0" t="n">
        <v>100</v>
      </c>
      <c r="D5050" s="0" t="s">
        <v>2499</v>
      </c>
      <c r="E5050" s="0" t="n">
        <v>48</v>
      </c>
      <c r="F5050" s="0" t="s">
        <v>153</v>
      </c>
      <c r="I5050" s="0" t="n">
        <v>1472751</v>
      </c>
      <c r="J5050" s="0" t="n">
        <v>110455</v>
      </c>
      <c r="K5050" s="0" t="n">
        <v>53212</v>
      </c>
      <c r="L5050" s="0" t="s">
        <v>2498</v>
      </c>
      <c r="N5050" s="0" t="n">
        <v>0.912</v>
      </c>
      <c r="O5050" s="0" t="n">
        <v>0</v>
      </c>
      <c r="P5050" s="0" t="s">
        <v>2444</v>
      </c>
    </row>
    <row r="5051" customFormat="false" ht="15" hidden="false" customHeight="true" outlineLevel="0" collapsed="false">
      <c r="A5051" s="0" t="n">
        <v>2</v>
      </c>
      <c r="B5051" s="71" t="n">
        <v>46233</v>
      </c>
      <c r="C5051" s="0" t="n">
        <v>100</v>
      </c>
      <c r="D5051" s="0" t="s">
        <v>2499</v>
      </c>
      <c r="E5051" s="0" t="n">
        <v>48</v>
      </c>
      <c r="F5051" s="0" t="s">
        <v>153</v>
      </c>
      <c r="I5051" s="0" t="n">
        <v>1472755</v>
      </c>
      <c r="J5051" s="0" t="n">
        <v>100008</v>
      </c>
      <c r="K5051" s="0" t="n">
        <v>9</v>
      </c>
      <c r="L5051" s="0" t="s">
        <v>2487</v>
      </c>
      <c r="N5051" s="0" t="n">
        <v>13.6</v>
      </c>
      <c r="O5051" s="0" t="n">
        <v>382.24</v>
      </c>
      <c r="P5051" s="0" t="s">
        <v>2444</v>
      </c>
    </row>
    <row r="5052" customFormat="false" ht="15" hidden="false" customHeight="true" outlineLevel="0" collapsed="false">
      <c r="A5052" s="0" t="n">
        <v>2</v>
      </c>
      <c r="B5052" s="71" t="n">
        <v>46233</v>
      </c>
      <c r="C5052" s="0" t="n">
        <v>100</v>
      </c>
      <c r="D5052" s="0" t="s">
        <v>2499</v>
      </c>
      <c r="E5052" s="0" t="n">
        <v>48</v>
      </c>
      <c r="F5052" s="0" t="s">
        <v>153</v>
      </c>
      <c r="I5052" s="0" t="n">
        <v>1472755</v>
      </c>
      <c r="J5052" s="0" t="n">
        <v>100016</v>
      </c>
      <c r="K5052" s="0" t="n">
        <v>17</v>
      </c>
      <c r="L5052" s="0" t="s">
        <v>2493</v>
      </c>
      <c r="N5052" s="0" t="n">
        <v>2.9</v>
      </c>
      <c r="O5052" s="0" t="n">
        <v>146.31</v>
      </c>
      <c r="P5052" s="0" t="s">
        <v>2444</v>
      </c>
    </row>
    <row r="5053" customFormat="false" ht="15" hidden="false" customHeight="true" outlineLevel="0" collapsed="false">
      <c r="A5053" s="0" t="n">
        <v>2</v>
      </c>
      <c r="B5053" s="71" t="n">
        <v>46233</v>
      </c>
      <c r="C5053" s="0" t="n">
        <v>100</v>
      </c>
      <c r="D5053" s="0" t="s">
        <v>2499</v>
      </c>
      <c r="E5053" s="0" t="n">
        <v>48</v>
      </c>
      <c r="F5053" s="0" t="s">
        <v>153</v>
      </c>
      <c r="I5053" s="0" t="n">
        <v>1472755</v>
      </c>
      <c r="J5053" s="0" t="n">
        <v>100053</v>
      </c>
      <c r="K5053" s="0" t="n">
        <v>54</v>
      </c>
      <c r="L5053" s="0" t="s">
        <v>2495</v>
      </c>
      <c r="N5053" s="0" t="n">
        <v>1.9</v>
      </c>
      <c r="O5053" s="0" t="n">
        <v>60.25</v>
      </c>
      <c r="P5053" s="0" t="s">
        <v>2444</v>
      </c>
    </row>
    <row r="5054" customFormat="false" ht="15" hidden="false" customHeight="true" outlineLevel="0" collapsed="false">
      <c r="A5054" s="0" t="n">
        <v>2</v>
      </c>
      <c r="B5054" s="71" t="n">
        <v>46233</v>
      </c>
      <c r="C5054" s="0" t="n">
        <v>100</v>
      </c>
      <c r="D5054" s="0" t="s">
        <v>2499</v>
      </c>
      <c r="E5054" s="0" t="n">
        <v>48</v>
      </c>
      <c r="F5054" s="0" t="s">
        <v>153</v>
      </c>
      <c r="I5054" s="0" t="n">
        <v>1472758</v>
      </c>
      <c r="J5054" s="0" t="n">
        <v>100008</v>
      </c>
      <c r="K5054" s="0" t="n">
        <v>9</v>
      </c>
      <c r="L5054" s="0" t="s">
        <v>2487</v>
      </c>
      <c r="N5054" s="0" t="n">
        <v>17.09</v>
      </c>
      <c r="O5054" s="0" t="n">
        <v>491.06</v>
      </c>
      <c r="P5054" s="0" t="s">
        <v>2444</v>
      </c>
    </row>
    <row r="5055" customFormat="false" ht="15" hidden="false" customHeight="true" outlineLevel="0" collapsed="false">
      <c r="A5055" s="0" t="n">
        <v>2</v>
      </c>
      <c r="B5055" s="71" t="n">
        <v>46233</v>
      </c>
      <c r="C5055" s="0" t="n">
        <v>100</v>
      </c>
      <c r="D5055" s="0" t="s">
        <v>2499</v>
      </c>
      <c r="E5055" s="0" t="n">
        <v>48</v>
      </c>
      <c r="F5055" s="0" t="s">
        <v>153</v>
      </c>
      <c r="I5055" s="0" t="n">
        <v>1472758</v>
      </c>
      <c r="J5055" s="0" t="n">
        <v>100016</v>
      </c>
      <c r="K5055" s="0" t="n">
        <v>17</v>
      </c>
      <c r="L5055" s="0" t="s">
        <v>2493</v>
      </c>
      <c r="N5055" s="0" t="n">
        <v>2.81</v>
      </c>
      <c r="O5055" s="0" t="n">
        <v>144.94</v>
      </c>
      <c r="P5055" s="0" t="s">
        <v>2444</v>
      </c>
    </row>
    <row r="5056" customFormat="false" ht="15" hidden="false" customHeight="true" outlineLevel="0" collapsed="false">
      <c r="A5056" s="0" t="n">
        <v>2</v>
      </c>
      <c r="B5056" s="71" t="n">
        <v>46233</v>
      </c>
      <c r="C5056" s="0" t="n">
        <v>100</v>
      </c>
      <c r="D5056" s="0" t="s">
        <v>2499</v>
      </c>
      <c r="E5056" s="0" t="n">
        <v>48</v>
      </c>
      <c r="F5056" s="0" t="s">
        <v>153</v>
      </c>
      <c r="I5056" s="0" t="n">
        <v>1472758</v>
      </c>
      <c r="J5056" s="0" t="n">
        <v>100053</v>
      </c>
      <c r="K5056" s="0" t="n">
        <v>54</v>
      </c>
      <c r="L5056" s="0" t="s">
        <v>2495</v>
      </c>
      <c r="N5056" s="0" t="n">
        <v>1.9</v>
      </c>
      <c r="O5056" s="0" t="n">
        <v>61.6</v>
      </c>
      <c r="P5056" s="0" t="s">
        <v>2444</v>
      </c>
    </row>
    <row r="5057" customFormat="false" ht="15" hidden="false" customHeight="true" outlineLevel="0" collapsed="false">
      <c r="A5057" s="0" t="n">
        <v>2</v>
      </c>
      <c r="B5057" s="71" t="n">
        <v>46233</v>
      </c>
      <c r="C5057" s="0" t="n">
        <v>171</v>
      </c>
      <c r="D5057" s="0" t="s">
        <v>3017</v>
      </c>
      <c r="E5057" s="0" t="n">
        <v>1740</v>
      </c>
      <c r="F5057" s="0" t="s">
        <v>468</v>
      </c>
      <c r="I5057" s="0" t="n">
        <v>1253269</v>
      </c>
      <c r="J5057" s="0" t="n">
        <v>25413</v>
      </c>
      <c r="K5057" s="0" t="n">
        <v>7891000241417</v>
      </c>
      <c r="L5057" s="0" t="s">
        <v>2825</v>
      </c>
      <c r="N5057" s="0" t="n">
        <v>2</v>
      </c>
      <c r="O5057" s="0" t="n">
        <v>24.58</v>
      </c>
      <c r="P5057" s="0" t="s">
        <v>3019</v>
      </c>
    </row>
    <row r="5058" customFormat="false" ht="15" hidden="false" customHeight="true" outlineLevel="0" collapsed="false">
      <c r="A5058" s="0" t="n">
        <v>2</v>
      </c>
      <c r="B5058" s="71" t="n">
        <v>46233</v>
      </c>
      <c r="C5058" s="0" t="n">
        <v>171</v>
      </c>
      <c r="D5058" s="0" t="s">
        <v>3017</v>
      </c>
      <c r="E5058" s="0" t="n">
        <v>1740</v>
      </c>
      <c r="F5058" s="0" t="s">
        <v>468</v>
      </c>
      <c r="I5058" s="0" t="n">
        <v>1253269</v>
      </c>
      <c r="J5058" s="0" t="n">
        <v>47788</v>
      </c>
      <c r="K5058" s="0" t="n">
        <v>7891000363256</v>
      </c>
      <c r="L5058" s="0" t="s">
        <v>4650</v>
      </c>
      <c r="N5058" s="0" t="n">
        <v>1</v>
      </c>
      <c r="O5058" s="0" t="n">
        <v>8.19</v>
      </c>
      <c r="P5058" s="0" t="s">
        <v>3019</v>
      </c>
    </row>
    <row r="5059" customFormat="false" ht="15" hidden="false" customHeight="true" outlineLevel="0" collapsed="false">
      <c r="A5059" s="0" t="n">
        <v>2</v>
      </c>
      <c r="B5059" s="71" t="n">
        <v>46233</v>
      </c>
      <c r="C5059" s="0" t="n">
        <v>171</v>
      </c>
      <c r="D5059" s="0" t="s">
        <v>3017</v>
      </c>
      <c r="E5059" s="0" t="n">
        <v>1740</v>
      </c>
      <c r="F5059" s="0" t="s">
        <v>468</v>
      </c>
      <c r="I5059" s="0" t="n">
        <v>1253269</v>
      </c>
      <c r="J5059" s="0" t="n">
        <v>50422</v>
      </c>
      <c r="K5059" s="0" t="n">
        <v>7898953148220</v>
      </c>
      <c r="L5059" s="0" t="s">
        <v>4647</v>
      </c>
      <c r="N5059" s="0" t="n">
        <v>1</v>
      </c>
      <c r="O5059" s="0" t="n">
        <v>12.98</v>
      </c>
      <c r="P5059" s="0" t="s">
        <v>3019</v>
      </c>
    </row>
    <row r="5060" customFormat="false" ht="15" hidden="false" customHeight="true" outlineLevel="0" collapsed="false">
      <c r="A5060" s="0" t="n">
        <v>2</v>
      </c>
      <c r="B5060" s="71" t="n">
        <v>46233</v>
      </c>
      <c r="C5060" s="0" t="n">
        <v>171</v>
      </c>
      <c r="D5060" s="0" t="s">
        <v>3017</v>
      </c>
      <c r="E5060" s="0" t="n">
        <v>1740</v>
      </c>
      <c r="F5060" s="0" t="s">
        <v>468</v>
      </c>
      <c r="I5060" s="0" t="n">
        <v>1253269</v>
      </c>
      <c r="J5060" s="0" t="n">
        <v>61680</v>
      </c>
      <c r="K5060" s="0" t="n">
        <v>7891000394632</v>
      </c>
      <c r="L5060" s="0" t="s">
        <v>2834</v>
      </c>
      <c r="N5060" s="0" t="n">
        <v>1</v>
      </c>
      <c r="O5060" s="0" t="n">
        <v>8.29</v>
      </c>
      <c r="P5060" s="0" t="s">
        <v>3019</v>
      </c>
    </row>
    <row r="5061" customFormat="false" ht="15" hidden="false" customHeight="true" outlineLevel="0" collapsed="false">
      <c r="A5061" s="0" t="n">
        <v>2</v>
      </c>
      <c r="B5061" s="71" t="n">
        <v>46233</v>
      </c>
      <c r="C5061" s="0" t="n">
        <v>171</v>
      </c>
      <c r="D5061" s="0" t="s">
        <v>3017</v>
      </c>
      <c r="E5061" s="0" t="n">
        <v>1740</v>
      </c>
      <c r="F5061" s="0" t="s">
        <v>468</v>
      </c>
      <c r="I5061" s="0" t="n">
        <v>1253269</v>
      </c>
      <c r="J5061" s="0" t="n">
        <v>62922</v>
      </c>
      <c r="K5061" s="0" t="n">
        <v>7891000260623</v>
      </c>
      <c r="L5061" s="0" t="s">
        <v>3937</v>
      </c>
      <c r="N5061" s="0" t="n">
        <v>1</v>
      </c>
      <c r="O5061" s="0" t="n">
        <v>14.21</v>
      </c>
      <c r="P5061" s="0" t="s">
        <v>3019</v>
      </c>
    </row>
    <row r="5062" customFormat="false" ht="15" hidden="false" customHeight="true" outlineLevel="0" collapsed="false">
      <c r="A5062" s="0" t="n">
        <v>2</v>
      </c>
      <c r="B5062" s="71" t="n">
        <v>46234</v>
      </c>
      <c r="C5062" s="0" t="n">
        <v>6</v>
      </c>
      <c r="D5062" s="0" t="s">
        <v>2553</v>
      </c>
      <c r="E5062" s="0" t="n">
        <v>48</v>
      </c>
      <c r="F5062" s="0" t="s">
        <v>153</v>
      </c>
      <c r="I5062" s="0" t="n">
        <v>2578</v>
      </c>
      <c r="J5062" s="0" t="n">
        <v>100107</v>
      </c>
      <c r="K5062" s="0" t="n">
        <v>108</v>
      </c>
      <c r="L5062" s="0" t="s">
        <v>3259</v>
      </c>
      <c r="N5062" s="0" t="n">
        <v>3</v>
      </c>
      <c r="O5062" s="0" t="n">
        <v>33</v>
      </c>
      <c r="P5062" s="0" t="s">
        <v>2444</v>
      </c>
    </row>
    <row r="5063" customFormat="false" ht="15" hidden="false" customHeight="true" outlineLevel="0" collapsed="false">
      <c r="A5063" s="0" t="n">
        <v>2</v>
      </c>
      <c r="B5063" s="71" t="n">
        <v>46234</v>
      </c>
      <c r="C5063" s="0" t="n">
        <v>6</v>
      </c>
      <c r="D5063" s="0" t="s">
        <v>2553</v>
      </c>
      <c r="E5063" s="0" t="n">
        <v>48</v>
      </c>
      <c r="F5063" s="0" t="s">
        <v>153</v>
      </c>
      <c r="I5063" s="0" t="n">
        <v>2578</v>
      </c>
      <c r="J5063" s="0" t="n">
        <v>100109</v>
      </c>
      <c r="K5063" s="0" t="n">
        <v>110</v>
      </c>
      <c r="L5063" s="0" t="s">
        <v>2537</v>
      </c>
      <c r="N5063" s="0" t="n">
        <v>40</v>
      </c>
      <c r="O5063" s="0" t="n">
        <v>240</v>
      </c>
      <c r="P5063" s="0" t="s">
        <v>2444</v>
      </c>
    </row>
    <row r="5064" customFormat="false" ht="15" hidden="false" customHeight="true" outlineLevel="0" collapsed="false">
      <c r="A5064" s="0" t="n">
        <v>2</v>
      </c>
      <c r="B5064" s="71" t="n">
        <v>46234</v>
      </c>
      <c r="C5064" s="0" t="n">
        <v>6</v>
      </c>
      <c r="D5064" s="0" t="s">
        <v>2553</v>
      </c>
      <c r="E5064" s="0" t="n">
        <v>48</v>
      </c>
      <c r="F5064" s="0" t="s">
        <v>153</v>
      </c>
      <c r="I5064" s="0" t="n">
        <v>2578</v>
      </c>
      <c r="J5064" s="0" t="n">
        <v>100113</v>
      </c>
      <c r="K5064" s="0" t="n">
        <v>114</v>
      </c>
      <c r="L5064" s="0" t="s">
        <v>2539</v>
      </c>
      <c r="N5064" s="0" t="n">
        <v>20</v>
      </c>
      <c r="O5064" s="0" t="n">
        <v>55</v>
      </c>
      <c r="P5064" s="0" t="s">
        <v>2444</v>
      </c>
    </row>
    <row r="5065" customFormat="false" ht="15" hidden="false" customHeight="true" outlineLevel="0" collapsed="false">
      <c r="A5065" s="0" t="n">
        <v>2</v>
      </c>
      <c r="B5065" s="71" t="n">
        <v>46234</v>
      </c>
      <c r="C5065" s="0" t="n">
        <v>6</v>
      </c>
      <c r="D5065" s="0" t="s">
        <v>2553</v>
      </c>
      <c r="E5065" s="0" t="n">
        <v>48</v>
      </c>
      <c r="F5065" s="0" t="s">
        <v>153</v>
      </c>
      <c r="I5065" s="0" t="n">
        <v>2578</v>
      </c>
      <c r="J5065" s="0" t="n">
        <v>100116</v>
      </c>
      <c r="K5065" s="0" t="n">
        <v>117</v>
      </c>
      <c r="L5065" s="0" t="s">
        <v>2540</v>
      </c>
      <c r="N5065" s="0" t="n">
        <v>2</v>
      </c>
      <c r="O5065" s="0" t="n">
        <v>20</v>
      </c>
      <c r="P5065" s="0" t="s">
        <v>2444</v>
      </c>
    </row>
    <row r="5066" customFormat="false" ht="15" hidden="false" customHeight="true" outlineLevel="0" collapsed="false">
      <c r="A5066" s="0" t="n">
        <v>2</v>
      </c>
      <c r="B5066" s="71" t="n">
        <v>46234</v>
      </c>
      <c r="C5066" s="0" t="n">
        <v>6</v>
      </c>
      <c r="D5066" s="0" t="s">
        <v>2553</v>
      </c>
      <c r="E5066" s="0" t="n">
        <v>48</v>
      </c>
      <c r="F5066" s="0" t="s">
        <v>153</v>
      </c>
      <c r="I5066" s="0" t="n">
        <v>2578</v>
      </c>
      <c r="J5066" s="0" t="n">
        <v>100118</v>
      </c>
      <c r="K5066" s="0" t="n">
        <v>119</v>
      </c>
      <c r="L5066" s="0" t="s">
        <v>2541</v>
      </c>
      <c r="N5066" s="0" t="n">
        <v>10</v>
      </c>
      <c r="O5066" s="0" t="n">
        <v>57.5</v>
      </c>
      <c r="P5066" s="0" t="s">
        <v>2444</v>
      </c>
    </row>
    <row r="5067" customFormat="false" ht="15" hidden="false" customHeight="true" outlineLevel="0" collapsed="false">
      <c r="A5067" s="0" t="n">
        <v>2</v>
      </c>
      <c r="B5067" s="71" t="n">
        <v>46234</v>
      </c>
      <c r="C5067" s="0" t="n">
        <v>6</v>
      </c>
      <c r="D5067" s="0" t="s">
        <v>2553</v>
      </c>
      <c r="E5067" s="0" t="n">
        <v>48</v>
      </c>
      <c r="F5067" s="0" t="s">
        <v>153</v>
      </c>
      <c r="I5067" s="0" t="n">
        <v>2578</v>
      </c>
      <c r="J5067" s="0" t="n">
        <v>100121</v>
      </c>
      <c r="K5067" s="0" t="n">
        <v>122</v>
      </c>
      <c r="L5067" s="0" t="s">
        <v>2542</v>
      </c>
      <c r="N5067" s="0" t="n">
        <v>3</v>
      </c>
      <c r="O5067" s="0" t="n">
        <v>30</v>
      </c>
      <c r="P5067" s="0" t="s">
        <v>2444</v>
      </c>
    </row>
    <row r="5068" customFormat="false" ht="15" hidden="false" customHeight="true" outlineLevel="0" collapsed="false">
      <c r="A5068" s="0" t="n">
        <v>2</v>
      </c>
      <c r="B5068" s="71" t="n">
        <v>46234</v>
      </c>
      <c r="C5068" s="0" t="n">
        <v>6</v>
      </c>
      <c r="D5068" s="0" t="s">
        <v>2553</v>
      </c>
      <c r="E5068" s="0" t="n">
        <v>48</v>
      </c>
      <c r="F5068" s="0" t="s">
        <v>153</v>
      </c>
      <c r="I5068" s="0" t="n">
        <v>2578</v>
      </c>
      <c r="J5068" s="0" t="n">
        <v>100122</v>
      </c>
      <c r="K5068" s="0" t="n">
        <v>123</v>
      </c>
      <c r="L5068" s="0" t="s">
        <v>2543</v>
      </c>
      <c r="N5068" s="0" t="n">
        <v>3</v>
      </c>
      <c r="O5068" s="0" t="n">
        <v>30</v>
      </c>
      <c r="P5068" s="0" t="s">
        <v>2444</v>
      </c>
    </row>
    <row r="5069" customFormat="false" ht="15" hidden="false" customHeight="true" outlineLevel="0" collapsed="false">
      <c r="A5069" s="0" t="n">
        <v>2</v>
      </c>
      <c r="B5069" s="71" t="n">
        <v>46234</v>
      </c>
      <c r="C5069" s="0" t="n">
        <v>6</v>
      </c>
      <c r="D5069" s="0" t="s">
        <v>2553</v>
      </c>
      <c r="E5069" s="0" t="n">
        <v>48</v>
      </c>
      <c r="F5069" s="0" t="s">
        <v>153</v>
      </c>
      <c r="I5069" s="0" t="n">
        <v>2578</v>
      </c>
      <c r="J5069" s="0" t="n">
        <v>100123</v>
      </c>
      <c r="K5069" s="0" t="n">
        <v>124</v>
      </c>
      <c r="L5069" s="0" t="s">
        <v>2544</v>
      </c>
      <c r="N5069" s="0" t="n">
        <v>2</v>
      </c>
      <c r="O5069" s="0" t="n">
        <v>16</v>
      </c>
      <c r="P5069" s="0" t="s">
        <v>2444</v>
      </c>
    </row>
    <row r="5070" customFormat="false" ht="15" hidden="false" customHeight="true" outlineLevel="0" collapsed="false">
      <c r="A5070" s="0" t="n">
        <v>2</v>
      </c>
      <c r="B5070" s="71" t="n">
        <v>46234</v>
      </c>
      <c r="C5070" s="0" t="n">
        <v>6</v>
      </c>
      <c r="D5070" s="0" t="s">
        <v>2553</v>
      </c>
      <c r="E5070" s="0" t="n">
        <v>48</v>
      </c>
      <c r="F5070" s="0" t="s">
        <v>153</v>
      </c>
      <c r="I5070" s="0" t="n">
        <v>2578</v>
      </c>
      <c r="J5070" s="0" t="n">
        <v>100130</v>
      </c>
      <c r="K5070" s="0" t="n">
        <v>131</v>
      </c>
      <c r="L5070" s="0" t="s">
        <v>2545</v>
      </c>
      <c r="N5070" s="0" t="n">
        <v>20</v>
      </c>
      <c r="O5070" s="0" t="n">
        <v>120</v>
      </c>
      <c r="P5070" s="0" t="s">
        <v>2444</v>
      </c>
    </row>
    <row r="5071" customFormat="false" ht="15" hidden="false" customHeight="true" outlineLevel="0" collapsed="false">
      <c r="A5071" s="0" t="n">
        <v>2</v>
      </c>
      <c r="B5071" s="71" t="n">
        <v>46234</v>
      </c>
      <c r="C5071" s="0" t="n">
        <v>6</v>
      </c>
      <c r="D5071" s="0" t="s">
        <v>2553</v>
      </c>
      <c r="E5071" s="0" t="n">
        <v>48</v>
      </c>
      <c r="F5071" s="0" t="s">
        <v>153</v>
      </c>
      <c r="I5071" s="0" t="n">
        <v>2578</v>
      </c>
      <c r="J5071" s="0" t="n">
        <v>100132</v>
      </c>
      <c r="K5071" s="0" t="n">
        <v>133</v>
      </c>
      <c r="L5071" s="0" t="s">
        <v>2546</v>
      </c>
      <c r="N5071" s="0" t="n">
        <v>45.955</v>
      </c>
      <c r="O5071" s="0" t="n">
        <v>152</v>
      </c>
      <c r="P5071" s="0" t="s">
        <v>2444</v>
      </c>
    </row>
    <row r="5072" customFormat="false" ht="15" hidden="false" customHeight="true" outlineLevel="0" collapsed="false">
      <c r="A5072" s="0" t="n">
        <v>2</v>
      </c>
      <c r="B5072" s="71" t="n">
        <v>46234</v>
      </c>
      <c r="C5072" s="0" t="n">
        <v>6</v>
      </c>
      <c r="D5072" s="0" t="s">
        <v>2553</v>
      </c>
      <c r="E5072" s="0" t="n">
        <v>48</v>
      </c>
      <c r="F5072" s="0" t="s">
        <v>153</v>
      </c>
      <c r="I5072" s="0" t="n">
        <v>2578</v>
      </c>
      <c r="J5072" s="0" t="n">
        <v>100133</v>
      </c>
      <c r="K5072" s="0" t="n">
        <v>134</v>
      </c>
      <c r="L5072" s="0" t="s">
        <v>2547</v>
      </c>
      <c r="N5072" s="0" t="n">
        <v>20</v>
      </c>
      <c r="O5072" s="0" t="n">
        <v>120</v>
      </c>
      <c r="P5072" s="0" t="s">
        <v>2444</v>
      </c>
    </row>
    <row r="5073" customFormat="false" ht="15" hidden="false" customHeight="true" outlineLevel="0" collapsed="false">
      <c r="A5073" s="0" t="n">
        <v>2</v>
      </c>
      <c r="B5073" s="71" t="n">
        <v>46234</v>
      </c>
      <c r="C5073" s="0" t="n">
        <v>6</v>
      </c>
      <c r="D5073" s="0" t="s">
        <v>2553</v>
      </c>
      <c r="E5073" s="0" t="n">
        <v>48</v>
      </c>
      <c r="F5073" s="0" t="s">
        <v>153</v>
      </c>
      <c r="I5073" s="0" t="n">
        <v>2578</v>
      </c>
      <c r="J5073" s="0" t="n">
        <v>100141</v>
      </c>
      <c r="K5073" s="0" t="n">
        <v>142</v>
      </c>
      <c r="L5073" s="0" t="s">
        <v>3260</v>
      </c>
      <c r="N5073" s="0" t="n">
        <v>1</v>
      </c>
      <c r="O5073" s="0" t="n">
        <v>40</v>
      </c>
      <c r="P5073" s="0" t="s">
        <v>2444</v>
      </c>
    </row>
    <row r="5074" customFormat="false" ht="15" hidden="false" customHeight="true" outlineLevel="0" collapsed="false">
      <c r="A5074" s="0" t="n">
        <v>2</v>
      </c>
      <c r="B5074" s="71" t="n">
        <v>46234</v>
      </c>
      <c r="C5074" s="0" t="n">
        <v>6</v>
      </c>
      <c r="D5074" s="0" t="s">
        <v>2553</v>
      </c>
      <c r="E5074" s="0" t="n">
        <v>48</v>
      </c>
      <c r="F5074" s="0" t="s">
        <v>153</v>
      </c>
      <c r="I5074" s="0" t="n">
        <v>2578</v>
      </c>
      <c r="J5074" s="0" t="n">
        <v>100148</v>
      </c>
      <c r="K5074" s="0" t="n">
        <v>149</v>
      </c>
      <c r="L5074" s="0" t="s">
        <v>2600</v>
      </c>
      <c r="N5074" s="0" t="n">
        <v>11</v>
      </c>
      <c r="O5074" s="0" t="n">
        <v>68.75</v>
      </c>
      <c r="P5074" s="0" t="s">
        <v>2444</v>
      </c>
    </row>
    <row r="5075" customFormat="false" ht="15" hidden="false" customHeight="true" outlineLevel="0" collapsed="false">
      <c r="A5075" s="0" t="n">
        <v>2</v>
      </c>
      <c r="B5075" s="71" t="n">
        <v>46234</v>
      </c>
      <c r="C5075" s="0" t="n">
        <v>6</v>
      </c>
      <c r="D5075" s="0" t="s">
        <v>2553</v>
      </c>
      <c r="E5075" s="0" t="n">
        <v>48</v>
      </c>
      <c r="F5075" s="0" t="s">
        <v>153</v>
      </c>
      <c r="I5075" s="0" t="n">
        <v>2578</v>
      </c>
      <c r="J5075" s="0" t="n">
        <v>100227</v>
      </c>
      <c r="K5075" s="0" t="n">
        <v>40538</v>
      </c>
      <c r="L5075" s="0" t="s">
        <v>2548</v>
      </c>
      <c r="N5075" s="0" t="n">
        <v>20</v>
      </c>
      <c r="O5075" s="0" t="n">
        <v>100</v>
      </c>
      <c r="P5075" s="0" t="s">
        <v>2444</v>
      </c>
    </row>
    <row r="5076" customFormat="false" ht="15" hidden="false" customHeight="true" outlineLevel="0" collapsed="false">
      <c r="A5076" s="0" t="n">
        <v>2</v>
      </c>
      <c r="B5076" s="71" t="n">
        <v>46234</v>
      </c>
      <c r="C5076" s="0" t="n">
        <v>6</v>
      </c>
      <c r="D5076" s="0" t="s">
        <v>2553</v>
      </c>
      <c r="E5076" s="0" t="n">
        <v>48</v>
      </c>
      <c r="F5076" s="0" t="s">
        <v>153</v>
      </c>
      <c r="I5076" s="0" t="n">
        <v>2578</v>
      </c>
      <c r="J5076" s="0" t="n">
        <v>110142</v>
      </c>
      <c r="K5076" s="0" t="n">
        <v>16699</v>
      </c>
      <c r="L5076" s="0" t="s">
        <v>2549</v>
      </c>
      <c r="N5076" s="0" t="n">
        <v>40</v>
      </c>
      <c r="O5076" s="0" t="n">
        <v>250</v>
      </c>
      <c r="P5076" s="0" t="s">
        <v>2444</v>
      </c>
    </row>
    <row r="5077" customFormat="false" ht="15" hidden="false" customHeight="true" outlineLevel="0" collapsed="false">
      <c r="A5077" s="0" t="n">
        <v>2</v>
      </c>
      <c r="B5077" s="71" t="n">
        <v>46234</v>
      </c>
      <c r="C5077" s="0" t="n">
        <v>6</v>
      </c>
      <c r="D5077" s="0" t="s">
        <v>2553</v>
      </c>
      <c r="E5077" s="0" t="n">
        <v>48</v>
      </c>
      <c r="F5077" s="0" t="s">
        <v>153</v>
      </c>
      <c r="I5077" s="0" t="n">
        <v>2578</v>
      </c>
      <c r="J5077" s="0" t="n">
        <v>110489</v>
      </c>
      <c r="K5077" s="0" t="n">
        <v>54743</v>
      </c>
      <c r="L5077" s="0" t="s">
        <v>2550</v>
      </c>
      <c r="N5077" s="0" t="n">
        <v>40</v>
      </c>
      <c r="O5077" s="0" t="n">
        <v>280</v>
      </c>
      <c r="P5077" s="0" t="s">
        <v>2444</v>
      </c>
    </row>
    <row r="5078" customFormat="false" ht="15" hidden="false" customHeight="true" outlineLevel="0" collapsed="false">
      <c r="A5078" s="0" t="n">
        <v>2</v>
      </c>
      <c r="B5078" s="71" t="n">
        <v>46234</v>
      </c>
      <c r="C5078" s="0" t="n">
        <v>11</v>
      </c>
      <c r="D5078" s="0" t="s">
        <v>2471</v>
      </c>
      <c r="E5078" s="0" t="n">
        <v>10096</v>
      </c>
      <c r="F5078" s="0" t="s">
        <v>622</v>
      </c>
      <c r="I5078" s="0" t="n">
        <v>102</v>
      </c>
      <c r="J5078" s="0" t="n">
        <v>61580</v>
      </c>
      <c r="K5078" s="0" t="n">
        <v>2258157</v>
      </c>
      <c r="L5078" s="0" t="s">
        <v>2509</v>
      </c>
      <c r="N5078" s="0" t="n">
        <v>10</v>
      </c>
      <c r="O5078" s="0" t="n">
        <v>120</v>
      </c>
      <c r="P5078" s="0" t="s">
        <v>2444</v>
      </c>
    </row>
    <row r="5079" customFormat="false" ht="15" hidden="false" customHeight="true" outlineLevel="0" collapsed="false">
      <c r="A5079" s="0" t="n">
        <v>2</v>
      </c>
      <c r="B5079" s="71" t="n">
        <v>46234</v>
      </c>
      <c r="C5079" s="0" t="n">
        <v>11</v>
      </c>
      <c r="D5079" s="0" t="s">
        <v>2471</v>
      </c>
      <c r="E5079" s="0" t="n">
        <v>10096</v>
      </c>
      <c r="F5079" s="0" t="s">
        <v>622</v>
      </c>
      <c r="I5079" s="0" t="n">
        <v>102</v>
      </c>
      <c r="J5079" s="0" t="n">
        <v>61597</v>
      </c>
      <c r="K5079" s="0" t="n">
        <v>2258188</v>
      </c>
      <c r="L5079" s="0" t="s">
        <v>2510</v>
      </c>
      <c r="N5079" s="0" t="n">
        <v>5</v>
      </c>
      <c r="O5079" s="0" t="n">
        <v>20</v>
      </c>
      <c r="P5079" s="0" t="s">
        <v>2444</v>
      </c>
    </row>
    <row r="5080" customFormat="false" ht="15" hidden="false" customHeight="true" outlineLevel="0" collapsed="false">
      <c r="A5080" s="0" t="n">
        <v>2</v>
      </c>
      <c r="B5080" s="71" t="n">
        <v>46234</v>
      </c>
      <c r="C5080" s="0" t="n">
        <v>11</v>
      </c>
      <c r="D5080" s="0" t="s">
        <v>2471</v>
      </c>
      <c r="E5080" s="0" t="n">
        <v>10035</v>
      </c>
      <c r="F5080" s="0" t="s">
        <v>86</v>
      </c>
      <c r="I5080" s="0" t="n">
        <v>389</v>
      </c>
      <c r="J5080" s="0" t="n">
        <v>38652</v>
      </c>
      <c r="K5080" s="0" t="n">
        <v>7898994684220</v>
      </c>
      <c r="L5080" s="0" t="s">
        <v>2711</v>
      </c>
      <c r="N5080" s="0" t="n">
        <v>20</v>
      </c>
      <c r="O5080" s="0" t="n">
        <v>180</v>
      </c>
      <c r="P5080" s="0" t="s">
        <v>2444</v>
      </c>
    </row>
    <row r="5081" customFormat="false" ht="15" hidden="false" customHeight="true" outlineLevel="0" collapsed="false">
      <c r="A5081" s="0" t="n">
        <v>2</v>
      </c>
      <c r="B5081" s="71" t="n">
        <v>46234</v>
      </c>
      <c r="C5081" s="0" t="n">
        <v>11</v>
      </c>
      <c r="D5081" s="0" t="s">
        <v>2471</v>
      </c>
      <c r="E5081" s="0" t="n">
        <v>10035</v>
      </c>
      <c r="F5081" s="0" t="s">
        <v>86</v>
      </c>
      <c r="I5081" s="0" t="n">
        <v>389</v>
      </c>
      <c r="J5081" s="0" t="n">
        <v>38653</v>
      </c>
      <c r="K5081" s="0" t="n">
        <v>7898994684275</v>
      </c>
      <c r="L5081" s="0" t="s">
        <v>2712</v>
      </c>
      <c r="N5081" s="0" t="n">
        <v>10</v>
      </c>
      <c r="O5081" s="0" t="n">
        <v>48</v>
      </c>
      <c r="P5081" s="0" t="s">
        <v>2444</v>
      </c>
    </row>
    <row r="5082" customFormat="false" ht="15" hidden="false" customHeight="true" outlineLevel="0" collapsed="false">
      <c r="A5082" s="0" t="n">
        <v>2</v>
      </c>
      <c r="B5082" s="71" t="n">
        <v>46234</v>
      </c>
      <c r="C5082" s="0" t="n">
        <v>11</v>
      </c>
      <c r="D5082" s="0" t="s">
        <v>2471</v>
      </c>
      <c r="E5082" s="0" t="n">
        <v>581</v>
      </c>
      <c r="F5082" s="0" t="s">
        <v>147</v>
      </c>
      <c r="I5082" s="0" t="n">
        <v>31668</v>
      </c>
      <c r="J5082" s="0" t="n">
        <v>48008</v>
      </c>
      <c r="K5082" s="0" t="n">
        <v>798190027999</v>
      </c>
      <c r="L5082" s="0" t="s">
        <v>2579</v>
      </c>
      <c r="N5082" s="0" t="n">
        <v>25</v>
      </c>
      <c r="O5082" s="0" t="n">
        <v>162.5</v>
      </c>
      <c r="P5082" s="0" t="s">
        <v>2444</v>
      </c>
    </row>
    <row r="5083" customFormat="false" ht="15" hidden="false" customHeight="true" outlineLevel="0" collapsed="false">
      <c r="A5083" s="0" t="n">
        <v>2</v>
      </c>
      <c r="B5083" s="71" t="n">
        <v>46234</v>
      </c>
      <c r="C5083" s="0" t="n">
        <v>11</v>
      </c>
      <c r="D5083" s="0" t="s">
        <v>2471</v>
      </c>
      <c r="E5083" s="0" t="n">
        <v>581</v>
      </c>
      <c r="F5083" s="0" t="s">
        <v>147</v>
      </c>
      <c r="I5083" s="0" t="n">
        <v>31668</v>
      </c>
      <c r="J5083" s="0" t="n">
        <v>48009</v>
      </c>
      <c r="K5083" s="0" t="n">
        <v>798190028002</v>
      </c>
      <c r="L5083" s="0" t="s">
        <v>2580</v>
      </c>
      <c r="N5083" s="0" t="n">
        <v>30</v>
      </c>
      <c r="O5083" s="0" t="n">
        <v>103.5</v>
      </c>
      <c r="P5083" s="0" t="s">
        <v>2444</v>
      </c>
    </row>
    <row r="5084" customFormat="false" ht="15" hidden="false" customHeight="true" outlineLevel="0" collapsed="false">
      <c r="A5084" s="0" t="n">
        <v>2</v>
      </c>
      <c r="B5084" s="71" t="n">
        <v>46234</v>
      </c>
      <c r="C5084" s="0" t="n">
        <v>11</v>
      </c>
      <c r="D5084" s="0" t="s">
        <v>2471</v>
      </c>
      <c r="E5084" s="0" t="n">
        <v>1621</v>
      </c>
      <c r="F5084" s="0" t="s">
        <v>232</v>
      </c>
      <c r="I5084" s="0" t="n">
        <v>932576</v>
      </c>
      <c r="J5084" s="0" t="n">
        <v>20242</v>
      </c>
      <c r="K5084" s="0" t="n">
        <v>7891149104932</v>
      </c>
      <c r="L5084" s="0" t="s">
        <v>3771</v>
      </c>
      <c r="N5084" s="0" t="n">
        <v>12</v>
      </c>
      <c r="O5084" s="0" t="n">
        <v>41.02</v>
      </c>
      <c r="P5084" s="0" t="s">
        <v>2444</v>
      </c>
    </row>
    <row r="5085" customFormat="false" ht="15" hidden="false" customHeight="true" outlineLevel="0" collapsed="false">
      <c r="A5085" s="0" t="n">
        <v>2</v>
      </c>
      <c r="B5085" s="71" t="n">
        <v>46234</v>
      </c>
      <c r="C5085" s="0" t="n">
        <v>11</v>
      </c>
      <c r="D5085" s="0" t="s">
        <v>2471</v>
      </c>
      <c r="E5085" s="0" t="n">
        <v>1621</v>
      </c>
      <c r="F5085" s="0" t="s">
        <v>232</v>
      </c>
      <c r="I5085" s="0" t="n">
        <v>932576</v>
      </c>
      <c r="J5085" s="0" t="n">
        <v>16653</v>
      </c>
      <c r="K5085" s="0" t="n">
        <v>7891149103065</v>
      </c>
      <c r="L5085" s="0" t="s">
        <v>4651</v>
      </c>
      <c r="N5085" s="0" t="n">
        <v>8</v>
      </c>
      <c r="O5085" s="0" t="n">
        <v>27.069995</v>
      </c>
      <c r="P5085" s="0" t="s">
        <v>2444</v>
      </c>
    </row>
    <row r="5086" customFormat="false" ht="15" hidden="false" customHeight="true" outlineLevel="0" collapsed="false">
      <c r="A5086" s="0" t="n">
        <v>2</v>
      </c>
      <c r="B5086" s="71" t="n">
        <v>46234</v>
      </c>
      <c r="C5086" s="0" t="n">
        <v>11</v>
      </c>
      <c r="D5086" s="0" t="s">
        <v>2471</v>
      </c>
      <c r="E5086" s="0" t="n">
        <v>1621</v>
      </c>
      <c r="F5086" s="0" t="s">
        <v>232</v>
      </c>
      <c r="I5086" s="0" t="n">
        <v>932576</v>
      </c>
      <c r="J5086" s="0" t="n">
        <v>34937</v>
      </c>
      <c r="K5086" s="0" t="n">
        <v>7891991015462</v>
      </c>
      <c r="L5086" s="0" t="s">
        <v>3085</v>
      </c>
      <c r="N5086" s="0" t="n">
        <v>24</v>
      </c>
      <c r="O5086" s="0" t="n">
        <v>137.960063</v>
      </c>
      <c r="P5086" s="0" t="s">
        <v>2444</v>
      </c>
    </row>
    <row r="5087" customFormat="false" ht="15" hidden="false" customHeight="true" outlineLevel="0" collapsed="false">
      <c r="A5087" s="0" t="n">
        <v>2</v>
      </c>
      <c r="B5087" s="71" t="n">
        <v>46234</v>
      </c>
      <c r="C5087" s="0" t="n">
        <v>11</v>
      </c>
      <c r="D5087" s="0" t="s">
        <v>2471</v>
      </c>
      <c r="E5087" s="0" t="n">
        <v>1621</v>
      </c>
      <c r="F5087" s="0" t="s">
        <v>232</v>
      </c>
      <c r="I5087" s="0" t="n">
        <v>932576</v>
      </c>
      <c r="J5087" s="0" t="n">
        <v>38561</v>
      </c>
      <c r="K5087" s="0" t="n">
        <v>7891991295086</v>
      </c>
      <c r="L5087" s="0" t="s">
        <v>4652</v>
      </c>
      <c r="N5087" s="0" t="n">
        <v>15</v>
      </c>
      <c r="O5087" s="0" t="n">
        <v>48.049943</v>
      </c>
      <c r="P5087" s="0" t="s">
        <v>2444</v>
      </c>
    </row>
    <row r="5088" customFormat="false" ht="15" hidden="false" customHeight="true" outlineLevel="0" collapsed="false">
      <c r="A5088" s="0" t="n">
        <v>2</v>
      </c>
      <c r="B5088" s="71" t="n">
        <v>46234</v>
      </c>
      <c r="C5088" s="0" t="n">
        <v>11</v>
      </c>
      <c r="D5088" s="0" t="s">
        <v>2471</v>
      </c>
      <c r="E5088" s="0" t="n">
        <v>1621</v>
      </c>
      <c r="F5088" s="0" t="s">
        <v>232</v>
      </c>
      <c r="I5088" s="0" t="n">
        <v>932576</v>
      </c>
      <c r="J5088" s="0" t="n">
        <v>66375</v>
      </c>
      <c r="K5088" s="0" t="n">
        <v>7891991306324</v>
      </c>
      <c r="L5088" s="0" t="s">
        <v>4653</v>
      </c>
      <c r="N5088" s="0" t="n">
        <v>8</v>
      </c>
      <c r="O5088" s="0" t="n">
        <v>29.580168</v>
      </c>
      <c r="P5088" s="0" t="s">
        <v>2444</v>
      </c>
    </row>
    <row r="5089" customFormat="false" ht="15" hidden="false" customHeight="true" outlineLevel="0" collapsed="false">
      <c r="A5089" s="0" t="n">
        <v>2</v>
      </c>
      <c r="B5089" s="71" t="n">
        <v>46234</v>
      </c>
      <c r="C5089" s="0" t="n">
        <v>11</v>
      </c>
      <c r="D5089" s="0" t="s">
        <v>2471</v>
      </c>
      <c r="E5089" s="0" t="n">
        <v>1621</v>
      </c>
      <c r="F5089" s="0" t="s">
        <v>232</v>
      </c>
      <c r="I5089" s="0" t="n">
        <v>932576</v>
      </c>
      <c r="J5089" s="0" t="n">
        <v>78502</v>
      </c>
      <c r="K5089" s="0" t="n">
        <v>7891991306461</v>
      </c>
      <c r="L5089" s="0" t="s">
        <v>4654</v>
      </c>
      <c r="N5089" s="0" t="n">
        <v>8</v>
      </c>
      <c r="O5089" s="0" t="n">
        <v>30.739892</v>
      </c>
      <c r="P5089" s="0" t="s">
        <v>2444</v>
      </c>
    </row>
    <row r="5090" customFormat="false" ht="15" hidden="false" customHeight="true" outlineLevel="0" collapsed="false">
      <c r="A5090" s="0" t="n">
        <v>2</v>
      </c>
      <c r="B5090" s="71" t="n">
        <v>46234</v>
      </c>
      <c r="C5090" s="0" t="n">
        <v>11</v>
      </c>
      <c r="D5090" s="0" t="s">
        <v>2471</v>
      </c>
      <c r="E5090" s="0" t="n">
        <v>1642</v>
      </c>
      <c r="F5090" s="0" t="s">
        <v>228</v>
      </c>
      <c r="I5090" s="0" t="n">
        <v>1032720</v>
      </c>
      <c r="J5090" s="0" t="n">
        <v>105780</v>
      </c>
      <c r="K5090" s="0" t="n">
        <v>7896289210017</v>
      </c>
      <c r="L5090" s="0" t="s">
        <v>2511</v>
      </c>
      <c r="N5090" s="0" t="n">
        <v>5</v>
      </c>
      <c r="O5090" s="0" t="n">
        <v>53.35</v>
      </c>
      <c r="P5090" s="0" t="s">
        <v>2444</v>
      </c>
    </row>
    <row r="5091" customFormat="false" ht="15" hidden="false" customHeight="true" outlineLevel="0" collapsed="false">
      <c r="A5091" s="0" t="n">
        <v>2</v>
      </c>
      <c r="B5091" s="71" t="n">
        <v>46234</v>
      </c>
      <c r="C5091" s="0" t="n">
        <v>11</v>
      </c>
      <c r="D5091" s="0" t="s">
        <v>2471</v>
      </c>
      <c r="E5091" s="0" t="n">
        <v>1642</v>
      </c>
      <c r="F5091" s="0" t="s">
        <v>228</v>
      </c>
      <c r="I5091" s="0" t="n">
        <v>1032720</v>
      </c>
      <c r="J5091" s="0" t="n">
        <v>105782</v>
      </c>
      <c r="K5091" s="0" t="n">
        <v>7896289210352</v>
      </c>
      <c r="L5091" s="0" t="s">
        <v>2512</v>
      </c>
      <c r="N5091" s="0" t="n">
        <v>5</v>
      </c>
      <c r="O5091" s="0" t="n">
        <v>34.3</v>
      </c>
      <c r="P5091" s="0" t="s">
        <v>2444</v>
      </c>
    </row>
    <row r="5092" customFormat="false" ht="15" hidden="false" customHeight="true" outlineLevel="0" collapsed="false">
      <c r="A5092" s="0" t="n">
        <v>2</v>
      </c>
      <c r="B5092" s="71" t="n">
        <v>46234</v>
      </c>
      <c r="C5092" s="0" t="n">
        <v>11</v>
      </c>
      <c r="D5092" s="0" t="s">
        <v>2471</v>
      </c>
      <c r="E5092" s="0" t="n">
        <v>1642</v>
      </c>
      <c r="F5092" s="0" t="s">
        <v>228</v>
      </c>
      <c r="I5092" s="0" t="n">
        <v>1032720</v>
      </c>
      <c r="J5092" s="0" t="n">
        <v>106274</v>
      </c>
      <c r="K5092" s="0" t="n">
        <v>7896289210086</v>
      </c>
      <c r="L5092" s="0" t="s">
        <v>2514</v>
      </c>
      <c r="N5092" s="0" t="n">
        <v>4</v>
      </c>
      <c r="O5092" s="0" t="n">
        <v>50.24</v>
      </c>
      <c r="P5092" s="0" t="s">
        <v>2444</v>
      </c>
    </row>
    <row r="5093" customFormat="false" ht="15" hidden="false" customHeight="true" outlineLevel="0" collapsed="false">
      <c r="A5093" s="0" t="n">
        <v>2</v>
      </c>
      <c r="B5093" s="71" t="n">
        <v>46234</v>
      </c>
      <c r="C5093" s="0" t="n">
        <v>11</v>
      </c>
      <c r="D5093" s="0" t="s">
        <v>2471</v>
      </c>
      <c r="E5093" s="0" t="n">
        <v>1642</v>
      </c>
      <c r="F5093" s="0" t="s">
        <v>228</v>
      </c>
      <c r="I5093" s="0" t="n">
        <v>1032720</v>
      </c>
      <c r="J5093" s="0" t="n">
        <v>106280</v>
      </c>
      <c r="K5093" s="0" t="n">
        <v>7896289210062</v>
      </c>
      <c r="L5093" s="0" t="s">
        <v>2515</v>
      </c>
      <c r="N5093" s="0" t="n">
        <v>3</v>
      </c>
      <c r="O5093" s="0" t="n">
        <v>37.68</v>
      </c>
      <c r="P5093" s="0" t="s">
        <v>2444</v>
      </c>
    </row>
    <row r="5094" customFormat="false" ht="15" hidden="false" customHeight="true" outlineLevel="0" collapsed="false">
      <c r="A5094" s="0" t="n">
        <v>2</v>
      </c>
      <c r="B5094" s="71" t="n">
        <v>46234</v>
      </c>
      <c r="C5094" s="0" t="n">
        <v>11</v>
      </c>
      <c r="D5094" s="0" t="s">
        <v>2471</v>
      </c>
      <c r="E5094" s="0" t="n">
        <v>1642</v>
      </c>
      <c r="F5094" s="0" t="s">
        <v>228</v>
      </c>
      <c r="I5094" s="0" t="n">
        <v>1032720</v>
      </c>
      <c r="J5094" s="0" t="n">
        <v>106407</v>
      </c>
      <c r="K5094" s="0" t="n">
        <v>7896289210031</v>
      </c>
      <c r="L5094" s="0" t="s">
        <v>2516</v>
      </c>
      <c r="N5094" s="0" t="n">
        <v>3</v>
      </c>
      <c r="O5094" s="0" t="n">
        <v>34.92</v>
      </c>
      <c r="P5094" s="0" t="s">
        <v>2444</v>
      </c>
    </row>
    <row r="5095" customFormat="false" ht="15" hidden="false" customHeight="true" outlineLevel="0" collapsed="false">
      <c r="A5095" s="0" t="n">
        <v>2</v>
      </c>
      <c r="B5095" s="71" t="n">
        <v>46234</v>
      </c>
      <c r="C5095" s="0" t="n">
        <v>11</v>
      </c>
      <c r="D5095" s="0" t="s">
        <v>2471</v>
      </c>
      <c r="E5095" s="0" t="n">
        <v>1642</v>
      </c>
      <c r="F5095" s="0" t="s">
        <v>228</v>
      </c>
      <c r="I5095" s="0" t="n">
        <v>1032720</v>
      </c>
      <c r="J5095" s="0" t="n">
        <v>29706</v>
      </c>
      <c r="K5095" s="0" t="n">
        <v>7896289240205</v>
      </c>
      <c r="L5095" s="0" t="s">
        <v>2963</v>
      </c>
      <c r="N5095" s="0" t="n">
        <v>10</v>
      </c>
      <c r="O5095" s="0" t="n">
        <v>86</v>
      </c>
      <c r="P5095" s="0" t="s">
        <v>2444</v>
      </c>
    </row>
    <row r="5096" customFormat="false" ht="15" hidden="false" customHeight="true" outlineLevel="0" collapsed="false">
      <c r="A5096" s="0" t="n">
        <v>2</v>
      </c>
      <c r="B5096" s="71" t="n">
        <v>46234</v>
      </c>
      <c r="C5096" s="0" t="n">
        <v>11</v>
      </c>
      <c r="D5096" s="0" t="s">
        <v>2471</v>
      </c>
      <c r="E5096" s="0" t="n">
        <v>1705</v>
      </c>
      <c r="F5096" s="0" t="s">
        <v>130</v>
      </c>
      <c r="I5096" s="0" t="n">
        <v>1228756</v>
      </c>
      <c r="J5096" s="0" t="n">
        <v>103139</v>
      </c>
      <c r="K5096" s="0" t="n">
        <v>7894900051759</v>
      </c>
      <c r="L5096" s="0" t="s">
        <v>2654</v>
      </c>
      <c r="N5096" s="0" t="n">
        <v>12</v>
      </c>
      <c r="O5096" s="0" t="n">
        <v>67.89</v>
      </c>
      <c r="P5096" s="0" t="s">
        <v>2444</v>
      </c>
    </row>
    <row r="5097" customFormat="false" ht="15" hidden="false" customHeight="true" outlineLevel="0" collapsed="false">
      <c r="A5097" s="0" t="n">
        <v>2</v>
      </c>
      <c r="B5097" s="71" t="n">
        <v>46234</v>
      </c>
      <c r="C5097" s="0" t="n">
        <v>11</v>
      </c>
      <c r="D5097" s="0" t="s">
        <v>2471</v>
      </c>
      <c r="E5097" s="0" t="n">
        <v>1705</v>
      </c>
      <c r="F5097" s="0" t="s">
        <v>130</v>
      </c>
      <c r="I5097" s="0" t="n">
        <v>1228756</v>
      </c>
      <c r="J5097" s="0" t="n">
        <v>103140</v>
      </c>
      <c r="K5097" s="0" t="n">
        <v>7894900031751</v>
      </c>
      <c r="L5097" s="0" t="s">
        <v>2655</v>
      </c>
      <c r="N5097" s="0" t="n">
        <v>6</v>
      </c>
      <c r="O5097" s="0" t="n">
        <v>33.94</v>
      </c>
      <c r="P5097" s="0" t="s">
        <v>2444</v>
      </c>
    </row>
    <row r="5098" customFormat="false" ht="15" hidden="false" customHeight="true" outlineLevel="0" collapsed="false">
      <c r="A5098" s="0" t="n">
        <v>2</v>
      </c>
      <c r="B5098" s="71" t="n">
        <v>46234</v>
      </c>
      <c r="C5098" s="0" t="n">
        <v>11</v>
      </c>
      <c r="D5098" s="0" t="s">
        <v>2471</v>
      </c>
      <c r="E5098" s="0" t="n">
        <v>1705</v>
      </c>
      <c r="F5098" s="0" t="s">
        <v>130</v>
      </c>
      <c r="I5098" s="0" t="n">
        <v>1228756</v>
      </c>
      <c r="J5098" s="0" t="n">
        <v>14312</v>
      </c>
      <c r="K5098" s="0" t="n">
        <v>7894900504002</v>
      </c>
      <c r="L5098" s="0" t="s">
        <v>4349</v>
      </c>
      <c r="N5098" s="0" t="n">
        <v>6</v>
      </c>
      <c r="O5098" s="0" t="n">
        <v>29.3</v>
      </c>
      <c r="P5098" s="0" t="s">
        <v>2444</v>
      </c>
    </row>
    <row r="5099" customFormat="false" ht="15" hidden="false" customHeight="true" outlineLevel="0" collapsed="false">
      <c r="A5099" s="0" t="n">
        <v>2</v>
      </c>
      <c r="B5099" s="71" t="n">
        <v>46234</v>
      </c>
      <c r="C5099" s="0" t="n">
        <v>11</v>
      </c>
      <c r="D5099" s="0" t="s">
        <v>2471</v>
      </c>
      <c r="E5099" s="0" t="n">
        <v>1705</v>
      </c>
      <c r="F5099" s="0" t="s">
        <v>130</v>
      </c>
      <c r="I5099" s="0" t="n">
        <v>1228756</v>
      </c>
      <c r="J5099" s="0" t="n">
        <v>14356</v>
      </c>
      <c r="K5099" s="0" t="n">
        <v>7894900501001</v>
      </c>
      <c r="L5099" s="0" t="s">
        <v>4655</v>
      </c>
      <c r="N5099" s="0" t="n">
        <v>6</v>
      </c>
      <c r="O5099" s="0" t="n">
        <v>29.3</v>
      </c>
      <c r="P5099" s="0" t="s">
        <v>2444</v>
      </c>
    </row>
    <row r="5100" customFormat="false" ht="15" hidden="false" customHeight="true" outlineLevel="0" collapsed="false">
      <c r="A5100" s="0" t="n">
        <v>2</v>
      </c>
      <c r="B5100" s="71" t="n">
        <v>46234</v>
      </c>
      <c r="C5100" s="0" t="n">
        <v>11</v>
      </c>
      <c r="D5100" s="0" t="s">
        <v>2471</v>
      </c>
      <c r="E5100" s="0" t="n">
        <v>1705</v>
      </c>
      <c r="F5100" s="0" t="s">
        <v>130</v>
      </c>
      <c r="I5100" s="0" t="n">
        <v>1228756</v>
      </c>
      <c r="J5100" s="0" t="n">
        <v>27643</v>
      </c>
      <c r="K5100" s="0" t="n">
        <v>7894900031713</v>
      </c>
      <c r="L5100" s="0" t="s">
        <v>4351</v>
      </c>
      <c r="N5100" s="0" t="n">
        <v>18</v>
      </c>
      <c r="O5100" s="0" t="n">
        <v>86.08</v>
      </c>
      <c r="P5100" s="0" t="s">
        <v>2444</v>
      </c>
    </row>
    <row r="5101" customFormat="false" ht="15" hidden="false" customHeight="true" outlineLevel="0" collapsed="false">
      <c r="A5101" s="0" t="n">
        <v>2</v>
      </c>
      <c r="B5101" s="71" t="n">
        <v>46234</v>
      </c>
      <c r="C5101" s="0" t="n">
        <v>11</v>
      </c>
      <c r="D5101" s="0" t="s">
        <v>2471</v>
      </c>
      <c r="E5101" s="0" t="n">
        <v>1705</v>
      </c>
      <c r="F5101" s="0" t="s">
        <v>130</v>
      </c>
      <c r="I5101" s="0" t="n">
        <v>1228756</v>
      </c>
      <c r="J5101" s="0" t="n">
        <v>27673</v>
      </c>
      <c r="K5101" s="0" t="n">
        <v>7894900701715</v>
      </c>
      <c r="L5101" s="0" t="s">
        <v>2660</v>
      </c>
      <c r="N5101" s="0" t="n">
        <v>12</v>
      </c>
      <c r="O5101" s="0" t="n">
        <v>65.81</v>
      </c>
      <c r="P5101" s="0" t="s">
        <v>2444</v>
      </c>
    </row>
    <row r="5102" customFormat="false" ht="15" hidden="false" customHeight="true" outlineLevel="0" collapsed="false">
      <c r="A5102" s="0" t="n">
        <v>2</v>
      </c>
      <c r="B5102" s="71" t="n">
        <v>46234</v>
      </c>
      <c r="C5102" s="0" t="n">
        <v>11</v>
      </c>
      <c r="D5102" s="0" t="s">
        <v>2471</v>
      </c>
      <c r="E5102" s="0" t="n">
        <v>1705</v>
      </c>
      <c r="F5102" s="0" t="s">
        <v>130</v>
      </c>
      <c r="I5102" s="0" t="n">
        <v>1228756</v>
      </c>
      <c r="J5102" s="0" t="n">
        <v>77914</v>
      </c>
      <c r="K5102" s="0" t="n">
        <v>7894900530001</v>
      </c>
      <c r="L5102" s="0" t="s">
        <v>3257</v>
      </c>
      <c r="N5102" s="0" t="n">
        <v>12</v>
      </c>
      <c r="O5102" s="0" t="n">
        <v>15.14</v>
      </c>
      <c r="P5102" s="0" t="s">
        <v>2444</v>
      </c>
    </row>
    <row r="5103" customFormat="false" ht="15" hidden="false" customHeight="true" outlineLevel="0" collapsed="false">
      <c r="A5103" s="0" t="n">
        <v>2</v>
      </c>
      <c r="B5103" s="71" t="n">
        <v>46234</v>
      </c>
      <c r="C5103" s="0" t="n">
        <v>11</v>
      </c>
      <c r="D5103" s="0" t="s">
        <v>2471</v>
      </c>
      <c r="E5103" s="0" t="n">
        <v>1705</v>
      </c>
      <c r="F5103" s="0" t="s">
        <v>130</v>
      </c>
      <c r="I5103" s="0" t="n">
        <v>1228757</v>
      </c>
      <c r="J5103" s="0" t="n">
        <v>57690</v>
      </c>
      <c r="K5103" s="0" t="n">
        <v>7896045506378</v>
      </c>
      <c r="L5103" s="0" t="s">
        <v>4656</v>
      </c>
      <c r="N5103" s="0" t="n">
        <v>12</v>
      </c>
      <c r="O5103" s="0" t="n">
        <v>89.01</v>
      </c>
      <c r="P5103" s="0" t="s">
        <v>2444</v>
      </c>
    </row>
    <row r="5104" customFormat="false" ht="15" hidden="false" customHeight="true" outlineLevel="0" collapsed="false">
      <c r="A5104" s="0" t="n">
        <v>2</v>
      </c>
      <c r="B5104" s="71" t="n">
        <v>46234</v>
      </c>
      <c r="C5104" s="0" t="n">
        <v>11</v>
      </c>
      <c r="D5104" s="0" t="s">
        <v>2471</v>
      </c>
      <c r="E5104" s="0" t="n">
        <v>1705</v>
      </c>
      <c r="F5104" s="0" t="s">
        <v>130</v>
      </c>
      <c r="I5104" s="0" t="n">
        <v>1228757</v>
      </c>
      <c r="J5104" s="0" t="n">
        <v>74598</v>
      </c>
      <c r="K5104" s="0" t="n">
        <v>7898938890113</v>
      </c>
      <c r="L5104" s="0" t="s">
        <v>4657</v>
      </c>
      <c r="N5104" s="0" t="n">
        <v>6</v>
      </c>
      <c r="O5104" s="0" t="n">
        <v>50.85</v>
      </c>
      <c r="P5104" s="0" t="s">
        <v>2444</v>
      </c>
    </row>
    <row r="5105" customFormat="false" ht="15" hidden="false" customHeight="true" outlineLevel="0" collapsed="false">
      <c r="A5105" s="0" t="n">
        <v>2</v>
      </c>
      <c r="B5105" s="71" t="n">
        <v>46234</v>
      </c>
      <c r="C5105" s="0" t="n">
        <v>11</v>
      </c>
      <c r="D5105" s="0" t="s">
        <v>2471</v>
      </c>
      <c r="E5105" s="0" t="n">
        <v>1705</v>
      </c>
      <c r="F5105" s="0" t="s">
        <v>130</v>
      </c>
      <c r="I5105" s="0" t="n">
        <v>1228757</v>
      </c>
      <c r="J5105" s="0" t="n">
        <v>81668</v>
      </c>
      <c r="K5105" s="0" t="n">
        <v>7898770420011</v>
      </c>
      <c r="L5105" s="0" t="s">
        <v>3884</v>
      </c>
      <c r="N5105" s="0" t="n">
        <v>6</v>
      </c>
      <c r="O5105" s="0" t="n">
        <v>50.85</v>
      </c>
      <c r="P5105" s="0" t="s">
        <v>2444</v>
      </c>
    </row>
    <row r="5106" customFormat="false" ht="15" hidden="false" customHeight="true" outlineLevel="0" collapsed="false">
      <c r="A5106" s="0" t="n">
        <v>2</v>
      </c>
      <c r="B5106" s="71" t="n">
        <v>46234</v>
      </c>
      <c r="C5106" s="0" t="n">
        <v>11</v>
      </c>
      <c r="D5106" s="0" t="s">
        <v>2471</v>
      </c>
      <c r="E5106" s="0" t="n">
        <v>1613</v>
      </c>
      <c r="F5106" s="0" t="s">
        <v>50</v>
      </c>
      <c r="I5106" s="0" t="n">
        <v>1614426</v>
      </c>
      <c r="J5106" s="0" t="n">
        <v>110883</v>
      </c>
      <c r="K5106" s="0" t="n">
        <v>45</v>
      </c>
      <c r="L5106" s="0" t="s">
        <v>2637</v>
      </c>
      <c r="N5106" s="0" t="n">
        <v>20</v>
      </c>
      <c r="O5106" s="0" t="n">
        <v>260.03</v>
      </c>
      <c r="P5106" s="0" t="s">
        <v>2444</v>
      </c>
    </row>
    <row r="5107" customFormat="false" ht="15" hidden="false" customHeight="true" outlineLevel="0" collapsed="false">
      <c r="A5107" s="0" t="n">
        <v>2</v>
      </c>
      <c r="B5107" s="71" t="n">
        <v>46234</v>
      </c>
      <c r="C5107" s="0" t="n">
        <v>11</v>
      </c>
      <c r="D5107" s="0" t="s">
        <v>2471</v>
      </c>
      <c r="E5107" s="0" t="n">
        <v>1613</v>
      </c>
      <c r="F5107" s="0" t="s">
        <v>50</v>
      </c>
      <c r="I5107" s="0" t="n">
        <v>1614426</v>
      </c>
      <c r="J5107" s="0" t="n">
        <v>100045</v>
      </c>
      <c r="K5107" s="0" t="n">
        <v>46</v>
      </c>
      <c r="L5107" s="0" t="s">
        <v>2625</v>
      </c>
      <c r="N5107" s="0" t="n">
        <v>60</v>
      </c>
      <c r="O5107" s="0" t="n">
        <v>695.4</v>
      </c>
      <c r="P5107" s="0" t="s">
        <v>2444</v>
      </c>
    </row>
    <row r="5108" customFormat="false" ht="15" hidden="false" customHeight="true" outlineLevel="0" collapsed="false">
      <c r="A5108" s="0" t="n">
        <v>2</v>
      </c>
      <c r="B5108" s="71" t="n">
        <v>46234</v>
      </c>
      <c r="C5108" s="0" t="n">
        <v>11</v>
      </c>
      <c r="D5108" s="0" t="s">
        <v>2471</v>
      </c>
      <c r="E5108" s="0" t="n">
        <v>1613</v>
      </c>
      <c r="F5108" s="0" t="s">
        <v>50</v>
      </c>
      <c r="I5108" s="0" t="n">
        <v>1614426</v>
      </c>
      <c r="J5108" s="0" t="n">
        <v>103794</v>
      </c>
      <c r="K5108" s="0" t="n">
        <v>7893000488526</v>
      </c>
      <c r="L5108" s="0" t="s">
        <v>2969</v>
      </c>
      <c r="N5108" s="0" t="n">
        <v>16</v>
      </c>
      <c r="O5108" s="0" t="n">
        <v>211.36</v>
      </c>
      <c r="P5108" s="0" t="s">
        <v>2444</v>
      </c>
    </row>
    <row r="5109" customFormat="false" ht="15" hidden="false" customHeight="true" outlineLevel="0" collapsed="false">
      <c r="A5109" s="0" t="n">
        <v>2</v>
      </c>
      <c r="B5109" s="71" t="n">
        <v>46234</v>
      </c>
      <c r="C5109" s="0" t="n">
        <v>11</v>
      </c>
      <c r="D5109" s="0" t="s">
        <v>2471</v>
      </c>
      <c r="E5109" s="0" t="n">
        <v>1613</v>
      </c>
      <c r="F5109" s="0" t="s">
        <v>50</v>
      </c>
      <c r="I5109" s="0" t="n">
        <v>1614426</v>
      </c>
      <c r="J5109" s="0" t="n">
        <v>103795</v>
      </c>
      <c r="K5109" s="0" t="n">
        <v>7893000436800</v>
      </c>
      <c r="L5109" s="0" t="s">
        <v>2970</v>
      </c>
      <c r="N5109" s="0" t="n">
        <v>12</v>
      </c>
      <c r="O5109" s="0" t="n">
        <v>128.64</v>
      </c>
      <c r="P5109" s="0" t="s">
        <v>2444</v>
      </c>
    </row>
    <row r="5110" customFormat="false" ht="15" hidden="false" customHeight="true" outlineLevel="0" collapsed="false">
      <c r="A5110" s="0" t="n">
        <v>2</v>
      </c>
      <c r="B5110" s="71" t="n">
        <v>46234</v>
      </c>
      <c r="C5110" s="0" t="n">
        <v>11</v>
      </c>
      <c r="D5110" s="0" t="s">
        <v>2471</v>
      </c>
      <c r="E5110" s="0" t="n">
        <v>1613</v>
      </c>
      <c r="F5110" s="0" t="s">
        <v>50</v>
      </c>
      <c r="I5110" s="0" t="n">
        <v>1614426</v>
      </c>
      <c r="J5110" s="0" t="n">
        <v>103796</v>
      </c>
      <c r="K5110" s="0" t="n">
        <v>7893000436725</v>
      </c>
      <c r="L5110" s="0" t="s">
        <v>2971</v>
      </c>
      <c r="N5110" s="0" t="n">
        <v>12</v>
      </c>
      <c r="O5110" s="0" t="n">
        <v>141.24</v>
      </c>
      <c r="P5110" s="0" t="s">
        <v>2444</v>
      </c>
    </row>
    <row r="5111" customFormat="false" ht="15" hidden="false" customHeight="true" outlineLevel="0" collapsed="false">
      <c r="A5111" s="0" t="n">
        <v>2</v>
      </c>
      <c r="B5111" s="71" t="n">
        <v>46234</v>
      </c>
      <c r="C5111" s="0" t="n">
        <v>11</v>
      </c>
      <c r="D5111" s="0" t="s">
        <v>2471</v>
      </c>
      <c r="E5111" s="0" t="n">
        <v>1613</v>
      </c>
      <c r="F5111" s="0" t="s">
        <v>50</v>
      </c>
      <c r="I5111" s="0" t="n">
        <v>1614426</v>
      </c>
      <c r="J5111" s="0" t="n">
        <v>103848</v>
      </c>
      <c r="K5111" s="0" t="n">
        <v>7893000488878</v>
      </c>
      <c r="L5111" s="0" t="s">
        <v>2972</v>
      </c>
      <c r="N5111" s="0" t="n">
        <v>8</v>
      </c>
      <c r="O5111" s="0" t="n">
        <v>110.8</v>
      </c>
      <c r="P5111" s="0" t="s">
        <v>2444</v>
      </c>
    </row>
    <row r="5112" customFormat="false" ht="15" hidden="false" customHeight="true" outlineLevel="0" collapsed="false">
      <c r="A5112" s="0" t="n">
        <v>2</v>
      </c>
      <c r="B5112" s="71" t="n">
        <v>46234</v>
      </c>
      <c r="C5112" s="0" t="n">
        <v>11</v>
      </c>
      <c r="D5112" s="0" t="s">
        <v>2471</v>
      </c>
      <c r="E5112" s="0" t="n">
        <v>1613</v>
      </c>
      <c r="F5112" s="0" t="s">
        <v>50</v>
      </c>
      <c r="I5112" s="0" t="n">
        <v>1614426</v>
      </c>
      <c r="J5112" s="0" t="n">
        <v>103851</v>
      </c>
      <c r="K5112" s="0" t="n">
        <v>7893000482401</v>
      </c>
      <c r="L5112" s="0" t="s">
        <v>3759</v>
      </c>
      <c r="N5112" s="0" t="n">
        <v>12</v>
      </c>
      <c r="O5112" s="0" t="n">
        <v>194.52</v>
      </c>
      <c r="P5112" s="0" t="s">
        <v>2444</v>
      </c>
    </row>
    <row r="5113" customFormat="false" ht="15" hidden="false" customHeight="true" outlineLevel="0" collapsed="false">
      <c r="A5113" s="0" t="n">
        <v>2</v>
      </c>
      <c r="B5113" s="71" t="n">
        <v>46234</v>
      </c>
      <c r="C5113" s="0" t="n">
        <v>11</v>
      </c>
      <c r="D5113" s="0" t="s">
        <v>2471</v>
      </c>
      <c r="E5113" s="0" t="n">
        <v>1613</v>
      </c>
      <c r="F5113" s="0" t="s">
        <v>50</v>
      </c>
      <c r="I5113" s="0" t="n">
        <v>1614426</v>
      </c>
      <c r="J5113" s="0" t="n">
        <v>14868</v>
      </c>
      <c r="K5113" s="0" t="n">
        <v>7891515901059</v>
      </c>
      <c r="L5113" s="0" t="s">
        <v>3507</v>
      </c>
      <c r="N5113" s="0" t="n">
        <v>12</v>
      </c>
      <c r="O5113" s="0" t="n">
        <v>69.72</v>
      </c>
      <c r="P5113" s="0" t="s">
        <v>2444</v>
      </c>
    </row>
    <row r="5114" customFormat="false" ht="15" hidden="false" customHeight="true" outlineLevel="0" collapsed="false">
      <c r="A5114" s="0" t="n">
        <v>2</v>
      </c>
      <c r="B5114" s="71" t="n">
        <v>46234</v>
      </c>
      <c r="C5114" s="0" t="n">
        <v>11</v>
      </c>
      <c r="D5114" s="0" t="s">
        <v>2471</v>
      </c>
      <c r="E5114" s="0" t="n">
        <v>1613</v>
      </c>
      <c r="F5114" s="0" t="s">
        <v>50</v>
      </c>
      <c r="I5114" s="0" t="n">
        <v>1614426</v>
      </c>
      <c r="J5114" s="0" t="n">
        <v>16416</v>
      </c>
      <c r="K5114" s="0" t="n">
        <v>7893000674073</v>
      </c>
      <c r="L5114" s="0" t="s">
        <v>4658</v>
      </c>
      <c r="N5114" s="0" t="n">
        <v>12</v>
      </c>
      <c r="O5114" s="0" t="n">
        <v>137.43</v>
      </c>
      <c r="P5114" s="0" t="s">
        <v>2444</v>
      </c>
    </row>
    <row r="5115" customFormat="false" ht="15" hidden="false" customHeight="true" outlineLevel="0" collapsed="false">
      <c r="A5115" s="0" t="n">
        <v>2</v>
      </c>
      <c r="B5115" s="71" t="n">
        <v>46234</v>
      </c>
      <c r="C5115" s="0" t="n">
        <v>11</v>
      </c>
      <c r="D5115" s="0" t="s">
        <v>2471</v>
      </c>
      <c r="E5115" s="0" t="n">
        <v>1613</v>
      </c>
      <c r="F5115" s="0" t="s">
        <v>50</v>
      </c>
      <c r="I5115" s="0" t="n">
        <v>1614426</v>
      </c>
      <c r="J5115" s="0" t="n">
        <v>23782</v>
      </c>
      <c r="K5115" s="0" t="n">
        <v>7891515475703</v>
      </c>
      <c r="L5115" s="0" t="s">
        <v>3509</v>
      </c>
      <c r="N5115" s="0" t="n">
        <v>6</v>
      </c>
      <c r="O5115" s="0" t="n">
        <v>128.37</v>
      </c>
      <c r="P5115" s="0" t="s">
        <v>2444</v>
      </c>
    </row>
    <row r="5116" customFormat="false" ht="15" hidden="false" customHeight="true" outlineLevel="0" collapsed="false">
      <c r="A5116" s="0" t="n">
        <v>2</v>
      </c>
      <c r="B5116" s="71" t="n">
        <v>46234</v>
      </c>
      <c r="C5116" s="0" t="n">
        <v>11</v>
      </c>
      <c r="D5116" s="0" t="s">
        <v>2471</v>
      </c>
      <c r="E5116" s="0" t="n">
        <v>1613</v>
      </c>
      <c r="F5116" s="0" t="s">
        <v>50</v>
      </c>
      <c r="I5116" s="0" t="n">
        <v>1614426</v>
      </c>
      <c r="J5116" s="0" t="n">
        <v>110181</v>
      </c>
      <c r="K5116" s="0" t="n">
        <v>37389</v>
      </c>
      <c r="L5116" s="0" t="s">
        <v>2981</v>
      </c>
      <c r="N5116" s="0" t="n">
        <v>15</v>
      </c>
      <c r="O5116" s="0" t="n">
        <v>165.3</v>
      </c>
      <c r="P5116" s="0" t="s">
        <v>2444</v>
      </c>
    </row>
    <row r="5117" customFormat="false" ht="15" hidden="false" customHeight="true" outlineLevel="0" collapsed="false">
      <c r="A5117" s="0" t="n">
        <v>2</v>
      </c>
      <c r="B5117" s="71" t="n">
        <v>46234</v>
      </c>
      <c r="C5117" s="0" t="n">
        <v>11</v>
      </c>
      <c r="D5117" s="0" t="s">
        <v>2471</v>
      </c>
      <c r="E5117" s="0" t="n">
        <v>1613</v>
      </c>
      <c r="F5117" s="0" t="s">
        <v>50</v>
      </c>
      <c r="I5117" s="0" t="n">
        <v>1614426</v>
      </c>
      <c r="J5117" s="0" t="n">
        <v>77382</v>
      </c>
      <c r="K5117" s="0" t="n">
        <v>7891515644826</v>
      </c>
      <c r="L5117" s="0" t="s">
        <v>4659</v>
      </c>
      <c r="N5117" s="0" t="n">
        <v>12</v>
      </c>
      <c r="O5117" s="0" t="n">
        <v>137.57</v>
      </c>
      <c r="P5117" s="0" t="s">
        <v>2444</v>
      </c>
    </row>
    <row r="5118" customFormat="false" ht="15" hidden="false" customHeight="true" outlineLevel="0" collapsed="false">
      <c r="A5118" s="0" t="n">
        <v>2</v>
      </c>
      <c r="B5118" s="71" t="n">
        <v>46234</v>
      </c>
      <c r="C5118" s="0" t="n">
        <v>11</v>
      </c>
      <c r="D5118" s="0" t="s">
        <v>2471</v>
      </c>
      <c r="E5118" s="0" t="n">
        <v>1683</v>
      </c>
      <c r="F5118" s="0" t="s">
        <v>406</v>
      </c>
      <c r="I5118" s="0" t="n">
        <v>1656279</v>
      </c>
      <c r="J5118" s="0" t="n">
        <v>37359</v>
      </c>
      <c r="K5118" s="0" t="n">
        <v>55526</v>
      </c>
      <c r="L5118" s="0" t="s">
        <v>2466</v>
      </c>
      <c r="N5118" s="0" t="n">
        <v>10</v>
      </c>
      <c r="O5118" s="0" t="n">
        <v>35</v>
      </c>
      <c r="P5118" s="0" t="s">
        <v>2444</v>
      </c>
    </row>
    <row r="5119" customFormat="false" ht="15" hidden="false" customHeight="true" outlineLevel="0" collapsed="false">
      <c r="A5119" s="0" t="n">
        <v>2</v>
      </c>
      <c r="B5119" s="71" t="n">
        <v>46234</v>
      </c>
      <c r="C5119" s="0" t="n">
        <v>11</v>
      </c>
      <c r="D5119" s="0" t="s">
        <v>2471</v>
      </c>
      <c r="E5119" s="0" t="n">
        <v>1683</v>
      </c>
      <c r="F5119" s="0" t="s">
        <v>406</v>
      </c>
      <c r="I5119" s="0" t="n">
        <v>1656279</v>
      </c>
      <c r="J5119" s="0" t="n">
        <v>37361</v>
      </c>
      <c r="K5119" s="0" t="n">
        <v>2240817</v>
      </c>
      <c r="L5119" s="0" t="s">
        <v>2467</v>
      </c>
      <c r="N5119" s="0" t="n">
        <v>50</v>
      </c>
      <c r="O5119" s="0" t="n">
        <v>90</v>
      </c>
      <c r="P5119" s="0" t="s">
        <v>2444</v>
      </c>
    </row>
    <row r="5120" customFormat="false" ht="15" hidden="false" customHeight="true" outlineLevel="0" collapsed="false">
      <c r="A5120" s="0" t="n">
        <v>2</v>
      </c>
      <c r="B5120" s="71" t="n">
        <v>46234</v>
      </c>
      <c r="C5120" s="0" t="n">
        <v>11</v>
      </c>
      <c r="D5120" s="0" t="s">
        <v>2471</v>
      </c>
      <c r="E5120" s="0" t="n">
        <v>1608</v>
      </c>
      <c r="F5120" s="0" t="s">
        <v>240</v>
      </c>
      <c r="I5120" s="0" t="n">
        <v>1702357</v>
      </c>
      <c r="J5120" s="0" t="n">
        <v>18949</v>
      </c>
      <c r="K5120" s="0" t="n">
        <v>7891025699880</v>
      </c>
      <c r="L5120" s="0" t="s">
        <v>2640</v>
      </c>
      <c r="N5120" s="0" t="n">
        <v>3</v>
      </c>
      <c r="O5120" s="0" t="n">
        <v>25.89</v>
      </c>
      <c r="P5120" s="0" t="s">
        <v>2444</v>
      </c>
    </row>
    <row r="5121" customFormat="false" ht="15" hidden="false" customHeight="true" outlineLevel="0" collapsed="false">
      <c r="A5121" s="0" t="n">
        <v>2</v>
      </c>
      <c r="B5121" s="71" t="n">
        <v>46234</v>
      </c>
      <c r="C5121" s="0" t="n">
        <v>11</v>
      </c>
      <c r="D5121" s="0" t="s">
        <v>2471</v>
      </c>
      <c r="E5121" s="0" t="n">
        <v>1608</v>
      </c>
      <c r="F5121" s="0" t="s">
        <v>240</v>
      </c>
      <c r="I5121" s="0" t="n">
        <v>1702357</v>
      </c>
      <c r="J5121" s="0" t="n">
        <v>23791</v>
      </c>
      <c r="K5121" s="0" t="n">
        <v>7898215151302</v>
      </c>
      <c r="L5121" s="0" t="s">
        <v>4660</v>
      </c>
      <c r="N5121" s="0" t="n">
        <v>1</v>
      </c>
      <c r="O5121" s="0" t="n">
        <v>12.83</v>
      </c>
      <c r="P5121" s="0" t="s">
        <v>2444</v>
      </c>
    </row>
    <row r="5122" customFormat="false" ht="15" hidden="false" customHeight="true" outlineLevel="0" collapsed="false">
      <c r="A5122" s="0" t="n">
        <v>2</v>
      </c>
      <c r="B5122" s="71" t="n">
        <v>46234</v>
      </c>
      <c r="C5122" s="0" t="n">
        <v>11</v>
      </c>
      <c r="D5122" s="0" t="s">
        <v>2471</v>
      </c>
      <c r="E5122" s="0" t="n">
        <v>1608</v>
      </c>
      <c r="F5122" s="0" t="s">
        <v>240</v>
      </c>
      <c r="I5122" s="0" t="n">
        <v>1702357</v>
      </c>
      <c r="J5122" s="0" t="n">
        <v>24196</v>
      </c>
      <c r="K5122" s="0" t="n">
        <v>7891025109884</v>
      </c>
      <c r="L5122" s="0" t="s">
        <v>2645</v>
      </c>
      <c r="N5122" s="0" t="n">
        <v>3</v>
      </c>
      <c r="O5122" s="0" t="n">
        <v>25.38</v>
      </c>
      <c r="P5122" s="0" t="s">
        <v>2444</v>
      </c>
    </row>
    <row r="5123" customFormat="false" ht="15" hidden="false" customHeight="true" outlineLevel="0" collapsed="false">
      <c r="A5123" s="0" t="n">
        <v>2</v>
      </c>
      <c r="B5123" s="71" t="n">
        <v>46234</v>
      </c>
      <c r="C5123" s="0" t="n">
        <v>11</v>
      </c>
      <c r="D5123" s="0" t="s">
        <v>2471</v>
      </c>
      <c r="E5123" s="0" t="n">
        <v>1608</v>
      </c>
      <c r="F5123" s="0" t="s">
        <v>240</v>
      </c>
      <c r="I5123" s="0" t="n">
        <v>1702357</v>
      </c>
      <c r="J5123" s="0" t="n">
        <v>24832</v>
      </c>
      <c r="K5123" s="0" t="n">
        <v>7891025109891</v>
      </c>
      <c r="L5123" s="0" t="s">
        <v>2646</v>
      </c>
      <c r="N5123" s="0" t="n">
        <v>6</v>
      </c>
      <c r="O5123" s="0" t="n">
        <v>50.76</v>
      </c>
      <c r="P5123" s="0" t="s">
        <v>2444</v>
      </c>
    </row>
    <row r="5124" customFormat="false" ht="15" hidden="false" customHeight="true" outlineLevel="0" collapsed="false">
      <c r="A5124" s="0" t="n">
        <v>2</v>
      </c>
      <c r="B5124" s="71" t="n">
        <v>46234</v>
      </c>
      <c r="C5124" s="0" t="n">
        <v>11</v>
      </c>
      <c r="D5124" s="0" t="s">
        <v>2471</v>
      </c>
      <c r="E5124" s="0" t="n">
        <v>1608</v>
      </c>
      <c r="F5124" s="0" t="s">
        <v>240</v>
      </c>
      <c r="I5124" s="0" t="n">
        <v>1702357</v>
      </c>
      <c r="J5124" s="0" t="n">
        <v>27141</v>
      </c>
      <c r="K5124" s="0" t="n">
        <v>7899916900329</v>
      </c>
      <c r="L5124" s="0" t="s">
        <v>2647</v>
      </c>
      <c r="N5124" s="0" t="n">
        <v>3</v>
      </c>
      <c r="O5124" s="0" t="n">
        <v>17.79</v>
      </c>
      <c r="P5124" s="0" t="s">
        <v>2444</v>
      </c>
    </row>
    <row r="5125" customFormat="false" ht="15" hidden="false" customHeight="true" outlineLevel="0" collapsed="false">
      <c r="A5125" s="0" t="n">
        <v>2</v>
      </c>
      <c r="B5125" s="71" t="n">
        <v>46234</v>
      </c>
      <c r="C5125" s="0" t="n">
        <v>11</v>
      </c>
      <c r="D5125" s="0" t="s">
        <v>2471</v>
      </c>
      <c r="E5125" s="0" t="n">
        <v>1608</v>
      </c>
      <c r="F5125" s="0" t="s">
        <v>240</v>
      </c>
      <c r="I5125" s="0" t="n">
        <v>1702357</v>
      </c>
      <c r="J5125" s="0" t="n">
        <v>31570</v>
      </c>
      <c r="K5125" s="0" t="n">
        <v>7898927809157</v>
      </c>
      <c r="L5125" s="0" t="s">
        <v>2986</v>
      </c>
      <c r="N5125" s="0" t="n">
        <v>3</v>
      </c>
      <c r="O5125" s="0" t="n">
        <v>44.61</v>
      </c>
      <c r="P5125" s="0" t="s">
        <v>2444</v>
      </c>
    </row>
    <row r="5126" customFormat="false" ht="15" hidden="false" customHeight="true" outlineLevel="0" collapsed="false">
      <c r="A5126" s="0" t="n">
        <v>2</v>
      </c>
      <c r="B5126" s="71" t="n">
        <v>46234</v>
      </c>
      <c r="C5126" s="0" t="n">
        <v>11</v>
      </c>
      <c r="D5126" s="0" t="s">
        <v>2471</v>
      </c>
      <c r="E5126" s="0" t="n">
        <v>1608</v>
      </c>
      <c r="F5126" s="0" t="s">
        <v>240</v>
      </c>
      <c r="I5126" s="0" t="n">
        <v>1702357</v>
      </c>
      <c r="J5126" s="0" t="n">
        <v>32614</v>
      </c>
      <c r="K5126" s="0" t="n">
        <v>7891025119456</v>
      </c>
      <c r="L5126" s="0" t="s">
        <v>2650</v>
      </c>
      <c r="N5126" s="0" t="n">
        <v>12</v>
      </c>
      <c r="O5126" s="0" t="n">
        <v>33.6</v>
      </c>
      <c r="P5126" s="0" t="s">
        <v>2444</v>
      </c>
    </row>
    <row r="5127" customFormat="false" ht="15" hidden="false" customHeight="true" outlineLevel="0" collapsed="false">
      <c r="A5127" s="0" t="n">
        <v>2</v>
      </c>
      <c r="B5127" s="71" t="n">
        <v>46234</v>
      </c>
      <c r="C5127" s="0" t="n">
        <v>11</v>
      </c>
      <c r="D5127" s="0" t="s">
        <v>2471</v>
      </c>
      <c r="E5127" s="0" t="n">
        <v>1608</v>
      </c>
      <c r="F5127" s="0" t="s">
        <v>240</v>
      </c>
      <c r="I5127" s="0" t="n">
        <v>1702357</v>
      </c>
      <c r="J5127" s="0" t="n">
        <v>35841</v>
      </c>
      <c r="K5127" s="0" t="n">
        <v>7891025120223</v>
      </c>
      <c r="L5127" s="0" t="s">
        <v>2988</v>
      </c>
      <c r="N5127" s="0" t="n">
        <v>4</v>
      </c>
      <c r="O5127" s="0" t="n">
        <v>14.64</v>
      </c>
      <c r="P5127" s="0" t="s">
        <v>2444</v>
      </c>
    </row>
    <row r="5128" customFormat="false" ht="15" hidden="false" customHeight="true" outlineLevel="0" collapsed="false">
      <c r="A5128" s="0" t="n">
        <v>2</v>
      </c>
      <c r="B5128" s="71" t="n">
        <v>46234</v>
      </c>
      <c r="C5128" s="0" t="n">
        <v>11</v>
      </c>
      <c r="D5128" s="0" t="s">
        <v>2471</v>
      </c>
      <c r="E5128" s="0" t="n">
        <v>1608</v>
      </c>
      <c r="F5128" s="0" t="s">
        <v>240</v>
      </c>
      <c r="I5128" s="0" t="n">
        <v>1702357</v>
      </c>
      <c r="J5128" s="0" t="n">
        <v>35842</v>
      </c>
      <c r="K5128" s="0" t="n">
        <v>7891025120230</v>
      </c>
      <c r="L5128" s="0" t="s">
        <v>2522</v>
      </c>
      <c r="N5128" s="0" t="n">
        <v>4</v>
      </c>
      <c r="O5128" s="0" t="n">
        <v>14.64</v>
      </c>
      <c r="P5128" s="0" t="s">
        <v>2444</v>
      </c>
    </row>
    <row r="5129" customFormat="false" ht="15" hidden="false" customHeight="true" outlineLevel="0" collapsed="false">
      <c r="A5129" s="0" t="n">
        <v>2</v>
      </c>
      <c r="B5129" s="71" t="n">
        <v>46234</v>
      </c>
      <c r="C5129" s="0" t="n">
        <v>11</v>
      </c>
      <c r="D5129" s="0" t="s">
        <v>2471</v>
      </c>
      <c r="E5129" s="0" t="n">
        <v>1608</v>
      </c>
      <c r="F5129" s="0" t="s">
        <v>240</v>
      </c>
      <c r="I5129" s="0" t="n">
        <v>1702357</v>
      </c>
      <c r="J5129" s="0" t="n">
        <v>37558</v>
      </c>
      <c r="K5129" s="0" t="n">
        <v>7891025101376</v>
      </c>
      <c r="L5129" s="0" t="s">
        <v>2652</v>
      </c>
      <c r="N5129" s="0" t="n">
        <v>6</v>
      </c>
      <c r="O5129" s="0" t="n">
        <v>19.26</v>
      </c>
      <c r="P5129" s="0" t="s">
        <v>2444</v>
      </c>
    </row>
    <row r="5130" customFormat="false" ht="15" hidden="false" customHeight="true" outlineLevel="0" collapsed="false">
      <c r="A5130" s="0" t="n">
        <v>2</v>
      </c>
      <c r="B5130" s="71" t="n">
        <v>46234</v>
      </c>
      <c r="C5130" s="0" t="n">
        <v>11</v>
      </c>
      <c r="D5130" s="0" t="s">
        <v>2471</v>
      </c>
      <c r="E5130" s="0" t="n">
        <v>1608</v>
      </c>
      <c r="F5130" s="0" t="s">
        <v>240</v>
      </c>
      <c r="I5130" s="0" t="n">
        <v>1702357</v>
      </c>
      <c r="J5130" s="0" t="n">
        <v>37980</v>
      </c>
      <c r="K5130" s="0" t="n">
        <v>7891025121640</v>
      </c>
      <c r="L5130" s="0" t="s">
        <v>2989</v>
      </c>
      <c r="N5130" s="0" t="n">
        <v>6</v>
      </c>
      <c r="O5130" s="0" t="n">
        <v>44.16</v>
      </c>
      <c r="P5130" s="0" t="s">
        <v>2444</v>
      </c>
    </row>
    <row r="5131" customFormat="false" ht="15" hidden="false" customHeight="true" outlineLevel="0" collapsed="false">
      <c r="A5131" s="0" t="n">
        <v>2</v>
      </c>
      <c r="B5131" s="71" t="n">
        <v>46234</v>
      </c>
      <c r="C5131" s="0" t="n">
        <v>11</v>
      </c>
      <c r="D5131" s="0" t="s">
        <v>2471</v>
      </c>
      <c r="E5131" s="0" t="n">
        <v>1608</v>
      </c>
      <c r="F5131" s="0" t="s">
        <v>240</v>
      </c>
      <c r="I5131" s="0" t="n">
        <v>1702357</v>
      </c>
      <c r="J5131" s="0" t="n">
        <v>69613</v>
      </c>
      <c r="K5131" s="0" t="n">
        <v>7891025123460</v>
      </c>
      <c r="L5131" s="0" t="s">
        <v>2526</v>
      </c>
      <c r="N5131" s="0" t="n">
        <v>2</v>
      </c>
      <c r="O5131" s="0" t="n">
        <v>24.58</v>
      </c>
      <c r="P5131" s="0" t="s">
        <v>2444</v>
      </c>
    </row>
    <row r="5132" customFormat="false" ht="15" hidden="false" customHeight="true" outlineLevel="0" collapsed="false">
      <c r="A5132" s="0" t="n">
        <v>2</v>
      </c>
      <c r="B5132" s="71" t="n">
        <v>46234</v>
      </c>
      <c r="C5132" s="0" t="n">
        <v>11</v>
      </c>
      <c r="D5132" s="0" t="s">
        <v>2471</v>
      </c>
      <c r="E5132" s="0" t="n">
        <v>1705</v>
      </c>
      <c r="F5132" s="0" t="s">
        <v>130</v>
      </c>
      <c r="I5132" s="0" t="n">
        <v>1964124</v>
      </c>
      <c r="J5132" s="0" t="n">
        <v>10830</v>
      </c>
      <c r="K5132" s="0" t="n">
        <v>7894900701517</v>
      </c>
      <c r="L5132" s="0" t="s">
        <v>2573</v>
      </c>
      <c r="N5132" s="0" t="n">
        <v>90</v>
      </c>
      <c r="O5132" s="0" t="n">
        <v>770.4</v>
      </c>
      <c r="P5132" s="0" t="s">
        <v>2444</v>
      </c>
    </row>
    <row r="5133" customFormat="false" ht="15" hidden="false" customHeight="true" outlineLevel="0" collapsed="false">
      <c r="A5133" s="0" t="n">
        <v>2</v>
      </c>
      <c r="B5133" s="71" t="n">
        <v>46234</v>
      </c>
      <c r="C5133" s="0" t="n">
        <v>11</v>
      </c>
      <c r="D5133" s="0" t="s">
        <v>2471</v>
      </c>
      <c r="E5133" s="0" t="n">
        <v>1705</v>
      </c>
      <c r="F5133" s="0" t="s">
        <v>130</v>
      </c>
      <c r="I5133" s="0" t="n">
        <v>1964124</v>
      </c>
      <c r="J5133" s="0" t="n">
        <v>37279</v>
      </c>
      <c r="K5133" s="0" t="n">
        <v>7894900027013</v>
      </c>
      <c r="L5133" s="0" t="s">
        <v>2575</v>
      </c>
      <c r="N5133" s="0" t="n">
        <v>60</v>
      </c>
      <c r="O5133" s="0" t="n">
        <v>538.46</v>
      </c>
      <c r="P5133" s="0" t="s">
        <v>2444</v>
      </c>
    </row>
    <row r="5134" customFormat="false" ht="15" hidden="false" customHeight="true" outlineLevel="0" collapsed="false">
      <c r="A5134" s="0" t="n">
        <v>2</v>
      </c>
      <c r="B5134" s="71" t="n">
        <v>46234</v>
      </c>
      <c r="C5134" s="0" t="n">
        <v>11</v>
      </c>
      <c r="D5134" s="0" t="s">
        <v>2471</v>
      </c>
      <c r="E5134" s="0" t="n">
        <v>1705</v>
      </c>
      <c r="F5134" s="0" t="s">
        <v>130</v>
      </c>
      <c r="I5134" s="0" t="n">
        <v>1964129</v>
      </c>
      <c r="J5134" s="0" t="n">
        <v>103142</v>
      </c>
      <c r="K5134" s="0" t="n">
        <v>7894900011753</v>
      </c>
      <c r="L5134" s="0" t="s">
        <v>2581</v>
      </c>
      <c r="N5134" s="0" t="n">
        <v>24</v>
      </c>
      <c r="O5134" s="0" t="n">
        <v>152.63</v>
      </c>
      <c r="P5134" s="0" t="s">
        <v>2444</v>
      </c>
    </row>
    <row r="5135" customFormat="false" ht="15" hidden="false" customHeight="true" outlineLevel="0" collapsed="false">
      <c r="A5135" s="0" t="n">
        <v>2</v>
      </c>
      <c r="B5135" s="71" t="n">
        <v>46234</v>
      </c>
      <c r="C5135" s="0" t="n">
        <v>11</v>
      </c>
      <c r="D5135" s="0" t="s">
        <v>2471</v>
      </c>
      <c r="E5135" s="0" t="n">
        <v>1705</v>
      </c>
      <c r="F5135" s="0" t="s">
        <v>130</v>
      </c>
      <c r="I5135" s="0" t="n">
        <v>1964129</v>
      </c>
      <c r="J5135" s="0" t="n">
        <v>103146</v>
      </c>
      <c r="K5135" s="0" t="n">
        <v>7894900031515</v>
      </c>
      <c r="L5135" s="0" t="s">
        <v>2567</v>
      </c>
      <c r="N5135" s="0" t="n">
        <v>12</v>
      </c>
      <c r="O5135" s="0" t="n">
        <v>89.99</v>
      </c>
      <c r="P5135" s="0" t="s">
        <v>2444</v>
      </c>
    </row>
    <row r="5136" customFormat="false" ht="15" hidden="false" customHeight="true" outlineLevel="0" collapsed="false">
      <c r="A5136" s="0" t="n">
        <v>2</v>
      </c>
      <c r="B5136" s="71" t="n">
        <v>46234</v>
      </c>
      <c r="C5136" s="0" t="n">
        <v>11</v>
      </c>
      <c r="D5136" s="0" t="s">
        <v>2471</v>
      </c>
      <c r="E5136" s="0" t="n">
        <v>1705</v>
      </c>
      <c r="F5136" s="0" t="s">
        <v>130</v>
      </c>
      <c r="I5136" s="0" t="n">
        <v>1964129</v>
      </c>
      <c r="J5136" s="0" t="n">
        <v>103160</v>
      </c>
      <c r="K5136" s="0" t="n">
        <v>7894900030013</v>
      </c>
      <c r="L5136" s="0" t="s">
        <v>2568</v>
      </c>
      <c r="N5136" s="0" t="n">
        <v>12</v>
      </c>
      <c r="O5136" s="0" t="n">
        <v>34.31</v>
      </c>
      <c r="P5136" s="0" t="s">
        <v>2444</v>
      </c>
    </row>
    <row r="5137" customFormat="false" ht="15" hidden="false" customHeight="true" outlineLevel="0" collapsed="false">
      <c r="A5137" s="0" t="n">
        <v>2</v>
      </c>
      <c r="B5137" s="71" t="n">
        <v>46234</v>
      </c>
      <c r="C5137" s="0" t="n">
        <v>11</v>
      </c>
      <c r="D5137" s="0" t="s">
        <v>2471</v>
      </c>
      <c r="E5137" s="0" t="n">
        <v>1705</v>
      </c>
      <c r="F5137" s="0" t="s">
        <v>130</v>
      </c>
      <c r="I5137" s="0" t="n">
        <v>1964129</v>
      </c>
      <c r="J5137" s="0" t="n">
        <v>104051</v>
      </c>
      <c r="K5137" s="0" t="n">
        <v>7894900300017</v>
      </c>
      <c r="L5137" s="0" t="s">
        <v>4661</v>
      </c>
      <c r="N5137" s="0" t="n">
        <v>6</v>
      </c>
      <c r="O5137" s="0" t="n">
        <v>16.79</v>
      </c>
      <c r="P5137" s="0" t="s">
        <v>2444</v>
      </c>
    </row>
    <row r="5138" customFormat="false" ht="15" hidden="false" customHeight="true" outlineLevel="0" collapsed="false">
      <c r="A5138" s="0" t="n">
        <v>2</v>
      </c>
      <c r="B5138" s="71" t="n">
        <v>46234</v>
      </c>
      <c r="C5138" s="0" t="n">
        <v>11</v>
      </c>
      <c r="D5138" s="0" t="s">
        <v>2471</v>
      </c>
      <c r="E5138" s="0" t="n">
        <v>1705</v>
      </c>
      <c r="F5138" s="0" t="s">
        <v>130</v>
      </c>
      <c r="I5138" s="0" t="n">
        <v>1964129</v>
      </c>
      <c r="J5138" s="0" t="n">
        <v>104472</v>
      </c>
      <c r="K5138" s="0" t="n">
        <v>7897105200038</v>
      </c>
      <c r="L5138" s="0" t="s">
        <v>2657</v>
      </c>
      <c r="N5138" s="0" t="n">
        <v>36</v>
      </c>
      <c r="O5138" s="0" t="n">
        <v>163.37</v>
      </c>
      <c r="P5138" s="0" t="s">
        <v>2444</v>
      </c>
    </row>
    <row r="5139" customFormat="false" ht="15" hidden="false" customHeight="true" outlineLevel="0" collapsed="false">
      <c r="A5139" s="0" t="n">
        <v>2</v>
      </c>
      <c r="B5139" s="71" t="n">
        <v>46234</v>
      </c>
      <c r="C5139" s="0" t="n">
        <v>11</v>
      </c>
      <c r="D5139" s="0" t="s">
        <v>2471</v>
      </c>
      <c r="E5139" s="0" t="n">
        <v>1705</v>
      </c>
      <c r="F5139" s="0" t="s">
        <v>130</v>
      </c>
      <c r="I5139" s="0" t="n">
        <v>1964129</v>
      </c>
      <c r="J5139" s="0" t="n">
        <v>105323</v>
      </c>
      <c r="K5139" s="0" t="n">
        <v>7894900701753</v>
      </c>
      <c r="L5139" s="0" t="s">
        <v>2570</v>
      </c>
      <c r="N5139" s="0" t="n">
        <v>24</v>
      </c>
      <c r="O5139" s="0" t="n">
        <v>146.28</v>
      </c>
      <c r="P5139" s="0" t="s">
        <v>2444</v>
      </c>
    </row>
    <row r="5140" customFormat="false" ht="15" hidden="false" customHeight="true" outlineLevel="0" collapsed="false">
      <c r="A5140" s="0" t="n">
        <v>2</v>
      </c>
      <c r="B5140" s="71" t="n">
        <v>46234</v>
      </c>
      <c r="C5140" s="0" t="n">
        <v>11</v>
      </c>
      <c r="D5140" s="0" t="s">
        <v>2471</v>
      </c>
      <c r="E5140" s="0" t="n">
        <v>1705</v>
      </c>
      <c r="F5140" s="0" t="s">
        <v>130</v>
      </c>
      <c r="I5140" s="0" t="n">
        <v>1964129</v>
      </c>
      <c r="J5140" s="0" t="n">
        <v>10830</v>
      </c>
      <c r="K5140" s="0" t="n">
        <v>7894900701517</v>
      </c>
      <c r="L5140" s="0" t="s">
        <v>2573</v>
      </c>
      <c r="N5140" s="0" t="n">
        <v>30</v>
      </c>
      <c r="O5140" s="0" t="n">
        <v>256.72</v>
      </c>
      <c r="P5140" s="0" t="s">
        <v>2444</v>
      </c>
    </row>
    <row r="5141" customFormat="false" ht="15" hidden="false" customHeight="true" outlineLevel="0" collapsed="false">
      <c r="A5141" s="0" t="n">
        <v>2</v>
      </c>
      <c r="B5141" s="71" t="n">
        <v>46234</v>
      </c>
      <c r="C5141" s="0" t="n">
        <v>11</v>
      </c>
      <c r="D5141" s="0" t="s">
        <v>2471</v>
      </c>
      <c r="E5141" s="0" t="n">
        <v>1705</v>
      </c>
      <c r="F5141" s="0" t="s">
        <v>130</v>
      </c>
      <c r="I5141" s="0" t="n">
        <v>1964129</v>
      </c>
      <c r="J5141" s="0" t="n">
        <v>21183</v>
      </c>
      <c r="K5141" s="0" t="n">
        <v>7894900556063</v>
      </c>
      <c r="L5141" s="0" t="s">
        <v>4364</v>
      </c>
      <c r="N5141" s="0" t="n">
        <v>12</v>
      </c>
      <c r="O5141" s="0" t="n">
        <v>86.47</v>
      </c>
      <c r="P5141" s="0" t="s">
        <v>2444</v>
      </c>
    </row>
    <row r="5142" customFormat="false" ht="15" hidden="false" customHeight="true" outlineLevel="0" collapsed="false">
      <c r="A5142" s="0" t="n">
        <v>2</v>
      </c>
      <c r="B5142" s="71" t="n">
        <v>46234</v>
      </c>
      <c r="C5142" s="0" t="n">
        <v>11</v>
      </c>
      <c r="D5142" s="0" t="s">
        <v>2471</v>
      </c>
      <c r="E5142" s="0" t="n">
        <v>1705</v>
      </c>
      <c r="F5142" s="0" t="s">
        <v>130</v>
      </c>
      <c r="I5142" s="0" t="n">
        <v>1964129</v>
      </c>
      <c r="J5142" s="0" t="n">
        <v>21425</v>
      </c>
      <c r="K5142" s="0" t="n">
        <v>7894900034219</v>
      </c>
      <c r="L5142" s="0" t="s">
        <v>2469</v>
      </c>
      <c r="N5142" s="0" t="n">
        <v>9</v>
      </c>
      <c r="O5142" s="0" t="n">
        <v>52.56</v>
      </c>
      <c r="P5142" s="0" t="s">
        <v>2444</v>
      </c>
    </row>
    <row r="5143" customFormat="false" ht="15" hidden="false" customHeight="true" outlineLevel="0" collapsed="false">
      <c r="A5143" s="0" t="n">
        <v>2</v>
      </c>
      <c r="B5143" s="71" t="n">
        <v>46234</v>
      </c>
      <c r="C5143" s="0" t="n">
        <v>11</v>
      </c>
      <c r="D5143" s="0" t="s">
        <v>2471</v>
      </c>
      <c r="E5143" s="0" t="n">
        <v>1705</v>
      </c>
      <c r="F5143" s="0" t="s">
        <v>130</v>
      </c>
      <c r="I5143" s="0" t="n">
        <v>1964129</v>
      </c>
      <c r="J5143" s="0" t="n">
        <v>21426</v>
      </c>
      <c r="K5143" s="0" t="n">
        <v>7894900014211</v>
      </c>
      <c r="L5143" s="0" t="s">
        <v>2470</v>
      </c>
      <c r="N5143" s="0" t="n">
        <v>36</v>
      </c>
      <c r="O5143" s="0" t="n">
        <v>241.39</v>
      </c>
      <c r="P5143" s="0" t="s">
        <v>2444</v>
      </c>
    </row>
    <row r="5144" customFormat="false" ht="15" hidden="false" customHeight="true" outlineLevel="0" collapsed="false">
      <c r="A5144" s="0" t="n">
        <v>2</v>
      </c>
      <c r="B5144" s="71" t="n">
        <v>46234</v>
      </c>
      <c r="C5144" s="0" t="n">
        <v>11</v>
      </c>
      <c r="D5144" s="0" t="s">
        <v>2471</v>
      </c>
      <c r="E5144" s="0" t="n">
        <v>1705</v>
      </c>
      <c r="F5144" s="0" t="s">
        <v>130</v>
      </c>
      <c r="I5144" s="0" t="n">
        <v>1964129</v>
      </c>
      <c r="J5144" s="0" t="n">
        <v>22893</v>
      </c>
      <c r="K5144" s="0" t="n">
        <v>7894900550061</v>
      </c>
      <c r="L5144" s="0" t="s">
        <v>3885</v>
      </c>
      <c r="N5144" s="0" t="n">
        <v>6</v>
      </c>
      <c r="O5144" s="0" t="n">
        <v>43.23</v>
      </c>
      <c r="P5144" s="0" t="s">
        <v>2444</v>
      </c>
    </row>
    <row r="5145" customFormat="false" ht="15" hidden="false" customHeight="true" outlineLevel="0" collapsed="false">
      <c r="A5145" s="0" t="n">
        <v>2</v>
      </c>
      <c r="B5145" s="71" t="n">
        <v>46234</v>
      </c>
      <c r="C5145" s="0" t="n">
        <v>11</v>
      </c>
      <c r="D5145" s="0" t="s">
        <v>2471</v>
      </c>
      <c r="E5145" s="0" t="n">
        <v>1705</v>
      </c>
      <c r="F5145" s="0" t="s">
        <v>130</v>
      </c>
      <c r="I5145" s="0" t="n">
        <v>1964129</v>
      </c>
      <c r="J5145" s="0" t="n">
        <v>24662</v>
      </c>
      <c r="K5145" s="0" t="n">
        <v>7897105250019</v>
      </c>
      <c r="L5145" s="0" t="s">
        <v>3441</v>
      </c>
      <c r="N5145" s="0" t="n">
        <v>18</v>
      </c>
      <c r="O5145" s="0" t="n">
        <v>50.55</v>
      </c>
      <c r="P5145" s="0" t="s">
        <v>2444</v>
      </c>
    </row>
    <row r="5146" customFormat="false" ht="15" hidden="false" customHeight="true" outlineLevel="0" collapsed="false">
      <c r="A5146" s="0" t="n">
        <v>2</v>
      </c>
      <c r="B5146" s="71" t="n">
        <v>46234</v>
      </c>
      <c r="C5146" s="0" t="n">
        <v>11</v>
      </c>
      <c r="D5146" s="0" t="s">
        <v>2471</v>
      </c>
      <c r="E5146" s="0" t="n">
        <v>1705</v>
      </c>
      <c r="F5146" s="0" t="s">
        <v>130</v>
      </c>
      <c r="I5146" s="0" t="n">
        <v>1964129</v>
      </c>
      <c r="J5146" s="0" t="n">
        <v>28739</v>
      </c>
      <c r="K5146" s="0" t="n">
        <v>7894900027044</v>
      </c>
      <c r="L5146" s="0" t="s">
        <v>2658</v>
      </c>
      <c r="N5146" s="0" t="n">
        <v>18</v>
      </c>
      <c r="O5146" s="0" t="n">
        <v>101.83</v>
      </c>
      <c r="P5146" s="0" t="s">
        <v>2444</v>
      </c>
    </row>
    <row r="5147" customFormat="false" ht="15" hidden="false" customHeight="true" outlineLevel="0" collapsed="false">
      <c r="A5147" s="0" t="n">
        <v>2</v>
      </c>
      <c r="B5147" s="71" t="n">
        <v>46234</v>
      </c>
      <c r="C5147" s="0" t="n">
        <v>11</v>
      </c>
      <c r="D5147" s="0" t="s">
        <v>2471</v>
      </c>
      <c r="E5147" s="0" t="n">
        <v>1705</v>
      </c>
      <c r="F5147" s="0" t="s">
        <v>130</v>
      </c>
      <c r="I5147" s="0" t="n">
        <v>1964129</v>
      </c>
      <c r="J5147" s="0" t="n">
        <v>29614</v>
      </c>
      <c r="K5147" s="0" t="n">
        <v>7894900550030</v>
      </c>
      <c r="L5147" s="0" t="s">
        <v>3553</v>
      </c>
      <c r="N5147" s="0" t="n">
        <v>6</v>
      </c>
      <c r="O5147" s="0" t="n">
        <v>36.45</v>
      </c>
      <c r="P5147" s="0" t="s">
        <v>2444</v>
      </c>
    </row>
    <row r="5148" customFormat="false" ht="15" hidden="false" customHeight="true" outlineLevel="0" collapsed="false">
      <c r="A5148" s="0" t="n">
        <v>2</v>
      </c>
      <c r="B5148" s="71" t="n">
        <v>46234</v>
      </c>
      <c r="C5148" s="0" t="n">
        <v>11</v>
      </c>
      <c r="D5148" s="0" t="s">
        <v>2471</v>
      </c>
      <c r="E5148" s="0" t="n">
        <v>1705</v>
      </c>
      <c r="F5148" s="0" t="s">
        <v>130</v>
      </c>
      <c r="I5148" s="0" t="n">
        <v>1964129</v>
      </c>
      <c r="J5148" s="0" t="n">
        <v>32339</v>
      </c>
      <c r="K5148" s="0" t="n">
        <v>7894900681000</v>
      </c>
      <c r="L5148" s="0" t="s">
        <v>2996</v>
      </c>
      <c r="N5148" s="0" t="n">
        <v>12</v>
      </c>
      <c r="O5148" s="0" t="n">
        <v>89.99</v>
      </c>
      <c r="P5148" s="0" t="s">
        <v>2444</v>
      </c>
    </row>
    <row r="5149" customFormat="false" ht="15" hidden="false" customHeight="true" outlineLevel="0" collapsed="false">
      <c r="A5149" s="0" t="n">
        <v>2</v>
      </c>
      <c r="B5149" s="71" t="n">
        <v>46234</v>
      </c>
      <c r="C5149" s="0" t="n">
        <v>11</v>
      </c>
      <c r="D5149" s="0" t="s">
        <v>2471</v>
      </c>
      <c r="E5149" s="0" t="n">
        <v>1705</v>
      </c>
      <c r="F5149" s="0" t="s">
        <v>130</v>
      </c>
      <c r="I5149" s="0" t="n">
        <v>1964129</v>
      </c>
      <c r="J5149" s="0" t="n">
        <v>34629</v>
      </c>
      <c r="K5149" s="0" t="n">
        <v>7894900027020</v>
      </c>
      <c r="L5149" s="0" t="s">
        <v>2478</v>
      </c>
      <c r="N5149" s="0" t="n">
        <v>30</v>
      </c>
      <c r="O5149" s="0" t="n">
        <v>297.92</v>
      </c>
      <c r="P5149" s="0" t="s">
        <v>2444</v>
      </c>
    </row>
    <row r="5150" customFormat="false" ht="15" hidden="false" customHeight="true" outlineLevel="0" collapsed="false">
      <c r="A5150" s="0" t="n">
        <v>2</v>
      </c>
      <c r="B5150" s="71" t="n">
        <v>46234</v>
      </c>
      <c r="C5150" s="0" t="n">
        <v>11</v>
      </c>
      <c r="D5150" s="0" t="s">
        <v>2471</v>
      </c>
      <c r="E5150" s="0" t="n">
        <v>1705</v>
      </c>
      <c r="F5150" s="0" t="s">
        <v>130</v>
      </c>
      <c r="I5150" s="0" t="n">
        <v>1964129</v>
      </c>
      <c r="J5150" s="0" t="n">
        <v>37279</v>
      </c>
      <c r="K5150" s="0" t="n">
        <v>7894900027013</v>
      </c>
      <c r="L5150" s="0" t="s">
        <v>2575</v>
      </c>
      <c r="N5150" s="0" t="n">
        <v>78</v>
      </c>
      <c r="O5150" s="0" t="n">
        <v>688.09</v>
      </c>
      <c r="P5150" s="0" t="s">
        <v>2444</v>
      </c>
    </row>
    <row r="5151" customFormat="false" ht="15" hidden="false" customHeight="true" outlineLevel="0" collapsed="false">
      <c r="A5151" s="0" t="n">
        <v>2</v>
      </c>
      <c r="B5151" s="71" t="n">
        <v>46234</v>
      </c>
      <c r="C5151" s="0" t="n">
        <v>11</v>
      </c>
      <c r="D5151" s="0" t="s">
        <v>2471</v>
      </c>
      <c r="E5151" s="0" t="n">
        <v>1705</v>
      </c>
      <c r="F5151" s="0" t="s">
        <v>130</v>
      </c>
      <c r="I5151" s="0" t="n">
        <v>1964129</v>
      </c>
      <c r="J5151" s="0" t="n">
        <v>38060</v>
      </c>
      <c r="K5151" s="0" t="n">
        <v>7894900701609</v>
      </c>
      <c r="L5151" s="0" t="s">
        <v>2576</v>
      </c>
      <c r="N5151" s="0" t="n">
        <v>24</v>
      </c>
      <c r="O5151" s="0" t="n">
        <v>88.16</v>
      </c>
      <c r="P5151" s="0" t="s">
        <v>2444</v>
      </c>
    </row>
    <row r="5152" customFormat="false" ht="15" hidden="false" customHeight="true" outlineLevel="0" collapsed="false">
      <c r="A5152" s="0" t="n">
        <v>2</v>
      </c>
      <c r="B5152" s="71" t="n">
        <v>46234</v>
      </c>
      <c r="C5152" s="0" t="n">
        <v>11</v>
      </c>
      <c r="D5152" s="0" t="s">
        <v>2471</v>
      </c>
      <c r="E5152" s="0" t="n">
        <v>1705</v>
      </c>
      <c r="F5152" s="0" t="s">
        <v>130</v>
      </c>
      <c r="I5152" s="0" t="n">
        <v>1964130</v>
      </c>
      <c r="J5152" s="0" t="n">
        <v>29509</v>
      </c>
      <c r="K5152" s="0" t="n">
        <v>78933873</v>
      </c>
      <c r="L5152" s="0" t="s">
        <v>3258</v>
      </c>
      <c r="N5152" s="0" t="n">
        <v>24</v>
      </c>
      <c r="O5152" s="0" t="n">
        <v>45.18</v>
      </c>
      <c r="P5152" s="0" t="s">
        <v>2444</v>
      </c>
    </row>
    <row r="5153" customFormat="false" ht="15" hidden="false" customHeight="true" outlineLevel="0" collapsed="false">
      <c r="A5153" s="0" t="n">
        <v>2</v>
      </c>
      <c r="B5153" s="71" t="n">
        <v>46235</v>
      </c>
      <c r="C5153" s="0" t="n">
        <v>11</v>
      </c>
      <c r="D5153" s="0" t="s">
        <v>2471</v>
      </c>
      <c r="E5153" s="0" t="n">
        <v>642</v>
      </c>
      <c r="F5153" s="0" t="s">
        <v>123</v>
      </c>
      <c r="I5153" s="0" t="n">
        <v>569</v>
      </c>
      <c r="J5153" s="0" t="n">
        <v>71766</v>
      </c>
      <c r="K5153" s="0" t="n">
        <v>779180</v>
      </c>
      <c r="L5153" s="0" t="s">
        <v>2501</v>
      </c>
      <c r="N5153" s="0" t="n">
        <v>15</v>
      </c>
      <c r="O5153" s="0" t="n">
        <v>180</v>
      </c>
      <c r="P5153" s="0" t="s">
        <v>2444</v>
      </c>
    </row>
    <row r="5154" customFormat="false" ht="15" hidden="false" customHeight="true" outlineLevel="0" collapsed="false">
      <c r="A5154" s="0" t="n">
        <v>2</v>
      </c>
      <c r="B5154" s="71" t="n">
        <v>46235</v>
      </c>
      <c r="C5154" s="0" t="n">
        <v>11</v>
      </c>
      <c r="D5154" s="0" t="s">
        <v>2471</v>
      </c>
      <c r="E5154" s="0" t="n">
        <v>1899</v>
      </c>
      <c r="F5154" s="0" t="s">
        <v>204</v>
      </c>
      <c r="I5154" s="0" t="n">
        <v>740</v>
      </c>
      <c r="J5154" s="0" t="n">
        <v>44588</v>
      </c>
      <c r="K5154" s="0" t="n">
        <v>7898904331091</v>
      </c>
      <c r="L5154" s="0" t="s">
        <v>2443</v>
      </c>
      <c r="N5154" s="0" t="n">
        <v>15</v>
      </c>
      <c r="O5154" s="0" t="n">
        <v>74.85</v>
      </c>
      <c r="P5154" s="0" t="s">
        <v>2444</v>
      </c>
    </row>
    <row r="5155" customFormat="false" ht="15" hidden="false" customHeight="true" outlineLevel="0" collapsed="false">
      <c r="A5155" s="0" t="n">
        <v>2</v>
      </c>
      <c r="B5155" s="71" t="n">
        <v>46235</v>
      </c>
      <c r="C5155" s="0" t="n">
        <v>11</v>
      </c>
      <c r="D5155" s="0" t="s">
        <v>2471</v>
      </c>
      <c r="E5155" s="0" t="n">
        <v>1899</v>
      </c>
      <c r="F5155" s="0" t="s">
        <v>204</v>
      </c>
      <c r="I5155" s="0" t="n">
        <v>740</v>
      </c>
      <c r="J5155" s="0" t="n">
        <v>77463</v>
      </c>
      <c r="K5155" s="0" t="n">
        <v>774642</v>
      </c>
      <c r="L5155" s="0" t="s">
        <v>2445</v>
      </c>
      <c r="N5155" s="0" t="n">
        <v>30</v>
      </c>
      <c r="O5155" s="0" t="n">
        <v>135</v>
      </c>
      <c r="P5155" s="0" t="s">
        <v>2444</v>
      </c>
    </row>
    <row r="5156" customFormat="false" ht="15" hidden="false" customHeight="true" outlineLevel="0" collapsed="false">
      <c r="A5156" s="0" t="n">
        <v>2</v>
      </c>
      <c r="B5156" s="71" t="n">
        <v>46235</v>
      </c>
      <c r="C5156" s="0" t="n">
        <v>11</v>
      </c>
      <c r="D5156" s="0" t="s">
        <v>2471</v>
      </c>
      <c r="E5156" s="0" t="n">
        <v>1899</v>
      </c>
      <c r="F5156" s="0" t="s">
        <v>204</v>
      </c>
      <c r="I5156" s="0" t="n">
        <v>740</v>
      </c>
      <c r="J5156" s="0" t="n">
        <v>77465</v>
      </c>
      <c r="K5156" s="0" t="n">
        <v>774666</v>
      </c>
      <c r="L5156" s="0" t="s">
        <v>2446</v>
      </c>
      <c r="N5156" s="0" t="n">
        <v>15</v>
      </c>
      <c r="O5156" s="0" t="n">
        <v>74.85</v>
      </c>
      <c r="P5156" s="0" t="s">
        <v>2444</v>
      </c>
    </row>
    <row r="5157" customFormat="false" ht="15" hidden="false" customHeight="true" outlineLevel="0" collapsed="false">
      <c r="A5157" s="0" t="n">
        <v>2</v>
      </c>
      <c r="B5157" s="71" t="n">
        <v>46235</v>
      </c>
      <c r="C5157" s="0" t="n">
        <v>11</v>
      </c>
      <c r="D5157" s="0" t="s">
        <v>2471</v>
      </c>
      <c r="E5157" s="0" t="n">
        <v>1899</v>
      </c>
      <c r="F5157" s="0" t="s">
        <v>204</v>
      </c>
      <c r="I5157" s="0" t="n">
        <v>740</v>
      </c>
      <c r="J5157" s="0" t="n">
        <v>78013</v>
      </c>
      <c r="K5157" s="0" t="n">
        <v>780148</v>
      </c>
      <c r="L5157" s="0" t="s">
        <v>2584</v>
      </c>
      <c r="N5157" s="0" t="n">
        <v>5</v>
      </c>
      <c r="O5157" s="0" t="n">
        <v>22.5</v>
      </c>
      <c r="P5157" s="0" t="s">
        <v>2444</v>
      </c>
    </row>
    <row r="5158" customFormat="false" ht="15" hidden="false" customHeight="true" outlineLevel="0" collapsed="false">
      <c r="A5158" s="0" t="n">
        <v>2</v>
      </c>
      <c r="B5158" s="71" t="n">
        <v>46235</v>
      </c>
      <c r="C5158" s="0" t="n">
        <v>11</v>
      </c>
      <c r="D5158" s="0" t="s">
        <v>2471</v>
      </c>
      <c r="E5158" s="0" t="n">
        <v>1899</v>
      </c>
      <c r="F5158" s="0" t="s">
        <v>204</v>
      </c>
      <c r="I5158" s="0" t="n">
        <v>740</v>
      </c>
      <c r="J5158" s="0" t="n">
        <v>78015</v>
      </c>
      <c r="K5158" s="0" t="n">
        <v>780162</v>
      </c>
      <c r="L5158" s="0" t="s">
        <v>2447</v>
      </c>
      <c r="N5158" s="0" t="n">
        <v>10</v>
      </c>
      <c r="O5158" s="0" t="n">
        <v>49.9</v>
      </c>
      <c r="P5158" s="0" t="s">
        <v>2444</v>
      </c>
    </row>
    <row r="5159" customFormat="false" ht="15" hidden="false" customHeight="true" outlineLevel="0" collapsed="false">
      <c r="A5159" s="0" t="n">
        <v>2</v>
      </c>
      <c r="B5159" s="71" t="n">
        <v>46235</v>
      </c>
      <c r="C5159" s="0" t="n">
        <v>11</v>
      </c>
      <c r="D5159" s="0" t="s">
        <v>2471</v>
      </c>
      <c r="E5159" s="0" t="n">
        <v>1749</v>
      </c>
      <c r="F5159" s="0" t="s">
        <v>585</v>
      </c>
      <c r="I5159" s="0" t="n">
        <v>3040</v>
      </c>
      <c r="J5159" s="0" t="n">
        <v>102300</v>
      </c>
      <c r="K5159" s="0" t="n">
        <v>7898062920014</v>
      </c>
      <c r="L5159" s="0" t="s">
        <v>2631</v>
      </c>
      <c r="N5159" s="0" t="n">
        <v>150</v>
      </c>
      <c r="O5159" s="0" t="n">
        <v>664.5</v>
      </c>
      <c r="P5159" s="0" t="s">
        <v>2444</v>
      </c>
    </row>
    <row r="5160" customFormat="false" ht="15" hidden="false" customHeight="true" outlineLevel="0" collapsed="false">
      <c r="A5160" s="0" t="n">
        <v>2</v>
      </c>
      <c r="B5160" s="71" t="n">
        <v>46235</v>
      </c>
      <c r="C5160" s="0" t="n">
        <v>11</v>
      </c>
      <c r="D5160" s="0" t="s">
        <v>2471</v>
      </c>
      <c r="E5160" s="0" t="n">
        <v>1749</v>
      </c>
      <c r="F5160" s="0" t="s">
        <v>585</v>
      </c>
      <c r="I5160" s="0" t="n">
        <v>3040</v>
      </c>
      <c r="J5160" s="0" t="n">
        <v>13188</v>
      </c>
      <c r="K5160" s="0" t="n">
        <v>7896393601046</v>
      </c>
      <c r="L5160" s="0" t="s">
        <v>3021</v>
      </c>
      <c r="N5160" s="0" t="n">
        <v>60</v>
      </c>
      <c r="O5160" s="0" t="n">
        <v>233.8</v>
      </c>
      <c r="P5160" s="0" t="s">
        <v>2444</v>
      </c>
    </row>
    <row r="5161" customFormat="false" ht="15" hidden="false" customHeight="true" outlineLevel="0" collapsed="false">
      <c r="A5161" s="0" t="n">
        <v>2</v>
      </c>
      <c r="B5161" s="71" t="n">
        <v>46235</v>
      </c>
      <c r="C5161" s="0" t="n">
        <v>11</v>
      </c>
      <c r="D5161" s="0" t="s">
        <v>2471</v>
      </c>
      <c r="E5161" s="0" t="n">
        <v>1749</v>
      </c>
      <c r="F5161" s="0" t="s">
        <v>585</v>
      </c>
      <c r="I5161" s="0" t="n">
        <v>3040</v>
      </c>
      <c r="J5161" s="0" t="n">
        <v>13677</v>
      </c>
      <c r="K5161" s="0" t="n">
        <v>7896393601039</v>
      </c>
      <c r="L5161" s="0" t="s">
        <v>3022</v>
      </c>
      <c r="N5161" s="0" t="n">
        <v>150</v>
      </c>
      <c r="O5161" s="0" t="n">
        <v>549.5</v>
      </c>
      <c r="P5161" s="0" t="s">
        <v>2444</v>
      </c>
    </row>
    <row r="5162" customFormat="false" ht="15" hidden="false" customHeight="true" outlineLevel="0" collapsed="false">
      <c r="A5162" s="0" t="n">
        <v>2</v>
      </c>
      <c r="B5162" s="71" t="n">
        <v>46235</v>
      </c>
      <c r="C5162" s="0" t="n">
        <v>11</v>
      </c>
      <c r="D5162" s="0" t="s">
        <v>2471</v>
      </c>
      <c r="E5162" s="0" t="n">
        <v>1749</v>
      </c>
      <c r="F5162" s="0" t="s">
        <v>585</v>
      </c>
      <c r="I5162" s="0" t="n">
        <v>3040</v>
      </c>
      <c r="J5162" s="0" t="n">
        <v>25964</v>
      </c>
      <c r="K5162" s="0" t="n">
        <v>7896763621858</v>
      </c>
      <c r="L5162" s="0" t="s">
        <v>4662</v>
      </c>
      <c r="N5162" s="0" t="n">
        <v>300</v>
      </c>
      <c r="O5162" s="0" t="n">
        <v>583.5</v>
      </c>
      <c r="P5162" s="0" t="s">
        <v>2444</v>
      </c>
    </row>
    <row r="5163" customFormat="false" ht="15" hidden="false" customHeight="true" outlineLevel="0" collapsed="false">
      <c r="A5163" s="0" t="n">
        <v>2</v>
      </c>
      <c r="B5163" s="71" t="n">
        <v>46235</v>
      </c>
      <c r="C5163" s="0" t="n">
        <v>11</v>
      </c>
      <c r="D5163" s="0" t="s">
        <v>2471</v>
      </c>
      <c r="E5163" s="0" t="n">
        <v>1749</v>
      </c>
      <c r="F5163" s="0" t="s">
        <v>585</v>
      </c>
      <c r="I5163" s="0" t="n">
        <v>3040</v>
      </c>
      <c r="J5163" s="0" t="n">
        <v>29729</v>
      </c>
      <c r="K5163" s="0" t="n">
        <v>7898018160105</v>
      </c>
      <c r="L5163" s="0" t="s">
        <v>3023</v>
      </c>
      <c r="N5163" s="0" t="n">
        <v>120</v>
      </c>
      <c r="O5163" s="0" t="n">
        <v>439.6</v>
      </c>
      <c r="P5163" s="0" t="s">
        <v>2444</v>
      </c>
    </row>
    <row r="5164" customFormat="false" ht="15" hidden="false" customHeight="true" outlineLevel="0" collapsed="false">
      <c r="A5164" s="0" t="n">
        <v>2</v>
      </c>
      <c r="B5164" s="71" t="n">
        <v>46235</v>
      </c>
      <c r="C5164" s="0" t="n">
        <v>11</v>
      </c>
      <c r="D5164" s="0" t="s">
        <v>2471</v>
      </c>
      <c r="E5164" s="0" t="n">
        <v>1749</v>
      </c>
      <c r="F5164" s="0" t="s">
        <v>585</v>
      </c>
      <c r="I5164" s="0" t="n">
        <v>3040</v>
      </c>
      <c r="J5164" s="0" t="n">
        <v>81365</v>
      </c>
      <c r="K5164" s="0" t="n">
        <v>7898361830106</v>
      </c>
      <c r="L5164" s="0" t="s">
        <v>3307</v>
      </c>
      <c r="N5164" s="0" t="n">
        <v>125</v>
      </c>
      <c r="O5164" s="0" t="n">
        <v>505</v>
      </c>
      <c r="P5164" s="0" t="s">
        <v>2444</v>
      </c>
    </row>
    <row r="5165" customFormat="false" ht="15" hidden="false" customHeight="true" outlineLevel="0" collapsed="false">
      <c r="A5165" s="0" t="n">
        <v>2</v>
      </c>
      <c r="B5165" s="71" t="n">
        <v>46235</v>
      </c>
      <c r="C5165" s="0" t="n">
        <v>11</v>
      </c>
      <c r="D5165" s="0" t="s">
        <v>2471</v>
      </c>
      <c r="E5165" s="0" t="n">
        <v>1723</v>
      </c>
      <c r="F5165" s="0" t="s">
        <v>371</v>
      </c>
      <c r="I5165" s="0" t="n">
        <v>174094</v>
      </c>
      <c r="J5165" s="0" t="n">
        <v>29080</v>
      </c>
      <c r="K5165" s="0" t="n">
        <v>55516</v>
      </c>
      <c r="L5165" s="0" t="s">
        <v>2450</v>
      </c>
      <c r="N5165" s="0" t="n">
        <v>61.35</v>
      </c>
      <c r="O5165" s="0" t="n">
        <v>1349.7</v>
      </c>
      <c r="P5165" s="0" t="s">
        <v>2444</v>
      </c>
    </row>
    <row r="5166" customFormat="false" ht="15" hidden="false" customHeight="true" outlineLevel="0" collapsed="false">
      <c r="A5166" s="0" t="n">
        <v>2</v>
      </c>
      <c r="B5166" s="71" t="n">
        <v>46235</v>
      </c>
      <c r="C5166" s="0" t="n">
        <v>22</v>
      </c>
      <c r="D5166" s="0" t="s">
        <v>2479</v>
      </c>
      <c r="E5166" s="0" t="n">
        <v>48</v>
      </c>
      <c r="F5166" s="0" t="s">
        <v>153</v>
      </c>
      <c r="I5166" s="0" t="n">
        <v>2580</v>
      </c>
      <c r="J5166" s="0" t="n">
        <v>100000</v>
      </c>
      <c r="K5166" s="0" t="n">
        <v>1</v>
      </c>
      <c r="L5166" s="0" t="s">
        <v>2480</v>
      </c>
      <c r="N5166" s="0" t="n">
        <v>2.864</v>
      </c>
      <c r="O5166" s="0" t="n">
        <v>52.5</v>
      </c>
      <c r="P5166" s="0" t="s">
        <v>2444</v>
      </c>
    </row>
    <row r="5167" customFormat="false" ht="15" hidden="false" customHeight="true" outlineLevel="0" collapsed="false">
      <c r="A5167" s="0" t="n">
        <v>2</v>
      </c>
      <c r="B5167" s="71" t="n">
        <v>46235</v>
      </c>
      <c r="C5167" s="0" t="n">
        <v>22</v>
      </c>
      <c r="D5167" s="0" t="s">
        <v>2479</v>
      </c>
      <c r="E5167" s="0" t="n">
        <v>48</v>
      </c>
      <c r="F5167" s="0" t="s">
        <v>153</v>
      </c>
      <c r="I5167" s="0" t="n">
        <v>2580</v>
      </c>
      <c r="J5167" s="0" t="n">
        <v>100001</v>
      </c>
      <c r="K5167" s="0" t="n">
        <v>2</v>
      </c>
      <c r="L5167" s="0" t="s">
        <v>2481</v>
      </c>
      <c r="N5167" s="0" t="n">
        <v>8.045</v>
      </c>
      <c r="O5167" s="0" t="n">
        <v>159.76</v>
      </c>
      <c r="P5167" s="0" t="s">
        <v>2444</v>
      </c>
    </row>
    <row r="5168" customFormat="false" ht="15" hidden="false" customHeight="true" outlineLevel="0" collapsed="false">
      <c r="A5168" s="0" t="n">
        <v>2</v>
      </c>
      <c r="B5168" s="71" t="n">
        <v>46235</v>
      </c>
      <c r="C5168" s="0" t="n">
        <v>22</v>
      </c>
      <c r="D5168" s="0" t="s">
        <v>2479</v>
      </c>
      <c r="E5168" s="0" t="n">
        <v>48</v>
      </c>
      <c r="F5168" s="0" t="s">
        <v>153</v>
      </c>
      <c r="I5168" s="0" t="n">
        <v>2580</v>
      </c>
      <c r="J5168" s="0" t="n">
        <v>100002</v>
      </c>
      <c r="K5168" s="0" t="n">
        <v>3</v>
      </c>
      <c r="L5168" s="0" t="s">
        <v>2482</v>
      </c>
      <c r="N5168" s="0" t="n">
        <v>19.54</v>
      </c>
      <c r="O5168" s="0" t="n">
        <v>447.75</v>
      </c>
      <c r="P5168" s="0" t="s">
        <v>2444</v>
      </c>
    </row>
    <row r="5169" customFormat="false" ht="15" hidden="false" customHeight="true" outlineLevel="0" collapsed="false">
      <c r="A5169" s="0" t="n">
        <v>2</v>
      </c>
      <c r="B5169" s="71" t="n">
        <v>46235</v>
      </c>
      <c r="C5169" s="0" t="n">
        <v>22</v>
      </c>
      <c r="D5169" s="0" t="s">
        <v>2479</v>
      </c>
      <c r="E5169" s="0" t="n">
        <v>48</v>
      </c>
      <c r="F5169" s="0" t="s">
        <v>153</v>
      </c>
      <c r="I5169" s="0" t="n">
        <v>2580</v>
      </c>
      <c r="J5169" s="0" t="n">
        <v>100003</v>
      </c>
      <c r="K5169" s="0" t="n">
        <v>4</v>
      </c>
      <c r="L5169" s="0" t="s">
        <v>2483</v>
      </c>
      <c r="N5169" s="0" t="n">
        <v>13.595</v>
      </c>
      <c r="O5169" s="0" t="n">
        <v>332.3</v>
      </c>
      <c r="P5169" s="0" t="s">
        <v>2444</v>
      </c>
    </row>
    <row r="5170" customFormat="false" ht="15" hidden="false" customHeight="true" outlineLevel="0" collapsed="false">
      <c r="A5170" s="0" t="n">
        <v>2</v>
      </c>
      <c r="B5170" s="71" t="n">
        <v>46235</v>
      </c>
      <c r="C5170" s="0" t="n">
        <v>22</v>
      </c>
      <c r="D5170" s="0" t="s">
        <v>2479</v>
      </c>
      <c r="E5170" s="0" t="n">
        <v>48</v>
      </c>
      <c r="F5170" s="0" t="s">
        <v>153</v>
      </c>
      <c r="I5170" s="0" t="n">
        <v>2580</v>
      </c>
      <c r="J5170" s="0" t="n">
        <v>100004</v>
      </c>
      <c r="K5170" s="0" t="n">
        <v>5</v>
      </c>
      <c r="L5170" s="0" t="s">
        <v>2484</v>
      </c>
      <c r="N5170" s="0" t="n">
        <v>1.254</v>
      </c>
      <c r="O5170" s="0" t="n">
        <v>26.82</v>
      </c>
      <c r="P5170" s="0" t="s">
        <v>2444</v>
      </c>
    </row>
    <row r="5171" customFormat="false" ht="15" hidden="false" customHeight="true" outlineLevel="0" collapsed="false">
      <c r="A5171" s="0" t="n">
        <v>2</v>
      </c>
      <c r="B5171" s="71" t="n">
        <v>46235</v>
      </c>
      <c r="C5171" s="0" t="n">
        <v>22</v>
      </c>
      <c r="D5171" s="0" t="s">
        <v>2479</v>
      </c>
      <c r="E5171" s="0" t="n">
        <v>48</v>
      </c>
      <c r="F5171" s="0" t="s">
        <v>153</v>
      </c>
      <c r="I5171" s="0" t="n">
        <v>2580</v>
      </c>
      <c r="J5171" s="0" t="n">
        <v>100005</v>
      </c>
      <c r="K5171" s="0" t="n">
        <v>6</v>
      </c>
      <c r="L5171" s="0" t="s">
        <v>2582</v>
      </c>
      <c r="N5171" s="0" t="n">
        <v>6.08</v>
      </c>
      <c r="O5171" s="0" t="n">
        <v>139.32</v>
      </c>
      <c r="P5171" s="0" t="s">
        <v>2444</v>
      </c>
    </row>
    <row r="5172" customFormat="false" ht="15" hidden="false" customHeight="true" outlineLevel="0" collapsed="false">
      <c r="A5172" s="0" t="n">
        <v>2</v>
      </c>
      <c r="B5172" s="71" t="n">
        <v>46235</v>
      </c>
      <c r="C5172" s="0" t="n">
        <v>22</v>
      </c>
      <c r="D5172" s="0" t="s">
        <v>2479</v>
      </c>
      <c r="E5172" s="0" t="n">
        <v>48</v>
      </c>
      <c r="F5172" s="0" t="s">
        <v>153</v>
      </c>
      <c r="I5172" s="0" t="n">
        <v>2580</v>
      </c>
      <c r="J5172" s="0" t="n">
        <v>100007</v>
      </c>
      <c r="K5172" s="0" t="n">
        <v>8</v>
      </c>
      <c r="L5172" s="0" t="s">
        <v>2486</v>
      </c>
      <c r="N5172" s="0" t="n">
        <v>3</v>
      </c>
      <c r="O5172" s="0" t="n">
        <v>68.74</v>
      </c>
      <c r="P5172" s="0" t="s">
        <v>2444</v>
      </c>
    </row>
    <row r="5173" customFormat="false" ht="15" hidden="false" customHeight="true" outlineLevel="0" collapsed="false">
      <c r="A5173" s="0" t="n">
        <v>2</v>
      </c>
      <c r="B5173" s="71" t="n">
        <v>46235</v>
      </c>
      <c r="C5173" s="0" t="n">
        <v>22</v>
      </c>
      <c r="D5173" s="0" t="s">
        <v>2479</v>
      </c>
      <c r="E5173" s="0" t="n">
        <v>48</v>
      </c>
      <c r="F5173" s="0" t="s">
        <v>153</v>
      </c>
      <c r="I5173" s="0" t="n">
        <v>2580</v>
      </c>
      <c r="J5173" s="0" t="n">
        <v>100019</v>
      </c>
      <c r="K5173" s="0" t="n">
        <v>20</v>
      </c>
      <c r="L5173" s="0" t="s">
        <v>3779</v>
      </c>
      <c r="N5173" s="0" t="n">
        <v>3.446</v>
      </c>
      <c r="O5173" s="0" t="n">
        <v>110.56</v>
      </c>
      <c r="P5173" s="0" t="s">
        <v>2444</v>
      </c>
    </row>
    <row r="5174" customFormat="false" ht="15" hidden="false" customHeight="true" outlineLevel="0" collapsed="false">
      <c r="A5174" s="0" t="n">
        <v>2</v>
      </c>
      <c r="B5174" s="71" t="n">
        <v>46235</v>
      </c>
      <c r="C5174" s="0" t="n">
        <v>22</v>
      </c>
      <c r="D5174" s="0" t="s">
        <v>2479</v>
      </c>
      <c r="E5174" s="0" t="n">
        <v>48</v>
      </c>
      <c r="F5174" s="0" t="s">
        <v>153</v>
      </c>
      <c r="I5174" s="0" t="n">
        <v>2580</v>
      </c>
      <c r="J5174" s="0" t="n">
        <v>100638</v>
      </c>
      <c r="K5174" s="0" t="n">
        <v>508</v>
      </c>
      <c r="L5174" s="0" t="s">
        <v>2496</v>
      </c>
      <c r="N5174" s="0" t="n">
        <v>0.704</v>
      </c>
      <c r="O5174" s="0" t="n">
        <v>1.61</v>
      </c>
      <c r="P5174" s="0" t="s">
        <v>2444</v>
      </c>
    </row>
    <row r="5175" customFormat="false" ht="15" hidden="false" customHeight="true" outlineLevel="0" collapsed="false">
      <c r="A5175" s="0" t="n">
        <v>2</v>
      </c>
      <c r="B5175" s="71" t="n">
        <v>46235</v>
      </c>
      <c r="C5175" s="0" t="n">
        <v>22</v>
      </c>
      <c r="D5175" s="0" t="s">
        <v>2479</v>
      </c>
      <c r="E5175" s="0" t="n">
        <v>48</v>
      </c>
      <c r="F5175" s="0" t="s">
        <v>153</v>
      </c>
      <c r="I5175" s="0" t="n">
        <v>2580</v>
      </c>
      <c r="J5175" s="0" t="n">
        <v>110137</v>
      </c>
      <c r="K5175" s="0" t="n">
        <v>13899</v>
      </c>
      <c r="L5175" s="0" t="s">
        <v>3780</v>
      </c>
      <c r="N5175" s="0" t="n">
        <v>2.712</v>
      </c>
      <c r="O5175" s="0" t="n">
        <v>10.34</v>
      </c>
      <c r="P5175" s="0" t="s">
        <v>2444</v>
      </c>
    </row>
    <row r="5176" customFormat="false" ht="15" hidden="false" customHeight="true" outlineLevel="0" collapsed="false">
      <c r="A5176" s="0" t="n">
        <v>2</v>
      </c>
      <c r="B5176" s="71" t="n">
        <v>46235</v>
      </c>
      <c r="C5176" s="0" t="n">
        <v>22</v>
      </c>
      <c r="D5176" s="0" t="s">
        <v>2479</v>
      </c>
      <c r="E5176" s="0" t="n">
        <v>48</v>
      </c>
      <c r="F5176" s="0" t="s">
        <v>153</v>
      </c>
      <c r="I5176" s="0" t="n">
        <v>2580</v>
      </c>
      <c r="J5176" s="0" t="n">
        <v>110455</v>
      </c>
      <c r="K5176" s="0" t="n">
        <v>53212</v>
      </c>
      <c r="L5176" s="0" t="s">
        <v>2498</v>
      </c>
      <c r="N5176" s="0" t="n">
        <v>0.11</v>
      </c>
      <c r="O5176" s="0" t="n">
        <v>0</v>
      </c>
      <c r="P5176" s="0" t="s">
        <v>2444</v>
      </c>
    </row>
    <row r="5177" customFormat="false" ht="15" hidden="false" customHeight="true" outlineLevel="0" collapsed="false">
      <c r="A5177" s="0" t="n">
        <v>2</v>
      </c>
      <c r="B5177" s="71" t="n">
        <v>46235</v>
      </c>
      <c r="C5177" s="0" t="n">
        <v>100</v>
      </c>
      <c r="D5177" s="0" t="s">
        <v>2499</v>
      </c>
      <c r="E5177" s="0" t="n">
        <v>48</v>
      </c>
      <c r="F5177" s="0" t="s">
        <v>153</v>
      </c>
      <c r="I5177" s="0" t="n">
        <v>1481948</v>
      </c>
      <c r="J5177" s="0" t="n">
        <v>100000</v>
      </c>
      <c r="K5177" s="0" t="n">
        <v>1</v>
      </c>
      <c r="L5177" s="0" t="s">
        <v>2480</v>
      </c>
      <c r="N5177" s="0" t="n">
        <v>2.864</v>
      </c>
      <c r="O5177" s="0" t="n">
        <v>52.5</v>
      </c>
      <c r="P5177" s="0" t="s">
        <v>2444</v>
      </c>
    </row>
    <row r="5178" customFormat="false" ht="15" hidden="false" customHeight="true" outlineLevel="0" collapsed="false">
      <c r="A5178" s="0" t="n">
        <v>2</v>
      </c>
      <c r="B5178" s="71" t="n">
        <v>46235</v>
      </c>
      <c r="C5178" s="0" t="n">
        <v>100</v>
      </c>
      <c r="D5178" s="0" t="s">
        <v>2499</v>
      </c>
      <c r="E5178" s="0" t="n">
        <v>48</v>
      </c>
      <c r="F5178" s="0" t="s">
        <v>153</v>
      </c>
      <c r="I5178" s="0" t="n">
        <v>1481948</v>
      </c>
      <c r="J5178" s="0" t="n">
        <v>100001</v>
      </c>
      <c r="K5178" s="0" t="n">
        <v>2</v>
      </c>
      <c r="L5178" s="0" t="s">
        <v>2481</v>
      </c>
      <c r="N5178" s="0" t="n">
        <v>8.045</v>
      </c>
      <c r="O5178" s="0" t="n">
        <v>159.76</v>
      </c>
      <c r="P5178" s="0" t="s">
        <v>2444</v>
      </c>
    </row>
    <row r="5179" customFormat="false" ht="15" hidden="false" customHeight="true" outlineLevel="0" collapsed="false">
      <c r="A5179" s="0" t="n">
        <v>2</v>
      </c>
      <c r="B5179" s="71" t="n">
        <v>46235</v>
      </c>
      <c r="C5179" s="0" t="n">
        <v>100</v>
      </c>
      <c r="D5179" s="0" t="s">
        <v>2499</v>
      </c>
      <c r="E5179" s="0" t="n">
        <v>48</v>
      </c>
      <c r="F5179" s="0" t="s">
        <v>153</v>
      </c>
      <c r="I5179" s="0" t="n">
        <v>1481948</v>
      </c>
      <c r="J5179" s="0" t="n">
        <v>100002</v>
      </c>
      <c r="K5179" s="0" t="n">
        <v>3</v>
      </c>
      <c r="L5179" s="0" t="s">
        <v>2482</v>
      </c>
      <c r="N5179" s="0" t="n">
        <v>19.54</v>
      </c>
      <c r="O5179" s="0" t="n">
        <v>447.75</v>
      </c>
      <c r="P5179" s="0" t="s">
        <v>2444</v>
      </c>
    </row>
    <row r="5180" customFormat="false" ht="15" hidden="false" customHeight="true" outlineLevel="0" collapsed="false">
      <c r="A5180" s="0" t="n">
        <v>2</v>
      </c>
      <c r="B5180" s="71" t="n">
        <v>46235</v>
      </c>
      <c r="C5180" s="0" t="n">
        <v>100</v>
      </c>
      <c r="D5180" s="0" t="s">
        <v>2499</v>
      </c>
      <c r="E5180" s="0" t="n">
        <v>48</v>
      </c>
      <c r="F5180" s="0" t="s">
        <v>153</v>
      </c>
      <c r="I5180" s="0" t="n">
        <v>1481948</v>
      </c>
      <c r="J5180" s="0" t="n">
        <v>100003</v>
      </c>
      <c r="K5180" s="0" t="n">
        <v>4</v>
      </c>
      <c r="L5180" s="0" t="s">
        <v>2483</v>
      </c>
      <c r="N5180" s="0" t="n">
        <v>13.595</v>
      </c>
      <c r="O5180" s="0" t="n">
        <v>332.3</v>
      </c>
      <c r="P5180" s="0" t="s">
        <v>2444</v>
      </c>
    </row>
    <row r="5181" customFormat="false" ht="15" hidden="false" customHeight="true" outlineLevel="0" collapsed="false">
      <c r="A5181" s="0" t="n">
        <v>2</v>
      </c>
      <c r="B5181" s="71" t="n">
        <v>46235</v>
      </c>
      <c r="C5181" s="0" t="n">
        <v>100</v>
      </c>
      <c r="D5181" s="0" t="s">
        <v>2499</v>
      </c>
      <c r="E5181" s="0" t="n">
        <v>48</v>
      </c>
      <c r="F5181" s="0" t="s">
        <v>153</v>
      </c>
      <c r="I5181" s="0" t="n">
        <v>1481948</v>
      </c>
      <c r="J5181" s="0" t="n">
        <v>100004</v>
      </c>
      <c r="K5181" s="0" t="n">
        <v>5</v>
      </c>
      <c r="L5181" s="0" t="s">
        <v>2484</v>
      </c>
      <c r="N5181" s="0" t="n">
        <v>1.254</v>
      </c>
      <c r="O5181" s="0" t="n">
        <v>26.82</v>
      </c>
      <c r="P5181" s="0" t="s">
        <v>2444</v>
      </c>
    </row>
    <row r="5182" customFormat="false" ht="15" hidden="false" customHeight="true" outlineLevel="0" collapsed="false">
      <c r="A5182" s="0" t="n">
        <v>2</v>
      </c>
      <c r="B5182" s="71" t="n">
        <v>46235</v>
      </c>
      <c r="C5182" s="0" t="n">
        <v>100</v>
      </c>
      <c r="D5182" s="0" t="s">
        <v>2499</v>
      </c>
      <c r="E5182" s="0" t="n">
        <v>48</v>
      </c>
      <c r="F5182" s="0" t="s">
        <v>153</v>
      </c>
      <c r="I5182" s="0" t="n">
        <v>1481948</v>
      </c>
      <c r="J5182" s="0" t="n">
        <v>100005</v>
      </c>
      <c r="K5182" s="0" t="n">
        <v>6</v>
      </c>
      <c r="L5182" s="0" t="s">
        <v>2582</v>
      </c>
      <c r="N5182" s="0" t="n">
        <v>6.08</v>
      </c>
      <c r="O5182" s="0" t="n">
        <v>139.32</v>
      </c>
      <c r="P5182" s="0" t="s">
        <v>2444</v>
      </c>
    </row>
    <row r="5183" customFormat="false" ht="15" hidden="false" customHeight="true" outlineLevel="0" collapsed="false">
      <c r="A5183" s="0" t="n">
        <v>2</v>
      </c>
      <c r="B5183" s="71" t="n">
        <v>46235</v>
      </c>
      <c r="C5183" s="0" t="n">
        <v>100</v>
      </c>
      <c r="D5183" s="0" t="s">
        <v>2499</v>
      </c>
      <c r="E5183" s="0" t="n">
        <v>48</v>
      </c>
      <c r="F5183" s="0" t="s">
        <v>153</v>
      </c>
      <c r="I5183" s="0" t="n">
        <v>1481948</v>
      </c>
      <c r="J5183" s="0" t="n">
        <v>100007</v>
      </c>
      <c r="K5183" s="0" t="n">
        <v>8</v>
      </c>
      <c r="L5183" s="0" t="s">
        <v>2486</v>
      </c>
      <c r="N5183" s="0" t="n">
        <v>3</v>
      </c>
      <c r="O5183" s="0" t="n">
        <v>68.74</v>
      </c>
      <c r="P5183" s="0" t="s">
        <v>2444</v>
      </c>
    </row>
    <row r="5184" customFormat="false" ht="15" hidden="false" customHeight="true" outlineLevel="0" collapsed="false">
      <c r="A5184" s="0" t="n">
        <v>2</v>
      </c>
      <c r="B5184" s="71" t="n">
        <v>46235</v>
      </c>
      <c r="C5184" s="0" t="n">
        <v>100</v>
      </c>
      <c r="D5184" s="0" t="s">
        <v>2499</v>
      </c>
      <c r="E5184" s="0" t="n">
        <v>48</v>
      </c>
      <c r="F5184" s="0" t="s">
        <v>153</v>
      </c>
      <c r="I5184" s="0" t="n">
        <v>1481948</v>
      </c>
      <c r="J5184" s="0" t="n">
        <v>100019</v>
      </c>
      <c r="K5184" s="0" t="n">
        <v>20</v>
      </c>
      <c r="L5184" s="0" t="s">
        <v>3779</v>
      </c>
      <c r="N5184" s="0" t="n">
        <v>3.446</v>
      </c>
      <c r="O5184" s="0" t="n">
        <v>110.56</v>
      </c>
      <c r="P5184" s="0" t="s">
        <v>2444</v>
      </c>
    </row>
    <row r="5185" customFormat="false" ht="15" hidden="false" customHeight="true" outlineLevel="0" collapsed="false">
      <c r="A5185" s="0" t="n">
        <v>2</v>
      </c>
      <c r="B5185" s="71" t="n">
        <v>46235</v>
      </c>
      <c r="C5185" s="0" t="n">
        <v>100</v>
      </c>
      <c r="D5185" s="0" t="s">
        <v>2499</v>
      </c>
      <c r="E5185" s="0" t="n">
        <v>48</v>
      </c>
      <c r="F5185" s="0" t="s">
        <v>153</v>
      </c>
      <c r="I5185" s="0" t="n">
        <v>1481948</v>
      </c>
      <c r="J5185" s="0" t="n">
        <v>100638</v>
      </c>
      <c r="K5185" s="0" t="n">
        <v>508</v>
      </c>
      <c r="L5185" s="0" t="s">
        <v>2496</v>
      </c>
      <c r="N5185" s="0" t="n">
        <v>0.704</v>
      </c>
      <c r="O5185" s="0" t="n">
        <v>1.61</v>
      </c>
      <c r="P5185" s="0" t="s">
        <v>2444</v>
      </c>
    </row>
    <row r="5186" customFormat="false" ht="15" hidden="false" customHeight="true" outlineLevel="0" collapsed="false">
      <c r="A5186" s="0" t="n">
        <v>2</v>
      </c>
      <c r="B5186" s="71" t="n">
        <v>46235</v>
      </c>
      <c r="C5186" s="0" t="n">
        <v>100</v>
      </c>
      <c r="D5186" s="0" t="s">
        <v>2499</v>
      </c>
      <c r="E5186" s="0" t="n">
        <v>48</v>
      </c>
      <c r="F5186" s="0" t="s">
        <v>153</v>
      </c>
      <c r="I5186" s="0" t="n">
        <v>1481948</v>
      </c>
      <c r="J5186" s="0" t="n">
        <v>110137</v>
      </c>
      <c r="K5186" s="0" t="n">
        <v>13899</v>
      </c>
      <c r="L5186" s="0" t="s">
        <v>3780</v>
      </c>
      <c r="N5186" s="0" t="n">
        <v>2.712</v>
      </c>
      <c r="O5186" s="0" t="n">
        <v>10.34</v>
      </c>
      <c r="P5186" s="0" t="s">
        <v>2444</v>
      </c>
    </row>
    <row r="5187" customFormat="false" ht="15" hidden="false" customHeight="true" outlineLevel="0" collapsed="false">
      <c r="A5187" s="0" t="n">
        <v>2</v>
      </c>
      <c r="B5187" s="71" t="n">
        <v>46235</v>
      </c>
      <c r="C5187" s="0" t="n">
        <v>100</v>
      </c>
      <c r="D5187" s="0" t="s">
        <v>2499</v>
      </c>
      <c r="E5187" s="0" t="n">
        <v>48</v>
      </c>
      <c r="F5187" s="0" t="s">
        <v>153</v>
      </c>
      <c r="I5187" s="0" t="n">
        <v>1481948</v>
      </c>
      <c r="J5187" s="0" t="n">
        <v>110455</v>
      </c>
      <c r="K5187" s="0" t="n">
        <v>53212</v>
      </c>
      <c r="L5187" s="0" t="s">
        <v>2498</v>
      </c>
      <c r="N5187" s="0" t="n">
        <v>0.11</v>
      </c>
      <c r="O5187" s="0" t="n">
        <v>0</v>
      </c>
      <c r="P5187" s="0" t="s">
        <v>2444</v>
      </c>
    </row>
    <row r="5188" customFormat="false" ht="15" hidden="false" customHeight="true" outlineLevel="0" collapsed="false">
      <c r="A5188" s="0" t="n">
        <v>2</v>
      </c>
      <c r="B5188" s="71" t="n">
        <v>46237</v>
      </c>
      <c r="C5188" s="0" t="n">
        <v>6</v>
      </c>
      <c r="D5188" s="0" t="s">
        <v>2553</v>
      </c>
      <c r="E5188" s="0" t="n">
        <v>48</v>
      </c>
      <c r="F5188" s="0" t="s">
        <v>153</v>
      </c>
      <c r="I5188" s="0" t="n">
        <v>2581</v>
      </c>
      <c r="J5188" s="0" t="n">
        <v>42564</v>
      </c>
      <c r="K5188" s="0" t="n">
        <v>574</v>
      </c>
      <c r="L5188" s="0" t="s">
        <v>2534</v>
      </c>
      <c r="N5188" s="0" t="n">
        <v>20</v>
      </c>
      <c r="O5188" s="0" t="n">
        <v>280</v>
      </c>
      <c r="P5188" s="0" t="s">
        <v>2444</v>
      </c>
    </row>
    <row r="5189" customFormat="false" ht="15" hidden="false" customHeight="true" outlineLevel="0" collapsed="false">
      <c r="A5189" s="0" t="n">
        <v>2</v>
      </c>
      <c r="B5189" s="71" t="n">
        <v>46237</v>
      </c>
      <c r="C5189" s="0" t="n">
        <v>6</v>
      </c>
      <c r="D5189" s="0" t="s">
        <v>2553</v>
      </c>
      <c r="E5189" s="0" t="n">
        <v>48</v>
      </c>
      <c r="F5189" s="0" t="s">
        <v>153</v>
      </c>
      <c r="I5189" s="0" t="n">
        <v>2582</v>
      </c>
      <c r="J5189" s="0" t="n">
        <v>42564</v>
      </c>
      <c r="K5189" s="0" t="n">
        <v>574</v>
      </c>
      <c r="L5189" s="0" t="s">
        <v>2534</v>
      </c>
      <c r="N5189" s="0" t="n">
        <v>15</v>
      </c>
      <c r="O5189" s="0" t="n">
        <v>210</v>
      </c>
      <c r="P5189" s="0" t="s">
        <v>2444</v>
      </c>
    </row>
    <row r="5190" customFormat="false" ht="15" hidden="false" customHeight="true" outlineLevel="0" collapsed="false">
      <c r="A5190" s="0" t="n">
        <v>2</v>
      </c>
      <c r="B5190" s="71" t="n">
        <v>46237</v>
      </c>
      <c r="C5190" s="0" t="n">
        <v>11</v>
      </c>
      <c r="D5190" s="0" t="s">
        <v>2471</v>
      </c>
      <c r="E5190" s="0" t="n">
        <v>1695</v>
      </c>
      <c r="F5190" s="0" t="s">
        <v>390</v>
      </c>
      <c r="I5190" s="0" t="n">
        <v>19579</v>
      </c>
      <c r="J5190" s="0" t="n">
        <v>100045</v>
      </c>
      <c r="K5190" s="0" t="n">
        <v>46</v>
      </c>
      <c r="L5190" s="0" t="s">
        <v>2625</v>
      </c>
      <c r="N5190" s="0" t="n">
        <v>40</v>
      </c>
      <c r="O5190" s="0" t="n">
        <v>483.84</v>
      </c>
      <c r="P5190" s="0" t="s">
        <v>2444</v>
      </c>
    </row>
    <row r="5191" customFormat="false" ht="15" hidden="false" customHeight="true" outlineLevel="0" collapsed="false">
      <c r="A5191" s="0" t="n">
        <v>2</v>
      </c>
      <c r="B5191" s="71" t="n">
        <v>46237</v>
      </c>
      <c r="C5191" s="0" t="n">
        <v>11</v>
      </c>
      <c r="D5191" s="0" t="s">
        <v>2471</v>
      </c>
      <c r="E5191" s="0" t="n">
        <v>1695</v>
      </c>
      <c r="F5191" s="0" t="s">
        <v>390</v>
      </c>
      <c r="I5191" s="0" t="n">
        <v>19579</v>
      </c>
      <c r="J5191" s="0" t="n">
        <v>101859</v>
      </c>
      <c r="K5191" s="0" t="n">
        <v>7896224807098</v>
      </c>
      <c r="L5191" s="0" t="s">
        <v>4663</v>
      </c>
      <c r="N5191" s="0" t="n">
        <v>40</v>
      </c>
      <c r="O5191" s="0" t="n">
        <v>536</v>
      </c>
      <c r="P5191" s="0" t="s">
        <v>2444</v>
      </c>
    </row>
    <row r="5192" customFormat="false" ht="15" hidden="false" customHeight="true" outlineLevel="0" collapsed="false">
      <c r="A5192" s="0" t="n">
        <v>2</v>
      </c>
      <c r="B5192" s="71" t="n">
        <v>46237</v>
      </c>
      <c r="C5192" s="0" t="n">
        <v>11</v>
      </c>
      <c r="D5192" s="0" t="s">
        <v>2471</v>
      </c>
      <c r="E5192" s="0" t="n">
        <v>1695</v>
      </c>
      <c r="F5192" s="0" t="s">
        <v>390</v>
      </c>
      <c r="I5192" s="0" t="n">
        <v>19579</v>
      </c>
      <c r="J5192" s="0" t="n">
        <v>101860</v>
      </c>
      <c r="K5192" s="0" t="n">
        <v>7896224803069</v>
      </c>
      <c r="L5192" s="0" t="s">
        <v>2768</v>
      </c>
      <c r="N5192" s="0" t="n">
        <v>50</v>
      </c>
      <c r="O5192" s="0" t="n">
        <v>292.5</v>
      </c>
      <c r="P5192" s="0" t="s">
        <v>2444</v>
      </c>
    </row>
    <row r="5193" customFormat="false" ht="15" hidden="false" customHeight="true" outlineLevel="0" collapsed="false">
      <c r="A5193" s="0" t="n">
        <v>2</v>
      </c>
      <c r="B5193" s="71" t="n">
        <v>46237</v>
      </c>
      <c r="C5193" s="0" t="n">
        <v>11</v>
      </c>
      <c r="D5193" s="0" t="s">
        <v>2471</v>
      </c>
      <c r="E5193" s="0" t="n">
        <v>1695</v>
      </c>
      <c r="F5193" s="0" t="s">
        <v>390</v>
      </c>
      <c r="I5193" s="0" t="n">
        <v>19579</v>
      </c>
      <c r="J5193" s="0" t="n">
        <v>101877</v>
      </c>
      <c r="K5193" s="0" t="n">
        <v>7896224813082</v>
      </c>
      <c r="L5193" s="0" t="s">
        <v>2768</v>
      </c>
      <c r="N5193" s="0" t="n">
        <v>40</v>
      </c>
      <c r="O5193" s="0" t="n">
        <v>564</v>
      </c>
      <c r="P5193" s="0" t="s">
        <v>2444</v>
      </c>
    </row>
    <row r="5194" customFormat="false" ht="15" hidden="false" customHeight="true" outlineLevel="0" collapsed="false">
      <c r="A5194" s="0" t="n">
        <v>2</v>
      </c>
      <c r="B5194" s="71" t="n">
        <v>46237</v>
      </c>
      <c r="C5194" s="0" t="n">
        <v>11</v>
      </c>
      <c r="D5194" s="0" t="s">
        <v>2471</v>
      </c>
      <c r="E5194" s="0" t="n">
        <v>1695</v>
      </c>
      <c r="F5194" s="0" t="s">
        <v>390</v>
      </c>
      <c r="I5194" s="0" t="n">
        <v>19579</v>
      </c>
      <c r="J5194" s="0" t="n">
        <v>101908</v>
      </c>
      <c r="K5194" s="0" t="n">
        <v>7896224808101</v>
      </c>
      <c r="L5194" s="0" t="s">
        <v>3320</v>
      </c>
      <c r="N5194" s="0" t="n">
        <v>50</v>
      </c>
      <c r="O5194" s="0" t="n">
        <v>287.5</v>
      </c>
      <c r="P5194" s="0" t="s">
        <v>2444</v>
      </c>
    </row>
    <row r="5195" customFormat="false" ht="15" hidden="false" customHeight="true" outlineLevel="0" collapsed="false">
      <c r="A5195" s="0" t="n">
        <v>2</v>
      </c>
      <c r="B5195" s="71" t="n">
        <v>46237</v>
      </c>
      <c r="C5195" s="0" t="n">
        <v>11</v>
      </c>
      <c r="D5195" s="0" t="s">
        <v>2471</v>
      </c>
      <c r="E5195" s="0" t="n">
        <v>1695</v>
      </c>
      <c r="F5195" s="0" t="s">
        <v>390</v>
      </c>
      <c r="I5195" s="0" t="n">
        <v>19579</v>
      </c>
      <c r="J5195" s="0" t="n">
        <v>103896</v>
      </c>
      <c r="K5195" s="0" t="n">
        <v>7896051130116</v>
      </c>
      <c r="L5195" s="0" t="s">
        <v>4664</v>
      </c>
      <c r="N5195" s="0" t="n">
        <v>50</v>
      </c>
      <c r="O5195" s="0" t="n">
        <v>680</v>
      </c>
      <c r="P5195" s="0" t="s">
        <v>2444</v>
      </c>
    </row>
    <row r="5196" customFormat="false" ht="15" hidden="false" customHeight="true" outlineLevel="0" collapsed="false">
      <c r="A5196" s="0" t="n">
        <v>2</v>
      </c>
      <c r="B5196" s="71" t="n">
        <v>46237</v>
      </c>
      <c r="C5196" s="0" t="n">
        <v>11</v>
      </c>
      <c r="D5196" s="0" t="s">
        <v>2471</v>
      </c>
      <c r="E5196" s="0" t="n">
        <v>1695</v>
      </c>
      <c r="F5196" s="0" t="s">
        <v>390</v>
      </c>
      <c r="I5196" s="0" t="n">
        <v>19579</v>
      </c>
      <c r="J5196" s="0" t="n">
        <v>104907</v>
      </c>
      <c r="K5196" s="0" t="n">
        <v>7898910758011</v>
      </c>
      <c r="L5196" s="0" t="s">
        <v>4665</v>
      </c>
      <c r="N5196" s="0" t="n">
        <v>120</v>
      </c>
      <c r="O5196" s="0" t="n">
        <v>229.2</v>
      </c>
      <c r="P5196" s="0" t="s">
        <v>2444</v>
      </c>
    </row>
    <row r="5197" customFormat="false" ht="15" hidden="false" customHeight="true" outlineLevel="0" collapsed="false">
      <c r="A5197" s="0" t="n">
        <v>2</v>
      </c>
      <c r="B5197" s="71" t="n">
        <v>46237</v>
      </c>
      <c r="C5197" s="0" t="n">
        <v>11</v>
      </c>
      <c r="D5197" s="0" t="s">
        <v>2471</v>
      </c>
      <c r="E5197" s="0" t="n">
        <v>1695</v>
      </c>
      <c r="F5197" s="0" t="s">
        <v>390</v>
      </c>
      <c r="I5197" s="0" t="n">
        <v>19579</v>
      </c>
      <c r="J5197" s="0" t="n">
        <v>14874</v>
      </c>
      <c r="K5197" s="0" t="n">
        <v>7896036095102</v>
      </c>
      <c r="L5197" s="0" t="s">
        <v>3279</v>
      </c>
      <c r="N5197" s="0" t="n">
        <v>12</v>
      </c>
      <c r="O5197" s="0" t="n">
        <v>53.88</v>
      </c>
      <c r="P5197" s="0" t="s">
        <v>2444</v>
      </c>
    </row>
    <row r="5198" customFormat="false" ht="15" hidden="false" customHeight="true" outlineLevel="0" collapsed="false">
      <c r="A5198" s="0" t="n">
        <v>2</v>
      </c>
      <c r="B5198" s="71" t="n">
        <v>46237</v>
      </c>
      <c r="C5198" s="0" t="n">
        <v>11</v>
      </c>
      <c r="D5198" s="0" t="s">
        <v>2471</v>
      </c>
      <c r="E5198" s="0" t="n">
        <v>1695</v>
      </c>
      <c r="F5198" s="0" t="s">
        <v>390</v>
      </c>
      <c r="I5198" s="0" t="n">
        <v>19579</v>
      </c>
      <c r="J5198" s="0" t="n">
        <v>27241</v>
      </c>
      <c r="K5198" s="0" t="n">
        <v>7898910758639</v>
      </c>
      <c r="L5198" s="0" t="s">
        <v>3463</v>
      </c>
      <c r="N5198" s="0" t="n">
        <v>60</v>
      </c>
      <c r="O5198" s="0" t="n">
        <v>589.8</v>
      </c>
      <c r="P5198" s="0" t="s">
        <v>2444</v>
      </c>
    </row>
    <row r="5199" customFormat="false" ht="15" hidden="false" customHeight="true" outlineLevel="0" collapsed="false">
      <c r="A5199" s="0" t="n">
        <v>2</v>
      </c>
      <c r="B5199" s="71" t="n">
        <v>46237</v>
      </c>
      <c r="C5199" s="0" t="n">
        <v>11</v>
      </c>
      <c r="D5199" s="0" t="s">
        <v>2471</v>
      </c>
      <c r="E5199" s="0" t="n">
        <v>1695</v>
      </c>
      <c r="F5199" s="0" t="s">
        <v>390</v>
      </c>
      <c r="I5199" s="0" t="n">
        <v>19579</v>
      </c>
      <c r="J5199" s="0" t="n">
        <v>27242</v>
      </c>
      <c r="K5199" s="0" t="n">
        <v>7898910758622</v>
      </c>
      <c r="L5199" s="0" t="s">
        <v>3464</v>
      </c>
      <c r="N5199" s="0" t="n">
        <v>60</v>
      </c>
      <c r="O5199" s="0" t="n">
        <v>589.8</v>
      </c>
      <c r="P5199" s="0" t="s">
        <v>2444</v>
      </c>
    </row>
    <row r="5200" customFormat="false" ht="15" hidden="false" customHeight="true" outlineLevel="0" collapsed="false">
      <c r="A5200" s="0" t="n">
        <v>2</v>
      </c>
      <c r="B5200" s="71" t="n">
        <v>46237</v>
      </c>
      <c r="C5200" s="0" t="n">
        <v>11</v>
      </c>
      <c r="D5200" s="0" t="s">
        <v>2471</v>
      </c>
      <c r="E5200" s="0" t="n">
        <v>1695</v>
      </c>
      <c r="F5200" s="0" t="s">
        <v>390</v>
      </c>
      <c r="I5200" s="0" t="n">
        <v>19579</v>
      </c>
      <c r="J5200" s="0" t="n">
        <v>30035</v>
      </c>
      <c r="K5200" s="0" t="n">
        <v>7891097101489</v>
      </c>
      <c r="L5200" s="0" t="s">
        <v>2634</v>
      </c>
      <c r="N5200" s="0" t="n">
        <v>80</v>
      </c>
      <c r="O5200" s="0" t="n">
        <v>297.6</v>
      </c>
      <c r="P5200" s="0" t="s">
        <v>2444</v>
      </c>
    </row>
    <row r="5201" customFormat="false" ht="15" hidden="false" customHeight="true" outlineLevel="0" collapsed="false">
      <c r="A5201" s="0" t="n">
        <v>2</v>
      </c>
      <c r="B5201" s="71" t="n">
        <v>46237</v>
      </c>
      <c r="C5201" s="0" t="n">
        <v>11</v>
      </c>
      <c r="D5201" s="0" t="s">
        <v>2471</v>
      </c>
      <c r="E5201" s="0" t="n">
        <v>1695</v>
      </c>
      <c r="F5201" s="0" t="s">
        <v>390</v>
      </c>
      <c r="I5201" s="0" t="n">
        <v>19579</v>
      </c>
      <c r="J5201" s="0" t="n">
        <v>50021</v>
      </c>
      <c r="K5201" s="0" t="n">
        <v>7898690980008</v>
      </c>
      <c r="L5201" s="0" t="s">
        <v>2773</v>
      </c>
      <c r="N5201" s="0" t="n">
        <v>60</v>
      </c>
      <c r="O5201" s="0" t="n">
        <v>54</v>
      </c>
      <c r="P5201" s="0" t="s">
        <v>2444</v>
      </c>
    </row>
    <row r="5202" customFormat="false" ht="15" hidden="false" customHeight="true" outlineLevel="0" collapsed="false">
      <c r="A5202" s="0" t="n">
        <v>2</v>
      </c>
      <c r="B5202" s="71" t="n">
        <v>46237</v>
      </c>
      <c r="C5202" s="0" t="n">
        <v>11</v>
      </c>
      <c r="D5202" s="0" t="s">
        <v>2471</v>
      </c>
      <c r="E5202" s="0" t="n">
        <v>1695</v>
      </c>
      <c r="F5202" s="0" t="s">
        <v>390</v>
      </c>
      <c r="I5202" s="0" t="n">
        <v>19579</v>
      </c>
      <c r="J5202" s="0" t="n">
        <v>52317</v>
      </c>
      <c r="K5202" s="0" t="n">
        <v>7898690980015</v>
      </c>
      <c r="L5202" s="0" t="s">
        <v>4666</v>
      </c>
      <c r="N5202" s="0" t="n">
        <v>30</v>
      </c>
      <c r="O5202" s="0" t="n">
        <v>32.1</v>
      </c>
      <c r="P5202" s="0" t="s">
        <v>2444</v>
      </c>
    </row>
    <row r="5203" customFormat="false" ht="15" hidden="false" customHeight="true" outlineLevel="0" collapsed="false">
      <c r="A5203" s="0" t="n">
        <v>2</v>
      </c>
      <c r="B5203" s="71" t="n">
        <v>46237</v>
      </c>
      <c r="C5203" s="0" t="n">
        <v>11</v>
      </c>
      <c r="D5203" s="0" t="s">
        <v>2471</v>
      </c>
      <c r="E5203" s="0" t="n">
        <v>754</v>
      </c>
      <c r="F5203" s="0" t="s">
        <v>162</v>
      </c>
      <c r="I5203" s="0" t="n">
        <v>32186</v>
      </c>
      <c r="J5203" s="0" t="n">
        <v>29079</v>
      </c>
      <c r="K5203" s="0" t="n">
        <v>55515</v>
      </c>
      <c r="L5203" s="0" t="s">
        <v>2449</v>
      </c>
      <c r="N5203" s="0" t="n">
        <v>75.3</v>
      </c>
      <c r="O5203" s="0" t="n">
        <v>1882.5</v>
      </c>
      <c r="P5203" s="0" t="s">
        <v>2444</v>
      </c>
    </row>
    <row r="5204" customFormat="false" ht="15" hidden="false" customHeight="true" outlineLevel="0" collapsed="false">
      <c r="A5204" s="0" t="n">
        <v>2</v>
      </c>
      <c r="B5204" s="71" t="n">
        <v>46237</v>
      </c>
      <c r="C5204" s="0" t="n">
        <v>11</v>
      </c>
      <c r="D5204" s="0" t="s">
        <v>2471</v>
      </c>
      <c r="E5204" s="0" t="n">
        <v>754</v>
      </c>
      <c r="F5204" s="0" t="s">
        <v>162</v>
      </c>
      <c r="I5204" s="0" t="n">
        <v>32186</v>
      </c>
      <c r="J5204" s="0" t="n">
        <v>29080</v>
      </c>
      <c r="K5204" s="0" t="n">
        <v>55516</v>
      </c>
      <c r="L5204" s="0" t="s">
        <v>2450</v>
      </c>
      <c r="N5204" s="0" t="n">
        <v>55.8</v>
      </c>
      <c r="O5204" s="0" t="n">
        <v>1395</v>
      </c>
      <c r="P5204" s="0" t="s">
        <v>2444</v>
      </c>
    </row>
    <row r="5205" customFormat="false" ht="15" hidden="false" customHeight="true" outlineLevel="0" collapsed="false">
      <c r="A5205" s="0" t="n">
        <v>2</v>
      </c>
      <c r="B5205" s="71" t="n">
        <v>46237</v>
      </c>
      <c r="C5205" s="0" t="n">
        <v>11</v>
      </c>
      <c r="D5205" s="0" t="s">
        <v>2471</v>
      </c>
      <c r="E5205" s="0" t="n">
        <v>1626</v>
      </c>
      <c r="F5205" s="0" t="s">
        <v>77</v>
      </c>
      <c r="I5205" s="0" t="n">
        <v>315892</v>
      </c>
      <c r="J5205" s="0" t="n">
        <v>16832</v>
      </c>
      <c r="K5205" s="0" t="n">
        <v>7894904500116</v>
      </c>
      <c r="L5205" s="0" t="s">
        <v>2601</v>
      </c>
      <c r="N5205" s="0" t="n">
        <v>16</v>
      </c>
      <c r="O5205" s="0" t="n">
        <v>114.26</v>
      </c>
      <c r="P5205" s="0" t="s">
        <v>2444</v>
      </c>
    </row>
    <row r="5206" customFormat="false" ht="15" hidden="false" customHeight="true" outlineLevel="0" collapsed="false">
      <c r="A5206" s="0" t="n">
        <v>2</v>
      </c>
      <c r="B5206" s="71" t="n">
        <v>46237</v>
      </c>
      <c r="C5206" s="0" t="n">
        <v>11</v>
      </c>
      <c r="D5206" s="0" t="s">
        <v>2471</v>
      </c>
      <c r="E5206" s="0" t="n">
        <v>1626</v>
      </c>
      <c r="F5206" s="0" t="s">
        <v>77</v>
      </c>
      <c r="I5206" s="0" t="n">
        <v>315892</v>
      </c>
      <c r="J5206" s="0" t="n">
        <v>19609</v>
      </c>
      <c r="K5206" s="0" t="n">
        <v>7891143013919</v>
      </c>
      <c r="L5206" s="0" t="s">
        <v>2602</v>
      </c>
      <c r="N5206" s="0" t="n">
        <v>6</v>
      </c>
      <c r="O5206" s="0" t="n">
        <v>46.16</v>
      </c>
      <c r="P5206" s="0" t="s">
        <v>2444</v>
      </c>
    </row>
    <row r="5207" customFormat="false" ht="15" hidden="false" customHeight="true" outlineLevel="0" collapsed="false">
      <c r="A5207" s="0" t="n">
        <v>2</v>
      </c>
      <c r="B5207" s="71" t="n">
        <v>46237</v>
      </c>
      <c r="C5207" s="0" t="n">
        <v>11</v>
      </c>
      <c r="D5207" s="0" t="s">
        <v>2471</v>
      </c>
      <c r="E5207" s="0" t="n">
        <v>1626</v>
      </c>
      <c r="F5207" s="0" t="s">
        <v>77</v>
      </c>
      <c r="I5207" s="0" t="n">
        <v>315892</v>
      </c>
      <c r="J5207" s="0" t="n">
        <v>21348</v>
      </c>
      <c r="K5207" s="0" t="n">
        <v>7891143013193</v>
      </c>
      <c r="L5207" s="0" t="s">
        <v>3582</v>
      </c>
      <c r="N5207" s="0" t="n">
        <v>6</v>
      </c>
      <c r="O5207" s="0" t="n">
        <v>46.61</v>
      </c>
      <c r="P5207" s="0" t="s">
        <v>2444</v>
      </c>
    </row>
    <row r="5208" customFormat="false" ht="15" hidden="false" customHeight="true" outlineLevel="0" collapsed="false">
      <c r="A5208" s="0" t="n">
        <v>2</v>
      </c>
      <c r="B5208" s="71" t="n">
        <v>46237</v>
      </c>
      <c r="C5208" s="0" t="n">
        <v>11</v>
      </c>
      <c r="D5208" s="0" t="s">
        <v>2471</v>
      </c>
      <c r="E5208" s="0" t="n">
        <v>1626</v>
      </c>
      <c r="F5208" s="0" t="s">
        <v>77</v>
      </c>
      <c r="I5208" s="0" t="n">
        <v>315892</v>
      </c>
      <c r="J5208" s="0" t="n">
        <v>37747</v>
      </c>
      <c r="K5208" s="0" t="n">
        <v>7898968009004</v>
      </c>
      <c r="L5208" s="0" t="s">
        <v>2604</v>
      </c>
      <c r="N5208" s="0" t="n">
        <v>64</v>
      </c>
      <c r="O5208" s="0" t="n">
        <v>516.52</v>
      </c>
      <c r="P5208" s="0" t="s">
        <v>2444</v>
      </c>
    </row>
    <row r="5209" customFormat="false" ht="15" hidden="false" customHeight="true" outlineLevel="0" collapsed="false">
      <c r="A5209" s="0" t="n">
        <v>2</v>
      </c>
      <c r="B5209" s="71" t="n">
        <v>46237</v>
      </c>
      <c r="C5209" s="0" t="n">
        <v>11</v>
      </c>
      <c r="D5209" s="0" t="s">
        <v>2471</v>
      </c>
      <c r="E5209" s="0" t="n">
        <v>1626</v>
      </c>
      <c r="F5209" s="0" t="s">
        <v>77</v>
      </c>
      <c r="I5209" s="0" t="n">
        <v>315892</v>
      </c>
      <c r="J5209" s="0" t="n">
        <v>38003</v>
      </c>
      <c r="K5209" s="0" t="n">
        <v>7898968009066</v>
      </c>
      <c r="L5209" s="0" t="s">
        <v>3585</v>
      </c>
      <c r="N5209" s="0" t="n">
        <v>64</v>
      </c>
      <c r="O5209" s="0" t="n">
        <v>287.17</v>
      </c>
      <c r="P5209" s="0" t="s">
        <v>2444</v>
      </c>
    </row>
    <row r="5210" customFormat="false" ht="15" hidden="false" customHeight="true" outlineLevel="0" collapsed="false">
      <c r="A5210" s="0" t="n">
        <v>2</v>
      </c>
      <c r="B5210" s="71" t="n">
        <v>46237</v>
      </c>
      <c r="C5210" s="0" t="n">
        <v>11</v>
      </c>
      <c r="D5210" s="0" t="s">
        <v>2471</v>
      </c>
      <c r="E5210" s="0" t="n">
        <v>1626</v>
      </c>
      <c r="F5210" s="0" t="s">
        <v>77</v>
      </c>
      <c r="I5210" s="0" t="n">
        <v>315892</v>
      </c>
      <c r="J5210" s="0" t="n">
        <v>47538</v>
      </c>
      <c r="K5210" s="0" t="n">
        <v>7898921567077</v>
      </c>
      <c r="L5210" s="0" t="s">
        <v>3586</v>
      </c>
      <c r="N5210" s="0" t="n">
        <v>36</v>
      </c>
      <c r="O5210" s="0" t="n">
        <v>231.7</v>
      </c>
      <c r="P5210" s="0" t="s">
        <v>2444</v>
      </c>
    </row>
    <row r="5211" customFormat="false" ht="15" hidden="false" customHeight="true" outlineLevel="0" collapsed="false">
      <c r="A5211" s="0" t="n">
        <v>2</v>
      </c>
      <c r="B5211" s="71" t="n">
        <v>46237</v>
      </c>
      <c r="C5211" s="0" t="n">
        <v>11</v>
      </c>
      <c r="D5211" s="0" t="s">
        <v>2471</v>
      </c>
      <c r="E5211" s="0" t="n">
        <v>1815</v>
      </c>
      <c r="F5211" s="0" t="s">
        <v>172</v>
      </c>
      <c r="I5211" s="0" t="n">
        <v>395656</v>
      </c>
      <c r="J5211" s="0" t="n">
        <v>110191</v>
      </c>
      <c r="K5211" s="0" t="n">
        <v>37402</v>
      </c>
      <c r="L5211" s="0" t="s">
        <v>2638</v>
      </c>
      <c r="N5211" s="0" t="n">
        <v>20</v>
      </c>
      <c r="O5211" s="0" t="n">
        <v>139.8</v>
      </c>
      <c r="P5211" s="0" t="s">
        <v>2444</v>
      </c>
    </row>
    <row r="5212" customFormat="false" ht="15" hidden="false" customHeight="true" outlineLevel="0" collapsed="false">
      <c r="A5212" s="0" t="n">
        <v>2</v>
      </c>
      <c r="B5212" s="71" t="n">
        <v>46237</v>
      </c>
      <c r="C5212" s="0" t="n">
        <v>11</v>
      </c>
      <c r="D5212" s="0" t="s">
        <v>2471</v>
      </c>
      <c r="E5212" s="0" t="n">
        <v>1815</v>
      </c>
      <c r="F5212" s="0" t="s">
        <v>172</v>
      </c>
      <c r="I5212" s="0" t="n">
        <v>395656</v>
      </c>
      <c r="J5212" s="0" t="n">
        <v>110778</v>
      </c>
      <c r="K5212" s="0" t="n">
        <v>71976</v>
      </c>
      <c r="L5212" s="0" t="s">
        <v>3396</v>
      </c>
      <c r="N5212" s="0" t="n">
        <v>30</v>
      </c>
      <c r="O5212" s="0" t="n">
        <v>299.7</v>
      </c>
      <c r="P5212" s="0" t="s">
        <v>2444</v>
      </c>
    </row>
    <row r="5213" customFormat="false" ht="15" hidden="false" customHeight="true" outlineLevel="0" collapsed="false">
      <c r="A5213" s="0" t="n">
        <v>2</v>
      </c>
      <c r="B5213" s="71" t="n">
        <v>46237</v>
      </c>
      <c r="C5213" s="0" t="n">
        <v>11</v>
      </c>
      <c r="D5213" s="0" t="s">
        <v>2471</v>
      </c>
      <c r="E5213" s="0" t="n">
        <v>1683</v>
      </c>
      <c r="F5213" s="0" t="s">
        <v>406</v>
      </c>
      <c r="I5213" s="0" t="n">
        <v>1656821</v>
      </c>
      <c r="J5213" s="0" t="n">
        <v>109791</v>
      </c>
      <c r="K5213" s="0" t="n">
        <v>9667</v>
      </c>
      <c r="L5213" s="0" t="s">
        <v>2465</v>
      </c>
      <c r="N5213" s="0" t="n">
        <v>20</v>
      </c>
      <c r="O5213" s="0" t="n">
        <v>30</v>
      </c>
      <c r="P5213" s="0" t="s">
        <v>2444</v>
      </c>
    </row>
    <row r="5214" customFormat="false" ht="15" hidden="false" customHeight="true" outlineLevel="0" collapsed="false">
      <c r="A5214" s="0" t="n">
        <v>2</v>
      </c>
      <c r="B5214" s="71" t="n">
        <v>46237</v>
      </c>
      <c r="C5214" s="0" t="n">
        <v>11</v>
      </c>
      <c r="D5214" s="0" t="s">
        <v>2471</v>
      </c>
      <c r="E5214" s="0" t="n">
        <v>1683</v>
      </c>
      <c r="F5214" s="0" t="s">
        <v>406</v>
      </c>
      <c r="I5214" s="0" t="n">
        <v>1656821</v>
      </c>
      <c r="J5214" s="0" t="n">
        <v>37361</v>
      </c>
      <c r="K5214" s="0" t="n">
        <v>2240817</v>
      </c>
      <c r="L5214" s="0" t="s">
        <v>2467</v>
      </c>
      <c r="N5214" s="0" t="n">
        <v>50</v>
      </c>
      <c r="O5214" s="0" t="n">
        <v>90</v>
      </c>
      <c r="P5214" s="0" t="s">
        <v>2444</v>
      </c>
    </row>
    <row r="5215" customFormat="false" ht="15" hidden="false" customHeight="true" outlineLevel="0" collapsed="false">
      <c r="A5215" s="0" t="n">
        <v>2</v>
      </c>
      <c r="B5215" s="71" t="n">
        <v>46237</v>
      </c>
      <c r="C5215" s="0" t="n">
        <v>22</v>
      </c>
      <c r="D5215" s="0" t="s">
        <v>2479</v>
      </c>
      <c r="E5215" s="0" t="n">
        <v>48</v>
      </c>
      <c r="F5215" s="0" t="s">
        <v>153</v>
      </c>
      <c r="I5215" s="0" t="n">
        <v>2584</v>
      </c>
      <c r="J5215" s="0" t="n">
        <v>100000</v>
      </c>
      <c r="K5215" s="0" t="n">
        <v>1</v>
      </c>
      <c r="L5215" s="0" t="s">
        <v>2480</v>
      </c>
      <c r="N5215" s="0" t="n">
        <v>2.098</v>
      </c>
      <c r="O5215" s="0" t="n">
        <v>44.59</v>
      </c>
      <c r="P5215" s="0" t="s">
        <v>2444</v>
      </c>
    </row>
    <row r="5216" customFormat="false" ht="15" hidden="false" customHeight="true" outlineLevel="0" collapsed="false">
      <c r="A5216" s="0" t="n">
        <v>2</v>
      </c>
      <c r="B5216" s="71" t="n">
        <v>46237</v>
      </c>
      <c r="C5216" s="0" t="n">
        <v>22</v>
      </c>
      <c r="D5216" s="0" t="s">
        <v>2479</v>
      </c>
      <c r="E5216" s="0" t="n">
        <v>48</v>
      </c>
      <c r="F5216" s="0" t="s">
        <v>153</v>
      </c>
      <c r="I5216" s="0" t="n">
        <v>2584</v>
      </c>
      <c r="J5216" s="0" t="n">
        <v>100000</v>
      </c>
      <c r="K5216" s="0" t="n">
        <v>1</v>
      </c>
      <c r="L5216" s="0" t="s">
        <v>2480</v>
      </c>
      <c r="N5216" s="0" t="n">
        <v>2.202</v>
      </c>
      <c r="O5216" s="0" t="n">
        <v>37.55</v>
      </c>
      <c r="P5216" s="0" t="s">
        <v>2444</v>
      </c>
    </row>
    <row r="5217" customFormat="false" ht="15" hidden="false" customHeight="true" outlineLevel="0" collapsed="false">
      <c r="A5217" s="0" t="n">
        <v>2</v>
      </c>
      <c r="B5217" s="71" t="n">
        <v>46237</v>
      </c>
      <c r="C5217" s="0" t="n">
        <v>22</v>
      </c>
      <c r="D5217" s="0" t="s">
        <v>2479</v>
      </c>
      <c r="E5217" s="0" t="n">
        <v>48</v>
      </c>
      <c r="F5217" s="0" t="s">
        <v>153</v>
      </c>
      <c r="I5217" s="0" t="n">
        <v>2584</v>
      </c>
      <c r="J5217" s="0" t="n">
        <v>100001</v>
      </c>
      <c r="K5217" s="0" t="n">
        <v>2</v>
      </c>
      <c r="L5217" s="0" t="s">
        <v>2481</v>
      </c>
      <c r="N5217" s="0" t="n">
        <v>8.675</v>
      </c>
      <c r="O5217" s="0" t="n">
        <v>199.74</v>
      </c>
      <c r="P5217" s="0" t="s">
        <v>2444</v>
      </c>
    </row>
    <row r="5218" customFormat="false" ht="15" hidden="false" customHeight="true" outlineLevel="0" collapsed="false">
      <c r="A5218" s="0" t="n">
        <v>2</v>
      </c>
      <c r="B5218" s="71" t="n">
        <v>46237</v>
      </c>
      <c r="C5218" s="0" t="n">
        <v>22</v>
      </c>
      <c r="D5218" s="0" t="s">
        <v>2479</v>
      </c>
      <c r="E5218" s="0" t="n">
        <v>48</v>
      </c>
      <c r="F5218" s="0" t="s">
        <v>153</v>
      </c>
      <c r="I5218" s="0" t="n">
        <v>2584</v>
      </c>
      <c r="J5218" s="0" t="n">
        <v>100002</v>
      </c>
      <c r="K5218" s="0" t="n">
        <v>3</v>
      </c>
      <c r="L5218" s="0" t="s">
        <v>2482</v>
      </c>
      <c r="N5218" s="0" t="n">
        <v>20.43</v>
      </c>
      <c r="O5218" s="0" t="n">
        <v>542.8</v>
      </c>
      <c r="P5218" s="0" t="s">
        <v>2444</v>
      </c>
    </row>
    <row r="5219" customFormat="false" ht="15" hidden="false" customHeight="true" outlineLevel="0" collapsed="false">
      <c r="A5219" s="0" t="n">
        <v>2</v>
      </c>
      <c r="B5219" s="71" t="n">
        <v>46237</v>
      </c>
      <c r="C5219" s="0" t="n">
        <v>22</v>
      </c>
      <c r="D5219" s="0" t="s">
        <v>2479</v>
      </c>
      <c r="E5219" s="0" t="n">
        <v>48</v>
      </c>
      <c r="F5219" s="0" t="s">
        <v>153</v>
      </c>
      <c r="I5219" s="0" t="n">
        <v>2584</v>
      </c>
      <c r="J5219" s="0" t="n">
        <v>100003</v>
      </c>
      <c r="K5219" s="0" t="n">
        <v>4</v>
      </c>
      <c r="L5219" s="0" t="s">
        <v>2483</v>
      </c>
      <c r="N5219" s="0" t="n">
        <v>15.23</v>
      </c>
      <c r="O5219" s="0" t="n">
        <v>431.63</v>
      </c>
      <c r="P5219" s="0" t="s">
        <v>2444</v>
      </c>
    </row>
    <row r="5220" customFormat="false" ht="15" hidden="false" customHeight="true" outlineLevel="0" collapsed="false">
      <c r="A5220" s="0" t="n">
        <v>2</v>
      </c>
      <c r="B5220" s="71" t="n">
        <v>46237</v>
      </c>
      <c r="C5220" s="0" t="n">
        <v>22</v>
      </c>
      <c r="D5220" s="0" t="s">
        <v>2479</v>
      </c>
      <c r="E5220" s="0" t="n">
        <v>48</v>
      </c>
      <c r="F5220" s="0" t="s">
        <v>153</v>
      </c>
      <c r="I5220" s="0" t="n">
        <v>2584</v>
      </c>
      <c r="J5220" s="0" t="n">
        <v>100004</v>
      </c>
      <c r="K5220" s="0" t="n">
        <v>5</v>
      </c>
      <c r="L5220" s="0" t="s">
        <v>2484</v>
      </c>
      <c r="N5220" s="0" t="n">
        <v>10.49</v>
      </c>
      <c r="O5220" s="0" t="n">
        <v>208.7</v>
      </c>
      <c r="P5220" s="0" t="s">
        <v>2444</v>
      </c>
    </row>
    <row r="5221" customFormat="false" ht="15" hidden="false" customHeight="true" outlineLevel="0" collapsed="false">
      <c r="A5221" s="0" t="n">
        <v>2</v>
      </c>
      <c r="B5221" s="71" t="n">
        <v>46237</v>
      </c>
      <c r="C5221" s="0" t="n">
        <v>22</v>
      </c>
      <c r="D5221" s="0" t="s">
        <v>2479</v>
      </c>
      <c r="E5221" s="0" t="n">
        <v>48</v>
      </c>
      <c r="F5221" s="0" t="s">
        <v>153</v>
      </c>
      <c r="I5221" s="0" t="n">
        <v>2584</v>
      </c>
      <c r="J5221" s="0" t="n">
        <v>100004</v>
      </c>
      <c r="K5221" s="0" t="n">
        <v>5</v>
      </c>
      <c r="L5221" s="0" t="s">
        <v>2484</v>
      </c>
      <c r="N5221" s="0" t="n">
        <v>1.01</v>
      </c>
      <c r="O5221" s="0" t="n">
        <v>25.05</v>
      </c>
      <c r="P5221" s="0" t="s">
        <v>2444</v>
      </c>
    </row>
    <row r="5222" customFormat="false" ht="15" hidden="false" customHeight="true" outlineLevel="0" collapsed="false">
      <c r="A5222" s="0" t="n">
        <v>2</v>
      </c>
      <c r="B5222" s="71" t="n">
        <v>46237</v>
      </c>
      <c r="C5222" s="0" t="n">
        <v>22</v>
      </c>
      <c r="D5222" s="0" t="s">
        <v>2479</v>
      </c>
      <c r="E5222" s="0" t="n">
        <v>48</v>
      </c>
      <c r="F5222" s="0" t="s">
        <v>153</v>
      </c>
      <c r="I5222" s="0" t="n">
        <v>2584</v>
      </c>
      <c r="J5222" s="0" t="n">
        <v>100005</v>
      </c>
      <c r="K5222" s="0" t="n">
        <v>6</v>
      </c>
      <c r="L5222" s="0" t="s">
        <v>2582</v>
      </c>
      <c r="N5222" s="0" t="n">
        <v>0.81</v>
      </c>
      <c r="O5222" s="0" t="n">
        <v>21.52</v>
      </c>
      <c r="P5222" s="0" t="s">
        <v>2444</v>
      </c>
    </row>
    <row r="5223" customFormat="false" ht="15" hidden="false" customHeight="true" outlineLevel="0" collapsed="false">
      <c r="A5223" s="0" t="n">
        <v>2</v>
      </c>
      <c r="B5223" s="71" t="n">
        <v>46237</v>
      </c>
      <c r="C5223" s="0" t="n">
        <v>22</v>
      </c>
      <c r="D5223" s="0" t="s">
        <v>2479</v>
      </c>
      <c r="E5223" s="0" t="n">
        <v>48</v>
      </c>
      <c r="F5223" s="0" t="s">
        <v>153</v>
      </c>
      <c r="I5223" s="0" t="n">
        <v>2584</v>
      </c>
      <c r="J5223" s="0" t="n">
        <v>100006</v>
      </c>
      <c r="K5223" s="0" t="n">
        <v>7</v>
      </c>
      <c r="L5223" s="0" t="s">
        <v>2485</v>
      </c>
      <c r="N5223" s="0" t="n">
        <v>2.064</v>
      </c>
      <c r="O5223" s="0" t="n">
        <v>49.87</v>
      </c>
      <c r="P5223" s="0" t="s">
        <v>2444</v>
      </c>
    </row>
    <row r="5224" customFormat="false" ht="15" hidden="false" customHeight="true" outlineLevel="0" collapsed="false">
      <c r="A5224" s="0" t="n">
        <v>2</v>
      </c>
      <c r="B5224" s="71" t="n">
        <v>46237</v>
      </c>
      <c r="C5224" s="0" t="n">
        <v>22</v>
      </c>
      <c r="D5224" s="0" t="s">
        <v>2479</v>
      </c>
      <c r="E5224" s="0" t="n">
        <v>48</v>
      </c>
      <c r="F5224" s="0" t="s">
        <v>153</v>
      </c>
      <c r="I5224" s="0" t="n">
        <v>2584</v>
      </c>
      <c r="J5224" s="0" t="n">
        <v>100007</v>
      </c>
      <c r="K5224" s="0" t="n">
        <v>8</v>
      </c>
      <c r="L5224" s="0" t="s">
        <v>2486</v>
      </c>
      <c r="N5224" s="0" t="n">
        <v>3.94</v>
      </c>
      <c r="O5224" s="0" t="n">
        <v>83.99</v>
      </c>
      <c r="P5224" s="0" t="s">
        <v>2444</v>
      </c>
    </row>
    <row r="5225" customFormat="false" ht="15" hidden="false" customHeight="true" outlineLevel="0" collapsed="false">
      <c r="A5225" s="0" t="n">
        <v>2</v>
      </c>
      <c r="B5225" s="71" t="n">
        <v>46237</v>
      </c>
      <c r="C5225" s="0" t="n">
        <v>22</v>
      </c>
      <c r="D5225" s="0" t="s">
        <v>2479</v>
      </c>
      <c r="E5225" s="0" t="n">
        <v>48</v>
      </c>
      <c r="F5225" s="0" t="s">
        <v>153</v>
      </c>
      <c r="I5225" s="0" t="n">
        <v>2584</v>
      </c>
      <c r="J5225" s="0" t="n">
        <v>100007</v>
      </c>
      <c r="K5225" s="0" t="n">
        <v>8</v>
      </c>
      <c r="L5225" s="0" t="s">
        <v>2486</v>
      </c>
      <c r="N5225" s="0" t="n">
        <v>1.093</v>
      </c>
      <c r="O5225" s="0" t="n">
        <v>29.04</v>
      </c>
      <c r="P5225" s="0" t="s">
        <v>2444</v>
      </c>
    </row>
    <row r="5226" customFormat="false" ht="15" hidden="false" customHeight="true" outlineLevel="0" collapsed="false">
      <c r="A5226" s="0" t="n">
        <v>2</v>
      </c>
      <c r="B5226" s="71" t="n">
        <v>46237</v>
      </c>
      <c r="C5226" s="0" t="n">
        <v>22</v>
      </c>
      <c r="D5226" s="0" t="s">
        <v>2479</v>
      </c>
      <c r="E5226" s="0" t="n">
        <v>48</v>
      </c>
      <c r="F5226" s="0" t="s">
        <v>153</v>
      </c>
      <c r="I5226" s="0" t="n">
        <v>2584</v>
      </c>
      <c r="J5226" s="0" t="n">
        <v>100008</v>
      </c>
      <c r="K5226" s="0" t="n">
        <v>9</v>
      </c>
      <c r="L5226" s="0" t="s">
        <v>2487</v>
      </c>
      <c r="N5226" s="0" t="n">
        <v>10.885</v>
      </c>
      <c r="O5226" s="0" t="n">
        <v>301.67</v>
      </c>
      <c r="P5226" s="0" t="s">
        <v>2444</v>
      </c>
    </row>
    <row r="5227" customFormat="false" ht="15" hidden="false" customHeight="true" outlineLevel="0" collapsed="false">
      <c r="A5227" s="0" t="n">
        <v>2</v>
      </c>
      <c r="B5227" s="71" t="n">
        <v>46237</v>
      </c>
      <c r="C5227" s="0" t="n">
        <v>22</v>
      </c>
      <c r="D5227" s="0" t="s">
        <v>2479</v>
      </c>
      <c r="E5227" s="0" t="n">
        <v>48</v>
      </c>
      <c r="F5227" s="0" t="s">
        <v>153</v>
      </c>
      <c r="I5227" s="0" t="n">
        <v>2584</v>
      </c>
      <c r="J5227" s="0" t="n">
        <v>100011</v>
      </c>
      <c r="K5227" s="0" t="n">
        <v>12</v>
      </c>
      <c r="L5227" s="0" t="s">
        <v>2488</v>
      </c>
      <c r="N5227" s="0" t="n">
        <v>8.37</v>
      </c>
      <c r="O5227" s="0" t="n">
        <v>261.72</v>
      </c>
      <c r="P5227" s="0" t="s">
        <v>2444</v>
      </c>
    </row>
    <row r="5228" customFormat="false" ht="15" hidden="false" customHeight="true" outlineLevel="0" collapsed="false">
      <c r="A5228" s="0" t="n">
        <v>2</v>
      </c>
      <c r="B5228" s="71" t="n">
        <v>46237</v>
      </c>
      <c r="C5228" s="0" t="n">
        <v>22</v>
      </c>
      <c r="D5228" s="0" t="s">
        <v>2479</v>
      </c>
      <c r="E5228" s="0" t="n">
        <v>48</v>
      </c>
      <c r="F5228" s="0" t="s">
        <v>153</v>
      </c>
      <c r="I5228" s="0" t="n">
        <v>2584</v>
      </c>
      <c r="J5228" s="0" t="n">
        <v>100012</v>
      </c>
      <c r="K5228" s="0" t="n">
        <v>13</v>
      </c>
      <c r="L5228" s="0" t="s">
        <v>2489</v>
      </c>
      <c r="N5228" s="0" t="n">
        <v>5.05</v>
      </c>
      <c r="O5228" s="0" t="n">
        <v>179.44</v>
      </c>
      <c r="P5228" s="0" t="s">
        <v>2444</v>
      </c>
    </row>
    <row r="5229" customFormat="false" ht="15" hidden="false" customHeight="true" outlineLevel="0" collapsed="false">
      <c r="A5229" s="0" t="n">
        <v>2</v>
      </c>
      <c r="B5229" s="71" t="n">
        <v>46237</v>
      </c>
      <c r="C5229" s="0" t="n">
        <v>22</v>
      </c>
      <c r="D5229" s="0" t="s">
        <v>2479</v>
      </c>
      <c r="E5229" s="0" t="n">
        <v>48</v>
      </c>
      <c r="F5229" s="0" t="s">
        <v>153</v>
      </c>
      <c r="I5229" s="0" t="n">
        <v>2584</v>
      </c>
      <c r="J5229" s="0" t="n">
        <v>100013</v>
      </c>
      <c r="K5229" s="0" t="n">
        <v>14</v>
      </c>
      <c r="L5229" s="0" t="s">
        <v>2490</v>
      </c>
      <c r="N5229" s="0" t="n">
        <v>9.02</v>
      </c>
      <c r="O5229" s="0" t="n">
        <v>339.74</v>
      </c>
      <c r="P5229" s="0" t="s">
        <v>2444</v>
      </c>
    </row>
    <row r="5230" customFormat="false" ht="15" hidden="false" customHeight="true" outlineLevel="0" collapsed="false">
      <c r="A5230" s="0" t="n">
        <v>2</v>
      </c>
      <c r="B5230" s="71" t="n">
        <v>46237</v>
      </c>
      <c r="C5230" s="0" t="n">
        <v>22</v>
      </c>
      <c r="D5230" s="0" t="s">
        <v>2479</v>
      </c>
      <c r="E5230" s="0" t="n">
        <v>48</v>
      </c>
      <c r="F5230" s="0" t="s">
        <v>153</v>
      </c>
      <c r="I5230" s="0" t="n">
        <v>2584</v>
      </c>
      <c r="J5230" s="0" t="n">
        <v>100014</v>
      </c>
      <c r="K5230" s="0" t="n">
        <v>15</v>
      </c>
      <c r="L5230" s="0" t="s">
        <v>2491</v>
      </c>
      <c r="N5230" s="0" t="n">
        <v>3.69</v>
      </c>
      <c r="O5230" s="0" t="n">
        <v>141.61</v>
      </c>
      <c r="P5230" s="0" t="s">
        <v>2444</v>
      </c>
    </row>
    <row r="5231" customFormat="false" ht="15" hidden="false" customHeight="true" outlineLevel="0" collapsed="false">
      <c r="A5231" s="0" t="n">
        <v>2</v>
      </c>
      <c r="B5231" s="71" t="n">
        <v>46237</v>
      </c>
      <c r="C5231" s="0" t="n">
        <v>22</v>
      </c>
      <c r="D5231" s="0" t="s">
        <v>2479</v>
      </c>
      <c r="E5231" s="0" t="n">
        <v>48</v>
      </c>
      <c r="F5231" s="0" t="s">
        <v>153</v>
      </c>
      <c r="I5231" s="0" t="n">
        <v>2584</v>
      </c>
      <c r="J5231" s="0" t="n">
        <v>100015</v>
      </c>
      <c r="K5231" s="0" t="n">
        <v>16</v>
      </c>
      <c r="L5231" s="0" t="s">
        <v>2492</v>
      </c>
      <c r="N5231" s="0" t="n">
        <v>1.588</v>
      </c>
      <c r="O5231" s="0" t="n">
        <v>54.17</v>
      </c>
      <c r="P5231" s="0" t="s">
        <v>2444</v>
      </c>
    </row>
    <row r="5232" customFormat="false" ht="15" hidden="false" customHeight="true" outlineLevel="0" collapsed="false">
      <c r="A5232" s="0" t="n">
        <v>2</v>
      </c>
      <c r="B5232" s="71" t="n">
        <v>46237</v>
      </c>
      <c r="C5232" s="0" t="n">
        <v>22</v>
      </c>
      <c r="D5232" s="0" t="s">
        <v>2479</v>
      </c>
      <c r="E5232" s="0" t="n">
        <v>48</v>
      </c>
      <c r="F5232" s="0" t="s">
        <v>153</v>
      </c>
      <c r="I5232" s="0" t="n">
        <v>2584</v>
      </c>
      <c r="J5232" s="0" t="n">
        <v>100017</v>
      </c>
      <c r="K5232" s="0" t="n">
        <v>18</v>
      </c>
      <c r="L5232" s="0" t="s">
        <v>2494</v>
      </c>
      <c r="N5232" s="0" t="n">
        <v>1.458</v>
      </c>
      <c r="O5232" s="0" t="n">
        <v>72.53</v>
      </c>
      <c r="P5232" s="0" t="s">
        <v>2444</v>
      </c>
    </row>
    <row r="5233" customFormat="false" ht="15" hidden="false" customHeight="true" outlineLevel="0" collapsed="false">
      <c r="A5233" s="0" t="n">
        <v>2</v>
      </c>
      <c r="B5233" s="71" t="n">
        <v>46237</v>
      </c>
      <c r="C5233" s="0" t="n">
        <v>22</v>
      </c>
      <c r="D5233" s="0" t="s">
        <v>2479</v>
      </c>
      <c r="E5233" s="0" t="n">
        <v>48</v>
      </c>
      <c r="F5233" s="0" t="s">
        <v>153</v>
      </c>
      <c r="I5233" s="0" t="n">
        <v>2584</v>
      </c>
      <c r="J5233" s="0" t="n">
        <v>100021</v>
      </c>
      <c r="K5233" s="0" t="n">
        <v>22</v>
      </c>
      <c r="L5233" s="0" t="s">
        <v>2662</v>
      </c>
      <c r="N5233" s="0" t="n">
        <v>1.134</v>
      </c>
      <c r="O5233" s="0" t="n">
        <v>24.17</v>
      </c>
      <c r="P5233" s="0" t="s">
        <v>2444</v>
      </c>
    </row>
    <row r="5234" customFormat="false" ht="15" hidden="false" customHeight="true" outlineLevel="0" collapsed="false">
      <c r="A5234" s="0" t="n">
        <v>2</v>
      </c>
      <c r="B5234" s="71" t="n">
        <v>46237</v>
      </c>
      <c r="C5234" s="0" t="n">
        <v>22</v>
      </c>
      <c r="D5234" s="0" t="s">
        <v>2479</v>
      </c>
      <c r="E5234" s="0" t="n">
        <v>48</v>
      </c>
      <c r="F5234" s="0" t="s">
        <v>153</v>
      </c>
      <c r="I5234" s="0" t="n">
        <v>2584</v>
      </c>
      <c r="J5234" s="0" t="n">
        <v>100040</v>
      </c>
      <c r="K5234" s="0" t="n">
        <v>41</v>
      </c>
      <c r="L5234" s="0" t="s">
        <v>2583</v>
      </c>
      <c r="N5234" s="0" t="n">
        <v>3.014</v>
      </c>
      <c r="O5234" s="0" t="n">
        <v>85.42</v>
      </c>
      <c r="P5234" s="0" t="s">
        <v>2444</v>
      </c>
    </row>
    <row r="5235" customFormat="false" ht="15" hidden="false" customHeight="true" outlineLevel="0" collapsed="false">
      <c r="A5235" s="0" t="n">
        <v>2</v>
      </c>
      <c r="B5235" s="71" t="n">
        <v>46237</v>
      </c>
      <c r="C5235" s="0" t="n">
        <v>22</v>
      </c>
      <c r="D5235" s="0" t="s">
        <v>2479</v>
      </c>
      <c r="E5235" s="0" t="n">
        <v>48</v>
      </c>
      <c r="F5235" s="0" t="s">
        <v>153</v>
      </c>
      <c r="I5235" s="0" t="n">
        <v>2584</v>
      </c>
      <c r="J5235" s="0" t="n">
        <v>100053</v>
      </c>
      <c r="K5235" s="0" t="n">
        <v>54</v>
      </c>
      <c r="L5235" s="0" t="s">
        <v>2495</v>
      </c>
      <c r="N5235" s="0" t="n">
        <v>0.5</v>
      </c>
      <c r="O5235" s="0" t="n">
        <v>15.63</v>
      </c>
      <c r="P5235" s="0" t="s">
        <v>2444</v>
      </c>
    </row>
    <row r="5236" customFormat="false" ht="15" hidden="false" customHeight="true" outlineLevel="0" collapsed="false">
      <c r="A5236" s="0" t="n">
        <v>2</v>
      </c>
      <c r="B5236" s="71" t="n">
        <v>46237</v>
      </c>
      <c r="C5236" s="0" t="n">
        <v>22</v>
      </c>
      <c r="D5236" s="0" t="s">
        <v>2479</v>
      </c>
      <c r="E5236" s="0" t="n">
        <v>48</v>
      </c>
      <c r="F5236" s="0" t="s">
        <v>153</v>
      </c>
      <c r="I5236" s="0" t="n">
        <v>2584</v>
      </c>
      <c r="J5236" s="0" t="n">
        <v>100638</v>
      </c>
      <c r="K5236" s="0" t="n">
        <v>508</v>
      </c>
      <c r="L5236" s="0" t="s">
        <v>2496</v>
      </c>
      <c r="N5236" s="0" t="n">
        <v>1.798</v>
      </c>
      <c r="O5236" s="0" t="n">
        <v>3.82</v>
      </c>
      <c r="P5236" s="0" t="s">
        <v>2444</v>
      </c>
    </row>
    <row r="5237" customFormat="false" ht="15" hidden="false" customHeight="true" outlineLevel="0" collapsed="false">
      <c r="A5237" s="0" t="n">
        <v>2</v>
      </c>
      <c r="B5237" s="71" t="n">
        <v>46237</v>
      </c>
      <c r="C5237" s="0" t="n">
        <v>22</v>
      </c>
      <c r="D5237" s="0" t="s">
        <v>2479</v>
      </c>
      <c r="E5237" s="0" t="n">
        <v>48</v>
      </c>
      <c r="F5237" s="0" t="s">
        <v>153</v>
      </c>
      <c r="I5237" s="0" t="n">
        <v>2584</v>
      </c>
      <c r="J5237" s="0" t="n">
        <v>110137</v>
      </c>
      <c r="K5237" s="0" t="n">
        <v>13899</v>
      </c>
      <c r="L5237" s="0" t="s">
        <v>3780</v>
      </c>
      <c r="N5237" s="0" t="n">
        <v>3.44</v>
      </c>
      <c r="O5237" s="0" t="n">
        <v>15.21</v>
      </c>
      <c r="P5237" s="0" t="s">
        <v>2444</v>
      </c>
    </row>
    <row r="5238" customFormat="false" ht="15" hidden="false" customHeight="true" outlineLevel="0" collapsed="false">
      <c r="A5238" s="0" t="n">
        <v>2</v>
      </c>
      <c r="B5238" s="71" t="n">
        <v>46237</v>
      </c>
      <c r="C5238" s="0" t="n">
        <v>22</v>
      </c>
      <c r="D5238" s="0" t="s">
        <v>2479</v>
      </c>
      <c r="E5238" s="0" t="n">
        <v>48</v>
      </c>
      <c r="F5238" s="0" t="s">
        <v>153</v>
      </c>
      <c r="I5238" s="0" t="n">
        <v>2584</v>
      </c>
      <c r="J5238" s="0" t="n">
        <v>110137</v>
      </c>
      <c r="K5238" s="0" t="n">
        <v>13899</v>
      </c>
      <c r="L5238" s="0" t="s">
        <v>3780</v>
      </c>
      <c r="N5238" s="0" t="n">
        <v>9.804</v>
      </c>
      <c r="O5238" s="0" t="n">
        <v>34.77</v>
      </c>
      <c r="P5238" s="0" t="s">
        <v>2444</v>
      </c>
    </row>
    <row r="5239" customFormat="false" ht="15" hidden="false" customHeight="true" outlineLevel="0" collapsed="false">
      <c r="A5239" s="0" t="n">
        <v>2</v>
      </c>
      <c r="B5239" s="71" t="n">
        <v>46237</v>
      </c>
      <c r="C5239" s="0" t="n">
        <v>22</v>
      </c>
      <c r="D5239" s="0" t="s">
        <v>2479</v>
      </c>
      <c r="E5239" s="0" t="n">
        <v>48</v>
      </c>
      <c r="F5239" s="0" t="s">
        <v>153</v>
      </c>
      <c r="I5239" s="0" t="n">
        <v>2584</v>
      </c>
      <c r="J5239" s="0" t="n">
        <v>110455</v>
      </c>
      <c r="K5239" s="0" t="n">
        <v>53212</v>
      </c>
      <c r="L5239" s="0" t="s">
        <v>2498</v>
      </c>
      <c r="N5239" s="0" t="n">
        <v>0.669</v>
      </c>
      <c r="O5239" s="0" t="n">
        <v>0.01</v>
      </c>
      <c r="P5239" s="0" t="s">
        <v>2444</v>
      </c>
    </row>
    <row r="5240" customFormat="false" ht="15" hidden="false" customHeight="true" outlineLevel="0" collapsed="false">
      <c r="A5240" s="0" t="n">
        <v>2</v>
      </c>
      <c r="B5240" s="71" t="n">
        <v>46237</v>
      </c>
      <c r="C5240" s="0" t="n">
        <v>22</v>
      </c>
      <c r="D5240" s="0" t="s">
        <v>2479</v>
      </c>
      <c r="E5240" s="0" t="n">
        <v>48</v>
      </c>
      <c r="F5240" s="0" t="s">
        <v>153</v>
      </c>
      <c r="I5240" s="0" t="n">
        <v>2584</v>
      </c>
      <c r="J5240" s="0" t="n">
        <v>110487</v>
      </c>
      <c r="K5240" s="0" t="n">
        <v>54688</v>
      </c>
      <c r="L5240" s="0" t="s">
        <v>2663</v>
      </c>
      <c r="N5240" s="0" t="n">
        <v>2.638</v>
      </c>
      <c r="O5240" s="0" t="n">
        <v>73.11</v>
      </c>
      <c r="P5240" s="0" t="s">
        <v>2444</v>
      </c>
    </row>
    <row r="5241" customFormat="false" ht="15" hidden="false" customHeight="true" outlineLevel="0" collapsed="false">
      <c r="A5241" s="0" t="n">
        <v>2</v>
      </c>
      <c r="B5241" s="71" t="n">
        <v>46237</v>
      </c>
      <c r="C5241" s="0" t="n">
        <v>100</v>
      </c>
      <c r="D5241" s="0" t="s">
        <v>2499</v>
      </c>
      <c r="E5241" s="0" t="n">
        <v>48</v>
      </c>
      <c r="F5241" s="0" t="s">
        <v>153</v>
      </c>
      <c r="I5241" s="0" t="n">
        <v>1495006</v>
      </c>
      <c r="J5241" s="0" t="n">
        <v>100000</v>
      </c>
      <c r="K5241" s="0" t="n">
        <v>1</v>
      </c>
      <c r="L5241" s="0" t="s">
        <v>2480</v>
      </c>
      <c r="N5241" s="0" t="n">
        <v>2.098</v>
      </c>
      <c r="O5241" s="0" t="n">
        <v>44.59</v>
      </c>
      <c r="P5241" s="0" t="s">
        <v>2444</v>
      </c>
    </row>
    <row r="5242" customFormat="false" ht="15" hidden="false" customHeight="true" outlineLevel="0" collapsed="false">
      <c r="A5242" s="0" t="n">
        <v>2</v>
      </c>
      <c r="B5242" s="71" t="n">
        <v>46237</v>
      </c>
      <c r="C5242" s="0" t="n">
        <v>100</v>
      </c>
      <c r="D5242" s="0" t="s">
        <v>2499</v>
      </c>
      <c r="E5242" s="0" t="n">
        <v>48</v>
      </c>
      <c r="F5242" s="0" t="s">
        <v>153</v>
      </c>
      <c r="I5242" s="0" t="n">
        <v>1495006</v>
      </c>
      <c r="J5242" s="0" t="n">
        <v>100001</v>
      </c>
      <c r="K5242" s="0" t="n">
        <v>2</v>
      </c>
      <c r="L5242" s="0" t="s">
        <v>2481</v>
      </c>
      <c r="N5242" s="0" t="n">
        <v>8.675</v>
      </c>
      <c r="O5242" s="0" t="n">
        <v>199.74</v>
      </c>
      <c r="P5242" s="0" t="s">
        <v>2444</v>
      </c>
    </row>
    <row r="5243" customFormat="false" ht="15" hidden="false" customHeight="true" outlineLevel="0" collapsed="false">
      <c r="A5243" s="0" t="n">
        <v>2</v>
      </c>
      <c r="B5243" s="71" t="n">
        <v>46237</v>
      </c>
      <c r="C5243" s="0" t="n">
        <v>100</v>
      </c>
      <c r="D5243" s="0" t="s">
        <v>2499</v>
      </c>
      <c r="E5243" s="0" t="n">
        <v>48</v>
      </c>
      <c r="F5243" s="0" t="s">
        <v>153</v>
      </c>
      <c r="I5243" s="0" t="n">
        <v>1495006</v>
      </c>
      <c r="J5243" s="0" t="n">
        <v>100002</v>
      </c>
      <c r="K5243" s="0" t="n">
        <v>3</v>
      </c>
      <c r="L5243" s="0" t="s">
        <v>2482</v>
      </c>
      <c r="N5243" s="0" t="n">
        <v>20.43</v>
      </c>
      <c r="O5243" s="0" t="n">
        <v>542.8</v>
      </c>
      <c r="P5243" s="0" t="s">
        <v>2444</v>
      </c>
    </row>
    <row r="5244" customFormat="false" ht="15" hidden="false" customHeight="true" outlineLevel="0" collapsed="false">
      <c r="A5244" s="0" t="n">
        <v>2</v>
      </c>
      <c r="B5244" s="71" t="n">
        <v>46237</v>
      </c>
      <c r="C5244" s="0" t="n">
        <v>100</v>
      </c>
      <c r="D5244" s="0" t="s">
        <v>2499</v>
      </c>
      <c r="E5244" s="0" t="n">
        <v>48</v>
      </c>
      <c r="F5244" s="0" t="s">
        <v>153</v>
      </c>
      <c r="I5244" s="0" t="n">
        <v>1495006</v>
      </c>
      <c r="J5244" s="0" t="n">
        <v>100003</v>
      </c>
      <c r="K5244" s="0" t="n">
        <v>4</v>
      </c>
      <c r="L5244" s="0" t="s">
        <v>2483</v>
      </c>
      <c r="N5244" s="0" t="n">
        <v>15.23</v>
      </c>
      <c r="O5244" s="0" t="n">
        <v>431.63</v>
      </c>
      <c r="P5244" s="0" t="s">
        <v>2444</v>
      </c>
    </row>
    <row r="5245" customFormat="false" ht="15" hidden="false" customHeight="true" outlineLevel="0" collapsed="false">
      <c r="A5245" s="0" t="n">
        <v>2</v>
      </c>
      <c r="B5245" s="71" t="n">
        <v>46237</v>
      </c>
      <c r="C5245" s="0" t="n">
        <v>100</v>
      </c>
      <c r="D5245" s="0" t="s">
        <v>2499</v>
      </c>
      <c r="E5245" s="0" t="n">
        <v>48</v>
      </c>
      <c r="F5245" s="0" t="s">
        <v>153</v>
      </c>
      <c r="I5245" s="0" t="n">
        <v>1495006</v>
      </c>
      <c r="J5245" s="0" t="n">
        <v>100004</v>
      </c>
      <c r="K5245" s="0" t="n">
        <v>5</v>
      </c>
      <c r="L5245" s="0" t="s">
        <v>2484</v>
      </c>
      <c r="N5245" s="0" t="n">
        <v>1.01</v>
      </c>
      <c r="O5245" s="0" t="n">
        <v>25.05</v>
      </c>
      <c r="P5245" s="0" t="s">
        <v>2444</v>
      </c>
    </row>
    <row r="5246" customFormat="false" ht="15" hidden="false" customHeight="true" outlineLevel="0" collapsed="false">
      <c r="A5246" s="0" t="n">
        <v>2</v>
      </c>
      <c r="B5246" s="71" t="n">
        <v>46237</v>
      </c>
      <c r="C5246" s="0" t="n">
        <v>100</v>
      </c>
      <c r="D5246" s="0" t="s">
        <v>2499</v>
      </c>
      <c r="E5246" s="0" t="n">
        <v>48</v>
      </c>
      <c r="F5246" s="0" t="s">
        <v>153</v>
      </c>
      <c r="I5246" s="0" t="n">
        <v>1495006</v>
      </c>
      <c r="J5246" s="0" t="n">
        <v>100005</v>
      </c>
      <c r="K5246" s="0" t="n">
        <v>6</v>
      </c>
      <c r="L5246" s="0" t="s">
        <v>2582</v>
      </c>
      <c r="N5246" s="0" t="n">
        <v>0.81</v>
      </c>
      <c r="O5246" s="0" t="n">
        <v>21.52</v>
      </c>
      <c r="P5246" s="0" t="s">
        <v>2444</v>
      </c>
    </row>
    <row r="5247" customFormat="false" ht="15" hidden="false" customHeight="true" outlineLevel="0" collapsed="false">
      <c r="A5247" s="0" t="n">
        <v>2</v>
      </c>
      <c r="B5247" s="71" t="n">
        <v>46237</v>
      </c>
      <c r="C5247" s="0" t="n">
        <v>100</v>
      </c>
      <c r="D5247" s="0" t="s">
        <v>2499</v>
      </c>
      <c r="E5247" s="0" t="n">
        <v>48</v>
      </c>
      <c r="F5247" s="0" t="s">
        <v>153</v>
      </c>
      <c r="I5247" s="0" t="n">
        <v>1495006</v>
      </c>
      <c r="J5247" s="0" t="n">
        <v>100007</v>
      </c>
      <c r="K5247" s="0" t="n">
        <v>8</v>
      </c>
      <c r="L5247" s="0" t="s">
        <v>2486</v>
      </c>
      <c r="N5247" s="0" t="n">
        <v>1.093</v>
      </c>
      <c r="O5247" s="0" t="n">
        <v>29.04</v>
      </c>
      <c r="P5247" s="0" t="s">
        <v>2444</v>
      </c>
    </row>
    <row r="5248" customFormat="false" ht="15" hidden="false" customHeight="true" outlineLevel="0" collapsed="false">
      <c r="A5248" s="0" t="n">
        <v>2</v>
      </c>
      <c r="B5248" s="71" t="n">
        <v>46237</v>
      </c>
      <c r="C5248" s="0" t="n">
        <v>100</v>
      </c>
      <c r="D5248" s="0" t="s">
        <v>2499</v>
      </c>
      <c r="E5248" s="0" t="n">
        <v>48</v>
      </c>
      <c r="F5248" s="0" t="s">
        <v>153</v>
      </c>
      <c r="I5248" s="0" t="n">
        <v>1495006</v>
      </c>
      <c r="J5248" s="0" t="n">
        <v>100040</v>
      </c>
      <c r="K5248" s="0" t="n">
        <v>41</v>
      </c>
      <c r="L5248" s="0" t="s">
        <v>2583</v>
      </c>
      <c r="N5248" s="0" t="n">
        <v>3.014</v>
      </c>
      <c r="O5248" s="0" t="n">
        <v>85.42</v>
      </c>
      <c r="P5248" s="0" t="s">
        <v>2444</v>
      </c>
    </row>
    <row r="5249" customFormat="false" ht="15" hidden="false" customHeight="true" outlineLevel="0" collapsed="false">
      <c r="A5249" s="0" t="n">
        <v>2</v>
      </c>
      <c r="B5249" s="71" t="n">
        <v>46237</v>
      </c>
      <c r="C5249" s="0" t="n">
        <v>100</v>
      </c>
      <c r="D5249" s="0" t="s">
        <v>2499</v>
      </c>
      <c r="E5249" s="0" t="n">
        <v>48</v>
      </c>
      <c r="F5249" s="0" t="s">
        <v>153</v>
      </c>
      <c r="I5249" s="0" t="n">
        <v>1495006</v>
      </c>
      <c r="J5249" s="0" t="n">
        <v>110137</v>
      </c>
      <c r="K5249" s="0" t="n">
        <v>13899</v>
      </c>
      <c r="L5249" s="0" t="s">
        <v>3780</v>
      </c>
      <c r="N5249" s="0" t="n">
        <v>3.44</v>
      </c>
      <c r="O5249" s="0" t="n">
        <v>15.21</v>
      </c>
      <c r="P5249" s="0" t="s">
        <v>2444</v>
      </c>
    </row>
    <row r="5250" customFormat="false" ht="15" hidden="false" customHeight="true" outlineLevel="0" collapsed="false">
      <c r="A5250" s="0" t="n">
        <v>2</v>
      </c>
      <c r="B5250" s="71" t="n">
        <v>46237</v>
      </c>
      <c r="C5250" s="0" t="n">
        <v>100</v>
      </c>
      <c r="D5250" s="0" t="s">
        <v>2499</v>
      </c>
      <c r="E5250" s="0" t="n">
        <v>48</v>
      </c>
      <c r="F5250" s="0" t="s">
        <v>153</v>
      </c>
      <c r="I5250" s="0" t="n">
        <v>1495010</v>
      </c>
      <c r="J5250" s="0" t="n">
        <v>100000</v>
      </c>
      <c r="K5250" s="0" t="n">
        <v>1</v>
      </c>
      <c r="L5250" s="0" t="s">
        <v>2480</v>
      </c>
      <c r="N5250" s="0" t="n">
        <v>2.202</v>
      </c>
      <c r="O5250" s="0" t="n">
        <v>37.55</v>
      </c>
      <c r="P5250" s="0" t="s">
        <v>2444</v>
      </c>
    </row>
    <row r="5251" customFormat="false" ht="15" hidden="false" customHeight="true" outlineLevel="0" collapsed="false">
      <c r="A5251" s="0" t="n">
        <v>2</v>
      </c>
      <c r="B5251" s="71" t="n">
        <v>46237</v>
      </c>
      <c r="C5251" s="0" t="n">
        <v>100</v>
      </c>
      <c r="D5251" s="0" t="s">
        <v>2499</v>
      </c>
      <c r="E5251" s="0" t="n">
        <v>48</v>
      </c>
      <c r="F5251" s="0" t="s">
        <v>153</v>
      </c>
      <c r="I5251" s="0" t="n">
        <v>1495010</v>
      </c>
      <c r="J5251" s="0" t="n">
        <v>100004</v>
      </c>
      <c r="K5251" s="0" t="n">
        <v>5</v>
      </c>
      <c r="L5251" s="0" t="s">
        <v>2484</v>
      </c>
      <c r="N5251" s="0" t="n">
        <v>10.49</v>
      </c>
      <c r="O5251" s="0" t="n">
        <v>208.7</v>
      </c>
      <c r="P5251" s="0" t="s">
        <v>2444</v>
      </c>
    </row>
    <row r="5252" customFormat="false" ht="15" hidden="false" customHeight="true" outlineLevel="0" collapsed="false">
      <c r="A5252" s="0" t="n">
        <v>2</v>
      </c>
      <c r="B5252" s="71" t="n">
        <v>46237</v>
      </c>
      <c r="C5252" s="0" t="n">
        <v>100</v>
      </c>
      <c r="D5252" s="0" t="s">
        <v>2499</v>
      </c>
      <c r="E5252" s="0" t="n">
        <v>48</v>
      </c>
      <c r="F5252" s="0" t="s">
        <v>153</v>
      </c>
      <c r="I5252" s="0" t="n">
        <v>1495010</v>
      </c>
      <c r="J5252" s="0" t="n">
        <v>100006</v>
      </c>
      <c r="K5252" s="0" t="n">
        <v>7</v>
      </c>
      <c r="L5252" s="0" t="s">
        <v>2485</v>
      </c>
      <c r="N5252" s="0" t="n">
        <v>2.064</v>
      </c>
      <c r="O5252" s="0" t="n">
        <v>49.87</v>
      </c>
      <c r="P5252" s="0" t="s">
        <v>2444</v>
      </c>
    </row>
    <row r="5253" customFormat="false" ht="15" hidden="false" customHeight="true" outlineLevel="0" collapsed="false">
      <c r="A5253" s="0" t="n">
        <v>2</v>
      </c>
      <c r="B5253" s="71" t="n">
        <v>46237</v>
      </c>
      <c r="C5253" s="0" t="n">
        <v>100</v>
      </c>
      <c r="D5253" s="0" t="s">
        <v>2499</v>
      </c>
      <c r="E5253" s="0" t="n">
        <v>48</v>
      </c>
      <c r="F5253" s="0" t="s">
        <v>153</v>
      </c>
      <c r="I5253" s="0" t="n">
        <v>1495010</v>
      </c>
      <c r="J5253" s="0" t="n">
        <v>100007</v>
      </c>
      <c r="K5253" s="0" t="n">
        <v>8</v>
      </c>
      <c r="L5253" s="0" t="s">
        <v>2486</v>
      </c>
      <c r="N5253" s="0" t="n">
        <v>3.94</v>
      </c>
      <c r="O5253" s="0" t="n">
        <v>83.99</v>
      </c>
      <c r="P5253" s="0" t="s">
        <v>2444</v>
      </c>
    </row>
    <row r="5254" customFormat="false" ht="15" hidden="false" customHeight="true" outlineLevel="0" collapsed="false">
      <c r="A5254" s="0" t="n">
        <v>2</v>
      </c>
      <c r="B5254" s="71" t="n">
        <v>46237</v>
      </c>
      <c r="C5254" s="0" t="n">
        <v>100</v>
      </c>
      <c r="D5254" s="0" t="s">
        <v>2499</v>
      </c>
      <c r="E5254" s="0" t="n">
        <v>48</v>
      </c>
      <c r="F5254" s="0" t="s">
        <v>153</v>
      </c>
      <c r="I5254" s="0" t="n">
        <v>1495010</v>
      </c>
      <c r="J5254" s="0" t="n">
        <v>100008</v>
      </c>
      <c r="K5254" s="0" t="n">
        <v>9</v>
      </c>
      <c r="L5254" s="0" t="s">
        <v>2487</v>
      </c>
      <c r="N5254" s="0" t="n">
        <v>10.885</v>
      </c>
      <c r="O5254" s="0" t="n">
        <v>301.67</v>
      </c>
      <c r="P5254" s="0" t="s">
        <v>2444</v>
      </c>
    </row>
    <row r="5255" customFormat="false" ht="15" hidden="false" customHeight="true" outlineLevel="0" collapsed="false">
      <c r="A5255" s="0" t="n">
        <v>2</v>
      </c>
      <c r="B5255" s="71" t="n">
        <v>46237</v>
      </c>
      <c r="C5255" s="0" t="n">
        <v>100</v>
      </c>
      <c r="D5255" s="0" t="s">
        <v>2499</v>
      </c>
      <c r="E5255" s="0" t="n">
        <v>48</v>
      </c>
      <c r="F5255" s="0" t="s">
        <v>153</v>
      </c>
      <c r="I5255" s="0" t="n">
        <v>1495010</v>
      </c>
      <c r="J5255" s="0" t="n">
        <v>100011</v>
      </c>
      <c r="K5255" s="0" t="n">
        <v>12</v>
      </c>
      <c r="L5255" s="0" t="s">
        <v>2488</v>
      </c>
      <c r="N5255" s="0" t="n">
        <v>8.37</v>
      </c>
      <c r="O5255" s="0" t="n">
        <v>261.72</v>
      </c>
      <c r="P5255" s="0" t="s">
        <v>2444</v>
      </c>
    </row>
    <row r="5256" customFormat="false" ht="15" hidden="false" customHeight="true" outlineLevel="0" collapsed="false">
      <c r="A5256" s="0" t="n">
        <v>2</v>
      </c>
      <c r="B5256" s="71" t="n">
        <v>46237</v>
      </c>
      <c r="C5256" s="0" t="n">
        <v>100</v>
      </c>
      <c r="D5256" s="0" t="s">
        <v>2499</v>
      </c>
      <c r="E5256" s="0" t="n">
        <v>48</v>
      </c>
      <c r="F5256" s="0" t="s">
        <v>153</v>
      </c>
      <c r="I5256" s="0" t="n">
        <v>1495010</v>
      </c>
      <c r="J5256" s="0" t="n">
        <v>100012</v>
      </c>
      <c r="K5256" s="0" t="n">
        <v>13</v>
      </c>
      <c r="L5256" s="0" t="s">
        <v>2489</v>
      </c>
      <c r="N5256" s="0" t="n">
        <v>5.05</v>
      </c>
      <c r="O5256" s="0" t="n">
        <v>179.44</v>
      </c>
      <c r="P5256" s="0" t="s">
        <v>2444</v>
      </c>
    </row>
    <row r="5257" customFormat="false" ht="15" hidden="false" customHeight="true" outlineLevel="0" collapsed="false">
      <c r="A5257" s="0" t="n">
        <v>2</v>
      </c>
      <c r="B5257" s="71" t="n">
        <v>46237</v>
      </c>
      <c r="C5257" s="0" t="n">
        <v>100</v>
      </c>
      <c r="D5257" s="0" t="s">
        <v>2499</v>
      </c>
      <c r="E5257" s="0" t="n">
        <v>48</v>
      </c>
      <c r="F5257" s="0" t="s">
        <v>153</v>
      </c>
      <c r="I5257" s="0" t="n">
        <v>1495010</v>
      </c>
      <c r="J5257" s="0" t="n">
        <v>100013</v>
      </c>
      <c r="K5257" s="0" t="n">
        <v>14</v>
      </c>
      <c r="L5257" s="0" t="s">
        <v>2490</v>
      </c>
      <c r="N5257" s="0" t="n">
        <v>9.02</v>
      </c>
      <c r="O5257" s="0" t="n">
        <v>339.74</v>
      </c>
      <c r="P5257" s="0" t="s">
        <v>2444</v>
      </c>
    </row>
    <row r="5258" customFormat="false" ht="15" hidden="false" customHeight="true" outlineLevel="0" collapsed="false">
      <c r="A5258" s="0" t="n">
        <v>2</v>
      </c>
      <c r="B5258" s="71" t="n">
        <v>46237</v>
      </c>
      <c r="C5258" s="0" t="n">
        <v>100</v>
      </c>
      <c r="D5258" s="0" t="s">
        <v>2499</v>
      </c>
      <c r="E5258" s="0" t="n">
        <v>48</v>
      </c>
      <c r="F5258" s="0" t="s">
        <v>153</v>
      </c>
      <c r="I5258" s="0" t="n">
        <v>1495010</v>
      </c>
      <c r="J5258" s="0" t="n">
        <v>100014</v>
      </c>
      <c r="K5258" s="0" t="n">
        <v>15</v>
      </c>
      <c r="L5258" s="0" t="s">
        <v>2491</v>
      </c>
      <c r="N5258" s="0" t="n">
        <v>3.69</v>
      </c>
      <c r="O5258" s="0" t="n">
        <v>141.61</v>
      </c>
      <c r="P5258" s="0" t="s">
        <v>2444</v>
      </c>
    </row>
    <row r="5259" customFormat="false" ht="15" hidden="false" customHeight="true" outlineLevel="0" collapsed="false">
      <c r="A5259" s="0" t="n">
        <v>2</v>
      </c>
      <c r="B5259" s="71" t="n">
        <v>46237</v>
      </c>
      <c r="C5259" s="0" t="n">
        <v>100</v>
      </c>
      <c r="D5259" s="0" t="s">
        <v>2499</v>
      </c>
      <c r="E5259" s="0" t="n">
        <v>48</v>
      </c>
      <c r="F5259" s="0" t="s">
        <v>153</v>
      </c>
      <c r="I5259" s="0" t="n">
        <v>1495010</v>
      </c>
      <c r="J5259" s="0" t="n">
        <v>100015</v>
      </c>
      <c r="K5259" s="0" t="n">
        <v>16</v>
      </c>
      <c r="L5259" s="0" t="s">
        <v>2492</v>
      </c>
      <c r="N5259" s="0" t="n">
        <v>1.588</v>
      </c>
      <c r="O5259" s="0" t="n">
        <v>54.17</v>
      </c>
      <c r="P5259" s="0" t="s">
        <v>2444</v>
      </c>
    </row>
    <row r="5260" customFormat="false" ht="15" hidden="false" customHeight="true" outlineLevel="0" collapsed="false">
      <c r="A5260" s="0" t="n">
        <v>2</v>
      </c>
      <c r="B5260" s="71" t="n">
        <v>46237</v>
      </c>
      <c r="C5260" s="0" t="n">
        <v>100</v>
      </c>
      <c r="D5260" s="0" t="s">
        <v>2499</v>
      </c>
      <c r="E5260" s="0" t="n">
        <v>48</v>
      </c>
      <c r="F5260" s="0" t="s">
        <v>153</v>
      </c>
      <c r="I5260" s="0" t="n">
        <v>1495010</v>
      </c>
      <c r="J5260" s="0" t="n">
        <v>100017</v>
      </c>
      <c r="K5260" s="0" t="n">
        <v>18</v>
      </c>
      <c r="L5260" s="0" t="s">
        <v>2494</v>
      </c>
      <c r="N5260" s="0" t="n">
        <v>1.458</v>
      </c>
      <c r="O5260" s="0" t="n">
        <v>72.53</v>
      </c>
      <c r="P5260" s="0" t="s">
        <v>2444</v>
      </c>
    </row>
    <row r="5261" customFormat="false" ht="15" hidden="false" customHeight="true" outlineLevel="0" collapsed="false">
      <c r="A5261" s="0" t="n">
        <v>2</v>
      </c>
      <c r="B5261" s="71" t="n">
        <v>46237</v>
      </c>
      <c r="C5261" s="0" t="n">
        <v>100</v>
      </c>
      <c r="D5261" s="0" t="s">
        <v>2499</v>
      </c>
      <c r="E5261" s="0" t="n">
        <v>48</v>
      </c>
      <c r="F5261" s="0" t="s">
        <v>153</v>
      </c>
      <c r="I5261" s="0" t="n">
        <v>1495010</v>
      </c>
      <c r="J5261" s="0" t="n">
        <v>100021</v>
      </c>
      <c r="K5261" s="0" t="n">
        <v>22</v>
      </c>
      <c r="L5261" s="0" t="s">
        <v>2662</v>
      </c>
      <c r="N5261" s="0" t="n">
        <v>1.134</v>
      </c>
      <c r="O5261" s="0" t="n">
        <v>24.17</v>
      </c>
      <c r="P5261" s="0" t="s">
        <v>2444</v>
      </c>
    </row>
    <row r="5262" customFormat="false" ht="15" hidden="false" customHeight="true" outlineLevel="0" collapsed="false">
      <c r="A5262" s="0" t="n">
        <v>2</v>
      </c>
      <c r="B5262" s="71" t="n">
        <v>46237</v>
      </c>
      <c r="C5262" s="0" t="n">
        <v>100</v>
      </c>
      <c r="D5262" s="0" t="s">
        <v>2499</v>
      </c>
      <c r="E5262" s="0" t="n">
        <v>48</v>
      </c>
      <c r="F5262" s="0" t="s">
        <v>153</v>
      </c>
      <c r="I5262" s="0" t="n">
        <v>1495010</v>
      </c>
      <c r="J5262" s="0" t="n">
        <v>100053</v>
      </c>
      <c r="K5262" s="0" t="n">
        <v>54</v>
      </c>
      <c r="L5262" s="0" t="s">
        <v>2495</v>
      </c>
      <c r="N5262" s="0" t="n">
        <v>0.5</v>
      </c>
      <c r="O5262" s="0" t="n">
        <v>15.63</v>
      </c>
      <c r="P5262" s="0" t="s">
        <v>2444</v>
      </c>
    </row>
    <row r="5263" customFormat="false" ht="15" hidden="false" customHeight="true" outlineLevel="0" collapsed="false">
      <c r="A5263" s="0" t="n">
        <v>2</v>
      </c>
      <c r="B5263" s="71" t="n">
        <v>46237</v>
      </c>
      <c r="C5263" s="0" t="n">
        <v>100</v>
      </c>
      <c r="D5263" s="0" t="s">
        <v>2499</v>
      </c>
      <c r="E5263" s="0" t="n">
        <v>48</v>
      </c>
      <c r="F5263" s="0" t="s">
        <v>153</v>
      </c>
      <c r="I5263" s="0" t="n">
        <v>1495010</v>
      </c>
      <c r="J5263" s="0" t="n">
        <v>100638</v>
      </c>
      <c r="K5263" s="0" t="n">
        <v>508</v>
      </c>
      <c r="L5263" s="0" t="s">
        <v>2496</v>
      </c>
      <c r="N5263" s="0" t="n">
        <v>1.798</v>
      </c>
      <c r="O5263" s="0" t="n">
        <v>3.82</v>
      </c>
      <c r="P5263" s="0" t="s">
        <v>2444</v>
      </c>
    </row>
    <row r="5264" customFormat="false" ht="15" hidden="false" customHeight="true" outlineLevel="0" collapsed="false">
      <c r="A5264" s="0" t="n">
        <v>2</v>
      </c>
      <c r="B5264" s="71" t="n">
        <v>46237</v>
      </c>
      <c r="C5264" s="0" t="n">
        <v>100</v>
      </c>
      <c r="D5264" s="0" t="s">
        <v>2499</v>
      </c>
      <c r="E5264" s="0" t="n">
        <v>48</v>
      </c>
      <c r="F5264" s="0" t="s">
        <v>153</v>
      </c>
      <c r="I5264" s="0" t="n">
        <v>1495010</v>
      </c>
      <c r="J5264" s="0" t="n">
        <v>110137</v>
      </c>
      <c r="K5264" s="0" t="n">
        <v>13899</v>
      </c>
      <c r="L5264" s="0" t="s">
        <v>3780</v>
      </c>
      <c r="N5264" s="0" t="n">
        <v>9.804</v>
      </c>
      <c r="O5264" s="0" t="n">
        <v>34.77</v>
      </c>
      <c r="P5264" s="0" t="s">
        <v>2444</v>
      </c>
    </row>
    <row r="5265" customFormat="false" ht="15" hidden="false" customHeight="true" outlineLevel="0" collapsed="false">
      <c r="A5265" s="0" t="n">
        <v>2</v>
      </c>
      <c r="B5265" s="71" t="n">
        <v>46237</v>
      </c>
      <c r="C5265" s="0" t="n">
        <v>100</v>
      </c>
      <c r="D5265" s="0" t="s">
        <v>2499</v>
      </c>
      <c r="E5265" s="0" t="n">
        <v>48</v>
      </c>
      <c r="F5265" s="0" t="s">
        <v>153</v>
      </c>
      <c r="I5265" s="0" t="n">
        <v>1495010</v>
      </c>
      <c r="J5265" s="0" t="n">
        <v>110455</v>
      </c>
      <c r="K5265" s="0" t="n">
        <v>53212</v>
      </c>
      <c r="L5265" s="0" t="s">
        <v>2498</v>
      </c>
      <c r="N5265" s="0" t="n">
        <v>0.669</v>
      </c>
      <c r="O5265" s="0" t="n">
        <v>0.01</v>
      </c>
      <c r="P5265" s="0" t="s">
        <v>2444</v>
      </c>
    </row>
    <row r="5266" customFormat="false" ht="15" hidden="false" customHeight="true" outlineLevel="0" collapsed="false">
      <c r="A5266" s="0" t="n">
        <v>2</v>
      </c>
      <c r="B5266" s="71" t="n">
        <v>46237</v>
      </c>
      <c r="C5266" s="0" t="n">
        <v>100</v>
      </c>
      <c r="D5266" s="0" t="s">
        <v>2499</v>
      </c>
      <c r="E5266" s="0" t="n">
        <v>48</v>
      </c>
      <c r="F5266" s="0" t="s">
        <v>153</v>
      </c>
      <c r="I5266" s="0" t="n">
        <v>1495010</v>
      </c>
      <c r="J5266" s="0" t="n">
        <v>110487</v>
      </c>
      <c r="K5266" s="0" t="n">
        <v>54688</v>
      </c>
      <c r="L5266" s="0" t="s">
        <v>2663</v>
      </c>
      <c r="N5266" s="0" t="n">
        <v>2.638</v>
      </c>
      <c r="O5266" s="0" t="n">
        <v>73.11</v>
      </c>
      <c r="P5266" s="0" t="s">
        <v>2444</v>
      </c>
    </row>
    <row r="5267" customFormat="false" ht="15" hidden="false" customHeight="true" outlineLevel="0" collapsed="false">
      <c r="A5267" s="0" t="n">
        <v>2</v>
      </c>
      <c r="B5267" s="71" t="n">
        <v>46238</v>
      </c>
      <c r="C5267" s="0" t="n">
        <v>6</v>
      </c>
      <c r="D5267" s="0" t="s">
        <v>2553</v>
      </c>
      <c r="E5267" s="0" t="n">
        <v>48</v>
      </c>
      <c r="F5267" s="0" t="s">
        <v>153</v>
      </c>
      <c r="I5267" s="0" t="n">
        <v>2585</v>
      </c>
      <c r="J5267" s="0" t="n">
        <v>100105</v>
      </c>
      <c r="K5267" s="0" t="n">
        <v>106</v>
      </c>
      <c r="L5267" s="0" t="s">
        <v>2536</v>
      </c>
      <c r="N5267" s="0" t="n">
        <v>24</v>
      </c>
      <c r="O5267" s="0" t="n">
        <v>150</v>
      </c>
      <c r="P5267" s="0" t="s">
        <v>2444</v>
      </c>
    </row>
    <row r="5268" customFormat="false" ht="15" hidden="false" customHeight="true" outlineLevel="0" collapsed="false">
      <c r="A5268" s="0" t="n">
        <v>2</v>
      </c>
      <c r="B5268" s="71" t="n">
        <v>46238</v>
      </c>
      <c r="C5268" s="0" t="n">
        <v>6</v>
      </c>
      <c r="D5268" s="0" t="s">
        <v>2553</v>
      </c>
      <c r="E5268" s="0" t="n">
        <v>48</v>
      </c>
      <c r="F5268" s="0" t="s">
        <v>153</v>
      </c>
      <c r="I5268" s="0" t="n">
        <v>2585</v>
      </c>
      <c r="J5268" s="0" t="n">
        <v>100109</v>
      </c>
      <c r="K5268" s="0" t="n">
        <v>110</v>
      </c>
      <c r="L5268" s="0" t="s">
        <v>2537</v>
      </c>
      <c r="N5268" s="0" t="n">
        <v>20</v>
      </c>
      <c r="O5268" s="0" t="n">
        <v>120</v>
      </c>
      <c r="P5268" s="0" t="s">
        <v>2444</v>
      </c>
    </row>
    <row r="5269" customFormat="false" ht="15" hidden="false" customHeight="true" outlineLevel="0" collapsed="false">
      <c r="A5269" s="0" t="n">
        <v>2</v>
      </c>
      <c r="B5269" s="71" t="n">
        <v>46238</v>
      </c>
      <c r="C5269" s="0" t="n">
        <v>6</v>
      </c>
      <c r="D5269" s="0" t="s">
        <v>2553</v>
      </c>
      <c r="E5269" s="0" t="n">
        <v>48</v>
      </c>
      <c r="F5269" s="0" t="s">
        <v>153</v>
      </c>
      <c r="I5269" s="0" t="n">
        <v>2585</v>
      </c>
      <c r="J5269" s="0" t="n">
        <v>100113</v>
      </c>
      <c r="K5269" s="0" t="n">
        <v>114</v>
      </c>
      <c r="L5269" s="0" t="s">
        <v>2539</v>
      </c>
      <c r="N5269" s="0" t="n">
        <v>20</v>
      </c>
      <c r="O5269" s="0" t="n">
        <v>55</v>
      </c>
      <c r="P5269" s="0" t="s">
        <v>2444</v>
      </c>
    </row>
    <row r="5270" customFormat="false" ht="15" hidden="false" customHeight="true" outlineLevel="0" collapsed="false">
      <c r="A5270" s="0" t="n">
        <v>2</v>
      </c>
      <c r="B5270" s="71" t="n">
        <v>46238</v>
      </c>
      <c r="C5270" s="0" t="n">
        <v>6</v>
      </c>
      <c r="D5270" s="0" t="s">
        <v>2553</v>
      </c>
      <c r="E5270" s="0" t="n">
        <v>48</v>
      </c>
      <c r="F5270" s="0" t="s">
        <v>153</v>
      </c>
      <c r="I5270" s="0" t="n">
        <v>2585</v>
      </c>
      <c r="J5270" s="0" t="n">
        <v>100115</v>
      </c>
      <c r="K5270" s="0" t="n">
        <v>116</v>
      </c>
      <c r="L5270" s="0" t="s">
        <v>2694</v>
      </c>
      <c r="N5270" s="0" t="n">
        <v>15</v>
      </c>
      <c r="O5270" s="0" t="n">
        <v>100</v>
      </c>
      <c r="P5270" s="0" t="s">
        <v>2444</v>
      </c>
    </row>
    <row r="5271" customFormat="false" ht="15" hidden="false" customHeight="true" outlineLevel="0" collapsed="false">
      <c r="A5271" s="0" t="n">
        <v>2</v>
      </c>
      <c r="B5271" s="71" t="n">
        <v>46238</v>
      </c>
      <c r="C5271" s="0" t="n">
        <v>6</v>
      </c>
      <c r="D5271" s="0" t="s">
        <v>2553</v>
      </c>
      <c r="E5271" s="0" t="n">
        <v>48</v>
      </c>
      <c r="F5271" s="0" t="s">
        <v>153</v>
      </c>
      <c r="I5271" s="0" t="n">
        <v>2585</v>
      </c>
      <c r="J5271" s="0" t="n">
        <v>100116</v>
      </c>
      <c r="K5271" s="0" t="n">
        <v>117</v>
      </c>
      <c r="L5271" s="0" t="s">
        <v>2540</v>
      </c>
      <c r="N5271" s="0" t="n">
        <v>2</v>
      </c>
      <c r="O5271" s="0" t="n">
        <v>30</v>
      </c>
      <c r="P5271" s="0" t="s">
        <v>2444</v>
      </c>
    </row>
    <row r="5272" customFormat="false" ht="15" hidden="false" customHeight="true" outlineLevel="0" collapsed="false">
      <c r="A5272" s="0" t="n">
        <v>2</v>
      </c>
      <c r="B5272" s="71" t="n">
        <v>46238</v>
      </c>
      <c r="C5272" s="0" t="n">
        <v>6</v>
      </c>
      <c r="D5272" s="0" t="s">
        <v>2553</v>
      </c>
      <c r="E5272" s="0" t="n">
        <v>48</v>
      </c>
      <c r="F5272" s="0" t="s">
        <v>153</v>
      </c>
      <c r="I5272" s="0" t="n">
        <v>2585</v>
      </c>
      <c r="J5272" s="0" t="n">
        <v>100121</v>
      </c>
      <c r="K5272" s="0" t="n">
        <v>122</v>
      </c>
      <c r="L5272" s="0" t="s">
        <v>2542</v>
      </c>
      <c r="N5272" s="0" t="n">
        <v>2</v>
      </c>
      <c r="O5272" s="0" t="n">
        <v>20</v>
      </c>
      <c r="P5272" s="0" t="s">
        <v>2444</v>
      </c>
    </row>
    <row r="5273" customFormat="false" ht="15" hidden="false" customHeight="true" outlineLevel="0" collapsed="false">
      <c r="A5273" s="0" t="n">
        <v>2</v>
      </c>
      <c r="B5273" s="71" t="n">
        <v>46238</v>
      </c>
      <c r="C5273" s="0" t="n">
        <v>6</v>
      </c>
      <c r="D5273" s="0" t="s">
        <v>2553</v>
      </c>
      <c r="E5273" s="0" t="n">
        <v>48</v>
      </c>
      <c r="F5273" s="0" t="s">
        <v>153</v>
      </c>
      <c r="I5273" s="0" t="n">
        <v>2585</v>
      </c>
      <c r="J5273" s="0" t="n">
        <v>100122</v>
      </c>
      <c r="K5273" s="0" t="n">
        <v>123</v>
      </c>
      <c r="L5273" s="0" t="s">
        <v>2543</v>
      </c>
      <c r="N5273" s="0" t="n">
        <v>2</v>
      </c>
      <c r="O5273" s="0" t="n">
        <v>20</v>
      </c>
      <c r="P5273" s="0" t="s">
        <v>2444</v>
      </c>
    </row>
    <row r="5274" customFormat="false" ht="15" hidden="false" customHeight="true" outlineLevel="0" collapsed="false">
      <c r="A5274" s="0" t="n">
        <v>2</v>
      </c>
      <c r="B5274" s="71" t="n">
        <v>46238</v>
      </c>
      <c r="C5274" s="0" t="n">
        <v>6</v>
      </c>
      <c r="D5274" s="0" t="s">
        <v>2553</v>
      </c>
      <c r="E5274" s="0" t="n">
        <v>48</v>
      </c>
      <c r="F5274" s="0" t="s">
        <v>153</v>
      </c>
      <c r="I5274" s="0" t="n">
        <v>2585</v>
      </c>
      <c r="J5274" s="0" t="n">
        <v>100124</v>
      </c>
      <c r="K5274" s="0" t="n">
        <v>125</v>
      </c>
      <c r="L5274" s="0" t="s">
        <v>2695</v>
      </c>
      <c r="N5274" s="0" t="n">
        <v>5</v>
      </c>
      <c r="O5274" s="0" t="n">
        <v>55</v>
      </c>
      <c r="P5274" s="0" t="s">
        <v>2444</v>
      </c>
    </row>
    <row r="5275" customFormat="false" ht="15" hidden="false" customHeight="true" outlineLevel="0" collapsed="false">
      <c r="A5275" s="0" t="n">
        <v>2</v>
      </c>
      <c r="B5275" s="71" t="n">
        <v>46238</v>
      </c>
      <c r="C5275" s="0" t="n">
        <v>6</v>
      </c>
      <c r="D5275" s="0" t="s">
        <v>2553</v>
      </c>
      <c r="E5275" s="0" t="n">
        <v>48</v>
      </c>
      <c r="F5275" s="0" t="s">
        <v>153</v>
      </c>
      <c r="I5275" s="0" t="n">
        <v>2585</v>
      </c>
      <c r="J5275" s="0" t="n">
        <v>100125</v>
      </c>
      <c r="K5275" s="0" t="n">
        <v>126</v>
      </c>
      <c r="L5275" s="0" t="s">
        <v>2597</v>
      </c>
      <c r="N5275" s="0" t="n">
        <v>20</v>
      </c>
      <c r="O5275" s="0" t="n">
        <v>100</v>
      </c>
      <c r="P5275" s="0" t="s">
        <v>2444</v>
      </c>
    </row>
    <row r="5276" customFormat="false" ht="15" hidden="false" customHeight="true" outlineLevel="0" collapsed="false">
      <c r="A5276" s="0" t="n">
        <v>2</v>
      </c>
      <c r="B5276" s="71" t="n">
        <v>46238</v>
      </c>
      <c r="C5276" s="0" t="n">
        <v>6</v>
      </c>
      <c r="D5276" s="0" t="s">
        <v>2553</v>
      </c>
      <c r="E5276" s="0" t="n">
        <v>48</v>
      </c>
      <c r="F5276" s="0" t="s">
        <v>153</v>
      </c>
      <c r="I5276" s="0" t="n">
        <v>2585</v>
      </c>
      <c r="J5276" s="0" t="n">
        <v>100129</v>
      </c>
      <c r="K5276" s="0" t="n">
        <v>130</v>
      </c>
      <c r="L5276" s="0" t="s">
        <v>2598</v>
      </c>
      <c r="N5276" s="0" t="n">
        <v>13</v>
      </c>
      <c r="O5276" s="0" t="n">
        <v>60</v>
      </c>
      <c r="P5276" s="0" t="s">
        <v>2444</v>
      </c>
    </row>
    <row r="5277" customFormat="false" ht="15" hidden="false" customHeight="true" outlineLevel="0" collapsed="false">
      <c r="A5277" s="0" t="n">
        <v>2</v>
      </c>
      <c r="B5277" s="71" t="n">
        <v>46238</v>
      </c>
      <c r="C5277" s="0" t="n">
        <v>6</v>
      </c>
      <c r="D5277" s="0" t="s">
        <v>2553</v>
      </c>
      <c r="E5277" s="0" t="n">
        <v>48</v>
      </c>
      <c r="F5277" s="0" t="s">
        <v>153</v>
      </c>
      <c r="I5277" s="0" t="n">
        <v>2585</v>
      </c>
      <c r="J5277" s="0" t="n">
        <v>100130</v>
      </c>
      <c r="K5277" s="0" t="n">
        <v>131</v>
      </c>
      <c r="L5277" s="0" t="s">
        <v>2545</v>
      </c>
      <c r="N5277" s="0" t="n">
        <v>20</v>
      </c>
      <c r="O5277" s="0" t="n">
        <v>140</v>
      </c>
      <c r="P5277" s="0" t="s">
        <v>2444</v>
      </c>
    </row>
    <row r="5278" customFormat="false" ht="15" hidden="false" customHeight="true" outlineLevel="0" collapsed="false">
      <c r="A5278" s="0" t="n">
        <v>2</v>
      </c>
      <c r="B5278" s="71" t="n">
        <v>46238</v>
      </c>
      <c r="C5278" s="0" t="n">
        <v>6</v>
      </c>
      <c r="D5278" s="0" t="s">
        <v>2553</v>
      </c>
      <c r="E5278" s="0" t="n">
        <v>48</v>
      </c>
      <c r="F5278" s="0" t="s">
        <v>153</v>
      </c>
      <c r="I5278" s="0" t="n">
        <v>2585</v>
      </c>
      <c r="J5278" s="0" t="n">
        <v>100132</v>
      </c>
      <c r="K5278" s="0" t="n">
        <v>133</v>
      </c>
      <c r="L5278" s="0" t="s">
        <v>2546</v>
      </c>
      <c r="N5278" s="0" t="n">
        <v>45.935</v>
      </c>
      <c r="O5278" s="0" t="n">
        <v>160</v>
      </c>
      <c r="P5278" s="0" t="s">
        <v>2444</v>
      </c>
    </row>
    <row r="5279" customFormat="false" ht="15" hidden="false" customHeight="true" outlineLevel="0" collapsed="false">
      <c r="A5279" s="0" t="n">
        <v>2</v>
      </c>
      <c r="B5279" s="71" t="n">
        <v>46238</v>
      </c>
      <c r="C5279" s="0" t="n">
        <v>6</v>
      </c>
      <c r="D5279" s="0" t="s">
        <v>2553</v>
      </c>
      <c r="E5279" s="0" t="n">
        <v>48</v>
      </c>
      <c r="F5279" s="0" t="s">
        <v>153</v>
      </c>
      <c r="I5279" s="0" t="n">
        <v>2585</v>
      </c>
      <c r="J5279" s="0" t="n">
        <v>100133</v>
      </c>
      <c r="K5279" s="0" t="n">
        <v>134</v>
      </c>
      <c r="L5279" s="0" t="s">
        <v>2547</v>
      </c>
      <c r="N5279" s="0" t="n">
        <v>20</v>
      </c>
      <c r="O5279" s="0" t="n">
        <v>110</v>
      </c>
      <c r="P5279" s="0" t="s">
        <v>2444</v>
      </c>
    </row>
    <row r="5280" customFormat="false" ht="15" hidden="false" customHeight="true" outlineLevel="0" collapsed="false">
      <c r="A5280" s="0" t="n">
        <v>2</v>
      </c>
      <c r="B5280" s="71" t="n">
        <v>46238</v>
      </c>
      <c r="C5280" s="0" t="n">
        <v>6</v>
      </c>
      <c r="D5280" s="0" t="s">
        <v>2553</v>
      </c>
      <c r="E5280" s="0" t="n">
        <v>48</v>
      </c>
      <c r="F5280" s="0" t="s">
        <v>153</v>
      </c>
      <c r="I5280" s="0" t="n">
        <v>2585</v>
      </c>
      <c r="J5280" s="0" t="n">
        <v>110142</v>
      </c>
      <c r="K5280" s="0" t="n">
        <v>16699</v>
      </c>
      <c r="L5280" s="0" t="s">
        <v>2549</v>
      </c>
      <c r="N5280" s="0" t="n">
        <v>40</v>
      </c>
      <c r="O5280" s="0" t="n">
        <v>240</v>
      </c>
      <c r="P5280" s="0" t="s">
        <v>2444</v>
      </c>
    </row>
    <row r="5281" customFormat="false" ht="15" hidden="false" customHeight="true" outlineLevel="0" collapsed="false">
      <c r="A5281" s="0" t="n">
        <v>2</v>
      </c>
      <c r="B5281" s="71" t="n">
        <v>46238</v>
      </c>
      <c r="C5281" s="0" t="n">
        <v>6</v>
      </c>
      <c r="D5281" s="0" t="s">
        <v>2553</v>
      </c>
      <c r="E5281" s="0" t="n">
        <v>48</v>
      </c>
      <c r="F5281" s="0" t="s">
        <v>153</v>
      </c>
      <c r="I5281" s="0" t="n">
        <v>2585</v>
      </c>
      <c r="J5281" s="0" t="n">
        <v>110489</v>
      </c>
      <c r="K5281" s="0" t="n">
        <v>54743</v>
      </c>
      <c r="L5281" s="0" t="s">
        <v>2550</v>
      </c>
      <c r="N5281" s="0" t="n">
        <v>60</v>
      </c>
      <c r="O5281" s="0" t="n">
        <v>420</v>
      </c>
      <c r="P5281" s="0" t="s">
        <v>2444</v>
      </c>
    </row>
    <row r="5282" customFormat="false" ht="15" hidden="false" customHeight="true" outlineLevel="0" collapsed="false">
      <c r="A5282" s="0" t="n">
        <v>2</v>
      </c>
      <c r="B5282" s="71" t="n">
        <v>46238</v>
      </c>
      <c r="C5282" s="0" t="n">
        <v>6</v>
      </c>
      <c r="D5282" s="0" t="s">
        <v>2553</v>
      </c>
      <c r="E5282" s="0" t="n">
        <v>48</v>
      </c>
      <c r="F5282" s="0" t="s">
        <v>153</v>
      </c>
      <c r="I5282" s="0" t="n">
        <v>2585</v>
      </c>
      <c r="J5282" s="0" t="n">
        <v>80078</v>
      </c>
      <c r="K5282" s="0" t="n">
        <v>710</v>
      </c>
      <c r="L5282" s="0" t="s">
        <v>2551</v>
      </c>
      <c r="N5282" s="0" t="n">
        <v>10</v>
      </c>
      <c r="O5282" s="0" t="n">
        <v>30</v>
      </c>
      <c r="P5282" s="0" t="s">
        <v>2444</v>
      </c>
    </row>
    <row r="5283" customFormat="false" ht="15" hidden="false" customHeight="true" outlineLevel="0" collapsed="false">
      <c r="A5283" s="0" t="n">
        <v>2</v>
      </c>
      <c r="B5283" s="71" t="n">
        <v>46238</v>
      </c>
      <c r="C5283" s="0" t="n">
        <v>6</v>
      </c>
      <c r="D5283" s="0" t="s">
        <v>2553</v>
      </c>
      <c r="E5283" s="0" t="n">
        <v>48</v>
      </c>
      <c r="F5283" s="0" t="s">
        <v>153</v>
      </c>
      <c r="I5283" s="0" t="n">
        <v>2585</v>
      </c>
      <c r="J5283" s="0" t="n">
        <v>80308</v>
      </c>
      <c r="K5283" s="0" t="n">
        <v>1250</v>
      </c>
      <c r="L5283" s="0" t="s">
        <v>2552</v>
      </c>
      <c r="N5283" s="0" t="n">
        <v>25</v>
      </c>
      <c r="O5283" s="0" t="n">
        <v>100</v>
      </c>
      <c r="P5283" s="0" t="s">
        <v>2444</v>
      </c>
    </row>
    <row r="5284" customFormat="false" ht="15" hidden="false" customHeight="true" outlineLevel="0" collapsed="false">
      <c r="A5284" s="0" t="n">
        <v>2</v>
      </c>
      <c r="B5284" s="71" t="n">
        <v>46238</v>
      </c>
      <c r="C5284" s="0" t="n">
        <v>11</v>
      </c>
      <c r="D5284" s="0" t="s">
        <v>2471</v>
      </c>
      <c r="E5284" s="0" t="n">
        <v>642</v>
      </c>
      <c r="F5284" s="0" t="s">
        <v>123</v>
      </c>
      <c r="I5284" s="0" t="n">
        <v>577</v>
      </c>
      <c r="J5284" s="0" t="n">
        <v>71766</v>
      </c>
      <c r="K5284" s="0" t="n">
        <v>779180</v>
      </c>
      <c r="L5284" s="0" t="s">
        <v>2501</v>
      </c>
      <c r="N5284" s="0" t="n">
        <v>15</v>
      </c>
      <c r="O5284" s="0" t="n">
        <v>180</v>
      </c>
      <c r="P5284" s="0" t="s">
        <v>2444</v>
      </c>
    </row>
    <row r="5285" customFormat="false" ht="15" hidden="false" customHeight="true" outlineLevel="0" collapsed="false">
      <c r="A5285" s="0" t="n">
        <v>2</v>
      </c>
      <c r="B5285" s="71" t="n">
        <v>46238</v>
      </c>
      <c r="C5285" s="0" t="n">
        <v>11</v>
      </c>
      <c r="D5285" s="0" t="s">
        <v>2471</v>
      </c>
      <c r="E5285" s="0" t="n">
        <v>1328</v>
      </c>
      <c r="F5285" s="0" t="s">
        <v>95</v>
      </c>
      <c r="I5285" s="0" t="n">
        <v>4280</v>
      </c>
      <c r="J5285" s="0" t="n">
        <v>50310</v>
      </c>
      <c r="K5285" s="0" t="n">
        <v>7898588380101</v>
      </c>
      <c r="L5285" s="0" t="s">
        <v>2502</v>
      </c>
      <c r="N5285" s="0" t="n">
        <v>2</v>
      </c>
      <c r="O5285" s="0" t="n">
        <v>14.5</v>
      </c>
      <c r="P5285" s="0" t="s">
        <v>2444</v>
      </c>
    </row>
    <row r="5286" customFormat="false" ht="15" hidden="false" customHeight="true" outlineLevel="0" collapsed="false">
      <c r="A5286" s="0" t="n">
        <v>2</v>
      </c>
      <c r="B5286" s="71" t="n">
        <v>46238</v>
      </c>
      <c r="C5286" s="0" t="n">
        <v>11</v>
      </c>
      <c r="D5286" s="0" t="s">
        <v>2471</v>
      </c>
      <c r="E5286" s="0" t="n">
        <v>1328</v>
      </c>
      <c r="F5286" s="0" t="s">
        <v>95</v>
      </c>
      <c r="I5286" s="0" t="n">
        <v>4280</v>
      </c>
      <c r="J5286" s="0" t="n">
        <v>21045</v>
      </c>
      <c r="K5286" s="0" t="n">
        <v>7898588380255</v>
      </c>
      <c r="L5286" s="0" t="s">
        <v>2503</v>
      </c>
      <c r="N5286" s="0" t="n">
        <v>4</v>
      </c>
      <c r="O5286" s="0" t="n">
        <v>22</v>
      </c>
      <c r="P5286" s="0" t="s">
        <v>2444</v>
      </c>
    </row>
    <row r="5287" customFormat="false" ht="15" hidden="false" customHeight="true" outlineLevel="0" collapsed="false">
      <c r="A5287" s="0" t="n">
        <v>2</v>
      </c>
      <c r="B5287" s="71" t="n">
        <v>46238</v>
      </c>
      <c r="C5287" s="0" t="n">
        <v>11</v>
      </c>
      <c r="D5287" s="0" t="s">
        <v>2471</v>
      </c>
      <c r="E5287" s="0" t="n">
        <v>1328</v>
      </c>
      <c r="F5287" s="0" t="s">
        <v>95</v>
      </c>
      <c r="I5287" s="0" t="n">
        <v>4280</v>
      </c>
      <c r="J5287" s="0" t="n">
        <v>21060</v>
      </c>
      <c r="K5287" s="0" t="n">
        <v>7898588380118</v>
      </c>
      <c r="L5287" s="0" t="s">
        <v>2504</v>
      </c>
      <c r="N5287" s="0" t="n">
        <v>12</v>
      </c>
      <c r="O5287" s="0" t="n">
        <v>78</v>
      </c>
      <c r="P5287" s="0" t="s">
        <v>2444</v>
      </c>
    </row>
    <row r="5288" customFormat="false" ht="15" hidden="false" customHeight="true" outlineLevel="0" collapsed="false">
      <c r="A5288" s="0" t="n">
        <v>2</v>
      </c>
      <c r="B5288" s="71" t="n">
        <v>46238</v>
      </c>
      <c r="C5288" s="0" t="n">
        <v>11</v>
      </c>
      <c r="D5288" s="0" t="s">
        <v>2471</v>
      </c>
      <c r="E5288" s="0" t="n">
        <v>1328</v>
      </c>
      <c r="F5288" s="0" t="s">
        <v>95</v>
      </c>
      <c r="I5288" s="0" t="n">
        <v>4280</v>
      </c>
      <c r="J5288" s="0" t="n">
        <v>31789</v>
      </c>
      <c r="K5288" s="0" t="n">
        <v>7898588380149</v>
      </c>
      <c r="L5288" s="0" t="s">
        <v>2446</v>
      </c>
      <c r="N5288" s="0" t="n">
        <v>2</v>
      </c>
      <c r="O5288" s="0" t="n">
        <v>11</v>
      </c>
      <c r="P5288" s="0" t="s">
        <v>2444</v>
      </c>
    </row>
    <row r="5289" customFormat="false" ht="15" hidden="false" customHeight="true" outlineLevel="0" collapsed="false">
      <c r="A5289" s="0" t="n">
        <v>2</v>
      </c>
      <c r="B5289" s="71" t="n">
        <v>46238</v>
      </c>
      <c r="C5289" s="0" t="n">
        <v>11</v>
      </c>
      <c r="D5289" s="0" t="s">
        <v>2471</v>
      </c>
      <c r="E5289" s="0" t="n">
        <v>1328</v>
      </c>
      <c r="F5289" s="0" t="s">
        <v>95</v>
      </c>
      <c r="I5289" s="0" t="n">
        <v>4280</v>
      </c>
      <c r="J5289" s="0" t="n">
        <v>31782</v>
      </c>
      <c r="K5289" s="0" t="n">
        <v>7898588380132</v>
      </c>
      <c r="L5289" s="0" t="s">
        <v>2505</v>
      </c>
      <c r="N5289" s="0" t="n">
        <v>3</v>
      </c>
      <c r="O5289" s="0" t="n">
        <v>16.5</v>
      </c>
      <c r="P5289" s="0" t="s">
        <v>2444</v>
      </c>
    </row>
    <row r="5290" customFormat="false" ht="15" hidden="false" customHeight="true" outlineLevel="0" collapsed="false">
      <c r="A5290" s="0" t="n">
        <v>2</v>
      </c>
      <c r="B5290" s="71" t="n">
        <v>46238</v>
      </c>
      <c r="C5290" s="0" t="n">
        <v>11</v>
      </c>
      <c r="D5290" s="0" t="s">
        <v>2471</v>
      </c>
      <c r="E5290" s="0" t="n">
        <v>1328</v>
      </c>
      <c r="F5290" s="0" t="s">
        <v>95</v>
      </c>
      <c r="I5290" s="0" t="n">
        <v>4280</v>
      </c>
      <c r="J5290" s="0" t="n">
        <v>31784</v>
      </c>
      <c r="K5290" s="0" t="n">
        <v>7898588380545</v>
      </c>
      <c r="L5290" s="0" t="s">
        <v>2590</v>
      </c>
      <c r="N5290" s="0" t="n">
        <v>4</v>
      </c>
      <c r="O5290" s="0" t="n">
        <v>22</v>
      </c>
      <c r="P5290" s="0" t="s">
        <v>2444</v>
      </c>
    </row>
    <row r="5291" customFormat="false" ht="15" hidden="false" customHeight="true" outlineLevel="0" collapsed="false">
      <c r="A5291" s="0" t="n">
        <v>2</v>
      </c>
      <c r="B5291" s="71" t="n">
        <v>46238</v>
      </c>
      <c r="C5291" s="0" t="n">
        <v>11</v>
      </c>
      <c r="D5291" s="0" t="s">
        <v>2471</v>
      </c>
      <c r="E5291" s="0" t="n">
        <v>1328</v>
      </c>
      <c r="F5291" s="0" t="s">
        <v>95</v>
      </c>
      <c r="I5291" s="0" t="n">
        <v>4280</v>
      </c>
      <c r="J5291" s="0" t="n">
        <v>31786</v>
      </c>
      <c r="K5291" s="0" t="n">
        <v>7898588380187</v>
      </c>
      <c r="L5291" s="0" t="s">
        <v>2506</v>
      </c>
      <c r="N5291" s="0" t="n">
        <v>4</v>
      </c>
      <c r="O5291" s="0" t="n">
        <v>22</v>
      </c>
      <c r="P5291" s="0" t="s">
        <v>2444</v>
      </c>
    </row>
    <row r="5292" customFormat="false" ht="15" hidden="false" customHeight="true" outlineLevel="0" collapsed="false">
      <c r="A5292" s="0" t="n">
        <v>2</v>
      </c>
      <c r="B5292" s="71" t="n">
        <v>46238</v>
      </c>
      <c r="C5292" s="0" t="n">
        <v>11</v>
      </c>
      <c r="D5292" s="0" t="s">
        <v>2471</v>
      </c>
      <c r="E5292" s="0" t="n">
        <v>1328</v>
      </c>
      <c r="F5292" s="0" t="s">
        <v>95</v>
      </c>
      <c r="I5292" s="0" t="n">
        <v>4280</v>
      </c>
      <c r="J5292" s="0" t="n">
        <v>31787</v>
      </c>
      <c r="K5292" s="0" t="n">
        <v>7898588380125</v>
      </c>
      <c r="L5292" s="0" t="s">
        <v>2507</v>
      </c>
      <c r="N5292" s="0" t="n">
        <v>2</v>
      </c>
      <c r="O5292" s="0" t="n">
        <v>16.8</v>
      </c>
      <c r="P5292" s="0" t="s">
        <v>2444</v>
      </c>
    </row>
    <row r="5293" customFormat="false" ht="15" hidden="false" customHeight="true" outlineLevel="0" collapsed="false">
      <c r="A5293" s="0" t="n">
        <v>2</v>
      </c>
      <c r="B5293" s="71" t="n">
        <v>46238</v>
      </c>
      <c r="C5293" s="0" t="n">
        <v>11</v>
      </c>
      <c r="D5293" s="0" t="s">
        <v>2471</v>
      </c>
      <c r="E5293" s="0" t="n">
        <v>1328</v>
      </c>
      <c r="F5293" s="0" t="s">
        <v>95</v>
      </c>
      <c r="I5293" s="0" t="n">
        <v>4280</v>
      </c>
      <c r="J5293" s="0" t="n">
        <v>31790</v>
      </c>
      <c r="K5293" s="0" t="n">
        <v>7898588380231</v>
      </c>
      <c r="L5293" s="0" t="s">
        <v>2508</v>
      </c>
      <c r="N5293" s="0" t="n">
        <v>3</v>
      </c>
      <c r="O5293" s="0" t="n">
        <v>16.5</v>
      </c>
      <c r="P5293" s="0" t="s">
        <v>2444</v>
      </c>
    </row>
    <row r="5294" customFormat="false" ht="15" hidden="false" customHeight="true" outlineLevel="0" collapsed="false">
      <c r="A5294" s="0" t="n">
        <v>2</v>
      </c>
      <c r="B5294" s="71" t="n">
        <v>46238</v>
      </c>
      <c r="C5294" s="0" t="n">
        <v>11</v>
      </c>
      <c r="D5294" s="0" t="s">
        <v>2471</v>
      </c>
      <c r="E5294" s="0" t="n">
        <v>1683</v>
      </c>
      <c r="F5294" s="0" t="s">
        <v>406</v>
      </c>
      <c r="I5294" s="0" t="n">
        <v>1657518</v>
      </c>
      <c r="J5294" s="0" t="n">
        <v>109791</v>
      </c>
      <c r="K5294" s="0" t="n">
        <v>9667</v>
      </c>
      <c r="L5294" s="0" t="s">
        <v>2465</v>
      </c>
      <c r="N5294" s="0" t="n">
        <v>14</v>
      </c>
      <c r="O5294" s="0" t="n">
        <v>21</v>
      </c>
      <c r="P5294" s="0" t="s">
        <v>2444</v>
      </c>
    </row>
    <row r="5295" customFormat="false" ht="15" hidden="false" customHeight="true" outlineLevel="0" collapsed="false">
      <c r="A5295" s="0" t="n">
        <v>2</v>
      </c>
      <c r="B5295" s="71" t="n">
        <v>46238</v>
      </c>
      <c r="C5295" s="0" t="n">
        <v>11</v>
      </c>
      <c r="D5295" s="0" t="s">
        <v>2471</v>
      </c>
      <c r="E5295" s="0" t="n">
        <v>1683</v>
      </c>
      <c r="F5295" s="0" t="s">
        <v>406</v>
      </c>
      <c r="I5295" s="0" t="n">
        <v>1657518</v>
      </c>
      <c r="J5295" s="0" t="n">
        <v>37359</v>
      </c>
      <c r="K5295" s="0" t="n">
        <v>55526</v>
      </c>
      <c r="L5295" s="0" t="s">
        <v>2466</v>
      </c>
      <c r="N5295" s="0" t="n">
        <v>7</v>
      </c>
      <c r="O5295" s="0" t="n">
        <v>24.5</v>
      </c>
      <c r="P5295" s="0" t="s">
        <v>2444</v>
      </c>
    </row>
    <row r="5296" customFormat="false" ht="15" hidden="false" customHeight="true" outlineLevel="0" collapsed="false">
      <c r="A5296" s="0" t="n">
        <v>2</v>
      </c>
      <c r="B5296" s="71" t="n">
        <v>46238</v>
      </c>
      <c r="C5296" s="0" t="n">
        <v>11</v>
      </c>
      <c r="D5296" s="0" t="s">
        <v>2471</v>
      </c>
      <c r="E5296" s="0" t="n">
        <v>1683</v>
      </c>
      <c r="F5296" s="0" t="s">
        <v>406</v>
      </c>
      <c r="I5296" s="0" t="n">
        <v>1657518</v>
      </c>
      <c r="J5296" s="0" t="n">
        <v>37361</v>
      </c>
      <c r="K5296" s="0" t="n">
        <v>2240817</v>
      </c>
      <c r="L5296" s="0" t="s">
        <v>2467</v>
      </c>
      <c r="N5296" s="0" t="n">
        <v>55</v>
      </c>
      <c r="O5296" s="0" t="n">
        <v>99</v>
      </c>
      <c r="P5296" s="0" t="s">
        <v>2444</v>
      </c>
    </row>
    <row r="5297" customFormat="false" ht="15" hidden="false" customHeight="true" outlineLevel="0" collapsed="false">
      <c r="A5297" s="0" t="n">
        <v>2</v>
      </c>
      <c r="B5297" s="71" t="n">
        <v>46238</v>
      </c>
      <c r="C5297" s="0" t="n">
        <v>171</v>
      </c>
      <c r="D5297" s="0" t="s">
        <v>3017</v>
      </c>
      <c r="E5297" s="0" t="n">
        <v>1636</v>
      </c>
      <c r="F5297" s="0" t="s">
        <v>61</v>
      </c>
      <c r="I5297" s="0" t="n">
        <v>3213307</v>
      </c>
      <c r="J5297" s="0" t="n">
        <v>22246</v>
      </c>
      <c r="K5297" s="0" t="n">
        <v>7896000705952</v>
      </c>
      <c r="L5297" s="0" t="s">
        <v>4075</v>
      </c>
      <c r="N5297" s="0" t="n">
        <v>1</v>
      </c>
      <c r="O5297" s="0" t="n">
        <v>10.13</v>
      </c>
      <c r="P5297" s="0" t="s">
        <v>3019</v>
      </c>
    </row>
    <row r="5298" customFormat="false" ht="15" hidden="false" customHeight="true" outlineLevel="0" collapsed="false">
      <c r="A5298" s="0" t="n">
        <v>2</v>
      </c>
      <c r="B5298" s="71" t="n">
        <v>46238</v>
      </c>
      <c r="C5298" s="0" t="n">
        <v>171</v>
      </c>
      <c r="D5298" s="0" t="s">
        <v>3017</v>
      </c>
      <c r="E5298" s="0" t="n">
        <v>1636</v>
      </c>
      <c r="F5298" s="0" t="s">
        <v>61</v>
      </c>
      <c r="I5298" s="0" t="n">
        <v>3213307</v>
      </c>
      <c r="J5298" s="0" t="n">
        <v>22253</v>
      </c>
      <c r="K5298" s="0" t="n">
        <v>7896000705969</v>
      </c>
      <c r="L5298" s="0" t="s">
        <v>4076</v>
      </c>
      <c r="N5298" s="0" t="n">
        <v>1</v>
      </c>
      <c r="O5298" s="0" t="n">
        <v>10.13</v>
      </c>
      <c r="P5298" s="0" t="s">
        <v>3019</v>
      </c>
    </row>
    <row r="5299" customFormat="false" ht="15" hidden="false" customHeight="true" outlineLevel="0" collapsed="false">
      <c r="A5299" s="0" t="n">
        <v>2</v>
      </c>
      <c r="B5299" s="71" t="n">
        <v>46238</v>
      </c>
      <c r="C5299" s="0" t="n">
        <v>171</v>
      </c>
      <c r="D5299" s="0" t="s">
        <v>3017</v>
      </c>
      <c r="E5299" s="0" t="n">
        <v>1636</v>
      </c>
      <c r="F5299" s="0" t="s">
        <v>61</v>
      </c>
      <c r="I5299" s="0" t="n">
        <v>3213307</v>
      </c>
      <c r="J5299" s="0" t="n">
        <v>22257</v>
      </c>
      <c r="K5299" s="0" t="n">
        <v>7896000705945</v>
      </c>
      <c r="L5299" s="0" t="s">
        <v>4077</v>
      </c>
      <c r="N5299" s="0" t="n">
        <v>1</v>
      </c>
      <c r="O5299" s="0" t="n">
        <v>10.13</v>
      </c>
      <c r="P5299" s="0" t="s">
        <v>3019</v>
      </c>
    </row>
    <row r="5300" customFormat="false" ht="15" hidden="false" customHeight="true" outlineLevel="0" collapsed="false">
      <c r="A5300" s="0" t="n">
        <v>2</v>
      </c>
      <c r="B5300" s="71" t="n">
        <v>46238</v>
      </c>
      <c r="C5300" s="0" t="n">
        <v>171</v>
      </c>
      <c r="D5300" s="0" t="s">
        <v>3017</v>
      </c>
      <c r="E5300" s="0" t="n">
        <v>1636</v>
      </c>
      <c r="F5300" s="0" t="s">
        <v>61</v>
      </c>
      <c r="I5300" s="0" t="n">
        <v>3213307</v>
      </c>
      <c r="J5300" s="0" t="n">
        <v>22259</v>
      </c>
      <c r="K5300" s="0" t="n">
        <v>7896000705976</v>
      </c>
      <c r="L5300" s="0" t="s">
        <v>4667</v>
      </c>
      <c r="N5300" s="0" t="n">
        <v>1</v>
      </c>
      <c r="O5300" s="0" t="n">
        <v>10.13</v>
      </c>
      <c r="P5300" s="0" t="s">
        <v>3019</v>
      </c>
    </row>
    <row r="5301" customFormat="false" ht="15" hidden="false" customHeight="true" outlineLevel="0" collapsed="false">
      <c r="A5301" s="0" t="n">
        <v>2</v>
      </c>
      <c r="B5301" s="71" t="n">
        <v>46238</v>
      </c>
      <c r="C5301" s="0" t="n">
        <v>171</v>
      </c>
      <c r="D5301" s="0" t="s">
        <v>3017</v>
      </c>
      <c r="E5301" s="0" t="n">
        <v>1636</v>
      </c>
      <c r="F5301" s="0" t="s">
        <v>61</v>
      </c>
      <c r="I5301" s="0" t="n">
        <v>3213307</v>
      </c>
      <c r="J5301" s="0" t="n">
        <v>30437</v>
      </c>
      <c r="K5301" s="0" t="n">
        <v>7896000727534</v>
      </c>
      <c r="L5301" s="0" t="s">
        <v>4082</v>
      </c>
      <c r="N5301" s="0" t="n">
        <v>1</v>
      </c>
      <c r="O5301" s="0" t="n">
        <v>10.13</v>
      </c>
      <c r="P5301" s="0" t="s">
        <v>3019</v>
      </c>
    </row>
    <row r="5302" customFormat="false" ht="15" hidden="false" customHeight="true" outlineLevel="0" collapsed="false">
      <c r="A5302" s="0" t="n">
        <v>2</v>
      </c>
      <c r="B5302" s="71" t="n">
        <v>46238</v>
      </c>
      <c r="C5302" s="0" t="n">
        <v>171</v>
      </c>
      <c r="D5302" s="0" t="s">
        <v>3017</v>
      </c>
      <c r="E5302" s="0" t="n">
        <v>1636</v>
      </c>
      <c r="F5302" s="0" t="s">
        <v>61</v>
      </c>
      <c r="I5302" s="0" t="n">
        <v>3213307</v>
      </c>
      <c r="J5302" s="0" t="n">
        <v>62365</v>
      </c>
      <c r="K5302" s="0" t="n">
        <v>7908615062457</v>
      </c>
      <c r="L5302" s="0" t="s">
        <v>4668</v>
      </c>
      <c r="N5302" s="0" t="n">
        <v>1</v>
      </c>
      <c r="O5302" s="0" t="n">
        <v>12.48</v>
      </c>
      <c r="P5302" s="0" t="s">
        <v>3019</v>
      </c>
    </row>
    <row r="5303" customFormat="false" ht="15" hidden="false" customHeight="true" outlineLevel="0" collapsed="false">
      <c r="A5303" s="0" t="n">
        <v>2</v>
      </c>
      <c r="B5303" s="71" t="n">
        <v>46238</v>
      </c>
      <c r="C5303" s="0" t="n">
        <v>171</v>
      </c>
      <c r="D5303" s="0" t="s">
        <v>3017</v>
      </c>
      <c r="E5303" s="0" t="n">
        <v>1636</v>
      </c>
      <c r="F5303" s="0" t="s">
        <v>61</v>
      </c>
      <c r="I5303" s="0" t="n">
        <v>3213307</v>
      </c>
      <c r="J5303" s="0" t="n">
        <v>64126</v>
      </c>
      <c r="K5303" s="0" t="n">
        <v>7908615060385</v>
      </c>
      <c r="L5303" s="0" t="s">
        <v>4669</v>
      </c>
      <c r="N5303" s="0" t="n">
        <v>1</v>
      </c>
      <c r="O5303" s="0" t="n">
        <v>14.69</v>
      </c>
      <c r="P5303" s="0" t="s">
        <v>3019</v>
      </c>
    </row>
    <row r="5304" customFormat="false" ht="15" hidden="false" customHeight="true" outlineLevel="0" collapsed="false">
      <c r="A5304" s="0" t="n">
        <v>2</v>
      </c>
      <c r="B5304" s="71" t="n">
        <v>46238</v>
      </c>
      <c r="C5304" s="0" t="n">
        <v>171</v>
      </c>
      <c r="D5304" s="0" t="s">
        <v>3017</v>
      </c>
      <c r="E5304" s="0" t="n">
        <v>1636</v>
      </c>
      <c r="F5304" s="0" t="s">
        <v>61</v>
      </c>
      <c r="I5304" s="0" t="n">
        <v>3213307</v>
      </c>
      <c r="J5304" s="0" t="n">
        <v>72984</v>
      </c>
      <c r="K5304" s="0" t="n">
        <v>7908785461654</v>
      </c>
      <c r="L5304" s="0" t="s">
        <v>4110</v>
      </c>
      <c r="N5304" s="0" t="n">
        <v>1</v>
      </c>
      <c r="O5304" s="0" t="n">
        <v>15.82</v>
      </c>
      <c r="P5304" s="0" t="s">
        <v>3019</v>
      </c>
    </row>
    <row r="5305" customFormat="false" ht="15" hidden="false" customHeight="true" outlineLevel="0" collapsed="false">
      <c r="A5305" s="0" t="n">
        <v>2</v>
      </c>
      <c r="B5305" s="71" t="n">
        <v>46238</v>
      </c>
      <c r="C5305" s="0" t="n">
        <v>171</v>
      </c>
      <c r="D5305" s="0" t="s">
        <v>3017</v>
      </c>
      <c r="E5305" s="0" t="n">
        <v>1636</v>
      </c>
      <c r="F5305" s="0" t="s">
        <v>61</v>
      </c>
      <c r="I5305" s="0" t="n">
        <v>3213307</v>
      </c>
      <c r="J5305" s="0" t="n">
        <v>72985</v>
      </c>
      <c r="K5305" s="0" t="n">
        <v>7908785461753</v>
      </c>
      <c r="L5305" s="0" t="s">
        <v>4111</v>
      </c>
      <c r="N5305" s="0" t="n">
        <v>1</v>
      </c>
      <c r="O5305" s="0" t="n">
        <v>14.69</v>
      </c>
      <c r="P5305" s="0" t="s">
        <v>3019</v>
      </c>
    </row>
    <row r="5306" customFormat="false" ht="15" hidden="false" customHeight="true" outlineLevel="0" collapsed="false">
      <c r="A5306" s="0" t="n">
        <v>2</v>
      </c>
      <c r="B5306" s="71" t="n">
        <v>46238</v>
      </c>
      <c r="C5306" s="0" t="n">
        <v>171</v>
      </c>
      <c r="D5306" s="0" t="s">
        <v>3017</v>
      </c>
      <c r="E5306" s="0" t="n">
        <v>1636</v>
      </c>
      <c r="F5306" s="0" t="s">
        <v>61</v>
      </c>
      <c r="I5306" s="0" t="n">
        <v>3213307</v>
      </c>
      <c r="J5306" s="0" t="n">
        <v>76492</v>
      </c>
      <c r="K5306" s="0" t="n">
        <v>7908785464525</v>
      </c>
      <c r="L5306" s="0" t="s">
        <v>4670</v>
      </c>
      <c r="N5306" s="0" t="n">
        <v>1</v>
      </c>
      <c r="O5306" s="0" t="n">
        <v>11.66</v>
      </c>
      <c r="P5306" s="0" t="s">
        <v>3019</v>
      </c>
    </row>
    <row r="5307" customFormat="false" ht="15" hidden="false" customHeight="true" outlineLevel="0" collapsed="false">
      <c r="A5307" s="0" t="n">
        <v>2</v>
      </c>
      <c r="B5307" s="71" t="n">
        <v>46238</v>
      </c>
      <c r="C5307" s="0" t="n">
        <v>171</v>
      </c>
      <c r="D5307" s="0" t="s">
        <v>3017</v>
      </c>
      <c r="E5307" s="0" t="n">
        <v>1636</v>
      </c>
      <c r="F5307" s="0" t="s">
        <v>61</v>
      </c>
      <c r="I5307" s="0" t="n">
        <v>3213307</v>
      </c>
      <c r="J5307" s="0" t="n">
        <v>77163</v>
      </c>
      <c r="K5307" s="0" t="n">
        <v>7908785482659</v>
      </c>
      <c r="L5307" s="0" t="s">
        <v>4671</v>
      </c>
      <c r="N5307" s="0" t="n">
        <v>1</v>
      </c>
      <c r="O5307" s="0" t="n">
        <v>8.09</v>
      </c>
      <c r="P5307" s="0" t="s">
        <v>3019</v>
      </c>
    </row>
    <row r="5308" customFormat="false" ht="15" hidden="false" customHeight="true" outlineLevel="0" collapsed="false">
      <c r="A5308" s="0" t="n">
        <v>2</v>
      </c>
      <c r="B5308" s="71" t="n">
        <v>46238</v>
      </c>
      <c r="C5308" s="0" t="n">
        <v>171</v>
      </c>
      <c r="D5308" s="0" t="s">
        <v>3017</v>
      </c>
      <c r="E5308" s="0" t="n">
        <v>1636</v>
      </c>
      <c r="F5308" s="0" t="s">
        <v>61</v>
      </c>
      <c r="I5308" s="0" t="n">
        <v>3213307</v>
      </c>
      <c r="J5308" s="0" t="n">
        <v>78214</v>
      </c>
      <c r="K5308" s="0" t="n">
        <v>7908785490166</v>
      </c>
      <c r="L5308" s="0" t="s">
        <v>4672</v>
      </c>
      <c r="N5308" s="0" t="n">
        <v>1</v>
      </c>
      <c r="O5308" s="0" t="n">
        <v>18.69</v>
      </c>
      <c r="P5308" s="0" t="s">
        <v>3019</v>
      </c>
    </row>
    <row r="5309" customFormat="false" ht="15" hidden="false" customHeight="true" outlineLevel="0" collapsed="false">
      <c r="A5309" s="0" t="n">
        <v>2</v>
      </c>
      <c r="B5309" s="71" t="n">
        <v>46238</v>
      </c>
      <c r="C5309" s="0" t="n">
        <v>171</v>
      </c>
      <c r="D5309" s="0" t="s">
        <v>3017</v>
      </c>
      <c r="E5309" s="0" t="n">
        <v>1636</v>
      </c>
      <c r="F5309" s="0" t="s">
        <v>61</v>
      </c>
      <c r="I5309" s="0" t="n">
        <v>3213307</v>
      </c>
      <c r="J5309" s="0" t="n">
        <v>78215</v>
      </c>
      <c r="K5309" s="0" t="n">
        <v>7908785482697</v>
      </c>
      <c r="L5309" s="0" t="s">
        <v>4673</v>
      </c>
      <c r="N5309" s="0" t="n">
        <v>1</v>
      </c>
      <c r="O5309" s="0" t="n">
        <v>15.14</v>
      </c>
      <c r="P5309" s="0" t="s">
        <v>3019</v>
      </c>
    </row>
    <row r="5310" customFormat="false" ht="15" hidden="false" customHeight="true" outlineLevel="0" collapsed="false">
      <c r="A5310" s="0" t="n">
        <v>2</v>
      </c>
      <c r="B5310" s="71" t="n">
        <v>46238</v>
      </c>
      <c r="C5310" s="0" t="n">
        <v>171</v>
      </c>
      <c r="D5310" s="0" t="s">
        <v>3017</v>
      </c>
      <c r="E5310" s="0" t="n">
        <v>1636</v>
      </c>
      <c r="F5310" s="0" t="s">
        <v>61</v>
      </c>
      <c r="I5310" s="0" t="n">
        <v>3213307</v>
      </c>
      <c r="J5310" s="0" t="n">
        <v>79797</v>
      </c>
      <c r="K5310" s="0" t="n">
        <v>7908966527117</v>
      </c>
      <c r="L5310" s="0" t="s">
        <v>4674</v>
      </c>
      <c r="N5310" s="0" t="n">
        <v>1</v>
      </c>
      <c r="O5310" s="0" t="n">
        <v>15.82</v>
      </c>
      <c r="P5310" s="0" t="s">
        <v>3019</v>
      </c>
    </row>
    <row r="5311" customFormat="false" ht="15" hidden="false" customHeight="true" outlineLevel="0" collapsed="false">
      <c r="A5311" s="0" t="n">
        <v>2</v>
      </c>
      <c r="B5311" s="71" t="n">
        <v>46238</v>
      </c>
      <c r="C5311" s="0" t="n">
        <v>171</v>
      </c>
      <c r="D5311" s="0" t="s">
        <v>3017</v>
      </c>
      <c r="E5311" s="0" t="n">
        <v>1636</v>
      </c>
      <c r="F5311" s="0" t="s">
        <v>61</v>
      </c>
      <c r="I5311" s="0" t="n">
        <v>3213307</v>
      </c>
      <c r="J5311" s="0" t="n">
        <v>79798</v>
      </c>
      <c r="K5311" s="0" t="n">
        <v>7908966528404</v>
      </c>
      <c r="L5311" s="0" t="s">
        <v>4115</v>
      </c>
      <c r="N5311" s="0" t="n">
        <v>1</v>
      </c>
      <c r="O5311" s="0" t="n">
        <v>14.69</v>
      </c>
      <c r="P5311" s="0" t="s">
        <v>3019</v>
      </c>
    </row>
    <row r="5312" customFormat="false" ht="15" hidden="false" customHeight="true" outlineLevel="0" collapsed="false">
      <c r="A5312" s="0" t="n">
        <v>2</v>
      </c>
      <c r="B5312" s="71" t="n">
        <v>46238</v>
      </c>
      <c r="C5312" s="0" t="n">
        <v>171</v>
      </c>
      <c r="D5312" s="0" t="s">
        <v>3017</v>
      </c>
      <c r="E5312" s="0" t="n">
        <v>1636</v>
      </c>
      <c r="F5312" s="0" t="s">
        <v>61</v>
      </c>
      <c r="I5312" s="0" t="n">
        <v>3213307</v>
      </c>
      <c r="J5312" s="0" t="n">
        <v>79807</v>
      </c>
      <c r="K5312" s="0" t="n">
        <v>7908966528367</v>
      </c>
      <c r="L5312" s="0" t="s">
        <v>4675</v>
      </c>
      <c r="N5312" s="0" t="n">
        <v>1</v>
      </c>
      <c r="O5312" s="0" t="n">
        <v>27.67</v>
      </c>
      <c r="P5312" s="0" t="s">
        <v>3019</v>
      </c>
    </row>
    <row r="5313" customFormat="false" ht="15" hidden="false" customHeight="true" outlineLevel="0" collapsed="false">
      <c r="A5313" s="0" t="n">
        <v>2</v>
      </c>
      <c r="B5313" s="71" t="n">
        <v>46238</v>
      </c>
      <c r="C5313" s="0" t="n">
        <v>171</v>
      </c>
      <c r="D5313" s="0" t="s">
        <v>3017</v>
      </c>
      <c r="E5313" s="0" t="n">
        <v>1636</v>
      </c>
      <c r="F5313" s="0" t="s">
        <v>61</v>
      </c>
      <c r="I5313" s="0" t="n">
        <v>3213307</v>
      </c>
      <c r="J5313" s="0" t="n">
        <v>81987</v>
      </c>
      <c r="K5313" s="0" t="n">
        <v>7908966529333</v>
      </c>
      <c r="L5313" s="0" t="s">
        <v>4676</v>
      </c>
      <c r="N5313" s="0" t="n">
        <v>1</v>
      </c>
      <c r="O5313" s="0" t="n">
        <v>37.26</v>
      </c>
      <c r="P5313" s="0" t="s">
        <v>3019</v>
      </c>
    </row>
    <row r="5314" customFormat="false" ht="15" hidden="false" customHeight="true" outlineLevel="0" collapsed="false">
      <c r="A5314" s="0" t="n">
        <v>2</v>
      </c>
      <c r="B5314" s="71" t="n">
        <v>46239</v>
      </c>
      <c r="C5314" s="0" t="n">
        <v>6</v>
      </c>
      <c r="D5314" s="0" t="s">
        <v>2553</v>
      </c>
      <c r="E5314" s="0" t="n">
        <v>48</v>
      </c>
      <c r="F5314" s="0" t="s">
        <v>153</v>
      </c>
      <c r="I5314" s="0" t="n">
        <v>2586</v>
      </c>
      <c r="J5314" s="0" t="n">
        <v>42564</v>
      </c>
      <c r="K5314" s="0" t="n">
        <v>574</v>
      </c>
      <c r="L5314" s="0" t="s">
        <v>2534</v>
      </c>
      <c r="N5314" s="0" t="n">
        <v>15</v>
      </c>
      <c r="O5314" s="0" t="n">
        <v>210</v>
      </c>
      <c r="P5314" s="0" t="s">
        <v>2444</v>
      </c>
    </row>
    <row r="5315" customFormat="false" ht="15" hidden="false" customHeight="true" outlineLevel="0" collapsed="false">
      <c r="A5315" s="0" t="n">
        <v>2</v>
      </c>
      <c r="B5315" s="71" t="n">
        <v>46239</v>
      </c>
      <c r="C5315" s="0" t="n">
        <v>11</v>
      </c>
      <c r="D5315" s="0" t="s">
        <v>2471</v>
      </c>
      <c r="E5315" s="0" t="n">
        <v>10096</v>
      </c>
      <c r="F5315" s="0" t="s">
        <v>622</v>
      </c>
      <c r="I5315" s="0" t="n">
        <v>123</v>
      </c>
      <c r="J5315" s="0" t="n">
        <v>61580</v>
      </c>
      <c r="K5315" s="0" t="n">
        <v>2258157</v>
      </c>
      <c r="L5315" s="0" t="s">
        <v>2509</v>
      </c>
      <c r="N5315" s="0" t="n">
        <v>15</v>
      </c>
      <c r="O5315" s="0" t="n">
        <v>180</v>
      </c>
      <c r="P5315" s="0" t="s">
        <v>2444</v>
      </c>
    </row>
    <row r="5316" customFormat="false" ht="15" hidden="false" customHeight="true" outlineLevel="0" collapsed="false">
      <c r="A5316" s="0" t="n">
        <v>2</v>
      </c>
      <c r="B5316" s="71" t="n">
        <v>46239</v>
      </c>
      <c r="C5316" s="0" t="n">
        <v>11</v>
      </c>
      <c r="D5316" s="0" t="s">
        <v>2471</v>
      </c>
      <c r="E5316" s="0" t="n">
        <v>10096</v>
      </c>
      <c r="F5316" s="0" t="s">
        <v>622</v>
      </c>
      <c r="I5316" s="0" t="n">
        <v>123</v>
      </c>
      <c r="J5316" s="0" t="n">
        <v>61597</v>
      </c>
      <c r="K5316" s="0" t="n">
        <v>2258188</v>
      </c>
      <c r="L5316" s="0" t="s">
        <v>2510</v>
      </c>
      <c r="N5316" s="0" t="n">
        <v>5</v>
      </c>
      <c r="O5316" s="0" t="n">
        <v>20</v>
      </c>
      <c r="P5316" s="0" t="s">
        <v>2444</v>
      </c>
    </row>
    <row r="5317" customFormat="false" ht="15" hidden="false" customHeight="true" outlineLevel="0" collapsed="false">
      <c r="A5317" s="0" t="n">
        <v>2</v>
      </c>
      <c r="B5317" s="71" t="n">
        <v>46239</v>
      </c>
      <c r="C5317" s="0" t="n">
        <v>11</v>
      </c>
      <c r="D5317" s="0" t="s">
        <v>2471</v>
      </c>
      <c r="E5317" s="0" t="n">
        <v>10103</v>
      </c>
      <c r="F5317" s="0" t="s">
        <v>1247</v>
      </c>
      <c r="I5317" s="0" t="n">
        <v>367</v>
      </c>
      <c r="J5317" s="0" t="n">
        <v>21040</v>
      </c>
      <c r="K5317" s="0" t="n">
        <v>7898952718028</v>
      </c>
      <c r="L5317" s="0" t="s">
        <v>4677</v>
      </c>
      <c r="N5317" s="0" t="n">
        <v>40</v>
      </c>
      <c r="O5317" s="0" t="n">
        <v>210</v>
      </c>
      <c r="P5317" s="0" t="s">
        <v>2444</v>
      </c>
    </row>
    <row r="5318" customFormat="false" ht="15" hidden="false" customHeight="true" outlineLevel="0" collapsed="false">
      <c r="A5318" s="0" t="n">
        <v>2</v>
      </c>
      <c r="B5318" s="71" t="n">
        <v>46239</v>
      </c>
      <c r="C5318" s="0" t="n">
        <v>11</v>
      </c>
      <c r="D5318" s="0" t="s">
        <v>2471</v>
      </c>
      <c r="E5318" s="0" t="n">
        <v>10103</v>
      </c>
      <c r="F5318" s="0" t="s">
        <v>1247</v>
      </c>
      <c r="I5318" s="0" t="n">
        <v>367</v>
      </c>
      <c r="J5318" s="0" t="n">
        <v>45881</v>
      </c>
      <c r="K5318" s="0" t="n">
        <v>7898952718110</v>
      </c>
      <c r="L5318" s="0" t="s">
        <v>4678</v>
      </c>
      <c r="N5318" s="0" t="n">
        <v>40</v>
      </c>
      <c r="O5318" s="0" t="n">
        <v>180</v>
      </c>
      <c r="P5318" s="0" t="s">
        <v>2444</v>
      </c>
    </row>
    <row r="5319" customFormat="false" ht="15" hidden="false" customHeight="true" outlineLevel="0" collapsed="false">
      <c r="A5319" s="0" t="n">
        <v>2</v>
      </c>
      <c r="B5319" s="71" t="n">
        <v>46239</v>
      </c>
      <c r="C5319" s="0" t="n">
        <v>11</v>
      </c>
      <c r="D5319" s="0" t="s">
        <v>2471</v>
      </c>
      <c r="E5319" s="0" t="n">
        <v>1899</v>
      </c>
      <c r="F5319" s="0" t="s">
        <v>204</v>
      </c>
      <c r="I5319" s="0" t="n">
        <v>747</v>
      </c>
      <c r="J5319" s="0" t="n">
        <v>44588</v>
      </c>
      <c r="K5319" s="0" t="n">
        <v>7898904331091</v>
      </c>
      <c r="L5319" s="0" t="s">
        <v>2443</v>
      </c>
      <c r="N5319" s="0" t="n">
        <v>15</v>
      </c>
      <c r="O5319" s="0" t="n">
        <v>74.85</v>
      </c>
      <c r="P5319" s="0" t="s">
        <v>2444</v>
      </c>
    </row>
    <row r="5320" customFormat="false" ht="15" hidden="false" customHeight="true" outlineLevel="0" collapsed="false">
      <c r="A5320" s="0" t="n">
        <v>2</v>
      </c>
      <c r="B5320" s="71" t="n">
        <v>46239</v>
      </c>
      <c r="C5320" s="0" t="n">
        <v>11</v>
      </c>
      <c r="D5320" s="0" t="s">
        <v>2471</v>
      </c>
      <c r="E5320" s="0" t="n">
        <v>1899</v>
      </c>
      <c r="F5320" s="0" t="s">
        <v>204</v>
      </c>
      <c r="I5320" s="0" t="n">
        <v>747</v>
      </c>
      <c r="J5320" s="0" t="n">
        <v>77463</v>
      </c>
      <c r="K5320" s="0" t="n">
        <v>774642</v>
      </c>
      <c r="L5320" s="0" t="s">
        <v>2445</v>
      </c>
      <c r="N5320" s="0" t="n">
        <v>20</v>
      </c>
      <c r="O5320" s="0" t="n">
        <v>90</v>
      </c>
      <c r="P5320" s="0" t="s">
        <v>2444</v>
      </c>
    </row>
    <row r="5321" customFormat="false" ht="15" hidden="false" customHeight="true" outlineLevel="0" collapsed="false">
      <c r="A5321" s="0" t="n">
        <v>2</v>
      </c>
      <c r="B5321" s="71" t="n">
        <v>46239</v>
      </c>
      <c r="C5321" s="0" t="n">
        <v>11</v>
      </c>
      <c r="D5321" s="0" t="s">
        <v>2471</v>
      </c>
      <c r="E5321" s="0" t="n">
        <v>1899</v>
      </c>
      <c r="F5321" s="0" t="s">
        <v>204</v>
      </c>
      <c r="I5321" s="0" t="n">
        <v>747</v>
      </c>
      <c r="J5321" s="0" t="n">
        <v>77465</v>
      </c>
      <c r="K5321" s="0" t="n">
        <v>774666</v>
      </c>
      <c r="L5321" s="0" t="s">
        <v>2446</v>
      </c>
      <c r="N5321" s="0" t="n">
        <v>15</v>
      </c>
      <c r="O5321" s="0" t="n">
        <v>74.85</v>
      </c>
      <c r="P5321" s="0" t="s">
        <v>2444</v>
      </c>
    </row>
    <row r="5322" customFormat="false" ht="15" hidden="false" customHeight="true" outlineLevel="0" collapsed="false">
      <c r="A5322" s="0" t="n">
        <v>2</v>
      </c>
      <c r="B5322" s="71" t="n">
        <v>46239</v>
      </c>
      <c r="C5322" s="0" t="n">
        <v>11</v>
      </c>
      <c r="D5322" s="0" t="s">
        <v>2471</v>
      </c>
      <c r="E5322" s="0" t="n">
        <v>1899</v>
      </c>
      <c r="F5322" s="0" t="s">
        <v>204</v>
      </c>
      <c r="I5322" s="0" t="n">
        <v>747</v>
      </c>
      <c r="J5322" s="0" t="n">
        <v>77903</v>
      </c>
      <c r="K5322" s="0" t="n">
        <v>779043</v>
      </c>
      <c r="L5322" s="0" t="s">
        <v>2945</v>
      </c>
      <c r="N5322" s="0" t="n">
        <v>5</v>
      </c>
      <c r="O5322" s="0" t="n">
        <v>22.5</v>
      </c>
      <c r="P5322" s="0" t="s">
        <v>2444</v>
      </c>
    </row>
    <row r="5323" customFormat="false" ht="15" hidden="false" customHeight="true" outlineLevel="0" collapsed="false">
      <c r="A5323" s="0" t="n">
        <v>2</v>
      </c>
      <c r="B5323" s="71" t="n">
        <v>46239</v>
      </c>
      <c r="C5323" s="0" t="n">
        <v>11</v>
      </c>
      <c r="D5323" s="0" t="s">
        <v>2471</v>
      </c>
      <c r="E5323" s="0" t="n">
        <v>1899</v>
      </c>
      <c r="F5323" s="0" t="s">
        <v>204</v>
      </c>
      <c r="I5323" s="0" t="n">
        <v>747</v>
      </c>
      <c r="J5323" s="0" t="n">
        <v>78015</v>
      </c>
      <c r="K5323" s="0" t="n">
        <v>780162</v>
      </c>
      <c r="L5323" s="0" t="s">
        <v>2447</v>
      </c>
      <c r="N5323" s="0" t="n">
        <v>10</v>
      </c>
      <c r="O5323" s="0" t="n">
        <v>49.9</v>
      </c>
      <c r="P5323" s="0" t="s">
        <v>2444</v>
      </c>
    </row>
    <row r="5324" customFormat="false" ht="15" hidden="false" customHeight="true" outlineLevel="0" collapsed="false">
      <c r="A5324" s="0" t="n">
        <v>2</v>
      </c>
      <c r="B5324" s="71" t="n">
        <v>46239</v>
      </c>
      <c r="C5324" s="0" t="n">
        <v>11</v>
      </c>
      <c r="D5324" s="0" t="s">
        <v>2471</v>
      </c>
      <c r="E5324" s="0" t="n">
        <v>1363</v>
      </c>
      <c r="F5324" s="0" t="s">
        <v>174</v>
      </c>
      <c r="I5324" s="0" t="n">
        <v>3674</v>
      </c>
      <c r="J5324" s="0" t="n">
        <v>73511</v>
      </c>
      <c r="K5324" s="0" t="n">
        <v>609963171019</v>
      </c>
      <c r="L5324" s="0" t="s">
        <v>2585</v>
      </c>
      <c r="N5324" s="0" t="n">
        <v>4</v>
      </c>
      <c r="O5324" s="0" t="n">
        <v>24</v>
      </c>
      <c r="P5324" s="0" t="s">
        <v>2444</v>
      </c>
    </row>
    <row r="5325" customFormat="false" ht="15" hidden="false" customHeight="true" outlineLevel="0" collapsed="false">
      <c r="A5325" s="0" t="n">
        <v>2</v>
      </c>
      <c r="B5325" s="71" t="n">
        <v>46239</v>
      </c>
      <c r="C5325" s="0" t="n">
        <v>11</v>
      </c>
      <c r="D5325" s="0" t="s">
        <v>2471</v>
      </c>
      <c r="E5325" s="0" t="n">
        <v>1363</v>
      </c>
      <c r="F5325" s="0" t="s">
        <v>174</v>
      </c>
      <c r="I5325" s="0" t="n">
        <v>3674</v>
      </c>
      <c r="J5325" s="0" t="n">
        <v>65494</v>
      </c>
      <c r="K5325" s="0" t="n">
        <v>618231677535</v>
      </c>
      <c r="L5325" s="0" t="s">
        <v>2587</v>
      </c>
      <c r="N5325" s="0" t="n">
        <v>10</v>
      </c>
      <c r="O5325" s="0" t="n">
        <v>60</v>
      </c>
      <c r="P5325" s="0" t="s">
        <v>2444</v>
      </c>
    </row>
    <row r="5326" customFormat="false" ht="15" hidden="false" customHeight="true" outlineLevel="0" collapsed="false">
      <c r="A5326" s="0" t="n">
        <v>2</v>
      </c>
      <c r="B5326" s="71" t="n">
        <v>46239</v>
      </c>
      <c r="C5326" s="0" t="n">
        <v>11</v>
      </c>
      <c r="D5326" s="0" t="s">
        <v>2471</v>
      </c>
      <c r="E5326" s="0" t="n">
        <v>1363</v>
      </c>
      <c r="F5326" s="0" t="s">
        <v>174</v>
      </c>
      <c r="I5326" s="0" t="n">
        <v>3674</v>
      </c>
      <c r="J5326" s="0" t="n">
        <v>65496</v>
      </c>
      <c r="K5326" s="0" t="n">
        <v>618231677528</v>
      </c>
      <c r="L5326" s="0" t="s">
        <v>2588</v>
      </c>
      <c r="N5326" s="0" t="n">
        <v>5</v>
      </c>
      <c r="O5326" s="0" t="n">
        <v>30</v>
      </c>
      <c r="P5326" s="0" t="s">
        <v>2444</v>
      </c>
    </row>
    <row r="5327" customFormat="false" ht="15" hidden="false" customHeight="true" outlineLevel="0" collapsed="false">
      <c r="A5327" s="0" t="n">
        <v>2</v>
      </c>
      <c r="B5327" s="71" t="n">
        <v>46239</v>
      </c>
      <c r="C5327" s="0" t="n">
        <v>11</v>
      </c>
      <c r="D5327" s="0" t="s">
        <v>2471</v>
      </c>
      <c r="E5327" s="0" t="n">
        <v>1363</v>
      </c>
      <c r="F5327" s="0" t="s">
        <v>174</v>
      </c>
      <c r="I5327" s="0" t="n">
        <v>3674</v>
      </c>
      <c r="J5327" s="0" t="n">
        <v>65621</v>
      </c>
      <c r="K5327" s="0" t="n">
        <v>618231677504</v>
      </c>
      <c r="L5327" s="0" t="s">
        <v>2589</v>
      </c>
      <c r="N5327" s="0" t="n">
        <v>4</v>
      </c>
      <c r="O5327" s="0" t="n">
        <v>24</v>
      </c>
      <c r="P5327" s="0" t="s">
        <v>2444</v>
      </c>
    </row>
    <row r="5328" customFormat="false" ht="15" hidden="false" customHeight="true" outlineLevel="0" collapsed="false">
      <c r="A5328" s="0" t="n">
        <v>2</v>
      </c>
      <c r="B5328" s="71" t="n">
        <v>46239</v>
      </c>
      <c r="C5328" s="0" t="n">
        <v>11</v>
      </c>
      <c r="D5328" s="0" t="s">
        <v>2471</v>
      </c>
      <c r="E5328" s="0" t="n">
        <v>1363</v>
      </c>
      <c r="F5328" s="0" t="s">
        <v>174</v>
      </c>
      <c r="I5328" s="0" t="n">
        <v>3674</v>
      </c>
      <c r="J5328" s="0" t="n">
        <v>73795</v>
      </c>
      <c r="K5328" s="0" t="n">
        <v>618231677511</v>
      </c>
      <c r="L5328" s="0" t="s">
        <v>4679</v>
      </c>
      <c r="N5328" s="0" t="n">
        <v>4</v>
      </c>
      <c r="O5328" s="0" t="n">
        <v>28</v>
      </c>
      <c r="P5328" s="0" t="s">
        <v>2444</v>
      </c>
    </row>
    <row r="5329" customFormat="false" ht="15" hidden="false" customHeight="true" outlineLevel="0" collapsed="false">
      <c r="A5329" s="0" t="n">
        <v>2</v>
      </c>
      <c r="B5329" s="71" t="n">
        <v>46239</v>
      </c>
      <c r="C5329" s="0" t="n">
        <v>11</v>
      </c>
      <c r="D5329" s="0" t="s">
        <v>2471</v>
      </c>
      <c r="E5329" s="0" t="n">
        <v>1723</v>
      </c>
      <c r="F5329" s="0" t="s">
        <v>371</v>
      </c>
      <c r="I5329" s="0" t="n">
        <v>174275</v>
      </c>
      <c r="J5329" s="0" t="n">
        <v>29079</v>
      </c>
      <c r="K5329" s="0" t="n">
        <v>55515</v>
      </c>
      <c r="L5329" s="0" t="s">
        <v>2449</v>
      </c>
      <c r="N5329" s="0" t="n">
        <v>73.35</v>
      </c>
      <c r="O5329" s="0" t="n">
        <v>2347.2</v>
      </c>
      <c r="P5329" s="0" t="s">
        <v>2444</v>
      </c>
    </row>
    <row r="5330" customFormat="false" ht="15" hidden="false" customHeight="true" outlineLevel="0" collapsed="false">
      <c r="A5330" s="0" t="n">
        <v>2</v>
      </c>
      <c r="B5330" s="71" t="n">
        <v>46239</v>
      </c>
      <c r="C5330" s="0" t="n">
        <v>11</v>
      </c>
      <c r="D5330" s="0" t="s">
        <v>2471</v>
      </c>
      <c r="E5330" s="0" t="n">
        <v>1650</v>
      </c>
      <c r="F5330" s="0" t="s">
        <v>438</v>
      </c>
      <c r="I5330" s="0" t="n">
        <v>227803</v>
      </c>
      <c r="J5330" s="0" t="n">
        <v>16172</v>
      </c>
      <c r="K5330" s="0" t="n">
        <v>7898055452188</v>
      </c>
      <c r="L5330" s="0" t="s">
        <v>2685</v>
      </c>
      <c r="N5330" s="0" t="n">
        <v>35</v>
      </c>
      <c r="O5330" s="0" t="n">
        <v>110.49</v>
      </c>
      <c r="P5330" s="0" t="s">
        <v>2444</v>
      </c>
    </row>
    <row r="5331" customFormat="false" ht="15" hidden="false" customHeight="true" outlineLevel="0" collapsed="false">
      <c r="A5331" s="0" t="n">
        <v>2</v>
      </c>
      <c r="B5331" s="71" t="n">
        <v>46239</v>
      </c>
      <c r="C5331" s="0" t="n">
        <v>11</v>
      </c>
      <c r="D5331" s="0" t="s">
        <v>2471</v>
      </c>
      <c r="E5331" s="0" t="n">
        <v>1650</v>
      </c>
      <c r="F5331" s="0" t="s">
        <v>438</v>
      </c>
      <c r="I5331" s="0" t="n">
        <v>227803</v>
      </c>
      <c r="J5331" s="0" t="n">
        <v>16173</v>
      </c>
      <c r="K5331" s="0" t="n">
        <v>7898055452201</v>
      </c>
      <c r="L5331" s="0" t="s">
        <v>2686</v>
      </c>
      <c r="N5331" s="0" t="n">
        <v>12</v>
      </c>
      <c r="O5331" s="0" t="n">
        <v>46.57</v>
      </c>
      <c r="P5331" s="0" t="s">
        <v>2444</v>
      </c>
    </row>
    <row r="5332" customFormat="false" ht="15" hidden="false" customHeight="true" outlineLevel="0" collapsed="false">
      <c r="A5332" s="0" t="n">
        <v>2</v>
      </c>
      <c r="B5332" s="71" t="n">
        <v>46239</v>
      </c>
      <c r="C5332" s="0" t="n">
        <v>11</v>
      </c>
      <c r="D5332" s="0" t="s">
        <v>2471</v>
      </c>
      <c r="E5332" s="0" t="n">
        <v>1650</v>
      </c>
      <c r="F5332" s="0" t="s">
        <v>438</v>
      </c>
      <c r="I5332" s="0" t="n">
        <v>227803</v>
      </c>
      <c r="J5332" s="0" t="n">
        <v>16174</v>
      </c>
      <c r="K5332" s="0" t="n">
        <v>7898055452195</v>
      </c>
      <c r="L5332" s="0" t="s">
        <v>2687</v>
      </c>
      <c r="N5332" s="0" t="n">
        <v>12</v>
      </c>
      <c r="O5332" s="0" t="n">
        <v>43.47</v>
      </c>
      <c r="P5332" s="0" t="s">
        <v>2444</v>
      </c>
    </row>
    <row r="5333" customFormat="false" ht="15" hidden="false" customHeight="true" outlineLevel="0" collapsed="false">
      <c r="A5333" s="0" t="n">
        <v>2</v>
      </c>
      <c r="B5333" s="71" t="n">
        <v>46239</v>
      </c>
      <c r="C5333" s="0" t="n">
        <v>11</v>
      </c>
      <c r="D5333" s="0" t="s">
        <v>2471</v>
      </c>
      <c r="E5333" s="0" t="n">
        <v>1650</v>
      </c>
      <c r="F5333" s="0" t="s">
        <v>438</v>
      </c>
      <c r="I5333" s="0" t="n">
        <v>227803</v>
      </c>
      <c r="J5333" s="0" t="n">
        <v>16540</v>
      </c>
      <c r="K5333" s="0" t="n">
        <v>7898055453154</v>
      </c>
      <c r="L5333" s="0" t="s">
        <v>3869</v>
      </c>
      <c r="N5333" s="0" t="n">
        <v>12</v>
      </c>
      <c r="O5333" s="0" t="n">
        <v>22.36</v>
      </c>
      <c r="P5333" s="0" t="s">
        <v>2444</v>
      </c>
    </row>
    <row r="5334" customFormat="false" ht="15" hidden="false" customHeight="true" outlineLevel="0" collapsed="false">
      <c r="A5334" s="0" t="n">
        <v>2</v>
      </c>
      <c r="B5334" s="71" t="n">
        <v>46239</v>
      </c>
      <c r="C5334" s="0" t="n">
        <v>11</v>
      </c>
      <c r="D5334" s="0" t="s">
        <v>2471</v>
      </c>
      <c r="E5334" s="0" t="n">
        <v>1650</v>
      </c>
      <c r="F5334" s="0" t="s">
        <v>438</v>
      </c>
      <c r="I5334" s="0" t="n">
        <v>227803</v>
      </c>
      <c r="J5334" s="0" t="n">
        <v>20636</v>
      </c>
      <c r="K5334" s="0" t="n">
        <v>7898055450702</v>
      </c>
      <c r="L5334" s="0" t="s">
        <v>2690</v>
      </c>
      <c r="N5334" s="0" t="n">
        <v>24</v>
      </c>
      <c r="O5334" s="0" t="n">
        <v>50.48</v>
      </c>
      <c r="P5334" s="0" t="s">
        <v>2444</v>
      </c>
    </row>
    <row r="5335" customFormat="false" ht="15" hidden="false" customHeight="true" outlineLevel="0" collapsed="false">
      <c r="A5335" s="0" t="n">
        <v>2</v>
      </c>
      <c r="B5335" s="71" t="n">
        <v>46239</v>
      </c>
      <c r="C5335" s="0" t="n">
        <v>11</v>
      </c>
      <c r="D5335" s="0" t="s">
        <v>2471</v>
      </c>
      <c r="E5335" s="0" t="n">
        <v>1650</v>
      </c>
      <c r="F5335" s="0" t="s">
        <v>438</v>
      </c>
      <c r="I5335" s="0" t="n">
        <v>227803</v>
      </c>
      <c r="J5335" s="0" t="n">
        <v>21048</v>
      </c>
      <c r="K5335" s="0" t="n">
        <v>7898055451532</v>
      </c>
      <c r="L5335" s="0" t="s">
        <v>2691</v>
      </c>
      <c r="N5335" s="0" t="n">
        <v>6</v>
      </c>
      <c r="O5335" s="0" t="n">
        <v>40.68</v>
      </c>
      <c r="P5335" s="0" t="s">
        <v>2444</v>
      </c>
    </row>
    <row r="5336" customFormat="false" ht="15" hidden="false" customHeight="true" outlineLevel="0" collapsed="false">
      <c r="A5336" s="0" t="n">
        <v>2</v>
      </c>
      <c r="B5336" s="71" t="n">
        <v>46239</v>
      </c>
      <c r="C5336" s="0" t="n">
        <v>11</v>
      </c>
      <c r="D5336" s="0" t="s">
        <v>2471</v>
      </c>
      <c r="E5336" s="0" t="n">
        <v>1650</v>
      </c>
      <c r="F5336" s="0" t="s">
        <v>438</v>
      </c>
      <c r="I5336" s="0" t="n">
        <v>227803</v>
      </c>
      <c r="J5336" s="0" t="n">
        <v>69556</v>
      </c>
      <c r="K5336" s="0" t="n">
        <v>7898055450740</v>
      </c>
      <c r="L5336" s="0" t="s">
        <v>4680</v>
      </c>
      <c r="N5336" s="0" t="n">
        <v>24</v>
      </c>
      <c r="O5336" s="0" t="n">
        <v>48.01</v>
      </c>
      <c r="P5336" s="0" t="s">
        <v>2444</v>
      </c>
    </row>
    <row r="5337" customFormat="false" ht="15" hidden="false" customHeight="true" outlineLevel="0" collapsed="false">
      <c r="A5337" s="0" t="n">
        <v>2</v>
      </c>
      <c r="B5337" s="71" t="n">
        <v>46239</v>
      </c>
      <c r="C5337" s="0" t="n">
        <v>11</v>
      </c>
      <c r="D5337" s="0" t="s">
        <v>2471</v>
      </c>
      <c r="E5337" s="0" t="n">
        <v>1621</v>
      </c>
      <c r="F5337" s="0" t="s">
        <v>232</v>
      </c>
      <c r="I5337" s="0" t="n">
        <v>940437</v>
      </c>
      <c r="J5337" s="0" t="n">
        <v>103132</v>
      </c>
      <c r="K5337" s="0" t="n">
        <v>7892840800000</v>
      </c>
      <c r="L5337" s="0" t="s">
        <v>3068</v>
      </c>
      <c r="N5337" s="0" t="n">
        <v>30</v>
      </c>
      <c r="O5337" s="0" t="n">
        <v>193.35</v>
      </c>
      <c r="P5337" s="0" t="s">
        <v>2444</v>
      </c>
    </row>
    <row r="5338" customFormat="false" ht="15" hidden="false" customHeight="true" outlineLevel="0" collapsed="false">
      <c r="A5338" s="0" t="n">
        <v>2</v>
      </c>
      <c r="B5338" s="71" t="n">
        <v>46239</v>
      </c>
      <c r="C5338" s="0" t="n">
        <v>11</v>
      </c>
      <c r="D5338" s="0" t="s">
        <v>2471</v>
      </c>
      <c r="E5338" s="0" t="n">
        <v>1621</v>
      </c>
      <c r="F5338" s="0" t="s">
        <v>232</v>
      </c>
      <c r="I5338" s="0" t="n">
        <v>940437</v>
      </c>
      <c r="J5338" s="0" t="n">
        <v>103133</v>
      </c>
      <c r="K5338" s="0" t="n">
        <v>7891991001373</v>
      </c>
      <c r="L5338" s="0" t="s">
        <v>3069</v>
      </c>
      <c r="N5338" s="0" t="n">
        <v>30</v>
      </c>
      <c r="O5338" s="0" t="n">
        <v>230.99</v>
      </c>
      <c r="P5338" s="0" t="s">
        <v>2444</v>
      </c>
    </row>
    <row r="5339" customFormat="false" ht="15" hidden="false" customHeight="true" outlineLevel="0" collapsed="false">
      <c r="A5339" s="0" t="n">
        <v>2</v>
      </c>
      <c r="B5339" s="71" t="n">
        <v>46239</v>
      </c>
      <c r="C5339" s="0" t="n">
        <v>11</v>
      </c>
      <c r="D5339" s="0" t="s">
        <v>2471</v>
      </c>
      <c r="E5339" s="0" t="n">
        <v>1621</v>
      </c>
      <c r="F5339" s="0" t="s">
        <v>232</v>
      </c>
      <c r="I5339" s="0" t="n">
        <v>940437</v>
      </c>
      <c r="J5339" s="0" t="n">
        <v>103630</v>
      </c>
      <c r="K5339" s="0" t="n">
        <v>7891991004107</v>
      </c>
      <c r="L5339" s="0" t="s">
        <v>3070</v>
      </c>
      <c r="N5339" s="0" t="n">
        <v>96</v>
      </c>
      <c r="O5339" s="0" t="n">
        <v>429.39</v>
      </c>
      <c r="P5339" s="0" t="s">
        <v>2444</v>
      </c>
    </row>
    <row r="5340" customFormat="false" ht="15" hidden="false" customHeight="true" outlineLevel="0" collapsed="false">
      <c r="A5340" s="0" t="n">
        <v>2</v>
      </c>
      <c r="B5340" s="71" t="n">
        <v>46239</v>
      </c>
      <c r="C5340" s="0" t="n">
        <v>11</v>
      </c>
      <c r="D5340" s="0" t="s">
        <v>2471</v>
      </c>
      <c r="E5340" s="0" t="n">
        <v>1621</v>
      </c>
      <c r="F5340" s="0" t="s">
        <v>232</v>
      </c>
      <c r="I5340" s="0" t="n">
        <v>940437</v>
      </c>
      <c r="J5340" s="0" t="n">
        <v>103936</v>
      </c>
      <c r="K5340" s="0" t="n">
        <v>7891991001342</v>
      </c>
      <c r="L5340" s="0" t="s">
        <v>3071</v>
      </c>
      <c r="N5340" s="0" t="n">
        <v>60</v>
      </c>
      <c r="O5340" s="0" t="n">
        <v>452.73</v>
      </c>
      <c r="P5340" s="0" t="s">
        <v>2444</v>
      </c>
    </row>
    <row r="5341" customFormat="false" ht="15" hidden="false" customHeight="true" outlineLevel="0" collapsed="false">
      <c r="A5341" s="0" t="n">
        <v>2</v>
      </c>
      <c r="B5341" s="71" t="n">
        <v>46239</v>
      </c>
      <c r="C5341" s="0" t="n">
        <v>11</v>
      </c>
      <c r="D5341" s="0" t="s">
        <v>2471</v>
      </c>
      <c r="E5341" s="0" t="n">
        <v>1621</v>
      </c>
      <c r="F5341" s="0" t="s">
        <v>232</v>
      </c>
      <c r="I5341" s="0" t="n">
        <v>940437</v>
      </c>
      <c r="J5341" s="0" t="n">
        <v>33537</v>
      </c>
      <c r="K5341" s="0" t="n">
        <v>7891991294942</v>
      </c>
      <c r="L5341" s="0" t="s">
        <v>3344</v>
      </c>
      <c r="N5341" s="0" t="n">
        <v>240</v>
      </c>
      <c r="O5341" s="0" t="n">
        <v>798.839869</v>
      </c>
      <c r="P5341" s="0" t="s">
        <v>2444</v>
      </c>
    </row>
    <row r="5342" customFormat="false" ht="15" hidden="false" customHeight="true" outlineLevel="0" collapsed="false">
      <c r="A5342" s="0" t="n">
        <v>2</v>
      </c>
      <c r="B5342" s="71" t="n">
        <v>46239</v>
      </c>
      <c r="C5342" s="0" t="n">
        <v>11</v>
      </c>
      <c r="D5342" s="0" t="s">
        <v>2471</v>
      </c>
      <c r="E5342" s="0" t="n">
        <v>1621</v>
      </c>
      <c r="F5342" s="0" t="s">
        <v>232</v>
      </c>
      <c r="I5342" s="0" t="n">
        <v>940437</v>
      </c>
      <c r="J5342" s="0" t="n">
        <v>48553</v>
      </c>
      <c r="K5342" s="0" t="n">
        <v>7892840813444</v>
      </c>
      <c r="L5342" s="0" t="s">
        <v>3775</v>
      </c>
      <c r="N5342" s="0" t="n">
        <v>18</v>
      </c>
      <c r="O5342" s="0" t="n">
        <v>123.42</v>
      </c>
      <c r="P5342" s="0" t="s">
        <v>2444</v>
      </c>
    </row>
    <row r="5343" customFormat="false" ht="15" hidden="false" customHeight="true" outlineLevel="0" collapsed="false">
      <c r="A5343" s="0" t="n">
        <v>2</v>
      </c>
      <c r="B5343" s="71" t="n">
        <v>46239</v>
      </c>
      <c r="C5343" s="0" t="n">
        <v>11</v>
      </c>
      <c r="D5343" s="0" t="s">
        <v>2471</v>
      </c>
      <c r="E5343" s="0" t="n">
        <v>1621</v>
      </c>
      <c r="F5343" s="0" t="s">
        <v>232</v>
      </c>
      <c r="I5343" s="0" t="n">
        <v>940437</v>
      </c>
      <c r="J5343" s="0" t="n">
        <v>57246</v>
      </c>
      <c r="K5343" s="0" t="n">
        <v>7892840800406</v>
      </c>
      <c r="L5343" s="0" t="s">
        <v>3092</v>
      </c>
      <c r="N5343" s="0" t="n">
        <v>30</v>
      </c>
      <c r="O5343" s="0" t="n">
        <v>102.69</v>
      </c>
      <c r="P5343" s="0" t="s">
        <v>2444</v>
      </c>
    </row>
    <row r="5344" customFormat="false" ht="15" hidden="false" customHeight="true" outlineLevel="0" collapsed="false">
      <c r="A5344" s="0" t="n">
        <v>2</v>
      </c>
      <c r="B5344" s="71" t="n">
        <v>46239</v>
      </c>
      <c r="C5344" s="0" t="n">
        <v>11</v>
      </c>
      <c r="D5344" s="0" t="s">
        <v>2471</v>
      </c>
      <c r="E5344" s="0" t="n">
        <v>1621</v>
      </c>
      <c r="F5344" s="0" t="s">
        <v>232</v>
      </c>
      <c r="I5344" s="0" t="n">
        <v>940437</v>
      </c>
      <c r="J5344" s="0" t="n">
        <v>79493</v>
      </c>
      <c r="K5344" s="0" t="n">
        <v>7891991002608</v>
      </c>
      <c r="L5344" s="0" t="s">
        <v>3777</v>
      </c>
      <c r="N5344" s="0" t="n">
        <v>30</v>
      </c>
      <c r="O5344" s="0" t="n">
        <v>115.65</v>
      </c>
      <c r="P5344" s="0" t="s">
        <v>2444</v>
      </c>
    </row>
    <row r="5345" customFormat="false" ht="15" hidden="false" customHeight="true" outlineLevel="0" collapsed="false">
      <c r="A5345" s="0" t="n">
        <v>2</v>
      </c>
      <c r="B5345" s="71" t="n">
        <v>46239</v>
      </c>
      <c r="C5345" s="0" t="n">
        <v>11</v>
      </c>
      <c r="D5345" s="0" t="s">
        <v>2471</v>
      </c>
      <c r="E5345" s="0" t="n">
        <v>1637</v>
      </c>
      <c r="F5345" s="0" t="s">
        <v>871</v>
      </c>
      <c r="I5345" s="0" t="n">
        <v>1915874</v>
      </c>
      <c r="J5345" s="0" t="n">
        <v>15013</v>
      </c>
      <c r="K5345" s="0" t="n">
        <v>7897395040307</v>
      </c>
      <c r="L5345" s="0" t="s">
        <v>2772</v>
      </c>
      <c r="N5345" s="0" t="n">
        <v>495</v>
      </c>
      <c r="O5345" s="0" t="n">
        <v>1184.7</v>
      </c>
      <c r="P5345" s="0" t="s">
        <v>2444</v>
      </c>
    </row>
    <row r="5346" customFormat="false" ht="15" hidden="false" customHeight="true" outlineLevel="0" collapsed="false">
      <c r="A5346" s="0" t="n">
        <v>2</v>
      </c>
      <c r="B5346" s="71" t="n">
        <v>46239</v>
      </c>
      <c r="C5346" s="0" t="n">
        <v>11</v>
      </c>
      <c r="D5346" s="0" t="s">
        <v>2471</v>
      </c>
      <c r="E5346" s="0" t="n">
        <v>1637</v>
      </c>
      <c r="F5346" s="0" t="s">
        <v>871</v>
      </c>
      <c r="I5346" s="0" t="n">
        <v>1915875</v>
      </c>
      <c r="J5346" s="0" t="n">
        <v>15013</v>
      </c>
      <c r="K5346" s="0" t="n">
        <v>7897395040307</v>
      </c>
      <c r="L5346" s="0" t="s">
        <v>2772</v>
      </c>
      <c r="N5346" s="0" t="n">
        <v>510</v>
      </c>
      <c r="O5346" s="0" t="n">
        <v>1220.6</v>
      </c>
      <c r="P5346" s="0" t="s">
        <v>2444</v>
      </c>
    </row>
    <row r="5347" customFormat="false" ht="15" hidden="false" customHeight="true" outlineLevel="0" collapsed="false">
      <c r="A5347" s="0" t="n">
        <v>2</v>
      </c>
      <c r="B5347" s="71" t="n">
        <v>46239</v>
      </c>
      <c r="C5347" s="0" t="n">
        <v>11</v>
      </c>
      <c r="D5347" s="0" t="s">
        <v>2471</v>
      </c>
      <c r="E5347" s="0" t="n">
        <v>1637</v>
      </c>
      <c r="F5347" s="0" t="s">
        <v>871</v>
      </c>
      <c r="I5347" s="0" t="n">
        <v>1915876</v>
      </c>
      <c r="J5347" s="0" t="n">
        <v>15013</v>
      </c>
      <c r="K5347" s="0" t="n">
        <v>7897395040307</v>
      </c>
      <c r="L5347" s="0" t="s">
        <v>2772</v>
      </c>
      <c r="N5347" s="0" t="n">
        <v>495</v>
      </c>
      <c r="O5347" s="0" t="n">
        <v>1184.7</v>
      </c>
      <c r="P5347" s="0" t="s">
        <v>2444</v>
      </c>
    </row>
    <row r="5348" customFormat="false" ht="15" hidden="false" customHeight="true" outlineLevel="0" collapsed="false">
      <c r="A5348" s="0" t="n">
        <v>2</v>
      </c>
      <c r="B5348" s="71" t="n">
        <v>46239</v>
      </c>
      <c r="C5348" s="0" t="n">
        <v>22</v>
      </c>
      <c r="D5348" s="0" t="s">
        <v>2479</v>
      </c>
      <c r="E5348" s="0" t="n">
        <v>48</v>
      </c>
      <c r="F5348" s="0" t="s">
        <v>153</v>
      </c>
      <c r="I5348" s="0" t="n">
        <v>2588</v>
      </c>
      <c r="J5348" s="0" t="n">
        <v>100000</v>
      </c>
      <c r="K5348" s="0" t="n">
        <v>1</v>
      </c>
      <c r="L5348" s="0" t="s">
        <v>2480</v>
      </c>
      <c r="N5348" s="0" t="n">
        <v>3.13</v>
      </c>
      <c r="O5348" s="0" t="n">
        <v>60.04</v>
      </c>
      <c r="P5348" s="0" t="s">
        <v>2444</v>
      </c>
    </row>
    <row r="5349" customFormat="false" ht="15" hidden="false" customHeight="true" outlineLevel="0" collapsed="false">
      <c r="A5349" s="0" t="n">
        <v>2</v>
      </c>
      <c r="B5349" s="71" t="n">
        <v>46239</v>
      </c>
      <c r="C5349" s="0" t="n">
        <v>22</v>
      </c>
      <c r="D5349" s="0" t="s">
        <v>2479</v>
      </c>
      <c r="E5349" s="0" t="n">
        <v>48</v>
      </c>
      <c r="F5349" s="0" t="s">
        <v>153</v>
      </c>
      <c r="I5349" s="0" t="n">
        <v>2588</v>
      </c>
      <c r="J5349" s="0" t="n">
        <v>100006</v>
      </c>
      <c r="K5349" s="0" t="n">
        <v>7</v>
      </c>
      <c r="L5349" s="0" t="s">
        <v>2485</v>
      </c>
      <c r="N5349" s="0" t="n">
        <v>2.426</v>
      </c>
      <c r="O5349" s="0" t="n">
        <v>65.93</v>
      </c>
      <c r="P5349" s="0" t="s">
        <v>2444</v>
      </c>
    </row>
    <row r="5350" customFormat="false" ht="15" hidden="false" customHeight="true" outlineLevel="0" collapsed="false">
      <c r="A5350" s="0" t="n">
        <v>2</v>
      </c>
      <c r="B5350" s="71" t="n">
        <v>46239</v>
      </c>
      <c r="C5350" s="0" t="n">
        <v>22</v>
      </c>
      <c r="D5350" s="0" t="s">
        <v>2479</v>
      </c>
      <c r="E5350" s="0" t="n">
        <v>48</v>
      </c>
      <c r="F5350" s="0" t="s">
        <v>153</v>
      </c>
      <c r="I5350" s="0" t="n">
        <v>2588</v>
      </c>
      <c r="J5350" s="0" t="n">
        <v>100007</v>
      </c>
      <c r="K5350" s="0" t="n">
        <v>8</v>
      </c>
      <c r="L5350" s="0" t="s">
        <v>2486</v>
      </c>
      <c r="N5350" s="0" t="n">
        <v>1.518</v>
      </c>
      <c r="O5350" s="0" t="n">
        <v>36.4</v>
      </c>
      <c r="P5350" s="0" t="s">
        <v>2444</v>
      </c>
    </row>
    <row r="5351" customFormat="false" ht="15" hidden="false" customHeight="true" outlineLevel="0" collapsed="false">
      <c r="A5351" s="0" t="n">
        <v>2</v>
      </c>
      <c r="B5351" s="71" t="n">
        <v>46239</v>
      </c>
      <c r="C5351" s="0" t="n">
        <v>22</v>
      </c>
      <c r="D5351" s="0" t="s">
        <v>2479</v>
      </c>
      <c r="E5351" s="0" t="n">
        <v>48</v>
      </c>
      <c r="F5351" s="0" t="s">
        <v>153</v>
      </c>
      <c r="I5351" s="0" t="n">
        <v>2588</v>
      </c>
      <c r="J5351" s="0" t="n">
        <v>100008</v>
      </c>
      <c r="K5351" s="0" t="n">
        <v>9</v>
      </c>
      <c r="L5351" s="0" t="s">
        <v>2487</v>
      </c>
      <c r="N5351" s="0" t="n">
        <v>15.32</v>
      </c>
      <c r="O5351" s="0" t="n">
        <v>477.58</v>
      </c>
      <c r="P5351" s="0" t="s">
        <v>2444</v>
      </c>
    </row>
    <row r="5352" customFormat="false" ht="15" hidden="false" customHeight="true" outlineLevel="0" collapsed="false">
      <c r="A5352" s="0" t="n">
        <v>2</v>
      </c>
      <c r="B5352" s="71" t="n">
        <v>46239</v>
      </c>
      <c r="C5352" s="0" t="n">
        <v>22</v>
      </c>
      <c r="D5352" s="0" t="s">
        <v>2479</v>
      </c>
      <c r="E5352" s="0" t="n">
        <v>48</v>
      </c>
      <c r="F5352" s="0" t="s">
        <v>153</v>
      </c>
      <c r="I5352" s="0" t="n">
        <v>2588</v>
      </c>
      <c r="J5352" s="0" t="n">
        <v>100011</v>
      </c>
      <c r="K5352" s="0" t="n">
        <v>12</v>
      </c>
      <c r="L5352" s="0" t="s">
        <v>2488</v>
      </c>
      <c r="N5352" s="0" t="n">
        <v>10.895</v>
      </c>
      <c r="O5352" s="0" t="n">
        <v>383.19</v>
      </c>
      <c r="P5352" s="0" t="s">
        <v>2444</v>
      </c>
    </row>
    <row r="5353" customFormat="false" ht="15" hidden="false" customHeight="true" outlineLevel="0" collapsed="false">
      <c r="A5353" s="0" t="n">
        <v>2</v>
      </c>
      <c r="B5353" s="71" t="n">
        <v>46239</v>
      </c>
      <c r="C5353" s="0" t="n">
        <v>22</v>
      </c>
      <c r="D5353" s="0" t="s">
        <v>2479</v>
      </c>
      <c r="E5353" s="0" t="n">
        <v>48</v>
      </c>
      <c r="F5353" s="0" t="s">
        <v>153</v>
      </c>
      <c r="I5353" s="0" t="n">
        <v>2588</v>
      </c>
      <c r="J5353" s="0" t="n">
        <v>100012</v>
      </c>
      <c r="K5353" s="0" t="n">
        <v>13</v>
      </c>
      <c r="L5353" s="0" t="s">
        <v>2489</v>
      </c>
      <c r="N5353" s="0" t="n">
        <v>5.64</v>
      </c>
      <c r="O5353" s="0" t="n">
        <v>225.42</v>
      </c>
      <c r="P5353" s="0" t="s">
        <v>2444</v>
      </c>
    </row>
    <row r="5354" customFormat="false" ht="15" hidden="false" customHeight="true" outlineLevel="0" collapsed="false">
      <c r="A5354" s="0" t="n">
        <v>2</v>
      </c>
      <c r="B5354" s="71" t="n">
        <v>46239</v>
      </c>
      <c r="C5354" s="0" t="n">
        <v>22</v>
      </c>
      <c r="D5354" s="0" t="s">
        <v>2479</v>
      </c>
      <c r="E5354" s="0" t="n">
        <v>48</v>
      </c>
      <c r="F5354" s="0" t="s">
        <v>153</v>
      </c>
      <c r="I5354" s="0" t="n">
        <v>2588</v>
      </c>
      <c r="J5354" s="0" t="n">
        <v>100013</v>
      </c>
      <c r="K5354" s="0" t="n">
        <v>14</v>
      </c>
      <c r="L5354" s="0" t="s">
        <v>2490</v>
      </c>
      <c r="N5354" s="0" t="n">
        <v>10.87</v>
      </c>
      <c r="O5354" s="0" t="n">
        <v>460.53</v>
      </c>
      <c r="P5354" s="0" t="s">
        <v>2444</v>
      </c>
    </row>
    <row r="5355" customFormat="false" ht="15" hidden="false" customHeight="true" outlineLevel="0" collapsed="false">
      <c r="A5355" s="0" t="n">
        <v>2</v>
      </c>
      <c r="B5355" s="71" t="n">
        <v>46239</v>
      </c>
      <c r="C5355" s="0" t="n">
        <v>22</v>
      </c>
      <c r="D5355" s="0" t="s">
        <v>2479</v>
      </c>
      <c r="E5355" s="0" t="n">
        <v>48</v>
      </c>
      <c r="F5355" s="0" t="s">
        <v>153</v>
      </c>
      <c r="I5355" s="0" t="n">
        <v>2588</v>
      </c>
      <c r="J5355" s="0" t="n">
        <v>100014</v>
      </c>
      <c r="K5355" s="0" t="n">
        <v>15</v>
      </c>
      <c r="L5355" s="0" t="s">
        <v>2491</v>
      </c>
      <c r="N5355" s="0" t="n">
        <v>4.346</v>
      </c>
      <c r="O5355" s="0" t="n">
        <v>187.6</v>
      </c>
      <c r="P5355" s="0" t="s">
        <v>2444</v>
      </c>
    </row>
    <row r="5356" customFormat="false" ht="15" hidden="false" customHeight="true" outlineLevel="0" collapsed="false">
      <c r="A5356" s="0" t="n">
        <v>2</v>
      </c>
      <c r="B5356" s="71" t="n">
        <v>46239</v>
      </c>
      <c r="C5356" s="0" t="n">
        <v>22</v>
      </c>
      <c r="D5356" s="0" t="s">
        <v>2479</v>
      </c>
      <c r="E5356" s="0" t="n">
        <v>48</v>
      </c>
      <c r="F5356" s="0" t="s">
        <v>153</v>
      </c>
      <c r="I5356" s="0" t="n">
        <v>2588</v>
      </c>
      <c r="J5356" s="0" t="n">
        <v>100015</v>
      </c>
      <c r="K5356" s="0" t="n">
        <v>16</v>
      </c>
      <c r="L5356" s="0" t="s">
        <v>2492</v>
      </c>
      <c r="N5356" s="0" t="n">
        <v>2.052</v>
      </c>
      <c r="O5356" s="0" t="n">
        <v>78.73</v>
      </c>
      <c r="P5356" s="0" t="s">
        <v>2444</v>
      </c>
    </row>
    <row r="5357" customFormat="false" ht="15" hidden="false" customHeight="true" outlineLevel="0" collapsed="false">
      <c r="A5357" s="0" t="n">
        <v>2</v>
      </c>
      <c r="B5357" s="71" t="n">
        <v>46239</v>
      </c>
      <c r="C5357" s="0" t="n">
        <v>22</v>
      </c>
      <c r="D5357" s="0" t="s">
        <v>2479</v>
      </c>
      <c r="E5357" s="0" t="n">
        <v>48</v>
      </c>
      <c r="F5357" s="0" t="s">
        <v>153</v>
      </c>
      <c r="I5357" s="0" t="n">
        <v>2588</v>
      </c>
      <c r="J5357" s="0" t="n">
        <v>100016</v>
      </c>
      <c r="K5357" s="0" t="n">
        <v>17</v>
      </c>
      <c r="L5357" s="0" t="s">
        <v>2493</v>
      </c>
      <c r="N5357" s="0" t="n">
        <v>2.84</v>
      </c>
      <c r="O5357" s="0" t="n">
        <v>158.92</v>
      </c>
      <c r="P5357" s="0" t="s">
        <v>2444</v>
      </c>
    </row>
    <row r="5358" customFormat="false" ht="15" hidden="false" customHeight="true" outlineLevel="0" collapsed="false">
      <c r="A5358" s="0" t="n">
        <v>2</v>
      </c>
      <c r="B5358" s="71" t="n">
        <v>46239</v>
      </c>
      <c r="C5358" s="0" t="n">
        <v>22</v>
      </c>
      <c r="D5358" s="0" t="s">
        <v>2479</v>
      </c>
      <c r="E5358" s="0" t="n">
        <v>48</v>
      </c>
      <c r="F5358" s="0" t="s">
        <v>153</v>
      </c>
      <c r="I5358" s="0" t="n">
        <v>2588</v>
      </c>
      <c r="J5358" s="0" t="n">
        <v>100017</v>
      </c>
      <c r="K5358" s="0" t="n">
        <v>18</v>
      </c>
      <c r="L5358" s="0" t="s">
        <v>2494</v>
      </c>
      <c r="N5358" s="0" t="n">
        <v>1.876</v>
      </c>
      <c r="O5358" s="0" t="n">
        <v>104.98</v>
      </c>
      <c r="P5358" s="0" t="s">
        <v>2444</v>
      </c>
    </row>
    <row r="5359" customFormat="false" ht="15" hidden="false" customHeight="true" outlineLevel="0" collapsed="false">
      <c r="A5359" s="0" t="n">
        <v>2</v>
      </c>
      <c r="B5359" s="71" t="n">
        <v>46239</v>
      </c>
      <c r="C5359" s="0" t="n">
        <v>22</v>
      </c>
      <c r="D5359" s="0" t="s">
        <v>2479</v>
      </c>
      <c r="E5359" s="0" t="n">
        <v>48</v>
      </c>
      <c r="F5359" s="0" t="s">
        <v>153</v>
      </c>
      <c r="I5359" s="0" t="n">
        <v>2588</v>
      </c>
      <c r="J5359" s="0" t="n">
        <v>100053</v>
      </c>
      <c r="K5359" s="0" t="n">
        <v>54</v>
      </c>
      <c r="L5359" s="0" t="s">
        <v>2495</v>
      </c>
      <c r="N5359" s="0" t="n">
        <v>2.448</v>
      </c>
      <c r="O5359" s="0" t="n">
        <v>86.1</v>
      </c>
      <c r="P5359" s="0" t="s">
        <v>2444</v>
      </c>
    </row>
    <row r="5360" customFormat="false" ht="15" hidden="false" customHeight="true" outlineLevel="0" collapsed="false">
      <c r="A5360" s="0" t="n">
        <v>2</v>
      </c>
      <c r="B5360" s="71" t="n">
        <v>46239</v>
      </c>
      <c r="C5360" s="0" t="n">
        <v>22</v>
      </c>
      <c r="D5360" s="0" t="s">
        <v>2479</v>
      </c>
      <c r="E5360" s="0" t="n">
        <v>48</v>
      </c>
      <c r="F5360" s="0" t="s">
        <v>153</v>
      </c>
      <c r="I5360" s="0" t="n">
        <v>2588</v>
      </c>
      <c r="J5360" s="0" t="n">
        <v>100638</v>
      </c>
      <c r="K5360" s="0" t="n">
        <v>508</v>
      </c>
      <c r="L5360" s="0" t="s">
        <v>2496</v>
      </c>
      <c r="N5360" s="0" t="n">
        <v>1.074</v>
      </c>
      <c r="O5360" s="0" t="n">
        <v>2.57</v>
      </c>
      <c r="P5360" s="0" t="s">
        <v>2444</v>
      </c>
    </row>
    <row r="5361" customFormat="false" ht="15" hidden="false" customHeight="true" outlineLevel="0" collapsed="false">
      <c r="A5361" s="0" t="n">
        <v>2</v>
      </c>
      <c r="B5361" s="71" t="n">
        <v>46239</v>
      </c>
      <c r="C5361" s="0" t="n">
        <v>22</v>
      </c>
      <c r="D5361" s="0" t="s">
        <v>2479</v>
      </c>
      <c r="E5361" s="0" t="n">
        <v>48</v>
      </c>
      <c r="F5361" s="0" t="s">
        <v>153</v>
      </c>
      <c r="I5361" s="0" t="n">
        <v>2588</v>
      </c>
      <c r="J5361" s="0" t="n">
        <v>100520</v>
      </c>
      <c r="K5361" s="0" t="n">
        <v>507</v>
      </c>
      <c r="L5361" s="0" t="s">
        <v>2497</v>
      </c>
      <c r="N5361" s="0" t="n">
        <v>8.03</v>
      </c>
      <c r="O5361" s="0" t="n">
        <v>19.2</v>
      </c>
      <c r="P5361" s="0" t="s">
        <v>2444</v>
      </c>
    </row>
    <row r="5362" customFormat="false" ht="15" hidden="false" customHeight="true" outlineLevel="0" collapsed="false">
      <c r="A5362" s="0" t="n">
        <v>2</v>
      </c>
      <c r="B5362" s="71" t="n">
        <v>46239</v>
      </c>
      <c r="C5362" s="0" t="n">
        <v>22</v>
      </c>
      <c r="D5362" s="0" t="s">
        <v>2479</v>
      </c>
      <c r="E5362" s="0" t="n">
        <v>48</v>
      </c>
      <c r="F5362" s="0" t="s">
        <v>153</v>
      </c>
      <c r="I5362" s="0" t="n">
        <v>2588</v>
      </c>
      <c r="J5362" s="0" t="n">
        <v>110455</v>
      </c>
      <c r="K5362" s="0" t="n">
        <v>53212</v>
      </c>
      <c r="L5362" s="0" t="s">
        <v>2498</v>
      </c>
      <c r="N5362" s="0" t="n">
        <v>0.885</v>
      </c>
      <c r="O5362" s="0" t="n">
        <v>0.01</v>
      </c>
      <c r="P5362" s="0" t="s">
        <v>2444</v>
      </c>
    </row>
    <row r="5363" customFormat="false" ht="15" hidden="false" customHeight="true" outlineLevel="0" collapsed="false">
      <c r="A5363" s="0" t="n">
        <v>2</v>
      </c>
      <c r="B5363" s="71" t="n">
        <v>46239</v>
      </c>
      <c r="C5363" s="0" t="n">
        <v>100</v>
      </c>
      <c r="D5363" s="0" t="s">
        <v>2499</v>
      </c>
      <c r="E5363" s="0" t="n">
        <v>48</v>
      </c>
      <c r="F5363" s="0" t="s">
        <v>153</v>
      </c>
      <c r="I5363" s="0" t="n">
        <v>1503579</v>
      </c>
      <c r="J5363" s="0" t="n">
        <v>100000</v>
      </c>
      <c r="K5363" s="0" t="n">
        <v>1</v>
      </c>
      <c r="L5363" s="0" t="s">
        <v>2480</v>
      </c>
      <c r="N5363" s="0" t="n">
        <v>3.13</v>
      </c>
      <c r="O5363" s="0" t="n">
        <v>60.04</v>
      </c>
      <c r="P5363" s="0" t="s">
        <v>2444</v>
      </c>
    </row>
    <row r="5364" customFormat="false" ht="15" hidden="false" customHeight="true" outlineLevel="0" collapsed="false">
      <c r="A5364" s="0" t="n">
        <v>2</v>
      </c>
      <c r="B5364" s="71" t="n">
        <v>46239</v>
      </c>
      <c r="C5364" s="0" t="n">
        <v>100</v>
      </c>
      <c r="D5364" s="0" t="s">
        <v>2499</v>
      </c>
      <c r="E5364" s="0" t="n">
        <v>48</v>
      </c>
      <c r="F5364" s="0" t="s">
        <v>153</v>
      </c>
      <c r="I5364" s="0" t="n">
        <v>1503579</v>
      </c>
      <c r="J5364" s="0" t="n">
        <v>100006</v>
      </c>
      <c r="K5364" s="0" t="n">
        <v>7</v>
      </c>
      <c r="L5364" s="0" t="s">
        <v>2485</v>
      </c>
      <c r="N5364" s="0" t="n">
        <v>2.426</v>
      </c>
      <c r="O5364" s="0" t="n">
        <v>65.93</v>
      </c>
      <c r="P5364" s="0" t="s">
        <v>2444</v>
      </c>
    </row>
    <row r="5365" customFormat="false" ht="15" hidden="false" customHeight="true" outlineLevel="0" collapsed="false">
      <c r="A5365" s="0" t="n">
        <v>2</v>
      </c>
      <c r="B5365" s="71" t="n">
        <v>46239</v>
      </c>
      <c r="C5365" s="0" t="n">
        <v>100</v>
      </c>
      <c r="D5365" s="0" t="s">
        <v>2499</v>
      </c>
      <c r="E5365" s="0" t="n">
        <v>48</v>
      </c>
      <c r="F5365" s="0" t="s">
        <v>153</v>
      </c>
      <c r="I5365" s="0" t="n">
        <v>1503579</v>
      </c>
      <c r="J5365" s="0" t="n">
        <v>100007</v>
      </c>
      <c r="K5365" s="0" t="n">
        <v>8</v>
      </c>
      <c r="L5365" s="0" t="s">
        <v>2486</v>
      </c>
      <c r="N5365" s="0" t="n">
        <v>1.518</v>
      </c>
      <c r="O5365" s="0" t="n">
        <v>36.4</v>
      </c>
      <c r="P5365" s="0" t="s">
        <v>2444</v>
      </c>
    </row>
    <row r="5366" customFormat="false" ht="15" hidden="false" customHeight="true" outlineLevel="0" collapsed="false">
      <c r="A5366" s="0" t="n">
        <v>2</v>
      </c>
      <c r="B5366" s="71" t="n">
        <v>46239</v>
      </c>
      <c r="C5366" s="0" t="n">
        <v>100</v>
      </c>
      <c r="D5366" s="0" t="s">
        <v>2499</v>
      </c>
      <c r="E5366" s="0" t="n">
        <v>48</v>
      </c>
      <c r="F5366" s="0" t="s">
        <v>153</v>
      </c>
      <c r="I5366" s="0" t="n">
        <v>1503579</v>
      </c>
      <c r="J5366" s="0" t="n">
        <v>100008</v>
      </c>
      <c r="K5366" s="0" t="n">
        <v>9</v>
      </c>
      <c r="L5366" s="0" t="s">
        <v>2487</v>
      </c>
      <c r="N5366" s="0" t="n">
        <v>15.32</v>
      </c>
      <c r="O5366" s="0" t="n">
        <v>477.58</v>
      </c>
      <c r="P5366" s="0" t="s">
        <v>2444</v>
      </c>
    </row>
    <row r="5367" customFormat="false" ht="15" hidden="false" customHeight="true" outlineLevel="0" collapsed="false">
      <c r="A5367" s="0" t="n">
        <v>2</v>
      </c>
      <c r="B5367" s="71" t="n">
        <v>46239</v>
      </c>
      <c r="C5367" s="0" t="n">
        <v>100</v>
      </c>
      <c r="D5367" s="0" t="s">
        <v>2499</v>
      </c>
      <c r="E5367" s="0" t="n">
        <v>48</v>
      </c>
      <c r="F5367" s="0" t="s">
        <v>153</v>
      </c>
      <c r="I5367" s="0" t="n">
        <v>1503579</v>
      </c>
      <c r="J5367" s="0" t="n">
        <v>100011</v>
      </c>
      <c r="K5367" s="0" t="n">
        <v>12</v>
      </c>
      <c r="L5367" s="0" t="s">
        <v>2488</v>
      </c>
      <c r="N5367" s="0" t="n">
        <v>10.895</v>
      </c>
      <c r="O5367" s="0" t="n">
        <v>383.19</v>
      </c>
      <c r="P5367" s="0" t="s">
        <v>2444</v>
      </c>
    </row>
    <row r="5368" customFormat="false" ht="15" hidden="false" customHeight="true" outlineLevel="0" collapsed="false">
      <c r="A5368" s="0" t="n">
        <v>2</v>
      </c>
      <c r="B5368" s="71" t="n">
        <v>46239</v>
      </c>
      <c r="C5368" s="0" t="n">
        <v>100</v>
      </c>
      <c r="D5368" s="0" t="s">
        <v>2499</v>
      </c>
      <c r="E5368" s="0" t="n">
        <v>48</v>
      </c>
      <c r="F5368" s="0" t="s">
        <v>153</v>
      </c>
      <c r="I5368" s="0" t="n">
        <v>1503579</v>
      </c>
      <c r="J5368" s="0" t="n">
        <v>100012</v>
      </c>
      <c r="K5368" s="0" t="n">
        <v>13</v>
      </c>
      <c r="L5368" s="0" t="s">
        <v>2489</v>
      </c>
      <c r="N5368" s="0" t="n">
        <v>5.64</v>
      </c>
      <c r="O5368" s="0" t="n">
        <v>225.42</v>
      </c>
      <c r="P5368" s="0" t="s">
        <v>2444</v>
      </c>
    </row>
    <row r="5369" customFormat="false" ht="15" hidden="false" customHeight="true" outlineLevel="0" collapsed="false">
      <c r="A5369" s="0" t="n">
        <v>2</v>
      </c>
      <c r="B5369" s="71" t="n">
        <v>46239</v>
      </c>
      <c r="C5369" s="0" t="n">
        <v>100</v>
      </c>
      <c r="D5369" s="0" t="s">
        <v>2499</v>
      </c>
      <c r="E5369" s="0" t="n">
        <v>48</v>
      </c>
      <c r="F5369" s="0" t="s">
        <v>153</v>
      </c>
      <c r="I5369" s="0" t="n">
        <v>1503579</v>
      </c>
      <c r="J5369" s="0" t="n">
        <v>100013</v>
      </c>
      <c r="K5369" s="0" t="n">
        <v>14</v>
      </c>
      <c r="L5369" s="0" t="s">
        <v>2490</v>
      </c>
      <c r="N5369" s="0" t="n">
        <v>10.87</v>
      </c>
      <c r="O5369" s="0" t="n">
        <v>460.53</v>
      </c>
      <c r="P5369" s="0" t="s">
        <v>2444</v>
      </c>
    </row>
    <row r="5370" customFormat="false" ht="15" hidden="false" customHeight="true" outlineLevel="0" collapsed="false">
      <c r="A5370" s="0" t="n">
        <v>2</v>
      </c>
      <c r="B5370" s="71" t="n">
        <v>46239</v>
      </c>
      <c r="C5370" s="0" t="n">
        <v>100</v>
      </c>
      <c r="D5370" s="0" t="s">
        <v>2499</v>
      </c>
      <c r="E5370" s="0" t="n">
        <v>48</v>
      </c>
      <c r="F5370" s="0" t="s">
        <v>153</v>
      </c>
      <c r="I5370" s="0" t="n">
        <v>1503579</v>
      </c>
      <c r="J5370" s="0" t="n">
        <v>100014</v>
      </c>
      <c r="K5370" s="0" t="n">
        <v>15</v>
      </c>
      <c r="L5370" s="0" t="s">
        <v>2491</v>
      </c>
      <c r="N5370" s="0" t="n">
        <v>4.346</v>
      </c>
      <c r="O5370" s="0" t="n">
        <v>187.6</v>
      </c>
      <c r="P5370" s="0" t="s">
        <v>2444</v>
      </c>
    </row>
    <row r="5371" customFormat="false" ht="15" hidden="false" customHeight="true" outlineLevel="0" collapsed="false">
      <c r="A5371" s="0" t="n">
        <v>2</v>
      </c>
      <c r="B5371" s="71" t="n">
        <v>46239</v>
      </c>
      <c r="C5371" s="0" t="n">
        <v>100</v>
      </c>
      <c r="D5371" s="0" t="s">
        <v>2499</v>
      </c>
      <c r="E5371" s="0" t="n">
        <v>48</v>
      </c>
      <c r="F5371" s="0" t="s">
        <v>153</v>
      </c>
      <c r="I5371" s="0" t="n">
        <v>1503579</v>
      </c>
      <c r="J5371" s="0" t="n">
        <v>100015</v>
      </c>
      <c r="K5371" s="0" t="n">
        <v>16</v>
      </c>
      <c r="L5371" s="0" t="s">
        <v>2492</v>
      </c>
      <c r="N5371" s="0" t="n">
        <v>2.052</v>
      </c>
      <c r="O5371" s="0" t="n">
        <v>78.73</v>
      </c>
      <c r="P5371" s="0" t="s">
        <v>2444</v>
      </c>
    </row>
    <row r="5372" customFormat="false" ht="15" hidden="false" customHeight="true" outlineLevel="0" collapsed="false">
      <c r="A5372" s="0" t="n">
        <v>2</v>
      </c>
      <c r="B5372" s="71" t="n">
        <v>46239</v>
      </c>
      <c r="C5372" s="0" t="n">
        <v>100</v>
      </c>
      <c r="D5372" s="0" t="s">
        <v>2499</v>
      </c>
      <c r="E5372" s="0" t="n">
        <v>48</v>
      </c>
      <c r="F5372" s="0" t="s">
        <v>153</v>
      </c>
      <c r="I5372" s="0" t="n">
        <v>1503579</v>
      </c>
      <c r="J5372" s="0" t="n">
        <v>100016</v>
      </c>
      <c r="K5372" s="0" t="n">
        <v>17</v>
      </c>
      <c r="L5372" s="0" t="s">
        <v>2493</v>
      </c>
      <c r="N5372" s="0" t="n">
        <v>2.84</v>
      </c>
      <c r="O5372" s="0" t="n">
        <v>158.92</v>
      </c>
      <c r="P5372" s="0" t="s">
        <v>2444</v>
      </c>
    </row>
    <row r="5373" customFormat="false" ht="15" hidden="false" customHeight="true" outlineLevel="0" collapsed="false">
      <c r="A5373" s="0" t="n">
        <v>2</v>
      </c>
      <c r="B5373" s="71" t="n">
        <v>46239</v>
      </c>
      <c r="C5373" s="0" t="n">
        <v>100</v>
      </c>
      <c r="D5373" s="0" t="s">
        <v>2499</v>
      </c>
      <c r="E5373" s="0" t="n">
        <v>48</v>
      </c>
      <c r="F5373" s="0" t="s">
        <v>153</v>
      </c>
      <c r="I5373" s="0" t="n">
        <v>1503579</v>
      </c>
      <c r="J5373" s="0" t="n">
        <v>100017</v>
      </c>
      <c r="K5373" s="0" t="n">
        <v>18</v>
      </c>
      <c r="L5373" s="0" t="s">
        <v>2494</v>
      </c>
      <c r="N5373" s="0" t="n">
        <v>1.876</v>
      </c>
      <c r="O5373" s="0" t="n">
        <v>104.98</v>
      </c>
      <c r="P5373" s="0" t="s">
        <v>2444</v>
      </c>
    </row>
    <row r="5374" customFormat="false" ht="15" hidden="false" customHeight="true" outlineLevel="0" collapsed="false">
      <c r="A5374" s="0" t="n">
        <v>2</v>
      </c>
      <c r="B5374" s="71" t="n">
        <v>46239</v>
      </c>
      <c r="C5374" s="0" t="n">
        <v>100</v>
      </c>
      <c r="D5374" s="0" t="s">
        <v>2499</v>
      </c>
      <c r="E5374" s="0" t="n">
        <v>48</v>
      </c>
      <c r="F5374" s="0" t="s">
        <v>153</v>
      </c>
      <c r="I5374" s="0" t="n">
        <v>1503579</v>
      </c>
      <c r="J5374" s="0" t="n">
        <v>100053</v>
      </c>
      <c r="K5374" s="0" t="n">
        <v>54</v>
      </c>
      <c r="L5374" s="0" t="s">
        <v>2495</v>
      </c>
      <c r="N5374" s="0" t="n">
        <v>2.448</v>
      </c>
      <c r="O5374" s="0" t="n">
        <v>86.1</v>
      </c>
      <c r="P5374" s="0" t="s">
        <v>2444</v>
      </c>
    </row>
    <row r="5375" customFormat="false" ht="15" hidden="false" customHeight="true" outlineLevel="0" collapsed="false">
      <c r="A5375" s="0" t="n">
        <v>2</v>
      </c>
      <c r="B5375" s="71" t="n">
        <v>46239</v>
      </c>
      <c r="C5375" s="0" t="n">
        <v>100</v>
      </c>
      <c r="D5375" s="0" t="s">
        <v>2499</v>
      </c>
      <c r="E5375" s="0" t="n">
        <v>48</v>
      </c>
      <c r="F5375" s="0" t="s">
        <v>153</v>
      </c>
      <c r="I5375" s="0" t="n">
        <v>1503579</v>
      </c>
      <c r="J5375" s="0" t="n">
        <v>100638</v>
      </c>
      <c r="K5375" s="0" t="n">
        <v>508</v>
      </c>
      <c r="L5375" s="0" t="s">
        <v>2496</v>
      </c>
      <c r="N5375" s="0" t="n">
        <v>1.074</v>
      </c>
      <c r="O5375" s="0" t="n">
        <v>2.57</v>
      </c>
      <c r="P5375" s="0" t="s">
        <v>2444</v>
      </c>
    </row>
    <row r="5376" customFormat="false" ht="15" hidden="false" customHeight="true" outlineLevel="0" collapsed="false">
      <c r="A5376" s="0" t="n">
        <v>2</v>
      </c>
      <c r="B5376" s="71" t="n">
        <v>46239</v>
      </c>
      <c r="C5376" s="0" t="n">
        <v>100</v>
      </c>
      <c r="D5376" s="0" t="s">
        <v>2499</v>
      </c>
      <c r="E5376" s="0" t="n">
        <v>48</v>
      </c>
      <c r="F5376" s="0" t="s">
        <v>153</v>
      </c>
      <c r="I5376" s="0" t="n">
        <v>1503579</v>
      </c>
      <c r="J5376" s="0" t="n">
        <v>100520</v>
      </c>
      <c r="K5376" s="0" t="n">
        <v>507</v>
      </c>
      <c r="L5376" s="0" t="s">
        <v>2497</v>
      </c>
      <c r="N5376" s="0" t="n">
        <v>8.03</v>
      </c>
      <c r="O5376" s="0" t="n">
        <v>19.2</v>
      </c>
      <c r="P5376" s="0" t="s">
        <v>2444</v>
      </c>
    </row>
    <row r="5377" customFormat="false" ht="15" hidden="false" customHeight="true" outlineLevel="0" collapsed="false">
      <c r="A5377" s="0" t="n">
        <v>2</v>
      </c>
      <c r="B5377" s="71" t="n">
        <v>46239</v>
      </c>
      <c r="C5377" s="0" t="n">
        <v>100</v>
      </c>
      <c r="D5377" s="0" t="s">
        <v>2499</v>
      </c>
      <c r="E5377" s="0" t="n">
        <v>48</v>
      </c>
      <c r="F5377" s="0" t="s">
        <v>153</v>
      </c>
      <c r="I5377" s="0" t="n">
        <v>1503579</v>
      </c>
      <c r="J5377" s="0" t="n">
        <v>110455</v>
      </c>
      <c r="K5377" s="0" t="n">
        <v>53212</v>
      </c>
      <c r="L5377" s="0" t="s">
        <v>2498</v>
      </c>
      <c r="N5377" s="0" t="n">
        <v>0.885</v>
      </c>
      <c r="O5377" s="0" t="n">
        <v>0.01</v>
      </c>
      <c r="P5377" s="0" t="s">
        <v>2444</v>
      </c>
    </row>
    <row r="5378" customFormat="false" ht="15" hidden="false" customHeight="true" outlineLevel="0" collapsed="false">
      <c r="A5378" s="0" t="n">
        <v>2</v>
      </c>
      <c r="B5378" s="71" t="n">
        <v>46240</v>
      </c>
      <c r="C5378" s="0" t="n">
        <v>6</v>
      </c>
      <c r="D5378" s="0" t="s">
        <v>2553</v>
      </c>
      <c r="E5378" s="0" t="n">
        <v>48</v>
      </c>
      <c r="F5378" s="0" t="s">
        <v>153</v>
      </c>
      <c r="I5378" s="0" t="n">
        <v>2589</v>
      </c>
      <c r="J5378" s="0" t="n">
        <v>42564</v>
      </c>
      <c r="K5378" s="0" t="n">
        <v>574</v>
      </c>
      <c r="L5378" s="0" t="s">
        <v>2534</v>
      </c>
      <c r="N5378" s="0" t="n">
        <v>20</v>
      </c>
      <c r="O5378" s="0" t="n">
        <v>300</v>
      </c>
      <c r="P5378" s="0" t="s">
        <v>2444</v>
      </c>
    </row>
    <row r="5379" customFormat="false" ht="15" hidden="false" customHeight="true" outlineLevel="0" collapsed="false">
      <c r="A5379" s="0" t="n">
        <v>2</v>
      </c>
      <c r="B5379" s="71" t="n">
        <v>46240</v>
      </c>
      <c r="C5379" s="0" t="n">
        <v>11</v>
      </c>
      <c r="D5379" s="0" t="s">
        <v>2471</v>
      </c>
      <c r="E5379" s="0" t="n">
        <v>10092</v>
      </c>
      <c r="F5379" s="0" t="s">
        <v>814</v>
      </c>
      <c r="I5379" s="0" t="n">
        <v>306</v>
      </c>
      <c r="J5379" s="0" t="n">
        <v>81678</v>
      </c>
      <c r="K5379" s="0" t="n">
        <v>7897507544310</v>
      </c>
      <c r="L5379" s="0" t="s">
        <v>3902</v>
      </c>
      <c r="N5379" s="0" t="n">
        <v>6</v>
      </c>
      <c r="O5379" s="0" t="n">
        <v>28.5</v>
      </c>
      <c r="P5379" s="0" t="s">
        <v>2444</v>
      </c>
    </row>
    <row r="5380" customFormat="false" ht="15" hidden="false" customHeight="true" outlineLevel="0" collapsed="false">
      <c r="A5380" s="0" t="n">
        <v>2</v>
      </c>
      <c r="B5380" s="71" t="n">
        <v>46240</v>
      </c>
      <c r="C5380" s="0" t="n">
        <v>11</v>
      </c>
      <c r="D5380" s="0" t="s">
        <v>2471</v>
      </c>
      <c r="E5380" s="0" t="n">
        <v>10092</v>
      </c>
      <c r="F5380" s="0" t="s">
        <v>814</v>
      </c>
      <c r="I5380" s="0" t="n">
        <v>306</v>
      </c>
      <c r="J5380" s="0" t="n">
        <v>81679</v>
      </c>
      <c r="K5380" s="0" t="n">
        <v>7894537406434</v>
      </c>
      <c r="L5380" s="0" t="s">
        <v>3903</v>
      </c>
      <c r="N5380" s="0" t="n">
        <v>4</v>
      </c>
      <c r="O5380" s="0" t="n">
        <v>19</v>
      </c>
      <c r="P5380" s="0" t="s">
        <v>2444</v>
      </c>
    </row>
    <row r="5381" customFormat="false" ht="15" hidden="false" customHeight="true" outlineLevel="0" collapsed="false">
      <c r="A5381" s="0" t="n">
        <v>2</v>
      </c>
      <c r="B5381" s="71" t="n">
        <v>46240</v>
      </c>
      <c r="C5381" s="0" t="n">
        <v>11</v>
      </c>
      <c r="D5381" s="0" t="s">
        <v>2471</v>
      </c>
      <c r="E5381" s="0" t="n">
        <v>10092</v>
      </c>
      <c r="F5381" s="0" t="s">
        <v>814</v>
      </c>
      <c r="I5381" s="0" t="n">
        <v>306</v>
      </c>
      <c r="J5381" s="0" t="n">
        <v>81680</v>
      </c>
      <c r="K5381" s="0" t="n">
        <v>7898877023214</v>
      </c>
      <c r="L5381" s="0" t="s">
        <v>3904</v>
      </c>
      <c r="N5381" s="0" t="n">
        <v>4</v>
      </c>
      <c r="O5381" s="0" t="n">
        <v>19</v>
      </c>
      <c r="P5381" s="0" t="s">
        <v>2444</v>
      </c>
    </row>
    <row r="5382" customFormat="false" ht="15" hidden="false" customHeight="true" outlineLevel="0" collapsed="false">
      <c r="A5382" s="0" t="n">
        <v>2</v>
      </c>
      <c r="B5382" s="71" t="n">
        <v>46240</v>
      </c>
      <c r="C5382" s="0" t="n">
        <v>11</v>
      </c>
      <c r="D5382" s="0" t="s">
        <v>2471</v>
      </c>
      <c r="E5382" s="0" t="n">
        <v>10092</v>
      </c>
      <c r="F5382" s="0" t="s">
        <v>814</v>
      </c>
      <c r="I5382" s="0" t="n">
        <v>306</v>
      </c>
      <c r="J5382" s="0" t="n">
        <v>81681</v>
      </c>
      <c r="K5382" s="0" t="n">
        <v>7893127665916</v>
      </c>
      <c r="L5382" s="0" t="s">
        <v>3905</v>
      </c>
      <c r="N5382" s="0" t="n">
        <v>6</v>
      </c>
      <c r="O5382" s="0" t="n">
        <v>14</v>
      </c>
      <c r="P5382" s="0" t="s">
        <v>2444</v>
      </c>
    </row>
    <row r="5383" customFormat="false" ht="15" hidden="false" customHeight="true" outlineLevel="0" collapsed="false">
      <c r="A5383" s="0" t="n">
        <v>2</v>
      </c>
      <c r="B5383" s="71" t="n">
        <v>46240</v>
      </c>
      <c r="C5383" s="0" t="n">
        <v>11</v>
      </c>
      <c r="D5383" s="0" t="s">
        <v>2471</v>
      </c>
      <c r="E5383" s="0" t="n">
        <v>10092</v>
      </c>
      <c r="F5383" s="0" t="s">
        <v>814</v>
      </c>
      <c r="I5383" s="0" t="n">
        <v>306</v>
      </c>
      <c r="J5383" s="0" t="n">
        <v>81682</v>
      </c>
      <c r="K5383" s="0" t="n">
        <v>7894498184235</v>
      </c>
      <c r="L5383" s="0" t="s">
        <v>3906</v>
      </c>
      <c r="N5383" s="0" t="n">
        <v>4</v>
      </c>
      <c r="O5383" s="0" t="n">
        <v>28</v>
      </c>
      <c r="P5383" s="0" t="s">
        <v>2444</v>
      </c>
    </row>
    <row r="5384" customFormat="false" ht="15" hidden="false" customHeight="true" outlineLevel="0" collapsed="false">
      <c r="A5384" s="0" t="n">
        <v>2</v>
      </c>
      <c r="B5384" s="71" t="n">
        <v>46240</v>
      </c>
      <c r="C5384" s="0" t="n">
        <v>11</v>
      </c>
      <c r="D5384" s="0" t="s">
        <v>2471</v>
      </c>
      <c r="E5384" s="0" t="n">
        <v>10092</v>
      </c>
      <c r="F5384" s="0" t="s">
        <v>814</v>
      </c>
      <c r="I5384" s="0" t="n">
        <v>306</v>
      </c>
      <c r="J5384" s="0" t="n">
        <v>81683</v>
      </c>
      <c r="K5384" s="0" t="n">
        <v>7897671567078</v>
      </c>
      <c r="L5384" s="0" t="s">
        <v>3907</v>
      </c>
      <c r="N5384" s="0" t="n">
        <v>4</v>
      </c>
      <c r="O5384" s="0" t="n">
        <v>28</v>
      </c>
      <c r="P5384" s="0" t="s">
        <v>2444</v>
      </c>
    </row>
    <row r="5385" customFormat="false" ht="15" hidden="false" customHeight="true" outlineLevel="0" collapsed="false">
      <c r="A5385" s="0" t="n">
        <v>2</v>
      </c>
      <c r="B5385" s="71" t="n">
        <v>46240</v>
      </c>
      <c r="C5385" s="0" t="n">
        <v>11</v>
      </c>
      <c r="D5385" s="0" t="s">
        <v>2471</v>
      </c>
      <c r="E5385" s="0" t="n">
        <v>1635</v>
      </c>
      <c r="F5385" s="0" t="s">
        <v>128</v>
      </c>
      <c r="I5385" s="0" t="n">
        <v>2658</v>
      </c>
      <c r="J5385" s="0" t="n">
        <v>31195</v>
      </c>
      <c r="K5385" s="0" t="n">
        <v>7898955964750</v>
      </c>
      <c r="L5385" s="0" t="s">
        <v>2555</v>
      </c>
      <c r="N5385" s="0" t="n">
        <v>40</v>
      </c>
      <c r="O5385" s="0" t="n">
        <v>301.2</v>
      </c>
      <c r="P5385" s="0" t="s">
        <v>2444</v>
      </c>
    </row>
    <row r="5386" customFormat="false" ht="15" hidden="false" customHeight="true" outlineLevel="0" collapsed="false">
      <c r="A5386" s="0" t="n">
        <v>2</v>
      </c>
      <c r="B5386" s="71" t="n">
        <v>46240</v>
      </c>
      <c r="C5386" s="0" t="n">
        <v>11</v>
      </c>
      <c r="D5386" s="0" t="s">
        <v>2471</v>
      </c>
      <c r="E5386" s="0" t="n">
        <v>1635</v>
      </c>
      <c r="F5386" s="0" t="s">
        <v>128</v>
      </c>
      <c r="I5386" s="0" t="n">
        <v>2658</v>
      </c>
      <c r="J5386" s="0" t="n">
        <v>110181</v>
      </c>
      <c r="K5386" s="0" t="n">
        <v>37389</v>
      </c>
      <c r="L5386" s="0" t="s">
        <v>2981</v>
      </c>
      <c r="N5386" s="0" t="n">
        <v>18</v>
      </c>
      <c r="O5386" s="0" t="n">
        <v>190.26</v>
      </c>
      <c r="P5386" s="0" t="s">
        <v>2444</v>
      </c>
    </row>
    <row r="5387" customFormat="false" ht="15" hidden="false" customHeight="true" outlineLevel="0" collapsed="false">
      <c r="A5387" s="0" t="n">
        <v>2</v>
      </c>
      <c r="B5387" s="71" t="n">
        <v>46240</v>
      </c>
      <c r="C5387" s="0" t="n">
        <v>11</v>
      </c>
      <c r="D5387" s="0" t="s">
        <v>2471</v>
      </c>
      <c r="E5387" s="0" t="n">
        <v>1292</v>
      </c>
      <c r="F5387" s="0" t="s">
        <v>209</v>
      </c>
      <c r="I5387" s="0" t="n">
        <v>3785</v>
      </c>
      <c r="J5387" s="0" t="n">
        <v>58633</v>
      </c>
      <c r="K5387" s="0" t="n">
        <v>7891164025250</v>
      </c>
      <c r="L5387" s="0" t="s">
        <v>2448</v>
      </c>
      <c r="N5387" s="0" t="n">
        <v>50</v>
      </c>
      <c r="O5387" s="0" t="n">
        <v>449.5</v>
      </c>
      <c r="P5387" s="0" t="s">
        <v>2444</v>
      </c>
    </row>
    <row r="5388" customFormat="false" ht="15" hidden="false" customHeight="true" outlineLevel="0" collapsed="false">
      <c r="A5388" s="0" t="n">
        <v>2</v>
      </c>
      <c r="B5388" s="71" t="n">
        <v>46240</v>
      </c>
      <c r="C5388" s="0" t="n">
        <v>11</v>
      </c>
      <c r="D5388" s="0" t="s">
        <v>2471</v>
      </c>
      <c r="E5388" s="0" t="n">
        <v>1292</v>
      </c>
      <c r="F5388" s="0" t="s">
        <v>209</v>
      </c>
      <c r="I5388" s="0" t="n">
        <v>3785</v>
      </c>
      <c r="J5388" s="0" t="n">
        <v>82078</v>
      </c>
      <c r="K5388" s="0" t="n">
        <v>87946594534</v>
      </c>
      <c r="L5388" s="0" t="s">
        <v>4681</v>
      </c>
      <c r="N5388" s="0" t="n">
        <v>25</v>
      </c>
      <c r="O5388" s="0" t="n">
        <v>140</v>
      </c>
      <c r="P5388" s="0" t="s">
        <v>2444</v>
      </c>
    </row>
    <row r="5389" customFormat="false" ht="15" hidden="false" customHeight="true" outlineLevel="0" collapsed="false">
      <c r="A5389" s="0" t="n">
        <v>2</v>
      </c>
      <c r="B5389" s="71" t="n">
        <v>46240</v>
      </c>
      <c r="C5389" s="0" t="n">
        <v>11</v>
      </c>
      <c r="D5389" s="0" t="s">
        <v>2471</v>
      </c>
      <c r="E5389" s="0" t="n">
        <v>1123</v>
      </c>
      <c r="F5389" s="0" t="s">
        <v>443</v>
      </c>
      <c r="I5389" s="0" t="n">
        <v>45441</v>
      </c>
      <c r="J5389" s="0" t="n">
        <v>72629</v>
      </c>
      <c r="K5389" s="0" t="n">
        <v>7898055455356</v>
      </c>
      <c r="L5389" s="0" t="s">
        <v>2684</v>
      </c>
      <c r="N5389" s="0" t="n">
        <v>64</v>
      </c>
      <c r="O5389" s="0" t="n">
        <v>460</v>
      </c>
      <c r="P5389" s="0" t="s">
        <v>2444</v>
      </c>
    </row>
    <row r="5390" customFormat="false" ht="15" hidden="false" customHeight="true" outlineLevel="0" collapsed="false">
      <c r="A5390" s="0" t="n">
        <v>2</v>
      </c>
      <c r="B5390" s="71" t="n">
        <v>46240</v>
      </c>
      <c r="C5390" s="0" t="n">
        <v>11</v>
      </c>
      <c r="D5390" s="0" t="s">
        <v>2471</v>
      </c>
      <c r="E5390" s="0" t="n">
        <v>1815</v>
      </c>
      <c r="F5390" s="0" t="s">
        <v>172</v>
      </c>
      <c r="I5390" s="0" t="n">
        <v>396443</v>
      </c>
      <c r="J5390" s="0" t="n">
        <v>100011</v>
      </c>
      <c r="K5390" s="0" t="n">
        <v>12</v>
      </c>
      <c r="L5390" s="0" t="s">
        <v>2488</v>
      </c>
      <c r="N5390" s="0" t="n">
        <v>24.852</v>
      </c>
      <c r="O5390" s="0" t="n">
        <v>894.42</v>
      </c>
      <c r="P5390" s="0" t="s">
        <v>2444</v>
      </c>
    </row>
    <row r="5391" customFormat="false" ht="15" hidden="false" customHeight="true" outlineLevel="0" collapsed="false">
      <c r="A5391" s="0" t="n">
        <v>2</v>
      </c>
      <c r="B5391" s="71" t="n">
        <v>46240</v>
      </c>
      <c r="C5391" s="0" t="n">
        <v>11</v>
      </c>
      <c r="D5391" s="0" t="s">
        <v>2471</v>
      </c>
      <c r="E5391" s="0" t="n">
        <v>1815</v>
      </c>
      <c r="F5391" s="0" t="s">
        <v>172</v>
      </c>
      <c r="I5391" s="0" t="n">
        <v>396443</v>
      </c>
      <c r="J5391" s="0" t="n">
        <v>100014</v>
      </c>
      <c r="K5391" s="0" t="n">
        <v>15</v>
      </c>
      <c r="L5391" s="0" t="s">
        <v>2491</v>
      </c>
      <c r="N5391" s="0" t="n">
        <v>23.581</v>
      </c>
      <c r="O5391" s="0" t="n">
        <v>990.17</v>
      </c>
      <c r="P5391" s="0" t="s">
        <v>2444</v>
      </c>
    </row>
    <row r="5392" customFormat="false" ht="15" hidden="false" customHeight="true" outlineLevel="0" collapsed="false">
      <c r="A5392" s="0" t="n">
        <v>2</v>
      </c>
      <c r="B5392" s="71" t="n">
        <v>46240</v>
      </c>
      <c r="C5392" s="0" t="n">
        <v>11</v>
      </c>
      <c r="D5392" s="0" t="s">
        <v>2471</v>
      </c>
      <c r="E5392" s="0" t="n">
        <v>1024</v>
      </c>
      <c r="F5392" s="0" t="s">
        <v>471</v>
      </c>
      <c r="I5392" s="0" t="n">
        <v>616330</v>
      </c>
      <c r="J5392" s="0" t="n">
        <v>30387</v>
      </c>
      <c r="K5392" s="0" t="n">
        <v>7898654710092</v>
      </c>
      <c r="L5392" s="0" t="s">
        <v>3699</v>
      </c>
      <c r="N5392" s="0" t="n">
        <v>60</v>
      </c>
      <c r="O5392" s="0" t="n">
        <v>65</v>
      </c>
      <c r="P5392" s="0" t="s">
        <v>2444</v>
      </c>
    </row>
    <row r="5393" customFormat="false" ht="15" hidden="false" customHeight="true" outlineLevel="0" collapsed="false">
      <c r="A5393" s="0" t="n">
        <v>2</v>
      </c>
      <c r="B5393" s="71" t="n">
        <v>46240</v>
      </c>
      <c r="C5393" s="0" t="n">
        <v>11</v>
      </c>
      <c r="D5393" s="0" t="s">
        <v>2471</v>
      </c>
      <c r="E5393" s="0" t="n">
        <v>1024</v>
      </c>
      <c r="F5393" s="0" t="s">
        <v>471</v>
      </c>
      <c r="I5393" s="0" t="n">
        <v>616330</v>
      </c>
      <c r="J5393" s="0" t="n">
        <v>60866</v>
      </c>
      <c r="K5393" s="0" t="n">
        <v>7898654710474</v>
      </c>
      <c r="L5393" s="0" t="s">
        <v>2793</v>
      </c>
      <c r="N5393" s="0" t="n">
        <v>180</v>
      </c>
      <c r="O5393" s="0" t="n">
        <v>420</v>
      </c>
      <c r="P5393" s="0" t="s">
        <v>2444</v>
      </c>
    </row>
    <row r="5394" customFormat="false" ht="15" hidden="false" customHeight="true" outlineLevel="0" collapsed="false">
      <c r="A5394" s="0" t="n">
        <v>2</v>
      </c>
      <c r="B5394" s="71" t="n">
        <v>46240</v>
      </c>
      <c r="C5394" s="0" t="n">
        <v>11</v>
      </c>
      <c r="D5394" s="0" t="s">
        <v>2471</v>
      </c>
      <c r="E5394" s="0" t="n">
        <v>1683</v>
      </c>
      <c r="F5394" s="0" t="s">
        <v>406</v>
      </c>
      <c r="I5394" s="0" t="n">
        <v>1658743</v>
      </c>
      <c r="J5394" s="0" t="n">
        <v>109791</v>
      </c>
      <c r="K5394" s="0" t="n">
        <v>9667</v>
      </c>
      <c r="L5394" s="0" t="s">
        <v>2465</v>
      </c>
      <c r="N5394" s="0" t="n">
        <v>15</v>
      </c>
      <c r="O5394" s="0" t="n">
        <v>22.5</v>
      </c>
      <c r="P5394" s="0" t="s">
        <v>2444</v>
      </c>
    </row>
    <row r="5395" customFormat="false" ht="15" hidden="false" customHeight="true" outlineLevel="0" collapsed="false">
      <c r="A5395" s="0" t="n">
        <v>2</v>
      </c>
      <c r="B5395" s="71" t="n">
        <v>46240</v>
      </c>
      <c r="C5395" s="0" t="n">
        <v>11</v>
      </c>
      <c r="D5395" s="0" t="s">
        <v>2471</v>
      </c>
      <c r="E5395" s="0" t="n">
        <v>1683</v>
      </c>
      <c r="F5395" s="0" t="s">
        <v>406</v>
      </c>
      <c r="I5395" s="0" t="n">
        <v>1658743</v>
      </c>
      <c r="J5395" s="0" t="n">
        <v>37359</v>
      </c>
      <c r="K5395" s="0" t="n">
        <v>55526</v>
      </c>
      <c r="L5395" s="0" t="s">
        <v>2466</v>
      </c>
      <c r="N5395" s="0" t="n">
        <v>5</v>
      </c>
      <c r="O5395" s="0" t="n">
        <v>17.5</v>
      </c>
      <c r="P5395" s="0" t="s">
        <v>2444</v>
      </c>
    </row>
    <row r="5396" customFormat="false" ht="15" hidden="false" customHeight="true" outlineLevel="0" collapsed="false">
      <c r="A5396" s="0" t="n">
        <v>2</v>
      </c>
      <c r="B5396" s="71" t="n">
        <v>46240</v>
      </c>
      <c r="C5396" s="0" t="n">
        <v>11</v>
      </c>
      <c r="D5396" s="0" t="s">
        <v>2471</v>
      </c>
      <c r="E5396" s="0" t="n">
        <v>1683</v>
      </c>
      <c r="F5396" s="0" t="s">
        <v>406</v>
      </c>
      <c r="I5396" s="0" t="n">
        <v>1658743</v>
      </c>
      <c r="J5396" s="0" t="n">
        <v>37361</v>
      </c>
      <c r="K5396" s="0" t="n">
        <v>2240817</v>
      </c>
      <c r="L5396" s="0" t="s">
        <v>2467</v>
      </c>
      <c r="N5396" s="0" t="n">
        <v>80</v>
      </c>
      <c r="O5396" s="0" t="n">
        <v>144</v>
      </c>
      <c r="P5396" s="0" t="s">
        <v>2444</v>
      </c>
    </row>
    <row r="5397" customFormat="false" ht="15" hidden="false" customHeight="true" outlineLevel="0" collapsed="false">
      <c r="A5397" s="0" t="n">
        <v>2</v>
      </c>
      <c r="B5397" s="71" t="n">
        <v>46241</v>
      </c>
      <c r="C5397" s="0" t="n">
        <v>6</v>
      </c>
      <c r="D5397" s="0" t="s">
        <v>2553</v>
      </c>
      <c r="E5397" s="0" t="n">
        <v>48</v>
      </c>
      <c r="F5397" s="0" t="s">
        <v>153</v>
      </c>
      <c r="I5397" s="0" t="n">
        <v>2590</v>
      </c>
      <c r="J5397" s="0" t="n">
        <v>74674</v>
      </c>
      <c r="K5397" s="0" t="n">
        <v>741</v>
      </c>
      <c r="L5397" s="0" t="s">
        <v>2738</v>
      </c>
      <c r="N5397" s="0" t="n">
        <v>25</v>
      </c>
      <c r="O5397" s="0" t="n">
        <v>300</v>
      </c>
      <c r="P5397" s="0" t="s">
        <v>2444</v>
      </c>
    </row>
    <row r="5398" customFormat="false" ht="15" hidden="false" customHeight="true" outlineLevel="0" collapsed="false">
      <c r="A5398" s="0" t="n">
        <v>2</v>
      </c>
      <c r="B5398" s="71" t="n">
        <v>46241</v>
      </c>
      <c r="C5398" s="0" t="n">
        <v>6</v>
      </c>
      <c r="D5398" s="0" t="s">
        <v>2553</v>
      </c>
      <c r="E5398" s="0" t="n">
        <v>48</v>
      </c>
      <c r="F5398" s="0" t="s">
        <v>153</v>
      </c>
      <c r="I5398" s="0" t="n">
        <v>2591</v>
      </c>
      <c r="J5398" s="0" t="n">
        <v>27510</v>
      </c>
      <c r="K5398" s="0" t="n">
        <v>7898306020241</v>
      </c>
      <c r="L5398" s="0" t="s">
        <v>2739</v>
      </c>
      <c r="N5398" s="0" t="n">
        <v>125</v>
      </c>
      <c r="O5398" s="0" t="n">
        <v>1250</v>
      </c>
      <c r="P5398" s="0" t="s">
        <v>2444</v>
      </c>
    </row>
    <row r="5399" customFormat="false" ht="15" hidden="false" customHeight="true" outlineLevel="0" collapsed="false">
      <c r="A5399" s="0" t="n">
        <v>2</v>
      </c>
      <c r="B5399" s="71" t="n">
        <v>46241</v>
      </c>
      <c r="C5399" s="0" t="n">
        <v>6</v>
      </c>
      <c r="D5399" s="0" t="s">
        <v>2553</v>
      </c>
      <c r="E5399" s="0" t="n">
        <v>48</v>
      </c>
      <c r="F5399" s="0" t="s">
        <v>153</v>
      </c>
      <c r="I5399" s="0" t="n">
        <v>2591</v>
      </c>
      <c r="J5399" s="0" t="n">
        <v>52668</v>
      </c>
      <c r="K5399" s="0" t="n">
        <v>7898306020036</v>
      </c>
      <c r="L5399" s="0" t="s">
        <v>2740</v>
      </c>
      <c r="N5399" s="0" t="n">
        <v>125</v>
      </c>
      <c r="O5399" s="0" t="n">
        <v>650</v>
      </c>
      <c r="P5399" s="0" t="s">
        <v>2444</v>
      </c>
    </row>
    <row r="5400" customFormat="false" ht="15" hidden="false" customHeight="true" outlineLevel="0" collapsed="false">
      <c r="A5400" s="0" t="n">
        <v>2</v>
      </c>
      <c r="B5400" s="71" t="n">
        <v>46241</v>
      </c>
      <c r="C5400" s="0" t="n">
        <v>6</v>
      </c>
      <c r="D5400" s="0" t="s">
        <v>2553</v>
      </c>
      <c r="E5400" s="0" t="n">
        <v>48</v>
      </c>
      <c r="F5400" s="0" t="s">
        <v>153</v>
      </c>
      <c r="I5400" s="0" t="n">
        <v>2594</v>
      </c>
      <c r="J5400" s="0" t="n">
        <v>100113</v>
      </c>
      <c r="K5400" s="0" t="n">
        <v>114</v>
      </c>
      <c r="L5400" s="0" t="s">
        <v>2539</v>
      </c>
      <c r="N5400" s="0" t="n">
        <v>20</v>
      </c>
      <c r="O5400" s="0" t="n">
        <v>55</v>
      </c>
      <c r="P5400" s="0" t="s">
        <v>2444</v>
      </c>
    </row>
    <row r="5401" customFormat="false" ht="15" hidden="false" customHeight="true" outlineLevel="0" collapsed="false">
      <c r="A5401" s="0" t="n">
        <v>2</v>
      </c>
      <c r="B5401" s="71" t="n">
        <v>46241</v>
      </c>
      <c r="C5401" s="0" t="n">
        <v>6</v>
      </c>
      <c r="D5401" s="0" t="s">
        <v>2553</v>
      </c>
      <c r="E5401" s="0" t="n">
        <v>48</v>
      </c>
      <c r="F5401" s="0" t="s">
        <v>153</v>
      </c>
      <c r="I5401" s="0" t="n">
        <v>2594</v>
      </c>
      <c r="J5401" s="0" t="n">
        <v>110142</v>
      </c>
      <c r="K5401" s="0" t="n">
        <v>16699</v>
      </c>
      <c r="L5401" s="0" t="s">
        <v>2549</v>
      </c>
      <c r="N5401" s="0" t="n">
        <v>20</v>
      </c>
      <c r="O5401" s="0" t="n">
        <v>120</v>
      </c>
      <c r="P5401" s="0" t="s">
        <v>2444</v>
      </c>
    </row>
    <row r="5402" customFormat="false" ht="15" hidden="false" customHeight="true" outlineLevel="0" collapsed="false">
      <c r="A5402" s="0" t="n">
        <v>2</v>
      </c>
      <c r="B5402" s="71" t="n">
        <v>46241</v>
      </c>
      <c r="C5402" s="0" t="n">
        <v>6</v>
      </c>
      <c r="D5402" s="0" t="s">
        <v>2553</v>
      </c>
      <c r="E5402" s="0" t="n">
        <v>48</v>
      </c>
      <c r="F5402" s="0" t="s">
        <v>153</v>
      </c>
      <c r="I5402" s="0" t="n">
        <v>2595</v>
      </c>
      <c r="J5402" s="0" t="n">
        <v>100062</v>
      </c>
      <c r="K5402" s="0" t="n">
        <v>63</v>
      </c>
      <c r="L5402" s="0" t="s">
        <v>2535</v>
      </c>
      <c r="N5402" s="0" t="n">
        <v>13</v>
      </c>
      <c r="O5402" s="0" t="n">
        <v>93.86</v>
      </c>
      <c r="P5402" s="0" t="s">
        <v>2444</v>
      </c>
    </row>
    <row r="5403" customFormat="false" ht="15" hidden="false" customHeight="true" outlineLevel="0" collapsed="false">
      <c r="A5403" s="0" t="n">
        <v>2</v>
      </c>
      <c r="B5403" s="71" t="n">
        <v>46241</v>
      </c>
      <c r="C5403" s="0" t="n">
        <v>6</v>
      </c>
      <c r="D5403" s="0" t="s">
        <v>2553</v>
      </c>
      <c r="E5403" s="0" t="n">
        <v>48</v>
      </c>
      <c r="F5403" s="0" t="s">
        <v>153</v>
      </c>
      <c r="I5403" s="0" t="n">
        <v>2595</v>
      </c>
      <c r="J5403" s="0" t="n">
        <v>100105</v>
      </c>
      <c r="K5403" s="0" t="n">
        <v>106</v>
      </c>
      <c r="L5403" s="0" t="s">
        <v>2536</v>
      </c>
      <c r="N5403" s="0" t="n">
        <v>24</v>
      </c>
      <c r="O5403" s="0" t="n">
        <v>140</v>
      </c>
      <c r="P5403" s="0" t="s">
        <v>2444</v>
      </c>
    </row>
    <row r="5404" customFormat="false" ht="15" hidden="false" customHeight="true" outlineLevel="0" collapsed="false">
      <c r="A5404" s="0" t="n">
        <v>2</v>
      </c>
      <c r="B5404" s="71" t="n">
        <v>46241</v>
      </c>
      <c r="C5404" s="0" t="n">
        <v>6</v>
      </c>
      <c r="D5404" s="0" t="s">
        <v>2553</v>
      </c>
      <c r="E5404" s="0" t="n">
        <v>48</v>
      </c>
      <c r="F5404" s="0" t="s">
        <v>153</v>
      </c>
      <c r="I5404" s="0" t="n">
        <v>2595</v>
      </c>
      <c r="J5404" s="0" t="n">
        <v>100109</v>
      </c>
      <c r="K5404" s="0" t="n">
        <v>110</v>
      </c>
      <c r="L5404" s="0" t="s">
        <v>2537</v>
      </c>
      <c r="N5404" s="0" t="n">
        <v>20</v>
      </c>
      <c r="O5404" s="0" t="n">
        <v>100</v>
      </c>
      <c r="P5404" s="0" t="s">
        <v>2444</v>
      </c>
    </row>
    <row r="5405" customFormat="false" ht="15" hidden="false" customHeight="true" outlineLevel="0" collapsed="false">
      <c r="A5405" s="0" t="n">
        <v>2</v>
      </c>
      <c r="B5405" s="71" t="n">
        <v>46241</v>
      </c>
      <c r="C5405" s="0" t="n">
        <v>6</v>
      </c>
      <c r="D5405" s="0" t="s">
        <v>2553</v>
      </c>
      <c r="E5405" s="0" t="n">
        <v>48</v>
      </c>
      <c r="F5405" s="0" t="s">
        <v>153</v>
      </c>
      <c r="I5405" s="0" t="n">
        <v>2595</v>
      </c>
      <c r="J5405" s="0" t="n">
        <v>100116</v>
      </c>
      <c r="K5405" s="0" t="n">
        <v>117</v>
      </c>
      <c r="L5405" s="0" t="s">
        <v>2540</v>
      </c>
      <c r="N5405" s="0" t="n">
        <v>1</v>
      </c>
      <c r="O5405" s="0" t="n">
        <v>15</v>
      </c>
      <c r="P5405" s="0" t="s">
        <v>2444</v>
      </c>
    </row>
    <row r="5406" customFormat="false" ht="15" hidden="false" customHeight="true" outlineLevel="0" collapsed="false">
      <c r="A5406" s="0" t="n">
        <v>2</v>
      </c>
      <c r="B5406" s="71" t="n">
        <v>46241</v>
      </c>
      <c r="C5406" s="0" t="n">
        <v>6</v>
      </c>
      <c r="D5406" s="0" t="s">
        <v>2553</v>
      </c>
      <c r="E5406" s="0" t="n">
        <v>48</v>
      </c>
      <c r="F5406" s="0" t="s">
        <v>153</v>
      </c>
      <c r="I5406" s="0" t="n">
        <v>2595</v>
      </c>
      <c r="J5406" s="0" t="n">
        <v>100118</v>
      </c>
      <c r="K5406" s="0" t="n">
        <v>119</v>
      </c>
      <c r="L5406" s="0" t="s">
        <v>2541</v>
      </c>
      <c r="N5406" s="0" t="n">
        <v>15</v>
      </c>
      <c r="O5406" s="0" t="n">
        <v>75</v>
      </c>
      <c r="P5406" s="0" t="s">
        <v>2444</v>
      </c>
    </row>
    <row r="5407" customFormat="false" ht="15" hidden="false" customHeight="true" outlineLevel="0" collapsed="false">
      <c r="A5407" s="0" t="n">
        <v>2</v>
      </c>
      <c r="B5407" s="71" t="n">
        <v>46241</v>
      </c>
      <c r="C5407" s="0" t="n">
        <v>6</v>
      </c>
      <c r="D5407" s="0" t="s">
        <v>2553</v>
      </c>
      <c r="E5407" s="0" t="n">
        <v>48</v>
      </c>
      <c r="F5407" s="0" t="s">
        <v>153</v>
      </c>
      <c r="I5407" s="0" t="n">
        <v>2595</v>
      </c>
      <c r="J5407" s="0" t="n">
        <v>100122</v>
      </c>
      <c r="K5407" s="0" t="n">
        <v>123</v>
      </c>
      <c r="L5407" s="0" t="s">
        <v>2543</v>
      </c>
      <c r="N5407" s="0" t="n">
        <v>5</v>
      </c>
      <c r="O5407" s="0" t="n">
        <v>50</v>
      </c>
      <c r="P5407" s="0" t="s">
        <v>2444</v>
      </c>
    </row>
    <row r="5408" customFormat="false" ht="15" hidden="false" customHeight="true" outlineLevel="0" collapsed="false">
      <c r="A5408" s="0" t="n">
        <v>2</v>
      </c>
      <c r="B5408" s="71" t="n">
        <v>46241</v>
      </c>
      <c r="C5408" s="0" t="n">
        <v>6</v>
      </c>
      <c r="D5408" s="0" t="s">
        <v>2553</v>
      </c>
      <c r="E5408" s="0" t="n">
        <v>48</v>
      </c>
      <c r="F5408" s="0" t="s">
        <v>153</v>
      </c>
      <c r="I5408" s="0" t="n">
        <v>2595</v>
      </c>
      <c r="J5408" s="0" t="n">
        <v>100123</v>
      </c>
      <c r="K5408" s="0" t="n">
        <v>124</v>
      </c>
      <c r="L5408" s="0" t="s">
        <v>2544</v>
      </c>
      <c r="N5408" s="0" t="n">
        <v>1</v>
      </c>
      <c r="O5408" s="0" t="n">
        <v>10</v>
      </c>
      <c r="P5408" s="0" t="s">
        <v>2444</v>
      </c>
    </row>
    <row r="5409" customFormat="false" ht="15" hidden="false" customHeight="true" outlineLevel="0" collapsed="false">
      <c r="A5409" s="0" t="n">
        <v>2</v>
      </c>
      <c r="B5409" s="71" t="n">
        <v>46241</v>
      </c>
      <c r="C5409" s="0" t="n">
        <v>6</v>
      </c>
      <c r="D5409" s="0" t="s">
        <v>2553</v>
      </c>
      <c r="E5409" s="0" t="n">
        <v>48</v>
      </c>
      <c r="F5409" s="0" t="s">
        <v>153</v>
      </c>
      <c r="I5409" s="0" t="n">
        <v>2595</v>
      </c>
      <c r="J5409" s="0" t="n">
        <v>100129</v>
      </c>
      <c r="K5409" s="0" t="n">
        <v>130</v>
      </c>
      <c r="L5409" s="0" t="s">
        <v>2598</v>
      </c>
      <c r="N5409" s="0" t="n">
        <v>13</v>
      </c>
      <c r="O5409" s="0" t="n">
        <v>70</v>
      </c>
      <c r="P5409" s="0" t="s">
        <v>2444</v>
      </c>
    </row>
    <row r="5410" customFormat="false" ht="15" hidden="false" customHeight="true" outlineLevel="0" collapsed="false">
      <c r="A5410" s="0" t="n">
        <v>2</v>
      </c>
      <c r="B5410" s="71" t="n">
        <v>46241</v>
      </c>
      <c r="C5410" s="0" t="n">
        <v>6</v>
      </c>
      <c r="D5410" s="0" t="s">
        <v>2553</v>
      </c>
      <c r="E5410" s="0" t="n">
        <v>48</v>
      </c>
      <c r="F5410" s="0" t="s">
        <v>153</v>
      </c>
      <c r="I5410" s="0" t="n">
        <v>2595</v>
      </c>
      <c r="J5410" s="0" t="n">
        <v>100130</v>
      </c>
      <c r="K5410" s="0" t="n">
        <v>131</v>
      </c>
      <c r="L5410" s="0" t="s">
        <v>2545</v>
      </c>
      <c r="N5410" s="0" t="n">
        <v>25</v>
      </c>
      <c r="O5410" s="0" t="n">
        <v>175</v>
      </c>
      <c r="P5410" s="0" t="s">
        <v>2444</v>
      </c>
    </row>
    <row r="5411" customFormat="false" ht="15" hidden="false" customHeight="true" outlineLevel="0" collapsed="false">
      <c r="A5411" s="0" t="n">
        <v>2</v>
      </c>
      <c r="B5411" s="71" t="n">
        <v>46241</v>
      </c>
      <c r="C5411" s="0" t="n">
        <v>6</v>
      </c>
      <c r="D5411" s="0" t="s">
        <v>2553</v>
      </c>
      <c r="E5411" s="0" t="n">
        <v>48</v>
      </c>
      <c r="F5411" s="0" t="s">
        <v>153</v>
      </c>
      <c r="I5411" s="0" t="n">
        <v>2595</v>
      </c>
      <c r="J5411" s="0" t="n">
        <v>100132</v>
      </c>
      <c r="K5411" s="0" t="n">
        <v>133</v>
      </c>
      <c r="L5411" s="0" t="s">
        <v>2546</v>
      </c>
      <c r="N5411" s="0" t="n">
        <v>52.96</v>
      </c>
      <c r="O5411" s="0" t="n">
        <v>210</v>
      </c>
      <c r="P5411" s="0" t="s">
        <v>2444</v>
      </c>
    </row>
    <row r="5412" customFormat="false" ht="15" hidden="false" customHeight="true" outlineLevel="0" collapsed="false">
      <c r="A5412" s="0" t="n">
        <v>2</v>
      </c>
      <c r="B5412" s="71" t="n">
        <v>46241</v>
      </c>
      <c r="C5412" s="0" t="n">
        <v>6</v>
      </c>
      <c r="D5412" s="0" t="s">
        <v>2553</v>
      </c>
      <c r="E5412" s="0" t="n">
        <v>48</v>
      </c>
      <c r="F5412" s="0" t="s">
        <v>153</v>
      </c>
      <c r="I5412" s="0" t="n">
        <v>2595</v>
      </c>
      <c r="J5412" s="0" t="n">
        <v>100133</v>
      </c>
      <c r="K5412" s="0" t="n">
        <v>134</v>
      </c>
      <c r="L5412" s="0" t="s">
        <v>2547</v>
      </c>
      <c r="N5412" s="0" t="n">
        <v>15</v>
      </c>
      <c r="O5412" s="0" t="n">
        <v>90</v>
      </c>
      <c r="P5412" s="0" t="s">
        <v>2444</v>
      </c>
    </row>
    <row r="5413" customFormat="false" ht="15" hidden="false" customHeight="true" outlineLevel="0" collapsed="false">
      <c r="A5413" s="0" t="n">
        <v>2</v>
      </c>
      <c r="B5413" s="71" t="n">
        <v>46241</v>
      </c>
      <c r="C5413" s="0" t="n">
        <v>6</v>
      </c>
      <c r="D5413" s="0" t="s">
        <v>2553</v>
      </c>
      <c r="E5413" s="0" t="n">
        <v>48</v>
      </c>
      <c r="F5413" s="0" t="s">
        <v>153</v>
      </c>
      <c r="I5413" s="0" t="n">
        <v>2595</v>
      </c>
      <c r="J5413" s="0" t="n">
        <v>100135</v>
      </c>
      <c r="K5413" s="0" t="n">
        <v>136</v>
      </c>
      <c r="L5413" s="0" t="s">
        <v>2599</v>
      </c>
      <c r="N5413" s="0" t="n">
        <v>18</v>
      </c>
      <c r="O5413" s="0" t="n">
        <v>160</v>
      </c>
      <c r="P5413" s="0" t="s">
        <v>2444</v>
      </c>
    </row>
    <row r="5414" customFormat="false" ht="15" hidden="false" customHeight="true" outlineLevel="0" collapsed="false">
      <c r="A5414" s="0" t="n">
        <v>2</v>
      </c>
      <c r="B5414" s="71" t="n">
        <v>46241</v>
      </c>
      <c r="C5414" s="0" t="n">
        <v>6</v>
      </c>
      <c r="D5414" s="0" t="s">
        <v>2553</v>
      </c>
      <c r="E5414" s="0" t="n">
        <v>48</v>
      </c>
      <c r="F5414" s="0" t="s">
        <v>153</v>
      </c>
      <c r="I5414" s="0" t="n">
        <v>2595</v>
      </c>
      <c r="J5414" s="0" t="n">
        <v>110165</v>
      </c>
      <c r="K5414" s="0" t="n">
        <v>37441</v>
      </c>
      <c r="L5414" s="0" t="s">
        <v>4682</v>
      </c>
      <c r="N5414" s="0" t="n">
        <v>5</v>
      </c>
      <c r="O5414" s="0" t="n">
        <v>30</v>
      </c>
      <c r="P5414" s="0" t="s">
        <v>2444</v>
      </c>
    </row>
    <row r="5415" customFormat="false" ht="15" hidden="false" customHeight="true" outlineLevel="0" collapsed="false">
      <c r="A5415" s="0" t="n">
        <v>2</v>
      </c>
      <c r="B5415" s="71" t="n">
        <v>46241</v>
      </c>
      <c r="C5415" s="0" t="n">
        <v>6</v>
      </c>
      <c r="D5415" s="0" t="s">
        <v>2553</v>
      </c>
      <c r="E5415" s="0" t="n">
        <v>48</v>
      </c>
      <c r="F5415" s="0" t="s">
        <v>153</v>
      </c>
      <c r="I5415" s="0" t="n">
        <v>2595</v>
      </c>
      <c r="J5415" s="0" t="n">
        <v>110374</v>
      </c>
      <c r="K5415" s="0" t="n">
        <v>48077</v>
      </c>
      <c r="L5415" s="0" t="s">
        <v>2696</v>
      </c>
      <c r="N5415" s="0" t="n">
        <v>5</v>
      </c>
      <c r="O5415" s="0" t="n">
        <v>35</v>
      </c>
      <c r="P5415" s="0" t="s">
        <v>2444</v>
      </c>
    </row>
    <row r="5416" customFormat="false" ht="15" hidden="false" customHeight="true" outlineLevel="0" collapsed="false">
      <c r="A5416" s="0" t="n">
        <v>2</v>
      </c>
      <c r="B5416" s="71" t="n">
        <v>46241</v>
      </c>
      <c r="C5416" s="0" t="n">
        <v>6</v>
      </c>
      <c r="D5416" s="0" t="s">
        <v>2553</v>
      </c>
      <c r="E5416" s="0" t="n">
        <v>48</v>
      </c>
      <c r="F5416" s="0" t="s">
        <v>153</v>
      </c>
      <c r="I5416" s="0" t="n">
        <v>2595</v>
      </c>
      <c r="J5416" s="0" t="n">
        <v>110489</v>
      </c>
      <c r="K5416" s="0" t="n">
        <v>54743</v>
      </c>
      <c r="L5416" s="0" t="s">
        <v>2550</v>
      </c>
      <c r="N5416" s="0" t="n">
        <v>60</v>
      </c>
      <c r="O5416" s="0" t="n">
        <v>420</v>
      </c>
      <c r="P5416" s="0" t="s">
        <v>2444</v>
      </c>
    </row>
    <row r="5417" customFormat="false" ht="15" hidden="false" customHeight="true" outlineLevel="0" collapsed="false">
      <c r="A5417" s="0" t="n">
        <v>2</v>
      </c>
      <c r="B5417" s="71" t="n">
        <v>46241</v>
      </c>
      <c r="C5417" s="0" t="n">
        <v>6</v>
      </c>
      <c r="D5417" s="0" t="s">
        <v>2553</v>
      </c>
      <c r="E5417" s="0" t="n">
        <v>48</v>
      </c>
      <c r="F5417" s="0" t="s">
        <v>153</v>
      </c>
      <c r="I5417" s="0" t="n">
        <v>2595</v>
      </c>
      <c r="J5417" s="0" t="n">
        <v>80078</v>
      </c>
      <c r="K5417" s="0" t="n">
        <v>710</v>
      </c>
      <c r="L5417" s="0" t="s">
        <v>2551</v>
      </c>
      <c r="N5417" s="0" t="n">
        <v>10</v>
      </c>
      <c r="O5417" s="0" t="n">
        <v>30</v>
      </c>
      <c r="P5417" s="0" t="s">
        <v>2444</v>
      </c>
    </row>
    <row r="5418" customFormat="false" ht="15" hidden="false" customHeight="true" outlineLevel="0" collapsed="false">
      <c r="A5418" s="0" t="n">
        <v>2</v>
      </c>
      <c r="B5418" s="71" t="n">
        <v>46241</v>
      </c>
      <c r="C5418" s="0" t="n">
        <v>6</v>
      </c>
      <c r="D5418" s="0" t="s">
        <v>2553</v>
      </c>
      <c r="E5418" s="0" t="n">
        <v>48</v>
      </c>
      <c r="F5418" s="0" t="s">
        <v>153</v>
      </c>
      <c r="I5418" s="0" t="n">
        <v>2595</v>
      </c>
      <c r="J5418" s="0" t="n">
        <v>80308</v>
      </c>
      <c r="K5418" s="0" t="n">
        <v>1250</v>
      </c>
      <c r="L5418" s="0" t="s">
        <v>2552</v>
      </c>
      <c r="N5418" s="0" t="n">
        <v>20</v>
      </c>
      <c r="O5418" s="0" t="n">
        <v>70</v>
      </c>
      <c r="P5418" s="0" t="s">
        <v>2444</v>
      </c>
    </row>
    <row r="5419" customFormat="false" ht="15" hidden="false" customHeight="true" outlineLevel="0" collapsed="false">
      <c r="A5419" s="0" t="n">
        <v>2</v>
      </c>
      <c r="B5419" s="71" t="n">
        <v>46241</v>
      </c>
      <c r="C5419" s="0" t="n">
        <v>6</v>
      </c>
      <c r="D5419" s="0" t="s">
        <v>2553</v>
      </c>
      <c r="E5419" s="0" t="n">
        <v>48</v>
      </c>
      <c r="F5419" s="0" t="s">
        <v>153</v>
      </c>
      <c r="I5419" s="0" t="n">
        <v>2595</v>
      </c>
      <c r="J5419" s="0" t="n">
        <v>81106</v>
      </c>
      <c r="K5419" s="0" t="n">
        <v>1168</v>
      </c>
      <c r="L5419" s="0" t="s">
        <v>4683</v>
      </c>
      <c r="N5419" s="0" t="n">
        <v>15</v>
      </c>
      <c r="O5419" s="0" t="n">
        <v>75</v>
      </c>
      <c r="P5419" s="0" t="s">
        <v>2444</v>
      </c>
    </row>
    <row r="5420" customFormat="false" ht="15" hidden="false" customHeight="true" outlineLevel="0" collapsed="false">
      <c r="A5420" s="0" t="n">
        <v>2</v>
      </c>
      <c r="B5420" s="71" t="n">
        <v>46241</v>
      </c>
      <c r="C5420" s="0" t="n">
        <v>11</v>
      </c>
      <c r="D5420" s="0" t="s">
        <v>2471</v>
      </c>
      <c r="E5420" s="0" t="n">
        <v>10018</v>
      </c>
      <c r="F5420" s="0" t="s">
        <v>216</v>
      </c>
      <c r="I5420" s="0" t="n">
        <v>355</v>
      </c>
      <c r="J5420" s="0" t="n">
        <v>100933</v>
      </c>
      <c r="K5420" s="0" t="n">
        <v>7896982100059</v>
      </c>
      <c r="L5420" s="0" t="s">
        <v>2500</v>
      </c>
      <c r="N5420" s="0" t="n">
        <v>1800</v>
      </c>
      <c r="O5420" s="0" t="n">
        <v>899.5</v>
      </c>
      <c r="P5420" s="0" t="s">
        <v>2444</v>
      </c>
    </row>
    <row r="5421" customFormat="false" ht="15" hidden="false" customHeight="true" outlineLevel="0" collapsed="false">
      <c r="A5421" s="0" t="n">
        <v>2</v>
      </c>
      <c r="B5421" s="71" t="n">
        <v>46241</v>
      </c>
      <c r="C5421" s="0" t="n">
        <v>11</v>
      </c>
      <c r="D5421" s="0" t="s">
        <v>2471</v>
      </c>
      <c r="E5421" s="0" t="n">
        <v>10035</v>
      </c>
      <c r="F5421" s="0" t="s">
        <v>86</v>
      </c>
      <c r="I5421" s="0" t="n">
        <v>395</v>
      </c>
      <c r="J5421" s="0" t="n">
        <v>38652</v>
      </c>
      <c r="K5421" s="0" t="n">
        <v>7898994684220</v>
      </c>
      <c r="L5421" s="0" t="s">
        <v>2711</v>
      </c>
      <c r="N5421" s="0" t="n">
        <v>15</v>
      </c>
      <c r="O5421" s="0" t="n">
        <v>135</v>
      </c>
      <c r="P5421" s="0" t="s">
        <v>2444</v>
      </c>
    </row>
    <row r="5422" customFormat="false" ht="15" hidden="false" customHeight="true" outlineLevel="0" collapsed="false">
      <c r="A5422" s="0" t="n">
        <v>2</v>
      </c>
      <c r="B5422" s="71" t="n">
        <v>46241</v>
      </c>
      <c r="C5422" s="0" t="n">
        <v>11</v>
      </c>
      <c r="D5422" s="0" t="s">
        <v>2471</v>
      </c>
      <c r="E5422" s="0" t="n">
        <v>10035</v>
      </c>
      <c r="F5422" s="0" t="s">
        <v>86</v>
      </c>
      <c r="I5422" s="0" t="n">
        <v>395</v>
      </c>
      <c r="J5422" s="0" t="n">
        <v>38653</v>
      </c>
      <c r="K5422" s="0" t="n">
        <v>7898994684275</v>
      </c>
      <c r="L5422" s="0" t="s">
        <v>2712</v>
      </c>
      <c r="N5422" s="0" t="n">
        <v>10</v>
      </c>
      <c r="O5422" s="0" t="n">
        <v>48</v>
      </c>
      <c r="P5422" s="0" t="s">
        <v>2444</v>
      </c>
    </row>
    <row r="5423" customFormat="false" ht="15" hidden="false" customHeight="true" outlineLevel="0" collapsed="false">
      <c r="A5423" s="0" t="n">
        <v>2</v>
      </c>
      <c r="B5423" s="71" t="n">
        <v>46241</v>
      </c>
      <c r="C5423" s="0" t="n">
        <v>11</v>
      </c>
      <c r="D5423" s="0" t="s">
        <v>2471</v>
      </c>
      <c r="E5423" s="0" t="n">
        <v>1899</v>
      </c>
      <c r="F5423" s="0" t="s">
        <v>204</v>
      </c>
      <c r="I5423" s="0" t="n">
        <v>752</v>
      </c>
      <c r="J5423" s="0" t="n">
        <v>44588</v>
      </c>
      <c r="K5423" s="0" t="n">
        <v>7898904331091</v>
      </c>
      <c r="L5423" s="0" t="s">
        <v>2443</v>
      </c>
      <c r="N5423" s="0" t="n">
        <v>15</v>
      </c>
      <c r="O5423" s="0" t="n">
        <v>74.85</v>
      </c>
      <c r="P5423" s="0" t="s">
        <v>2444</v>
      </c>
    </row>
    <row r="5424" customFormat="false" ht="15" hidden="false" customHeight="true" outlineLevel="0" collapsed="false">
      <c r="A5424" s="0" t="n">
        <v>2</v>
      </c>
      <c r="B5424" s="71" t="n">
        <v>46241</v>
      </c>
      <c r="C5424" s="0" t="n">
        <v>11</v>
      </c>
      <c r="D5424" s="0" t="s">
        <v>2471</v>
      </c>
      <c r="E5424" s="0" t="n">
        <v>1899</v>
      </c>
      <c r="F5424" s="0" t="s">
        <v>204</v>
      </c>
      <c r="I5424" s="0" t="n">
        <v>752</v>
      </c>
      <c r="J5424" s="0" t="n">
        <v>77463</v>
      </c>
      <c r="K5424" s="0" t="n">
        <v>774642</v>
      </c>
      <c r="L5424" s="0" t="s">
        <v>2445</v>
      </c>
      <c r="N5424" s="0" t="n">
        <v>40</v>
      </c>
      <c r="O5424" s="0" t="n">
        <v>180</v>
      </c>
      <c r="P5424" s="0" t="s">
        <v>2444</v>
      </c>
    </row>
    <row r="5425" customFormat="false" ht="15" hidden="false" customHeight="true" outlineLevel="0" collapsed="false">
      <c r="A5425" s="0" t="n">
        <v>2</v>
      </c>
      <c r="B5425" s="71" t="n">
        <v>46241</v>
      </c>
      <c r="C5425" s="0" t="n">
        <v>11</v>
      </c>
      <c r="D5425" s="0" t="s">
        <v>2471</v>
      </c>
      <c r="E5425" s="0" t="n">
        <v>1899</v>
      </c>
      <c r="F5425" s="0" t="s">
        <v>204</v>
      </c>
      <c r="I5425" s="0" t="n">
        <v>752</v>
      </c>
      <c r="J5425" s="0" t="n">
        <v>77465</v>
      </c>
      <c r="K5425" s="0" t="n">
        <v>774666</v>
      </c>
      <c r="L5425" s="0" t="s">
        <v>2446</v>
      </c>
      <c r="N5425" s="0" t="n">
        <v>10</v>
      </c>
      <c r="O5425" s="0" t="n">
        <v>49.9</v>
      </c>
      <c r="P5425" s="0" t="s">
        <v>2444</v>
      </c>
    </row>
    <row r="5426" customFormat="false" ht="15" hidden="false" customHeight="true" outlineLevel="0" collapsed="false">
      <c r="A5426" s="0" t="n">
        <v>2</v>
      </c>
      <c r="B5426" s="71" t="n">
        <v>46241</v>
      </c>
      <c r="C5426" s="0" t="n">
        <v>11</v>
      </c>
      <c r="D5426" s="0" t="s">
        <v>2471</v>
      </c>
      <c r="E5426" s="0" t="n">
        <v>1899</v>
      </c>
      <c r="F5426" s="0" t="s">
        <v>204</v>
      </c>
      <c r="I5426" s="0" t="n">
        <v>752</v>
      </c>
      <c r="J5426" s="0" t="n">
        <v>77903</v>
      </c>
      <c r="K5426" s="0" t="n">
        <v>779043</v>
      </c>
      <c r="L5426" s="0" t="s">
        <v>2945</v>
      </c>
      <c r="N5426" s="0" t="n">
        <v>5</v>
      </c>
      <c r="O5426" s="0" t="n">
        <v>22.5</v>
      </c>
      <c r="P5426" s="0" t="s">
        <v>2444</v>
      </c>
    </row>
    <row r="5427" customFormat="false" ht="15" hidden="false" customHeight="true" outlineLevel="0" collapsed="false">
      <c r="A5427" s="0" t="n">
        <v>2</v>
      </c>
      <c r="B5427" s="71" t="n">
        <v>46241</v>
      </c>
      <c r="C5427" s="0" t="n">
        <v>11</v>
      </c>
      <c r="D5427" s="0" t="s">
        <v>2471</v>
      </c>
      <c r="E5427" s="0" t="n">
        <v>1899</v>
      </c>
      <c r="F5427" s="0" t="s">
        <v>204</v>
      </c>
      <c r="I5427" s="0" t="n">
        <v>752</v>
      </c>
      <c r="J5427" s="0" t="n">
        <v>78013</v>
      </c>
      <c r="K5427" s="0" t="n">
        <v>780148</v>
      </c>
      <c r="L5427" s="0" t="s">
        <v>2584</v>
      </c>
      <c r="N5427" s="0" t="n">
        <v>5</v>
      </c>
      <c r="O5427" s="0" t="n">
        <v>22.5</v>
      </c>
      <c r="P5427" s="0" t="s">
        <v>2444</v>
      </c>
    </row>
    <row r="5428" customFormat="false" ht="15" hidden="false" customHeight="true" outlineLevel="0" collapsed="false">
      <c r="A5428" s="0" t="n">
        <v>2</v>
      </c>
      <c r="B5428" s="71" t="n">
        <v>46241</v>
      </c>
      <c r="C5428" s="0" t="n">
        <v>11</v>
      </c>
      <c r="D5428" s="0" t="s">
        <v>2471</v>
      </c>
      <c r="E5428" s="0" t="n">
        <v>1899</v>
      </c>
      <c r="F5428" s="0" t="s">
        <v>204</v>
      </c>
      <c r="I5428" s="0" t="n">
        <v>752</v>
      </c>
      <c r="J5428" s="0" t="n">
        <v>78015</v>
      </c>
      <c r="K5428" s="0" t="n">
        <v>780162</v>
      </c>
      <c r="L5428" s="0" t="s">
        <v>2447</v>
      </c>
      <c r="N5428" s="0" t="n">
        <v>5</v>
      </c>
      <c r="O5428" s="0" t="n">
        <v>24.95</v>
      </c>
      <c r="P5428" s="0" t="s">
        <v>2444</v>
      </c>
    </row>
    <row r="5429" customFormat="false" ht="15" hidden="false" customHeight="true" outlineLevel="0" collapsed="false">
      <c r="A5429" s="0" t="n">
        <v>2</v>
      </c>
      <c r="B5429" s="71" t="n">
        <v>46241</v>
      </c>
      <c r="C5429" s="0" t="n">
        <v>11</v>
      </c>
      <c r="D5429" s="0" t="s">
        <v>2471</v>
      </c>
      <c r="E5429" s="0" t="n">
        <v>560</v>
      </c>
      <c r="F5429" s="0" t="s">
        <v>453</v>
      </c>
      <c r="I5429" s="0" t="n">
        <v>1978</v>
      </c>
      <c r="J5429" s="0" t="n">
        <v>72591</v>
      </c>
      <c r="K5429" s="0" t="n">
        <v>7891985925401</v>
      </c>
      <c r="L5429" s="0" t="s">
        <v>2714</v>
      </c>
      <c r="N5429" s="0" t="n">
        <v>50</v>
      </c>
      <c r="O5429" s="0" t="n">
        <v>250</v>
      </c>
      <c r="P5429" s="0" t="s">
        <v>2444</v>
      </c>
    </row>
    <row r="5430" customFormat="false" ht="15" hidden="false" customHeight="true" outlineLevel="0" collapsed="false">
      <c r="A5430" s="0" t="n">
        <v>2</v>
      </c>
      <c r="B5430" s="71" t="n">
        <v>46241</v>
      </c>
      <c r="C5430" s="0" t="n">
        <v>11</v>
      </c>
      <c r="D5430" s="0" t="s">
        <v>2471</v>
      </c>
      <c r="E5430" s="0" t="n">
        <v>794</v>
      </c>
      <c r="F5430" s="0" t="s">
        <v>335</v>
      </c>
      <c r="I5430" s="0" t="n">
        <v>8582</v>
      </c>
      <c r="J5430" s="0" t="n">
        <v>107452</v>
      </c>
      <c r="K5430" s="0" t="n">
        <v>7898560800221</v>
      </c>
      <c r="L5430" s="0" t="s">
        <v>4684</v>
      </c>
      <c r="N5430" s="0" t="n">
        <v>10</v>
      </c>
      <c r="O5430" s="0" t="n">
        <v>46</v>
      </c>
      <c r="P5430" s="0" t="s">
        <v>2444</v>
      </c>
    </row>
    <row r="5431" customFormat="false" ht="15" hidden="false" customHeight="true" outlineLevel="0" collapsed="false">
      <c r="A5431" s="0" t="n">
        <v>2</v>
      </c>
      <c r="B5431" s="71" t="n">
        <v>46241</v>
      </c>
      <c r="C5431" s="0" t="n">
        <v>11</v>
      </c>
      <c r="D5431" s="0" t="s">
        <v>2471</v>
      </c>
      <c r="E5431" s="0" t="n">
        <v>794</v>
      </c>
      <c r="F5431" s="0" t="s">
        <v>335</v>
      </c>
      <c r="I5431" s="0" t="n">
        <v>8582</v>
      </c>
      <c r="J5431" s="0" t="n">
        <v>37520</v>
      </c>
      <c r="K5431" s="0" t="n">
        <v>7898961625027</v>
      </c>
      <c r="L5431" s="0" t="s">
        <v>4685</v>
      </c>
      <c r="N5431" s="0" t="n">
        <v>40</v>
      </c>
      <c r="O5431" s="0" t="n">
        <v>90</v>
      </c>
      <c r="P5431" s="0" t="s">
        <v>2444</v>
      </c>
    </row>
    <row r="5432" customFormat="false" ht="15" hidden="false" customHeight="true" outlineLevel="0" collapsed="false">
      <c r="A5432" s="0" t="n">
        <v>2</v>
      </c>
      <c r="B5432" s="71" t="n">
        <v>46241</v>
      </c>
      <c r="C5432" s="0" t="n">
        <v>11</v>
      </c>
      <c r="D5432" s="0" t="s">
        <v>2471</v>
      </c>
      <c r="E5432" s="0" t="n">
        <v>794</v>
      </c>
      <c r="F5432" s="0" t="s">
        <v>335</v>
      </c>
      <c r="I5432" s="0" t="n">
        <v>8582</v>
      </c>
      <c r="J5432" s="0" t="n">
        <v>37532</v>
      </c>
      <c r="K5432" s="0" t="n">
        <v>7898961625034</v>
      </c>
      <c r="L5432" s="0" t="s">
        <v>4686</v>
      </c>
      <c r="N5432" s="0" t="n">
        <v>40</v>
      </c>
      <c r="O5432" s="0" t="n">
        <v>125</v>
      </c>
      <c r="P5432" s="0" t="s">
        <v>2444</v>
      </c>
    </row>
    <row r="5433" customFormat="false" ht="15" hidden="false" customHeight="true" outlineLevel="0" collapsed="false">
      <c r="A5433" s="0" t="n">
        <v>2</v>
      </c>
      <c r="B5433" s="71" t="n">
        <v>46241</v>
      </c>
      <c r="C5433" s="0" t="n">
        <v>11</v>
      </c>
      <c r="D5433" s="0" t="s">
        <v>2471</v>
      </c>
      <c r="E5433" s="0" t="n">
        <v>794</v>
      </c>
      <c r="F5433" s="0" t="s">
        <v>335</v>
      </c>
      <c r="I5433" s="0" t="n">
        <v>8582</v>
      </c>
      <c r="J5433" s="0" t="n">
        <v>37533</v>
      </c>
      <c r="K5433" s="0" t="n">
        <v>7898961625058</v>
      </c>
      <c r="L5433" s="0" t="s">
        <v>4687</v>
      </c>
      <c r="N5433" s="0" t="n">
        <v>20</v>
      </c>
      <c r="O5433" s="0" t="n">
        <v>88</v>
      </c>
      <c r="P5433" s="0" t="s">
        <v>2444</v>
      </c>
    </row>
    <row r="5434" customFormat="false" ht="15" hidden="false" customHeight="true" outlineLevel="0" collapsed="false">
      <c r="A5434" s="0" t="n">
        <v>2</v>
      </c>
      <c r="B5434" s="71" t="n">
        <v>46241</v>
      </c>
      <c r="C5434" s="0" t="n">
        <v>11</v>
      </c>
      <c r="D5434" s="0" t="s">
        <v>2471</v>
      </c>
      <c r="E5434" s="0" t="n">
        <v>794</v>
      </c>
      <c r="F5434" s="0" t="s">
        <v>335</v>
      </c>
      <c r="I5434" s="0" t="n">
        <v>8582</v>
      </c>
      <c r="J5434" s="0" t="n">
        <v>67465</v>
      </c>
      <c r="K5434" s="0" t="n">
        <v>7898560800184</v>
      </c>
      <c r="L5434" s="0" t="s">
        <v>3606</v>
      </c>
      <c r="N5434" s="0" t="n">
        <v>20</v>
      </c>
      <c r="O5434" s="0" t="n">
        <v>105.96</v>
      </c>
      <c r="P5434" s="0" t="s">
        <v>2444</v>
      </c>
    </row>
    <row r="5435" customFormat="false" ht="15" hidden="false" customHeight="true" outlineLevel="0" collapsed="false">
      <c r="A5435" s="0" t="n">
        <v>2</v>
      </c>
      <c r="B5435" s="71" t="n">
        <v>46241</v>
      </c>
      <c r="C5435" s="0" t="n">
        <v>11</v>
      </c>
      <c r="D5435" s="0" t="s">
        <v>2471</v>
      </c>
      <c r="E5435" s="0" t="n">
        <v>794</v>
      </c>
      <c r="F5435" s="0" t="s">
        <v>335</v>
      </c>
      <c r="I5435" s="0" t="n">
        <v>8582</v>
      </c>
      <c r="J5435" s="0" t="n">
        <v>67471</v>
      </c>
      <c r="K5435" s="0" t="n">
        <v>7898560800177</v>
      </c>
      <c r="L5435" s="0" t="s">
        <v>3607</v>
      </c>
      <c r="N5435" s="0" t="n">
        <v>20</v>
      </c>
      <c r="O5435" s="0" t="n">
        <v>159.1</v>
      </c>
      <c r="P5435" s="0" t="s">
        <v>2444</v>
      </c>
    </row>
    <row r="5436" customFormat="false" ht="15" hidden="false" customHeight="true" outlineLevel="0" collapsed="false">
      <c r="A5436" s="0" t="n">
        <v>2</v>
      </c>
      <c r="B5436" s="71" t="n">
        <v>46241</v>
      </c>
      <c r="C5436" s="0" t="n">
        <v>11</v>
      </c>
      <c r="D5436" s="0" t="s">
        <v>2471</v>
      </c>
      <c r="E5436" s="0" t="n">
        <v>794</v>
      </c>
      <c r="F5436" s="0" t="s">
        <v>335</v>
      </c>
      <c r="I5436" s="0" t="n">
        <v>8582</v>
      </c>
      <c r="J5436" s="0" t="n">
        <v>67473</v>
      </c>
      <c r="K5436" s="0" t="n">
        <v>7898560800269</v>
      </c>
      <c r="L5436" s="0" t="s">
        <v>4688</v>
      </c>
      <c r="N5436" s="0" t="n">
        <v>20</v>
      </c>
      <c r="O5436" s="0" t="n">
        <v>151.18</v>
      </c>
      <c r="P5436" s="0" t="s">
        <v>2444</v>
      </c>
    </row>
    <row r="5437" customFormat="false" ht="15" hidden="false" customHeight="true" outlineLevel="0" collapsed="false">
      <c r="A5437" s="0" t="n">
        <v>2</v>
      </c>
      <c r="B5437" s="71" t="n">
        <v>46241</v>
      </c>
      <c r="C5437" s="0" t="n">
        <v>11</v>
      </c>
      <c r="D5437" s="0" t="s">
        <v>2471</v>
      </c>
      <c r="E5437" s="0" t="n">
        <v>1625</v>
      </c>
      <c r="F5437" s="0" t="s">
        <v>270</v>
      </c>
      <c r="I5437" s="0" t="n">
        <v>14956</v>
      </c>
      <c r="J5437" s="0" t="n">
        <v>29079</v>
      </c>
      <c r="K5437" s="0" t="n">
        <v>55515</v>
      </c>
      <c r="L5437" s="0" t="s">
        <v>2449</v>
      </c>
      <c r="N5437" s="0" t="n">
        <v>71.6</v>
      </c>
      <c r="O5437" s="0" t="n">
        <v>2291.2</v>
      </c>
      <c r="P5437" s="0" t="s">
        <v>2444</v>
      </c>
    </row>
    <row r="5438" customFormat="false" ht="15" hidden="false" customHeight="true" outlineLevel="0" collapsed="false">
      <c r="A5438" s="0" t="n">
        <v>2</v>
      </c>
      <c r="B5438" s="71" t="n">
        <v>46241</v>
      </c>
      <c r="C5438" s="0" t="n">
        <v>11</v>
      </c>
      <c r="D5438" s="0" t="s">
        <v>2471</v>
      </c>
      <c r="E5438" s="0" t="n">
        <v>1625</v>
      </c>
      <c r="F5438" s="0" t="s">
        <v>270</v>
      </c>
      <c r="I5438" s="0" t="n">
        <v>14956</v>
      </c>
      <c r="J5438" s="0" t="n">
        <v>29080</v>
      </c>
      <c r="K5438" s="0" t="n">
        <v>55516</v>
      </c>
      <c r="L5438" s="0" t="s">
        <v>2450</v>
      </c>
      <c r="N5438" s="0" t="n">
        <v>81.8</v>
      </c>
      <c r="O5438" s="0" t="n">
        <v>1840.5</v>
      </c>
      <c r="P5438" s="0" t="s">
        <v>2444</v>
      </c>
    </row>
    <row r="5439" customFormat="false" ht="15" hidden="false" customHeight="true" outlineLevel="0" collapsed="false">
      <c r="A5439" s="0" t="n">
        <v>2</v>
      </c>
      <c r="B5439" s="71" t="n">
        <v>46241</v>
      </c>
      <c r="C5439" s="0" t="n">
        <v>11</v>
      </c>
      <c r="D5439" s="0" t="s">
        <v>2471</v>
      </c>
      <c r="E5439" s="0" t="n">
        <v>10019</v>
      </c>
      <c r="F5439" s="0" t="s">
        <v>268</v>
      </c>
      <c r="I5439" s="0" t="n">
        <v>32318</v>
      </c>
      <c r="J5439" s="0" t="n">
        <v>100013</v>
      </c>
      <c r="K5439" s="0" t="n">
        <v>14</v>
      </c>
      <c r="L5439" s="0" t="s">
        <v>2490</v>
      </c>
      <c r="N5439" s="0" t="n">
        <v>54.05</v>
      </c>
      <c r="O5439" s="0" t="n">
        <v>2047.95</v>
      </c>
      <c r="P5439" s="0" t="s">
        <v>2444</v>
      </c>
    </row>
    <row r="5440" customFormat="false" ht="15" hidden="false" customHeight="true" outlineLevel="0" collapsed="false">
      <c r="A5440" s="0" t="n">
        <v>2</v>
      </c>
      <c r="B5440" s="71" t="n">
        <v>46241</v>
      </c>
      <c r="C5440" s="0" t="n">
        <v>11</v>
      </c>
      <c r="D5440" s="0" t="s">
        <v>2471</v>
      </c>
      <c r="E5440" s="0" t="n">
        <v>1642</v>
      </c>
      <c r="F5440" s="0" t="s">
        <v>228</v>
      </c>
      <c r="I5440" s="0" t="n">
        <v>1035731</v>
      </c>
      <c r="J5440" s="0" t="n">
        <v>102033</v>
      </c>
      <c r="K5440" s="0" t="n">
        <v>7896289210192</v>
      </c>
      <c r="L5440" s="0" t="s">
        <v>2962</v>
      </c>
      <c r="N5440" s="0" t="n">
        <v>10</v>
      </c>
      <c r="O5440" s="0" t="n">
        <v>69.74</v>
      </c>
      <c r="P5440" s="0" t="s">
        <v>2444</v>
      </c>
    </row>
    <row r="5441" customFormat="false" ht="15" hidden="false" customHeight="true" outlineLevel="0" collapsed="false">
      <c r="A5441" s="0" t="n">
        <v>2</v>
      </c>
      <c r="B5441" s="71" t="n">
        <v>46241</v>
      </c>
      <c r="C5441" s="0" t="n">
        <v>11</v>
      </c>
      <c r="D5441" s="0" t="s">
        <v>2471</v>
      </c>
      <c r="E5441" s="0" t="n">
        <v>1642</v>
      </c>
      <c r="F5441" s="0" t="s">
        <v>228</v>
      </c>
      <c r="I5441" s="0" t="n">
        <v>1035731</v>
      </c>
      <c r="J5441" s="0" t="n">
        <v>105780</v>
      </c>
      <c r="K5441" s="0" t="n">
        <v>7896289210017</v>
      </c>
      <c r="L5441" s="0" t="s">
        <v>2511</v>
      </c>
      <c r="N5441" s="0" t="n">
        <v>10</v>
      </c>
      <c r="O5441" s="0" t="n">
        <v>106.7</v>
      </c>
      <c r="P5441" s="0" t="s">
        <v>2444</v>
      </c>
    </row>
    <row r="5442" customFormat="false" ht="15" hidden="false" customHeight="true" outlineLevel="0" collapsed="false">
      <c r="A5442" s="0" t="n">
        <v>2</v>
      </c>
      <c r="B5442" s="71" t="n">
        <v>46241</v>
      </c>
      <c r="C5442" s="0" t="n">
        <v>11</v>
      </c>
      <c r="D5442" s="0" t="s">
        <v>2471</v>
      </c>
      <c r="E5442" s="0" t="n">
        <v>1642</v>
      </c>
      <c r="F5442" s="0" t="s">
        <v>228</v>
      </c>
      <c r="I5442" s="0" t="n">
        <v>1035731</v>
      </c>
      <c r="J5442" s="0" t="n">
        <v>105782</v>
      </c>
      <c r="K5442" s="0" t="n">
        <v>7896289210352</v>
      </c>
      <c r="L5442" s="0" t="s">
        <v>2512</v>
      </c>
      <c r="N5442" s="0" t="n">
        <v>5</v>
      </c>
      <c r="O5442" s="0" t="n">
        <v>34.3</v>
      </c>
      <c r="P5442" s="0" t="s">
        <v>2444</v>
      </c>
    </row>
    <row r="5443" customFormat="false" ht="15" hidden="false" customHeight="true" outlineLevel="0" collapsed="false">
      <c r="A5443" s="0" t="n">
        <v>2</v>
      </c>
      <c r="B5443" s="71" t="n">
        <v>46241</v>
      </c>
      <c r="C5443" s="0" t="n">
        <v>11</v>
      </c>
      <c r="D5443" s="0" t="s">
        <v>2471</v>
      </c>
      <c r="E5443" s="0" t="n">
        <v>1642</v>
      </c>
      <c r="F5443" s="0" t="s">
        <v>228</v>
      </c>
      <c r="I5443" s="0" t="n">
        <v>1035731</v>
      </c>
      <c r="J5443" s="0" t="n">
        <v>105787</v>
      </c>
      <c r="K5443" s="0" t="n">
        <v>7896289210307</v>
      </c>
      <c r="L5443" s="0" t="s">
        <v>4689</v>
      </c>
      <c r="N5443" s="0" t="n">
        <v>5</v>
      </c>
      <c r="O5443" s="0" t="n">
        <v>34.87</v>
      </c>
      <c r="P5443" s="0" t="s">
        <v>2444</v>
      </c>
    </row>
    <row r="5444" customFormat="false" ht="15" hidden="false" customHeight="true" outlineLevel="0" collapsed="false">
      <c r="A5444" s="0" t="n">
        <v>2</v>
      </c>
      <c r="B5444" s="71" t="n">
        <v>46241</v>
      </c>
      <c r="C5444" s="0" t="n">
        <v>11</v>
      </c>
      <c r="D5444" s="0" t="s">
        <v>2471</v>
      </c>
      <c r="E5444" s="0" t="n">
        <v>1642</v>
      </c>
      <c r="F5444" s="0" t="s">
        <v>228</v>
      </c>
      <c r="I5444" s="0" t="n">
        <v>1035731</v>
      </c>
      <c r="J5444" s="0" t="n">
        <v>106079</v>
      </c>
      <c r="K5444" s="0" t="n">
        <v>7896289210130</v>
      </c>
      <c r="L5444" s="0" t="s">
        <v>2513</v>
      </c>
      <c r="N5444" s="0" t="n">
        <v>5</v>
      </c>
      <c r="O5444" s="0" t="n">
        <v>68.5</v>
      </c>
      <c r="P5444" s="0" t="s">
        <v>2444</v>
      </c>
    </row>
    <row r="5445" customFormat="false" ht="15" hidden="false" customHeight="true" outlineLevel="0" collapsed="false">
      <c r="A5445" s="0" t="n">
        <v>2</v>
      </c>
      <c r="B5445" s="71" t="n">
        <v>46241</v>
      </c>
      <c r="C5445" s="0" t="n">
        <v>11</v>
      </c>
      <c r="D5445" s="0" t="s">
        <v>2471</v>
      </c>
      <c r="E5445" s="0" t="n">
        <v>1642</v>
      </c>
      <c r="F5445" s="0" t="s">
        <v>228</v>
      </c>
      <c r="I5445" s="0" t="n">
        <v>1035731</v>
      </c>
      <c r="J5445" s="0" t="n">
        <v>106274</v>
      </c>
      <c r="K5445" s="0" t="n">
        <v>7896289210086</v>
      </c>
      <c r="L5445" s="0" t="s">
        <v>2514</v>
      </c>
      <c r="N5445" s="0" t="n">
        <v>5</v>
      </c>
      <c r="O5445" s="0" t="n">
        <v>62.8</v>
      </c>
      <c r="P5445" s="0" t="s">
        <v>2444</v>
      </c>
    </row>
    <row r="5446" customFormat="false" ht="15" hidden="false" customHeight="true" outlineLevel="0" collapsed="false">
      <c r="A5446" s="0" t="n">
        <v>2</v>
      </c>
      <c r="B5446" s="71" t="n">
        <v>46241</v>
      </c>
      <c r="C5446" s="0" t="n">
        <v>11</v>
      </c>
      <c r="D5446" s="0" t="s">
        <v>2471</v>
      </c>
      <c r="E5446" s="0" t="n">
        <v>1642</v>
      </c>
      <c r="F5446" s="0" t="s">
        <v>228</v>
      </c>
      <c r="I5446" s="0" t="n">
        <v>1035731</v>
      </c>
      <c r="J5446" s="0" t="n">
        <v>106280</v>
      </c>
      <c r="K5446" s="0" t="n">
        <v>7896289210062</v>
      </c>
      <c r="L5446" s="0" t="s">
        <v>2515</v>
      </c>
      <c r="N5446" s="0" t="n">
        <v>5</v>
      </c>
      <c r="O5446" s="0" t="n">
        <v>62.8</v>
      </c>
      <c r="P5446" s="0" t="s">
        <v>2444</v>
      </c>
    </row>
    <row r="5447" customFormat="false" ht="15" hidden="false" customHeight="true" outlineLevel="0" collapsed="false">
      <c r="A5447" s="0" t="n">
        <v>2</v>
      </c>
      <c r="B5447" s="71" t="n">
        <v>46241</v>
      </c>
      <c r="C5447" s="0" t="n">
        <v>11</v>
      </c>
      <c r="D5447" s="0" t="s">
        <v>2471</v>
      </c>
      <c r="E5447" s="0" t="n">
        <v>1642</v>
      </c>
      <c r="F5447" s="0" t="s">
        <v>228</v>
      </c>
      <c r="I5447" s="0" t="n">
        <v>1035731</v>
      </c>
      <c r="J5447" s="0" t="n">
        <v>106407</v>
      </c>
      <c r="K5447" s="0" t="n">
        <v>7896289210031</v>
      </c>
      <c r="L5447" s="0" t="s">
        <v>2516</v>
      </c>
      <c r="N5447" s="0" t="n">
        <v>5</v>
      </c>
      <c r="O5447" s="0" t="n">
        <v>58.2</v>
      </c>
      <c r="P5447" s="0" t="s">
        <v>2444</v>
      </c>
    </row>
    <row r="5448" customFormat="false" ht="15" hidden="false" customHeight="true" outlineLevel="0" collapsed="false">
      <c r="A5448" s="0" t="n">
        <v>2</v>
      </c>
      <c r="B5448" s="71" t="n">
        <v>46241</v>
      </c>
      <c r="C5448" s="0" t="n">
        <v>11</v>
      </c>
      <c r="D5448" s="0" t="s">
        <v>2471</v>
      </c>
      <c r="E5448" s="0" t="n">
        <v>1705</v>
      </c>
      <c r="F5448" s="0" t="s">
        <v>130</v>
      </c>
      <c r="I5448" s="0" t="n">
        <v>1236446</v>
      </c>
      <c r="J5448" s="0" t="n">
        <v>103140</v>
      </c>
      <c r="K5448" s="0" t="n">
        <v>7894900031751</v>
      </c>
      <c r="L5448" s="0" t="s">
        <v>2655</v>
      </c>
      <c r="N5448" s="0" t="n">
        <v>12</v>
      </c>
      <c r="O5448" s="0" t="n">
        <v>67.89</v>
      </c>
      <c r="P5448" s="0" t="s">
        <v>2444</v>
      </c>
    </row>
    <row r="5449" customFormat="false" ht="15" hidden="false" customHeight="true" outlineLevel="0" collapsed="false">
      <c r="A5449" s="0" t="n">
        <v>2</v>
      </c>
      <c r="B5449" s="71" t="n">
        <v>46241</v>
      </c>
      <c r="C5449" s="0" t="n">
        <v>11</v>
      </c>
      <c r="D5449" s="0" t="s">
        <v>2471</v>
      </c>
      <c r="E5449" s="0" t="n">
        <v>1705</v>
      </c>
      <c r="F5449" s="0" t="s">
        <v>130</v>
      </c>
      <c r="I5449" s="0" t="n">
        <v>1236446</v>
      </c>
      <c r="J5449" s="0" t="n">
        <v>104575</v>
      </c>
      <c r="K5449" s="0" t="n">
        <v>7898341430098</v>
      </c>
      <c r="L5449" s="0" t="s">
        <v>2560</v>
      </c>
      <c r="N5449" s="0" t="n">
        <v>6</v>
      </c>
      <c r="O5449" s="0" t="n">
        <v>60.87</v>
      </c>
      <c r="P5449" s="0" t="s">
        <v>2444</v>
      </c>
    </row>
    <row r="5450" customFormat="false" ht="15" hidden="false" customHeight="true" outlineLevel="0" collapsed="false">
      <c r="A5450" s="0" t="n">
        <v>2</v>
      </c>
      <c r="B5450" s="71" t="n">
        <v>46241</v>
      </c>
      <c r="C5450" s="0" t="n">
        <v>11</v>
      </c>
      <c r="D5450" s="0" t="s">
        <v>2471</v>
      </c>
      <c r="E5450" s="0" t="n">
        <v>1705</v>
      </c>
      <c r="F5450" s="0" t="s">
        <v>130</v>
      </c>
      <c r="I5450" s="0" t="n">
        <v>1236446</v>
      </c>
      <c r="J5450" s="0" t="n">
        <v>18192</v>
      </c>
      <c r="K5450" s="0" t="n">
        <v>7894900320015</v>
      </c>
      <c r="L5450" s="0" t="s">
        <v>4632</v>
      </c>
      <c r="N5450" s="0" t="n">
        <v>12</v>
      </c>
      <c r="O5450" s="0" t="n">
        <v>38.46</v>
      </c>
      <c r="P5450" s="0" t="s">
        <v>2444</v>
      </c>
    </row>
    <row r="5451" customFormat="false" ht="15" hidden="false" customHeight="true" outlineLevel="0" collapsed="false">
      <c r="A5451" s="0" t="n">
        <v>2</v>
      </c>
      <c r="B5451" s="71" t="n">
        <v>46241</v>
      </c>
      <c r="C5451" s="0" t="n">
        <v>11</v>
      </c>
      <c r="D5451" s="0" t="s">
        <v>2471</v>
      </c>
      <c r="E5451" s="0" t="n">
        <v>1705</v>
      </c>
      <c r="F5451" s="0" t="s">
        <v>130</v>
      </c>
      <c r="I5451" s="0" t="n">
        <v>1236446</v>
      </c>
      <c r="J5451" s="0" t="n">
        <v>77914</v>
      </c>
      <c r="K5451" s="0" t="n">
        <v>7894900530001</v>
      </c>
      <c r="L5451" s="0" t="s">
        <v>3257</v>
      </c>
      <c r="N5451" s="0" t="n">
        <v>12</v>
      </c>
      <c r="O5451" s="0" t="n">
        <v>15.14</v>
      </c>
      <c r="P5451" s="0" t="s">
        <v>2444</v>
      </c>
    </row>
    <row r="5452" customFormat="false" ht="15" hidden="false" customHeight="true" outlineLevel="0" collapsed="false">
      <c r="A5452" s="0" t="n">
        <v>2</v>
      </c>
      <c r="B5452" s="71" t="n">
        <v>46241</v>
      </c>
      <c r="C5452" s="0" t="n">
        <v>11</v>
      </c>
      <c r="D5452" s="0" t="s">
        <v>2471</v>
      </c>
      <c r="E5452" s="0" t="n">
        <v>1705</v>
      </c>
      <c r="F5452" s="0" t="s">
        <v>130</v>
      </c>
      <c r="I5452" s="0" t="n">
        <v>1236446</v>
      </c>
      <c r="J5452" s="0" t="n">
        <v>79334</v>
      </c>
      <c r="K5452" s="0" t="n">
        <v>7894900531305</v>
      </c>
      <c r="L5452" s="0" t="s">
        <v>4690</v>
      </c>
      <c r="N5452" s="0" t="n">
        <v>12</v>
      </c>
      <c r="O5452" s="0" t="n">
        <v>19.29</v>
      </c>
      <c r="P5452" s="0" t="s">
        <v>2444</v>
      </c>
    </row>
    <row r="5453" customFormat="false" ht="15" hidden="false" customHeight="true" outlineLevel="0" collapsed="false">
      <c r="A5453" s="0" t="n">
        <v>2</v>
      </c>
      <c r="B5453" s="71" t="n">
        <v>46241</v>
      </c>
      <c r="C5453" s="0" t="n">
        <v>11</v>
      </c>
      <c r="D5453" s="0" t="s">
        <v>2471</v>
      </c>
      <c r="E5453" s="0" t="n">
        <v>1705</v>
      </c>
      <c r="F5453" s="0" t="s">
        <v>130</v>
      </c>
      <c r="I5453" s="0" t="n">
        <v>1236941</v>
      </c>
      <c r="J5453" s="0" t="n">
        <v>57635</v>
      </c>
      <c r="K5453" s="0" t="n">
        <v>2254500</v>
      </c>
      <c r="L5453" s="0" t="s">
        <v>3967</v>
      </c>
      <c r="N5453" s="0" t="n">
        <v>36</v>
      </c>
      <c r="O5453" s="0" t="n">
        <v>61.2</v>
      </c>
      <c r="P5453" s="0" t="s">
        <v>2444</v>
      </c>
    </row>
    <row r="5454" customFormat="false" ht="15" hidden="false" customHeight="true" outlineLevel="0" collapsed="false">
      <c r="A5454" s="0" t="n">
        <v>2</v>
      </c>
      <c r="B5454" s="71" t="n">
        <v>46241</v>
      </c>
      <c r="C5454" s="0" t="n">
        <v>11</v>
      </c>
      <c r="D5454" s="0" t="s">
        <v>2471</v>
      </c>
      <c r="E5454" s="0" t="n">
        <v>1705</v>
      </c>
      <c r="F5454" s="0" t="s">
        <v>130</v>
      </c>
      <c r="I5454" s="0" t="n">
        <v>1236941</v>
      </c>
      <c r="J5454" s="0" t="n">
        <v>57640</v>
      </c>
      <c r="K5454" s="0" t="n">
        <v>2254517</v>
      </c>
      <c r="L5454" s="0" t="s">
        <v>3968</v>
      </c>
      <c r="N5454" s="0" t="n">
        <v>3</v>
      </c>
      <c r="O5454" s="0" t="n">
        <v>100.41</v>
      </c>
      <c r="P5454" s="0" t="s">
        <v>2444</v>
      </c>
    </row>
    <row r="5455" customFormat="false" ht="15" hidden="false" customHeight="true" outlineLevel="0" collapsed="false">
      <c r="A5455" s="0" t="n">
        <v>2</v>
      </c>
      <c r="B5455" s="71" t="n">
        <v>46241</v>
      </c>
      <c r="C5455" s="0" t="n">
        <v>11</v>
      </c>
      <c r="D5455" s="0" t="s">
        <v>2471</v>
      </c>
      <c r="E5455" s="0" t="n">
        <v>1705</v>
      </c>
      <c r="F5455" s="0" t="s">
        <v>130</v>
      </c>
      <c r="I5455" s="0" t="n">
        <v>1236941</v>
      </c>
      <c r="J5455" s="0" t="n">
        <v>57690</v>
      </c>
      <c r="K5455" s="0" t="n">
        <v>7896045506378</v>
      </c>
      <c r="L5455" s="0" t="s">
        <v>4656</v>
      </c>
      <c r="N5455" s="0" t="n">
        <v>36</v>
      </c>
      <c r="O5455" s="0" t="n">
        <v>252.88</v>
      </c>
      <c r="P5455" s="0" t="s">
        <v>2444</v>
      </c>
    </row>
    <row r="5456" customFormat="false" ht="15" hidden="false" customHeight="true" outlineLevel="0" collapsed="false">
      <c r="A5456" s="0" t="n">
        <v>2</v>
      </c>
      <c r="B5456" s="71" t="n">
        <v>46241</v>
      </c>
      <c r="C5456" s="0" t="n">
        <v>11</v>
      </c>
      <c r="D5456" s="0" t="s">
        <v>2471</v>
      </c>
      <c r="E5456" s="0" t="n">
        <v>1705</v>
      </c>
      <c r="F5456" s="0" t="s">
        <v>130</v>
      </c>
      <c r="I5456" s="0" t="n">
        <v>1236941</v>
      </c>
      <c r="J5456" s="0" t="n">
        <v>77914</v>
      </c>
      <c r="K5456" s="0" t="n">
        <v>7894900530001</v>
      </c>
      <c r="L5456" s="0" t="s">
        <v>3257</v>
      </c>
      <c r="N5456" s="0" t="n">
        <v>12</v>
      </c>
      <c r="O5456" s="0" t="n">
        <v>15.19</v>
      </c>
      <c r="P5456" s="0" t="s">
        <v>2444</v>
      </c>
    </row>
    <row r="5457" customFormat="false" ht="15" hidden="false" customHeight="true" outlineLevel="0" collapsed="false">
      <c r="A5457" s="0" t="n">
        <v>2</v>
      </c>
      <c r="B5457" s="71" t="n">
        <v>46241</v>
      </c>
      <c r="C5457" s="0" t="n">
        <v>11</v>
      </c>
      <c r="D5457" s="0" t="s">
        <v>2471</v>
      </c>
      <c r="E5457" s="0" t="n">
        <v>1705</v>
      </c>
      <c r="F5457" s="0" t="s">
        <v>130</v>
      </c>
      <c r="I5457" s="0" t="n">
        <v>1236942</v>
      </c>
      <c r="J5457" s="0" t="n">
        <v>57190</v>
      </c>
      <c r="K5457" s="0" t="n">
        <v>7896010006360</v>
      </c>
      <c r="L5457" s="0" t="s">
        <v>4691</v>
      </c>
      <c r="N5457" s="0" t="n">
        <v>2</v>
      </c>
      <c r="O5457" s="0" t="n">
        <v>37.16</v>
      </c>
      <c r="P5457" s="0" t="s">
        <v>2444</v>
      </c>
    </row>
    <row r="5458" customFormat="false" ht="15" hidden="false" customHeight="true" outlineLevel="0" collapsed="false">
      <c r="A5458" s="0" t="n">
        <v>2</v>
      </c>
      <c r="B5458" s="71" t="n">
        <v>46241</v>
      </c>
      <c r="C5458" s="0" t="n">
        <v>11</v>
      </c>
      <c r="D5458" s="0" t="s">
        <v>2471</v>
      </c>
      <c r="E5458" s="0" t="n">
        <v>1705</v>
      </c>
      <c r="F5458" s="0" t="s">
        <v>130</v>
      </c>
      <c r="I5458" s="0" t="n">
        <v>1236942</v>
      </c>
      <c r="J5458" s="0" t="n">
        <v>75573</v>
      </c>
      <c r="K5458" s="0" t="n">
        <v>7894900337006</v>
      </c>
      <c r="L5458" s="0" t="s">
        <v>4692</v>
      </c>
      <c r="N5458" s="0" t="n">
        <v>6</v>
      </c>
      <c r="O5458" s="0" t="n">
        <v>40.46</v>
      </c>
      <c r="P5458" s="0" t="s">
        <v>2444</v>
      </c>
    </row>
    <row r="5459" customFormat="false" ht="15" hidden="false" customHeight="true" outlineLevel="0" collapsed="false">
      <c r="A5459" s="0" t="n">
        <v>2</v>
      </c>
      <c r="B5459" s="71" t="n">
        <v>46241</v>
      </c>
      <c r="C5459" s="0" t="n">
        <v>11</v>
      </c>
      <c r="D5459" s="0" t="s">
        <v>2471</v>
      </c>
      <c r="E5459" s="0" t="n">
        <v>1705</v>
      </c>
      <c r="F5459" s="0" t="s">
        <v>130</v>
      </c>
      <c r="I5459" s="0" t="n">
        <v>1237147</v>
      </c>
      <c r="J5459" s="0" t="n">
        <v>102360</v>
      </c>
      <c r="K5459" s="0" t="n">
        <v>7894900593709</v>
      </c>
      <c r="L5459" s="0" t="s">
        <v>2557</v>
      </c>
      <c r="N5459" s="0" t="n">
        <v>120</v>
      </c>
      <c r="O5459" s="0" t="n">
        <v>235.65</v>
      </c>
      <c r="P5459" s="0" t="s">
        <v>2444</v>
      </c>
    </row>
    <row r="5460" customFormat="false" ht="15" hidden="false" customHeight="true" outlineLevel="0" collapsed="false">
      <c r="A5460" s="0" t="n">
        <v>2</v>
      </c>
      <c r="B5460" s="71" t="n">
        <v>46241</v>
      </c>
      <c r="C5460" s="0" t="n">
        <v>11</v>
      </c>
      <c r="D5460" s="0" t="s">
        <v>2471</v>
      </c>
      <c r="E5460" s="0" t="n">
        <v>1705</v>
      </c>
      <c r="F5460" s="0" t="s">
        <v>130</v>
      </c>
      <c r="I5460" s="0" t="n">
        <v>1237147</v>
      </c>
      <c r="J5460" s="0" t="n">
        <v>57635</v>
      </c>
      <c r="K5460" s="0" t="n">
        <v>2254500</v>
      </c>
      <c r="L5460" s="0" t="s">
        <v>3967</v>
      </c>
      <c r="N5460" s="0" t="n">
        <v>48</v>
      </c>
      <c r="O5460" s="0" t="n">
        <v>81.6</v>
      </c>
      <c r="P5460" s="0" t="s">
        <v>2444</v>
      </c>
    </row>
    <row r="5461" customFormat="false" ht="15" hidden="false" customHeight="true" outlineLevel="0" collapsed="false">
      <c r="A5461" s="0" t="n">
        <v>2</v>
      </c>
      <c r="B5461" s="71" t="n">
        <v>46241</v>
      </c>
      <c r="C5461" s="0" t="n">
        <v>11</v>
      </c>
      <c r="D5461" s="0" t="s">
        <v>2471</v>
      </c>
      <c r="E5461" s="0" t="n">
        <v>1705</v>
      </c>
      <c r="F5461" s="0" t="s">
        <v>130</v>
      </c>
      <c r="I5461" s="0" t="n">
        <v>1237147</v>
      </c>
      <c r="J5461" s="0" t="n">
        <v>57640</v>
      </c>
      <c r="K5461" s="0" t="n">
        <v>2254517</v>
      </c>
      <c r="L5461" s="0" t="s">
        <v>3968</v>
      </c>
      <c r="N5461" s="0" t="n">
        <v>4</v>
      </c>
      <c r="O5461" s="0" t="n">
        <v>133.88</v>
      </c>
      <c r="P5461" s="0" t="s">
        <v>2444</v>
      </c>
    </row>
    <row r="5462" customFormat="false" ht="15" hidden="false" customHeight="true" outlineLevel="0" collapsed="false">
      <c r="A5462" s="0" t="n">
        <v>2</v>
      </c>
      <c r="B5462" s="71" t="n">
        <v>46241</v>
      </c>
      <c r="C5462" s="0" t="n">
        <v>11</v>
      </c>
      <c r="D5462" s="0" t="s">
        <v>2471</v>
      </c>
      <c r="E5462" s="0" t="n">
        <v>1705</v>
      </c>
      <c r="F5462" s="0" t="s">
        <v>130</v>
      </c>
      <c r="I5462" s="0" t="n">
        <v>1237147</v>
      </c>
      <c r="J5462" s="0" t="n">
        <v>76553</v>
      </c>
      <c r="K5462" s="0" t="n">
        <v>7896045503476</v>
      </c>
      <c r="L5462" s="0" t="s">
        <v>3969</v>
      </c>
      <c r="N5462" s="0" t="n">
        <v>48</v>
      </c>
      <c r="O5462" s="0" t="n">
        <v>299.52</v>
      </c>
      <c r="P5462" s="0" t="s">
        <v>2444</v>
      </c>
    </row>
    <row r="5463" customFormat="false" ht="15" hidden="false" customHeight="true" outlineLevel="0" collapsed="false">
      <c r="A5463" s="0" t="n">
        <v>2</v>
      </c>
      <c r="B5463" s="71" t="n">
        <v>46241</v>
      </c>
      <c r="C5463" s="0" t="n">
        <v>11</v>
      </c>
      <c r="D5463" s="0" t="s">
        <v>2471</v>
      </c>
      <c r="E5463" s="0" t="n">
        <v>1705</v>
      </c>
      <c r="F5463" s="0" t="s">
        <v>130</v>
      </c>
      <c r="I5463" s="0" t="n">
        <v>1237147</v>
      </c>
      <c r="J5463" s="0" t="n">
        <v>76553</v>
      </c>
      <c r="K5463" s="0" t="n">
        <v>7896045503476</v>
      </c>
      <c r="L5463" s="0" t="s">
        <v>3969</v>
      </c>
      <c r="N5463" s="0" t="n">
        <v>48</v>
      </c>
      <c r="O5463" s="0" t="n">
        <v>304.76</v>
      </c>
      <c r="P5463" s="0" t="s">
        <v>2444</v>
      </c>
    </row>
    <row r="5464" customFormat="false" ht="15" hidden="false" customHeight="true" outlineLevel="0" collapsed="false">
      <c r="A5464" s="0" t="n">
        <v>2</v>
      </c>
      <c r="B5464" s="71" t="n">
        <v>46241</v>
      </c>
      <c r="C5464" s="0" t="n">
        <v>11</v>
      </c>
      <c r="D5464" s="0" t="s">
        <v>2471</v>
      </c>
      <c r="E5464" s="0" t="n">
        <v>1613</v>
      </c>
      <c r="F5464" s="0" t="s">
        <v>50</v>
      </c>
      <c r="I5464" s="0" t="n">
        <v>1616567</v>
      </c>
      <c r="J5464" s="0" t="n">
        <v>110883</v>
      </c>
      <c r="K5464" s="0" t="n">
        <v>45</v>
      </c>
      <c r="L5464" s="0" t="s">
        <v>2637</v>
      </c>
      <c r="N5464" s="0" t="n">
        <v>60</v>
      </c>
      <c r="O5464" s="0" t="n">
        <v>759.85</v>
      </c>
      <c r="P5464" s="0" t="s">
        <v>2444</v>
      </c>
    </row>
    <row r="5465" customFormat="false" ht="15" hidden="false" customHeight="true" outlineLevel="0" collapsed="false">
      <c r="A5465" s="0" t="n">
        <v>2</v>
      </c>
      <c r="B5465" s="71" t="n">
        <v>46241</v>
      </c>
      <c r="C5465" s="0" t="n">
        <v>11</v>
      </c>
      <c r="D5465" s="0" t="s">
        <v>2471</v>
      </c>
      <c r="E5465" s="0" t="n">
        <v>1613</v>
      </c>
      <c r="F5465" s="0" t="s">
        <v>50</v>
      </c>
      <c r="I5465" s="0" t="n">
        <v>1616567</v>
      </c>
      <c r="J5465" s="0" t="n">
        <v>100045</v>
      </c>
      <c r="K5465" s="0" t="n">
        <v>46</v>
      </c>
      <c r="L5465" s="0" t="s">
        <v>2625</v>
      </c>
      <c r="N5465" s="0" t="n">
        <v>60</v>
      </c>
      <c r="O5465" s="0" t="n">
        <v>695.4</v>
      </c>
      <c r="P5465" s="0" t="s">
        <v>2444</v>
      </c>
    </row>
    <row r="5466" customFormat="false" ht="15" hidden="false" customHeight="true" outlineLevel="0" collapsed="false">
      <c r="A5466" s="0" t="n">
        <v>2</v>
      </c>
      <c r="B5466" s="71" t="n">
        <v>46241</v>
      </c>
      <c r="C5466" s="0" t="n">
        <v>11</v>
      </c>
      <c r="D5466" s="0" t="s">
        <v>2471</v>
      </c>
      <c r="E5466" s="0" t="n">
        <v>1613</v>
      </c>
      <c r="F5466" s="0" t="s">
        <v>50</v>
      </c>
      <c r="I5466" s="0" t="n">
        <v>1616567</v>
      </c>
      <c r="J5466" s="0" t="n">
        <v>100073</v>
      </c>
      <c r="K5466" s="0" t="n">
        <v>74</v>
      </c>
      <c r="L5466" s="0" t="s">
        <v>2626</v>
      </c>
      <c r="N5466" s="0" t="n">
        <v>20</v>
      </c>
      <c r="O5466" s="0" t="n">
        <v>432.4</v>
      </c>
      <c r="P5466" s="0" t="s">
        <v>2444</v>
      </c>
    </row>
    <row r="5467" customFormat="false" ht="15" hidden="false" customHeight="true" outlineLevel="0" collapsed="false">
      <c r="A5467" s="0" t="n">
        <v>2</v>
      </c>
      <c r="B5467" s="71" t="n">
        <v>46241</v>
      </c>
      <c r="C5467" s="0" t="n">
        <v>11</v>
      </c>
      <c r="D5467" s="0" t="s">
        <v>2471</v>
      </c>
      <c r="E5467" s="0" t="n">
        <v>1613</v>
      </c>
      <c r="F5467" s="0" t="s">
        <v>50</v>
      </c>
      <c r="I5467" s="0" t="n">
        <v>1616567</v>
      </c>
      <c r="J5467" s="0" t="n">
        <v>103848</v>
      </c>
      <c r="K5467" s="0" t="n">
        <v>7893000488878</v>
      </c>
      <c r="L5467" s="0" t="s">
        <v>2972</v>
      </c>
      <c r="N5467" s="0" t="n">
        <v>8</v>
      </c>
      <c r="O5467" s="0" t="n">
        <v>101.27</v>
      </c>
      <c r="P5467" s="0" t="s">
        <v>2444</v>
      </c>
    </row>
    <row r="5468" customFormat="false" ht="15" hidden="false" customHeight="true" outlineLevel="0" collapsed="false">
      <c r="A5468" s="0" t="n">
        <v>2</v>
      </c>
      <c r="B5468" s="71" t="n">
        <v>46241</v>
      </c>
      <c r="C5468" s="0" t="n">
        <v>11</v>
      </c>
      <c r="D5468" s="0" t="s">
        <v>2471</v>
      </c>
      <c r="E5468" s="0" t="n">
        <v>1613</v>
      </c>
      <c r="F5468" s="0" t="s">
        <v>50</v>
      </c>
      <c r="I5468" s="0" t="n">
        <v>1616567</v>
      </c>
      <c r="J5468" s="0" t="n">
        <v>103851</v>
      </c>
      <c r="K5468" s="0" t="n">
        <v>7893000482401</v>
      </c>
      <c r="L5468" s="0" t="s">
        <v>3759</v>
      </c>
      <c r="N5468" s="0" t="n">
        <v>12</v>
      </c>
      <c r="O5468" s="0" t="n">
        <v>188.86</v>
      </c>
      <c r="P5468" s="0" t="s">
        <v>2444</v>
      </c>
    </row>
    <row r="5469" customFormat="false" ht="15" hidden="false" customHeight="true" outlineLevel="0" collapsed="false">
      <c r="A5469" s="0" t="n">
        <v>2</v>
      </c>
      <c r="B5469" s="71" t="n">
        <v>46241</v>
      </c>
      <c r="C5469" s="0" t="n">
        <v>11</v>
      </c>
      <c r="D5469" s="0" t="s">
        <v>2471</v>
      </c>
      <c r="E5469" s="0" t="n">
        <v>1613</v>
      </c>
      <c r="F5469" s="0" t="s">
        <v>50</v>
      </c>
      <c r="I5469" s="0" t="n">
        <v>1616567</v>
      </c>
      <c r="J5469" s="0" t="n">
        <v>109076</v>
      </c>
      <c r="K5469" s="0" t="n">
        <v>7891515989408</v>
      </c>
      <c r="L5469" s="0" t="s">
        <v>2976</v>
      </c>
      <c r="N5469" s="0" t="n">
        <v>72</v>
      </c>
      <c r="O5469" s="0" t="n">
        <v>75.98</v>
      </c>
      <c r="P5469" s="0" t="s">
        <v>2444</v>
      </c>
    </row>
    <row r="5470" customFormat="false" ht="15" hidden="false" customHeight="true" outlineLevel="0" collapsed="false">
      <c r="A5470" s="0" t="n">
        <v>2</v>
      </c>
      <c r="B5470" s="71" t="n">
        <v>46241</v>
      </c>
      <c r="C5470" s="0" t="n">
        <v>11</v>
      </c>
      <c r="D5470" s="0" t="s">
        <v>2471</v>
      </c>
      <c r="E5470" s="0" t="n">
        <v>1613</v>
      </c>
      <c r="F5470" s="0" t="s">
        <v>50</v>
      </c>
      <c r="I5470" s="0" t="n">
        <v>1616567</v>
      </c>
      <c r="J5470" s="0" t="n">
        <v>21344</v>
      </c>
      <c r="K5470" s="0" t="n">
        <v>7893000632073</v>
      </c>
      <c r="L5470" s="0" t="s">
        <v>3508</v>
      </c>
      <c r="N5470" s="0" t="n">
        <v>12</v>
      </c>
      <c r="O5470" s="0" t="n">
        <v>228.92</v>
      </c>
      <c r="P5470" s="0" t="s">
        <v>2444</v>
      </c>
    </row>
    <row r="5471" customFormat="false" ht="15" hidden="false" customHeight="true" outlineLevel="0" collapsed="false">
      <c r="A5471" s="0" t="n">
        <v>2</v>
      </c>
      <c r="B5471" s="71" t="n">
        <v>46241</v>
      </c>
      <c r="C5471" s="0" t="n">
        <v>11</v>
      </c>
      <c r="D5471" s="0" t="s">
        <v>2471</v>
      </c>
      <c r="E5471" s="0" t="n">
        <v>1613</v>
      </c>
      <c r="F5471" s="0" t="s">
        <v>50</v>
      </c>
      <c r="I5471" s="0" t="n">
        <v>1616567</v>
      </c>
      <c r="J5471" s="0" t="n">
        <v>36041</v>
      </c>
      <c r="K5471" s="0" t="n">
        <v>7891515554224</v>
      </c>
      <c r="L5471" s="0" t="s">
        <v>2980</v>
      </c>
      <c r="N5471" s="0" t="n">
        <v>72</v>
      </c>
      <c r="O5471" s="0" t="n">
        <v>68.39</v>
      </c>
      <c r="P5471" s="0" t="s">
        <v>2444</v>
      </c>
    </row>
    <row r="5472" customFormat="false" ht="15" hidden="false" customHeight="true" outlineLevel="0" collapsed="false">
      <c r="A5472" s="0" t="n">
        <v>2</v>
      </c>
      <c r="B5472" s="71" t="n">
        <v>46241</v>
      </c>
      <c r="C5472" s="0" t="n">
        <v>11</v>
      </c>
      <c r="D5472" s="0" t="s">
        <v>2471</v>
      </c>
      <c r="E5472" s="0" t="n">
        <v>1705</v>
      </c>
      <c r="F5472" s="0" t="s">
        <v>130</v>
      </c>
      <c r="I5472" s="0" t="n">
        <v>1973404</v>
      </c>
      <c r="J5472" s="0" t="n">
        <v>33864</v>
      </c>
      <c r="K5472" s="0" t="n">
        <v>7894900556162</v>
      </c>
      <c r="L5472" s="0" t="s">
        <v>4693</v>
      </c>
      <c r="N5472" s="0" t="n">
        <v>9</v>
      </c>
      <c r="O5472" s="0" t="n">
        <v>57.06</v>
      </c>
      <c r="P5472" s="0" t="s">
        <v>2444</v>
      </c>
    </row>
    <row r="5473" customFormat="false" ht="15" hidden="false" customHeight="true" outlineLevel="0" collapsed="false">
      <c r="A5473" s="0" t="n">
        <v>2</v>
      </c>
      <c r="B5473" s="71" t="n">
        <v>46241</v>
      </c>
      <c r="C5473" s="0" t="n">
        <v>11</v>
      </c>
      <c r="D5473" s="0" t="s">
        <v>2471</v>
      </c>
      <c r="E5473" s="0" t="n">
        <v>1705</v>
      </c>
      <c r="F5473" s="0" t="s">
        <v>130</v>
      </c>
      <c r="I5473" s="0" t="n">
        <v>1973404</v>
      </c>
      <c r="J5473" s="0" t="n">
        <v>34629</v>
      </c>
      <c r="K5473" s="0" t="n">
        <v>7894900027020</v>
      </c>
      <c r="L5473" s="0" t="s">
        <v>2478</v>
      </c>
      <c r="N5473" s="0" t="n">
        <v>30</v>
      </c>
      <c r="O5473" s="0" t="n">
        <v>298.95</v>
      </c>
      <c r="P5473" s="0" t="s">
        <v>2444</v>
      </c>
    </row>
    <row r="5474" customFormat="false" ht="15" hidden="false" customHeight="true" outlineLevel="0" collapsed="false">
      <c r="A5474" s="0" t="n">
        <v>2</v>
      </c>
      <c r="B5474" s="71" t="n">
        <v>46241</v>
      </c>
      <c r="C5474" s="0" t="n">
        <v>11</v>
      </c>
      <c r="D5474" s="0" t="s">
        <v>2471</v>
      </c>
      <c r="E5474" s="0" t="n">
        <v>1705</v>
      </c>
      <c r="F5474" s="0" t="s">
        <v>130</v>
      </c>
      <c r="I5474" s="0" t="n">
        <v>1973888</v>
      </c>
      <c r="J5474" s="0" t="n">
        <v>30188</v>
      </c>
      <c r="K5474" s="0" t="n">
        <v>78908901</v>
      </c>
      <c r="L5474" s="0" t="s">
        <v>2477</v>
      </c>
      <c r="N5474" s="0" t="n">
        <v>30</v>
      </c>
      <c r="O5474" s="0" t="n">
        <v>58.91</v>
      </c>
      <c r="P5474" s="0" t="s">
        <v>2444</v>
      </c>
    </row>
    <row r="5475" customFormat="false" ht="15" hidden="false" customHeight="true" outlineLevel="0" collapsed="false">
      <c r="A5475" s="0" t="n">
        <v>2</v>
      </c>
      <c r="B5475" s="71" t="n">
        <v>46241</v>
      </c>
      <c r="C5475" s="0" t="n">
        <v>11</v>
      </c>
      <c r="D5475" s="0" t="s">
        <v>2471</v>
      </c>
      <c r="E5475" s="0" t="n">
        <v>1705</v>
      </c>
      <c r="F5475" s="0" t="s">
        <v>130</v>
      </c>
      <c r="I5475" s="0" t="n">
        <v>1973888</v>
      </c>
      <c r="J5475" s="0" t="n">
        <v>103142</v>
      </c>
      <c r="K5475" s="0" t="n">
        <v>7894900011753</v>
      </c>
      <c r="L5475" s="0" t="s">
        <v>2581</v>
      </c>
      <c r="N5475" s="0" t="n">
        <v>36</v>
      </c>
      <c r="O5475" s="0" t="n">
        <v>228.94</v>
      </c>
      <c r="P5475" s="0" t="s">
        <v>2444</v>
      </c>
    </row>
    <row r="5476" customFormat="false" ht="15" hidden="false" customHeight="true" outlineLevel="0" collapsed="false">
      <c r="A5476" s="0" t="n">
        <v>2</v>
      </c>
      <c r="B5476" s="71" t="n">
        <v>46241</v>
      </c>
      <c r="C5476" s="0" t="n">
        <v>11</v>
      </c>
      <c r="D5476" s="0" t="s">
        <v>2471</v>
      </c>
      <c r="E5476" s="0" t="n">
        <v>1705</v>
      </c>
      <c r="F5476" s="0" t="s">
        <v>130</v>
      </c>
      <c r="I5476" s="0" t="n">
        <v>1973888</v>
      </c>
      <c r="J5476" s="0" t="n">
        <v>103145</v>
      </c>
      <c r="K5476" s="0" t="n">
        <v>7894900051513</v>
      </c>
      <c r="L5476" s="0" t="s">
        <v>2995</v>
      </c>
      <c r="N5476" s="0" t="n">
        <v>24</v>
      </c>
      <c r="O5476" s="0" t="n">
        <v>179.98</v>
      </c>
      <c r="P5476" s="0" t="s">
        <v>2444</v>
      </c>
    </row>
    <row r="5477" customFormat="false" ht="15" hidden="false" customHeight="true" outlineLevel="0" collapsed="false">
      <c r="A5477" s="0" t="n">
        <v>2</v>
      </c>
      <c r="B5477" s="71" t="n">
        <v>46241</v>
      </c>
      <c r="C5477" s="0" t="n">
        <v>11</v>
      </c>
      <c r="D5477" s="0" t="s">
        <v>2471</v>
      </c>
      <c r="E5477" s="0" t="n">
        <v>1705</v>
      </c>
      <c r="F5477" s="0" t="s">
        <v>130</v>
      </c>
      <c r="I5477" s="0" t="n">
        <v>1973888</v>
      </c>
      <c r="J5477" s="0" t="n">
        <v>103146</v>
      </c>
      <c r="K5477" s="0" t="n">
        <v>7894900031515</v>
      </c>
      <c r="L5477" s="0" t="s">
        <v>2567</v>
      </c>
      <c r="N5477" s="0" t="n">
        <v>24</v>
      </c>
      <c r="O5477" s="0" t="n">
        <v>179.98</v>
      </c>
      <c r="P5477" s="0" t="s">
        <v>2444</v>
      </c>
    </row>
    <row r="5478" customFormat="false" ht="15" hidden="false" customHeight="true" outlineLevel="0" collapsed="false">
      <c r="A5478" s="0" t="n">
        <v>2</v>
      </c>
      <c r="B5478" s="71" t="n">
        <v>46241</v>
      </c>
      <c r="C5478" s="0" t="n">
        <v>11</v>
      </c>
      <c r="D5478" s="0" t="s">
        <v>2471</v>
      </c>
      <c r="E5478" s="0" t="n">
        <v>1705</v>
      </c>
      <c r="F5478" s="0" t="s">
        <v>130</v>
      </c>
      <c r="I5478" s="0" t="n">
        <v>1973888</v>
      </c>
      <c r="J5478" s="0" t="n">
        <v>103159</v>
      </c>
      <c r="K5478" s="0" t="n">
        <v>7894900050011</v>
      </c>
      <c r="L5478" s="0" t="s">
        <v>2656</v>
      </c>
      <c r="N5478" s="0" t="n">
        <v>12</v>
      </c>
      <c r="O5478" s="0" t="n">
        <v>34.31</v>
      </c>
      <c r="P5478" s="0" t="s">
        <v>2444</v>
      </c>
    </row>
    <row r="5479" customFormat="false" ht="15" hidden="false" customHeight="true" outlineLevel="0" collapsed="false">
      <c r="A5479" s="0" t="n">
        <v>2</v>
      </c>
      <c r="B5479" s="71" t="n">
        <v>46241</v>
      </c>
      <c r="C5479" s="0" t="n">
        <v>11</v>
      </c>
      <c r="D5479" s="0" t="s">
        <v>2471</v>
      </c>
      <c r="E5479" s="0" t="n">
        <v>1705</v>
      </c>
      <c r="F5479" s="0" t="s">
        <v>130</v>
      </c>
      <c r="I5479" s="0" t="n">
        <v>1973888</v>
      </c>
      <c r="J5479" s="0" t="n">
        <v>103161</v>
      </c>
      <c r="K5479" s="0" t="n">
        <v>7894900010015</v>
      </c>
      <c r="L5479" s="0" t="s">
        <v>2569</v>
      </c>
      <c r="N5479" s="0" t="n">
        <v>120</v>
      </c>
      <c r="O5479" s="0" t="n">
        <v>384.62</v>
      </c>
      <c r="P5479" s="0" t="s">
        <v>2444</v>
      </c>
    </row>
    <row r="5480" customFormat="false" ht="15" hidden="false" customHeight="true" outlineLevel="0" collapsed="false">
      <c r="A5480" s="0" t="n">
        <v>2</v>
      </c>
      <c r="B5480" s="71" t="n">
        <v>46241</v>
      </c>
      <c r="C5480" s="0" t="n">
        <v>11</v>
      </c>
      <c r="D5480" s="0" t="s">
        <v>2471</v>
      </c>
      <c r="E5480" s="0" t="n">
        <v>1705</v>
      </c>
      <c r="F5480" s="0" t="s">
        <v>130</v>
      </c>
      <c r="I5480" s="0" t="n">
        <v>1973888</v>
      </c>
      <c r="J5480" s="0" t="n">
        <v>105323</v>
      </c>
      <c r="K5480" s="0" t="n">
        <v>7894900701753</v>
      </c>
      <c r="L5480" s="0" t="s">
        <v>2570</v>
      </c>
      <c r="N5480" s="0" t="n">
        <v>18</v>
      </c>
      <c r="O5480" s="0" t="n">
        <v>109.71</v>
      </c>
      <c r="P5480" s="0" t="s">
        <v>2444</v>
      </c>
    </row>
    <row r="5481" customFormat="false" ht="15" hidden="false" customHeight="true" outlineLevel="0" collapsed="false">
      <c r="A5481" s="0" t="n">
        <v>2</v>
      </c>
      <c r="B5481" s="71" t="n">
        <v>46241</v>
      </c>
      <c r="C5481" s="0" t="n">
        <v>11</v>
      </c>
      <c r="D5481" s="0" t="s">
        <v>2471</v>
      </c>
      <c r="E5481" s="0" t="n">
        <v>1705</v>
      </c>
      <c r="F5481" s="0" t="s">
        <v>130</v>
      </c>
      <c r="I5481" s="0" t="n">
        <v>1973888</v>
      </c>
      <c r="J5481" s="0" t="n">
        <v>105631</v>
      </c>
      <c r="K5481" s="0" t="n">
        <v>7894900011609</v>
      </c>
      <c r="L5481" s="0" t="s">
        <v>2571</v>
      </c>
      <c r="N5481" s="0" t="n">
        <v>60</v>
      </c>
      <c r="O5481" s="0" t="n">
        <v>247.25</v>
      </c>
      <c r="P5481" s="0" t="s">
        <v>2444</v>
      </c>
    </row>
    <row r="5482" customFormat="false" ht="15" hidden="false" customHeight="true" outlineLevel="0" collapsed="false">
      <c r="A5482" s="0" t="n">
        <v>2</v>
      </c>
      <c r="B5482" s="71" t="n">
        <v>46241</v>
      </c>
      <c r="C5482" s="0" t="n">
        <v>11</v>
      </c>
      <c r="D5482" s="0" t="s">
        <v>2471</v>
      </c>
      <c r="E5482" s="0" t="n">
        <v>1705</v>
      </c>
      <c r="F5482" s="0" t="s">
        <v>130</v>
      </c>
      <c r="I5482" s="0" t="n">
        <v>1973888</v>
      </c>
      <c r="J5482" s="0" t="n">
        <v>105670</v>
      </c>
      <c r="K5482" s="0" t="n">
        <v>7897105200137</v>
      </c>
      <c r="L5482" s="0" t="s">
        <v>4694</v>
      </c>
      <c r="N5482" s="0" t="n">
        <v>12</v>
      </c>
      <c r="O5482" s="0" t="n">
        <v>30.77</v>
      </c>
      <c r="P5482" s="0" t="s">
        <v>2444</v>
      </c>
    </row>
    <row r="5483" customFormat="false" ht="15" hidden="false" customHeight="true" outlineLevel="0" collapsed="false">
      <c r="A5483" s="0" t="n">
        <v>2</v>
      </c>
      <c r="B5483" s="71" t="n">
        <v>46241</v>
      </c>
      <c r="C5483" s="0" t="n">
        <v>11</v>
      </c>
      <c r="D5483" s="0" t="s">
        <v>2471</v>
      </c>
      <c r="E5483" s="0" t="n">
        <v>1705</v>
      </c>
      <c r="F5483" s="0" t="s">
        <v>130</v>
      </c>
      <c r="I5483" s="0" t="n">
        <v>1973888</v>
      </c>
      <c r="J5483" s="0" t="n">
        <v>107100</v>
      </c>
      <c r="K5483" s="0" t="n">
        <v>7894900700015</v>
      </c>
      <c r="L5483" s="0" t="s">
        <v>2572</v>
      </c>
      <c r="N5483" s="0" t="n">
        <v>48</v>
      </c>
      <c r="O5483" s="0" t="n">
        <v>149.94</v>
      </c>
      <c r="P5483" s="0" t="s">
        <v>2444</v>
      </c>
    </row>
    <row r="5484" customFormat="false" ht="15" hidden="false" customHeight="true" outlineLevel="0" collapsed="false">
      <c r="A5484" s="0" t="n">
        <v>2</v>
      </c>
      <c r="B5484" s="71" t="n">
        <v>46241</v>
      </c>
      <c r="C5484" s="0" t="n">
        <v>11</v>
      </c>
      <c r="D5484" s="0" t="s">
        <v>2471</v>
      </c>
      <c r="E5484" s="0" t="n">
        <v>1705</v>
      </c>
      <c r="F5484" s="0" t="s">
        <v>130</v>
      </c>
      <c r="I5484" s="0" t="n">
        <v>1973888</v>
      </c>
      <c r="J5484" s="0" t="n">
        <v>21183</v>
      </c>
      <c r="K5484" s="0" t="n">
        <v>7894900556063</v>
      </c>
      <c r="L5484" s="0" t="s">
        <v>4364</v>
      </c>
      <c r="N5484" s="0" t="n">
        <v>6</v>
      </c>
      <c r="O5484" s="0" t="n">
        <v>43.22</v>
      </c>
      <c r="P5484" s="0" t="s">
        <v>2444</v>
      </c>
    </row>
    <row r="5485" customFormat="false" ht="15" hidden="false" customHeight="true" outlineLevel="0" collapsed="false">
      <c r="A5485" s="0" t="n">
        <v>2</v>
      </c>
      <c r="B5485" s="71" t="n">
        <v>46241</v>
      </c>
      <c r="C5485" s="0" t="n">
        <v>11</v>
      </c>
      <c r="D5485" s="0" t="s">
        <v>2471</v>
      </c>
      <c r="E5485" s="0" t="n">
        <v>1705</v>
      </c>
      <c r="F5485" s="0" t="s">
        <v>130</v>
      </c>
      <c r="I5485" s="0" t="n">
        <v>1973888</v>
      </c>
      <c r="J5485" s="0" t="n">
        <v>21425</v>
      </c>
      <c r="K5485" s="0" t="n">
        <v>7894900034219</v>
      </c>
      <c r="L5485" s="0" t="s">
        <v>2469</v>
      </c>
      <c r="N5485" s="0" t="n">
        <v>9</v>
      </c>
      <c r="O5485" s="0" t="n">
        <v>52.56</v>
      </c>
      <c r="P5485" s="0" t="s">
        <v>2444</v>
      </c>
    </row>
    <row r="5486" customFormat="false" ht="15" hidden="false" customHeight="true" outlineLevel="0" collapsed="false">
      <c r="A5486" s="0" t="n">
        <v>2</v>
      </c>
      <c r="B5486" s="71" t="n">
        <v>46241</v>
      </c>
      <c r="C5486" s="0" t="n">
        <v>11</v>
      </c>
      <c r="D5486" s="0" t="s">
        <v>2471</v>
      </c>
      <c r="E5486" s="0" t="n">
        <v>1705</v>
      </c>
      <c r="F5486" s="0" t="s">
        <v>130</v>
      </c>
      <c r="I5486" s="0" t="n">
        <v>1973888</v>
      </c>
      <c r="J5486" s="0" t="n">
        <v>21426</v>
      </c>
      <c r="K5486" s="0" t="n">
        <v>7894900014211</v>
      </c>
      <c r="L5486" s="0" t="s">
        <v>2470</v>
      </c>
      <c r="N5486" s="0" t="n">
        <v>36</v>
      </c>
      <c r="O5486" s="0" t="n">
        <v>241.39</v>
      </c>
      <c r="P5486" s="0" t="s">
        <v>2444</v>
      </c>
    </row>
    <row r="5487" customFormat="false" ht="15" hidden="false" customHeight="true" outlineLevel="0" collapsed="false">
      <c r="A5487" s="0" t="n">
        <v>2</v>
      </c>
      <c r="B5487" s="71" t="n">
        <v>46241</v>
      </c>
      <c r="C5487" s="0" t="n">
        <v>11</v>
      </c>
      <c r="D5487" s="0" t="s">
        <v>2471</v>
      </c>
      <c r="E5487" s="0" t="n">
        <v>1705</v>
      </c>
      <c r="F5487" s="0" t="s">
        <v>130</v>
      </c>
      <c r="I5487" s="0" t="n">
        <v>1973888</v>
      </c>
      <c r="J5487" s="0" t="n">
        <v>22893</v>
      </c>
      <c r="K5487" s="0" t="n">
        <v>7894900550061</v>
      </c>
      <c r="L5487" s="0" t="s">
        <v>3885</v>
      </c>
      <c r="N5487" s="0" t="n">
        <v>6</v>
      </c>
      <c r="O5487" s="0" t="n">
        <v>43.22</v>
      </c>
      <c r="P5487" s="0" t="s">
        <v>2444</v>
      </c>
    </row>
    <row r="5488" customFormat="false" ht="15" hidden="false" customHeight="true" outlineLevel="0" collapsed="false">
      <c r="A5488" s="0" t="n">
        <v>2</v>
      </c>
      <c r="B5488" s="71" t="n">
        <v>46241</v>
      </c>
      <c r="C5488" s="0" t="n">
        <v>11</v>
      </c>
      <c r="D5488" s="0" t="s">
        <v>2471</v>
      </c>
      <c r="E5488" s="0" t="n">
        <v>1705</v>
      </c>
      <c r="F5488" s="0" t="s">
        <v>130</v>
      </c>
      <c r="I5488" s="0" t="n">
        <v>1973888</v>
      </c>
      <c r="J5488" s="0" t="n">
        <v>27643</v>
      </c>
      <c r="K5488" s="0" t="n">
        <v>7894900031713</v>
      </c>
      <c r="L5488" s="0" t="s">
        <v>4351</v>
      </c>
      <c r="N5488" s="0" t="n">
        <v>24</v>
      </c>
      <c r="O5488" s="0" t="n">
        <v>114.77</v>
      </c>
      <c r="P5488" s="0" t="s">
        <v>2444</v>
      </c>
    </row>
    <row r="5489" customFormat="false" ht="15" hidden="false" customHeight="true" outlineLevel="0" collapsed="false">
      <c r="A5489" s="0" t="n">
        <v>2</v>
      </c>
      <c r="B5489" s="71" t="n">
        <v>46241</v>
      </c>
      <c r="C5489" s="0" t="n">
        <v>11</v>
      </c>
      <c r="D5489" s="0" t="s">
        <v>2471</v>
      </c>
      <c r="E5489" s="0" t="n">
        <v>1705</v>
      </c>
      <c r="F5489" s="0" t="s">
        <v>130</v>
      </c>
      <c r="I5489" s="0" t="n">
        <v>1973888</v>
      </c>
      <c r="J5489" s="0" t="n">
        <v>28739</v>
      </c>
      <c r="K5489" s="0" t="n">
        <v>7894900027044</v>
      </c>
      <c r="L5489" s="0" t="s">
        <v>2658</v>
      </c>
      <c r="N5489" s="0" t="n">
        <v>30</v>
      </c>
      <c r="O5489" s="0" t="n">
        <v>169.72</v>
      </c>
      <c r="P5489" s="0" t="s">
        <v>2444</v>
      </c>
    </row>
    <row r="5490" customFormat="false" ht="15" hidden="false" customHeight="true" outlineLevel="0" collapsed="false">
      <c r="A5490" s="0" t="n">
        <v>2</v>
      </c>
      <c r="B5490" s="71" t="n">
        <v>46241</v>
      </c>
      <c r="C5490" s="0" t="n">
        <v>11</v>
      </c>
      <c r="D5490" s="0" t="s">
        <v>2471</v>
      </c>
      <c r="E5490" s="0" t="n">
        <v>1705</v>
      </c>
      <c r="F5490" s="0" t="s">
        <v>130</v>
      </c>
      <c r="I5490" s="0" t="n">
        <v>1973888</v>
      </c>
      <c r="J5490" s="0" t="n">
        <v>29509</v>
      </c>
      <c r="K5490" s="0" t="n">
        <v>78933873</v>
      </c>
      <c r="L5490" s="0" t="s">
        <v>3258</v>
      </c>
      <c r="N5490" s="0" t="n">
        <v>12</v>
      </c>
      <c r="O5490" s="0" t="n">
        <v>22.59</v>
      </c>
      <c r="P5490" s="0" t="s">
        <v>2444</v>
      </c>
    </row>
    <row r="5491" customFormat="false" ht="15" hidden="false" customHeight="true" outlineLevel="0" collapsed="false">
      <c r="A5491" s="0" t="n">
        <v>2</v>
      </c>
      <c r="B5491" s="71" t="n">
        <v>46241</v>
      </c>
      <c r="C5491" s="0" t="n">
        <v>11</v>
      </c>
      <c r="D5491" s="0" t="s">
        <v>2471</v>
      </c>
      <c r="E5491" s="0" t="n">
        <v>1705</v>
      </c>
      <c r="F5491" s="0" t="s">
        <v>130</v>
      </c>
      <c r="I5491" s="0" t="n">
        <v>1973888</v>
      </c>
      <c r="J5491" s="0" t="n">
        <v>29826</v>
      </c>
      <c r="K5491" s="0" t="n">
        <v>7894900556032</v>
      </c>
      <c r="L5491" s="0" t="s">
        <v>2574</v>
      </c>
      <c r="N5491" s="0" t="n">
        <v>6</v>
      </c>
      <c r="O5491" s="0" t="n">
        <v>36.45</v>
      </c>
      <c r="P5491" s="0" t="s">
        <v>2444</v>
      </c>
    </row>
    <row r="5492" customFormat="false" ht="15" hidden="false" customHeight="true" outlineLevel="0" collapsed="false">
      <c r="A5492" s="0" t="n">
        <v>2</v>
      </c>
      <c r="B5492" s="71" t="n">
        <v>46241</v>
      </c>
      <c r="C5492" s="0" t="n">
        <v>11</v>
      </c>
      <c r="D5492" s="0" t="s">
        <v>2471</v>
      </c>
      <c r="E5492" s="0" t="n">
        <v>1705</v>
      </c>
      <c r="F5492" s="0" t="s">
        <v>130</v>
      </c>
      <c r="I5492" s="0" t="n">
        <v>1973888</v>
      </c>
      <c r="J5492" s="0" t="n">
        <v>30017</v>
      </c>
      <c r="K5492" s="0" t="n">
        <v>7894900680508</v>
      </c>
      <c r="L5492" s="0" t="s">
        <v>3589</v>
      </c>
      <c r="N5492" s="0" t="n">
        <v>24</v>
      </c>
      <c r="O5492" s="0" t="n">
        <v>84.25</v>
      </c>
      <c r="P5492" s="0" t="s">
        <v>2444</v>
      </c>
    </row>
    <row r="5493" customFormat="false" ht="15" hidden="false" customHeight="true" outlineLevel="0" collapsed="false">
      <c r="A5493" s="0" t="n">
        <v>2</v>
      </c>
      <c r="B5493" s="71" t="n">
        <v>46241</v>
      </c>
      <c r="C5493" s="0" t="n">
        <v>11</v>
      </c>
      <c r="D5493" s="0" t="s">
        <v>2471</v>
      </c>
      <c r="E5493" s="0" t="n">
        <v>1705</v>
      </c>
      <c r="F5493" s="0" t="s">
        <v>130</v>
      </c>
      <c r="I5493" s="0" t="n">
        <v>1973888</v>
      </c>
      <c r="J5493" s="0" t="n">
        <v>30085</v>
      </c>
      <c r="K5493" s="0" t="n">
        <v>7894900054217</v>
      </c>
      <c r="L5493" s="0" t="s">
        <v>3588</v>
      </c>
      <c r="N5493" s="0" t="n">
        <v>9</v>
      </c>
      <c r="O5493" s="0" t="n">
        <v>52.56</v>
      </c>
      <c r="P5493" s="0" t="s">
        <v>2444</v>
      </c>
    </row>
    <row r="5494" customFormat="false" ht="15" hidden="false" customHeight="true" outlineLevel="0" collapsed="false">
      <c r="A5494" s="0" t="n">
        <v>2</v>
      </c>
      <c r="B5494" s="71" t="n">
        <v>46241</v>
      </c>
      <c r="C5494" s="0" t="n">
        <v>11</v>
      </c>
      <c r="D5494" s="0" t="s">
        <v>2471</v>
      </c>
      <c r="E5494" s="0" t="n">
        <v>1705</v>
      </c>
      <c r="F5494" s="0" t="s">
        <v>130</v>
      </c>
      <c r="I5494" s="0" t="n">
        <v>1973888</v>
      </c>
      <c r="J5494" s="0" t="n">
        <v>31367</v>
      </c>
      <c r="K5494" s="0" t="n">
        <v>7894900704211</v>
      </c>
      <c r="L5494" s="0" t="s">
        <v>3258</v>
      </c>
      <c r="N5494" s="0" t="n">
        <v>9</v>
      </c>
      <c r="O5494" s="0" t="n">
        <v>52.56</v>
      </c>
      <c r="P5494" s="0" t="s">
        <v>2444</v>
      </c>
    </row>
    <row r="5495" customFormat="false" ht="15" hidden="false" customHeight="true" outlineLevel="0" collapsed="false">
      <c r="A5495" s="0" t="n">
        <v>2</v>
      </c>
      <c r="B5495" s="71" t="n">
        <v>46241</v>
      </c>
      <c r="C5495" s="0" t="n">
        <v>11</v>
      </c>
      <c r="D5495" s="0" t="s">
        <v>2471</v>
      </c>
      <c r="E5495" s="0" t="n">
        <v>1705</v>
      </c>
      <c r="F5495" s="0" t="s">
        <v>130</v>
      </c>
      <c r="I5495" s="0" t="n">
        <v>1973888</v>
      </c>
      <c r="J5495" s="0" t="n">
        <v>31767</v>
      </c>
      <c r="K5495" s="0" t="n">
        <v>7897105250095</v>
      </c>
      <c r="L5495" s="0" t="s">
        <v>3888</v>
      </c>
      <c r="N5495" s="0" t="n">
        <v>9</v>
      </c>
      <c r="O5495" s="0" t="n">
        <v>33.52</v>
      </c>
      <c r="P5495" s="0" t="s">
        <v>2444</v>
      </c>
    </row>
    <row r="5496" customFormat="false" ht="15" hidden="false" customHeight="true" outlineLevel="0" collapsed="false">
      <c r="A5496" s="0" t="n">
        <v>2</v>
      </c>
      <c r="B5496" s="71" t="n">
        <v>46241</v>
      </c>
      <c r="C5496" s="0" t="n">
        <v>11</v>
      </c>
      <c r="D5496" s="0" t="s">
        <v>2471</v>
      </c>
      <c r="E5496" s="0" t="n">
        <v>1705</v>
      </c>
      <c r="F5496" s="0" t="s">
        <v>130</v>
      </c>
      <c r="I5496" s="0" t="n">
        <v>1973888</v>
      </c>
      <c r="J5496" s="0" t="n">
        <v>32339</v>
      </c>
      <c r="K5496" s="0" t="n">
        <v>7894900681000</v>
      </c>
      <c r="L5496" s="0" t="s">
        <v>2996</v>
      </c>
      <c r="N5496" s="0" t="n">
        <v>12</v>
      </c>
      <c r="O5496" s="0" t="n">
        <v>89.99</v>
      </c>
      <c r="P5496" s="0" t="s">
        <v>2444</v>
      </c>
    </row>
    <row r="5497" customFormat="false" ht="15" hidden="false" customHeight="true" outlineLevel="0" collapsed="false">
      <c r="A5497" s="0" t="n">
        <v>2</v>
      </c>
      <c r="B5497" s="71" t="n">
        <v>46241</v>
      </c>
      <c r="C5497" s="0" t="n">
        <v>11</v>
      </c>
      <c r="D5497" s="0" t="s">
        <v>2471</v>
      </c>
      <c r="E5497" s="0" t="n">
        <v>1705</v>
      </c>
      <c r="F5497" s="0" t="s">
        <v>130</v>
      </c>
      <c r="I5497" s="0" t="n">
        <v>1973888</v>
      </c>
      <c r="J5497" s="0" t="n">
        <v>34629</v>
      </c>
      <c r="K5497" s="0" t="n">
        <v>7894900027020</v>
      </c>
      <c r="L5497" s="0" t="s">
        <v>2478</v>
      </c>
      <c r="N5497" s="0" t="n">
        <v>30</v>
      </c>
      <c r="O5497" s="0" t="n">
        <v>297.92</v>
      </c>
      <c r="P5497" s="0" t="s">
        <v>2444</v>
      </c>
    </row>
    <row r="5498" customFormat="false" ht="15" hidden="false" customHeight="true" outlineLevel="0" collapsed="false">
      <c r="A5498" s="0" t="n">
        <v>2</v>
      </c>
      <c r="B5498" s="71" t="n">
        <v>46241</v>
      </c>
      <c r="C5498" s="0" t="n">
        <v>11</v>
      </c>
      <c r="D5498" s="0" t="s">
        <v>2471</v>
      </c>
      <c r="E5498" s="0" t="n">
        <v>1705</v>
      </c>
      <c r="F5498" s="0" t="s">
        <v>130</v>
      </c>
      <c r="I5498" s="0" t="n">
        <v>1973888</v>
      </c>
      <c r="J5498" s="0" t="n">
        <v>35357</v>
      </c>
      <c r="K5498" s="0" t="n">
        <v>7894900681017</v>
      </c>
      <c r="L5498" s="0" t="s">
        <v>2564</v>
      </c>
      <c r="N5498" s="0" t="n">
        <v>24</v>
      </c>
      <c r="O5498" s="0" t="n">
        <v>68.62</v>
      </c>
      <c r="P5498" s="0" t="s">
        <v>2444</v>
      </c>
    </row>
    <row r="5499" customFormat="false" ht="15" hidden="false" customHeight="true" outlineLevel="0" collapsed="false">
      <c r="A5499" s="0" t="n">
        <v>2</v>
      </c>
      <c r="B5499" s="71" t="n">
        <v>46241</v>
      </c>
      <c r="C5499" s="0" t="n">
        <v>11</v>
      </c>
      <c r="D5499" s="0" t="s">
        <v>2471</v>
      </c>
      <c r="E5499" s="0" t="n">
        <v>1705</v>
      </c>
      <c r="F5499" s="0" t="s">
        <v>130</v>
      </c>
      <c r="I5499" s="0" t="n">
        <v>1973888</v>
      </c>
      <c r="J5499" s="0" t="n">
        <v>38060</v>
      </c>
      <c r="K5499" s="0" t="n">
        <v>7894900701609</v>
      </c>
      <c r="L5499" s="0" t="s">
        <v>2576</v>
      </c>
      <c r="N5499" s="0" t="n">
        <v>24</v>
      </c>
      <c r="O5499" s="0" t="n">
        <v>88.16</v>
      </c>
      <c r="P5499" s="0" t="s">
        <v>2444</v>
      </c>
    </row>
    <row r="5500" customFormat="false" ht="15" hidden="false" customHeight="true" outlineLevel="0" collapsed="false">
      <c r="A5500" s="0" t="n">
        <v>2</v>
      </c>
      <c r="B5500" s="71" t="n">
        <v>46241</v>
      </c>
      <c r="C5500" s="0" t="n">
        <v>11</v>
      </c>
      <c r="D5500" s="0" t="s">
        <v>2471</v>
      </c>
      <c r="E5500" s="0" t="n">
        <v>1705</v>
      </c>
      <c r="F5500" s="0" t="s">
        <v>130</v>
      </c>
      <c r="I5500" s="0" t="n">
        <v>1973888</v>
      </c>
      <c r="J5500" s="0" t="n">
        <v>38984</v>
      </c>
      <c r="K5500" s="0" t="n">
        <v>7894900027457</v>
      </c>
      <c r="L5500" s="0" t="s">
        <v>3554</v>
      </c>
      <c r="N5500" s="0" t="n">
        <v>12</v>
      </c>
      <c r="O5500" s="0" t="n">
        <v>54.58</v>
      </c>
      <c r="P5500" s="0" t="s">
        <v>2444</v>
      </c>
    </row>
    <row r="5501" customFormat="false" ht="15" hidden="false" customHeight="true" outlineLevel="0" collapsed="false">
      <c r="A5501" s="0" t="n">
        <v>2</v>
      </c>
      <c r="B5501" s="71" t="n">
        <v>46241</v>
      </c>
      <c r="C5501" s="0" t="n">
        <v>11</v>
      </c>
      <c r="D5501" s="0" t="s">
        <v>2471</v>
      </c>
      <c r="E5501" s="0" t="n">
        <v>1705</v>
      </c>
      <c r="F5501" s="0" t="s">
        <v>130</v>
      </c>
      <c r="I5501" s="0" t="n">
        <v>1973888</v>
      </c>
      <c r="J5501" s="0" t="n">
        <v>41322</v>
      </c>
      <c r="K5501" s="0" t="n">
        <v>7897105200076</v>
      </c>
      <c r="L5501" s="0" t="s">
        <v>2661</v>
      </c>
      <c r="N5501" s="0" t="n">
        <v>30</v>
      </c>
      <c r="O5501" s="0" t="n">
        <v>102.26</v>
      </c>
      <c r="P5501" s="0" t="s">
        <v>2444</v>
      </c>
    </row>
    <row r="5502" customFormat="false" ht="15" hidden="false" customHeight="true" outlineLevel="0" collapsed="false">
      <c r="A5502" s="0" t="n">
        <v>2</v>
      </c>
      <c r="B5502" s="71" t="n">
        <v>46241</v>
      </c>
      <c r="C5502" s="0" t="n">
        <v>11</v>
      </c>
      <c r="D5502" s="0" t="s">
        <v>2471</v>
      </c>
      <c r="E5502" s="0" t="n">
        <v>1705</v>
      </c>
      <c r="F5502" s="0" t="s">
        <v>130</v>
      </c>
      <c r="I5502" s="0" t="n">
        <v>1973888</v>
      </c>
      <c r="J5502" s="0" t="n">
        <v>47954</v>
      </c>
      <c r="K5502" s="0" t="n">
        <v>7894900666519</v>
      </c>
      <c r="L5502" s="0" t="s">
        <v>2577</v>
      </c>
      <c r="N5502" s="0" t="n">
        <v>6</v>
      </c>
      <c r="O5502" s="0" t="n">
        <v>36.45</v>
      </c>
      <c r="P5502" s="0" t="s">
        <v>2444</v>
      </c>
    </row>
    <row r="5503" customFormat="false" ht="15" hidden="false" customHeight="true" outlineLevel="0" collapsed="false">
      <c r="A5503" s="0" t="n">
        <v>2</v>
      </c>
      <c r="B5503" s="71" t="n">
        <v>46241</v>
      </c>
      <c r="C5503" s="0" t="n">
        <v>22</v>
      </c>
      <c r="D5503" s="0" t="s">
        <v>2479</v>
      </c>
      <c r="E5503" s="0" t="n">
        <v>48</v>
      </c>
      <c r="F5503" s="0" t="s">
        <v>153</v>
      </c>
      <c r="I5503" s="0" t="n">
        <v>2593</v>
      </c>
      <c r="J5503" s="0" t="n">
        <v>100000</v>
      </c>
      <c r="K5503" s="0" t="n">
        <v>1</v>
      </c>
      <c r="L5503" s="0" t="s">
        <v>2480</v>
      </c>
      <c r="N5503" s="0" t="n">
        <v>4.268</v>
      </c>
      <c r="O5503" s="0" t="n">
        <v>82.14</v>
      </c>
      <c r="P5503" s="0" t="s">
        <v>2444</v>
      </c>
    </row>
    <row r="5504" customFormat="false" ht="15" hidden="false" customHeight="true" outlineLevel="0" collapsed="false">
      <c r="A5504" s="0" t="n">
        <v>2</v>
      </c>
      <c r="B5504" s="71" t="n">
        <v>46241</v>
      </c>
      <c r="C5504" s="0" t="n">
        <v>22</v>
      </c>
      <c r="D5504" s="0" t="s">
        <v>2479</v>
      </c>
      <c r="E5504" s="0" t="n">
        <v>48</v>
      </c>
      <c r="F5504" s="0" t="s">
        <v>153</v>
      </c>
      <c r="I5504" s="0" t="n">
        <v>2593</v>
      </c>
      <c r="J5504" s="0" t="n">
        <v>100000</v>
      </c>
      <c r="K5504" s="0" t="n">
        <v>1</v>
      </c>
      <c r="L5504" s="0" t="s">
        <v>2480</v>
      </c>
      <c r="N5504" s="0" t="n">
        <v>3.256</v>
      </c>
      <c r="O5504" s="0" t="n">
        <v>66.13</v>
      </c>
      <c r="P5504" s="0" t="s">
        <v>2444</v>
      </c>
    </row>
    <row r="5505" customFormat="false" ht="15" hidden="false" customHeight="true" outlineLevel="0" collapsed="false">
      <c r="A5505" s="0" t="n">
        <v>2</v>
      </c>
      <c r="B5505" s="71" t="n">
        <v>46241</v>
      </c>
      <c r="C5505" s="0" t="n">
        <v>22</v>
      </c>
      <c r="D5505" s="0" t="s">
        <v>2479</v>
      </c>
      <c r="E5505" s="0" t="n">
        <v>48</v>
      </c>
      <c r="F5505" s="0" t="s">
        <v>153</v>
      </c>
      <c r="I5505" s="0" t="n">
        <v>2593</v>
      </c>
      <c r="J5505" s="0" t="n">
        <v>100001</v>
      </c>
      <c r="K5505" s="0" t="n">
        <v>2</v>
      </c>
      <c r="L5505" s="0" t="s">
        <v>2481</v>
      </c>
      <c r="N5505" s="0" t="n">
        <v>11.895</v>
      </c>
      <c r="O5505" s="0" t="n">
        <v>248.01</v>
      </c>
      <c r="P5505" s="0" t="s">
        <v>2444</v>
      </c>
    </row>
    <row r="5506" customFormat="false" ht="15" hidden="false" customHeight="true" outlineLevel="0" collapsed="false">
      <c r="A5506" s="0" t="n">
        <v>2</v>
      </c>
      <c r="B5506" s="71" t="n">
        <v>46241</v>
      </c>
      <c r="C5506" s="0" t="n">
        <v>22</v>
      </c>
      <c r="D5506" s="0" t="s">
        <v>2479</v>
      </c>
      <c r="E5506" s="0" t="n">
        <v>48</v>
      </c>
      <c r="F5506" s="0" t="s">
        <v>153</v>
      </c>
      <c r="I5506" s="0" t="n">
        <v>2593</v>
      </c>
      <c r="J5506" s="0" t="n">
        <v>100002</v>
      </c>
      <c r="K5506" s="0" t="n">
        <v>3</v>
      </c>
      <c r="L5506" s="0" t="s">
        <v>2482</v>
      </c>
      <c r="N5506" s="0" t="n">
        <v>30.47</v>
      </c>
      <c r="O5506" s="0" t="n">
        <v>733.08</v>
      </c>
      <c r="P5506" s="0" t="s">
        <v>2444</v>
      </c>
    </row>
    <row r="5507" customFormat="false" ht="15" hidden="false" customHeight="true" outlineLevel="0" collapsed="false">
      <c r="A5507" s="0" t="n">
        <v>2</v>
      </c>
      <c r="B5507" s="71" t="n">
        <v>46241</v>
      </c>
      <c r="C5507" s="0" t="n">
        <v>22</v>
      </c>
      <c r="D5507" s="0" t="s">
        <v>2479</v>
      </c>
      <c r="E5507" s="0" t="n">
        <v>48</v>
      </c>
      <c r="F5507" s="0" t="s">
        <v>153</v>
      </c>
      <c r="I5507" s="0" t="n">
        <v>2593</v>
      </c>
      <c r="J5507" s="0" t="n">
        <v>100003</v>
      </c>
      <c r="K5507" s="0" t="n">
        <v>4</v>
      </c>
      <c r="L5507" s="0" t="s">
        <v>2483</v>
      </c>
      <c r="N5507" s="0" t="n">
        <v>22.73</v>
      </c>
      <c r="O5507" s="0" t="n">
        <v>583.34</v>
      </c>
      <c r="P5507" s="0" t="s">
        <v>2444</v>
      </c>
    </row>
    <row r="5508" customFormat="false" ht="15" hidden="false" customHeight="true" outlineLevel="0" collapsed="false">
      <c r="A5508" s="0" t="n">
        <v>2</v>
      </c>
      <c r="B5508" s="71" t="n">
        <v>46241</v>
      </c>
      <c r="C5508" s="0" t="n">
        <v>22</v>
      </c>
      <c r="D5508" s="0" t="s">
        <v>2479</v>
      </c>
      <c r="E5508" s="0" t="n">
        <v>48</v>
      </c>
      <c r="F5508" s="0" t="s">
        <v>153</v>
      </c>
      <c r="I5508" s="0" t="n">
        <v>2593</v>
      </c>
      <c r="J5508" s="0" t="n">
        <v>100004</v>
      </c>
      <c r="K5508" s="0" t="n">
        <v>5</v>
      </c>
      <c r="L5508" s="0" t="s">
        <v>2484</v>
      </c>
      <c r="N5508" s="0" t="n">
        <v>2.106</v>
      </c>
      <c r="O5508" s="0" t="n">
        <v>47.29</v>
      </c>
      <c r="P5508" s="0" t="s">
        <v>2444</v>
      </c>
    </row>
    <row r="5509" customFormat="false" ht="15" hidden="false" customHeight="true" outlineLevel="0" collapsed="false">
      <c r="A5509" s="0" t="n">
        <v>2</v>
      </c>
      <c r="B5509" s="71" t="n">
        <v>46241</v>
      </c>
      <c r="C5509" s="0" t="n">
        <v>22</v>
      </c>
      <c r="D5509" s="0" t="s">
        <v>2479</v>
      </c>
      <c r="E5509" s="0" t="n">
        <v>48</v>
      </c>
      <c r="F5509" s="0" t="s">
        <v>153</v>
      </c>
      <c r="I5509" s="0" t="n">
        <v>2593</v>
      </c>
      <c r="J5509" s="0" t="n">
        <v>100005</v>
      </c>
      <c r="K5509" s="0" t="n">
        <v>6</v>
      </c>
      <c r="L5509" s="0" t="s">
        <v>2582</v>
      </c>
      <c r="N5509" s="0" t="n">
        <v>3.578</v>
      </c>
      <c r="O5509" s="0" t="n">
        <v>86.08</v>
      </c>
      <c r="P5509" s="0" t="s">
        <v>2444</v>
      </c>
    </row>
    <row r="5510" customFormat="false" ht="15" hidden="false" customHeight="true" outlineLevel="0" collapsed="false">
      <c r="A5510" s="0" t="n">
        <v>2</v>
      </c>
      <c r="B5510" s="71" t="n">
        <v>46241</v>
      </c>
      <c r="C5510" s="0" t="n">
        <v>22</v>
      </c>
      <c r="D5510" s="0" t="s">
        <v>2479</v>
      </c>
      <c r="E5510" s="0" t="n">
        <v>48</v>
      </c>
      <c r="F5510" s="0" t="s">
        <v>153</v>
      </c>
      <c r="I5510" s="0" t="n">
        <v>2593</v>
      </c>
      <c r="J5510" s="0" t="n">
        <v>100006</v>
      </c>
      <c r="K5510" s="0" t="n">
        <v>7</v>
      </c>
      <c r="L5510" s="0" t="s">
        <v>2485</v>
      </c>
      <c r="N5510" s="0" t="n">
        <v>2.648</v>
      </c>
      <c r="O5510" s="0" t="n">
        <v>76.2</v>
      </c>
      <c r="P5510" s="0" t="s">
        <v>2444</v>
      </c>
    </row>
    <row r="5511" customFormat="false" ht="15" hidden="false" customHeight="true" outlineLevel="0" collapsed="false">
      <c r="A5511" s="0" t="n">
        <v>2</v>
      </c>
      <c r="B5511" s="71" t="n">
        <v>46241</v>
      </c>
      <c r="C5511" s="0" t="n">
        <v>22</v>
      </c>
      <c r="D5511" s="0" t="s">
        <v>2479</v>
      </c>
      <c r="E5511" s="0" t="n">
        <v>48</v>
      </c>
      <c r="F5511" s="0" t="s">
        <v>153</v>
      </c>
      <c r="I5511" s="0" t="n">
        <v>2593</v>
      </c>
      <c r="J5511" s="0" t="n">
        <v>100007</v>
      </c>
      <c r="K5511" s="0" t="n">
        <v>8</v>
      </c>
      <c r="L5511" s="0" t="s">
        <v>2486</v>
      </c>
      <c r="N5511" s="0" t="n">
        <v>2.104</v>
      </c>
      <c r="O5511" s="0" t="n">
        <v>50.62</v>
      </c>
      <c r="P5511" s="0" t="s">
        <v>2444</v>
      </c>
    </row>
    <row r="5512" customFormat="false" ht="15" hidden="false" customHeight="true" outlineLevel="0" collapsed="false">
      <c r="A5512" s="0" t="n">
        <v>2</v>
      </c>
      <c r="B5512" s="71" t="n">
        <v>46241</v>
      </c>
      <c r="C5512" s="0" t="n">
        <v>22</v>
      </c>
      <c r="D5512" s="0" t="s">
        <v>2479</v>
      </c>
      <c r="E5512" s="0" t="n">
        <v>48</v>
      </c>
      <c r="F5512" s="0" t="s">
        <v>153</v>
      </c>
      <c r="I5512" s="0" t="n">
        <v>2593</v>
      </c>
      <c r="J5512" s="0" t="n">
        <v>100007</v>
      </c>
      <c r="K5512" s="0" t="n">
        <v>8</v>
      </c>
      <c r="L5512" s="0" t="s">
        <v>2486</v>
      </c>
      <c r="N5512" s="0" t="n">
        <v>1.688</v>
      </c>
      <c r="O5512" s="0" t="n">
        <v>42.86</v>
      </c>
      <c r="P5512" s="0" t="s">
        <v>2444</v>
      </c>
    </row>
    <row r="5513" customFormat="false" ht="15" hidden="false" customHeight="true" outlineLevel="0" collapsed="false">
      <c r="A5513" s="0" t="n">
        <v>2</v>
      </c>
      <c r="B5513" s="71" t="n">
        <v>46241</v>
      </c>
      <c r="C5513" s="0" t="n">
        <v>22</v>
      </c>
      <c r="D5513" s="0" t="s">
        <v>2479</v>
      </c>
      <c r="E5513" s="0" t="n">
        <v>48</v>
      </c>
      <c r="F5513" s="0" t="s">
        <v>153</v>
      </c>
      <c r="I5513" s="0" t="n">
        <v>2593</v>
      </c>
      <c r="J5513" s="0" t="n">
        <v>100008</v>
      </c>
      <c r="K5513" s="0" t="n">
        <v>9</v>
      </c>
      <c r="L5513" s="0" t="s">
        <v>2487</v>
      </c>
      <c r="N5513" s="0" t="n">
        <v>15.15</v>
      </c>
      <c r="O5513" s="0" t="n">
        <v>500.09</v>
      </c>
      <c r="P5513" s="0" t="s">
        <v>2444</v>
      </c>
    </row>
    <row r="5514" customFormat="false" ht="15" hidden="false" customHeight="true" outlineLevel="0" collapsed="false">
      <c r="A5514" s="0" t="n">
        <v>2</v>
      </c>
      <c r="B5514" s="71" t="n">
        <v>46241</v>
      </c>
      <c r="C5514" s="0" t="n">
        <v>22</v>
      </c>
      <c r="D5514" s="0" t="s">
        <v>2479</v>
      </c>
      <c r="E5514" s="0" t="n">
        <v>48</v>
      </c>
      <c r="F5514" s="0" t="s">
        <v>153</v>
      </c>
      <c r="I5514" s="0" t="n">
        <v>2593</v>
      </c>
      <c r="J5514" s="0" t="n">
        <v>100011</v>
      </c>
      <c r="K5514" s="0" t="n">
        <v>12</v>
      </c>
      <c r="L5514" s="0" t="s">
        <v>2488</v>
      </c>
      <c r="N5514" s="0" t="n">
        <v>8.545</v>
      </c>
      <c r="O5514" s="0" t="n">
        <v>325.47</v>
      </c>
      <c r="P5514" s="0" t="s">
        <v>2444</v>
      </c>
    </row>
    <row r="5515" customFormat="false" ht="15" hidden="false" customHeight="true" outlineLevel="0" collapsed="false">
      <c r="A5515" s="0" t="n">
        <v>2</v>
      </c>
      <c r="B5515" s="71" t="n">
        <v>46241</v>
      </c>
      <c r="C5515" s="0" t="n">
        <v>22</v>
      </c>
      <c r="D5515" s="0" t="s">
        <v>2479</v>
      </c>
      <c r="E5515" s="0" t="n">
        <v>48</v>
      </c>
      <c r="F5515" s="0" t="s">
        <v>153</v>
      </c>
      <c r="I5515" s="0" t="n">
        <v>2593</v>
      </c>
      <c r="J5515" s="0" t="n">
        <v>100012</v>
      </c>
      <c r="K5515" s="0" t="n">
        <v>13</v>
      </c>
      <c r="L5515" s="0" t="s">
        <v>2489</v>
      </c>
      <c r="N5515" s="0" t="n">
        <v>5.8</v>
      </c>
      <c r="O5515" s="0" t="n">
        <v>245.47</v>
      </c>
      <c r="P5515" s="0" t="s">
        <v>2444</v>
      </c>
    </row>
    <row r="5516" customFormat="false" ht="15" hidden="false" customHeight="true" outlineLevel="0" collapsed="false">
      <c r="A5516" s="0" t="n">
        <v>2</v>
      </c>
      <c r="B5516" s="71" t="n">
        <v>46241</v>
      </c>
      <c r="C5516" s="0" t="n">
        <v>22</v>
      </c>
      <c r="D5516" s="0" t="s">
        <v>2479</v>
      </c>
      <c r="E5516" s="0" t="n">
        <v>48</v>
      </c>
      <c r="F5516" s="0" t="s">
        <v>153</v>
      </c>
      <c r="I5516" s="0" t="n">
        <v>2593</v>
      </c>
      <c r="J5516" s="0" t="n">
        <v>100013</v>
      </c>
      <c r="K5516" s="0" t="n">
        <v>14</v>
      </c>
      <c r="L5516" s="0" t="s">
        <v>2490</v>
      </c>
      <c r="N5516" s="0" t="n">
        <v>9.925</v>
      </c>
      <c r="O5516" s="0" t="n">
        <v>445.26</v>
      </c>
      <c r="P5516" s="0" t="s">
        <v>2444</v>
      </c>
    </row>
    <row r="5517" customFormat="false" ht="15" hidden="false" customHeight="true" outlineLevel="0" collapsed="false">
      <c r="A5517" s="0" t="n">
        <v>2</v>
      </c>
      <c r="B5517" s="71" t="n">
        <v>46241</v>
      </c>
      <c r="C5517" s="0" t="n">
        <v>22</v>
      </c>
      <c r="D5517" s="0" t="s">
        <v>2479</v>
      </c>
      <c r="E5517" s="0" t="n">
        <v>48</v>
      </c>
      <c r="F5517" s="0" t="s">
        <v>153</v>
      </c>
      <c r="I5517" s="0" t="n">
        <v>2593</v>
      </c>
      <c r="J5517" s="0" t="n">
        <v>100014</v>
      </c>
      <c r="K5517" s="0" t="n">
        <v>15</v>
      </c>
      <c r="L5517" s="0" t="s">
        <v>2491</v>
      </c>
      <c r="N5517" s="0" t="n">
        <v>4.116</v>
      </c>
      <c r="O5517" s="0" t="n">
        <v>188.14</v>
      </c>
      <c r="P5517" s="0" t="s">
        <v>2444</v>
      </c>
    </row>
    <row r="5518" customFormat="false" ht="15" hidden="false" customHeight="true" outlineLevel="0" collapsed="false">
      <c r="A5518" s="0" t="n">
        <v>2</v>
      </c>
      <c r="B5518" s="71" t="n">
        <v>46241</v>
      </c>
      <c r="C5518" s="0" t="n">
        <v>22</v>
      </c>
      <c r="D5518" s="0" t="s">
        <v>2479</v>
      </c>
      <c r="E5518" s="0" t="n">
        <v>48</v>
      </c>
      <c r="F5518" s="0" t="s">
        <v>153</v>
      </c>
      <c r="I5518" s="0" t="n">
        <v>2593</v>
      </c>
      <c r="J5518" s="0" t="n">
        <v>100015</v>
      </c>
      <c r="K5518" s="0" t="n">
        <v>16</v>
      </c>
      <c r="L5518" s="0" t="s">
        <v>2492</v>
      </c>
      <c r="N5518" s="0" t="n">
        <v>1.36</v>
      </c>
      <c r="O5518" s="0" t="n">
        <v>55.26</v>
      </c>
      <c r="P5518" s="0" t="s">
        <v>2444</v>
      </c>
    </row>
    <row r="5519" customFormat="false" ht="15" hidden="false" customHeight="true" outlineLevel="0" collapsed="false">
      <c r="A5519" s="0" t="n">
        <v>2</v>
      </c>
      <c r="B5519" s="71" t="n">
        <v>46241</v>
      </c>
      <c r="C5519" s="0" t="n">
        <v>22</v>
      </c>
      <c r="D5519" s="0" t="s">
        <v>2479</v>
      </c>
      <c r="E5519" s="0" t="n">
        <v>48</v>
      </c>
      <c r="F5519" s="0" t="s">
        <v>153</v>
      </c>
      <c r="I5519" s="0" t="n">
        <v>2593</v>
      </c>
      <c r="J5519" s="0" t="n">
        <v>100016</v>
      </c>
      <c r="K5519" s="0" t="n">
        <v>17</v>
      </c>
      <c r="L5519" s="0" t="s">
        <v>2493</v>
      </c>
      <c r="N5519" s="0" t="n">
        <v>2.306</v>
      </c>
      <c r="O5519" s="0" t="n">
        <v>136.64</v>
      </c>
      <c r="P5519" s="0" t="s">
        <v>2444</v>
      </c>
    </row>
    <row r="5520" customFormat="false" ht="15" hidden="false" customHeight="true" outlineLevel="0" collapsed="false">
      <c r="A5520" s="0" t="n">
        <v>2</v>
      </c>
      <c r="B5520" s="71" t="n">
        <v>46241</v>
      </c>
      <c r="C5520" s="0" t="n">
        <v>22</v>
      </c>
      <c r="D5520" s="0" t="s">
        <v>2479</v>
      </c>
      <c r="E5520" s="0" t="n">
        <v>48</v>
      </c>
      <c r="F5520" s="0" t="s">
        <v>153</v>
      </c>
      <c r="I5520" s="0" t="n">
        <v>2593</v>
      </c>
      <c r="J5520" s="0" t="n">
        <v>100017</v>
      </c>
      <c r="K5520" s="0" t="n">
        <v>18</v>
      </c>
      <c r="L5520" s="0" t="s">
        <v>2494</v>
      </c>
      <c r="N5520" s="0" t="n">
        <v>1.538</v>
      </c>
      <c r="O5520" s="0" t="n">
        <v>91.13</v>
      </c>
      <c r="P5520" s="0" t="s">
        <v>2444</v>
      </c>
    </row>
    <row r="5521" customFormat="false" ht="15" hidden="false" customHeight="true" outlineLevel="0" collapsed="false">
      <c r="A5521" s="0" t="n">
        <v>2</v>
      </c>
      <c r="B5521" s="71" t="n">
        <v>46241</v>
      </c>
      <c r="C5521" s="0" t="n">
        <v>22</v>
      </c>
      <c r="D5521" s="0" t="s">
        <v>2479</v>
      </c>
      <c r="E5521" s="0" t="n">
        <v>48</v>
      </c>
      <c r="F5521" s="0" t="s">
        <v>153</v>
      </c>
      <c r="I5521" s="0" t="n">
        <v>2593</v>
      </c>
      <c r="J5521" s="0" t="n">
        <v>100053</v>
      </c>
      <c r="K5521" s="0" t="n">
        <v>54</v>
      </c>
      <c r="L5521" s="0" t="s">
        <v>2495</v>
      </c>
      <c r="N5521" s="0" t="n">
        <v>2.366</v>
      </c>
      <c r="O5521" s="0" t="n">
        <v>88.12</v>
      </c>
      <c r="P5521" s="0" t="s">
        <v>2444</v>
      </c>
    </row>
    <row r="5522" customFormat="false" ht="15" hidden="false" customHeight="true" outlineLevel="0" collapsed="false">
      <c r="A5522" s="0" t="n">
        <v>2</v>
      </c>
      <c r="B5522" s="71" t="n">
        <v>46241</v>
      </c>
      <c r="C5522" s="0" t="n">
        <v>22</v>
      </c>
      <c r="D5522" s="0" t="s">
        <v>2479</v>
      </c>
      <c r="E5522" s="0" t="n">
        <v>48</v>
      </c>
      <c r="F5522" s="0" t="s">
        <v>153</v>
      </c>
      <c r="I5522" s="0" t="n">
        <v>2593</v>
      </c>
      <c r="J5522" s="0" t="n">
        <v>100638</v>
      </c>
      <c r="K5522" s="0" t="n">
        <v>508</v>
      </c>
      <c r="L5522" s="0" t="s">
        <v>2496</v>
      </c>
      <c r="N5522" s="0" t="n">
        <v>1.658</v>
      </c>
      <c r="O5522" s="0" t="n">
        <v>4.2</v>
      </c>
      <c r="P5522" s="0" t="s">
        <v>2444</v>
      </c>
    </row>
    <row r="5523" customFormat="false" ht="15" hidden="false" customHeight="true" outlineLevel="0" collapsed="false">
      <c r="A5523" s="0" t="n">
        <v>2</v>
      </c>
      <c r="B5523" s="71" t="n">
        <v>46241</v>
      </c>
      <c r="C5523" s="0" t="n">
        <v>22</v>
      </c>
      <c r="D5523" s="0" t="s">
        <v>2479</v>
      </c>
      <c r="E5523" s="0" t="n">
        <v>48</v>
      </c>
      <c r="F5523" s="0" t="s">
        <v>153</v>
      </c>
      <c r="I5523" s="0" t="n">
        <v>2593</v>
      </c>
      <c r="J5523" s="0" t="n">
        <v>100638</v>
      </c>
      <c r="K5523" s="0" t="n">
        <v>508</v>
      </c>
      <c r="L5523" s="0" t="s">
        <v>2496</v>
      </c>
      <c r="N5523" s="0" t="n">
        <v>2</v>
      </c>
      <c r="O5523" s="0" t="n">
        <v>4.8</v>
      </c>
      <c r="P5523" s="0" t="s">
        <v>2444</v>
      </c>
    </row>
    <row r="5524" customFormat="false" ht="15" hidden="false" customHeight="true" outlineLevel="0" collapsed="false">
      <c r="A5524" s="0" t="n">
        <v>2</v>
      </c>
      <c r="B5524" s="71" t="n">
        <v>46241</v>
      </c>
      <c r="C5524" s="0" t="n">
        <v>22</v>
      </c>
      <c r="D5524" s="0" t="s">
        <v>2479</v>
      </c>
      <c r="E5524" s="0" t="n">
        <v>48</v>
      </c>
      <c r="F5524" s="0" t="s">
        <v>153</v>
      </c>
      <c r="I5524" s="0" t="n">
        <v>2593</v>
      </c>
      <c r="J5524" s="0" t="n">
        <v>100520</v>
      </c>
      <c r="K5524" s="0" t="n">
        <v>507</v>
      </c>
      <c r="L5524" s="0" t="s">
        <v>2497</v>
      </c>
      <c r="N5524" s="0" t="n">
        <v>10.365</v>
      </c>
      <c r="O5524" s="0" t="n">
        <v>26.24</v>
      </c>
      <c r="P5524" s="0" t="s">
        <v>2444</v>
      </c>
    </row>
    <row r="5525" customFormat="false" ht="15" hidden="false" customHeight="true" outlineLevel="0" collapsed="false">
      <c r="A5525" s="0" t="n">
        <v>2</v>
      </c>
      <c r="B5525" s="71" t="n">
        <v>46241</v>
      </c>
      <c r="C5525" s="0" t="n">
        <v>22</v>
      </c>
      <c r="D5525" s="0" t="s">
        <v>2479</v>
      </c>
      <c r="E5525" s="0" t="n">
        <v>48</v>
      </c>
      <c r="F5525" s="0" t="s">
        <v>153</v>
      </c>
      <c r="I5525" s="0" t="n">
        <v>2593</v>
      </c>
      <c r="J5525" s="0" t="n">
        <v>100520</v>
      </c>
      <c r="K5525" s="0" t="n">
        <v>507</v>
      </c>
      <c r="L5525" s="0" t="s">
        <v>2497</v>
      </c>
      <c r="N5525" s="0" t="n">
        <v>2.14</v>
      </c>
      <c r="O5525" s="0" t="n">
        <v>5.13</v>
      </c>
      <c r="P5525" s="0" t="s">
        <v>2444</v>
      </c>
    </row>
    <row r="5526" customFormat="false" ht="15" hidden="false" customHeight="true" outlineLevel="0" collapsed="false">
      <c r="A5526" s="0" t="n">
        <v>2</v>
      </c>
      <c r="B5526" s="71" t="n">
        <v>46241</v>
      </c>
      <c r="C5526" s="0" t="n">
        <v>22</v>
      </c>
      <c r="D5526" s="0" t="s">
        <v>2479</v>
      </c>
      <c r="E5526" s="0" t="n">
        <v>48</v>
      </c>
      <c r="F5526" s="0" t="s">
        <v>153</v>
      </c>
      <c r="I5526" s="0" t="n">
        <v>2593</v>
      </c>
      <c r="J5526" s="0" t="n">
        <v>110455</v>
      </c>
      <c r="K5526" s="0" t="n">
        <v>53212</v>
      </c>
      <c r="L5526" s="0" t="s">
        <v>2498</v>
      </c>
      <c r="N5526" s="0" t="n">
        <v>0.509</v>
      </c>
      <c r="O5526" s="0" t="n">
        <v>0.01</v>
      </c>
      <c r="P5526" s="0" t="s">
        <v>2444</v>
      </c>
    </row>
    <row r="5527" customFormat="false" ht="15" hidden="false" customHeight="true" outlineLevel="0" collapsed="false">
      <c r="A5527" s="0" t="n">
        <v>2</v>
      </c>
      <c r="B5527" s="71" t="n">
        <v>46241</v>
      </c>
      <c r="C5527" s="0" t="n">
        <v>22</v>
      </c>
      <c r="D5527" s="0" t="s">
        <v>2479</v>
      </c>
      <c r="E5527" s="0" t="n">
        <v>48</v>
      </c>
      <c r="F5527" s="0" t="s">
        <v>153</v>
      </c>
      <c r="I5527" s="0" t="n">
        <v>2593</v>
      </c>
      <c r="J5527" s="0" t="n">
        <v>110455</v>
      </c>
      <c r="K5527" s="0" t="n">
        <v>53212</v>
      </c>
      <c r="L5527" s="0" t="s">
        <v>2498</v>
      </c>
      <c r="N5527" s="0" t="n">
        <v>0.879</v>
      </c>
      <c r="O5527" s="0" t="n">
        <v>0</v>
      </c>
      <c r="P5527" s="0" t="s">
        <v>2444</v>
      </c>
    </row>
    <row r="5528" customFormat="false" ht="15" hidden="false" customHeight="true" outlineLevel="0" collapsed="false">
      <c r="A5528" s="0" t="n">
        <v>2</v>
      </c>
      <c r="B5528" s="71" t="n">
        <v>46241</v>
      </c>
      <c r="C5528" s="0" t="n">
        <v>45</v>
      </c>
      <c r="D5528" s="0" t="s">
        <v>4695</v>
      </c>
      <c r="E5528" s="0" t="n">
        <v>794</v>
      </c>
      <c r="F5528" s="0" t="s">
        <v>335</v>
      </c>
      <c r="I5528" s="0" t="n">
        <v>8583</v>
      </c>
      <c r="J5528" s="0" t="n">
        <v>65699</v>
      </c>
      <c r="K5528" s="0" t="n">
        <v>618231873159</v>
      </c>
      <c r="L5528" s="0" t="s">
        <v>3605</v>
      </c>
      <c r="N5528" s="0" t="n">
        <v>5</v>
      </c>
      <c r="O5528" s="0" t="n">
        <v>160</v>
      </c>
      <c r="P5528" s="0" t="s">
        <v>2444</v>
      </c>
    </row>
    <row r="5529" customFormat="false" ht="15" hidden="false" customHeight="true" outlineLevel="0" collapsed="false">
      <c r="A5529" s="0" t="n">
        <v>2</v>
      </c>
      <c r="B5529" s="71" t="n">
        <v>46241</v>
      </c>
      <c r="C5529" s="0" t="n">
        <v>45</v>
      </c>
      <c r="D5529" s="0" t="s">
        <v>4695</v>
      </c>
      <c r="E5529" s="0" t="n">
        <v>794</v>
      </c>
      <c r="F5529" s="0" t="s">
        <v>335</v>
      </c>
      <c r="I5529" s="0" t="n">
        <v>8583</v>
      </c>
      <c r="J5529" s="0" t="n">
        <v>67471</v>
      </c>
      <c r="K5529" s="0" t="n">
        <v>7898560800177</v>
      </c>
      <c r="L5529" s="0" t="s">
        <v>3607</v>
      </c>
      <c r="N5529" s="0" t="n">
        <v>80</v>
      </c>
      <c r="O5529" s="0" t="n">
        <v>636.4</v>
      </c>
      <c r="P5529" s="0" t="s">
        <v>2444</v>
      </c>
    </row>
    <row r="5530" customFormat="false" ht="15" hidden="false" customHeight="true" outlineLevel="0" collapsed="false">
      <c r="A5530" s="0" t="n">
        <v>2</v>
      </c>
      <c r="B5530" s="71" t="n">
        <v>46241</v>
      </c>
      <c r="C5530" s="0" t="n">
        <v>45</v>
      </c>
      <c r="D5530" s="0" t="s">
        <v>4695</v>
      </c>
      <c r="E5530" s="0" t="n">
        <v>794</v>
      </c>
      <c r="F5530" s="0" t="s">
        <v>335</v>
      </c>
      <c r="I5530" s="0" t="n">
        <v>8583</v>
      </c>
      <c r="J5530" s="0" t="n">
        <v>81562</v>
      </c>
      <c r="K5530" s="0" t="n">
        <v>7898541762784</v>
      </c>
      <c r="L5530" s="0" t="s">
        <v>4696</v>
      </c>
      <c r="N5530" s="0" t="n">
        <v>5</v>
      </c>
      <c r="O5530" s="0" t="n">
        <v>575</v>
      </c>
      <c r="P5530" s="0" t="s">
        <v>2444</v>
      </c>
    </row>
    <row r="5531" customFormat="false" ht="15" hidden="false" customHeight="true" outlineLevel="0" collapsed="false">
      <c r="A5531" s="0" t="n">
        <v>2</v>
      </c>
      <c r="B5531" s="71" t="n">
        <v>46241</v>
      </c>
      <c r="C5531" s="0" t="n">
        <v>45</v>
      </c>
      <c r="D5531" s="0" t="s">
        <v>4695</v>
      </c>
      <c r="E5531" s="0" t="n">
        <v>794</v>
      </c>
      <c r="F5531" s="0" t="s">
        <v>335</v>
      </c>
      <c r="I5531" s="0" t="n">
        <v>8583</v>
      </c>
      <c r="J5531" s="0" t="n">
        <v>82026</v>
      </c>
      <c r="K5531" s="0" t="n">
        <v>820271</v>
      </c>
      <c r="L5531" s="0" t="s">
        <v>4697</v>
      </c>
      <c r="N5531" s="0" t="n">
        <v>1</v>
      </c>
      <c r="O5531" s="0" t="n">
        <v>190</v>
      </c>
      <c r="P5531" s="0" t="s">
        <v>2444</v>
      </c>
    </row>
    <row r="5532" customFormat="false" ht="15" hidden="false" customHeight="true" outlineLevel="0" collapsed="false">
      <c r="A5532" s="0" t="n">
        <v>2</v>
      </c>
      <c r="B5532" s="71" t="n">
        <v>46241</v>
      </c>
      <c r="C5532" s="0" t="n">
        <v>100</v>
      </c>
      <c r="D5532" s="0" t="s">
        <v>2499</v>
      </c>
      <c r="E5532" s="0" t="n">
        <v>48</v>
      </c>
      <c r="F5532" s="0" t="s">
        <v>153</v>
      </c>
      <c r="I5532" s="0" t="n">
        <v>1514505</v>
      </c>
      <c r="J5532" s="0" t="n">
        <v>100000</v>
      </c>
      <c r="K5532" s="0" t="n">
        <v>1</v>
      </c>
      <c r="L5532" s="0" t="s">
        <v>2480</v>
      </c>
      <c r="N5532" s="0" t="n">
        <v>3.256</v>
      </c>
      <c r="O5532" s="0" t="n">
        <v>66.13</v>
      </c>
      <c r="P5532" s="0" t="s">
        <v>2444</v>
      </c>
    </row>
    <row r="5533" customFormat="false" ht="15" hidden="false" customHeight="true" outlineLevel="0" collapsed="false">
      <c r="A5533" s="0" t="n">
        <v>2</v>
      </c>
      <c r="B5533" s="71" t="n">
        <v>46241</v>
      </c>
      <c r="C5533" s="0" t="n">
        <v>100</v>
      </c>
      <c r="D5533" s="0" t="s">
        <v>2499</v>
      </c>
      <c r="E5533" s="0" t="n">
        <v>48</v>
      </c>
      <c r="F5533" s="0" t="s">
        <v>153</v>
      </c>
      <c r="I5533" s="0" t="n">
        <v>1514505</v>
      </c>
      <c r="J5533" s="0" t="n">
        <v>100006</v>
      </c>
      <c r="K5533" s="0" t="n">
        <v>7</v>
      </c>
      <c r="L5533" s="0" t="s">
        <v>2485</v>
      </c>
      <c r="N5533" s="0" t="n">
        <v>2.648</v>
      </c>
      <c r="O5533" s="0" t="n">
        <v>76.2</v>
      </c>
      <c r="P5533" s="0" t="s">
        <v>2444</v>
      </c>
    </row>
    <row r="5534" customFormat="false" ht="15" hidden="false" customHeight="true" outlineLevel="0" collapsed="false">
      <c r="A5534" s="0" t="n">
        <v>2</v>
      </c>
      <c r="B5534" s="71" t="n">
        <v>46241</v>
      </c>
      <c r="C5534" s="0" t="n">
        <v>100</v>
      </c>
      <c r="D5534" s="0" t="s">
        <v>2499</v>
      </c>
      <c r="E5534" s="0" t="n">
        <v>48</v>
      </c>
      <c r="F5534" s="0" t="s">
        <v>153</v>
      </c>
      <c r="I5534" s="0" t="n">
        <v>1514505</v>
      </c>
      <c r="J5534" s="0" t="n">
        <v>100007</v>
      </c>
      <c r="K5534" s="0" t="n">
        <v>8</v>
      </c>
      <c r="L5534" s="0" t="s">
        <v>2486</v>
      </c>
      <c r="N5534" s="0" t="n">
        <v>1.688</v>
      </c>
      <c r="O5534" s="0" t="n">
        <v>42.86</v>
      </c>
      <c r="P5534" s="0" t="s">
        <v>2444</v>
      </c>
    </row>
    <row r="5535" customFormat="false" ht="15" hidden="false" customHeight="true" outlineLevel="0" collapsed="false">
      <c r="A5535" s="0" t="n">
        <v>2</v>
      </c>
      <c r="B5535" s="71" t="n">
        <v>46241</v>
      </c>
      <c r="C5535" s="0" t="n">
        <v>100</v>
      </c>
      <c r="D5535" s="0" t="s">
        <v>2499</v>
      </c>
      <c r="E5535" s="0" t="n">
        <v>48</v>
      </c>
      <c r="F5535" s="0" t="s">
        <v>153</v>
      </c>
      <c r="I5535" s="0" t="n">
        <v>1514505</v>
      </c>
      <c r="J5535" s="0" t="n">
        <v>100008</v>
      </c>
      <c r="K5535" s="0" t="n">
        <v>9</v>
      </c>
      <c r="L5535" s="0" t="s">
        <v>2487</v>
      </c>
      <c r="N5535" s="0" t="n">
        <v>15.15</v>
      </c>
      <c r="O5535" s="0" t="n">
        <v>500.09</v>
      </c>
      <c r="P5535" s="0" t="s">
        <v>2444</v>
      </c>
    </row>
    <row r="5536" customFormat="false" ht="15" hidden="false" customHeight="true" outlineLevel="0" collapsed="false">
      <c r="A5536" s="0" t="n">
        <v>2</v>
      </c>
      <c r="B5536" s="71" t="n">
        <v>46241</v>
      </c>
      <c r="C5536" s="0" t="n">
        <v>100</v>
      </c>
      <c r="D5536" s="0" t="s">
        <v>2499</v>
      </c>
      <c r="E5536" s="0" t="n">
        <v>48</v>
      </c>
      <c r="F5536" s="0" t="s">
        <v>153</v>
      </c>
      <c r="I5536" s="0" t="n">
        <v>1514505</v>
      </c>
      <c r="J5536" s="0" t="n">
        <v>100011</v>
      </c>
      <c r="K5536" s="0" t="n">
        <v>12</v>
      </c>
      <c r="L5536" s="0" t="s">
        <v>2488</v>
      </c>
      <c r="N5536" s="0" t="n">
        <v>8.545</v>
      </c>
      <c r="O5536" s="0" t="n">
        <v>325.47</v>
      </c>
      <c r="P5536" s="0" t="s">
        <v>2444</v>
      </c>
    </row>
    <row r="5537" customFormat="false" ht="15" hidden="false" customHeight="true" outlineLevel="0" collapsed="false">
      <c r="A5537" s="0" t="n">
        <v>2</v>
      </c>
      <c r="B5537" s="71" t="n">
        <v>46241</v>
      </c>
      <c r="C5537" s="0" t="n">
        <v>100</v>
      </c>
      <c r="D5537" s="0" t="s">
        <v>2499</v>
      </c>
      <c r="E5537" s="0" t="n">
        <v>48</v>
      </c>
      <c r="F5537" s="0" t="s">
        <v>153</v>
      </c>
      <c r="I5537" s="0" t="n">
        <v>1514505</v>
      </c>
      <c r="J5537" s="0" t="n">
        <v>100012</v>
      </c>
      <c r="K5537" s="0" t="n">
        <v>13</v>
      </c>
      <c r="L5537" s="0" t="s">
        <v>2489</v>
      </c>
      <c r="N5537" s="0" t="n">
        <v>5.8</v>
      </c>
      <c r="O5537" s="0" t="n">
        <v>245.47</v>
      </c>
      <c r="P5537" s="0" t="s">
        <v>2444</v>
      </c>
    </row>
    <row r="5538" customFormat="false" ht="15" hidden="false" customHeight="true" outlineLevel="0" collapsed="false">
      <c r="A5538" s="0" t="n">
        <v>2</v>
      </c>
      <c r="B5538" s="71" t="n">
        <v>46241</v>
      </c>
      <c r="C5538" s="0" t="n">
        <v>100</v>
      </c>
      <c r="D5538" s="0" t="s">
        <v>2499</v>
      </c>
      <c r="E5538" s="0" t="n">
        <v>48</v>
      </c>
      <c r="F5538" s="0" t="s">
        <v>153</v>
      </c>
      <c r="I5538" s="0" t="n">
        <v>1514505</v>
      </c>
      <c r="J5538" s="0" t="n">
        <v>100013</v>
      </c>
      <c r="K5538" s="0" t="n">
        <v>14</v>
      </c>
      <c r="L5538" s="0" t="s">
        <v>2490</v>
      </c>
      <c r="N5538" s="0" t="n">
        <v>9.925</v>
      </c>
      <c r="O5538" s="0" t="n">
        <v>445.26</v>
      </c>
      <c r="P5538" s="0" t="s">
        <v>2444</v>
      </c>
    </row>
    <row r="5539" customFormat="false" ht="15" hidden="false" customHeight="true" outlineLevel="0" collapsed="false">
      <c r="A5539" s="0" t="n">
        <v>2</v>
      </c>
      <c r="B5539" s="71" t="n">
        <v>46241</v>
      </c>
      <c r="C5539" s="0" t="n">
        <v>100</v>
      </c>
      <c r="D5539" s="0" t="s">
        <v>2499</v>
      </c>
      <c r="E5539" s="0" t="n">
        <v>48</v>
      </c>
      <c r="F5539" s="0" t="s">
        <v>153</v>
      </c>
      <c r="I5539" s="0" t="n">
        <v>1514505</v>
      </c>
      <c r="J5539" s="0" t="n">
        <v>100014</v>
      </c>
      <c r="K5539" s="0" t="n">
        <v>15</v>
      </c>
      <c r="L5539" s="0" t="s">
        <v>2491</v>
      </c>
      <c r="N5539" s="0" t="n">
        <v>4.116</v>
      </c>
      <c r="O5539" s="0" t="n">
        <v>188.14</v>
      </c>
      <c r="P5539" s="0" t="s">
        <v>2444</v>
      </c>
    </row>
    <row r="5540" customFormat="false" ht="15" hidden="false" customHeight="true" outlineLevel="0" collapsed="false">
      <c r="A5540" s="0" t="n">
        <v>2</v>
      </c>
      <c r="B5540" s="71" t="n">
        <v>46241</v>
      </c>
      <c r="C5540" s="0" t="n">
        <v>100</v>
      </c>
      <c r="D5540" s="0" t="s">
        <v>2499</v>
      </c>
      <c r="E5540" s="0" t="n">
        <v>48</v>
      </c>
      <c r="F5540" s="0" t="s">
        <v>153</v>
      </c>
      <c r="I5540" s="0" t="n">
        <v>1514505</v>
      </c>
      <c r="J5540" s="0" t="n">
        <v>100015</v>
      </c>
      <c r="K5540" s="0" t="n">
        <v>16</v>
      </c>
      <c r="L5540" s="0" t="s">
        <v>2492</v>
      </c>
      <c r="N5540" s="0" t="n">
        <v>1.36</v>
      </c>
      <c r="O5540" s="0" t="n">
        <v>55.26</v>
      </c>
      <c r="P5540" s="0" t="s">
        <v>2444</v>
      </c>
    </row>
    <row r="5541" customFormat="false" ht="15" hidden="false" customHeight="true" outlineLevel="0" collapsed="false">
      <c r="A5541" s="0" t="n">
        <v>2</v>
      </c>
      <c r="B5541" s="71" t="n">
        <v>46241</v>
      </c>
      <c r="C5541" s="0" t="n">
        <v>100</v>
      </c>
      <c r="D5541" s="0" t="s">
        <v>2499</v>
      </c>
      <c r="E5541" s="0" t="n">
        <v>48</v>
      </c>
      <c r="F5541" s="0" t="s">
        <v>153</v>
      </c>
      <c r="I5541" s="0" t="n">
        <v>1514505</v>
      </c>
      <c r="J5541" s="0" t="n">
        <v>100016</v>
      </c>
      <c r="K5541" s="0" t="n">
        <v>17</v>
      </c>
      <c r="L5541" s="0" t="s">
        <v>2493</v>
      </c>
      <c r="N5541" s="0" t="n">
        <v>2.306</v>
      </c>
      <c r="O5541" s="0" t="n">
        <v>136.64</v>
      </c>
      <c r="P5541" s="0" t="s">
        <v>2444</v>
      </c>
    </row>
    <row r="5542" customFormat="false" ht="15" hidden="false" customHeight="true" outlineLevel="0" collapsed="false">
      <c r="A5542" s="0" t="n">
        <v>2</v>
      </c>
      <c r="B5542" s="71" t="n">
        <v>46241</v>
      </c>
      <c r="C5542" s="0" t="n">
        <v>100</v>
      </c>
      <c r="D5542" s="0" t="s">
        <v>2499</v>
      </c>
      <c r="E5542" s="0" t="n">
        <v>48</v>
      </c>
      <c r="F5542" s="0" t="s">
        <v>153</v>
      </c>
      <c r="I5542" s="0" t="n">
        <v>1514505</v>
      </c>
      <c r="J5542" s="0" t="n">
        <v>100017</v>
      </c>
      <c r="K5542" s="0" t="n">
        <v>18</v>
      </c>
      <c r="L5542" s="0" t="s">
        <v>2494</v>
      </c>
      <c r="N5542" s="0" t="n">
        <v>1.538</v>
      </c>
      <c r="O5542" s="0" t="n">
        <v>91.13</v>
      </c>
      <c r="P5542" s="0" t="s">
        <v>2444</v>
      </c>
    </row>
    <row r="5543" customFormat="false" ht="15" hidden="false" customHeight="true" outlineLevel="0" collapsed="false">
      <c r="A5543" s="0" t="n">
        <v>2</v>
      </c>
      <c r="B5543" s="71" t="n">
        <v>46241</v>
      </c>
      <c r="C5543" s="0" t="n">
        <v>100</v>
      </c>
      <c r="D5543" s="0" t="s">
        <v>2499</v>
      </c>
      <c r="E5543" s="0" t="n">
        <v>48</v>
      </c>
      <c r="F5543" s="0" t="s">
        <v>153</v>
      </c>
      <c r="I5543" s="0" t="n">
        <v>1514505</v>
      </c>
      <c r="J5543" s="0" t="n">
        <v>100053</v>
      </c>
      <c r="K5543" s="0" t="n">
        <v>54</v>
      </c>
      <c r="L5543" s="0" t="s">
        <v>2495</v>
      </c>
      <c r="N5543" s="0" t="n">
        <v>2.366</v>
      </c>
      <c r="O5543" s="0" t="n">
        <v>88.12</v>
      </c>
      <c r="P5543" s="0" t="s">
        <v>2444</v>
      </c>
    </row>
    <row r="5544" customFormat="false" ht="15" hidden="false" customHeight="true" outlineLevel="0" collapsed="false">
      <c r="A5544" s="0" t="n">
        <v>2</v>
      </c>
      <c r="B5544" s="71" t="n">
        <v>46241</v>
      </c>
      <c r="C5544" s="0" t="n">
        <v>100</v>
      </c>
      <c r="D5544" s="0" t="s">
        <v>2499</v>
      </c>
      <c r="E5544" s="0" t="n">
        <v>48</v>
      </c>
      <c r="F5544" s="0" t="s">
        <v>153</v>
      </c>
      <c r="I5544" s="0" t="n">
        <v>1514505</v>
      </c>
      <c r="J5544" s="0" t="n">
        <v>100638</v>
      </c>
      <c r="K5544" s="0" t="n">
        <v>508</v>
      </c>
      <c r="L5544" s="0" t="s">
        <v>2496</v>
      </c>
      <c r="N5544" s="0" t="n">
        <v>1.658</v>
      </c>
      <c r="O5544" s="0" t="n">
        <v>4.2</v>
      </c>
      <c r="P5544" s="0" t="s">
        <v>2444</v>
      </c>
    </row>
    <row r="5545" customFormat="false" ht="15" hidden="false" customHeight="true" outlineLevel="0" collapsed="false">
      <c r="A5545" s="0" t="n">
        <v>2</v>
      </c>
      <c r="B5545" s="71" t="n">
        <v>46241</v>
      </c>
      <c r="C5545" s="0" t="n">
        <v>100</v>
      </c>
      <c r="D5545" s="0" t="s">
        <v>2499</v>
      </c>
      <c r="E5545" s="0" t="n">
        <v>48</v>
      </c>
      <c r="F5545" s="0" t="s">
        <v>153</v>
      </c>
      <c r="I5545" s="0" t="n">
        <v>1514505</v>
      </c>
      <c r="J5545" s="0" t="n">
        <v>100520</v>
      </c>
      <c r="K5545" s="0" t="n">
        <v>507</v>
      </c>
      <c r="L5545" s="0" t="s">
        <v>2497</v>
      </c>
      <c r="N5545" s="0" t="n">
        <v>10.365</v>
      </c>
      <c r="O5545" s="0" t="n">
        <v>26.24</v>
      </c>
      <c r="P5545" s="0" t="s">
        <v>2444</v>
      </c>
    </row>
    <row r="5546" customFormat="false" ht="15" hidden="false" customHeight="true" outlineLevel="0" collapsed="false">
      <c r="A5546" s="0" t="n">
        <v>2</v>
      </c>
      <c r="B5546" s="71" t="n">
        <v>46241</v>
      </c>
      <c r="C5546" s="0" t="n">
        <v>100</v>
      </c>
      <c r="D5546" s="0" t="s">
        <v>2499</v>
      </c>
      <c r="E5546" s="0" t="n">
        <v>48</v>
      </c>
      <c r="F5546" s="0" t="s">
        <v>153</v>
      </c>
      <c r="I5546" s="0" t="n">
        <v>1514505</v>
      </c>
      <c r="J5546" s="0" t="n">
        <v>110455</v>
      </c>
      <c r="K5546" s="0" t="n">
        <v>53212</v>
      </c>
      <c r="L5546" s="0" t="s">
        <v>2498</v>
      </c>
      <c r="N5546" s="0" t="n">
        <v>0.879</v>
      </c>
      <c r="O5546" s="0" t="n">
        <v>0</v>
      </c>
      <c r="P5546" s="0" t="s">
        <v>2444</v>
      </c>
    </row>
    <row r="5547" customFormat="false" ht="15" hidden="false" customHeight="true" outlineLevel="0" collapsed="false">
      <c r="A5547" s="0" t="n">
        <v>2</v>
      </c>
      <c r="B5547" s="71" t="n">
        <v>46241</v>
      </c>
      <c r="C5547" s="0" t="n">
        <v>100</v>
      </c>
      <c r="D5547" s="0" t="s">
        <v>2499</v>
      </c>
      <c r="E5547" s="0" t="n">
        <v>48</v>
      </c>
      <c r="F5547" s="0" t="s">
        <v>153</v>
      </c>
      <c r="I5547" s="0" t="n">
        <v>1514510</v>
      </c>
      <c r="J5547" s="0" t="n">
        <v>100000</v>
      </c>
      <c r="K5547" s="0" t="n">
        <v>1</v>
      </c>
      <c r="L5547" s="0" t="s">
        <v>2480</v>
      </c>
      <c r="N5547" s="0" t="n">
        <v>4.268</v>
      </c>
      <c r="O5547" s="0" t="n">
        <v>82.14</v>
      </c>
      <c r="P5547" s="0" t="s">
        <v>2444</v>
      </c>
    </row>
    <row r="5548" customFormat="false" ht="15" hidden="false" customHeight="true" outlineLevel="0" collapsed="false">
      <c r="A5548" s="0" t="n">
        <v>2</v>
      </c>
      <c r="B5548" s="71" t="n">
        <v>46241</v>
      </c>
      <c r="C5548" s="0" t="n">
        <v>100</v>
      </c>
      <c r="D5548" s="0" t="s">
        <v>2499</v>
      </c>
      <c r="E5548" s="0" t="n">
        <v>48</v>
      </c>
      <c r="F5548" s="0" t="s">
        <v>153</v>
      </c>
      <c r="I5548" s="0" t="n">
        <v>1514510</v>
      </c>
      <c r="J5548" s="0" t="n">
        <v>100001</v>
      </c>
      <c r="K5548" s="0" t="n">
        <v>2</v>
      </c>
      <c r="L5548" s="0" t="s">
        <v>2481</v>
      </c>
      <c r="N5548" s="0" t="n">
        <v>11.895</v>
      </c>
      <c r="O5548" s="0" t="n">
        <v>248.01</v>
      </c>
      <c r="P5548" s="0" t="s">
        <v>2444</v>
      </c>
    </row>
    <row r="5549" customFormat="false" ht="15" hidden="false" customHeight="true" outlineLevel="0" collapsed="false">
      <c r="A5549" s="0" t="n">
        <v>2</v>
      </c>
      <c r="B5549" s="71" t="n">
        <v>46241</v>
      </c>
      <c r="C5549" s="0" t="n">
        <v>100</v>
      </c>
      <c r="D5549" s="0" t="s">
        <v>2499</v>
      </c>
      <c r="E5549" s="0" t="n">
        <v>48</v>
      </c>
      <c r="F5549" s="0" t="s">
        <v>153</v>
      </c>
      <c r="I5549" s="0" t="n">
        <v>1514510</v>
      </c>
      <c r="J5549" s="0" t="n">
        <v>100002</v>
      </c>
      <c r="K5549" s="0" t="n">
        <v>3</v>
      </c>
      <c r="L5549" s="0" t="s">
        <v>2482</v>
      </c>
      <c r="N5549" s="0" t="n">
        <v>30.47</v>
      </c>
      <c r="O5549" s="0" t="n">
        <v>733.08</v>
      </c>
      <c r="P5549" s="0" t="s">
        <v>2444</v>
      </c>
    </row>
    <row r="5550" customFormat="false" ht="15" hidden="false" customHeight="true" outlineLevel="0" collapsed="false">
      <c r="A5550" s="0" t="n">
        <v>2</v>
      </c>
      <c r="B5550" s="71" t="n">
        <v>46241</v>
      </c>
      <c r="C5550" s="0" t="n">
        <v>100</v>
      </c>
      <c r="D5550" s="0" t="s">
        <v>2499</v>
      </c>
      <c r="E5550" s="0" t="n">
        <v>48</v>
      </c>
      <c r="F5550" s="0" t="s">
        <v>153</v>
      </c>
      <c r="I5550" s="0" t="n">
        <v>1514510</v>
      </c>
      <c r="J5550" s="0" t="n">
        <v>100003</v>
      </c>
      <c r="K5550" s="0" t="n">
        <v>4</v>
      </c>
      <c r="L5550" s="0" t="s">
        <v>2483</v>
      </c>
      <c r="N5550" s="0" t="n">
        <v>22.73</v>
      </c>
      <c r="O5550" s="0" t="n">
        <v>583.34</v>
      </c>
      <c r="P5550" s="0" t="s">
        <v>2444</v>
      </c>
    </row>
    <row r="5551" customFormat="false" ht="15" hidden="false" customHeight="true" outlineLevel="0" collapsed="false">
      <c r="A5551" s="0" t="n">
        <v>2</v>
      </c>
      <c r="B5551" s="71" t="n">
        <v>46241</v>
      </c>
      <c r="C5551" s="0" t="n">
        <v>100</v>
      </c>
      <c r="D5551" s="0" t="s">
        <v>2499</v>
      </c>
      <c r="E5551" s="0" t="n">
        <v>48</v>
      </c>
      <c r="F5551" s="0" t="s">
        <v>153</v>
      </c>
      <c r="I5551" s="0" t="n">
        <v>1514510</v>
      </c>
      <c r="J5551" s="0" t="n">
        <v>100004</v>
      </c>
      <c r="K5551" s="0" t="n">
        <v>5</v>
      </c>
      <c r="L5551" s="0" t="s">
        <v>2484</v>
      </c>
      <c r="N5551" s="0" t="n">
        <v>2.106</v>
      </c>
      <c r="O5551" s="0" t="n">
        <v>47.29</v>
      </c>
      <c r="P5551" s="0" t="s">
        <v>2444</v>
      </c>
    </row>
    <row r="5552" customFormat="false" ht="15" hidden="false" customHeight="true" outlineLevel="0" collapsed="false">
      <c r="A5552" s="0" t="n">
        <v>2</v>
      </c>
      <c r="B5552" s="71" t="n">
        <v>46241</v>
      </c>
      <c r="C5552" s="0" t="n">
        <v>100</v>
      </c>
      <c r="D5552" s="0" t="s">
        <v>2499</v>
      </c>
      <c r="E5552" s="0" t="n">
        <v>48</v>
      </c>
      <c r="F5552" s="0" t="s">
        <v>153</v>
      </c>
      <c r="I5552" s="0" t="n">
        <v>1514510</v>
      </c>
      <c r="J5552" s="0" t="n">
        <v>100005</v>
      </c>
      <c r="K5552" s="0" t="n">
        <v>6</v>
      </c>
      <c r="L5552" s="0" t="s">
        <v>2582</v>
      </c>
      <c r="N5552" s="0" t="n">
        <v>3.578</v>
      </c>
      <c r="O5552" s="0" t="n">
        <v>86.08</v>
      </c>
      <c r="P5552" s="0" t="s">
        <v>2444</v>
      </c>
    </row>
    <row r="5553" customFormat="false" ht="15" hidden="false" customHeight="true" outlineLevel="0" collapsed="false">
      <c r="A5553" s="0" t="n">
        <v>2</v>
      </c>
      <c r="B5553" s="71" t="n">
        <v>46241</v>
      </c>
      <c r="C5553" s="0" t="n">
        <v>100</v>
      </c>
      <c r="D5553" s="0" t="s">
        <v>2499</v>
      </c>
      <c r="E5553" s="0" t="n">
        <v>48</v>
      </c>
      <c r="F5553" s="0" t="s">
        <v>153</v>
      </c>
      <c r="I5553" s="0" t="n">
        <v>1514510</v>
      </c>
      <c r="J5553" s="0" t="n">
        <v>100007</v>
      </c>
      <c r="K5553" s="0" t="n">
        <v>8</v>
      </c>
      <c r="L5553" s="0" t="s">
        <v>2486</v>
      </c>
      <c r="N5553" s="0" t="n">
        <v>2.104</v>
      </c>
      <c r="O5553" s="0" t="n">
        <v>50.62</v>
      </c>
      <c r="P5553" s="0" t="s">
        <v>2444</v>
      </c>
    </row>
    <row r="5554" customFormat="false" ht="15" hidden="false" customHeight="true" outlineLevel="0" collapsed="false">
      <c r="A5554" s="0" t="n">
        <v>2</v>
      </c>
      <c r="B5554" s="71" t="n">
        <v>46241</v>
      </c>
      <c r="C5554" s="0" t="n">
        <v>100</v>
      </c>
      <c r="D5554" s="0" t="s">
        <v>2499</v>
      </c>
      <c r="E5554" s="0" t="n">
        <v>48</v>
      </c>
      <c r="F5554" s="0" t="s">
        <v>153</v>
      </c>
      <c r="I5554" s="0" t="n">
        <v>1514510</v>
      </c>
      <c r="J5554" s="0" t="n">
        <v>100638</v>
      </c>
      <c r="K5554" s="0" t="n">
        <v>508</v>
      </c>
      <c r="L5554" s="0" t="s">
        <v>2496</v>
      </c>
      <c r="N5554" s="0" t="n">
        <v>2</v>
      </c>
      <c r="O5554" s="0" t="n">
        <v>4.8</v>
      </c>
      <c r="P5554" s="0" t="s">
        <v>2444</v>
      </c>
    </row>
    <row r="5555" customFormat="false" ht="15" hidden="false" customHeight="true" outlineLevel="0" collapsed="false">
      <c r="A5555" s="0" t="n">
        <v>2</v>
      </c>
      <c r="B5555" s="71" t="n">
        <v>46241</v>
      </c>
      <c r="C5555" s="0" t="n">
        <v>100</v>
      </c>
      <c r="D5555" s="0" t="s">
        <v>2499</v>
      </c>
      <c r="E5555" s="0" t="n">
        <v>48</v>
      </c>
      <c r="F5555" s="0" t="s">
        <v>153</v>
      </c>
      <c r="I5555" s="0" t="n">
        <v>1514510</v>
      </c>
      <c r="J5555" s="0" t="n">
        <v>100520</v>
      </c>
      <c r="K5555" s="0" t="n">
        <v>507</v>
      </c>
      <c r="L5555" s="0" t="s">
        <v>2497</v>
      </c>
      <c r="N5555" s="0" t="n">
        <v>2.14</v>
      </c>
      <c r="O5555" s="0" t="n">
        <v>5.13</v>
      </c>
      <c r="P5555" s="0" t="s">
        <v>2444</v>
      </c>
    </row>
    <row r="5556" customFormat="false" ht="15" hidden="false" customHeight="true" outlineLevel="0" collapsed="false">
      <c r="A5556" s="0" t="n">
        <v>2</v>
      </c>
      <c r="B5556" s="71" t="n">
        <v>46241</v>
      </c>
      <c r="C5556" s="0" t="n">
        <v>100</v>
      </c>
      <c r="D5556" s="0" t="s">
        <v>2499</v>
      </c>
      <c r="E5556" s="0" t="n">
        <v>48</v>
      </c>
      <c r="F5556" s="0" t="s">
        <v>153</v>
      </c>
      <c r="I5556" s="0" t="n">
        <v>1514510</v>
      </c>
      <c r="J5556" s="0" t="n">
        <v>110455</v>
      </c>
      <c r="K5556" s="0" t="n">
        <v>53212</v>
      </c>
      <c r="L5556" s="0" t="s">
        <v>2498</v>
      </c>
      <c r="N5556" s="0" t="n">
        <v>0.509</v>
      </c>
      <c r="O5556" s="0" t="n">
        <v>0.01</v>
      </c>
      <c r="P5556" s="0" t="s">
        <v>2444</v>
      </c>
    </row>
    <row r="5557" customFormat="false" ht="15" hidden="false" customHeight="true" outlineLevel="0" collapsed="false">
      <c r="A5557" s="0" t="n">
        <v>2</v>
      </c>
      <c r="B5557" s="71" t="n">
        <v>46242</v>
      </c>
      <c r="C5557" s="0" t="n">
        <v>11</v>
      </c>
      <c r="D5557" s="0" t="s">
        <v>2471</v>
      </c>
      <c r="E5557" s="0" t="n">
        <v>10096</v>
      </c>
      <c r="F5557" s="0" t="s">
        <v>622</v>
      </c>
      <c r="I5557" s="0" t="n">
        <v>138</v>
      </c>
      <c r="J5557" s="0" t="n">
        <v>61580</v>
      </c>
      <c r="K5557" s="0" t="n">
        <v>2258157</v>
      </c>
      <c r="L5557" s="0" t="s">
        <v>2509</v>
      </c>
      <c r="N5557" s="0" t="n">
        <v>15</v>
      </c>
      <c r="O5557" s="0" t="n">
        <v>180</v>
      </c>
      <c r="P5557" s="0" t="s">
        <v>2444</v>
      </c>
    </row>
    <row r="5558" customFormat="false" ht="15" hidden="false" customHeight="true" outlineLevel="0" collapsed="false">
      <c r="A5558" s="0" t="n">
        <v>2</v>
      </c>
      <c r="B5558" s="71" t="n">
        <v>46242</v>
      </c>
      <c r="C5558" s="0" t="n">
        <v>11</v>
      </c>
      <c r="D5558" s="0" t="s">
        <v>2471</v>
      </c>
      <c r="E5558" s="0" t="n">
        <v>10096</v>
      </c>
      <c r="F5558" s="0" t="s">
        <v>622</v>
      </c>
      <c r="I5558" s="0" t="n">
        <v>138</v>
      </c>
      <c r="J5558" s="0" t="n">
        <v>61597</v>
      </c>
      <c r="K5558" s="0" t="n">
        <v>2258188</v>
      </c>
      <c r="L5558" s="0" t="s">
        <v>2510</v>
      </c>
      <c r="N5558" s="0" t="n">
        <v>5</v>
      </c>
      <c r="O5558" s="0" t="n">
        <v>20</v>
      </c>
      <c r="P5558" s="0" t="s">
        <v>2444</v>
      </c>
    </row>
    <row r="5559" customFormat="false" ht="15" hidden="false" customHeight="true" outlineLevel="0" collapsed="false">
      <c r="A5559" s="0" t="n">
        <v>2</v>
      </c>
      <c r="B5559" s="71" t="n">
        <v>46244</v>
      </c>
      <c r="C5559" s="0" t="n">
        <v>6</v>
      </c>
      <c r="D5559" s="0" t="s">
        <v>2553</v>
      </c>
      <c r="E5559" s="0" t="n">
        <v>48</v>
      </c>
      <c r="F5559" s="0" t="s">
        <v>153</v>
      </c>
      <c r="I5559" s="0" t="n">
        <v>2596</v>
      </c>
      <c r="J5559" s="0" t="n">
        <v>42564</v>
      </c>
      <c r="K5559" s="0" t="n">
        <v>574</v>
      </c>
      <c r="L5559" s="0" t="s">
        <v>2534</v>
      </c>
      <c r="N5559" s="0" t="n">
        <v>25</v>
      </c>
      <c r="O5559" s="0" t="n">
        <v>375</v>
      </c>
      <c r="P5559" s="0" t="s">
        <v>2444</v>
      </c>
    </row>
    <row r="5560" customFormat="false" ht="15" hidden="false" customHeight="true" outlineLevel="0" collapsed="false">
      <c r="A5560" s="0" t="n">
        <v>2</v>
      </c>
      <c r="B5560" s="71" t="n">
        <v>46244</v>
      </c>
      <c r="C5560" s="0" t="n">
        <v>11</v>
      </c>
      <c r="D5560" s="0" t="s">
        <v>2471</v>
      </c>
      <c r="E5560" s="0" t="n">
        <v>642</v>
      </c>
      <c r="F5560" s="0" t="s">
        <v>123</v>
      </c>
      <c r="I5560" s="0" t="n">
        <v>579</v>
      </c>
      <c r="J5560" s="0" t="n">
        <v>71766</v>
      </c>
      <c r="K5560" s="0" t="n">
        <v>779180</v>
      </c>
      <c r="L5560" s="0" t="s">
        <v>2501</v>
      </c>
      <c r="N5560" s="0" t="n">
        <v>35</v>
      </c>
      <c r="O5560" s="0" t="n">
        <v>420</v>
      </c>
      <c r="P5560" s="0" t="s">
        <v>2444</v>
      </c>
    </row>
    <row r="5561" customFormat="false" ht="15" hidden="false" customHeight="true" outlineLevel="0" collapsed="false">
      <c r="A5561" s="0" t="n">
        <v>2</v>
      </c>
      <c r="B5561" s="71" t="n">
        <v>46244</v>
      </c>
      <c r="C5561" s="0" t="n">
        <v>11</v>
      </c>
      <c r="D5561" s="0" t="s">
        <v>2471</v>
      </c>
      <c r="E5561" s="0" t="n">
        <v>1625</v>
      </c>
      <c r="F5561" s="0" t="s">
        <v>270</v>
      </c>
      <c r="I5561" s="0" t="n">
        <v>14993</v>
      </c>
      <c r="J5561" s="0" t="n">
        <v>29079</v>
      </c>
      <c r="K5561" s="0" t="n">
        <v>55515</v>
      </c>
      <c r="L5561" s="0" t="s">
        <v>2449</v>
      </c>
      <c r="N5561" s="0" t="n">
        <v>67</v>
      </c>
      <c r="O5561" s="0" t="n">
        <v>2144</v>
      </c>
      <c r="P5561" s="0" t="s">
        <v>2444</v>
      </c>
    </row>
    <row r="5562" customFormat="false" ht="15" hidden="false" customHeight="true" outlineLevel="0" collapsed="false">
      <c r="A5562" s="0" t="n">
        <v>2</v>
      </c>
      <c r="B5562" s="71" t="n">
        <v>46244</v>
      </c>
      <c r="C5562" s="0" t="n">
        <v>11</v>
      </c>
      <c r="D5562" s="0" t="s">
        <v>2471</v>
      </c>
      <c r="E5562" s="0" t="n">
        <v>1625</v>
      </c>
      <c r="F5562" s="0" t="s">
        <v>270</v>
      </c>
      <c r="I5562" s="0" t="n">
        <v>14993</v>
      </c>
      <c r="J5562" s="0" t="n">
        <v>29080</v>
      </c>
      <c r="K5562" s="0" t="n">
        <v>55516</v>
      </c>
      <c r="L5562" s="0" t="s">
        <v>2450</v>
      </c>
      <c r="N5562" s="0" t="n">
        <v>53.4</v>
      </c>
      <c r="O5562" s="0" t="n">
        <v>1201.5</v>
      </c>
      <c r="P5562" s="0" t="s">
        <v>2444</v>
      </c>
    </row>
    <row r="5563" customFormat="false" ht="15" hidden="false" customHeight="true" outlineLevel="0" collapsed="false">
      <c r="A5563" s="0" t="n">
        <v>2</v>
      </c>
      <c r="B5563" s="71" t="n">
        <v>46244</v>
      </c>
      <c r="C5563" s="0" t="n">
        <v>11</v>
      </c>
      <c r="D5563" s="0" t="s">
        <v>2471</v>
      </c>
      <c r="E5563" s="0" t="n">
        <v>1625</v>
      </c>
      <c r="F5563" s="0" t="s">
        <v>270</v>
      </c>
      <c r="I5563" s="0" t="n">
        <v>14993</v>
      </c>
      <c r="J5563" s="0" t="n">
        <v>77455</v>
      </c>
      <c r="K5563" s="0" t="n">
        <v>774567</v>
      </c>
      <c r="L5563" s="0" t="s">
        <v>2624</v>
      </c>
      <c r="N5563" s="0" t="n">
        <v>17.8</v>
      </c>
      <c r="O5563" s="0" t="n">
        <v>569.6</v>
      </c>
      <c r="P5563" s="0" t="s">
        <v>2444</v>
      </c>
    </row>
    <row r="5564" customFormat="false" ht="15" hidden="false" customHeight="true" outlineLevel="0" collapsed="false">
      <c r="A5564" s="0" t="n">
        <v>2</v>
      </c>
      <c r="B5564" s="71" t="n">
        <v>46244</v>
      </c>
      <c r="C5564" s="0" t="n">
        <v>11</v>
      </c>
      <c r="D5564" s="0" t="s">
        <v>2471</v>
      </c>
      <c r="E5564" s="0" t="n">
        <v>1625</v>
      </c>
      <c r="F5564" s="0" t="s">
        <v>270</v>
      </c>
      <c r="I5564" s="0" t="n">
        <v>14993</v>
      </c>
      <c r="J5564" s="0" t="n">
        <v>77455</v>
      </c>
      <c r="K5564" s="0" t="n">
        <v>774567</v>
      </c>
      <c r="L5564" s="0" t="s">
        <v>2624</v>
      </c>
      <c r="N5564" s="0" t="n">
        <v>21.4</v>
      </c>
      <c r="O5564" s="0" t="n">
        <v>684.8</v>
      </c>
      <c r="P5564" s="0" t="s">
        <v>2444</v>
      </c>
    </row>
    <row r="5565" customFormat="false" ht="15" hidden="false" customHeight="true" outlineLevel="0" collapsed="false">
      <c r="A5565" s="0" t="n">
        <v>2</v>
      </c>
      <c r="B5565" s="71" t="n">
        <v>46244</v>
      </c>
      <c r="C5565" s="0" t="n">
        <v>11</v>
      </c>
      <c r="D5565" s="0" t="s">
        <v>2471</v>
      </c>
      <c r="E5565" s="0" t="n">
        <v>1631</v>
      </c>
      <c r="F5565" s="0" t="s">
        <v>299</v>
      </c>
      <c r="I5565" s="0" t="n">
        <v>15234</v>
      </c>
      <c r="J5565" s="0" t="n">
        <v>108539</v>
      </c>
      <c r="K5565" s="0" t="n">
        <v>7898185800170</v>
      </c>
      <c r="L5565" s="0" t="s">
        <v>2451</v>
      </c>
      <c r="N5565" s="0" t="n">
        <v>5</v>
      </c>
      <c r="O5565" s="0" t="n">
        <v>20.67</v>
      </c>
      <c r="P5565" s="0" t="s">
        <v>2444</v>
      </c>
    </row>
    <row r="5566" customFormat="false" ht="15" hidden="false" customHeight="true" outlineLevel="0" collapsed="false">
      <c r="A5566" s="0" t="n">
        <v>2</v>
      </c>
      <c r="B5566" s="71" t="n">
        <v>46244</v>
      </c>
      <c r="C5566" s="0" t="n">
        <v>11</v>
      </c>
      <c r="D5566" s="0" t="s">
        <v>2471</v>
      </c>
      <c r="E5566" s="0" t="n">
        <v>1631</v>
      </c>
      <c r="F5566" s="0" t="s">
        <v>299</v>
      </c>
      <c r="I5566" s="0" t="n">
        <v>15234</v>
      </c>
      <c r="J5566" s="0" t="n">
        <v>14393</v>
      </c>
      <c r="K5566" s="0" t="n">
        <v>7898185800125</v>
      </c>
      <c r="L5566" s="0" t="s">
        <v>2453</v>
      </c>
      <c r="N5566" s="0" t="n">
        <v>10</v>
      </c>
      <c r="O5566" s="0" t="n">
        <v>41.35</v>
      </c>
      <c r="P5566" s="0" t="s">
        <v>2444</v>
      </c>
    </row>
    <row r="5567" customFormat="false" ht="15" hidden="false" customHeight="true" outlineLevel="0" collapsed="false">
      <c r="A5567" s="0" t="n">
        <v>2</v>
      </c>
      <c r="B5567" s="71" t="n">
        <v>46244</v>
      </c>
      <c r="C5567" s="0" t="n">
        <v>11</v>
      </c>
      <c r="D5567" s="0" t="s">
        <v>2471</v>
      </c>
      <c r="E5567" s="0" t="n">
        <v>1631</v>
      </c>
      <c r="F5567" s="0" t="s">
        <v>299</v>
      </c>
      <c r="I5567" s="0" t="n">
        <v>15234</v>
      </c>
      <c r="J5567" s="0" t="n">
        <v>24098</v>
      </c>
      <c r="K5567" s="0" t="n">
        <v>7898185800385</v>
      </c>
      <c r="L5567" s="0" t="s">
        <v>2455</v>
      </c>
      <c r="N5567" s="0" t="n">
        <v>25</v>
      </c>
      <c r="O5567" s="0" t="n">
        <v>93.98</v>
      </c>
      <c r="P5567" s="0" t="s">
        <v>2444</v>
      </c>
    </row>
    <row r="5568" customFormat="false" ht="15" hidden="false" customHeight="true" outlineLevel="0" collapsed="false">
      <c r="A5568" s="0" t="n">
        <v>2</v>
      </c>
      <c r="B5568" s="71" t="n">
        <v>46244</v>
      </c>
      <c r="C5568" s="0" t="n">
        <v>11</v>
      </c>
      <c r="D5568" s="0" t="s">
        <v>2471</v>
      </c>
      <c r="E5568" s="0" t="n">
        <v>1631</v>
      </c>
      <c r="F5568" s="0" t="s">
        <v>299</v>
      </c>
      <c r="I5568" s="0" t="n">
        <v>15234</v>
      </c>
      <c r="J5568" s="0" t="n">
        <v>25555</v>
      </c>
      <c r="K5568" s="0" t="n">
        <v>7898185800200</v>
      </c>
      <c r="L5568" s="0" t="s">
        <v>2456</v>
      </c>
      <c r="N5568" s="0" t="n">
        <v>5</v>
      </c>
      <c r="O5568" s="0" t="n">
        <v>41.35</v>
      </c>
      <c r="P5568" s="0" t="s">
        <v>2444</v>
      </c>
    </row>
    <row r="5569" customFormat="false" ht="15" hidden="false" customHeight="true" outlineLevel="0" collapsed="false">
      <c r="A5569" s="0" t="n">
        <v>2</v>
      </c>
      <c r="B5569" s="71" t="n">
        <v>46244</v>
      </c>
      <c r="C5569" s="0" t="n">
        <v>11</v>
      </c>
      <c r="D5569" s="0" t="s">
        <v>2471</v>
      </c>
      <c r="E5569" s="0" t="n">
        <v>1631</v>
      </c>
      <c r="F5569" s="0" t="s">
        <v>299</v>
      </c>
      <c r="I5569" s="0" t="n">
        <v>15234</v>
      </c>
      <c r="J5569" s="0" t="n">
        <v>26574</v>
      </c>
      <c r="K5569" s="0" t="n">
        <v>7898185800217</v>
      </c>
      <c r="L5569" s="0" t="s">
        <v>2458</v>
      </c>
      <c r="N5569" s="0" t="n">
        <v>5</v>
      </c>
      <c r="O5569" s="0" t="n">
        <v>41.35</v>
      </c>
      <c r="P5569" s="0" t="s">
        <v>2444</v>
      </c>
    </row>
    <row r="5570" customFormat="false" ht="15" hidden="false" customHeight="true" outlineLevel="0" collapsed="false">
      <c r="A5570" s="0" t="n">
        <v>2</v>
      </c>
      <c r="B5570" s="71" t="n">
        <v>46244</v>
      </c>
      <c r="C5570" s="0" t="n">
        <v>11</v>
      </c>
      <c r="D5570" s="0" t="s">
        <v>2471</v>
      </c>
      <c r="E5570" s="0" t="n">
        <v>1631</v>
      </c>
      <c r="F5570" s="0" t="s">
        <v>299</v>
      </c>
      <c r="I5570" s="0" t="n">
        <v>15234</v>
      </c>
      <c r="J5570" s="0" t="n">
        <v>30684</v>
      </c>
      <c r="K5570" s="0" t="n">
        <v>7898185800453</v>
      </c>
      <c r="L5570" s="0" t="s">
        <v>2459</v>
      </c>
      <c r="N5570" s="0" t="n">
        <v>30</v>
      </c>
      <c r="O5570" s="0" t="n">
        <v>33.83</v>
      </c>
      <c r="P5570" s="0" t="s">
        <v>2444</v>
      </c>
    </row>
    <row r="5571" customFormat="false" ht="15" hidden="false" customHeight="true" outlineLevel="0" collapsed="false">
      <c r="A5571" s="0" t="n">
        <v>2</v>
      </c>
      <c r="B5571" s="71" t="n">
        <v>46244</v>
      </c>
      <c r="C5571" s="0" t="n">
        <v>11</v>
      </c>
      <c r="D5571" s="0" t="s">
        <v>2471</v>
      </c>
      <c r="E5571" s="0" t="n">
        <v>1631</v>
      </c>
      <c r="F5571" s="0" t="s">
        <v>299</v>
      </c>
      <c r="I5571" s="0" t="n">
        <v>15234</v>
      </c>
      <c r="J5571" s="0" t="n">
        <v>41356</v>
      </c>
      <c r="K5571" s="0" t="n">
        <v>7898185800163</v>
      </c>
      <c r="L5571" s="0" t="s">
        <v>2460</v>
      </c>
      <c r="N5571" s="0" t="n">
        <v>3</v>
      </c>
      <c r="O5571" s="0" t="n">
        <v>12.4</v>
      </c>
      <c r="P5571" s="0" t="s">
        <v>2444</v>
      </c>
    </row>
    <row r="5572" customFormat="false" ht="15" hidden="false" customHeight="true" outlineLevel="0" collapsed="false">
      <c r="A5572" s="0" t="n">
        <v>2</v>
      </c>
      <c r="B5572" s="71" t="n">
        <v>46244</v>
      </c>
      <c r="C5572" s="0" t="n">
        <v>11</v>
      </c>
      <c r="D5572" s="0" t="s">
        <v>2471</v>
      </c>
      <c r="E5572" s="0" t="n">
        <v>581</v>
      </c>
      <c r="F5572" s="0" t="s">
        <v>147</v>
      </c>
      <c r="I5572" s="0" t="n">
        <v>31847</v>
      </c>
      <c r="J5572" s="0" t="n">
        <v>48009</v>
      </c>
      <c r="K5572" s="0" t="n">
        <v>798190028002</v>
      </c>
      <c r="L5572" s="0" t="s">
        <v>2580</v>
      </c>
      <c r="N5572" s="0" t="n">
        <v>40</v>
      </c>
      <c r="O5572" s="0" t="n">
        <v>138</v>
      </c>
      <c r="P5572" s="0" t="s">
        <v>2444</v>
      </c>
    </row>
    <row r="5573" customFormat="false" ht="15" hidden="false" customHeight="true" outlineLevel="0" collapsed="false">
      <c r="A5573" s="0" t="n">
        <v>2</v>
      </c>
      <c r="B5573" s="71" t="n">
        <v>46244</v>
      </c>
      <c r="C5573" s="0" t="n">
        <v>11</v>
      </c>
      <c r="D5573" s="0" t="s">
        <v>2471</v>
      </c>
      <c r="E5573" s="0" t="n">
        <v>754</v>
      </c>
      <c r="F5573" s="0" t="s">
        <v>162</v>
      </c>
      <c r="I5573" s="0" t="n">
        <v>32337</v>
      </c>
      <c r="J5573" s="0" t="n">
        <v>100012</v>
      </c>
      <c r="K5573" s="0" t="n">
        <v>13</v>
      </c>
      <c r="L5573" s="0" t="s">
        <v>2489</v>
      </c>
      <c r="N5573" s="0" t="n">
        <v>53.93</v>
      </c>
      <c r="O5573" s="0" t="n">
        <v>2038.55</v>
      </c>
      <c r="P5573" s="0" t="s">
        <v>2444</v>
      </c>
    </row>
    <row r="5574" customFormat="false" ht="15" hidden="false" customHeight="true" outlineLevel="0" collapsed="false">
      <c r="A5574" s="0" t="n">
        <v>2</v>
      </c>
      <c r="B5574" s="71" t="n">
        <v>46244</v>
      </c>
      <c r="C5574" s="0" t="n">
        <v>11</v>
      </c>
      <c r="D5574" s="0" t="s">
        <v>2471</v>
      </c>
      <c r="E5574" s="0" t="n">
        <v>754</v>
      </c>
      <c r="F5574" s="0" t="s">
        <v>162</v>
      </c>
      <c r="I5574" s="0" t="n">
        <v>32337</v>
      </c>
      <c r="J5574" s="0" t="n">
        <v>110184</v>
      </c>
      <c r="K5574" s="0" t="n">
        <v>37393</v>
      </c>
      <c r="L5574" s="0" t="s">
        <v>3467</v>
      </c>
      <c r="N5574" s="0" t="n">
        <v>100</v>
      </c>
      <c r="O5574" s="0" t="n">
        <v>880</v>
      </c>
      <c r="P5574" s="0" t="s">
        <v>2444</v>
      </c>
    </row>
    <row r="5575" customFormat="false" ht="15" hidden="false" customHeight="true" outlineLevel="0" collapsed="false">
      <c r="A5575" s="0" t="n">
        <v>2</v>
      </c>
      <c r="B5575" s="71" t="n">
        <v>46244</v>
      </c>
      <c r="C5575" s="0" t="n">
        <v>11</v>
      </c>
      <c r="D5575" s="0" t="s">
        <v>2471</v>
      </c>
      <c r="E5575" s="0" t="n">
        <v>1666</v>
      </c>
      <c r="F5575" s="0" t="s">
        <v>266</v>
      </c>
      <c r="I5575" s="0" t="n">
        <v>569335</v>
      </c>
      <c r="J5575" s="0" t="n">
        <v>24990</v>
      </c>
      <c r="K5575" s="0" t="n">
        <v>78935761</v>
      </c>
      <c r="L5575" s="0" t="s">
        <v>2746</v>
      </c>
      <c r="N5575" s="0" t="n">
        <v>100</v>
      </c>
      <c r="O5575" s="0" t="n">
        <v>1694.03</v>
      </c>
      <c r="P5575" s="0" t="s">
        <v>2444</v>
      </c>
    </row>
    <row r="5576" customFormat="false" ht="15" hidden="false" customHeight="true" outlineLevel="0" collapsed="false">
      <c r="A5576" s="0" t="n">
        <v>2</v>
      </c>
      <c r="B5576" s="71" t="n">
        <v>46244</v>
      </c>
      <c r="C5576" s="0" t="n">
        <v>11</v>
      </c>
      <c r="D5576" s="0" t="s">
        <v>2471</v>
      </c>
      <c r="E5576" s="0" t="n">
        <v>1666</v>
      </c>
      <c r="F5576" s="0" t="s">
        <v>266</v>
      </c>
      <c r="I5576" s="0" t="n">
        <v>569335</v>
      </c>
      <c r="J5576" s="0" t="n">
        <v>35556</v>
      </c>
      <c r="K5576" s="0" t="n">
        <v>7500435154420</v>
      </c>
      <c r="L5576" s="0" t="s">
        <v>2748</v>
      </c>
      <c r="N5576" s="0" t="n">
        <v>104</v>
      </c>
      <c r="O5576" s="0" t="n">
        <v>247.42</v>
      </c>
      <c r="P5576" s="0" t="s">
        <v>2444</v>
      </c>
    </row>
    <row r="5577" customFormat="false" ht="15" hidden="false" customHeight="true" outlineLevel="0" collapsed="false">
      <c r="A5577" s="0" t="n">
        <v>2</v>
      </c>
      <c r="B5577" s="71" t="n">
        <v>46244</v>
      </c>
      <c r="C5577" s="0" t="n">
        <v>11</v>
      </c>
      <c r="D5577" s="0" t="s">
        <v>2471</v>
      </c>
      <c r="E5577" s="0" t="n">
        <v>1666</v>
      </c>
      <c r="F5577" s="0" t="s">
        <v>266</v>
      </c>
      <c r="I5577" s="0" t="n">
        <v>569335</v>
      </c>
      <c r="J5577" s="0" t="n">
        <v>37535</v>
      </c>
      <c r="K5577" s="0" t="n">
        <v>78942073</v>
      </c>
      <c r="L5577" s="0" t="s">
        <v>2749</v>
      </c>
      <c r="N5577" s="0" t="n">
        <v>20</v>
      </c>
      <c r="O5577" s="0" t="n">
        <v>319.98</v>
      </c>
      <c r="P5577" s="0" t="s">
        <v>2444</v>
      </c>
    </row>
    <row r="5578" customFormat="false" ht="15" hidden="false" customHeight="true" outlineLevel="0" collapsed="false">
      <c r="A5578" s="0" t="n">
        <v>2</v>
      </c>
      <c r="B5578" s="71" t="n">
        <v>46244</v>
      </c>
      <c r="C5578" s="0" t="n">
        <v>11</v>
      </c>
      <c r="D5578" s="0" t="s">
        <v>2471</v>
      </c>
      <c r="E5578" s="0" t="n">
        <v>1666</v>
      </c>
      <c r="F5578" s="0" t="s">
        <v>266</v>
      </c>
      <c r="I5578" s="0" t="n">
        <v>569335</v>
      </c>
      <c r="J5578" s="0" t="n">
        <v>37536</v>
      </c>
      <c r="K5578" s="0" t="n">
        <v>78942066</v>
      </c>
      <c r="L5578" s="0" t="s">
        <v>2750</v>
      </c>
      <c r="N5578" s="0" t="n">
        <v>150</v>
      </c>
      <c r="O5578" s="0" t="n">
        <v>2470.46</v>
      </c>
      <c r="P5578" s="0" t="s">
        <v>2444</v>
      </c>
    </row>
    <row r="5579" customFormat="false" ht="15" hidden="false" customHeight="true" outlineLevel="0" collapsed="false">
      <c r="A5579" s="0" t="n">
        <v>2</v>
      </c>
      <c r="B5579" s="71" t="n">
        <v>46244</v>
      </c>
      <c r="C5579" s="0" t="n">
        <v>11</v>
      </c>
      <c r="D5579" s="0" t="s">
        <v>2471</v>
      </c>
      <c r="E5579" s="0" t="n">
        <v>1666</v>
      </c>
      <c r="F5579" s="0" t="s">
        <v>266</v>
      </c>
      <c r="I5579" s="0" t="n">
        <v>569335</v>
      </c>
      <c r="J5579" s="0" t="n">
        <v>40750</v>
      </c>
      <c r="K5579" s="0" t="n">
        <v>78943032</v>
      </c>
      <c r="L5579" s="0" t="s">
        <v>2751</v>
      </c>
      <c r="N5579" s="0" t="n">
        <v>60</v>
      </c>
      <c r="O5579" s="0" t="n">
        <v>959.95</v>
      </c>
      <c r="P5579" s="0" t="s">
        <v>2444</v>
      </c>
    </row>
    <row r="5580" customFormat="false" ht="15" hidden="false" customHeight="true" outlineLevel="0" collapsed="false">
      <c r="A5580" s="0" t="n">
        <v>2</v>
      </c>
      <c r="B5580" s="71" t="n">
        <v>46244</v>
      </c>
      <c r="C5580" s="0" t="n">
        <v>11</v>
      </c>
      <c r="D5580" s="0" t="s">
        <v>2471</v>
      </c>
      <c r="E5580" s="0" t="n">
        <v>1666</v>
      </c>
      <c r="F5580" s="0" t="s">
        <v>266</v>
      </c>
      <c r="I5580" s="0" t="n">
        <v>569335</v>
      </c>
      <c r="J5580" s="0" t="n">
        <v>50760</v>
      </c>
      <c r="K5580" s="0" t="n">
        <v>78943087</v>
      </c>
      <c r="L5580" s="0" t="s">
        <v>2753</v>
      </c>
      <c r="N5580" s="0" t="n">
        <v>50</v>
      </c>
      <c r="O5580" s="0" t="n">
        <v>729.37</v>
      </c>
      <c r="P5580" s="0" t="s">
        <v>2444</v>
      </c>
    </row>
    <row r="5581" customFormat="false" ht="15" hidden="false" customHeight="true" outlineLevel="0" collapsed="false">
      <c r="A5581" s="0" t="n">
        <v>2</v>
      </c>
      <c r="B5581" s="71" t="n">
        <v>46244</v>
      </c>
      <c r="C5581" s="0" t="n">
        <v>11</v>
      </c>
      <c r="D5581" s="0" t="s">
        <v>2471</v>
      </c>
      <c r="E5581" s="0" t="n">
        <v>1666</v>
      </c>
      <c r="F5581" s="0" t="s">
        <v>266</v>
      </c>
      <c r="I5581" s="0" t="n">
        <v>569335</v>
      </c>
      <c r="J5581" s="0" t="n">
        <v>57287</v>
      </c>
      <c r="K5581" s="0" t="n">
        <v>78944251</v>
      </c>
      <c r="L5581" s="0" t="s">
        <v>2755</v>
      </c>
      <c r="N5581" s="0" t="n">
        <v>40</v>
      </c>
      <c r="O5581" s="0" t="n">
        <v>639.97</v>
      </c>
      <c r="P5581" s="0" t="s">
        <v>2444</v>
      </c>
    </row>
    <row r="5582" customFormat="false" ht="15" hidden="false" customHeight="true" outlineLevel="0" collapsed="false">
      <c r="A5582" s="0" t="n">
        <v>2</v>
      </c>
      <c r="B5582" s="71" t="n">
        <v>46244</v>
      </c>
      <c r="C5582" s="0" t="n">
        <v>11</v>
      </c>
      <c r="D5582" s="0" t="s">
        <v>2471</v>
      </c>
      <c r="E5582" s="0" t="n">
        <v>1666</v>
      </c>
      <c r="F5582" s="0" t="s">
        <v>266</v>
      </c>
      <c r="I5582" s="0" t="n">
        <v>569335</v>
      </c>
      <c r="J5582" s="0" t="n">
        <v>67177</v>
      </c>
      <c r="K5582" s="0" t="n">
        <v>78944466</v>
      </c>
      <c r="L5582" s="0" t="s">
        <v>2757</v>
      </c>
      <c r="N5582" s="0" t="n">
        <v>150</v>
      </c>
      <c r="O5582" s="0" t="n">
        <v>1976.37</v>
      </c>
      <c r="P5582" s="0" t="s">
        <v>2444</v>
      </c>
    </row>
    <row r="5583" customFormat="false" ht="15" hidden="false" customHeight="true" outlineLevel="0" collapsed="false">
      <c r="A5583" s="0" t="n">
        <v>2</v>
      </c>
      <c r="B5583" s="71" t="n">
        <v>46244</v>
      </c>
      <c r="C5583" s="0" t="n">
        <v>11</v>
      </c>
      <c r="D5583" s="0" t="s">
        <v>2471</v>
      </c>
      <c r="E5583" s="0" t="n">
        <v>1666</v>
      </c>
      <c r="F5583" s="0" t="s">
        <v>266</v>
      </c>
      <c r="I5583" s="0" t="n">
        <v>569335</v>
      </c>
      <c r="J5583" s="0" t="n">
        <v>67622</v>
      </c>
      <c r="K5583" s="0" t="n">
        <v>78944503</v>
      </c>
      <c r="L5583" s="0" t="s">
        <v>2758</v>
      </c>
      <c r="N5583" s="0" t="n">
        <v>50</v>
      </c>
      <c r="O5583" s="0" t="n">
        <v>611.73</v>
      </c>
      <c r="P5583" s="0" t="s">
        <v>2444</v>
      </c>
    </row>
    <row r="5584" customFormat="false" ht="15" hidden="false" customHeight="true" outlineLevel="0" collapsed="false">
      <c r="A5584" s="0" t="n">
        <v>2</v>
      </c>
      <c r="B5584" s="71" t="n">
        <v>46244</v>
      </c>
      <c r="C5584" s="0" t="n">
        <v>11</v>
      </c>
      <c r="D5584" s="0" t="s">
        <v>2471</v>
      </c>
      <c r="E5584" s="0" t="n">
        <v>1666</v>
      </c>
      <c r="F5584" s="0" t="s">
        <v>266</v>
      </c>
      <c r="I5584" s="0" t="n">
        <v>569335</v>
      </c>
      <c r="J5584" s="0" t="n">
        <v>68903</v>
      </c>
      <c r="K5584" s="0" t="n">
        <v>78944473</v>
      </c>
      <c r="L5584" s="0" t="s">
        <v>4698</v>
      </c>
      <c r="N5584" s="0" t="n">
        <v>10</v>
      </c>
      <c r="O5584" s="0" t="n">
        <v>131.76</v>
      </c>
      <c r="P5584" s="0" t="s">
        <v>2444</v>
      </c>
    </row>
    <row r="5585" customFormat="false" ht="15" hidden="false" customHeight="true" outlineLevel="0" collapsed="false">
      <c r="A5585" s="0" t="n">
        <v>2</v>
      </c>
      <c r="B5585" s="71" t="n">
        <v>46244</v>
      </c>
      <c r="C5585" s="0" t="n">
        <v>11</v>
      </c>
      <c r="D5585" s="0" t="s">
        <v>2471</v>
      </c>
      <c r="E5585" s="0" t="n">
        <v>1666</v>
      </c>
      <c r="F5585" s="0" t="s">
        <v>266</v>
      </c>
      <c r="I5585" s="0" t="n">
        <v>569335</v>
      </c>
      <c r="J5585" s="0" t="n">
        <v>71518</v>
      </c>
      <c r="K5585" s="0" t="n">
        <v>78946200</v>
      </c>
      <c r="L5585" s="0" t="s">
        <v>2759</v>
      </c>
      <c r="N5585" s="0" t="n">
        <v>50</v>
      </c>
      <c r="O5585" s="0" t="n">
        <v>517.62</v>
      </c>
      <c r="P5585" s="0" t="s">
        <v>2444</v>
      </c>
    </row>
    <row r="5586" customFormat="false" ht="15" hidden="false" customHeight="true" outlineLevel="0" collapsed="false">
      <c r="A5586" s="0" t="n">
        <v>2</v>
      </c>
      <c r="B5586" s="71" t="n">
        <v>46244</v>
      </c>
      <c r="C5586" s="0" t="n">
        <v>11</v>
      </c>
      <c r="D5586" s="0" t="s">
        <v>2471</v>
      </c>
      <c r="E5586" s="0" t="n">
        <v>1666</v>
      </c>
      <c r="F5586" s="0" t="s">
        <v>266</v>
      </c>
      <c r="I5586" s="0" t="n">
        <v>569335</v>
      </c>
      <c r="J5586" s="0" t="n">
        <v>77084</v>
      </c>
      <c r="K5586" s="0" t="n">
        <v>78947535</v>
      </c>
      <c r="L5586" s="0" t="s">
        <v>2760</v>
      </c>
      <c r="N5586" s="0" t="n">
        <v>100</v>
      </c>
      <c r="O5586" s="0" t="n">
        <v>1741.08</v>
      </c>
      <c r="P5586" s="0" t="s">
        <v>2444</v>
      </c>
    </row>
    <row r="5587" customFormat="false" ht="15" hidden="false" customHeight="true" outlineLevel="0" collapsed="false">
      <c r="A5587" s="0" t="n">
        <v>2</v>
      </c>
      <c r="B5587" s="71" t="n">
        <v>46244</v>
      </c>
      <c r="C5587" s="0" t="n">
        <v>11</v>
      </c>
      <c r="D5587" s="0" t="s">
        <v>2471</v>
      </c>
      <c r="E5587" s="0" t="n">
        <v>1666</v>
      </c>
      <c r="F5587" s="0" t="s">
        <v>266</v>
      </c>
      <c r="I5587" s="0" t="n">
        <v>569335</v>
      </c>
      <c r="J5587" s="0" t="n">
        <v>78026</v>
      </c>
      <c r="K5587" s="0" t="n">
        <v>78947504</v>
      </c>
      <c r="L5587" s="0" t="s">
        <v>2761</v>
      </c>
      <c r="N5587" s="0" t="n">
        <v>100</v>
      </c>
      <c r="O5587" s="0" t="n">
        <v>1505.8</v>
      </c>
      <c r="P5587" s="0" t="s">
        <v>2444</v>
      </c>
    </row>
    <row r="5588" customFormat="false" ht="15" hidden="false" customHeight="true" outlineLevel="0" collapsed="false">
      <c r="A5588" s="0" t="n">
        <v>2</v>
      </c>
      <c r="B5588" s="71" t="n">
        <v>46244</v>
      </c>
      <c r="C5588" s="0" t="n">
        <v>11</v>
      </c>
      <c r="D5588" s="0" t="s">
        <v>2471</v>
      </c>
      <c r="E5588" s="0" t="n">
        <v>1659</v>
      </c>
      <c r="F5588" s="0" t="s">
        <v>214</v>
      </c>
      <c r="I5588" s="0" t="n">
        <v>889827</v>
      </c>
      <c r="J5588" s="0" t="n">
        <v>13262</v>
      </c>
      <c r="K5588" s="0" t="n">
        <v>7896533711505</v>
      </c>
      <c r="L5588" s="0" t="s">
        <v>4699</v>
      </c>
      <c r="N5588" s="0" t="n">
        <v>400</v>
      </c>
      <c r="O5588" s="0" t="n">
        <v>698</v>
      </c>
      <c r="P5588" s="0" t="s">
        <v>2444</v>
      </c>
    </row>
    <row r="5589" customFormat="false" ht="15" hidden="false" customHeight="true" outlineLevel="0" collapsed="false">
      <c r="A5589" s="0" t="n">
        <v>2</v>
      </c>
      <c r="B5589" s="71" t="n">
        <v>46244</v>
      </c>
      <c r="C5589" s="0" t="n">
        <v>11</v>
      </c>
      <c r="D5589" s="0" t="s">
        <v>2471</v>
      </c>
      <c r="E5589" s="0" t="n">
        <v>1621</v>
      </c>
      <c r="F5589" s="0" t="s">
        <v>232</v>
      </c>
      <c r="I5589" s="0" t="n">
        <v>948218</v>
      </c>
      <c r="J5589" s="0" t="n">
        <v>26171</v>
      </c>
      <c r="K5589" s="0" t="n">
        <v>7891149000005</v>
      </c>
      <c r="L5589" s="0" t="s">
        <v>3080</v>
      </c>
      <c r="N5589" s="0" t="n">
        <v>48</v>
      </c>
      <c r="O5589" s="0" t="n">
        <v>210.920025</v>
      </c>
      <c r="P5589" s="0" t="s">
        <v>2444</v>
      </c>
    </row>
    <row r="5590" customFormat="false" ht="15" hidden="false" customHeight="true" outlineLevel="0" collapsed="false">
      <c r="A5590" s="0" t="n">
        <v>2</v>
      </c>
      <c r="B5590" s="71" t="n">
        <v>46244</v>
      </c>
      <c r="C5590" s="0" t="n">
        <v>11</v>
      </c>
      <c r="D5590" s="0" t="s">
        <v>2471</v>
      </c>
      <c r="E5590" s="0" t="n">
        <v>1621</v>
      </c>
      <c r="F5590" s="0" t="s">
        <v>232</v>
      </c>
      <c r="I5590" s="0" t="n">
        <v>948218</v>
      </c>
      <c r="J5590" s="0" t="n">
        <v>52560</v>
      </c>
      <c r="K5590" s="0" t="n">
        <v>7891991299619</v>
      </c>
      <c r="L5590" s="0" t="s">
        <v>4042</v>
      </c>
      <c r="N5590" s="0" t="n">
        <v>168</v>
      </c>
      <c r="O5590" s="0" t="n">
        <v>913.469963</v>
      </c>
      <c r="P5590" s="0" t="s">
        <v>2444</v>
      </c>
    </row>
    <row r="5591" customFormat="false" ht="15" hidden="false" customHeight="true" outlineLevel="0" collapsed="false">
      <c r="A5591" s="0" t="n">
        <v>2</v>
      </c>
      <c r="B5591" s="71" t="n">
        <v>46244</v>
      </c>
      <c r="C5591" s="0" t="n">
        <v>11</v>
      </c>
      <c r="D5591" s="0" t="s">
        <v>2471</v>
      </c>
      <c r="E5591" s="0" t="n">
        <v>1740</v>
      </c>
      <c r="F5591" s="0" t="s">
        <v>468</v>
      </c>
      <c r="I5591" s="0" t="n">
        <v>1257279</v>
      </c>
      <c r="J5591" s="0" t="n">
        <v>12790</v>
      </c>
      <c r="K5591" s="0" t="n">
        <v>7891164026530</v>
      </c>
      <c r="L5591" s="0" t="s">
        <v>4700</v>
      </c>
      <c r="N5591" s="0" t="n">
        <v>8</v>
      </c>
      <c r="O5591" s="0" t="n">
        <v>127.28</v>
      </c>
      <c r="P5591" s="0" t="s">
        <v>2444</v>
      </c>
    </row>
    <row r="5592" customFormat="false" ht="15" hidden="false" customHeight="true" outlineLevel="0" collapsed="false">
      <c r="A5592" s="0" t="n">
        <v>2</v>
      </c>
      <c r="B5592" s="71" t="n">
        <v>46244</v>
      </c>
      <c r="C5592" s="0" t="n">
        <v>11</v>
      </c>
      <c r="D5592" s="0" t="s">
        <v>2471</v>
      </c>
      <c r="E5592" s="0" t="n">
        <v>1740</v>
      </c>
      <c r="F5592" s="0" t="s">
        <v>468</v>
      </c>
      <c r="I5592" s="0" t="n">
        <v>1257279</v>
      </c>
      <c r="J5592" s="0" t="n">
        <v>14658</v>
      </c>
      <c r="K5592" s="0" t="n">
        <v>7891164020149</v>
      </c>
      <c r="L5592" s="0" t="s">
        <v>4701</v>
      </c>
      <c r="N5592" s="0" t="n">
        <v>36</v>
      </c>
      <c r="O5592" s="0" t="n">
        <v>41.24</v>
      </c>
      <c r="P5592" s="0" t="s">
        <v>2444</v>
      </c>
    </row>
    <row r="5593" customFormat="false" ht="15" hidden="false" customHeight="true" outlineLevel="0" collapsed="false">
      <c r="A5593" s="0" t="n">
        <v>2</v>
      </c>
      <c r="B5593" s="71" t="n">
        <v>46244</v>
      </c>
      <c r="C5593" s="0" t="n">
        <v>11</v>
      </c>
      <c r="D5593" s="0" t="s">
        <v>2471</v>
      </c>
      <c r="E5593" s="0" t="n">
        <v>1740</v>
      </c>
      <c r="F5593" s="0" t="s">
        <v>468</v>
      </c>
      <c r="I5593" s="0" t="n">
        <v>1257279</v>
      </c>
      <c r="J5593" s="0" t="n">
        <v>61516</v>
      </c>
      <c r="K5593" s="0" t="n">
        <v>7891164007195</v>
      </c>
      <c r="L5593" s="0" t="s">
        <v>4702</v>
      </c>
      <c r="N5593" s="0" t="n">
        <v>14</v>
      </c>
      <c r="O5593" s="0" t="n">
        <v>107.1</v>
      </c>
      <c r="P5593" s="0" t="s">
        <v>2444</v>
      </c>
    </row>
    <row r="5594" customFormat="false" ht="15" hidden="false" customHeight="true" outlineLevel="0" collapsed="false">
      <c r="A5594" s="0" t="n">
        <v>2</v>
      </c>
      <c r="B5594" s="71" t="n">
        <v>46244</v>
      </c>
      <c r="C5594" s="0" t="n">
        <v>11</v>
      </c>
      <c r="D5594" s="0" t="s">
        <v>2471</v>
      </c>
      <c r="E5594" s="0" t="n">
        <v>1740</v>
      </c>
      <c r="F5594" s="0" t="s">
        <v>468</v>
      </c>
      <c r="I5594" s="0" t="n">
        <v>1257279</v>
      </c>
      <c r="J5594" s="0" t="n">
        <v>61666</v>
      </c>
      <c r="K5594" s="0" t="n">
        <v>7891164007188</v>
      </c>
      <c r="L5594" s="0" t="s">
        <v>4703</v>
      </c>
      <c r="N5594" s="0" t="n">
        <v>14</v>
      </c>
      <c r="O5594" s="0" t="n">
        <v>88.85</v>
      </c>
      <c r="P5594" s="0" t="s">
        <v>2444</v>
      </c>
    </row>
    <row r="5595" customFormat="false" ht="15" hidden="false" customHeight="true" outlineLevel="0" collapsed="false">
      <c r="A5595" s="0" t="n">
        <v>2</v>
      </c>
      <c r="B5595" s="71" t="n">
        <v>46244</v>
      </c>
      <c r="C5595" s="0" t="n">
        <v>11</v>
      </c>
      <c r="D5595" s="0" t="s">
        <v>2471</v>
      </c>
      <c r="E5595" s="0" t="n">
        <v>1683</v>
      </c>
      <c r="F5595" s="0" t="s">
        <v>406</v>
      </c>
      <c r="I5595" s="0" t="n">
        <v>1661052</v>
      </c>
      <c r="J5595" s="0" t="n">
        <v>109791</v>
      </c>
      <c r="K5595" s="0" t="n">
        <v>9667</v>
      </c>
      <c r="L5595" s="0" t="s">
        <v>2465</v>
      </c>
      <c r="N5595" s="0" t="n">
        <v>25</v>
      </c>
      <c r="O5595" s="0" t="n">
        <v>37.5</v>
      </c>
      <c r="P5595" s="0" t="s">
        <v>2444</v>
      </c>
    </row>
    <row r="5596" customFormat="false" ht="15" hidden="false" customHeight="true" outlineLevel="0" collapsed="false">
      <c r="A5596" s="0" t="n">
        <v>2</v>
      </c>
      <c r="B5596" s="71" t="n">
        <v>46244</v>
      </c>
      <c r="C5596" s="0" t="n">
        <v>11</v>
      </c>
      <c r="D5596" s="0" t="s">
        <v>2471</v>
      </c>
      <c r="E5596" s="0" t="n">
        <v>1683</v>
      </c>
      <c r="F5596" s="0" t="s">
        <v>406</v>
      </c>
      <c r="I5596" s="0" t="n">
        <v>1661052</v>
      </c>
      <c r="J5596" s="0" t="n">
        <v>37359</v>
      </c>
      <c r="K5596" s="0" t="n">
        <v>55526</v>
      </c>
      <c r="L5596" s="0" t="s">
        <v>2466</v>
      </c>
      <c r="N5596" s="0" t="n">
        <v>10</v>
      </c>
      <c r="O5596" s="0" t="n">
        <v>35</v>
      </c>
      <c r="P5596" s="0" t="s">
        <v>2444</v>
      </c>
    </row>
    <row r="5597" customFormat="false" ht="15" hidden="false" customHeight="true" outlineLevel="0" collapsed="false">
      <c r="A5597" s="0" t="n">
        <v>2</v>
      </c>
      <c r="B5597" s="71" t="n">
        <v>46244</v>
      </c>
      <c r="C5597" s="0" t="n">
        <v>11</v>
      </c>
      <c r="D5597" s="0" t="s">
        <v>2471</v>
      </c>
      <c r="E5597" s="0" t="n">
        <v>1683</v>
      </c>
      <c r="F5597" s="0" t="s">
        <v>406</v>
      </c>
      <c r="I5597" s="0" t="n">
        <v>1661052</v>
      </c>
      <c r="J5597" s="0" t="n">
        <v>37361</v>
      </c>
      <c r="K5597" s="0" t="n">
        <v>2240817</v>
      </c>
      <c r="L5597" s="0" t="s">
        <v>2467</v>
      </c>
      <c r="N5597" s="0" t="n">
        <v>80</v>
      </c>
      <c r="O5597" s="0" t="n">
        <v>144</v>
      </c>
      <c r="P5597" s="0" t="s">
        <v>2444</v>
      </c>
    </row>
    <row r="5598" customFormat="false" ht="15" hidden="false" customHeight="true" outlineLevel="0" collapsed="false">
      <c r="A5598" s="0" t="n">
        <v>2</v>
      </c>
      <c r="B5598" s="71" t="n">
        <v>46244</v>
      </c>
      <c r="C5598" s="0" t="n">
        <v>11</v>
      </c>
      <c r="D5598" s="0" t="s">
        <v>2471</v>
      </c>
      <c r="E5598" s="0" t="n">
        <v>1683</v>
      </c>
      <c r="F5598" s="0" t="s">
        <v>406</v>
      </c>
      <c r="I5598" s="0" t="n">
        <v>1661057</v>
      </c>
      <c r="J5598" s="0" t="n">
        <v>37359</v>
      </c>
      <c r="K5598" s="0" t="n">
        <v>55526</v>
      </c>
      <c r="L5598" s="0" t="s">
        <v>2466</v>
      </c>
      <c r="N5598" s="0" t="n">
        <v>8</v>
      </c>
      <c r="O5598" s="0" t="n">
        <v>28</v>
      </c>
      <c r="P5598" s="0" t="s">
        <v>2444</v>
      </c>
    </row>
    <row r="5599" customFormat="false" ht="15" hidden="false" customHeight="true" outlineLevel="0" collapsed="false">
      <c r="A5599" s="0" t="n">
        <v>2</v>
      </c>
      <c r="B5599" s="71" t="n">
        <v>46244</v>
      </c>
      <c r="C5599" s="0" t="n">
        <v>11</v>
      </c>
      <c r="D5599" s="0" t="s">
        <v>2471</v>
      </c>
      <c r="E5599" s="0" t="n">
        <v>1683</v>
      </c>
      <c r="F5599" s="0" t="s">
        <v>406</v>
      </c>
      <c r="I5599" s="0" t="n">
        <v>1661057</v>
      </c>
      <c r="J5599" s="0" t="n">
        <v>37361</v>
      </c>
      <c r="K5599" s="0" t="n">
        <v>2240817</v>
      </c>
      <c r="L5599" s="0" t="s">
        <v>2467</v>
      </c>
      <c r="N5599" s="0" t="n">
        <v>60</v>
      </c>
      <c r="O5599" s="0" t="n">
        <v>108</v>
      </c>
      <c r="P5599" s="0" t="s">
        <v>2444</v>
      </c>
    </row>
    <row r="5600" customFormat="false" ht="15" hidden="false" customHeight="true" outlineLevel="0" collapsed="false">
      <c r="A5600" s="0" t="n">
        <v>2</v>
      </c>
      <c r="B5600" s="71" t="n">
        <v>46244</v>
      </c>
      <c r="C5600" s="0" t="n">
        <v>22</v>
      </c>
      <c r="D5600" s="0" t="s">
        <v>2479</v>
      </c>
      <c r="E5600" s="0" t="n">
        <v>48</v>
      </c>
      <c r="F5600" s="0" t="s">
        <v>153</v>
      </c>
      <c r="I5600" s="0" t="n">
        <v>2598</v>
      </c>
      <c r="J5600" s="0" t="n">
        <v>100000</v>
      </c>
      <c r="K5600" s="0" t="n">
        <v>1</v>
      </c>
      <c r="L5600" s="0" t="s">
        <v>2480</v>
      </c>
      <c r="N5600" s="0" t="n">
        <v>2.48</v>
      </c>
      <c r="O5600" s="0" t="n">
        <v>49.69</v>
      </c>
      <c r="P5600" s="0" t="s">
        <v>2444</v>
      </c>
    </row>
    <row r="5601" customFormat="false" ht="15" hidden="false" customHeight="true" outlineLevel="0" collapsed="false">
      <c r="A5601" s="0" t="n">
        <v>2</v>
      </c>
      <c r="B5601" s="71" t="n">
        <v>46244</v>
      </c>
      <c r="C5601" s="0" t="n">
        <v>22</v>
      </c>
      <c r="D5601" s="0" t="s">
        <v>2479</v>
      </c>
      <c r="E5601" s="0" t="n">
        <v>48</v>
      </c>
      <c r="F5601" s="0" t="s">
        <v>153</v>
      </c>
      <c r="I5601" s="0" t="n">
        <v>2598</v>
      </c>
      <c r="J5601" s="0" t="n">
        <v>100000</v>
      </c>
      <c r="K5601" s="0" t="n">
        <v>1</v>
      </c>
      <c r="L5601" s="0" t="s">
        <v>2480</v>
      </c>
      <c r="N5601" s="0" t="n">
        <v>2.88</v>
      </c>
      <c r="O5601" s="0" t="n">
        <v>58.19</v>
      </c>
      <c r="P5601" s="0" t="s">
        <v>2444</v>
      </c>
    </row>
    <row r="5602" customFormat="false" ht="15" hidden="false" customHeight="true" outlineLevel="0" collapsed="false">
      <c r="A5602" s="0" t="n">
        <v>2</v>
      </c>
      <c r="B5602" s="71" t="n">
        <v>46244</v>
      </c>
      <c r="C5602" s="0" t="n">
        <v>22</v>
      </c>
      <c r="D5602" s="0" t="s">
        <v>2479</v>
      </c>
      <c r="E5602" s="0" t="n">
        <v>48</v>
      </c>
      <c r="F5602" s="0" t="s">
        <v>153</v>
      </c>
      <c r="I5602" s="0" t="n">
        <v>2598</v>
      </c>
      <c r="J5602" s="0" t="n">
        <v>100001</v>
      </c>
      <c r="K5602" s="0" t="n">
        <v>2</v>
      </c>
      <c r="L5602" s="0" t="s">
        <v>2481</v>
      </c>
      <c r="N5602" s="0" t="n">
        <v>6.845</v>
      </c>
      <c r="O5602" s="0" t="n">
        <v>148.59</v>
      </c>
      <c r="P5602" s="0" t="s">
        <v>2444</v>
      </c>
    </row>
    <row r="5603" customFormat="false" ht="15" hidden="false" customHeight="true" outlineLevel="0" collapsed="false">
      <c r="A5603" s="0" t="n">
        <v>2</v>
      </c>
      <c r="B5603" s="71" t="n">
        <v>46244</v>
      </c>
      <c r="C5603" s="0" t="n">
        <v>22</v>
      </c>
      <c r="D5603" s="0" t="s">
        <v>2479</v>
      </c>
      <c r="E5603" s="0" t="n">
        <v>48</v>
      </c>
      <c r="F5603" s="0" t="s">
        <v>153</v>
      </c>
      <c r="I5603" s="0" t="n">
        <v>2598</v>
      </c>
      <c r="J5603" s="0" t="n">
        <v>100002</v>
      </c>
      <c r="K5603" s="0" t="n">
        <v>3</v>
      </c>
      <c r="L5603" s="0" t="s">
        <v>2482</v>
      </c>
      <c r="N5603" s="0" t="n">
        <v>16.22</v>
      </c>
      <c r="O5603" s="0" t="n">
        <v>406.29</v>
      </c>
      <c r="P5603" s="0" t="s">
        <v>2444</v>
      </c>
    </row>
    <row r="5604" customFormat="false" ht="15" hidden="false" customHeight="true" outlineLevel="0" collapsed="false">
      <c r="A5604" s="0" t="n">
        <v>2</v>
      </c>
      <c r="B5604" s="71" t="n">
        <v>46244</v>
      </c>
      <c r="C5604" s="0" t="n">
        <v>22</v>
      </c>
      <c r="D5604" s="0" t="s">
        <v>2479</v>
      </c>
      <c r="E5604" s="0" t="n">
        <v>48</v>
      </c>
      <c r="F5604" s="0" t="s">
        <v>153</v>
      </c>
      <c r="I5604" s="0" t="n">
        <v>2598</v>
      </c>
      <c r="J5604" s="0" t="n">
        <v>100003</v>
      </c>
      <c r="K5604" s="0" t="n">
        <v>4</v>
      </c>
      <c r="L5604" s="0" t="s">
        <v>2483</v>
      </c>
      <c r="N5604" s="0" t="n">
        <v>10.3</v>
      </c>
      <c r="O5604" s="0" t="n">
        <v>275.21</v>
      </c>
      <c r="P5604" s="0" t="s">
        <v>2444</v>
      </c>
    </row>
    <row r="5605" customFormat="false" ht="15" hidden="false" customHeight="true" outlineLevel="0" collapsed="false">
      <c r="A5605" s="0" t="n">
        <v>2</v>
      </c>
      <c r="B5605" s="71" t="n">
        <v>46244</v>
      </c>
      <c r="C5605" s="0" t="n">
        <v>22</v>
      </c>
      <c r="D5605" s="0" t="s">
        <v>2479</v>
      </c>
      <c r="E5605" s="0" t="n">
        <v>48</v>
      </c>
      <c r="F5605" s="0" t="s">
        <v>153</v>
      </c>
      <c r="I5605" s="0" t="n">
        <v>2598</v>
      </c>
      <c r="J5605" s="0" t="n">
        <v>100004</v>
      </c>
      <c r="K5605" s="0" t="n">
        <v>5</v>
      </c>
      <c r="L5605" s="0" t="s">
        <v>2484</v>
      </c>
      <c r="N5605" s="0" t="n">
        <v>0.912</v>
      </c>
      <c r="O5605" s="0" t="n">
        <v>21.32</v>
      </c>
      <c r="P5605" s="0" t="s">
        <v>2444</v>
      </c>
    </row>
    <row r="5606" customFormat="false" ht="15" hidden="false" customHeight="true" outlineLevel="0" collapsed="false">
      <c r="A5606" s="0" t="n">
        <v>2</v>
      </c>
      <c r="B5606" s="71" t="n">
        <v>46244</v>
      </c>
      <c r="C5606" s="0" t="n">
        <v>22</v>
      </c>
      <c r="D5606" s="0" t="s">
        <v>2479</v>
      </c>
      <c r="E5606" s="0" t="n">
        <v>48</v>
      </c>
      <c r="F5606" s="0" t="s">
        <v>153</v>
      </c>
      <c r="I5606" s="0" t="n">
        <v>2598</v>
      </c>
      <c r="J5606" s="0" t="n">
        <v>100005</v>
      </c>
      <c r="K5606" s="0" t="n">
        <v>6</v>
      </c>
      <c r="L5606" s="0" t="s">
        <v>2582</v>
      </c>
      <c r="N5606" s="0" t="n">
        <v>2.226</v>
      </c>
      <c r="O5606" s="0" t="n">
        <v>57.26</v>
      </c>
      <c r="P5606" s="0" t="s">
        <v>2444</v>
      </c>
    </row>
    <row r="5607" customFormat="false" ht="15" hidden="false" customHeight="true" outlineLevel="0" collapsed="false">
      <c r="A5607" s="0" t="n">
        <v>2</v>
      </c>
      <c r="B5607" s="71" t="n">
        <v>46244</v>
      </c>
      <c r="C5607" s="0" t="n">
        <v>22</v>
      </c>
      <c r="D5607" s="0" t="s">
        <v>2479</v>
      </c>
      <c r="E5607" s="0" t="n">
        <v>48</v>
      </c>
      <c r="F5607" s="0" t="s">
        <v>153</v>
      </c>
      <c r="I5607" s="0" t="n">
        <v>2598</v>
      </c>
      <c r="J5607" s="0" t="n">
        <v>100005</v>
      </c>
      <c r="K5607" s="0" t="n">
        <v>6</v>
      </c>
      <c r="L5607" s="0" t="s">
        <v>2582</v>
      </c>
      <c r="N5607" s="0" t="n">
        <v>2.32</v>
      </c>
      <c r="O5607" s="0" t="n">
        <v>58.11</v>
      </c>
      <c r="P5607" s="0" t="s">
        <v>2444</v>
      </c>
    </row>
    <row r="5608" customFormat="false" ht="15" hidden="false" customHeight="true" outlineLevel="0" collapsed="false">
      <c r="A5608" s="0" t="n">
        <v>2</v>
      </c>
      <c r="B5608" s="71" t="n">
        <v>46244</v>
      </c>
      <c r="C5608" s="0" t="n">
        <v>22</v>
      </c>
      <c r="D5608" s="0" t="s">
        <v>2479</v>
      </c>
      <c r="E5608" s="0" t="n">
        <v>48</v>
      </c>
      <c r="F5608" s="0" t="s">
        <v>153</v>
      </c>
      <c r="I5608" s="0" t="n">
        <v>2598</v>
      </c>
      <c r="J5608" s="0" t="n">
        <v>100006</v>
      </c>
      <c r="K5608" s="0" t="n">
        <v>7</v>
      </c>
      <c r="L5608" s="0" t="s">
        <v>2485</v>
      </c>
      <c r="N5608" s="0" t="n">
        <v>2.37</v>
      </c>
      <c r="O5608" s="0" t="n">
        <v>67.85</v>
      </c>
      <c r="P5608" s="0" t="s">
        <v>2444</v>
      </c>
    </row>
    <row r="5609" customFormat="false" ht="15" hidden="false" customHeight="true" outlineLevel="0" collapsed="false">
      <c r="A5609" s="0" t="n">
        <v>2</v>
      </c>
      <c r="B5609" s="71" t="n">
        <v>46244</v>
      </c>
      <c r="C5609" s="0" t="n">
        <v>22</v>
      </c>
      <c r="D5609" s="0" t="s">
        <v>2479</v>
      </c>
      <c r="E5609" s="0" t="n">
        <v>48</v>
      </c>
      <c r="F5609" s="0" t="s">
        <v>153</v>
      </c>
      <c r="I5609" s="0" t="n">
        <v>2598</v>
      </c>
      <c r="J5609" s="0" t="n">
        <v>100007</v>
      </c>
      <c r="K5609" s="0" t="n">
        <v>8</v>
      </c>
      <c r="L5609" s="0" t="s">
        <v>2486</v>
      </c>
      <c r="N5609" s="0" t="n">
        <v>1.288</v>
      </c>
      <c r="O5609" s="0" t="n">
        <v>31.8</v>
      </c>
      <c r="P5609" s="0" t="s">
        <v>2444</v>
      </c>
    </row>
    <row r="5610" customFormat="false" ht="15" hidden="false" customHeight="true" outlineLevel="0" collapsed="false">
      <c r="A5610" s="0" t="n">
        <v>2</v>
      </c>
      <c r="B5610" s="71" t="n">
        <v>46244</v>
      </c>
      <c r="C5610" s="0" t="n">
        <v>22</v>
      </c>
      <c r="D5610" s="0" t="s">
        <v>2479</v>
      </c>
      <c r="E5610" s="0" t="n">
        <v>48</v>
      </c>
      <c r="F5610" s="0" t="s">
        <v>153</v>
      </c>
      <c r="I5610" s="0" t="n">
        <v>2598</v>
      </c>
      <c r="J5610" s="0" t="n">
        <v>100007</v>
      </c>
      <c r="K5610" s="0" t="n">
        <v>8</v>
      </c>
      <c r="L5610" s="0" t="s">
        <v>2486</v>
      </c>
      <c r="N5610" s="0" t="n">
        <v>2</v>
      </c>
      <c r="O5610" s="0" t="n">
        <v>50.52</v>
      </c>
      <c r="P5610" s="0" t="s">
        <v>2444</v>
      </c>
    </row>
    <row r="5611" customFormat="false" ht="15" hidden="false" customHeight="true" outlineLevel="0" collapsed="false">
      <c r="A5611" s="0" t="n">
        <v>2</v>
      </c>
      <c r="B5611" s="71" t="n">
        <v>46244</v>
      </c>
      <c r="C5611" s="0" t="n">
        <v>22</v>
      </c>
      <c r="D5611" s="0" t="s">
        <v>2479</v>
      </c>
      <c r="E5611" s="0" t="n">
        <v>48</v>
      </c>
      <c r="F5611" s="0" t="s">
        <v>153</v>
      </c>
      <c r="I5611" s="0" t="n">
        <v>2598</v>
      </c>
      <c r="J5611" s="0" t="n">
        <v>100007</v>
      </c>
      <c r="K5611" s="0" t="n">
        <v>8</v>
      </c>
      <c r="L5611" s="0" t="s">
        <v>2486</v>
      </c>
      <c r="N5611" s="0" t="n">
        <v>3.442</v>
      </c>
      <c r="O5611" s="0" t="n">
        <v>86.22</v>
      </c>
      <c r="P5611" s="0" t="s">
        <v>2444</v>
      </c>
    </row>
    <row r="5612" customFormat="false" ht="15" hidden="false" customHeight="true" outlineLevel="0" collapsed="false">
      <c r="A5612" s="0" t="n">
        <v>2</v>
      </c>
      <c r="B5612" s="71" t="n">
        <v>46244</v>
      </c>
      <c r="C5612" s="0" t="n">
        <v>22</v>
      </c>
      <c r="D5612" s="0" t="s">
        <v>2479</v>
      </c>
      <c r="E5612" s="0" t="n">
        <v>48</v>
      </c>
      <c r="F5612" s="0" t="s">
        <v>153</v>
      </c>
      <c r="I5612" s="0" t="n">
        <v>2598</v>
      </c>
      <c r="J5612" s="0" t="n">
        <v>100008</v>
      </c>
      <c r="K5612" s="0" t="n">
        <v>9</v>
      </c>
      <c r="L5612" s="0" t="s">
        <v>2487</v>
      </c>
      <c r="N5612" s="0" t="n">
        <v>9.498</v>
      </c>
      <c r="O5612" s="0" t="n">
        <v>305.62</v>
      </c>
      <c r="P5612" s="0" t="s">
        <v>2444</v>
      </c>
    </row>
    <row r="5613" customFormat="false" ht="15" hidden="false" customHeight="true" outlineLevel="0" collapsed="false">
      <c r="A5613" s="0" t="n">
        <v>2</v>
      </c>
      <c r="B5613" s="71" t="n">
        <v>46244</v>
      </c>
      <c r="C5613" s="0" t="n">
        <v>22</v>
      </c>
      <c r="D5613" s="0" t="s">
        <v>2479</v>
      </c>
      <c r="E5613" s="0" t="n">
        <v>48</v>
      </c>
      <c r="F5613" s="0" t="s">
        <v>153</v>
      </c>
      <c r="I5613" s="0" t="n">
        <v>2598</v>
      </c>
      <c r="J5613" s="0" t="n">
        <v>100008</v>
      </c>
      <c r="K5613" s="0" t="n">
        <v>9</v>
      </c>
      <c r="L5613" s="0" t="s">
        <v>2487</v>
      </c>
      <c r="N5613" s="0" t="n">
        <v>13.9</v>
      </c>
      <c r="O5613" s="0" t="n">
        <v>456.46</v>
      </c>
      <c r="P5613" s="0" t="s">
        <v>2444</v>
      </c>
    </row>
    <row r="5614" customFormat="false" ht="15" hidden="false" customHeight="true" outlineLevel="0" collapsed="false">
      <c r="A5614" s="0" t="n">
        <v>2</v>
      </c>
      <c r="B5614" s="71" t="n">
        <v>46244</v>
      </c>
      <c r="C5614" s="0" t="n">
        <v>22</v>
      </c>
      <c r="D5614" s="0" t="s">
        <v>2479</v>
      </c>
      <c r="E5614" s="0" t="n">
        <v>48</v>
      </c>
      <c r="F5614" s="0" t="s">
        <v>153</v>
      </c>
      <c r="I5614" s="0" t="n">
        <v>2598</v>
      </c>
      <c r="J5614" s="0" t="n">
        <v>100009</v>
      </c>
      <c r="K5614" s="0" t="n">
        <v>10</v>
      </c>
      <c r="L5614" s="0" t="s">
        <v>4704</v>
      </c>
      <c r="N5614" s="0" t="n">
        <v>3.41</v>
      </c>
      <c r="O5614" s="0" t="n">
        <v>125.29</v>
      </c>
      <c r="P5614" s="0" t="s">
        <v>2444</v>
      </c>
    </row>
    <row r="5615" customFormat="false" ht="15" hidden="false" customHeight="true" outlineLevel="0" collapsed="false">
      <c r="A5615" s="0" t="n">
        <v>2</v>
      </c>
      <c r="B5615" s="71" t="n">
        <v>46244</v>
      </c>
      <c r="C5615" s="0" t="n">
        <v>22</v>
      </c>
      <c r="D5615" s="0" t="s">
        <v>2479</v>
      </c>
      <c r="E5615" s="0" t="n">
        <v>48</v>
      </c>
      <c r="F5615" s="0" t="s">
        <v>153</v>
      </c>
      <c r="I5615" s="0" t="n">
        <v>2598</v>
      </c>
      <c r="J5615" s="0" t="n">
        <v>100011</v>
      </c>
      <c r="K5615" s="0" t="n">
        <v>12</v>
      </c>
      <c r="L5615" s="0" t="s">
        <v>2488</v>
      </c>
      <c r="N5615" s="0" t="n">
        <v>8.01</v>
      </c>
      <c r="O5615" s="0" t="n">
        <v>303.52</v>
      </c>
      <c r="P5615" s="0" t="s">
        <v>2444</v>
      </c>
    </row>
    <row r="5616" customFormat="false" ht="15" hidden="false" customHeight="true" outlineLevel="0" collapsed="false">
      <c r="A5616" s="0" t="n">
        <v>2</v>
      </c>
      <c r="B5616" s="71" t="n">
        <v>46244</v>
      </c>
      <c r="C5616" s="0" t="n">
        <v>22</v>
      </c>
      <c r="D5616" s="0" t="s">
        <v>2479</v>
      </c>
      <c r="E5616" s="0" t="n">
        <v>48</v>
      </c>
      <c r="F5616" s="0" t="s">
        <v>153</v>
      </c>
      <c r="I5616" s="0" t="n">
        <v>2598</v>
      </c>
      <c r="J5616" s="0" t="n">
        <v>100012</v>
      </c>
      <c r="K5616" s="0" t="n">
        <v>13</v>
      </c>
      <c r="L5616" s="0" t="s">
        <v>2489</v>
      </c>
      <c r="N5616" s="0" t="n">
        <v>5.49</v>
      </c>
      <c r="O5616" s="0" t="n">
        <v>231.15</v>
      </c>
      <c r="P5616" s="0" t="s">
        <v>2444</v>
      </c>
    </row>
    <row r="5617" customFormat="false" ht="15" hidden="false" customHeight="true" outlineLevel="0" collapsed="false">
      <c r="A5617" s="0" t="n">
        <v>2</v>
      </c>
      <c r="B5617" s="71" t="n">
        <v>46244</v>
      </c>
      <c r="C5617" s="0" t="n">
        <v>22</v>
      </c>
      <c r="D5617" s="0" t="s">
        <v>2479</v>
      </c>
      <c r="E5617" s="0" t="n">
        <v>48</v>
      </c>
      <c r="F5617" s="0" t="s">
        <v>153</v>
      </c>
      <c r="I5617" s="0" t="n">
        <v>2598</v>
      </c>
      <c r="J5617" s="0" t="n">
        <v>100013</v>
      </c>
      <c r="K5617" s="0" t="n">
        <v>14</v>
      </c>
      <c r="L5617" s="0" t="s">
        <v>2490</v>
      </c>
      <c r="N5617" s="0" t="n">
        <v>10.33</v>
      </c>
      <c r="O5617" s="0" t="n">
        <v>461.03</v>
      </c>
      <c r="P5617" s="0" t="s">
        <v>2444</v>
      </c>
    </row>
    <row r="5618" customFormat="false" ht="15" hidden="false" customHeight="true" outlineLevel="0" collapsed="false">
      <c r="A5618" s="0" t="n">
        <v>2</v>
      </c>
      <c r="B5618" s="71" t="n">
        <v>46244</v>
      </c>
      <c r="C5618" s="0" t="n">
        <v>22</v>
      </c>
      <c r="D5618" s="0" t="s">
        <v>2479</v>
      </c>
      <c r="E5618" s="0" t="n">
        <v>48</v>
      </c>
      <c r="F5618" s="0" t="s">
        <v>153</v>
      </c>
      <c r="I5618" s="0" t="n">
        <v>2598</v>
      </c>
      <c r="J5618" s="0" t="n">
        <v>100014</v>
      </c>
      <c r="K5618" s="0" t="n">
        <v>15</v>
      </c>
      <c r="L5618" s="0" t="s">
        <v>2491</v>
      </c>
      <c r="N5618" s="0" t="n">
        <v>4.33</v>
      </c>
      <c r="O5618" s="0" t="n">
        <v>196.9</v>
      </c>
      <c r="P5618" s="0" t="s">
        <v>2444</v>
      </c>
    </row>
    <row r="5619" customFormat="false" ht="15" hidden="false" customHeight="true" outlineLevel="0" collapsed="false">
      <c r="A5619" s="0" t="n">
        <v>2</v>
      </c>
      <c r="B5619" s="71" t="n">
        <v>46244</v>
      </c>
      <c r="C5619" s="0" t="n">
        <v>22</v>
      </c>
      <c r="D5619" s="0" t="s">
        <v>2479</v>
      </c>
      <c r="E5619" s="0" t="n">
        <v>48</v>
      </c>
      <c r="F5619" s="0" t="s">
        <v>153</v>
      </c>
      <c r="I5619" s="0" t="n">
        <v>2598</v>
      </c>
      <c r="J5619" s="0" t="n">
        <v>100015</v>
      </c>
      <c r="K5619" s="0" t="n">
        <v>16</v>
      </c>
      <c r="L5619" s="0" t="s">
        <v>2492</v>
      </c>
      <c r="N5619" s="0" t="n">
        <v>1.53</v>
      </c>
      <c r="O5619" s="0" t="n">
        <v>61.84</v>
      </c>
      <c r="P5619" s="0" t="s">
        <v>2444</v>
      </c>
    </row>
    <row r="5620" customFormat="false" ht="15" hidden="false" customHeight="true" outlineLevel="0" collapsed="false">
      <c r="A5620" s="0" t="n">
        <v>2</v>
      </c>
      <c r="B5620" s="71" t="n">
        <v>46244</v>
      </c>
      <c r="C5620" s="0" t="n">
        <v>22</v>
      </c>
      <c r="D5620" s="0" t="s">
        <v>2479</v>
      </c>
      <c r="E5620" s="0" t="n">
        <v>48</v>
      </c>
      <c r="F5620" s="0" t="s">
        <v>153</v>
      </c>
      <c r="I5620" s="0" t="n">
        <v>2598</v>
      </c>
      <c r="J5620" s="0" t="n">
        <v>100016</v>
      </c>
      <c r="K5620" s="0" t="n">
        <v>17</v>
      </c>
      <c r="L5620" s="0" t="s">
        <v>2493</v>
      </c>
      <c r="N5620" s="0" t="n">
        <v>3.143</v>
      </c>
      <c r="O5620" s="0" t="n">
        <v>180.95</v>
      </c>
      <c r="P5620" s="0" t="s">
        <v>2444</v>
      </c>
    </row>
    <row r="5621" customFormat="false" ht="15" hidden="false" customHeight="true" outlineLevel="0" collapsed="false">
      <c r="A5621" s="0" t="n">
        <v>2</v>
      </c>
      <c r="B5621" s="71" t="n">
        <v>46244</v>
      </c>
      <c r="C5621" s="0" t="n">
        <v>22</v>
      </c>
      <c r="D5621" s="0" t="s">
        <v>2479</v>
      </c>
      <c r="E5621" s="0" t="n">
        <v>48</v>
      </c>
      <c r="F5621" s="0" t="s">
        <v>153</v>
      </c>
      <c r="I5621" s="0" t="n">
        <v>2598</v>
      </c>
      <c r="J5621" s="0" t="n">
        <v>100016</v>
      </c>
      <c r="K5621" s="0" t="n">
        <v>17</v>
      </c>
      <c r="L5621" s="0" t="s">
        <v>2493</v>
      </c>
      <c r="N5621" s="0" t="n">
        <v>1.62</v>
      </c>
      <c r="O5621" s="0" t="n">
        <v>95.5</v>
      </c>
      <c r="P5621" s="0" t="s">
        <v>2444</v>
      </c>
    </row>
    <row r="5622" customFormat="false" ht="15" hidden="false" customHeight="true" outlineLevel="0" collapsed="false">
      <c r="A5622" s="0" t="n">
        <v>2</v>
      </c>
      <c r="B5622" s="71" t="n">
        <v>46244</v>
      </c>
      <c r="C5622" s="0" t="n">
        <v>22</v>
      </c>
      <c r="D5622" s="0" t="s">
        <v>2479</v>
      </c>
      <c r="E5622" s="0" t="n">
        <v>48</v>
      </c>
      <c r="F5622" s="0" t="s">
        <v>153</v>
      </c>
      <c r="I5622" s="0" t="n">
        <v>2598</v>
      </c>
      <c r="J5622" s="0" t="n">
        <v>100018</v>
      </c>
      <c r="K5622" s="0" t="n">
        <v>19</v>
      </c>
      <c r="L5622" s="0" t="s">
        <v>3883</v>
      </c>
      <c r="N5622" s="0" t="n">
        <v>11.639</v>
      </c>
      <c r="O5622" s="0" t="n">
        <v>524.76</v>
      </c>
      <c r="P5622" s="0" t="s">
        <v>2444</v>
      </c>
    </row>
    <row r="5623" customFormat="false" ht="15" hidden="false" customHeight="true" outlineLevel="0" collapsed="false">
      <c r="A5623" s="0" t="n">
        <v>2</v>
      </c>
      <c r="B5623" s="71" t="n">
        <v>46244</v>
      </c>
      <c r="C5623" s="0" t="n">
        <v>22</v>
      </c>
      <c r="D5623" s="0" t="s">
        <v>2479</v>
      </c>
      <c r="E5623" s="0" t="n">
        <v>48</v>
      </c>
      <c r="F5623" s="0" t="s">
        <v>153</v>
      </c>
      <c r="I5623" s="0" t="n">
        <v>2598</v>
      </c>
      <c r="J5623" s="0" t="n">
        <v>100019</v>
      </c>
      <c r="K5623" s="0" t="n">
        <v>20</v>
      </c>
      <c r="L5623" s="0" t="s">
        <v>3779</v>
      </c>
      <c r="N5623" s="0" t="n">
        <v>1.95</v>
      </c>
      <c r="O5623" s="0" t="n">
        <v>68.96</v>
      </c>
      <c r="P5623" s="0" t="s">
        <v>2444</v>
      </c>
    </row>
    <row r="5624" customFormat="false" ht="15" hidden="false" customHeight="true" outlineLevel="0" collapsed="false">
      <c r="A5624" s="0" t="n">
        <v>2</v>
      </c>
      <c r="B5624" s="71" t="n">
        <v>46244</v>
      </c>
      <c r="C5624" s="0" t="n">
        <v>22</v>
      </c>
      <c r="D5624" s="0" t="s">
        <v>2479</v>
      </c>
      <c r="E5624" s="0" t="n">
        <v>48</v>
      </c>
      <c r="F5624" s="0" t="s">
        <v>153</v>
      </c>
      <c r="I5624" s="0" t="n">
        <v>2598</v>
      </c>
      <c r="J5624" s="0" t="n">
        <v>100053</v>
      </c>
      <c r="K5624" s="0" t="n">
        <v>54</v>
      </c>
      <c r="L5624" s="0" t="s">
        <v>2495</v>
      </c>
      <c r="N5624" s="0" t="n">
        <v>1.34</v>
      </c>
      <c r="O5624" s="0" t="n">
        <v>49.65</v>
      </c>
      <c r="P5624" s="0" t="s">
        <v>2444</v>
      </c>
    </row>
    <row r="5625" customFormat="false" ht="15" hidden="false" customHeight="true" outlineLevel="0" collapsed="false">
      <c r="A5625" s="0" t="n">
        <v>2</v>
      </c>
      <c r="B5625" s="71" t="n">
        <v>46244</v>
      </c>
      <c r="C5625" s="0" t="n">
        <v>22</v>
      </c>
      <c r="D5625" s="0" t="s">
        <v>2479</v>
      </c>
      <c r="E5625" s="0" t="n">
        <v>48</v>
      </c>
      <c r="F5625" s="0" t="s">
        <v>153</v>
      </c>
      <c r="I5625" s="0" t="n">
        <v>2598</v>
      </c>
      <c r="J5625" s="0" t="n">
        <v>100053</v>
      </c>
      <c r="K5625" s="0" t="n">
        <v>54</v>
      </c>
      <c r="L5625" s="0" t="s">
        <v>2495</v>
      </c>
      <c r="N5625" s="0" t="n">
        <v>3.68</v>
      </c>
      <c r="O5625" s="0" t="n">
        <v>134.9</v>
      </c>
      <c r="P5625" s="0" t="s">
        <v>2444</v>
      </c>
    </row>
    <row r="5626" customFormat="false" ht="15" hidden="false" customHeight="true" outlineLevel="0" collapsed="false">
      <c r="A5626" s="0" t="n">
        <v>2</v>
      </c>
      <c r="B5626" s="71" t="n">
        <v>46244</v>
      </c>
      <c r="C5626" s="0" t="n">
        <v>22</v>
      </c>
      <c r="D5626" s="0" t="s">
        <v>2479</v>
      </c>
      <c r="E5626" s="0" t="n">
        <v>48</v>
      </c>
      <c r="F5626" s="0" t="s">
        <v>153</v>
      </c>
      <c r="I5626" s="0" t="n">
        <v>2598</v>
      </c>
      <c r="J5626" s="0" t="n">
        <v>100638</v>
      </c>
      <c r="K5626" s="0" t="n">
        <v>508</v>
      </c>
      <c r="L5626" s="0" t="s">
        <v>2496</v>
      </c>
      <c r="N5626" s="0" t="n">
        <v>0.848</v>
      </c>
      <c r="O5626" s="0" t="n">
        <v>2.18</v>
      </c>
      <c r="P5626" s="0" t="s">
        <v>2444</v>
      </c>
    </row>
    <row r="5627" customFormat="false" ht="15" hidden="false" customHeight="true" outlineLevel="0" collapsed="false">
      <c r="A5627" s="0" t="n">
        <v>2</v>
      </c>
      <c r="B5627" s="71" t="n">
        <v>46244</v>
      </c>
      <c r="C5627" s="0" t="n">
        <v>22</v>
      </c>
      <c r="D5627" s="0" t="s">
        <v>2479</v>
      </c>
      <c r="E5627" s="0" t="n">
        <v>48</v>
      </c>
      <c r="F5627" s="0" t="s">
        <v>153</v>
      </c>
      <c r="I5627" s="0" t="n">
        <v>2598</v>
      </c>
      <c r="J5627" s="0" t="n">
        <v>100638</v>
      </c>
      <c r="K5627" s="0" t="n">
        <v>508</v>
      </c>
      <c r="L5627" s="0" t="s">
        <v>2496</v>
      </c>
      <c r="N5627" s="0" t="n">
        <v>1.045</v>
      </c>
      <c r="O5627" s="0" t="n">
        <v>2.63</v>
      </c>
      <c r="P5627" s="0" t="s">
        <v>2444</v>
      </c>
    </row>
    <row r="5628" customFormat="false" ht="15" hidden="false" customHeight="true" outlineLevel="0" collapsed="false">
      <c r="A5628" s="0" t="n">
        <v>2</v>
      </c>
      <c r="B5628" s="71" t="n">
        <v>46244</v>
      </c>
      <c r="C5628" s="0" t="n">
        <v>22</v>
      </c>
      <c r="D5628" s="0" t="s">
        <v>2479</v>
      </c>
      <c r="E5628" s="0" t="n">
        <v>48</v>
      </c>
      <c r="F5628" s="0" t="s">
        <v>153</v>
      </c>
      <c r="I5628" s="0" t="n">
        <v>2598</v>
      </c>
      <c r="J5628" s="0" t="n">
        <v>100638</v>
      </c>
      <c r="K5628" s="0" t="n">
        <v>508</v>
      </c>
      <c r="L5628" s="0" t="s">
        <v>2496</v>
      </c>
      <c r="N5628" s="0" t="n">
        <v>0.216</v>
      </c>
      <c r="O5628" s="0" t="n">
        <v>0.54</v>
      </c>
      <c r="P5628" s="0" t="s">
        <v>2444</v>
      </c>
    </row>
    <row r="5629" customFormat="false" ht="15" hidden="false" customHeight="true" outlineLevel="0" collapsed="false">
      <c r="A5629" s="0" t="n">
        <v>2</v>
      </c>
      <c r="B5629" s="71" t="n">
        <v>46244</v>
      </c>
      <c r="C5629" s="0" t="n">
        <v>22</v>
      </c>
      <c r="D5629" s="0" t="s">
        <v>2479</v>
      </c>
      <c r="E5629" s="0" t="n">
        <v>48</v>
      </c>
      <c r="F5629" s="0" t="s">
        <v>153</v>
      </c>
      <c r="I5629" s="0" t="n">
        <v>2598</v>
      </c>
      <c r="J5629" s="0" t="n">
        <v>100520</v>
      </c>
      <c r="K5629" s="0" t="n">
        <v>507</v>
      </c>
      <c r="L5629" s="0" t="s">
        <v>2497</v>
      </c>
      <c r="N5629" s="0" t="n">
        <v>6.878</v>
      </c>
      <c r="O5629" s="0" t="n">
        <v>16.93</v>
      </c>
      <c r="P5629" s="0" t="s">
        <v>2444</v>
      </c>
    </row>
    <row r="5630" customFormat="false" ht="15" hidden="false" customHeight="true" outlineLevel="0" collapsed="false">
      <c r="A5630" s="0" t="n">
        <v>2</v>
      </c>
      <c r="B5630" s="71" t="n">
        <v>46244</v>
      </c>
      <c r="C5630" s="0" t="n">
        <v>22</v>
      </c>
      <c r="D5630" s="0" t="s">
        <v>2479</v>
      </c>
      <c r="E5630" s="0" t="n">
        <v>48</v>
      </c>
      <c r="F5630" s="0" t="s">
        <v>153</v>
      </c>
      <c r="I5630" s="0" t="n">
        <v>2598</v>
      </c>
      <c r="J5630" s="0" t="n">
        <v>110137</v>
      </c>
      <c r="K5630" s="0" t="n">
        <v>13899</v>
      </c>
      <c r="L5630" s="0" t="s">
        <v>3780</v>
      </c>
      <c r="N5630" s="0" t="n">
        <v>9.47</v>
      </c>
      <c r="O5630" s="0" t="n">
        <v>39.8</v>
      </c>
      <c r="P5630" s="0" t="s">
        <v>2444</v>
      </c>
    </row>
    <row r="5631" customFormat="false" ht="15" hidden="false" customHeight="true" outlineLevel="0" collapsed="false">
      <c r="A5631" s="0" t="n">
        <v>2</v>
      </c>
      <c r="B5631" s="71" t="n">
        <v>46244</v>
      </c>
      <c r="C5631" s="0" t="n">
        <v>22</v>
      </c>
      <c r="D5631" s="0" t="s">
        <v>2479</v>
      </c>
      <c r="E5631" s="0" t="n">
        <v>48</v>
      </c>
      <c r="F5631" s="0" t="s">
        <v>153</v>
      </c>
      <c r="I5631" s="0" t="n">
        <v>2598</v>
      </c>
      <c r="J5631" s="0" t="n">
        <v>110137</v>
      </c>
      <c r="K5631" s="0" t="n">
        <v>13899</v>
      </c>
      <c r="L5631" s="0" t="s">
        <v>3780</v>
      </c>
      <c r="N5631" s="0" t="n">
        <v>7.255</v>
      </c>
      <c r="O5631" s="0" t="n">
        <v>30.24</v>
      </c>
      <c r="P5631" s="0" t="s">
        <v>2444</v>
      </c>
    </row>
    <row r="5632" customFormat="false" ht="15" hidden="false" customHeight="true" outlineLevel="0" collapsed="false">
      <c r="A5632" s="0" t="n">
        <v>2</v>
      </c>
      <c r="B5632" s="71" t="n">
        <v>46244</v>
      </c>
      <c r="C5632" s="0" t="n">
        <v>22</v>
      </c>
      <c r="D5632" s="0" t="s">
        <v>2479</v>
      </c>
      <c r="E5632" s="0" t="n">
        <v>48</v>
      </c>
      <c r="F5632" s="0" t="s">
        <v>153</v>
      </c>
      <c r="I5632" s="0" t="n">
        <v>2598</v>
      </c>
      <c r="J5632" s="0" t="n">
        <v>110455</v>
      </c>
      <c r="K5632" s="0" t="n">
        <v>53212</v>
      </c>
      <c r="L5632" s="0" t="s">
        <v>2498</v>
      </c>
      <c r="N5632" s="0" t="n">
        <v>0.735</v>
      </c>
      <c r="O5632" s="0" t="n">
        <v>0</v>
      </c>
      <c r="P5632" s="0" t="s">
        <v>2444</v>
      </c>
    </row>
    <row r="5633" customFormat="false" ht="15" hidden="false" customHeight="true" outlineLevel="0" collapsed="false">
      <c r="A5633" s="0" t="n">
        <v>2</v>
      </c>
      <c r="B5633" s="71" t="n">
        <v>46244</v>
      </c>
      <c r="C5633" s="0" t="n">
        <v>100</v>
      </c>
      <c r="D5633" s="0" t="s">
        <v>2499</v>
      </c>
      <c r="E5633" s="0" t="n">
        <v>48</v>
      </c>
      <c r="F5633" s="0" t="s">
        <v>153</v>
      </c>
      <c r="I5633" s="0" t="n">
        <v>1529954</v>
      </c>
      <c r="J5633" s="0" t="n">
        <v>100000</v>
      </c>
      <c r="K5633" s="0" t="n">
        <v>1</v>
      </c>
      <c r="L5633" s="0" t="s">
        <v>2480</v>
      </c>
      <c r="N5633" s="0" t="n">
        <v>2.88</v>
      </c>
      <c r="O5633" s="0" t="n">
        <v>58.19</v>
      </c>
      <c r="P5633" s="0" t="s">
        <v>2444</v>
      </c>
    </row>
    <row r="5634" customFormat="false" ht="15" hidden="false" customHeight="true" outlineLevel="0" collapsed="false">
      <c r="A5634" s="0" t="n">
        <v>2</v>
      </c>
      <c r="B5634" s="71" t="n">
        <v>46244</v>
      </c>
      <c r="C5634" s="0" t="n">
        <v>100</v>
      </c>
      <c r="D5634" s="0" t="s">
        <v>2499</v>
      </c>
      <c r="E5634" s="0" t="n">
        <v>48</v>
      </c>
      <c r="F5634" s="0" t="s">
        <v>153</v>
      </c>
      <c r="I5634" s="0" t="n">
        <v>1529954</v>
      </c>
      <c r="J5634" s="0" t="n">
        <v>100006</v>
      </c>
      <c r="K5634" s="0" t="n">
        <v>7</v>
      </c>
      <c r="L5634" s="0" t="s">
        <v>2485</v>
      </c>
      <c r="N5634" s="0" t="n">
        <v>2.37</v>
      </c>
      <c r="O5634" s="0" t="n">
        <v>67.85</v>
      </c>
      <c r="P5634" s="0" t="s">
        <v>2444</v>
      </c>
    </row>
    <row r="5635" customFormat="false" ht="15" hidden="false" customHeight="true" outlineLevel="0" collapsed="false">
      <c r="A5635" s="0" t="n">
        <v>2</v>
      </c>
      <c r="B5635" s="71" t="n">
        <v>46244</v>
      </c>
      <c r="C5635" s="0" t="n">
        <v>100</v>
      </c>
      <c r="D5635" s="0" t="s">
        <v>2499</v>
      </c>
      <c r="E5635" s="0" t="n">
        <v>48</v>
      </c>
      <c r="F5635" s="0" t="s">
        <v>153</v>
      </c>
      <c r="I5635" s="0" t="n">
        <v>1529954</v>
      </c>
      <c r="J5635" s="0" t="n">
        <v>100007</v>
      </c>
      <c r="K5635" s="0" t="n">
        <v>8</v>
      </c>
      <c r="L5635" s="0" t="s">
        <v>2486</v>
      </c>
      <c r="N5635" s="0" t="n">
        <v>2</v>
      </c>
      <c r="O5635" s="0" t="n">
        <v>50.52</v>
      </c>
      <c r="P5635" s="0" t="s">
        <v>2444</v>
      </c>
    </row>
    <row r="5636" customFormat="false" ht="15" hidden="false" customHeight="true" outlineLevel="0" collapsed="false">
      <c r="A5636" s="0" t="n">
        <v>2</v>
      </c>
      <c r="B5636" s="71" t="n">
        <v>46244</v>
      </c>
      <c r="C5636" s="0" t="n">
        <v>100</v>
      </c>
      <c r="D5636" s="0" t="s">
        <v>2499</v>
      </c>
      <c r="E5636" s="0" t="n">
        <v>48</v>
      </c>
      <c r="F5636" s="0" t="s">
        <v>153</v>
      </c>
      <c r="I5636" s="0" t="n">
        <v>1529954</v>
      </c>
      <c r="J5636" s="0" t="n">
        <v>100008</v>
      </c>
      <c r="K5636" s="0" t="n">
        <v>9</v>
      </c>
      <c r="L5636" s="0" t="s">
        <v>2487</v>
      </c>
      <c r="N5636" s="0" t="n">
        <v>13.9</v>
      </c>
      <c r="O5636" s="0" t="n">
        <v>456.46</v>
      </c>
      <c r="P5636" s="0" t="s">
        <v>2444</v>
      </c>
    </row>
    <row r="5637" customFormat="false" ht="15" hidden="false" customHeight="true" outlineLevel="0" collapsed="false">
      <c r="A5637" s="0" t="n">
        <v>2</v>
      </c>
      <c r="B5637" s="71" t="n">
        <v>46244</v>
      </c>
      <c r="C5637" s="0" t="n">
        <v>100</v>
      </c>
      <c r="D5637" s="0" t="s">
        <v>2499</v>
      </c>
      <c r="E5637" s="0" t="n">
        <v>48</v>
      </c>
      <c r="F5637" s="0" t="s">
        <v>153</v>
      </c>
      <c r="I5637" s="0" t="n">
        <v>1529954</v>
      </c>
      <c r="J5637" s="0" t="n">
        <v>100011</v>
      </c>
      <c r="K5637" s="0" t="n">
        <v>12</v>
      </c>
      <c r="L5637" s="0" t="s">
        <v>2488</v>
      </c>
      <c r="N5637" s="0" t="n">
        <v>8.01</v>
      </c>
      <c r="O5637" s="0" t="n">
        <v>303.52</v>
      </c>
      <c r="P5637" s="0" t="s">
        <v>2444</v>
      </c>
    </row>
    <row r="5638" customFormat="false" ht="15" hidden="false" customHeight="true" outlineLevel="0" collapsed="false">
      <c r="A5638" s="0" t="n">
        <v>2</v>
      </c>
      <c r="B5638" s="71" t="n">
        <v>46244</v>
      </c>
      <c r="C5638" s="0" t="n">
        <v>100</v>
      </c>
      <c r="D5638" s="0" t="s">
        <v>2499</v>
      </c>
      <c r="E5638" s="0" t="n">
        <v>48</v>
      </c>
      <c r="F5638" s="0" t="s">
        <v>153</v>
      </c>
      <c r="I5638" s="0" t="n">
        <v>1529954</v>
      </c>
      <c r="J5638" s="0" t="n">
        <v>100012</v>
      </c>
      <c r="K5638" s="0" t="n">
        <v>13</v>
      </c>
      <c r="L5638" s="0" t="s">
        <v>2489</v>
      </c>
      <c r="N5638" s="0" t="n">
        <v>5.49</v>
      </c>
      <c r="O5638" s="0" t="n">
        <v>231.15</v>
      </c>
      <c r="P5638" s="0" t="s">
        <v>2444</v>
      </c>
    </row>
    <row r="5639" customFormat="false" ht="15" hidden="false" customHeight="true" outlineLevel="0" collapsed="false">
      <c r="A5639" s="0" t="n">
        <v>2</v>
      </c>
      <c r="B5639" s="71" t="n">
        <v>46244</v>
      </c>
      <c r="C5639" s="0" t="n">
        <v>100</v>
      </c>
      <c r="D5639" s="0" t="s">
        <v>2499</v>
      </c>
      <c r="E5639" s="0" t="n">
        <v>48</v>
      </c>
      <c r="F5639" s="0" t="s">
        <v>153</v>
      </c>
      <c r="I5639" s="0" t="n">
        <v>1529954</v>
      </c>
      <c r="J5639" s="0" t="n">
        <v>100013</v>
      </c>
      <c r="K5639" s="0" t="n">
        <v>14</v>
      </c>
      <c r="L5639" s="0" t="s">
        <v>2490</v>
      </c>
      <c r="N5639" s="0" t="n">
        <v>10.33</v>
      </c>
      <c r="O5639" s="0" t="n">
        <v>461.03</v>
      </c>
      <c r="P5639" s="0" t="s">
        <v>2444</v>
      </c>
    </row>
    <row r="5640" customFormat="false" ht="15" hidden="false" customHeight="true" outlineLevel="0" collapsed="false">
      <c r="A5640" s="0" t="n">
        <v>2</v>
      </c>
      <c r="B5640" s="71" t="n">
        <v>46244</v>
      </c>
      <c r="C5640" s="0" t="n">
        <v>100</v>
      </c>
      <c r="D5640" s="0" t="s">
        <v>2499</v>
      </c>
      <c r="E5640" s="0" t="n">
        <v>48</v>
      </c>
      <c r="F5640" s="0" t="s">
        <v>153</v>
      </c>
      <c r="I5640" s="0" t="n">
        <v>1529954</v>
      </c>
      <c r="J5640" s="0" t="n">
        <v>100014</v>
      </c>
      <c r="K5640" s="0" t="n">
        <v>15</v>
      </c>
      <c r="L5640" s="0" t="s">
        <v>2491</v>
      </c>
      <c r="N5640" s="0" t="n">
        <v>4.33</v>
      </c>
      <c r="O5640" s="0" t="n">
        <v>196.9</v>
      </c>
      <c r="P5640" s="0" t="s">
        <v>2444</v>
      </c>
    </row>
    <row r="5641" customFormat="false" ht="15" hidden="false" customHeight="true" outlineLevel="0" collapsed="false">
      <c r="A5641" s="0" t="n">
        <v>2</v>
      </c>
      <c r="B5641" s="71" t="n">
        <v>46244</v>
      </c>
      <c r="C5641" s="0" t="n">
        <v>100</v>
      </c>
      <c r="D5641" s="0" t="s">
        <v>2499</v>
      </c>
      <c r="E5641" s="0" t="n">
        <v>48</v>
      </c>
      <c r="F5641" s="0" t="s">
        <v>153</v>
      </c>
      <c r="I5641" s="0" t="n">
        <v>1529954</v>
      </c>
      <c r="J5641" s="0" t="n">
        <v>100015</v>
      </c>
      <c r="K5641" s="0" t="n">
        <v>16</v>
      </c>
      <c r="L5641" s="0" t="s">
        <v>2492</v>
      </c>
      <c r="N5641" s="0" t="n">
        <v>1.53</v>
      </c>
      <c r="O5641" s="0" t="n">
        <v>61.84</v>
      </c>
      <c r="P5641" s="0" t="s">
        <v>2444</v>
      </c>
    </row>
    <row r="5642" customFormat="false" ht="15" hidden="false" customHeight="true" outlineLevel="0" collapsed="false">
      <c r="A5642" s="0" t="n">
        <v>2</v>
      </c>
      <c r="B5642" s="71" t="n">
        <v>46244</v>
      </c>
      <c r="C5642" s="0" t="n">
        <v>100</v>
      </c>
      <c r="D5642" s="0" t="s">
        <v>2499</v>
      </c>
      <c r="E5642" s="0" t="n">
        <v>48</v>
      </c>
      <c r="F5642" s="0" t="s">
        <v>153</v>
      </c>
      <c r="I5642" s="0" t="n">
        <v>1529954</v>
      </c>
      <c r="J5642" s="0" t="n">
        <v>100016</v>
      </c>
      <c r="K5642" s="0" t="n">
        <v>17</v>
      </c>
      <c r="L5642" s="0" t="s">
        <v>2493</v>
      </c>
      <c r="N5642" s="0" t="n">
        <v>1.62</v>
      </c>
      <c r="O5642" s="0" t="n">
        <v>95.5</v>
      </c>
      <c r="P5642" s="0" t="s">
        <v>2444</v>
      </c>
    </row>
    <row r="5643" customFormat="false" ht="15" hidden="false" customHeight="true" outlineLevel="0" collapsed="false">
      <c r="A5643" s="0" t="n">
        <v>2</v>
      </c>
      <c r="B5643" s="71" t="n">
        <v>46244</v>
      </c>
      <c r="C5643" s="0" t="n">
        <v>100</v>
      </c>
      <c r="D5643" s="0" t="s">
        <v>2499</v>
      </c>
      <c r="E5643" s="0" t="n">
        <v>48</v>
      </c>
      <c r="F5643" s="0" t="s">
        <v>153</v>
      </c>
      <c r="I5643" s="0" t="n">
        <v>1529954</v>
      </c>
      <c r="J5643" s="0" t="n">
        <v>100019</v>
      </c>
      <c r="K5643" s="0" t="n">
        <v>20</v>
      </c>
      <c r="L5643" s="0" t="s">
        <v>3779</v>
      </c>
      <c r="N5643" s="0" t="n">
        <v>1.95</v>
      </c>
      <c r="O5643" s="0" t="n">
        <v>68.96</v>
      </c>
      <c r="P5643" s="0" t="s">
        <v>2444</v>
      </c>
    </row>
    <row r="5644" customFormat="false" ht="15" hidden="false" customHeight="true" outlineLevel="0" collapsed="false">
      <c r="A5644" s="0" t="n">
        <v>2</v>
      </c>
      <c r="B5644" s="71" t="n">
        <v>46244</v>
      </c>
      <c r="C5644" s="0" t="n">
        <v>100</v>
      </c>
      <c r="D5644" s="0" t="s">
        <v>2499</v>
      </c>
      <c r="E5644" s="0" t="n">
        <v>48</v>
      </c>
      <c r="F5644" s="0" t="s">
        <v>153</v>
      </c>
      <c r="I5644" s="0" t="n">
        <v>1529954</v>
      </c>
      <c r="J5644" s="0" t="n">
        <v>100053</v>
      </c>
      <c r="K5644" s="0" t="n">
        <v>54</v>
      </c>
      <c r="L5644" s="0" t="s">
        <v>2495</v>
      </c>
      <c r="N5644" s="0" t="n">
        <v>1.34</v>
      </c>
      <c r="O5644" s="0" t="n">
        <v>49.65</v>
      </c>
      <c r="P5644" s="0" t="s">
        <v>2444</v>
      </c>
    </row>
    <row r="5645" customFormat="false" ht="15" hidden="false" customHeight="true" outlineLevel="0" collapsed="false">
      <c r="A5645" s="0" t="n">
        <v>2</v>
      </c>
      <c r="B5645" s="71" t="n">
        <v>46244</v>
      </c>
      <c r="C5645" s="0" t="n">
        <v>100</v>
      </c>
      <c r="D5645" s="0" t="s">
        <v>2499</v>
      </c>
      <c r="E5645" s="0" t="n">
        <v>48</v>
      </c>
      <c r="F5645" s="0" t="s">
        <v>153</v>
      </c>
      <c r="I5645" s="0" t="n">
        <v>1529954</v>
      </c>
      <c r="J5645" s="0" t="n">
        <v>100638</v>
      </c>
      <c r="K5645" s="0" t="n">
        <v>508</v>
      </c>
      <c r="L5645" s="0" t="s">
        <v>2496</v>
      </c>
      <c r="N5645" s="0" t="n">
        <v>1.045</v>
      </c>
      <c r="O5645" s="0" t="n">
        <v>2.63</v>
      </c>
      <c r="P5645" s="0" t="s">
        <v>2444</v>
      </c>
    </row>
    <row r="5646" customFormat="false" ht="15" hidden="false" customHeight="true" outlineLevel="0" collapsed="false">
      <c r="A5646" s="0" t="n">
        <v>2</v>
      </c>
      <c r="B5646" s="71" t="n">
        <v>46244</v>
      </c>
      <c r="C5646" s="0" t="n">
        <v>100</v>
      </c>
      <c r="D5646" s="0" t="s">
        <v>2499</v>
      </c>
      <c r="E5646" s="0" t="n">
        <v>48</v>
      </c>
      <c r="F5646" s="0" t="s">
        <v>153</v>
      </c>
      <c r="I5646" s="0" t="n">
        <v>1529954</v>
      </c>
      <c r="J5646" s="0" t="n">
        <v>110137</v>
      </c>
      <c r="K5646" s="0" t="n">
        <v>13899</v>
      </c>
      <c r="L5646" s="0" t="s">
        <v>3780</v>
      </c>
      <c r="N5646" s="0" t="n">
        <v>9.47</v>
      </c>
      <c r="O5646" s="0" t="n">
        <v>39.8</v>
      </c>
      <c r="P5646" s="0" t="s">
        <v>2444</v>
      </c>
    </row>
    <row r="5647" customFormat="false" ht="15" hidden="false" customHeight="true" outlineLevel="0" collapsed="false">
      <c r="A5647" s="0" t="n">
        <v>2</v>
      </c>
      <c r="B5647" s="71" t="n">
        <v>46244</v>
      </c>
      <c r="C5647" s="0" t="n">
        <v>100</v>
      </c>
      <c r="D5647" s="0" t="s">
        <v>2499</v>
      </c>
      <c r="E5647" s="0" t="n">
        <v>48</v>
      </c>
      <c r="F5647" s="0" t="s">
        <v>153</v>
      </c>
      <c r="I5647" s="0" t="n">
        <v>1529954</v>
      </c>
      <c r="J5647" s="0" t="n">
        <v>110455</v>
      </c>
      <c r="K5647" s="0" t="n">
        <v>53212</v>
      </c>
      <c r="L5647" s="0" t="s">
        <v>2498</v>
      </c>
      <c r="N5647" s="0" t="n">
        <v>0.735</v>
      </c>
      <c r="O5647" s="0" t="n">
        <v>0</v>
      </c>
      <c r="P5647" s="0" t="s">
        <v>2444</v>
      </c>
    </row>
    <row r="5648" customFormat="false" ht="15" hidden="false" customHeight="true" outlineLevel="0" collapsed="false">
      <c r="A5648" s="0" t="n">
        <v>2</v>
      </c>
      <c r="B5648" s="71" t="n">
        <v>46244</v>
      </c>
      <c r="C5648" s="0" t="n">
        <v>100</v>
      </c>
      <c r="D5648" s="0" t="s">
        <v>2499</v>
      </c>
      <c r="E5648" s="0" t="n">
        <v>48</v>
      </c>
      <c r="F5648" s="0" t="s">
        <v>153</v>
      </c>
      <c r="I5648" s="0" t="n">
        <v>1529959</v>
      </c>
      <c r="J5648" s="0" t="n">
        <v>100000</v>
      </c>
      <c r="K5648" s="0" t="n">
        <v>1</v>
      </c>
      <c r="L5648" s="0" t="s">
        <v>2480</v>
      </c>
      <c r="N5648" s="0" t="n">
        <v>2.48</v>
      </c>
      <c r="O5648" s="0" t="n">
        <v>49.69</v>
      </c>
      <c r="P5648" s="0" t="s">
        <v>2444</v>
      </c>
    </row>
    <row r="5649" customFormat="false" ht="15" hidden="false" customHeight="true" outlineLevel="0" collapsed="false">
      <c r="A5649" s="0" t="n">
        <v>2</v>
      </c>
      <c r="B5649" s="71" t="n">
        <v>46244</v>
      </c>
      <c r="C5649" s="0" t="n">
        <v>100</v>
      </c>
      <c r="D5649" s="0" t="s">
        <v>2499</v>
      </c>
      <c r="E5649" s="0" t="n">
        <v>48</v>
      </c>
      <c r="F5649" s="0" t="s">
        <v>153</v>
      </c>
      <c r="I5649" s="0" t="n">
        <v>1529959</v>
      </c>
      <c r="J5649" s="0" t="n">
        <v>100001</v>
      </c>
      <c r="K5649" s="0" t="n">
        <v>2</v>
      </c>
      <c r="L5649" s="0" t="s">
        <v>2481</v>
      </c>
      <c r="N5649" s="0" t="n">
        <v>6.845</v>
      </c>
      <c r="O5649" s="0" t="n">
        <v>148.59</v>
      </c>
      <c r="P5649" s="0" t="s">
        <v>2444</v>
      </c>
    </row>
    <row r="5650" customFormat="false" ht="15" hidden="false" customHeight="true" outlineLevel="0" collapsed="false">
      <c r="A5650" s="0" t="n">
        <v>2</v>
      </c>
      <c r="B5650" s="71" t="n">
        <v>46244</v>
      </c>
      <c r="C5650" s="0" t="n">
        <v>100</v>
      </c>
      <c r="D5650" s="0" t="s">
        <v>2499</v>
      </c>
      <c r="E5650" s="0" t="n">
        <v>48</v>
      </c>
      <c r="F5650" s="0" t="s">
        <v>153</v>
      </c>
      <c r="I5650" s="0" t="n">
        <v>1529959</v>
      </c>
      <c r="J5650" s="0" t="n">
        <v>100002</v>
      </c>
      <c r="K5650" s="0" t="n">
        <v>3</v>
      </c>
      <c r="L5650" s="0" t="s">
        <v>2482</v>
      </c>
      <c r="N5650" s="0" t="n">
        <v>16.22</v>
      </c>
      <c r="O5650" s="0" t="n">
        <v>406.29</v>
      </c>
      <c r="P5650" s="0" t="s">
        <v>2444</v>
      </c>
    </row>
    <row r="5651" customFormat="false" ht="15" hidden="false" customHeight="true" outlineLevel="0" collapsed="false">
      <c r="A5651" s="0" t="n">
        <v>2</v>
      </c>
      <c r="B5651" s="71" t="n">
        <v>46244</v>
      </c>
      <c r="C5651" s="0" t="n">
        <v>100</v>
      </c>
      <c r="D5651" s="0" t="s">
        <v>2499</v>
      </c>
      <c r="E5651" s="0" t="n">
        <v>48</v>
      </c>
      <c r="F5651" s="0" t="s">
        <v>153</v>
      </c>
      <c r="I5651" s="0" t="n">
        <v>1529959</v>
      </c>
      <c r="J5651" s="0" t="n">
        <v>100003</v>
      </c>
      <c r="K5651" s="0" t="n">
        <v>4</v>
      </c>
      <c r="L5651" s="0" t="s">
        <v>2483</v>
      </c>
      <c r="N5651" s="0" t="n">
        <v>10.3</v>
      </c>
      <c r="O5651" s="0" t="n">
        <v>275.21</v>
      </c>
      <c r="P5651" s="0" t="s">
        <v>2444</v>
      </c>
    </row>
    <row r="5652" customFormat="false" ht="15" hidden="false" customHeight="true" outlineLevel="0" collapsed="false">
      <c r="A5652" s="0" t="n">
        <v>2</v>
      </c>
      <c r="B5652" s="71" t="n">
        <v>46244</v>
      </c>
      <c r="C5652" s="0" t="n">
        <v>100</v>
      </c>
      <c r="D5652" s="0" t="s">
        <v>2499</v>
      </c>
      <c r="E5652" s="0" t="n">
        <v>48</v>
      </c>
      <c r="F5652" s="0" t="s">
        <v>153</v>
      </c>
      <c r="I5652" s="0" t="n">
        <v>1529959</v>
      </c>
      <c r="J5652" s="0" t="n">
        <v>100004</v>
      </c>
      <c r="K5652" s="0" t="n">
        <v>5</v>
      </c>
      <c r="L5652" s="0" t="s">
        <v>2484</v>
      </c>
      <c r="N5652" s="0" t="n">
        <v>0.912</v>
      </c>
      <c r="O5652" s="0" t="n">
        <v>21.32</v>
      </c>
      <c r="P5652" s="0" t="s">
        <v>2444</v>
      </c>
    </row>
    <row r="5653" customFormat="false" ht="15" hidden="false" customHeight="true" outlineLevel="0" collapsed="false">
      <c r="A5653" s="0" t="n">
        <v>2</v>
      </c>
      <c r="B5653" s="71" t="n">
        <v>46244</v>
      </c>
      <c r="C5653" s="0" t="n">
        <v>100</v>
      </c>
      <c r="D5653" s="0" t="s">
        <v>2499</v>
      </c>
      <c r="E5653" s="0" t="n">
        <v>48</v>
      </c>
      <c r="F5653" s="0" t="s">
        <v>153</v>
      </c>
      <c r="I5653" s="0" t="n">
        <v>1529959</v>
      </c>
      <c r="J5653" s="0" t="n">
        <v>100005</v>
      </c>
      <c r="K5653" s="0" t="n">
        <v>6</v>
      </c>
      <c r="L5653" s="0" t="s">
        <v>2582</v>
      </c>
      <c r="N5653" s="0" t="n">
        <v>2.32</v>
      </c>
      <c r="O5653" s="0" t="n">
        <v>58.11</v>
      </c>
      <c r="P5653" s="0" t="s">
        <v>2444</v>
      </c>
    </row>
    <row r="5654" customFormat="false" ht="15" hidden="false" customHeight="true" outlineLevel="0" collapsed="false">
      <c r="A5654" s="0" t="n">
        <v>2</v>
      </c>
      <c r="B5654" s="71" t="n">
        <v>46244</v>
      </c>
      <c r="C5654" s="0" t="n">
        <v>100</v>
      </c>
      <c r="D5654" s="0" t="s">
        <v>2499</v>
      </c>
      <c r="E5654" s="0" t="n">
        <v>48</v>
      </c>
      <c r="F5654" s="0" t="s">
        <v>153</v>
      </c>
      <c r="I5654" s="0" t="n">
        <v>1529959</v>
      </c>
      <c r="J5654" s="0" t="n">
        <v>100007</v>
      </c>
      <c r="K5654" s="0" t="n">
        <v>8</v>
      </c>
      <c r="L5654" s="0" t="s">
        <v>2486</v>
      </c>
      <c r="N5654" s="0" t="n">
        <v>3.442</v>
      </c>
      <c r="O5654" s="0" t="n">
        <v>86.22</v>
      </c>
      <c r="P5654" s="0" t="s">
        <v>2444</v>
      </c>
    </row>
    <row r="5655" customFormat="false" ht="15" hidden="false" customHeight="true" outlineLevel="0" collapsed="false">
      <c r="A5655" s="0" t="n">
        <v>2</v>
      </c>
      <c r="B5655" s="71" t="n">
        <v>46244</v>
      </c>
      <c r="C5655" s="0" t="n">
        <v>100</v>
      </c>
      <c r="D5655" s="0" t="s">
        <v>2499</v>
      </c>
      <c r="E5655" s="0" t="n">
        <v>48</v>
      </c>
      <c r="F5655" s="0" t="s">
        <v>153</v>
      </c>
      <c r="I5655" s="0" t="n">
        <v>1529959</v>
      </c>
      <c r="J5655" s="0" t="n">
        <v>100009</v>
      </c>
      <c r="K5655" s="0" t="n">
        <v>10</v>
      </c>
      <c r="L5655" s="0" t="s">
        <v>4704</v>
      </c>
      <c r="N5655" s="0" t="n">
        <v>3.41</v>
      </c>
      <c r="O5655" s="0" t="n">
        <v>125.29</v>
      </c>
      <c r="P5655" s="0" t="s">
        <v>2444</v>
      </c>
    </row>
    <row r="5656" customFormat="false" ht="15" hidden="false" customHeight="true" outlineLevel="0" collapsed="false">
      <c r="A5656" s="0" t="n">
        <v>2</v>
      </c>
      <c r="B5656" s="71" t="n">
        <v>46244</v>
      </c>
      <c r="C5656" s="0" t="n">
        <v>100</v>
      </c>
      <c r="D5656" s="0" t="s">
        <v>2499</v>
      </c>
      <c r="E5656" s="0" t="n">
        <v>48</v>
      </c>
      <c r="F5656" s="0" t="s">
        <v>153</v>
      </c>
      <c r="I5656" s="0" t="n">
        <v>1529959</v>
      </c>
      <c r="J5656" s="0" t="n">
        <v>100638</v>
      </c>
      <c r="K5656" s="0" t="n">
        <v>508</v>
      </c>
      <c r="L5656" s="0" t="s">
        <v>2496</v>
      </c>
      <c r="N5656" s="0" t="n">
        <v>0.216</v>
      </c>
      <c r="O5656" s="0" t="n">
        <v>0.54</v>
      </c>
      <c r="P5656" s="0" t="s">
        <v>2444</v>
      </c>
    </row>
    <row r="5657" customFormat="false" ht="15" hidden="false" customHeight="true" outlineLevel="0" collapsed="false">
      <c r="A5657" s="0" t="n">
        <v>2</v>
      </c>
      <c r="B5657" s="71" t="n">
        <v>46244</v>
      </c>
      <c r="C5657" s="0" t="n">
        <v>100</v>
      </c>
      <c r="D5657" s="0" t="s">
        <v>2499</v>
      </c>
      <c r="E5657" s="0" t="n">
        <v>48</v>
      </c>
      <c r="F5657" s="0" t="s">
        <v>153</v>
      </c>
      <c r="I5657" s="0" t="n">
        <v>1529959</v>
      </c>
      <c r="J5657" s="0" t="n">
        <v>110137</v>
      </c>
      <c r="K5657" s="0" t="n">
        <v>13899</v>
      </c>
      <c r="L5657" s="0" t="s">
        <v>3780</v>
      </c>
      <c r="N5657" s="0" t="n">
        <v>7.255</v>
      </c>
      <c r="O5657" s="0" t="n">
        <v>30.24</v>
      </c>
      <c r="P5657" s="0" t="s">
        <v>2444</v>
      </c>
    </row>
    <row r="5658" customFormat="false" ht="15" hidden="false" customHeight="true" outlineLevel="0" collapsed="false">
      <c r="A5658" s="0" t="n">
        <v>2</v>
      </c>
      <c r="B5658" s="71" t="n">
        <v>46244</v>
      </c>
      <c r="C5658" s="0" t="n">
        <v>100</v>
      </c>
      <c r="D5658" s="0" t="s">
        <v>2499</v>
      </c>
      <c r="E5658" s="0" t="n">
        <v>48</v>
      </c>
      <c r="F5658" s="0" t="s">
        <v>153</v>
      </c>
      <c r="I5658" s="0" t="n">
        <v>1529962</v>
      </c>
      <c r="J5658" s="0" t="n">
        <v>100005</v>
      </c>
      <c r="K5658" s="0" t="n">
        <v>6</v>
      </c>
      <c r="L5658" s="0" t="s">
        <v>2582</v>
      </c>
      <c r="N5658" s="0" t="n">
        <v>2.226</v>
      </c>
      <c r="O5658" s="0" t="n">
        <v>57.26</v>
      </c>
      <c r="P5658" s="0" t="s">
        <v>2444</v>
      </c>
    </row>
    <row r="5659" customFormat="false" ht="15" hidden="false" customHeight="true" outlineLevel="0" collapsed="false">
      <c r="A5659" s="0" t="n">
        <v>2</v>
      </c>
      <c r="B5659" s="71" t="n">
        <v>46244</v>
      </c>
      <c r="C5659" s="0" t="n">
        <v>100</v>
      </c>
      <c r="D5659" s="0" t="s">
        <v>2499</v>
      </c>
      <c r="E5659" s="0" t="n">
        <v>48</v>
      </c>
      <c r="F5659" s="0" t="s">
        <v>153</v>
      </c>
      <c r="I5659" s="0" t="n">
        <v>1529962</v>
      </c>
      <c r="J5659" s="0" t="n">
        <v>100007</v>
      </c>
      <c r="K5659" s="0" t="n">
        <v>8</v>
      </c>
      <c r="L5659" s="0" t="s">
        <v>2486</v>
      </c>
      <c r="N5659" s="0" t="n">
        <v>0.648</v>
      </c>
      <c r="O5659" s="0" t="n">
        <v>16.67</v>
      </c>
      <c r="P5659" s="0" t="s">
        <v>2444</v>
      </c>
    </row>
    <row r="5660" customFormat="false" ht="15" hidden="false" customHeight="true" outlineLevel="0" collapsed="false">
      <c r="A5660" s="0" t="n">
        <v>2</v>
      </c>
      <c r="B5660" s="71" t="n">
        <v>46244</v>
      </c>
      <c r="C5660" s="0" t="n">
        <v>100</v>
      </c>
      <c r="D5660" s="0" t="s">
        <v>2499</v>
      </c>
      <c r="E5660" s="0" t="n">
        <v>48</v>
      </c>
      <c r="F5660" s="0" t="s">
        <v>153</v>
      </c>
      <c r="I5660" s="0" t="n">
        <v>1529962</v>
      </c>
      <c r="J5660" s="0" t="n">
        <v>100008</v>
      </c>
      <c r="K5660" s="0" t="n">
        <v>9</v>
      </c>
      <c r="L5660" s="0" t="s">
        <v>2487</v>
      </c>
      <c r="N5660" s="0" t="n">
        <v>5.042</v>
      </c>
      <c r="O5660" s="0" t="n">
        <v>168.63</v>
      </c>
      <c r="P5660" s="0" t="s">
        <v>2444</v>
      </c>
    </row>
    <row r="5661" customFormat="false" ht="15" hidden="false" customHeight="true" outlineLevel="0" collapsed="false">
      <c r="A5661" s="0" t="n">
        <v>2</v>
      </c>
      <c r="B5661" s="71" t="n">
        <v>46244</v>
      </c>
      <c r="C5661" s="0" t="n">
        <v>100</v>
      </c>
      <c r="D5661" s="0" t="s">
        <v>2499</v>
      </c>
      <c r="E5661" s="0" t="n">
        <v>48</v>
      </c>
      <c r="F5661" s="0" t="s">
        <v>153</v>
      </c>
      <c r="I5661" s="0" t="n">
        <v>1529962</v>
      </c>
      <c r="J5661" s="0" t="n">
        <v>100016</v>
      </c>
      <c r="K5661" s="0" t="n">
        <v>17</v>
      </c>
      <c r="L5661" s="0" t="s">
        <v>2493</v>
      </c>
      <c r="N5661" s="0" t="n">
        <v>1.542</v>
      </c>
      <c r="O5661" s="0" t="n">
        <v>92.58</v>
      </c>
      <c r="P5661" s="0" t="s">
        <v>2444</v>
      </c>
    </row>
    <row r="5662" customFormat="false" ht="15" hidden="false" customHeight="true" outlineLevel="0" collapsed="false">
      <c r="A5662" s="0" t="n">
        <v>2</v>
      </c>
      <c r="B5662" s="71" t="n">
        <v>46244</v>
      </c>
      <c r="C5662" s="0" t="n">
        <v>100</v>
      </c>
      <c r="D5662" s="0" t="s">
        <v>2499</v>
      </c>
      <c r="E5662" s="0" t="n">
        <v>48</v>
      </c>
      <c r="F5662" s="0" t="s">
        <v>153</v>
      </c>
      <c r="I5662" s="0" t="n">
        <v>1529962</v>
      </c>
      <c r="J5662" s="0" t="n">
        <v>100018</v>
      </c>
      <c r="K5662" s="0" t="n">
        <v>19</v>
      </c>
      <c r="L5662" s="0" t="s">
        <v>3883</v>
      </c>
      <c r="N5662" s="0" t="n">
        <v>5.274</v>
      </c>
      <c r="O5662" s="0" t="n">
        <v>248.78</v>
      </c>
      <c r="P5662" s="0" t="s">
        <v>2444</v>
      </c>
    </row>
    <row r="5663" customFormat="false" ht="15" hidden="false" customHeight="true" outlineLevel="0" collapsed="false">
      <c r="A5663" s="0" t="n">
        <v>2</v>
      </c>
      <c r="B5663" s="71" t="n">
        <v>46244</v>
      </c>
      <c r="C5663" s="0" t="n">
        <v>100</v>
      </c>
      <c r="D5663" s="0" t="s">
        <v>2499</v>
      </c>
      <c r="E5663" s="0" t="n">
        <v>48</v>
      </c>
      <c r="F5663" s="0" t="s">
        <v>153</v>
      </c>
      <c r="I5663" s="0" t="n">
        <v>1529962</v>
      </c>
      <c r="J5663" s="0" t="n">
        <v>100053</v>
      </c>
      <c r="K5663" s="0" t="n">
        <v>54</v>
      </c>
      <c r="L5663" s="0" t="s">
        <v>2495</v>
      </c>
      <c r="N5663" s="0" t="n">
        <v>2.382</v>
      </c>
      <c r="O5663" s="0" t="n">
        <v>89.88</v>
      </c>
      <c r="P5663" s="0" t="s">
        <v>2444</v>
      </c>
    </row>
    <row r="5664" customFormat="false" ht="15" hidden="false" customHeight="true" outlineLevel="0" collapsed="false">
      <c r="A5664" s="0" t="n">
        <v>2</v>
      </c>
      <c r="B5664" s="71" t="n">
        <v>46244</v>
      </c>
      <c r="C5664" s="0" t="n">
        <v>100</v>
      </c>
      <c r="D5664" s="0" t="s">
        <v>2499</v>
      </c>
      <c r="E5664" s="0" t="n">
        <v>48</v>
      </c>
      <c r="F5664" s="0" t="s">
        <v>153</v>
      </c>
      <c r="I5664" s="0" t="n">
        <v>1529962</v>
      </c>
      <c r="J5664" s="0" t="n">
        <v>100638</v>
      </c>
      <c r="K5664" s="0" t="n">
        <v>508</v>
      </c>
      <c r="L5664" s="0" t="s">
        <v>2496</v>
      </c>
      <c r="N5664" s="0" t="n">
        <v>0.848</v>
      </c>
      <c r="O5664" s="0" t="n">
        <v>2.18</v>
      </c>
      <c r="P5664" s="0" t="s">
        <v>2444</v>
      </c>
    </row>
    <row r="5665" customFormat="false" ht="15" hidden="false" customHeight="true" outlineLevel="0" collapsed="false">
      <c r="A5665" s="0" t="n">
        <v>2</v>
      </c>
      <c r="B5665" s="71" t="n">
        <v>46244</v>
      </c>
      <c r="C5665" s="0" t="n">
        <v>100</v>
      </c>
      <c r="D5665" s="0" t="s">
        <v>2499</v>
      </c>
      <c r="E5665" s="0" t="n">
        <v>48</v>
      </c>
      <c r="F5665" s="0" t="s">
        <v>153</v>
      </c>
      <c r="I5665" s="0" t="n">
        <v>1529962</v>
      </c>
      <c r="J5665" s="0" t="n">
        <v>100520</v>
      </c>
      <c r="K5665" s="0" t="n">
        <v>507</v>
      </c>
      <c r="L5665" s="0" t="s">
        <v>2497</v>
      </c>
      <c r="N5665" s="0" t="n">
        <v>3.438</v>
      </c>
      <c r="O5665" s="0" t="n">
        <v>8.82</v>
      </c>
      <c r="P5665" s="0" t="s">
        <v>2444</v>
      </c>
    </row>
    <row r="5666" customFormat="false" ht="15" hidden="false" customHeight="true" outlineLevel="0" collapsed="false">
      <c r="A5666" s="0" t="n">
        <v>2</v>
      </c>
      <c r="B5666" s="71" t="n">
        <v>46244</v>
      </c>
      <c r="C5666" s="0" t="n">
        <v>100</v>
      </c>
      <c r="D5666" s="0" t="s">
        <v>2499</v>
      </c>
      <c r="E5666" s="0" t="n">
        <v>48</v>
      </c>
      <c r="F5666" s="0" t="s">
        <v>153</v>
      </c>
      <c r="I5666" s="0" t="n">
        <v>1529965</v>
      </c>
      <c r="J5666" s="0" t="n">
        <v>100007</v>
      </c>
      <c r="K5666" s="0" t="n">
        <v>8</v>
      </c>
      <c r="L5666" s="0" t="s">
        <v>2486</v>
      </c>
      <c r="N5666" s="0" t="n">
        <v>0.64</v>
      </c>
      <c r="O5666" s="0" t="n">
        <v>15.13</v>
      </c>
      <c r="P5666" s="0" t="s">
        <v>2444</v>
      </c>
    </row>
    <row r="5667" customFormat="false" ht="15" hidden="false" customHeight="true" outlineLevel="0" collapsed="false">
      <c r="A5667" s="0" t="n">
        <v>2</v>
      </c>
      <c r="B5667" s="71" t="n">
        <v>46244</v>
      </c>
      <c r="C5667" s="0" t="n">
        <v>100</v>
      </c>
      <c r="D5667" s="0" t="s">
        <v>2499</v>
      </c>
      <c r="E5667" s="0" t="n">
        <v>48</v>
      </c>
      <c r="F5667" s="0" t="s">
        <v>153</v>
      </c>
      <c r="I5667" s="0" t="n">
        <v>1529965</v>
      </c>
      <c r="J5667" s="0" t="n">
        <v>100008</v>
      </c>
      <c r="K5667" s="0" t="n">
        <v>9</v>
      </c>
      <c r="L5667" s="0" t="s">
        <v>2487</v>
      </c>
      <c r="N5667" s="0" t="n">
        <v>4.456</v>
      </c>
      <c r="O5667" s="0" t="n">
        <v>136.99</v>
      </c>
      <c r="P5667" s="0" t="s">
        <v>2444</v>
      </c>
    </row>
    <row r="5668" customFormat="false" ht="15" hidden="false" customHeight="true" outlineLevel="0" collapsed="false">
      <c r="A5668" s="0" t="n">
        <v>2</v>
      </c>
      <c r="B5668" s="71" t="n">
        <v>46244</v>
      </c>
      <c r="C5668" s="0" t="n">
        <v>100</v>
      </c>
      <c r="D5668" s="0" t="s">
        <v>2499</v>
      </c>
      <c r="E5668" s="0" t="n">
        <v>48</v>
      </c>
      <c r="F5668" s="0" t="s">
        <v>153</v>
      </c>
      <c r="I5668" s="0" t="n">
        <v>1529965</v>
      </c>
      <c r="J5668" s="0" t="n">
        <v>100016</v>
      </c>
      <c r="K5668" s="0" t="n">
        <v>17</v>
      </c>
      <c r="L5668" s="0" t="s">
        <v>2493</v>
      </c>
      <c r="N5668" s="0" t="n">
        <v>1.601</v>
      </c>
      <c r="O5668" s="0" t="n">
        <v>88.37</v>
      </c>
      <c r="P5668" s="0" t="s">
        <v>2444</v>
      </c>
    </row>
    <row r="5669" customFormat="false" ht="15" hidden="false" customHeight="true" outlineLevel="0" collapsed="false">
      <c r="A5669" s="0" t="n">
        <v>2</v>
      </c>
      <c r="B5669" s="71" t="n">
        <v>46244</v>
      </c>
      <c r="C5669" s="0" t="n">
        <v>100</v>
      </c>
      <c r="D5669" s="0" t="s">
        <v>2499</v>
      </c>
      <c r="E5669" s="0" t="n">
        <v>48</v>
      </c>
      <c r="F5669" s="0" t="s">
        <v>153</v>
      </c>
      <c r="I5669" s="0" t="n">
        <v>1529965</v>
      </c>
      <c r="J5669" s="0" t="n">
        <v>100018</v>
      </c>
      <c r="K5669" s="0" t="n">
        <v>19</v>
      </c>
      <c r="L5669" s="0" t="s">
        <v>3883</v>
      </c>
      <c r="N5669" s="0" t="n">
        <v>6.365</v>
      </c>
      <c r="O5669" s="0" t="n">
        <v>275.98</v>
      </c>
      <c r="P5669" s="0" t="s">
        <v>2444</v>
      </c>
    </row>
    <row r="5670" customFormat="false" ht="15" hidden="false" customHeight="true" outlineLevel="0" collapsed="false">
      <c r="A5670" s="0" t="n">
        <v>2</v>
      </c>
      <c r="B5670" s="71" t="n">
        <v>46244</v>
      </c>
      <c r="C5670" s="0" t="n">
        <v>100</v>
      </c>
      <c r="D5670" s="0" t="s">
        <v>2499</v>
      </c>
      <c r="E5670" s="0" t="n">
        <v>48</v>
      </c>
      <c r="F5670" s="0" t="s">
        <v>153</v>
      </c>
      <c r="I5670" s="0" t="n">
        <v>1529965</v>
      </c>
      <c r="J5670" s="0" t="n">
        <v>100053</v>
      </c>
      <c r="K5670" s="0" t="n">
        <v>54</v>
      </c>
      <c r="L5670" s="0" t="s">
        <v>2495</v>
      </c>
      <c r="N5670" s="0" t="n">
        <v>1.298</v>
      </c>
      <c r="O5670" s="0" t="n">
        <v>45.02</v>
      </c>
      <c r="P5670" s="0" t="s">
        <v>2444</v>
      </c>
    </row>
    <row r="5671" customFormat="false" ht="15" hidden="false" customHeight="true" outlineLevel="0" collapsed="false">
      <c r="A5671" s="0" t="n">
        <v>2</v>
      </c>
      <c r="B5671" s="71" t="n">
        <v>46244</v>
      </c>
      <c r="C5671" s="0" t="n">
        <v>100</v>
      </c>
      <c r="D5671" s="0" t="s">
        <v>2499</v>
      </c>
      <c r="E5671" s="0" t="n">
        <v>48</v>
      </c>
      <c r="F5671" s="0" t="s">
        <v>153</v>
      </c>
      <c r="I5671" s="0" t="n">
        <v>1529965</v>
      </c>
      <c r="J5671" s="0" t="n">
        <v>100520</v>
      </c>
      <c r="K5671" s="0" t="n">
        <v>507</v>
      </c>
      <c r="L5671" s="0" t="s">
        <v>2497</v>
      </c>
      <c r="N5671" s="0" t="n">
        <v>3.44</v>
      </c>
      <c r="O5671" s="0" t="n">
        <v>8.11</v>
      </c>
      <c r="P5671" s="0" t="s">
        <v>2444</v>
      </c>
    </row>
    <row r="5672" customFormat="false" ht="15" hidden="false" customHeight="true" outlineLevel="0" collapsed="false">
      <c r="A5672" s="0" t="n">
        <v>2</v>
      </c>
      <c r="B5672" s="71" t="n">
        <v>46245</v>
      </c>
      <c r="C5672" s="0" t="n">
        <v>6</v>
      </c>
      <c r="D5672" s="0" t="s">
        <v>2553</v>
      </c>
      <c r="E5672" s="0" t="n">
        <v>48</v>
      </c>
      <c r="F5672" s="0" t="s">
        <v>153</v>
      </c>
      <c r="I5672" s="0" t="n">
        <v>2599</v>
      </c>
      <c r="J5672" s="0" t="n">
        <v>100113</v>
      </c>
      <c r="K5672" s="0" t="n">
        <v>114</v>
      </c>
      <c r="L5672" s="0" t="s">
        <v>2539</v>
      </c>
      <c r="N5672" s="0" t="n">
        <v>20</v>
      </c>
      <c r="O5672" s="0" t="n">
        <v>60</v>
      </c>
      <c r="P5672" s="0" t="s">
        <v>2444</v>
      </c>
    </row>
    <row r="5673" customFormat="false" ht="15" hidden="false" customHeight="true" outlineLevel="0" collapsed="false">
      <c r="A5673" s="0" t="n">
        <v>2</v>
      </c>
      <c r="B5673" s="71" t="n">
        <v>46245</v>
      </c>
      <c r="C5673" s="0" t="n">
        <v>6</v>
      </c>
      <c r="D5673" s="0" t="s">
        <v>2553</v>
      </c>
      <c r="E5673" s="0" t="n">
        <v>48</v>
      </c>
      <c r="F5673" s="0" t="s">
        <v>153</v>
      </c>
      <c r="I5673" s="0" t="n">
        <v>2599</v>
      </c>
      <c r="J5673" s="0" t="n">
        <v>110142</v>
      </c>
      <c r="K5673" s="0" t="n">
        <v>16699</v>
      </c>
      <c r="L5673" s="0" t="s">
        <v>2549</v>
      </c>
      <c r="N5673" s="0" t="n">
        <v>20</v>
      </c>
      <c r="O5673" s="0" t="n">
        <v>115</v>
      </c>
      <c r="P5673" s="0" t="s">
        <v>2444</v>
      </c>
    </row>
    <row r="5674" customFormat="false" ht="15" hidden="false" customHeight="true" outlineLevel="0" collapsed="false">
      <c r="A5674" s="0" t="n">
        <v>2</v>
      </c>
      <c r="B5674" s="71" t="n">
        <v>46245</v>
      </c>
      <c r="C5674" s="0" t="n">
        <v>6</v>
      </c>
      <c r="D5674" s="0" t="s">
        <v>2553</v>
      </c>
      <c r="E5674" s="0" t="n">
        <v>48</v>
      </c>
      <c r="F5674" s="0" t="s">
        <v>153</v>
      </c>
      <c r="I5674" s="0" t="n">
        <v>2600</v>
      </c>
      <c r="J5674" s="0" t="n">
        <v>100100</v>
      </c>
      <c r="K5674" s="0" t="n">
        <v>101</v>
      </c>
      <c r="L5674" s="0" t="s">
        <v>2693</v>
      </c>
      <c r="N5674" s="0" t="n">
        <v>5</v>
      </c>
      <c r="O5674" s="0" t="n">
        <v>20</v>
      </c>
      <c r="P5674" s="0" t="s">
        <v>2444</v>
      </c>
    </row>
    <row r="5675" customFormat="false" ht="15" hidden="false" customHeight="true" outlineLevel="0" collapsed="false">
      <c r="A5675" s="0" t="n">
        <v>2</v>
      </c>
      <c r="B5675" s="71" t="n">
        <v>46245</v>
      </c>
      <c r="C5675" s="0" t="n">
        <v>6</v>
      </c>
      <c r="D5675" s="0" t="s">
        <v>2553</v>
      </c>
      <c r="E5675" s="0" t="n">
        <v>48</v>
      </c>
      <c r="F5675" s="0" t="s">
        <v>153</v>
      </c>
      <c r="I5675" s="0" t="n">
        <v>2600</v>
      </c>
      <c r="J5675" s="0" t="n">
        <v>100107</v>
      </c>
      <c r="K5675" s="0" t="n">
        <v>108</v>
      </c>
      <c r="L5675" s="0" t="s">
        <v>3259</v>
      </c>
      <c r="N5675" s="0" t="n">
        <v>3</v>
      </c>
      <c r="O5675" s="0" t="n">
        <v>36</v>
      </c>
      <c r="P5675" s="0" t="s">
        <v>2444</v>
      </c>
    </row>
    <row r="5676" customFormat="false" ht="15" hidden="false" customHeight="true" outlineLevel="0" collapsed="false">
      <c r="A5676" s="0" t="n">
        <v>2</v>
      </c>
      <c r="B5676" s="71" t="n">
        <v>46245</v>
      </c>
      <c r="C5676" s="0" t="n">
        <v>6</v>
      </c>
      <c r="D5676" s="0" t="s">
        <v>2553</v>
      </c>
      <c r="E5676" s="0" t="n">
        <v>48</v>
      </c>
      <c r="F5676" s="0" t="s">
        <v>153</v>
      </c>
      <c r="I5676" s="0" t="n">
        <v>2600</v>
      </c>
      <c r="J5676" s="0" t="n">
        <v>100109</v>
      </c>
      <c r="K5676" s="0" t="n">
        <v>110</v>
      </c>
      <c r="L5676" s="0" t="s">
        <v>2537</v>
      </c>
      <c r="N5676" s="0" t="n">
        <v>20</v>
      </c>
      <c r="O5676" s="0" t="n">
        <v>120</v>
      </c>
      <c r="P5676" s="0" t="s">
        <v>2444</v>
      </c>
    </row>
    <row r="5677" customFormat="false" ht="15" hidden="false" customHeight="true" outlineLevel="0" collapsed="false">
      <c r="A5677" s="0" t="n">
        <v>2</v>
      </c>
      <c r="B5677" s="71" t="n">
        <v>46245</v>
      </c>
      <c r="C5677" s="0" t="n">
        <v>6</v>
      </c>
      <c r="D5677" s="0" t="s">
        <v>2553</v>
      </c>
      <c r="E5677" s="0" t="n">
        <v>48</v>
      </c>
      <c r="F5677" s="0" t="s">
        <v>153</v>
      </c>
      <c r="I5677" s="0" t="n">
        <v>2600</v>
      </c>
      <c r="J5677" s="0" t="n">
        <v>100110</v>
      </c>
      <c r="K5677" s="0" t="n">
        <v>111</v>
      </c>
      <c r="L5677" s="0" t="s">
        <v>2997</v>
      </c>
      <c r="N5677" s="0" t="n">
        <v>16</v>
      </c>
      <c r="O5677" s="0" t="n">
        <v>112</v>
      </c>
      <c r="P5677" s="0" t="s">
        <v>2444</v>
      </c>
    </row>
    <row r="5678" customFormat="false" ht="15" hidden="false" customHeight="true" outlineLevel="0" collapsed="false">
      <c r="A5678" s="0" t="n">
        <v>2</v>
      </c>
      <c r="B5678" s="71" t="n">
        <v>46245</v>
      </c>
      <c r="C5678" s="0" t="n">
        <v>6</v>
      </c>
      <c r="D5678" s="0" t="s">
        <v>2553</v>
      </c>
      <c r="E5678" s="0" t="n">
        <v>48</v>
      </c>
      <c r="F5678" s="0" t="s">
        <v>153</v>
      </c>
      <c r="I5678" s="0" t="n">
        <v>2600</v>
      </c>
      <c r="J5678" s="0" t="n">
        <v>100115</v>
      </c>
      <c r="K5678" s="0" t="n">
        <v>116</v>
      </c>
      <c r="L5678" s="0" t="s">
        <v>2694</v>
      </c>
      <c r="N5678" s="0" t="n">
        <v>10</v>
      </c>
      <c r="O5678" s="0" t="n">
        <v>100</v>
      </c>
      <c r="P5678" s="0" t="s">
        <v>2444</v>
      </c>
    </row>
    <row r="5679" customFormat="false" ht="15" hidden="false" customHeight="true" outlineLevel="0" collapsed="false">
      <c r="A5679" s="0" t="n">
        <v>2</v>
      </c>
      <c r="B5679" s="71" t="n">
        <v>46245</v>
      </c>
      <c r="C5679" s="0" t="n">
        <v>6</v>
      </c>
      <c r="D5679" s="0" t="s">
        <v>2553</v>
      </c>
      <c r="E5679" s="0" t="n">
        <v>48</v>
      </c>
      <c r="F5679" s="0" t="s">
        <v>153</v>
      </c>
      <c r="I5679" s="0" t="n">
        <v>2600</v>
      </c>
      <c r="J5679" s="0" t="n">
        <v>100121</v>
      </c>
      <c r="K5679" s="0" t="n">
        <v>122</v>
      </c>
      <c r="L5679" s="0" t="s">
        <v>2542</v>
      </c>
      <c r="N5679" s="0" t="n">
        <v>8</v>
      </c>
      <c r="O5679" s="0" t="n">
        <v>64</v>
      </c>
      <c r="P5679" s="0" t="s">
        <v>2444</v>
      </c>
    </row>
    <row r="5680" customFormat="false" ht="15" hidden="false" customHeight="true" outlineLevel="0" collapsed="false">
      <c r="A5680" s="0" t="n">
        <v>2</v>
      </c>
      <c r="B5680" s="71" t="n">
        <v>46245</v>
      </c>
      <c r="C5680" s="0" t="n">
        <v>6</v>
      </c>
      <c r="D5680" s="0" t="s">
        <v>2553</v>
      </c>
      <c r="E5680" s="0" t="n">
        <v>48</v>
      </c>
      <c r="F5680" s="0" t="s">
        <v>153</v>
      </c>
      <c r="I5680" s="0" t="n">
        <v>2600</v>
      </c>
      <c r="J5680" s="0" t="n">
        <v>100122</v>
      </c>
      <c r="K5680" s="0" t="n">
        <v>123</v>
      </c>
      <c r="L5680" s="0" t="s">
        <v>2543</v>
      </c>
      <c r="N5680" s="0" t="n">
        <v>8</v>
      </c>
      <c r="O5680" s="0" t="n">
        <v>80</v>
      </c>
      <c r="P5680" s="0" t="s">
        <v>2444</v>
      </c>
    </row>
    <row r="5681" customFormat="false" ht="15" hidden="false" customHeight="true" outlineLevel="0" collapsed="false">
      <c r="A5681" s="0" t="n">
        <v>2</v>
      </c>
      <c r="B5681" s="71" t="n">
        <v>46245</v>
      </c>
      <c r="C5681" s="0" t="n">
        <v>6</v>
      </c>
      <c r="D5681" s="0" t="s">
        <v>2553</v>
      </c>
      <c r="E5681" s="0" t="n">
        <v>48</v>
      </c>
      <c r="F5681" s="0" t="s">
        <v>153</v>
      </c>
      <c r="I5681" s="0" t="n">
        <v>2600</v>
      </c>
      <c r="J5681" s="0" t="n">
        <v>100124</v>
      </c>
      <c r="K5681" s="0" t="n">
        <v>125</v>
      </c>
      <c r="L5681" s="0" t="s">
        <v>2695</v>
      </c>
      <c r="N5681" s="0" t="n">
        <v>5</v>
      </c>
      <c r="O5681" s="0" t="n">
        <v>55</v>
      </c>
      <c r="P5681" s="0" t="s">
        <v>2444</v>
      </c>
    </row>
    <row r="5682" customFormat="false" ht="15" hidden="false" customHeight="true" outlineLevel="0" collapsed="false">
      <c r="A5682" s="0" t="n">
        <v>2</v>
      </c>
      <c r="B5682" s="71" t="n">
        <v>46245</v>
      </c>
      <c r="C5682" s="0" t="n">
        <v>6</v>
      </c>
      <c r="D5682" s="0" t="s">
        <v>2553</v>
      </c>
      <c r="E5682" s="0" t="n">
        <v>48</v>
      </c>
      <c r="F5682" s="0" t="s">
        <v>153</v>
      </c>
      <c r="I5682" s="0" t="n">
        <v>2600</v>
      </c>
      <c r="J5682" s="0" t="n">
        <v>100125</v>
      </c>
      <c r="K5682" s="0" t="n">
        <v>126</v>
      </c>
      <c r="L5682" s="0" t="s">
        <v>2597</v>
      </c>
      <c r="N5682" s="0" t="n">
        <v>20</v>
      </c>
      <c r="O5682" s="0" t="n">
        <v>140</v>
      </c>
      <c r="P5682" s="0" t="s">
        <v>2444</v>
      </c>
    </row>
    <row r="5683" customFormat="false" ht="15" hidden="false" customHeight="true" outlineLevel="0" collapsed="false">
      <c r="A5683" s="0" t="n">
        <v>2</v>
      </c>
      <c r="B5683" s="71" t="n">
        <v>46245</v>
      </c>
      <c r="C5683" s="0" t="n">
        <v>6</v>
      </c>
      <c r="D5683" s="0" t="s">
        <v>2553</v>
      </c>
      <c r="E5683" s="0" t="n">
        <v>48</v>
      </c>
      <c r="F5683" s="0" t="s">
        <v>153</v>
      </c>
      <c r="I5683" s="0" t="n">
        <v>2600</v>
      </c>
      <c r="J5683" s="0" t="n">
        <v>100130</v>
      </c>
      <c r="K5683" s="0" t="n">
        <v>131</v>
      </c>
      <c r="L5683" s="0" t="s">
        <v>2545</v>
      </c>
      <c r="N5683" s="0" t="n">
        <v>20</v>
      </c>
      <c r="O5683" s="0" t="n">
        <v>140</v>
      </c>
      <c r="P5683" s="0" t="s">
        <v>2444</v>
      </c>
    </row>
    <row r="5684" customFormat="false" ht="15" hidden="false" customHeight="true" outlineLevel="0" collapsed="false">
      <c r="A5684" s="0" t="n">
        <v>2</v>
      </c>
      <c r="B5684" s="71" t="n">
        <v>46245</v>
      </c>
      <c r="C5684" s="0" t="n">
        <v>6</v>
      </c>
      <c r="D5684" s="0" t="s">
        <v>2553</v>
      </c>
      <c r="E5684" s="0" t="n">
        <v>48</v>
      </c>
      <c r="F5684" s="0" t="s">
        <v>153</v>
      </c>
      <c r="I5684" s="0" t="n">
        <v>2600</v>
      </c>
      <c r="J5684" s="0" t="n">
        <v>100132</v>
      </c>
      <c r="K5684" s="0" t="n">
        <v>133</v>
      </c>
      <c r="L5684" s="0" t="s">
        <v>2546</v>
      </c>
      <c r="N5684" s="0" t="n">
        <v>44.47</v>
      </c>
      <c r="O5684" s="0" t="n">
        <v>160</v>
      </c>
      <c r="P5684" s="0" t="s">
        <v>2444</v>
      </c>
    </row>
    <row r="5685" customFormat="false" ht="15" hidden="false" customHeight="true" outlineLevel="0" collapsed="false">
      <c r="A5685" s="0" t="n">
        <v>2</v>
      </c>
      <c r="B5685" s="71" t="n">
        <v>46245</v>
      </c>
      <c r="C5685" s="0" t="n">
        <v>6</v>
      </c>
      <c r="D5685" s="0" t="s">
        <v>2553</v>
      </c>
      <c r="E5685" s="0" t="n">
        <v>48</v>
      </c>
      <c r="F5685" s="0" t="s">
        <v>153</v>
      </c>
      <c r="I5685" s="0" t="n">
        <v>2600</v>
      </c>
      <c r="J5685" s="0" t="n">
        <v>100133</v>
      </c>
      <c r="K5685" s="0" t="n">
        <v>134</v>
      </c>
      <c r="L5685" s="0" t="s">
        <v>2547</v>
      </c>
      <c r="N5685" s="0" t="n">
        <v>15</v>
      </c>
      <c r="O5685" s="0" t="n">
        <v>93.75</v>
      </c>
      <c r="P5685" s="0" t="s">
        <v>2444</v>
      </c>
    </row>
    <row r="5686" customFormat="false" ht="15" hidden="false" customHeight="true" outlineLevel="0" collapsed="false">
      <c r="A5686" s="0" t="n">
        <v>2</v>
      </c>
      <c r="B5686" s="71" t="n">
        <v>46245</v>
      </c>
      <c r="C5686" s="0" t="n">
        <v>6</v>
      </c>
      <c r="D5686" s="0" t="s">
        <v>2553</v>
      </c>
      <c r="E5686" s="0" t="n">
        <v>48</v>
      </c>
      <c r="F5686" s="0" t="s">
        <v>153</v>
      </c>
      <c r="I5686" s="0" t="n">
        <v>2600</v>
      </c>
      <c r="J5686" s="0" t="n">
        <v>100148</v>
      </c>
      <c r="K5686" s="0" t="n">
        <v>149</v>
      </c>
      <c r="L5686" s="0" t="s">
        <v>2600</v>
      </c>
      <c r="N5686" s="0" t="n">
        <v>20</v>
      </c>
      <c r="O5686" s="0" t="n">
        <v>100</v>
      </c>
      <c r="P5686" s="0" t="s">
        <v>2444</v>
      </c>
    </row>
    <row r="5687" customFormat="false" ht="15" hidden="false" customHeight="true" outlineLevel="0" collapsed="false">
      <c r="A5687" s="0" t="n">
        <v>2</v>
      </c>
      <c r="B5687" s="71" t="n">
        <v>46245</v>
      </c>
      <c r="C5687" s="0" t="n">
        <v>6</v>
      </c>
      <c r="D5687" s="0" t="s">
        <v>2553</v>
      </c>
      <c r="E5687" s="0" t="n">
        <v>48</v>
      </c>
      <c r="F5687" s="0" t="s">
        <v>153</v>
      </c>
      <c r="I5687" s="0" t="n">
        <v>2600</v>
      </c>
      <c r="J5687" s="0" t="n">
        <v>110489</v>
      </c>
      <c r="K5687" s="0" t="n">
        <v>54743</v>
      </c>
      <c r="L5687" s="0" t="s">
        <v>2550</v>
      </c>
      <c r="N5687" s="0" t="n">
        <v>60</v>
      </c>
      <c r="O5687" s="0" t="n">
        <v>420</v>
      </c>
      <c r="P5687" s="0" t="s">
        <v>2444</v>
      </c>
    </row>
    <row r="5688" customFormat="false" ht="15" hidden="false" customHeight="true" outlineLevel="0" collapsed="false">
      <c r="A5688" s="0" t="n">
        <v>2</v>
      </c>
      <c r="B5688" s="71" t="n">
        <v>46245</v>
      </c>
      <c r="C5688" s="0" t="n">
        <v>6</v>
      </c>
      <c r="D5688" s="0" t="s">
        <v>2553</v>
      </c>
      <c r="E5688" s="0" t="n">
        <v>48</v>
      </c>
      <c r="F5688" s="0" t="s">
        <v>153</v>
      </c>
      <c r="I5688" s="0" t="n">
        <v>2600</v>
      </c>
      <c r="J5688" s="0" t="n">
        <v>80078</v>
      </c>
      <c r="K5688" s="0" t="n">
        <v>710</v>
      </c>
      <c r="L5688" s="0" t="s">
        <v>2551</v>
      </c>
      <c r="N5688" s="0" t="n">
        <v>10</v>
      </c>
      <c r="O5688" s="0" t="n">
        <v>30</v>
      </c>
      <c r="P5688" s="0" t="s">
        <v>2444</v>
      </c>
    </row>
    <row r="5689" customFormat="false" ht="15" hidden="false" customHeight="true" outlineLevel="0" collapsed="false">
      <c r="A5689" s="0" t="n">
        <v>2</v>
      </c>
      <c r="B5689" s="71" t="n">
        <v>46245</v>
      </c>
      <c r="C5689" s="0" t="n">
        <v>6</v>
      </c>
      <c r="D5689" s="0" t="s">
        <v>2553</v>
      </c>
      <c r="E5689" s="0" t="n">
        <v>48</v>
      </c>
      <c r="F5689" s="0" t="s">
        <v>153</v>
      </c>
      <c r="I5689" s="0" t="n">
        <v>2600</v>
      </c>
      <c r="J5689" s="0" t="n">
        <v>81106</v>
      </c>
      <c r="K5689" s="0" t="n">
        <v>1168</v>
      </c>
      <c r="L5689" s="0" t="s">
        <v>4683</v>
      </c>
      <c r="N5689" s="0" t="n">
        <v>15</v>
      </c>
      <c r="O5689" s="0" t="n">
        <v>67.5</v>
      </c>
      <c r="P5689" s="0" t="s">
        <v>2444</v>
      </c>
    </row>
    <row r="5690" customFormat="false" ht="15" hidden="false" customHeight="true" outlineLevel="0" collapsed="false">
      <c r="A5690" s="0" t="n">
        <v>2</v>
      </c>
      <c r="B5690" s="71" t="n">
        <v>46245</v>
      </c>
      <c r="C5690" s="0" t="n">
        <v>6</v>
      </c>
      <c r="D5690" s="0" t="s">
        <v>2553</v>
      </c>
      <c r="E5690" s="0" t="n">
        <v>48</v>
      </c>
      <c r="F5690" s="0" t="s">
        <v>153</v>
      </c>
      <c r="I5690" s="0" t="n">
        <v>2600</v>
      </c>
      <c r="J5690" s="0" t="n">
        <v>81699</v>
      </c>
      <c r="K5690" s="0" t="n">
        <v>1311</v>
      </c>
      <c r="L5690" s="0" t="s">
        <v>4045</v>
      </c>
      <c r="N5690" s="0" t="n">
        <v>20</v>
      </c>
      <c r="O5690" s="0" t="n">
        <v>100</v>
      </c>
      <c r="P5690" s="0" t="s">
        <v>2444</v>
      </c>
    </row>
    <row r="5691" customFormat="false" ht="15" hidden="false" customHeight="true" outlineLevel="0" collapsed="false">
      <c r="A5691" s="0" t="n">
        <v>2</v>
      </c>
      <c r="B5691" s="71" t="n">
        <v>46245</v>
      </c>
      <c r="C5691" s="0" t="n">
        <v>11</v>
      </c>
      <c r="D5691" s="0" t="s">
        <v>2471</v>
      </c>
      <c r="E5691" s="0" t="n">
        <v>306</v>
      </c>
      <c r="F5691" s="0" t="s">
        <v>524</v>
      </c>
      <c r="I5691" s="0" t="n">
        <v>394</v>
      </c>
      <c r="J5691" s="0" t="n">
        <v>14767</v>
      </c>
      <c r="K5691" s="0" t="n">
        <v>7896036095096</v>
      </c>
      <c r="L5691" s="0" t="s">
        <v>3278</v>
      </c>
      <c r="N5691" s="0" t="n">
        <v>27</v>
      </c>
      <c r="O5691" s="0" t="n">
        <v>70.74</v>
      </c>
      <c r="P5691" s="0" t="s">
        <v>2444</v>
      </c>
    </row>
    <row r="5692" customFormat="false" ht="15" hidden="false" customHeight="true" outlineLevel="0" collapsed="false">
      <c r="A5692" s="0" t="n">
        <v>2</v>
      </c>
      <c r="B5692" s="71" t="n">
        <v>46245</v>
      </c>
      <c r="C5692" s="0" t="n">
        <v>11</v>
      </c>
      <c r="D5692" s="0" t="s">
        <v>2471</v>
      </c>
      <c r="E5692" s="0" t="n">
        <v>306</v>
      </c>
      <c r="F5692" s="0" t="s">
        <v>524</v>
      </c>
      <c r="I5692" s="0" t="n">
        <v>394</v>
      </c>
      <c r="J5692" s="0" t="n">
        <v>29846</v>
      </c>
      <c r="K5692" s="0" t="n">
        <v>7891097102059</v>
      </c>
      <c r="L5692" s="0" t="s">
        <v>2633</v>
      </c>
      <c r="N5692" s="0" t="n">
        <v>25</v>
      </c>
      <c r="O5692" s="0" t="n">
        <v>299.75</v>
      </c>
      <c r="P5692" s="0" t="s">
        <v>2444</v>
      </c>
    </row>
    <row r="5693" customFormat="false" ht="15" hidden="false" customHeight="true" outlineLevel="0" collapsed="false">
      <c r="A5693" s="0" t="n">
        <v>2</v>
      </c>
      <c r="B5693" s="71" t="n">
        <v>46245</v>
      </c>
      <c r="C5693" s="0" t="n">
        <v>11</v>
      </c>
      <c r="D5693" s="0" t="s">
        <v>2471</v>
      </c>
      <c r="E5693" s="0" t="n">
        <v>875</v>
      </c>
      <c r="F5693" s="0" t="s">
        <v>42</v>
      </c>
      <c r="I5693" s="0" t="n">
        <v>1898</v>
      </c>
      <c r="J5693" s="0" t="n">
        <v>56454</v>
      </c>
      <c r="K5693" s="0" t="n">
        <v>7893595552541</v>
      </c>
      <c r="L5693" s="0" t="s">
        <v>4705</v>
      </c>
      <c r="N5693" s="0" t="n">
        <v>5</v>
      </c>
      <c r="O5693" s="0" t="n">
        <v>55</v>
      </c>
      <c r="P5693" s="0" t="s">
        <v>2444</v>
      </c>
    </row>
    <row r="5694" customFormat="false" ht="15" hidden="false" customHeight="true" outlineLevel="0" collapsed="false">
      <c r="A5694" s="0" t="n">
        <v>2</v>
      </c>
      <c r="B5694" s="71" t="n">
        <v>46245</v>
      </c>
      <c r="C5694" s="0" t="n">
        <v>11</v>
      </c>
      <c r="D5694" s="0" t="s">
        <v>2471</v>
      </c>
      <c r="E5694" s="0" t="n">
        <v>875</v>
      </c>
      <c r="F5694" s="0" t="s">
        <v>42</v>
      </c>
      <c r="I5694" s="0" t="n">
        <v>1898</v>
      </c>
      <c r="J5694" s="0" t="n">
        <v>60427</v>
      </c>
      <c r="K5694" s="0" t="n">
        <v>7899085126087</v>
      </c>
      <c r="L5694" s="0" t="s">
        <v>2865</v>
      </c>
      <c r="N5694" s="0" t="n">
        <v>5</v>
      </c>
      <c r="O5694" s="0" t="n">
        <v>225</v>
      </c>
      <c r="P5694" s="0" t="s">
        <v>2444</v>
      </c>
    </row>
    <row r="5695" customFormat="false" ht="15" hidden="false" customHeight="true" outlineLevel="0" collapsed="false">
      <c r="A5695" s="0" t="n">
        <v>2</v>
      </c>
      <c r="B5695" s="71" t="n">
        <v>46245</v>
      </c>
      <c r="C5695" s="0" t="n">
        <v>11</v>
      </c>
      <c r="D5695" s="0" t="s">
        <v>2471</v>
      </c>
      <c r="E5695" s="0" t="n">
        <v>875</v>
      </c>
      <c r="F5695" s="0" t="s">
        <v>42</v>
      </c>
      <c r="I5695" s="0" t="n">
        <v>1898</v>
      </c>
      <c r="J5695" s="0" t="n">
        <v>63003</v>
      </c>
      <c r="K5695" s="0" t="n">
        <v>7899454402521</v>
      </c>
      <c r="L5695" s="0" t="s">
        <v>2866</v>
      </c>
      <c r="N5695" s="0" t="n">
        <v>3</v>
      </c>
      <c r="O5695" s="0" t="n">
        <v>48</v>
      </c>
      <c r="P5695" s="0" t="s">
        <v>2444</v>
      </c>
    </row>
    <row r="5696" customFormat="false" ht="15" hidden="false" customHeight="true" outlineLevel="0" collapsed="false">
      <c r="A5696" s="0" t="n">
        <v>2</v>
      </c>
      <c r="B5696" s="71" t="n">
        <v>46245</v>
      </c>
      <c r="C5696" s="0" t="n">
        <v>11</v>
      </c>
      <c r="D5696" s="0" t="s">
        <v>2471</v>
      </c>
      <c r="E5696" s="0" t="n">
        <v>875</v>
      </c>
      <c r="F5696" s="0" t="s">
        <v>42</v>
      </c>
      <c r="I5696" s="0" t="n">
        <v>1898</v>
      </c>
      <c r="J5696" s="0" t="n">
        <v>65504</v>
      </c>
      <c r="K5696" s="0" t="n">
        <v>7893095511406</v>
      </c>
      <c r="L5696" s="0" t="s">
        <v>4706</v>
      </c>
      <c r="N5696" s="0" t="n">
        <v>20</v>
      </c>
      <c r="O5696" s="0" t="n">
        <v>220</v>
      </c>
      <c r="P5696" s="0" t="s">
        <v>2444</v>
      </c>
    </row>
    <row r="5697" customFormat="false" ht="15" hidden="false" customHeight="true" outlineLevel="0" collapsed="false">
      <c r="A5697" s="0" t="n">
        <v>2</v>
      </c>
      <c r="B5697" s="71" t="n">
        <v>46245</v>
      </c>
      <c r="C5697" s="0" t="n">
        <v>11</v>
      </c>
      <c r="D5697" s="0" t="s">
        <v>2471</v>
      </c>
      <c r="E5697" s="0" t="n">
        <v>875</v>
      </c>
      <c r="F5697" s="0" t="s">
        <v>42</v>
      </c>
      <c r="I5697" s="0" t="n">
        <v>1898</v>
      </c>
      <c r="J5697" s="0" t="n">
        <v>68322</v>
      </c>
      <c r="K5697" s="0" t="n">
        <v>7899085714062</v>
      </c>
      <c r="L5697" s="0" t="s">
        <v>4707</v>
      </c>
      <c r="N5697" s="0" t="n">
        <v>5</v>
      </c>
      <c r="O5697" s="0" t="n">
        <v>60</v>
      </c>
      <c r="P5697" s="0" t="s">
        <v>2444</v>
      </c>
    </row>
    <row r="5698" customFormat="false" ht="15" hidden="false" customHeight="true" outlineLevel="0" collapsed="false">
      <c r="A5698" s="0" t="n">
        <v>2</v>
      </c>
      <c r="B5698" s="71" t="n">
        <v>46245</v>
      </c>
      <c r="C5698" s="0" t="n">
        <v>11</v>
      </c>
      <c r="D5698" s="0" t="s">
        <v>2471</v>
      </c>
      <c r="E5698" s="0" t="n">
        <v>875</v>
      </c>
      <c r="F5698" s="0" t="s">
        <v>42</v>
      </c>
      <c r="I5698" s="0" t="n">
        <v>1898</v>
      </c>
      <c r="J5698" s="0" t="n">
        <v>72713</v>
      </c>
      <c r="K5698" s="0" t="n">
        <v>7908044605171</v>
      </c>
      <c r="L5698" s="0" t="s">
        <v>2874</v>
      </c>
      <c r="N5698" s="0" t="n">
        <v>5</v>
      </c>
      <c r="O5698" s="0" t="n">
        <v>55</v>
      </c>
      <c r="P5698" s="0" t="s">
        <v>2444</v>
      </c>
    </row>
    <row r="5699" customFormat="false" ht="15" hidden="false" customHeight="true" outlineLevel="0" collapsed="false">
      <c r="A5699" s="0" t="n">
        <v>2</v>
      </c>
      <c r="B5699" s="71" t="n">
        <v>46245</v>
      </c>
      <c r="C5699" s="0" t="n">
        <v>11</v>
      </c>
      <c r="D5699" s="0" t="s">
        <v>2471</v>
      </c>
      <c r="E5699" s="0" t="n">
        <v>875</v>
      </c>
      <c r="F5699" s="0" t="s">
        <v>42</v>
      </c>
      <c r="I5699" s="0" t="n">
        <v>1898</v>
      </c>
      <c r="J5699" s="0" t="n">
        <v>74015</v>
      </c>
      <c r="K5699" s="0" t="n">
        <v>7893095164305</v>
      </c>
      <c r="L5699" s="0" t="s">
        <v>4708</v>
      </c>
      <c r="N5699" s="0" t="n">
        <v>15</v>
      </c>
      <c r="O5699" s="0" t="n">
        <v>150</v>
      </c>
      <c r="P5699" s="0" t="s">
        <v>2444</v>
      </c>
    </row>
    <row r="5700" customFormat="false" ht="15" hidden="false" customHeight="true" outlineLevel="0" collapsed="false">
      <c r="A5700" s="0" t="n">
        <v>2</v>
      </c>
      <c r="B5700" s="71" t="n">
        <v>46245</v>
      </c>
      <c r="C5700" s="0" t="n">
        <v>11</v>
      </c>
      <c r="D5700" s="0" t="s">
        <v>2471</v>
      </c>
      <c r="E5700" s="0" t="n">
        <v>875</v>
      </c>
      <c r="F5700" s="0" t="s">
        <v>42</v>
      </c>
      <c r="I5700" s="0" t="n">
        <v>1898</v>
      </c>
      <c r="J5700" s="0" t="n">
        <v>78362</v>
      </c>
      <c r="K5700" s="0" t="n">
        <v>7899085713539</v>
      </c>
      <c r="L5700" s="0" t="s">
        <v>4709</v>
      </c>
      <c r="N5700" s="0" t="n">
        <v>20</v>
      </c>
      <c r="O5700" s="0" t="n">
        <v>110</v>
      </c>
      <c r="P5700" s="0" t="s">
        <v>2444</v>
      </c>
    </row>
    <row r="5701" customFormat="false" ht="15" hidden="false" customHeight="true" outlineLevel="0" collapsed="false">
      <c r="A5701" s="0" t="n">
        <v>2</v>
      </c>
      <c r="B5701" s="71" t="n">
        <v>46245</v>
      </c>
      <c r="C5701" s="0" t="n">
        <v>11</v>
      </c>
      <c r="D5701" s="0" t="s">
        <v>2471</v>
      </c>
      <c r="E5701" s="0" t="n">
        <v>875</v>
      </c>
      <c r="F5701" s="0" t="s">
        <v>42</v>
      </c>
      <c r="I5701" s="0" t="n">
        <v>1898</v>
      </c>
      <c r="J5701" s="0" t="n">
        <v>81048</v>
      </c>
      <c r="K5701" s="0" t="n">
        <v>7448070403551</v>
      </c>
      <c r="L5701" s="0" t="s">
        <v>4710</v>
      </c>
      <c r="N5701" s="0" t="n">
        <v>10</v>
      </c>
      <c r="O5701" s="0" t="n">
        <v>120</v>
      </c>
      <c r="P5701" s="0" t="s">
        <v>2444</v>
      </c>
    </row>
    <row r="5702" customFormat="false" ht="15" hidden="false" customHeight="true" outlineLevel="0" collapsed="false">
      <c r="A5702" s="0" t="n">
        <v>2</v>
      </c>
      <c r="B5702" s="71" t="n">
        <v>46245</v>
      </c>
      <c r="C5702" s="0" t="n">
        <v>11</v>
      </c>
      <c r="D5702" s="0" t="s">
        <v>2471</v>
      </c>
      <c r="E5702" s="0" t="n">
        <v>875</v>
      </c>
      <c r="F5702" s="0" t="s">
        <v>42</v>
      </c>
      <c r="I5702" s="0" t="n">
        <v>1898</v>
      </c>
      <c r="J5702" s="0" t="n">
        <v>81948</v>
      </c>
      <c r="K5702" s="0" t="n">
        <v>7893095422948</v>
      </c>
      <c r="L5702" s="0" t="s">
        <v>4711</v>
      </c>
      <c r="N5702" s="0" t="n">
        <v>5</v>
      </c>
      <c r="O5702" s="0" t="n">
        <v>45</v>
      </c>
      <c r="P5702" s="0" t="s">
        <v>2444</v>
      </c>
    </row>
    <row r="5703" customFormat="false" ht="15" hidden="false" customHeight="true" outlineLevel="0" collapsed="false">
      <c r="A5703" s="0" t="n">
        <v>2</v>
      </c>
      <c r="B5703" s="71" t="n">
        <v>46245</v>
      </c>
      <c r="C5703" s="0" t="n">
        <v>11</v>
      </c>
      <c r="D5703" s="0" t="s">
        <v>2471</v>
      </c>
      <c r="E5703" s="0" t="n">
        <v>875</v>
      </c>
      <c r="F5703" s="0" t="s">
        <v>42</v>
      </c>
      <c r="I5703" s="0" t="n">
        <v>1898</v>
      </c>
      <c r="J5703" s="0" t="n">
        <v>82043</v>
      </c>
      <c r="K5703" s="0" t="n">
        <v>7893095545449</v>
      </c>
      <c r="L5703" s="0" t="s">
        <v>4712</v>
      </c>
      <c r="N5703" s="0" t="n">
        <v>5</v>
      </c>
      <c r="O5703" s="0" t="n">
        <v>67.5</v>
      </c>
      <c r="P5703" s="0" t="s">
        <v>2444</v>
      </c>
    </row>
    <row r="5704" customFormat="false" ht="15" hidden="false" customHeight="true" outlineLevel="0" collapsed="false">
      <c r="A5704" s="0" t="n">
        <v>2</v>
      </c>
      <c r="B5704" s="71" t="n">
        <v>46245</v>
      </c>
      <c r="C5704" s="0" t="n">
        <v>11</v>
      </c>
      <c r="D5704" s="0" t="s">
        <v>2471</v>
      </c>
      <c r="E5704" s="0" t="n">
        <v>875</v>
      </c>
      <c r="F5704" s="0" t="s">
        <v>42</v>
      </c>
      <c r="I5704" s="0" t="n">
        <v>1898</v>
      </c>
      <c r="J5704" s="0" t="n">
        <v>82044</v>
      </c>
      <c r="K5704" s="0" t="n">
        <v>7448070327499</v>
      </c>
      <c r="L5704" s="0" t="s">
        <v>4713</v>
      </c>
      <c r="N5704" s="0" t="n">
        <v>2</v>
      </c>
      <c r="O5704" s="0" t="n">
        <v>60</v>
      </c>
      <c r="P5704" s="0" t="s">
        <v>2444</v>
      </c>
    </row>
    <row r="5705" customFormat="false" ht="15" hidden="false" customHeight="true" outlineLevel="0" collapsed="false">
      <c r="A5705" s="0" t="n">
        <v>2</v>
      </c>
      <c r="B5705" s="71" t="n">
        <v>46245</v>
      </c>
      <c r="C5705" s="0" t="n">
        <v>11</v>
      </c>
      <c r="D5705" s="0" t="s">
        <v>2471</v>
      </c>
      <c r="E5705" s="0" t="n">
        <v>875</v>
      </c>
      <c r="F5705" s="0" t="s">
        <v>42</v>
      </c>
      <c r="I5705" s="0" t="n">
        <v>1898</v>
      </c>
      <c r="J5705" s="0" t="n">
        <v>82052</v>
      </c>
      <c r="K5705" s="0" t="n">
        <v>7908657611408</v>
      </c>
      <c r="L5705" s="0" t="s">
        <v>4714</v>
      </c>
      <c r="N5705" s="0" t="n">
        <v>1</v>
      </c>
      <c r="O5705" s="0" t="n">
        <v>62</v>
      </c>
      <c r="P5705" s="0" t="s">
        <v>2444</v>
      </c>
    </row>
    <row r="5706" customFormat="false" ht="15" hidden="false" customHeight="true" outlineLevel="0" collapsed="false">
      <c r="A5706" s="0" t="n">
        <v>2</v>
      </c>
      <c r="B5706" s="71" t="n">
        <v>46245</v>
      </c>
      <c r="C5706" s="0" t="n">
        <v>11</v>
      </c>
      <c r="D5706" s="0" t="s">
        <v>2471</v>
      </c>
      <c r="E5706" s="0" t="n">
        <v>1328</v>
      </c>
      <c r="F5706" s="0" t="s">
        <v>95</v>
      </c>
      <c r="I5706" s="0" t="n">
        <v>4340</v>
      </c>
      <c r="J5706" s="0" t="n">
        <v>50310</v>
      </c>
      <c r="K5706" s="0" t="n">
        <v>7898588380101</v>
      </c>
      <c r="L5706" s="0" t="s">
        <v>2502</v>
      </c>
      <c r="N5706" s="0" t="n">
        <v>3</v>
      </c>
      <c r="O5706" s="0" t="n">
        <v>21.75</v>
      </c>
      <c r="P5706" s="0" t="s">
        <v>2444</v>
      </c>
    </row>
    <row r="5707" customFormat="false" ht="15" hidden="false" customHeight="true" outlineLevel="0" collapsed="false">
      <c r="A5707" s="0" t="n">
        <v>2</v>
      </c>
      <c r="B5707" s="71" t="n">
        <v>46245</v>
      </c>
      <c r="C5707" s="0" t="n">
        <v>11</v>
      </c>
      <c r="D5707" s="0" t="s">
        <v>2471</v>
      </c>
      <c r="E5707" s="0" t="n">
        <v>1328</v>
      </c>
      <c r="F5707" s="0" t="s">
        <v>95</v>
      </c>
      <c r="I5707" s="0" t="n">
        <v>4340</v>
      </c>
      <c r="J5707" s="0" t="n">
        <v>21045</v>
      </c>
      <c r="K5707" s="0" t="n">
        <v>7898588380255</v>
      </c>
      <c r="L5707" s="0" t="s">
        <v>2503</v>
      </c>
      <c r="N5707" s="0" t="n">
        <v>3</v>
      </c>
      <c r="O5707" s="0" t="n">
        <v>16.5</v>
      </c>
      <c r="P5707" s="0" t="s">
        <v>2444</v>
      </c>
    </row>
    <row r="5708" customFormat="false" ht="15" hidden="false" customHeight="true" outlineLevel="0" collapsed="false">
      <c r="A5708" s="0" t="n">
        <v>2</v>
      </c>
      <c r="B5708" s="71" t="n">
        <v>46245</v>
      </c>
      <c r="C5708" s="0" t="n">
        <v>11</v>
      </c>
      <c r="D5708" s="0" t="s">
        <v>2471</v>
      </c>
      <c r="E5708" s="0" t="n">
        <v>1328</v>
      </c>
      <c r="F5708" s="0" t="s">
        <v>95</v>
      </c>
      <c r="I5708" s="0" t="n">
        <v>4340</v>
      </c>
      <c r="J5708" s="0" t="n">
        <v>21060</v>
      </c>
      <c r="K5708" s="0" t="n">
        <v>7898588380118</v>
      </c>
      <c r="L5708" s="0" t="s">
        <v>2504</v>
      </c>
      <c r="N5708" s="0" t="n">
        <v>15</v>
      </c>
      <c r="O5708" s="0" t="n">
        <v>97.5</v>
      </c>
      <c r="P5708" s="0" t="s">
        <v>2444</v>
      </c>
    </row>
    <row r="5709" customFormat="false" ht="15" hidden="false" customHeight="true" outlineLevel="0" collapsed="false">
      <c r="A5709" s="0" t="n">
        <v>2</v>
      </c>
      <c r="B5709" s="71" t="n">
        <v>46245</v>
      </c>
      <c r="C5709" s="0" t="n">
        <v>11</v>
      </c>
      <c r="D5709" s="0" t="s">
        <v>2471</v>
      </c>
      <c r="E5709" s="0" t="n">
        <v>1328</v>
      </c>
      <c r="F5709" s="0" t="s">
        <v>95</v>
      </c>
      <c r="I5709" s="0" t="n">
        <v>4340</v>
      </c>
      <c r="J5709" s="0" t="n">
        <v>31789</v>
      </c>
      <c r="K5709" s="0" t="n">
        <v>7898588380149</v>
      </c>
      <c r="L5709" s="0" t="s">
        <v>2446</v>
      </c>
      <c r="N5709" s="0" t="n">
        <v>3</v>
      </c>
      <c r="O5709" s="0" t="n">
        <v>16.5</v>
      </c>
      <c r="P5709" s="0" t="s">
        <v>2444</v>
      </c>
    </row>
    <row r="5710" customFormat="false" ht="15" hidden="false" customHeight="true" outlineLevel="0" collapsed="false">
      <c r="A5710" s="0" t="n">
        <v>2</v>
      </c>
      <c r="B5710" s="71" t="n">
        <v>46245</v>
      </c>
      <c r="C5710" s="0" t="n">
        <v>11</v>
      </c>
      <c r="D5710" s="0" t="s">
        <v>2471</v>
      </c>
      <c r="E5710" s="0" t="n">
        <v>1328</v>
      </c>
      <c r="F5710" s="0" t="s">
        <v>95</v>
      </c>
      <c r="I5710" s="0" t="n">
        <v>4340</v>
      </c>
      <c r="J5710" s="0" t="n">
        <v>31782</v>
      </c>
      <c r="K5710" s="0" t="n">
        <v>7898588380132</v>
      </c>
      <c r="L5710" s="0" t="s">
        <v>2505</v>
      </c>
      <c r="N5710" s="0" t="n">
        <v>3</v>
      </c>
      <c r="O5710" s="0" t="n">
        <v>16.5</v>
      </c>
      <c r="P5710" s="0" t="s">
        <v>2444</v>
      </c>
    </row>
    <row r="5711" customFormat="false" ht="15" hidden="false" customHeight="true" outlineLevel="0" collapsed="false">
      <c r="A5711" s="0" t="n">
        <v>2</v>
      </c>
      <c r="B5711" s="71" t="n">
        <v>46245</v>
      </c>
      <c r="C5711" s="0" t="n">
        <v>11</v>
      </c>
      <c r="D5711" s="0" t="s">
        <v>2471</v>
      </c>
      <c r="E5711" s="0" t="n">
        <v>1328</v>
      </c>
      <c r="F5711" s="0" t="s">
        <v>95</v>
      </c>
      <c r="I5711" s="0" t="n">
        <v>4340</v>
      </c>
      <c r="J5711" s="0" t="n">
        <v>31784</v>
      </c>
      <c r="K5711" s="0" t="n">
        <v>7898588380545</v>
      </c>
      <c r="L5711" s="0" t="s">
        <v>2590</v>
      </c>
      <c r="N5711" s="0" t="n">
        <v>3</v>
      </c>
      <c r="O5711" s="0" t="n">
        <v>16.5</v>
      </c>
      <c r="P5711" s="0" t="s">
        <v>2444</v>
      </c>
    </row>
    <row r="5712" customFormat="false" ht="15" hidden="false" customHeight="true" outlineLevel="0" collapsed="false">
      <c r="A5712" s="0" t="n">
        <v>2</v>
      </c>
      <c r="B5712" s="71" t="n">
        <v>46245</v>
      </c>
      <c r="C5712" s="0" t="n">
        <v>11</v>
      </c>
      <c r="D5712" s="0" t="s">
        <v>2471</v>
      </c>
      <c r="E5712" s="0" t="n">
        <v>1328</v>
      </c>
      <c r="F5712" s="0" t="s">
        <v>95</v>
      </c>
      <c r="I5712" s="0" t="n">
        <v>4340</v>
      </c>
      <c r="J5712" s="0" t="n">
        <v>31786</v>
      </c>
      <c r="K5712" s="0" t="n">
        <v>7898588380187</v>
      </c>
      <c r="L5712" s="0" t="s">
        <v>2506</v>
      </c>
      <c r="N5712" s="0" t="n">
        <v>5</v>
      </c>
      <c r="O5712" s="0" t="n">
        <v>27.5</v>
      </c>
      <c r="P5712" s="0" t="s">
        <v>2444</v>
      </c>
    </row>
    <row r="5713" customFormat="false" ht="15" hidden="false" customHeight="true" outlineLevel="0" collapsed="false">
      <c r="A5713" s="0" t="n">
        <v>2</v>
      </c>
      <c r="B5713" s="71" t="n">
        <v>46245</v>
      </c>
      <c r="C5713" s="0" t="n">
        <v>11</v>
      </c>
      <c r="D5713" s="0" t="s">
        <v>2471</v>
      </c>
      <c r="E5713" s="0" t="n">
        <v>1328</v>
      </c>
      <c r="F5713" s="0" t="s">
        <v>95</v>
      </c>
      <c r="I5713" s="0" t="n">
        <v>4340</v>
      </c>
      <c r="J5713" s="0" t="n">
        <v>31787</v>
      </c>
      <c r="K5713" s="0" t="n">
        <v>7898588380125</v>
      </c>
      <c r="L5713" s="0" t="s">
        <v>2507</v>
      </c>
      <c r="N5713" s="0" t="n">
        <v>6</v>
      </c>
      <c r="O5713" s="0" t="n">
        <v>50.4</v>
      </c>
      <c r="P5713" s="0" t="s">
        <v>2444</v>
      </c>
    </row>
    <row r="5714" customFormat="false" ht="15" hidden="false" customHeight="true" outlineLevel="0" collapsed="false">
      <c r="A5714" s="0" t="n">
        <v>2</v>
      </c>
      <c r="B5714" s="71" t="n">
        <v>46245</v>
      </c>
      <c r="C5714" s="0" t="n">
        <v>11</v>
      </c>
      <c r="D5714" s="0" t="s">
        <v>2471</v>
      </c>
      <c r="E5714" s="0" t="n">
        <v>1328</v>
      </c>
      <c r="F5714" s="0" t="s">
        <v>95</v>
      </c>
      <c r="I5714" s="0" t="n">
        <v>4340</v>
      </c>
      <c r="J5714" s="0" t="n">
        <v>31790</v>
      </c>
      <c r="K5714" s="0" t="n">
        <v>7898588380231</v>
      </c>
      <c r="L5714" s="0" t="s">
        <v>2508</v>
      </c>
      <c r="N5714" s="0" t="n">
        <v>3</v>
      </c>
      <c r="O5714" s="0" t="n">
        <v>16.5</v>
      </c>
      <c r="P5714" s="0" t="s">
        <v>2444</v>
      </c>
    </row>
    <row r="5715" customFormat="false" ht="15" hidden="false" customHeight="true" outlineLevel="0" collapsed="false">
      <c r="A5715" s="0" t="n">
        <v>2</v>
      </c>
      <c r="B5715" s="71" t="n">
        <v>46245</v>
      </c>
      <c r="C5715" s="0" t="n">
        <v>11</v>
      </c>
      <c r="D5715" s="0" t="s">
        <v>2471</v>
      </c>
      <c r="E5715" s="0" t="n">
        <v>911</v>
      </c>
      <c r="F5715" s="0" t="s">
        <v>487</v>
      </c>
      <c r="I5715" s="0" t="n">
        <v>55971</v>
      </c>
      <c r="J5715" s="0" t="n">
        <v>102391</v>
      </c>
      <c r="K5715" s="0" t="n">
        <v>95188790348</v>
      </c>
      <c r="L5715" s="0" t="s">
        <v>3925</v>
      </c>
      <c r="N5715" s="0" t="n">
        <v>6</v>
      </c>
      <c r="O5715" s="0" t="n">
        <v>45</v>
      </c>
      <c r="P5715" s="0" t="s">
        <v>2444</v>
      </c>
    </row>
    <row r="5716" customFormat="false" ht="15" hidden="false" customHeight="true" outlineLevel="0" collapsed="false">
      <c r="A5716" s="0" t="n">
        <v>2</v>
      </c>
      <c r="B5716" s="71" t="n">
        <v>46245</v>
      </c>
      <c r="C5716" s="0" t="n">
        <v>11</v>
      </c>
      <c r="D5716" s="0" t="s">
        <v>2471</v>
      </c>
      <c r="E5716" s="0" t="n">
        <v>911</v>
      </c>
      <c r="F5716" s="0" t="s">
        <v>487</v>
      </c>
      <c r="I5716" s="0" t="n">
        <v>55971</v>
      </c>
      <c r="J5716" s="0" t="n">
        <v>25959</v>
      </c>
      <c r="K5716" s="0" t="n">
        <v>7898007220834</v>
      </c>
      <c r="L5716" s="0" t="s">
        <v>3028</v>
      </c>
      <c r="N5716" s="0" t="n">
        <v>12</v>
      </c>
      <c r="O5716" s="0" t="n">
        <v>47.88</v>
      </c>
      <c r="P5716" s="0" t="s">
        <v>2444</v>
      </c>
    </row>
    <row r="5717" customFormat="false" ht="15" hidden="false" customHeight="true" outlineLevel="0" collapsed="false">
      <c r="A5717" s="0" t="n">
        <v>2</v>
      </c>
      <c r="B5717" s="71" t="n">
        <v>46245</v>
      </c>
      <c r="C5717" s="0" t="n">
        <v>11</v>
      </c>
      <c r="D5717" s="0" t="s">
        <v>2471</v>
      </c>
      <c r="E5717" s="0" t="n">
        <v>911</v>
      </c>
      <c r="F5717" s="0" t="s">
        <v>487</v>
      </c>
      <c r="I5717" s="0" t="n">
        <v>55971</v>
      </c>
      <c r="J5717" s="0" t="n">
        <v>50676</v>
      </c>
      <c r="K5717" s="0" t="n">
        <v>7898007221176</v>
      </c>
      <c r="L5717" s="0" t="s">
        <v>3029</v>
      </c>
      <c r="N5717" s="0" t="n">
        <v>12</v>
      </c>
      <c r="O5717" s="0" t="n">
        <v>30.6</v>
      </c>
      <c r="P5717" s="0" t="s">
        <v>2444</v>
      </c>
    </row>
    <row r="5718" customFormat="false" ht="15" hidden="false" customHeight="true" outlineLevel="0" collapsed="false">
      <c r="A5718" s="0" t="n">
        <v>2</v>
      </c>
      <c r="B5718" s="71" t="n">
        <v>46245</v>
      </c>
      <c r="C5718" s="0" t="n">
        <v>11</v>
      </c>
      <c r="D5718" s="0" t="s">
        <v>2471</v>
      </c>
      <c r="E5718" s="0" t="n">
        <v>911</v>
      </c>
      <c r="F5718" s="0" t="s">
        <v>487</v>
      </c>
      <c r="I5718" s="0" t="n">
        <v>55971</v>
      </c>
      <c r="J5718" s="0" t="n">
        <v>61432</v>
      </c>
      <c r="K5718" s="0" t="n">
        <v>95188874505</v>
      </c>
      <c r="L5718" s="0" t="s">
        <v>3030</v>
      </c>
      <c r="N5718" s="0" t="n">
        <v>12</v>
      </c>
      <c r="O5718" s="0" t="n">
        <v>52.2</v>
      </c>
      <c r="P5718" s="0" t="s">
        <v>2444</v>
      </c>
    </row>
    <row r="5719" customFormat="false" ht="15" hidden="false" customHeight="true" outlineLevel="0" collapsed="false">
      <c r="A5719" s="0" t="n">
        <v>2</v>
      </c>
      <c r="B5719" s="71" t="n">
        <v>46245</v>
      </c>
      <c r="C5719" s="0" t="n">
        <v>11</v>
      </c>
      <c r="D5719" s="0" t="s">
        <v>2471</v>
      </c>
      <c r="E5719" s="0" t="n">
        <v>911</v>
      </c>
      <c r="F5719" s="0" t="s">
        <v>487</v>
      </c>
      <c r="I5719" s="0" t="n">
        <v>55971</v>
      </c>
      <c r="J5719" s="0" t="n">
        <v>62654</v>
      </c>
      <c r="K5719" s="0" t="n">
        <v>95188872501</v>
      </c>
      <c r="L5719" s="0" t="s">
        <v>3030</v>
      </c>
      <c r="N5719" s="0" t="n">
        <v>12</v>
      </c>
      <c r="O5719" s="0" t="n">
        <v>37.8</v>
      </c>
      <c r="P5719" s="0" t="s">
        <v>2444</v>
      </c>
    </row>
    <row r="5720" customFormat="false" ht="15" hidden="false" customHeight="true" outlineLevel="0" collapsed="false">
      <c r="A5720" s="0" t="n">
        <v>2</v>
      </c>
      <c r="B5720" s="71" t="n">
        <v>46245</v>
      </c>
      <c r="C5720" s="0" t="n">
        <v>11</v>
      </c>
      <c r="D5720" s="0" t="s">
        <v>2471</v>
      </c>
      <c r="E5720" s="0" t="n">
        <v>911</v>
      </c>
      <c r="F5720" s="0" t="s">
        <v>487</v>
      </c>
      <c r="I5720" s="0" t="n">
        <v>55971</v>
      </c>
      <c r="J5720" s="0" t="n">
        <v>63644</v>
      </c>
      <c r="K5720" s="0" t="n">
        <v>95188870507</v>
      </c>
      <c r="L5720" s="0" t="s">
        <v>3926</v>
      </c>
      <c r="N5720" s="0" t="n">
        <v>6</v>
      </c>
      <c r="O5720" s="0" t="n">
        <v>59.94</v>
      </c>
      <c r="P5720" s="0" t="s">
        <v>2444</v>
      </c>
    </row>
    <row r="5721" customFormat="false" ht="15" hidden="false" customHeight="true" outlineLevel="0" collapsed="false">
      <c r="A5721" s="0" t="n">
        <v>2</v>
      </c>
      <c r="B5721" s="71" t="n">
        <v>46245</v>
      </c>
      <c r="C5721" s="0" t="n">
        <v>11</v>
      </c>
      <c r="D5721" s="0" t="s">
        <v>2471</v>
      </c>
      <c r="E5721" s="0" t="n">
        <v>911</v>
      </c>
      <c r="F5721" s="0" t="s">
        <v>487</v>
      </c>
      <c r="I5721" s="0" t="n">
        <v>55971</v>
      </c>
      <c r="J5721" s="0" t="n">
        <v>65695</v>
      </c>
      <c r="K5721" s="0" t="n">
        <v>7898007221312</v>
      </c>
      <c r="L5721" s="0" t="s">
        <v>3031</v>
      </c>
      <c r="N5721" s="0" t="n">
        <v>12</v>
      </c>
      <c r="O5721" s="0" t="n">
        <v>30.6</v>
      </c>
      <c r="P5721" s="0" t="s">
        <v>2444</v>
      </c>
    </row>
    <row r="5722" customFormat="false" ht="15" hidden="false" customHeight="true" outlineLevel="0" collapsed="false">
      <c r="A5722" s="0" t="n">
        <v>2</v>
      </c>
      <c r="B5722" s="71" t="n">
        <v>46245</v>
      </c>
      <c r="C5722" s="0" t="n">
        <v>11</v>
      </c>
      <c r="D5722" s="0" t="s">
        <v>2471</v>
      </c>
      <c r="E5722" s="0" t="n">
        <v>1672</v>
      </c>
      <c r="F5722" s="0" t="s">
        <v>343</v>
      </c>
      <c r="I5722" s="0" t="n">
        <v>1414620</v>
      </c>
      <c r="J5722" s="0" t="n">
        <v>101308</v>
      </c>
      <c r="K5722" s="0" t="n">
        <v>7896579330098</v>
      </c>
      <c r="L5722" s="0" t="s">
        <v>4715</v>
      </c>
      <c r="N5722" s="0" t="n">
        <v>10</v>
      </c>
      <c r="O5722" s="0" t="n">
        <v>89</v>
      </c>
      <c r="P5722" s="0" t="s">
        <v>2444</v>
      </c>
    </row>
    <row r="5723" customFormat="false" ht="15" hidden="false" customHeight="true" outlineLevel="0" collapsed="false">
      <c r="A5723" s="0" t="n">
        <v>2</v>
      </c>
      <c r="B5723" s="71" t="n">
        <v>46245</v>
      </c>
      <c r="C5723" s="0" t="n">
        <v>11</v>
      </c>
      <c r="D5723" s="0" t="s">
        <v>2471</v>
      </c>
      <c r="E5723" s="0" t="n">
        <v>1672</v>
      </c>
      <c r="F5723" s="0" t="s">
        <v>343</v>
      </c>
      <c r="I5723" s="0" t="n">
        <v>1414620</v>
      </c>
      <c r="J5723" s="0" t="n">
        <v>103165</v>
      </c>
      <c r="K5723" s="0" t="n">
        <v>7896579310106</v>
      </c>
      <c r="L5723" s="0" t="s">
        <v>3654</v>
      </c>
      <c r="N5723" s="0" t="n">
        <v>18</v>
      </c>
      <c r="O5723" s="0" t="n">
        <v>73.8</v>
      </c>
      <c r="P5723" s="0" t="s">
        <v>2444</v>
      </c>
    </row>
    <row r="5724" customFormat="false" ht="15" hidden="false" customHeight="true" outlineLevel="0" collapsed="false">
      <c r="A5724" s="0" t="n">
        <v>2</v>
      </c>
      <c r="B5724" s="71" t="n">
        <v>46245</v>
      </c>
      <c r="C5724" s="0" t="n">
        <v>11</v>
      </c>
      <c r="D5724" s="0" t="s">
        <v>2471</v>
      </c>
      <c r="E5724" s="0" t="n">
        <v>1672</v>
      </c>
      <c r="F5724" s="0" t="s">
        <v>343</v>
      </c>
      <c r="I5724" s="0" t="n">
        <v>1414620</v>
      </c>
      <c r="J5724" s="0" t="n">
        <v>103916</v>
      </c>
      <c r="K5724" s="0" t="n">
        <v>7896579330067</v>
      </c>
      <c r="L5724" s="0" t="s">
        <v>3876</v>
      </c>
      <c r="N5724" s="0" t="n">
        <v>45</v>
      </c>
      <c r="O5724" s="0" t="n">
        <v>112.5</v>
      </c>
      <c r="P5724" s="0" t="s">
        <v>2444</v>
      </c>
    </row>
    <row r="5725" customFormat="false" ht="15" hidden="false" customHeight="true" outlineLevel="0" collapsed="false">
      <c r="A5725" s="0" t="n">
        <v>2</v>
      </c>
      <c r="B5725" s="71" t="n">
        <v>46245</v>
      </c>
      <c r="C5725" s="0" t="n">
        <v>11</v>
      </c>
      <c r="D5725" s="0" t="s">
        <v>2471</v>
      </c>
      <c r="E5725" s="0" t="n">
        <v>1672</v>
      </c>
      <c r="F5725" s="0" t="s">
        <v>343</v>
      </c>
      <c r="I5725" s="0" t="n">
        <v>1414620</v>
      </c>
      <c r="J5725" s="0" t="n">
        <v>103940</v>
      </c>
      <c r="K5725" s="0" t="n">
        <v>7896579330081</v>
      </c>
      <c r="L5725" s="0" t="s">
        <v>2719</v>
      </c>
      <c r="N5725" s="0" t="n">
        <v>60</v>
      </c>
      <c r="O5725" s="0" t="n">
        <v>54</v>
      </c>
      <c r="P5725" s="0" t="s">
        <v>2444</v>
      </c>
    </row>
    <row r="5726" customFormat="false" ht="15" hidden="false" customHeight="true" outlineLevel="0" collapsed="false">
      <c r="A5726" s="0" t="n">
        <v>2</v>
      </c>
      <c r="B5726" s="71" t="n">
        <v>46245</v>
      </c>
      <c r="C5726" s="0" t="n">
        <v>11</v>
      </c>
      <c r="D5726" s="0" t="s">
        <v>2471</v>
      </c>
      <c r="E5726" s="0" t="n">
        <v>1672</v>
      </c>
      <c r="F5726" s="0" t="s">
        <v>343</v>
      </c>
      <c r="I5726" s="0" t="n">
        <v>1414620</v>
      </c>
      <c r="J5726" s="0" t="n">
        <v>103941</v>
      </c>
      <c r="K5726" s="0" t="n">
        <v>7896579330036</v>
      </c>
      <c r="L5726" s="0" t="s">
        <v>3655</v>
      </c>
      <c r="N5726" s="0" t="n">
        <v>120</v>
      </c>
      <c r="O5726" s="0" t="n">
        <v>144</v>
      </c>
      <c r="P5726" s="0" t="s">
        <v>2444</v>
      </c>
    </row>
    <row r="5727" customFormat="false" ht="15" hidden="false" customHeight="true" outlineLevel="0" collapsed="false">
      <c r="A5727" s="0" t="n">
        <v>2</v>
      </c>
      <c r="B5727" s="71" t="n">
        <v>46245</v>
      </c>
      <c r="C5727" s="0" t="n">
        <v>11</v>
      </c>
      <c r="D5727" s="0" t="s">
        <v>2471</v>
      </c>
      <c r="E5727" s="0" t="n">
        <v>1672</v>
      </c>
      <c r="F5727" s="0" t="s">
        <v>343</v>
      </c>
      <c r="I5727" s="0" t="n">
        <v>1414620</v>
      </c>
      <c r="J5727" s="0" t="n">
        <v>104355</v>
      </c>
      <c r="K5727" s="0" t="n">
        <v>7896579380116</v>
      </c>
      <c r="L5727" s="0" t="s">
        <v>3656</v>
      </c>
      <c r="N5727" s="0" t="n">
        <v>36</v>
      </c>
      <c r="O5727" s="0" t="n">
        <v>147.6</v>
      </c>
      <c r="P5727" s="0" t="s">
        <v>2444</v>
      </c>
    </row>
    <row r="5728" customFormat="false" ht="15" hidden="false" customHeight="true" outlineLevel="0" collapsed="false">
      <c r="A5728" s="0" t="n">
        <v>2</v>
      </c>
      <c r="B5728" s="71" t="n">
        <v>46245</v>
      </c>
      <c r="C5728" s="0" t="n">
        <v>11</v>
      </c>
      <c r="D5728" s="0" t="s">
        <v>2471</v>
      </c>
      <c r="E5728" s="0" t="n">
        <v>1672</v>
      </c>
      <c r="F5728" s="0" t="s">
        <v>343</v>
      </c>
      <c r="I5728" s="0" t="n">
        <v>1414620</v>
      </c>
      <c r="J5728" s="0" t="n">
        <v>14974</v>
      </c>
      <c r="K5728" s="0" t="n">
        <v>7896579380123</v>
      </c>
      <c r="L5728" s="0" t="s">
        <v>2723</v>
      </c>
      <c r="N5728" s="0" t="n">
        <v>63</v>
      </c>
      <c r="O5728" s="0" t="n">
        <v>189</v>
      </c>
      <c r="P5728" s="0" t="s">
        <v>2444</v>
      </c>
    </row>
    <row r="5729" customFormat="false" ht="15" hidden="false" customHeight="true" outlineLevel="0" collapsed="false">
      <c r="A5729" s="0" t="n">
        <v>2</v>
      </c>
      <c r="B5729" s="71" t="n">
        <v>46245</v>
      </c>
      <c r="C5729" s="0" t="n">
        <v>11</v>
      </c>
      <c r="D5729" s="0" t="s">
        <v>2471</v>
      </c>
      <c r="E5729" s="0" t="n">
        <v>1672</v>
      </c>
      <c r="F5729" s="0" t="s">
        <v>343</v>
      </c>
      <c r="I5729" s="0" t="n">
        <v>1414620</v>
      </c>
      <c r="J5729" s="0" t="n">
        <v>18293</v>
      </c>
      <c r="K5729" s="0" t="n">
        <v>7896520027206</v>
      </c>
      <c r="L5729" s="0" t="s">
        <v>2724</v>
      </c>
      <c r="N5729" s="0" t="n">
        <v>12</v>
      </c>
      <c r="O5729" s="0" t="n">
        <v>81.6</v>
      </c>
      <c r="P5729" s="0" t="s">
        <v>2444</v>
      </c>
    </row>
    <row r="5730" customFormat="false" ht="15" hidden="false" customHeight="true" outlineLevel="0" collapsed="false">
      <c r="A5730" s="0" t="n">
        <v>2</v>
      </c>
      <c r="B5730" s="71" t="n">
        <v>46245</v>
      </c>
      <c r="C5730" s="0" t="n">
        <v>11</v>
      </c>
      <c r="D5730" s="0" t="s">
        <v>2471</v>
      </c>
      <c r="E5730" s="0" t="n">
        <v>1672</v>
      </c>
      <c r="F5730" s="0" t="s">
        <v>343</v>
      </c>
      <c r="I5730" s="0" t="n">
        <v>1414620</v>
      </c>
      <c r="J5730" s="0" t="n">
        <v>23258</v>
      </c>
      <c r="K5730" s="0" t="n">
        <v>7899465200505</v>
      </c>
      <c r="L5730" s="0" t="s">
        <v>3657</v>
      </c>
      <c r="N5730" s="0" t="n">
        <v>18</v>
      </c>
      <c r="O5730" s="0" t="n">
        <v>46.8</v>
      </c>
      <c r="P5730" s="0" t="s">
        <v>2444</v>
      </c>
    </row>
    <row r="5731" customFormat="false" ht="15" hidden="false" customHeight="true" outlineLevel="0" collapsed="false">
      <c r="A5731" s="0" t="n">
        <v>2</v>
      </c>
      <c r="B5731" s="71" t="n">
        <v>46245</v>
      </c>
      <c r="C5731" s="0" t="n">
        <v>11</v>
      </c>
      <c r="D5731" s="0" t="s">
        <v>2471</v>
      </c>
      <c r="E5731" s="0" t="n">
        <v>1672</v>
      </c>
      <c r="F5731" s="0" t="s">
        <v>343</v>
      </c>
      <c r="I5731" s="0" t="n">
        <v>1414620</v>
      </c>
      <c r="J5731" s="0" t="n">
        <v>25875</v>
      </c>
      <c r="K5731" s="0" t="n">
        <v>7896579380147</v>
      </c>
      <c r="L5731" s="0" t="s">
        <v>4562</v>
      </c>
      <c r="N5731" s="0" t="n">
        <v>36</v>
      </c>
      <c r="O5731" s="0" t="n">
        <v>39.6</v>
      </c>
      <c r="P5731" s="0" t="s">
        <v>2444</v>
      </c>
    </row>
    <row r="5732" customFormat="false" ht="15" hidden="false" customHeight="true" outlineLevel="0" collapsed="false">
      <c r="A5732" s="0" t="n">
        <v>2</v>
      </c>
      <c r="B5732" s="71" t="n">
        <v>46245</v>
      </c>
      <c r="C5732" s="0" t="n">
        <v>11</v>
      </c>
      <c r="D5732" s="0" t="s">
        <v>2471</v>
      </c>
      <c r="E5732" s="0" t="n">
        <v>1672</v>
      </c>
      <c r="F5732" s="0" t="s">
        <v>343</v>
      </c>
      <c r="I5732" s="0" t="n">
        <v>1414620</v>
      </c>
      <c r="J5732" s="0" t="n">
        <v>31622</v>
      </c>
      <c r="K5732" s="0" t="n">
        <v>7896579370032</v>
      </c>
      <c r="L5732" s="0" t="s">
        <v>3878</v>
      </c>
      <c r="N5732" s="0" t="n">
        <v>18</v>
      </c>
      <c r="O5732" s="0" t="n">
        <v>86.4</v>
      </c>
      <c r="P5732" s="0" t="s">
        <v>2444</v>
      </c>
    </row>
    <row r="5733" customFormat="false" ht="15" hidden="false" customHeight="true" outlineLevel="0" collapsed="false">
      <c r="A5733" s="0" t="n">
        <v>2</v>
      </c>
      <c r="B5733" s="71" t="n">
        <v>46245</v>
      </c>
      <c r="C5733" s="0" t="n">
        <v>11</v>
      </c>
      <c r="D5733" s="0" t="s">
        <v>2471</v>
      </c>
      <c r="E5733" s="0" t="n">
        <v>1672</v>
      </c>
      <c r="F5733" s="0" t="s">
        <v>343</v>
      </c>
      <c r="I5733" s="0" t="n">
        <v>1414620</v>
      </c>
      <c r="J5733" s="0" t="n">
        <v>31920</v>
      </c>
      <c r="K5733" s="0" t="n">
        <v>7896579330012</v>
      </c>
      <c r="L5733" s="0" t="s">
        <v>2725</v>
      </c>
      <c r="N5733" s="0" t="n">
        <v>36</v>
      </c>
      <c r="O5733" s="0" t="n">
        <v>54</v>
      </c>
      <c r="P5733" s="0" t="s">
        <v>2444</v>
      </c>
    </row>
    <row r="5734" customFormat="false" ht="15" hidden="false" customHeight="true" outlineLevel="0" collapsed="false">
      <c r="A5734" s="0" t="n">
        <v>2</v>
      </c>
      <c r="B5734" s="71" t="n">
        <v>46245</v>
      </c>
      <c r="C5734" s="0" t="n">
        <v>11</v>
      </c>
      <c r="D5734" s="0" t="s">
        <v>2471</v>
      </c>
      <c r="E5734" s="0" t="n">
        <v>1672</v>
      </c>
      <c r="F5734" s="0" t="s">
        <v>343</v>
      </c>
      <c r="I5734" s="0" t="n">
        <v>1414620</v>
      </c>
      <c r="J5734" s="0" t="n">
        <v>37154</v>
      </c>
      <c r="K5734" s="0" t="n">
        <v>7896579310601</v>
      </c>
      <c r="L5734" s="0" t="s">
        <v>3660</v>
      </c>
      <c r="N5734" s="0" t="n">
        <v>18</v>
      </c>
      <c r="O5734" s="0" t="n">
        <v>81</v>
      </c>
      <c r="P5734" s="0" t="s">
        <v>2444</v>
      </c>
    </row>
    <row r="5735" customFormat="false" ht="15" hidden="false" customHeight="true" outlineLevel="0" collapsed="false">
      <c r="A5735" s="0" t="n">
        <v>2</v>
      </c>
      <c r="B5735" s="71" t="n">
        <v>46245</v>
      </c>
      <c r="C5735" s="0" t="n">
        <v>11</v>
      </c>
      <c r="D5735" s="0" t="s">
        <v>2471</v>
      </c>
      <c r="E5735" s="0" t="n">
        <v>1672</v>
      </c>
      <c r="F5735" s="0" t="s">
        <v>343</v>
      </c>
      <c r="I5735" s="0" t="n">
        <v>1414620</v>
      </c>
      <c r="J5735" s="0" t="n">
        <v>37507</v>
      </c>
      <c r="K5735" s="0" t="n">
        <v>7896579310854</v>
      </c>
      <c r="L5735" s="0" t="s">
        <v>2726</v>
      </c>
      <c r="N5735" s="0" t="n">
        <v>20</v>
      </c>
      <c r="O5735" s="0" t="n">
        <v>166</v>
      </c>
      <c r="P5735" s="0" t="s">
        <v>2444</v>
      </c>
    </row>
    <row r="5736" customFormat="false" ht="15" hidden="false" customHeight="true" outlineLevel="0" collapsed="false">
      <c r="A5736" s="0" t="n">
        <v>2</v>
      </c>
      <c r="B5736" s="71" t="n">
        <v>46245</v>
      </c>
      <c r="C5736" s="0" t="n">
        <v>11</v>
      </c>
      <c r="D5736" s="0" t="s">
        <v>2471</v>
      </c>
      <c r="E5736" s="0" t="n">
        <v>1672</v>
      </c>
      <c r="F5736" s="0" t="s">
        <v>343</v>
      </c>
      <c r="I5736" s="0" t="n">
        <v>1414620</v>
      </c>
      <c r="J5736" s="0" t="n">
        <v>38315</v>
      </c>
      <c r="K5736" s="0" t="n">
        <v>7896579320242</v>
      </c>
      <c r="L5736" s="0" t="s">
        <v>2727</v>
      </c>
      <c r="N5736" s="0" t="n">
        <v>63</v>
      </c>
      <c r="O5736" s="0" t="n">
        <v>189</v>
      </c>
      <c r="P5736" s="0" t="s">
        <v>2444</v>
      </c>
    </row>
    <row r="5737" customFormat="false" ht="15" hidden="false" customHeight="true" outlineLevel="0" collapsed="false">
      <c r="A5737" s="0" t="n">
        <v>2</v>
      </c>
      <c r="B5737" s="71" t="n">
        <v>46245</v>
      </c>
      <c r="C5737" s="0" t="n">
        <v>11</v>
      </c>
      <c r="D5737" s="0" t="s">
        <v>2471</v>
      </c>
      <c r="E5737" s="0" t="n">
        <v>1672</v>
      </c>
      <c r="F5737" s="0" t="s">
        <v>343</v>
      </c>
      <c r="I5737" s="0" t="n">
        <v>1414620</v>
      </c>
      <c r="J5737" s="0" t="n">
        <v>38539</v>
      </c>
      <c r="K5737" s="0" t="n">
        <v>7896579320235</v>
      </c>
      <c r="L5737" s="0" t="s">
        <v>2728</v>
      </c>
      <c r="N5737" s="0" t="n">
        <v>45</v>
      </c>
      <c r="O5737" s="0" t="n">
        <v>184.5</v>
      </c>
      <c r="P5737" s="0" t="s">
        <v>2444</v>
      </c>
    </row>
    <row r="5738" customFormat="false" ht="15" hidden="false" customHeight="true" outlineLevel="0" collapsed="false">
      <c r="A5738" s="0" t="n">
        <v>2</v>
      </c>
      <c r="B5738" s="71" t="n">
        <v>46245</v>
      </c>
      <c r="C5738" s="0" t="n">
        <v>11</v>
      </c>
      <c r="D5738" s="0" t="s">
        <v>2471</v>
      </c>
      <c r="E5738" s="0" t="n">
        <v>1672</v>
      </c>
      <c r="F5738" s="0" t="s">
        <v>343</v>
      </c>
      <c r="I5738" s="0" t="n">
        <v>1414620</v>
      </c>
      <c r="J5738" s="0" t="n">
        <v>39156</v>
      </c>
      <c r="K5738" s="0" t="n">
        <v>7896579320266</v>
      </c>
      <c r="L5738" s="0" t="s">
        <v>4716</v>
      </c>
      <c r="N5738" s="0" t="n">
        <v>60</v>
      </c>
      <c r="O5738" s="0" t="n">
        <v>66</v>
      </c>
      <c r="P5738" s="0" t="s">
        <v>2444</v>
      </c>
    </row>
    <row r="5739" customFormat="false" ht="15" hidden="false" customHeight="true" outlineLevel="0" collapsed="false">
      <c r="A5739" s="0" t="n">
        <v>2</v>
      </c>
      <c r="B5739" s="71" t="n">
        <v>46245</v>
      </c>
      <c r="C5739" s="0" t="n">
        <v>11</v>
      </c>
      <c r="D5739" s="0" t="s">
        <v>2471</v>
      </c>
      <c r="E5739" s="0" t="n">
        <v>1672</v>
      </c>
      <c r="F5739" s="0" t="s">
        <v>343</v>
      </c>
      <c r="I5739" s="0" t="n">
        <v>1414620</v>
      </c>
      <c r="J5739" s="0" t="n">
        <v>39420</v>
      </c>
      <c r="K5739" s="0" t="n">
        <v>7896579310533</v>
      </c>
      <c r="L5739" s="0" t="s">
        <v>3879</v>
      </c>
      <c r="N5739" s="0" t="n">
        <v>36</v>
      </c>
      <c r="O5739" s="0" t="n">
        <v>39.6</v>
      </c>
      <c r="P5739" s="0" t="s">
        <v>2444</v>
      </c>
    </row>
    <row r="5740" customFormat="false" ht="15" hidden="false" customHeight="true" outlineLevel="0" collapsed="false">
      <c r="A5740" s="0" t="n">
        <v>2</v>
      </c>
      <c r="B5740" s="71" t="n">
        <v>46245</v>
      </c>
      <c r="C5740" s="0" t="n">
        <v>11</v>
      </c>
      <c r="D5740" s="0" t="s">
        <v>2471</v>
      </c>
      <c r="E5740" s="0" t="n">
        <v>1672</v>
      </c>
      <c r="F5740" s="0" t="s">
        <v>343</v>
      </c>
      <c r="I5740" s="0" t="n">
        <v>1414620</v>
      </c>
      <c r="J5740" s="0" t="n">
        <v>39425</v>
      </c>
      <c r="K5740" s="0" t="n">
        <v>7896579310632</v>
      </c>
      <c r="L5740" s="0" t="s">
        <v>3661</v>
      </c>
      <c r="N5740" s="0" t="n">
        <v>60</v>
      </c>
      <c r="O5740" s="0" t="n">
        <v>66</v>
      </c>
      <c r="P5740" s="0" t="s">
        <v>2444</v>
      </c>
    </row>
    <row r="5741" customFormat="false" ht="15" hidden="false" customHeight="true" outlineLevel="0" collapsed="false">
      <c r="A5741" s="0" t="n">
        <v>2</v>
      </c>
      <c r="B5741" s="71" t="n">
        <v>46245</v>
      </c>
      <c r="C5741" s="0" t="n">
        <v>11</v>
      </c>
      <c r="D5741" s="0" t="s">
        <v>2471</v>
      </c>
      <c r="E5741" s="0" t="n">
        <v>1672</v>
      </c>
      <c r="F5741" s="0" t="s">
        <v>343</v>
      </c>
      <c r="I5741" s="0" t="n">
        <v>1414620</v>
      </c>
      <c r="J5741" s="0" t="n">
        <v>43140</v>
      </c>
      <c r="K5741" s="0" t="n">
        <v>7896579310847</v>
      </c>
      <c r="L5741" s="0" t="s">
        <v>2729</v>
      </c>
      <c r="N5741" s="0" t="n">
        <v>135</v>
      </c>
      <c r="O5741" s="0" t="n">
        <v>324</v>
      </c>
      <c r="P5741" s="0" t="s">
        <v>2444</v>
      </c>
    </row>
    <row r="5742" customFormat="false" ht="15" hidden="false" customHeight="true" outlineLevel="0" collapsed="false">
      <c r="A5742" s="0" t="n">
        <v>2</v>
      </c>
      <c r="B5742" s="71" t="n">
        <v>46245</v>
      </c>
      <c r="C5742" s="0" t="n">
        <v>11</v>
      </c>
      <c r="D5742" s="0" t="s">
        <v>2471</v>
      </c>
      <c r="E5742" s="0" t="n">
        <v>1672</v>
      </c>
      <c r="F5742" s="0" t="s">
        <v>343</v>
      </c>
      <c r="I5742" s="0" t="n">
        <v>1414620</v>
      </c>
      <c r="J5742" s="0" t="n">
        <v>47069</v>
      </c>
      <c r="K5742" s="0" t="n">
        <v>7896579370063</v>
      </c>
      <c r="L5742" s="0" t="s">
        <v>4717</v>
      </c>
      <c r="N5742" s="0" t="n">
        <v>60</v>
      </c>
      <c r="O5742" s="0" t="n">
        <v>66</v>
      </c>
      <c r="P5742" s="0" t="s">
        <v>2444</v>
      </c>
    </row>
    <row r="5743" customFormat="false" ht="15" hidden="false" customHeight="true" outlineLevel="0" collapsed="false">
      <c r="A5743" s="0" t="n">
        <v>2</v>
      </c>
      <c r="B5743" s="71" t="n">
        <v>46245</v>
      </c>
      <c r="C5743" s="0" t="n">
        <v>11</v>
      </c>
      <c r="D5743" s="0" t="s">
        <v>2471</v>
      </c>
      <c r="E5743" s="0" t="n">
        <v>1672</v>
      </c>
      <c r="F5743" s="0" t="s">
        <v>343</v>
      </c>
      <c r="I5743" s="0" t="n">
        <v>1414620</v>
      </c>
      <c r="J5743" s="0" t="n">
        <v>53441</v>
      </c>
      <c r="K5743" s="0" t="n">
        <v>7896579340165</v>
      </c>
      <c r="L5743" s="0" t="s">
        <v>3662</v>
      </c>
      <c r="N5743" s="0" t="n">
        <v>36</v>
      </c>
      <c r="O5743" s="0" t="n">
        <v>93.6</v>
      </c>
      <c r="P5743" s="0" t="s">
        <v>2444</v>
      </c>
    </row>
    <row r="5744" customFormat="false" ht="15" hidden="false" customHeight="true" outlineLevel="0" collapsed="false">
      <c r="A5744" s="0" t="n">
        <v>2</v>
      </c>
      <c r="B5744" s="71" t="n">
        <v>46245</v>
      </c>
      <c r="C5744" s="0" t="n">
        <v>11</v>
      </c>
      <c r="D5744" s="0" t="s">
        <v>2471</v>
      </c>
      <c r="E5744" s="0" t="n">
        <v>1672</v>
      </c>
      <c r="F5744" s="0" t="s">
        <v>343</v>
      </c>
      <c r="I5744" s="0" t="n">
        <v>1414620</v>
      </c>
      <c r="J5744" s="0" t="n">
        <v>61503</v>
      </c>
      <c r="K5744" s="0" t="n">
        <v>7896579310915</v>
      </c>
      <c r="L5744" s="0" t="s">
        <v>2731</v>
      </c>
      <c r="N5744" s="0" t="n">
        <v>15</v>
      </c>
      <c r="O5744" s="0" t="n">
        <v>120</v>
      </c>
      <c r="P5744" s="0" t="s">
        <v>2444</v>
      </c>
    </row>
    <row r="5745" customFormat="false" ht="15" hidden="false" customHeight="true" outlineLevel="0" collapsed="false">
      <c r="A5745" s="0" t="n">
        <v>2</v>
      </c>
      <c r="B5745" s="71" t="n">
        <v>46245</v>
      </c>
      <c r="C5745" s="0" t="n">
        <v>11</v>
      </c>
      <c r="D5745" s="0" t="s">
        <v>2471</v>
      </c>
      <c r="E5745" s="0" t="n">
        <v>1672</v>
      </c>
      <c r="F5745" s="0" t="s">
        <v>343</v>
      </c>
      <c r="I5745" s="0" t="n">
        <v>1414620</v>
      </c>
      <c r="J5745" s="0" t="n">
        <v>65610</v>
      </c>
      <c r="K5745" s="0" t="n">
        <v>7896579340172</v>
      </c>
      <c r="L5745" s="0" t="s">
        <v>4564</v>
      </c>
      <c r="N5745" s="0" t="n">
        <v>24</v>
      </c>
      <c r="O5745" s="0" t="n">
        <v>26.4</v>
      </c>
      <c r="P5745" s="0" t="s">
        <v>2444</v>
      </c>
    </row>
    <row r="5746" customFormat="false" ht="15" hidden="false" customHeight="true" outlineLevel="0" collapsed="false">
      <c r="A5746" s="0" t="n">
        <v>2</v>
      </c>
      <c r="B5746" s="71" t="n">
        <v>46245</v>
      </c>
      <c r="C5746" s="0" t="n">
        <v>11</v>
      </c>
      <c r="D5746" s="0" t="s">
        <v>2471</v>
      </c>
      <c r="E5746" s="0" t="n">
        <v>1672</v>
      </c>
      <c r="F5746" s="0" t="s">
        <v>343</v>
      </c>
      <c r="I5746" s="0" t="n">
        <v>1414620</v>
      </c>
      <c r="J5746" s="0" t="n">
        <v>78779</v>
      </c>
      <c r="K5746" s="0" t="n">
        <v>7899465202042</v>
      </c>
      <c r="L5746" s="0" t="s">
        <v>2732</v>
      </c>
      <c r="N5746" s="0" t="n">
        <v>6</v>
      </c>
      <c r="O5746" s="0" t="n">
        <v>40.8</v>
      </c>
      <c r="P5746" s="0" t="s">
        <v>2444</v>
      </c>
    </row>
    <row r="5747" customFormat="false" ht="15" hidden="false" customHeight="true" outlineLevel="0" collapsed="false">
      <c r="A5747" s="0" t="n">
        <v>2</v>
      </c>
      <c r="B5747" s="71" t="n">
        <v>46245</v>
      </c>
      <c r="C5747" s="0" t="n">
        <v>11</v>
      </c>
      <c r="D5747" s="0" t="s">
        <v>2471</v>
      </c>
      <c r="E5747" s="0" t="n">
        <v>1672</v>
      </c>
      <c r="F5747" s="0" t="s">
        <v>343</v>
      </c>
      <c r="I5747" s="0" t="n">
        <v>1414620</v>
      </c>
      <c r="J5747" s="0" t="n">
        <v>79952</v>
      </c>
      <c r="K5747" s="0" t="n">
        <v>7896579390085</v>
      </c>
      <c r="L5747" s="0" t="s">
        <v>2733</v>
      </c>
      <c r="N5747" s="0" t="n">
        <v>24</v>
      </c>
      <c r="O5747" s="0" t="n">
        <v>62.4</v>
      </c>
      <c r="P5747" s="0" t="s">
        <v>2444</v>
      </c>
    </row>
    <row r="5748" customFormat="false" ht="15" hidden="false" customHeight="true" outlineLevel="0" collapsed="false">
      <c r="A5748" s="0" t="n">
        <v>2</v>
      </c>
      <c r="B5748" s="71" t="n">
        <v>46245</v>
      </c>
      <c r="C5748" s="0" t="n">
        <v>11</v>
      </c>
      <c r="D5748" s="0" t="s">
        <v>2471</v>
      </c>
      <c r="E5748" s="0" t="n">
        <v>1672</v>
      </c>
      <c r="F5748" s="0" t="s">
        <v>343</v>
      </c>
      <c r="I5748" s="0" t="n">
        <v>1414620</v>
      </c>
      <c r="J5748" s="0" t="n">
        <v>80062</v>
      </c>
      <c r="K5748" s="0" t="n">
        <v>7896579390092</v>
      </c>
      <c r="L5748" s="0" t="s">
        <v>2734</v>
      </c>
      <c r="N5748" s="0" t="n">
        <v>60</v>
      </c>
      <c r="O5748" s="0" t="n">
        <v>156</v>
      </c>
      <c r="P5748" s="0" t="s">
        <v>2444</v>
      </c>
    </row>
    <row r="5749" customFormat="false" ht="15" hidden="false" customHeight="true" outlineLevel="0" collapsed="false">
      <c r="A5749" s="0" t="n">
        <v>2</v>
      </c>
      <c r="B5749" s="71" t="n">
        <v>46245</v>
      </c>
      <c r="C5749" s="0" t="n">
        <v>11</v>
      </c>
      <c r="D5749" s="0" t="s">
        <v>2471</v>
      </c>
      <c r="E5749" s="0" t="n">
        <v>1672</v>
      </c>
      <c r="F5749" s="0" t="s">
        <v>343</v>
      </c>
      <c r="I5749" s="0" t="n">
        <v>1414620</v>
      </c>
      <c r="J5749" s="0" t="n">
        <v>81819</v>
      </c>
      <c r="K5749" s="0" t="n">
        <v>7896579390191</v>
      </c>
      <c r="L5749" s="0" t="s">
        <v>4566</v>
      </c>
      <c r="N5749" s="0" t="n">
        <v>12</v>
      </c>
      <c r="O5749" s="0" t="n">
        <v>13.2</v>
      </c>
      <c r="P5749" s="0" t="s">
        <v>2444</v>
      </c>
    </row>
    <row r="5750" customFormat="false" ht="15" hidden="false" customHeight="true" outlineLevel="0" collapsed="false">
      <c r="A5750" s="0" t="n">
        <v>2</v>
      </c>
      <c r="B5750" s="71" t="n">
        <v>46245</v>
      </c>
      <c r="C5750" s="0" t="n">
        <v>11</v>
      </c>
      <c r="D5750" s="0" t="s">
        <v>2471</v>
      </c>
      <c r="E5750" s="0" t="n">
        <v>1672</v>
      </c>
      <c r="F5750" s="0" t="s">
        <v>343</v>
      </c>
      <c r="I5750" s="0" t="n">
        <v>1414620</v>
      </c>
      <c r="J5750" s="0" t="n">
        <v>81820</v>
      </c>
      <c r="K5750" s="0" t="n">
        <v>7896579390184</v>
      </c>
      <c r="L5750" s="0" t="s">
        <v>4567</v>
      </c>
      <c r="N5750" s="0" t="n">
        <v>36</v>
      </c>
      <c r="O5750" s="0" t="n">
        <v>39.6</v>
      </c>
      <c r="P5750" s="0" t="s">
        <v>2444</v>
      </c>
    </row>
    <row r="5751" customFormat="false" ht="15" hidden="false" customHeight="true" outlineLevel="0" collapsed="false">
      <c r="A5751" s="0" t="n">
        <v>2</v>
      </c>
      <c r="B5751" s="71" t="n">
        <v>46246</v>
      </c>
      <c r="C5751" s="0" t="n">
        <v>11</v>
      </c>
      <c r="D5751" s="0" t="s">
        <v>2471</v>
      </c>
      <c r="E5751" s="0" t="n">
        <v>10096</v>
      </c>
      <c r="F5751" s="0" t="s">
        <v>622</v>
      </c>
      <c r="I5751" s="0" t="n">
        <v>153</v>
      </c>
      <c r="J5751" s="0" t="n">
        <v>61580</v>
      </c>
      <c r="K5751" s="0" t="n">
        <v>2258157</v>
      </c>
      <c r="L5751" s="0" t="s">
        <v>2509</v>
      </c>
      <c r="N5751" s="0" t="n">
        <v>10</v>
      </c>
      <c r="O5751" s="0" t="n">
        <v>120</v>
      </c>
      <c r="P5751" s="0" t="s">
        <v>2444</v>
      </c>
    </row>
    <row r="5752" customFormat="false" ht="15" hidden="false" customHeight="true" outlineLevel="0" collapsed="false">
      <c r="A5752" s="0" t="n">
        <v>2</v>
      </c>
      <c r="B5752" s="71" t="n">
        <v>46246</v>
      </c>
      <c r="C5752" s="0" t="n">
        <v>11</v>
      </c>
      <c r="D5752" s="0" t="s">
        <v>2471</v>
      </c>
      <c r="E5752" s="0" t="n">
        <v>10096</v>
      </c>
      <c r="F5752" s="0" t="s">
        <v>622</v>
      </c>
      <c r="I5752" s="0" t="n">
        <v>153</v>
      </c>
      <c r="J5752" s="0" t="n">
        <v>61597</v>
      </c>
      <c r="K5752" s="0" t="n">
        <v>2258188</v>
      </c>
      <c r="L5752" s="0" t="s">
        <v>2510</v>
      </c>
      <c r="N5752" s="0" t="n">
        <v>5</v>
      </c>
      <c r="O5752" s="0" t="n">
        <v>20</v>
      </c>
      <c r="P5752" s="0" t="s">
        <v>2444</v>
      </c>
    </row>
    <row r="5753" customFormat="false" ht="15" hidden="false" customHeight="true" outlineLevel="0" collapsed="false">
      <c r="A5753" s="0" t="n">
        <v>2</v>
      </c>
      <c r="B5753" s="71" t="n">
        <v>46246</v>
      </c>
      <c r="C5753" s="0" t="n">
        <v>11</v>
      </c>
      <c r="D5753" s="0" t="s">
        <v>2471</v>
      </c>
      <c r="E5753" s="0" t="n">
        <v>306</v>
      </c>
      <c r="F5753" s="0" t="s">
        <v>524</v>
      </c>
      <c r="I5753" s="0" t="n">
        <v>399</v>
      </c>
      <c r="J5753" s="0" t="n">
        <v>103344</v>
      </c>
      <c r="K5753" s="0" t="n">
        <v>7896490288775</v>
      </c>
      <c r="L5753" s="0" t="s">
        <v>2771</v>
      </c>
      <c r="N5753" s="0" t="n">
        <v>60</v>
      </c>
      <c r="O5753" s="0" t="n">
        <v>102</v>
      </c>
      <c r="P5753" s="0" t="s">
        <v>2444</v>
      </c>
    </row>
    <row r="5754" customFormat="false" ht="15" hidden="false" customHeight="true" outlineLevel="0" collapsed="false">
      <c r="A5754" s="0" t="n">
        <v>2</v>
      </c>
      <c r="B5754" s="71" t="n">
        <v>46246</v>
      </c>
      <c r="C5754" s="0" t="n">
        <v>11</v>
      </c>
      <c r="D5754" s="0" t="s">
        <v>2471</v>
      </c>
      <c r="E5754" s="0" t="n">
        <v>306</v>
      </c>
      <c r="F5754" s="0" t="s">
        <v>524</v>
      </c>
      <c r="I5754" s="0" t="n">
        <v>399</v>
      </c>
      <c r="J5754" s="0" t="n">
        <v>105668</v>
      </c>
      <c r="K5754" s="0" t="n">
        <v>7896547500126</v>
      </c>
      <c r="L5754" s="0" t="s">
        <v>3901</v>
      </c>
      <c r="N5754" s="0" t="n">
        <v>48</v>
      </c>
      <c r="O5754" s="0" t="n">
        <v>244</v>
      </c>
      <c r="P5754" s="0" t="s">
        <v>2444</v>
      </c>
    </row>
    <row r="5755" customFormat="false" ht="15" hidden="false" customHeight="true" outlineLevel="0" collapsed="false">
      <c r="A5755" s="0" t="n">
        <v>2</v>
      </c>
      <c r="B5755" s="71" t="n">
        <v>46246</v>
      </c>
      <c r="C5755" s="0" t="n">
        <v>11</v>
      </c>
      <c r="D5755" s="0" t="s">
        <v>2471</v>
      </c>
      <c r="E5755" s="0" t="n">
        <v>642</v>
      </c>
      <c r="F5755" s="0" t="s">
        <v>123</v>
      </c>
      <c r="I5755" s="0" t="n">
        <v>598</v>
      </c>
      <c r="J5755" s="0" t="n">
        <v>71766</v>
      </c>
      <c r="K5755" s="0" t="n">
        <v>779180</v>
      </c>
      <c r="L5755" s="0" t="s">
        <v>2501</v>
      </c>
      <c r="N5755" s="0" t="n">
        <v>20</v>
      </c>
      <c r="O5755" s="0" t="n">
        <v>240</v>
      </c>
      <c r="P5755" s="0" t="s">
        <v>2444</v>
      </c>
    </row>
    <row r="5756" customFormat="false" ht="15" hidden="false" customHeight="true" outlineLevel="0" collapsed="false">
      <c r="A5756" s="0" t="n">
        <v>2</v>
      </c>
      <c r="B5756" s="71" t="n">
        <v>46246</v>
      </c>
      <c r="C5756" s="0" t="n">
        <v>11</v>
      </c>
      <c r="D5756" s="0" t="s">
        <v>2471</v>
      </c>
      <c r="E5756" s="0" t="n">
        <v>10010</v>
      </c>
      <c r="F5756" s="0" t="s">
        <v>837</v>
      </c>
      <c r="I5756" s="0" t="n">
        <v>44054</v>
      </c>
      <c r="J5756" s="0" t="n">
        <v>63351</v>
      </c>
      <c r="K5756" s="0" t="n">
        <v>7898969820233</v>
      </c>
      <c r="L5756" s="0" t="s">
        <v>3309</v>
      </c>
      <c r="N5756" s="0" t="n">
        <v>12</v>
      </c>
      <c r="O5756" s="0" t="n">
        <v>51.36</v>
      </c>
      <c r="P5756" s="0" t="s">
        <v>2444</v>
      </c>
    </row>
    <row r="5757" customFormat="false" ht="15" hidden="false" customHeight="true" outlineLevel="0" collapsed="false">
      <c r="A5757" s="0" t="n">
        <v>2</v>
      </c>
      <c r="B5757" s="71" t="n">
        <v>46246</v>
      </c>
      <c r="C5757" s="0" t="n">
        <v>11</v>
      </c>
      <c r="D5757" s="0" t="s">
        <v>2471</v>
      </c>
      <c r="E5757" s="0" t="n">
        <v>10010</v>
      </c>
      <c r="F5757" s="0" t="s">
        <v>837</v>
      </c>
      <c r="I5757" s="0" t="n">
        <v>44054</v>
      </c>
      <c r="J5757" s="0" t="n">
        <v>64397</v>
      </c>
      <c r="K5757" s="0" t="n">
        <v>7898969820011</v>
      </c>
      <c r="L5757" s="0" t="s">
        <v>3313</v>
      </c>
      <c r="N5757" s="0" t="n">
        <v>12</v>
      </c>
      <c r="O5757" s="0" t="n">
        <v>51.36</v>
      </c>
      <c r="P5757" s="0" t="s">
        <v>2444</v>
      </c>
    </row>
    <row r="5758" customFormat="false" ht="15" hidden="false" customHeight="true" outlineLevel="0" collapsed="false">
      <c r="A5758" s="0" t="n">
        <v>2</v>
      </c>
      <c r="B5758" s="71" t="n">
        <v>46246</v>
      </c>
      <c r="C5758" s="0" t="n">
        <v>11</v>
      </c>
      <c r="D5758" s="0" t="s">
        <v>2471</v>
      </c>
      <c r="E5758" s="0" t="n">
        <v>10010</v>
      </c>
      <c r="F5758" s="0" t="s">
        <v>837</v>
      </c>
      <c r="I5758" s="0" t="n">
        <v>44054</v>
      </c>
      <c r="J5758" s="0" t="n">
        <v>65119</v>
      </c>
      <c r="K5758" s="0" t="n">
        <v>7898969820196</v>
      </c>
      <c r="L5758" s="0" t="s">
        <v>3315</v>
      </c>
      <c r="N5758" s="0" t="n">
        <v>12</v>
      </c>
      <c r="O5758" s="0" t="n">
        <v>51.36</v>
      </c>
      <c r="P5758" s="0" t="s">
        <v>2444</v>
      </c>
    </row>
    <row r="5759" customFormat="false" ht="15" hidden="false" customHeight="true" outlineLevel="0" collapsed="false">
      <c r="A5759" s="0" t="n">
        <v>2</v>
      </c>
      <c r="B5759" s="71" t="n">
        <v>46246</v>
      </c>
      <c r="C5759" s="0" t="n">
        <v>11</v>
      </c>
      <c r="D5759" s="0" t="s">
        <v>2471</v>
      </c>
      <c r="E5759" s="0" t="n">
        <v>10010</v>
      </c>
      <c r="F5759" s="0" t="s">
        <v>837</v>
      </c>
      <c r="I5759" s="0" t="n">
        <v>44054</v>
      </c>
      <c r="J5759" s="0" t="n">
        <v>67829</v>
      </c>
      <c r="K5759" s="0" t="n">
        <v>7898969820219</v>
      </c>
      <c r="L5759" s="0" t="s">
        <v>3309</v>
      </c>
      <c r="N5759" s="0" t="n">
        <v>12</v>
      </c>
      <c r="O5759" s="0" t="n">
        <v>51.36</v>
      </c>
      <c r="P5759" s="0" t="s">
        <v>2444</v>
      </c>
    </row>
    <row r="5760" customFormat="false" ht="15" hidden="false" customHeight="true" outlineLevel="0" collapsed="false">
      <c r="A5760" s="0" t="n">
        <v>2</v>
      </c>
      <c r="B5760" s="71" t="n">
        <v>46246</v>
      </c>
      <c r="C5760" s="0" t="n">
        <v>11</v>
      </c>
      <c r="D5760" s="0" t="s">
        <v>2471</v>
      </c>
      <c r="E5760" s="0" t="n">
        <v>1634</v>
      </c>
      <c r="F5760" s="0" t="s">
        <v>285</v>
      </c>
      <c r="I5760" s="0" t="n">
        <v>330057</v>
      </c>
      <c r="J5760" s="0" t="n">
        <v>101463</v>
      </c>
      <c r="K5760" s="0" t="n">
        <v>7896080900148</v>
      </c>
      <c r="L5760" s="0" t="s">
        <v>4718</v>
      </c>
      <c r="N5760" s="0" t="n">
        <v>40</v>
      </c>
      <c r="O5760" s="0" t="n">
        <v>143.6</v>
      </c>
      <c r="P5760" s="0" t="s">
        <v>2444</v>
      </c>
    </row>
    <row r="5761" customFormat="false" ht="15" hidden="false" customHeight="true" outlineLevel="0" collapsed="false">
      <c r="A5761" s="0" t="n">
        <v>2</v>
      </c>
      <c r="B5761" s="71" t="n">
        <v>46246</v>
      </c>
      <c r="C5761" s="0" t="n">
        <v>11</v>
      </c>
      <c r="D5761" s="0" t="s">
        <v>2471</v>
      </c>
      <c r="E5761" s="0" t="n">
        <v>1634</v>
      </c>
      <c r="F5761" s="0" t="s">
        <v>285</v>
      </c>
      <c r="I5761" s="0" t="n">
        <v>330057</v>
      </c>
      <c r="J5761" s="0" t="n">
        <v>103791</v>
      </c>
      <c r="K5761" s="0" t="n">
        <v>7897006310010</v>
      </c>
      <c r="L5761" s="0" t="s">
        <v>4719</v>
      </c>
      <c r="N5761" s="0" t="n">
        <v>12</v>
      </c>
      <c r="O5761" s="0" t="n">
        <v>22.68</v>
      </c>
      <c r="P5761" s="0" t="s">
        <v>2444</v>
      </c>
    </row>
    <row r="5762" customFormat="false" ht="15" hidden="false" customHeight="true" outlineLevel="0" collapsed="false">
      <c r="A5762" s="0" t="n">
        <v>2</v>
      </c>
      <c r="B5762" s="71" t="n">
        <v>46246</v>
      </c>
      <c r="C5762" s="0" t="n">
        <v>11</v>
      </c>
      <c r="D5762" s="0" t="s">
        <v>2471</v>
      </c>
      <c r="E5762" s="0" t="n">
        <v>1634</v>
      </c>
      <c r="F5762" s="0" t="s">
        <v>285</v>
      </c>
      <c r="I5762" s="0" t="n">
        <v>330057</v>
      </c>
      <c r="J5762" s="0" t="n">
        <v>104249</v>
      </c>
      <c r="K5762" s="0" t="n">
        <v>7897006310034</v>
      </c>
      <c r="L5762" s="0" t="s">
        <v>4720</v>
      </c>
      <c r="N5762" s="0" t="n">
        <v>12</v>
      </c>
      <c r="O5762" s="0" t="n">
        <v>22.68</v>
      </c>
      <c r="P5762" s="0" t="s">
        <v>2444</v>
      </c>
    </row>
    <row r="5763" customFormat="false" ht="15" hidden="false" customHeight="true" outlineLevel="0" collapsed="false">
      <c r="A5763" s="0" t="n">
        <v>2</v>
      </c>
      <c r="B5763" s="71" t="n">
        <v>46246</v>
      </c>
      <c r="C5763" s="0" t="n">
        <v>11</v>
      </c>
      <c r="D5763" s="0" t="s">
        <v>2471</v>
      </c>
      <c r="E5763" s="0" t="n">
        <v>1634</v>
      </c>
      <c r="F5763" s="0" t="s">
        <v>285</v>
      </c>
      <c r="I5763" s="0" t="n">
        <v>330057</v>
      </c>
      <c r="J5763" s="0" t="n">
        <v>11960</v>
      </c>
      <c r="K5763" s="0" t="n">
        <v>7898934651046</v>
      </c>
      <c r="L5763" s="0" t="s">
        <v>4721</v>
      </c>
      <c r="N5763" s="0" t="n">
        <v>32</v>
      </c>
      <c r="O5763" s="0" t="n">
        <v>81.92</v>
      </c>
      <c r="P5763" s="0" t="s">
        <v>2444</v>
      </c>
    </row>
    <row r="5764" customFormat="false" ht="15" hidden="false" customHeight="true" outlineLevel="0" collapsed="false">
      <c r="A5764" s="0" t="n">
        <v>2</v>
      </c>
      <c r="B5764" s="71" t="n">
        <v>46246</v>
      </c>
      <c r="C5764" s="0" t="n">
        <v>11</v>
      </c>
      <c r="D5764" s="0" t="s">
        <v>2471</v>
      </c>
      <c r="E5764" s="0" t="n">
        <v>1634</v>
      </c>
      <c r="F5764" s="0" t="s">
        <v>285</v>
      </c>
      <c r="I5764" s="0" t="n">
        <v>330057</v>
      </c>
      <c r="J5764" s="0" t="n">
        <v>13389</v>
      </c>
      <c r="K5764" s="0" t="n">
        <v>7898927947132</v>
      </c>
      <c r="L5764" s="0" t="s">
        <v>4722</v>
      </c>
      <c r="N5764" s="0" t="n">
        <v>20</v>
      </c>
      <c r="O5764" s="0" t="n">
        <v>156.8</v>
      </c>
      <c r="P5764" s="0" t="s">
        <v>2444</v>
      </c>
    </row>
    <row r="5765" customFormat="false" ht="15" hidden="false" customHeight="true" outlineLevel="0" collapsed="false">
      <c r="A5765" s="0" t="n">
        <v>2</v>
      </c>
      <c r="B5765" s="71" t="n">
        <v>46246</v>
      </c>
      <c r="C5765" s="0" t="n">
        <v>11</v>
      </c>
      <c r="D5765" s="0" t="s">
        <v>2471</v>
      </c>
      <c r="E5765" s="0" t="n">
        <v>1634</v>
      </c>
      <c r="F5765" s="0" t="s">
        <v>285</v>
      </c>
      <c r="I5765" s="0" t="n">
        <v>330057</v>
      </c>
      <c r="J5765" s="0" t="n">
        <v>21197</v>
      </c>
      <c r="K5765" s="0" t="n">
        <v>7898956358022</v>
      </c>
      <c r="L5765" s="0" t="s">
        <v>4723</v>
      </c>
      <c r="N5765" s="0" t="n">
        <v>12</v>
      </c>
      <c r="O5765" s="0" t="n">
        <v>51.24</v>
      </c>
      <c r="P5765" s="0" t="s">
        <v>2444</v>
      </c>
    </row>
    <row r="5766" customFormat="false" ht="15" hidden="false" customHeight="true" outlineLevel="0" collapsed="false">
      <c r="A5766" s="0" t="n">
        <v>2</v>
      </c>
      <c r="B5766" s="71" t="n">
        <v>46246</v>
      </c>
      <c r="C5766" s="0" t="n">
        <v>11</v>
      </c>
      <c r="D5766" s="0" t="s">
        <v>2471</v>
      </c>
      <c r="E5766" s="0" t="n">
        <v>1634</v>
      </c>
      <c r="F5766" s="0" t="s">
        <v>285</v>
      </c>
      <c r="I5766" s="0" t="n">
        <v>330057</v>
      </c>
      <c r="J5766" s="0" t="n">
        <v>21478</v>
      </c>
      <c r="K5766" s="0" t="n">
        <v>7898956358015</v>
      </c>
      <c r="L5766" s="0" t="s">
        <v>4724</v>
      </c>
      <c r="N5766" s="0" t="n">
        <v>12</v>
      </c>
      <c r="O5766" s="0" t="n">
        <v>86.4</v>
      </c>
      <c r="P5766" s="0" t="s">
        <v>2444</v>
      </c>
    </row>
    <row r="5767" customFormat="false" ht="15" hidden="false" customHeight="true" outlineLevel="0" collapsed="false">
      <c r="A5767" s="0" t="n">
        <v>2</v>
      </c>
      <c r="B5767" s="71" t="n">
        <v>46246</v>
      </c>
      <c r="C5767" s="0" t="n">
        <v>11</v>
      </c>
      <c r="D5767" s="0" t="s">
        <v>2471</v>
      </c>
      <c r="E5767" s="0" t="n">
        <v>1634</v>
      </c>
      <c r="F5767" s="0" t="s">
        <v>285</v>
      </c>
      <c r="I5767" s="0" t="n">
        <v>330057</v>
      </c>
      <c r="J5767" s="0" t="n">
        <v>22133</v>
      </c>
      <c r="K5767" s="0" t="n">
        <v>7896037918592</v>
      </c>
      <c r="L5767" s="0" t="s">
        <v>4725</v>
      </c>
      <c r="N5767" s="0" t="n">
        <v>12</v>
      </c>
      <c r="O5767" s="0" t="n">
        <v>239.76</v>
      </c>
      <c r="P5767" s="0" t="s">
        <v>2444</v>
      </c>
    </row>
    <row r="5768" customFormat="false" ht="15" hidden="false" customHeight="true" outlineLevel="0" collapsed="false">
      <c r="A5768" s="0" t="n">
        <v>2</v>
      </c>
      <c r="B5768" s="71" t="n">
        <v>46246</v>
      </c>
      <c r="C5768" s="0" t="n">
        <v>11</v>
      </c>
      <c r="D5768" s="0" t="s">
        <v>2471</v>
      </c>
      <c r="E5768" s="0" t="n">
        <v>1634</v>
      </c>
      <c r="F5768" s="0" t="s">
        <v>285</v>
      </c>
      <c r="I5768" s="0" t="n">
        <v>330057</v>
      </c>
      <c r="J5768" s="0" t="n">
        <v>25226</v>
      </c>
      <c r="K5768" s="0" t="n">
        <v>7898956358084</v>
      </c>
      <c r="L5768" s="0" t="s">
        <v>4726</v>
      </c>
      <c r="N5768" s="0" t="n">
        <v>12</v>
      </c>
      <c r="O5768" s="0" t="n">
        <v>71.88</v>
      </c>
      <c r="P5768" s="0" t="s">
        <v>2444</v>
      </c>
    </row>
    <row r="5769" customFormat="false" ht="15" hidden="false" customHeight="true" outlineLevel="0" collapsed="false">
      <c r="A5769" s="0" t="n">
        <v>2</v>
      </c>
      <c r="B5769" s="71" t="n">
        <v>46246</v>
      </c>
      <c r="C5769" s="0" t="n">
        <v>11</v>
      </c>
      <c r="D5769" s="0" t="s">
        <v>2471</v>
      </c>
      <c r="E5769" s="0" t="n">
        <v>1634</v>
      </c>
      <c r="F5769" s="0" t="s">
        <v>285</v>
      </c>
      <c r="I5769" s="0" t="n">
        <v>330057</v>
      </c>
      <c r="J5769" s="0" t="n">
        <v>27768</v>
      </c>
      <c r="K5769" s="0" t="n">
        <v>7892300003002</v>
      </c>
      <c r="L5769" s="0" t="s">
        <v>3868</v>
      </c>
      <c r="N5769" s="0" t="n">
        <v>20</v>
      </c>
      <c r="O5769" s="0" t="n">
        <v>82.4</v>
      </c>
      <c r="P5769" s="0" t="s">
        <v>2444</v>
      </c>
    </row>
    <row r="5770" customFormat="false" ht="15" hidden="false" customHeight="true" outlineLevel="0" collapsed="false">
      <c r="A5770" s="0" t="n">
        <v>2</v>
      </c>
      <c r="B5770" s="71" t="n">
        <v>46246</v>
      </c>
      <c r="C5770" s="0" t="n">
        <v>11</v>
      </c>
      <c r="D5770" s="0" t="s">
        <v>2471</v>
      </c>
      <c r="E5770" s="0" t="n">
        <v>1634</v>
      </c>
      <c r="F5770" s="0" t="s">
        <v>285</v>
      </c>
      <c r="I5770" s="0" t="n">
        <v>330057</v>
      </c>
      <c r="J5770" s="0" t="n">
        <v>34365</v>
      </c>
      <c r="K5770" s="0" t="n">
        <v>7898956358091</v>
      </c>
      <c r="L5770" s="0" t="s">
        <v>4727</v>
      </c>
      <c r="N5770" s="0" t="n">
        <v>24</v>
      </c>
      <c r="O5770" s="0" t="n">
        <v>195.36</v>
      </c>
      <c r="P5770" s="0" t="s">
        <v>2444</v>
      </c>
    </row>
    <row r="5771" customFormat="false" ht="15" hidden="false" customHeight="true" outlineLevel="0" collapsed="false">
      <c r="A5771" s="0" t="n">
        <v>2</v>
      </c>
      <c r="B5771" s="71" t="n">
        <v>46246</v>
      </c>
      <c r="C5771" s="0" t="n">
        <v>11</v>
      </c>
      <c r="D5771" s="0" t="s">
        <v>2471</v>
      </c>
      <c r="E5771" s="0" t="n">
        <v>1634</v>
      </c>
      <c r="F5771" s="0" t="s">
        <v>285</v>
      </c>
      <c r="I5771" s="0" t="n">
        <v>330057</v>
      </c>
      <c r="J5771" s="0" t="n">
        <v>35127</v>
      </c>
      <c r="K5771" s="0" t="n">
        <v>7898956358107</v>
      </c>
      <c r="L5771" s="0" t="s">
        <v>4728</v>
      </c>
      <c r="N5771" s="0" t="n">
        <v>24</v>
      </c>
      <c r="O5771" s="0" t="n">
        <v>114.48</v>
      </c>
      <c r="P5771" s="0" t="s">
        <v>2444</v>
      </c>
    </row>
    <row r="5772" customFormat="false" ht="15" hidden="false" customHeight="true" outlineLevel="0" collapsed="false">
      <c r="A5772" s="0" t="n">
        <v>2</v>
      </c>
      <c r="B5772" s="71" t="n">
        <v>46246</v>
      </c>
      <c r="C5772" s="0" t="n">
        <v>11</v>
      </c>
      <c r="D5772" s="0" t="s">
        <v>2471</v>
      </c>
      <c r="E5772" s="0" t="n">
        <v>1634</v>
      </c>
      <c r="F5772" s="0" t="s">
        <v>285</v>
      </c>
      <c r="I5772" s="0" t="n">
        <v>330057</v>
      </c>
      <c r="J5772" s="0" t="n">
        <v>76364</v>
      </c>
      <c r="K5772" s="0" t="n">
        <v>7898956358268</v>
      </c>
      <c r="L5772" s="0" t="s">
        <v>4729</v>
      </c>
      <c r="N5772" s="0" t="n">
        <v>12</v>
      </c>
      <c r="O5772" s="0" t="n">
        <v>53.4</v>
      </c>
      <c r="P5772" s="0" t="s">
        <v>2444</v>
      </c>
    </row>
    <row r="5773" customFormat="false" ht="15" hidden="false" customHeight="true" outlineLevel="0" collapsed="false">
      <c r="A5773" s="0" t="n">
        <v>2</v>
      </c>
      <c r="B5773" s="71" t="n">
        <v>46246</v>
      </c>
      <c r="C5773" s="0" t="n">
        <v>11</v>
      </c>
      <c r="D5773" s="0" t="s">
        <v>2471</v>
      </c>
      <c r="E5773" s="0" t="n">
        <v>1634</v>
      </c>
      <c r="F5773" s="0" t="s">
        <v>285</v>
      </c>
      <c r="I5773" s="0" t="n">
        <v>330057</v>
      </c>
      <c r="J5773" s="0" t="n">
        <v>82053</v>
      </c>
      <c r="K5773" s="0" t="n">
        <v>7896080900261</v>
      </c>
      <c r="L5773" s="0" t="s">
        <v>4730</v>
      </c>
      <c r="N5773" s="0" t="n">
        <v>40</v>
      </c>
      <c r="O5773" s="0" t="n">
        <v>78.8</v>
      </c>
      <c r="P5773" s="0" t="s">
        <v>2444</v>
      </c>
    </row>
    <row r="5774" customFormat="false" ht="15" hidden="false" customHeight="true" outlineLevel="0" collapsed="false">
      <c r="A5774" s="0" t="n">
        <v>2</v>
      </c>
      <c r="B5774" s="71" t="n">
        <v>46246</v>
      </c>
      <c r="C5774" s="0" t="n">
        <v>11</v>
      </c>
      <c r="D5774" s="0" t="s">
        <v>2471</v>
      </c>
      <c r="E5774" s="0" t="n">
        <v>1668</v>
      </c>
      <c r="F5774" s="0" t="s">
        <v>151</v>
      </c>
      <c r="I5774" s="0" t="n">
        <v>747704</v>
      </c>
      <c r="J5774" s="0" t="n">
        <v>29057</v>
      </c>
      <c r="K5774" s="0" t="n">
        <v>7908099900955</v>
      </c>
      <c r="L5774" s="0" t="s">
        <v>3440</v>
      </c>
      <c r="N5774" s="0" t="n">
        <v>150</v>
      </c>
      <c r="O5774" s="0" t="n">
        <v>509.85</v>
      </c>
      <c r="P5774" s="0" t="s">
        <v>2444</v>
      </c>
    </row>
    <row r="5775" customFormat="false" ht="15" hidden="false" customHeight="true" outlineLevel="0" collapsed="false">
      <c r="A5775" s="0" t="n">
        <v>2</v>
      </c>
      <c r="B5775" s="71" t="n">
        <v>46246</v>
      </c>
      <c r="C5775" s="0" t="n">
        <v>11</v>
      </c>
      <c r="D5775" s="0" t="s">
        <v>2471</v>
      </c>
      <c r="E5775" s="0" t="n">
        <v>1608</v>
      </c>
      <c r="F5775" s="0" t="s">
        <v>240</v>
      </c>
      <c r="I5775" s="0" t="n">
        <v>1709601</v>
      </c>
      <c r="J5775" s="0" t="n">
        <v>102366</v>
      </c>
      <c r="K5775" s="0" t="n">
        <v>7894321722016</v>
      </c>
      <c r="L5775" s="0" t="s">
        <v>3513</v>
      </c>
      <c r="N5775" s="0" t="n">
        <v>270</v>
      </c>
      <c r="O5775" s="0" t="n">
        <v>685.8</v>
      </c>
      <c r="P5775" s="0" t="s">
        <v>2444</v>
      </c>
    </row>
    <row r="5776" customFormat="false" ht="15" hidden="false" customHeight="true" outlineLevel="0" collapsed="false">
      <c r="A5776" s="0" t="n">
        <v>2</v>
      </c>
      <c r="B5776" s="71" t="n">
        <v>46246</v>
      </c>
      <c r="C5776" s="0" t="n">
        <v>11</v>
      </c>
      <c r="D5776" s="0" t="s">
        <v>2471</v>
      </c>
      <c r="E5776" s="0" t="n">
        <v>1608</v>
      </c>
      <c r="F5776" s="0" t="s">
        <v>240</v>
      </c>
      <c r="I5776" s="0" t="n">
        <v>1709601</v>
      </c>
      <c r="J5776" s="0" t="n">
        <v>104454</v>
      </c>
      <c r="K5776" s="0" t="n">
        <v>7892840142124</v>
      </c>
      <c r="L5776" s="0" t="s">
        <v>4251</v>
      </c>
      <c r="N5776" s="0" t="n">
        <v>15</v>
      </c>
      <c r="O5776" s="0" t="n">
        <v>33</v>
      </c>
      <c r="P5776" s="0" t="s">
        <v>2444</v>
      </c>
    </row>
    <row r="5777" customFormat="false" ht="15" hidden="false" customHeight="true" outlineLevel="0" collapsed="false">
      <c r="A5777" s="0" t="n">
        <v>2</v>
      </c>
      <c r="B5777" s="71" t="n">
        <v>46246</v>
      </c>
      <c r="C5777" s="0" t="n">
        <v>11</v>
      </c>
      <c r="D5777" s="0" t="s">
        <v>2471</v>
      </c>
      <c r="E5777" s="0" t="n">
        <v>1608</v>
      </c>
      <c r="F5777" s="0" t="s">
        <v>240</v>
      </c>
      <c r="I5777" s="0" t="n">
        <v>1709601</v>
      </c>
      <c r="J5777" s="0" t="n">
        <v>107088</v>
      </c>
      <c r="K5777" s="0" t="n">
        <v>7896828000482</v>
      </c>
      <c r="L5777" s="0" t="s">
        <v>3514</v>
      </c>
      <c r="N5777" s="0" t="n">
        <v>12</v>
      </c>
      <c r="O5777" s="0" t="n">
        <v>64.08</v>
      </c>
      <c r="P5777" s="0" t="s">
        <v>2444</v>
      </c>
    </row>
    <row r="5778" customFormat="false" ht="15" hidden="false" customHeight="true" outlineLevel="0" collapsed="false">
      <c r="A5778" s="0" t="n">
        <v>2</v>
      </c>
      <c r="B5778" s="71" t="n">
        <v>46246</v>
      </c>
      <c r="C5778" s="0" t="n">
        <v>11</v>
      </c>
      <c r="D5778" s="0" t="s">
        <v>2471</v>
      </c>
      <c r="E5778" s="0" t="n">
        <v>1608</v>
      </c>
      <c r="F5778" s="0" t="s">
        <v>240</v>
      </c>
      <c r="I5778" s="0" t="n">
        <v>1709601</v>
      </c>
      <c r="J5778" s="0" t="n">
        <v>11626</v>
      </c>
      <c r="K5778" s="0" t="n">
        <v>7896828000239</v>
      </c>
      <c r="L5778" s="0" t="s">
        <v>3515</v>
      </c>
      <c r="N5778" s="0" t="n">
        <v>12</v>
      </c>
      <c r="O5778" s="0" t="n">
        <v>167.04</v>
      </c>
      <c r="P5778" s="0" t="s">
        <v>2444</v>
      </c>
    </row>
    <row r="5779" customFormat="false" ht="15" hidden="false" customHeight="true" outlineLevel="0" collapsed="false">
      <c r="A5779" s="0" t="n">
        <v>2</v>
      </c>
      <c r="B5779" s="71" t="n">
        <v>46246</v>
      </c>
      <c r="C5779" s="0" t="n">
        <v>11</v>
      </c>
      <c r="D5779" s="0" t="s">
        <v>2471</v>
      </c>
      <c r="E5779" s="0" t="n">
        <v>1608</v>
      </c>
      <c r="F5779" s="0" t="s">
        <v>240</v>
      </c>
      <c r="I5779" s="0" t="n">
        <v>1709601</v>
      </c>
      <c r="J5779" s="0" t="n">
        <v>29083</v>
      </c>
      <c r="K5779" s="0" t="n">
        <v>7892840818142</v>
      </c>
      <c r="L5779" s="0" t="s">
        <v>3516</v>
      </c>
      <c r="N5779" s="0" t="n">
        <v>5</v>
      </c>
      <c r="O5779" s="0" t="n">
        <v>58.7</v>
      </c>
      <c r="P5779" s="0" t="s">
        <v>2444</v>
      </c>
    </row>
    <row r="5780" customFormat="false" ht="15" hidden="false" customHeight="true" outlineLevel="0" collapsed="false">
      <c r="A5780" s="0" t="n">
        <v>2</v>
      </c>
      <c r="B5780" s="71" t="n">
        <v>46246</v>
      </c>
      <c r="C5780" s="0" t="n">
        <v>11</v>
      </c>
      <c r="D5780" s="0" t="s">
        <v>2471</v>
      </c>
      <c r="E5780" s="0" t="n">
        <v>1608</v>
      </c>
      <c r="F5780" s="0" t="s">
        <v>240</v>
      </c>
      <c r="I5780" s="0" t="n">
        <v>1709601</v>
      </c>
      <c r="J5780" s="0" t="n">
        <v>29659</v>
      </c>
      <c r="K5780" s="0" t="n">
        <v>7896071024839</v>
      </c>
      <c r="L5780" s="0" t="s">
        <v>4253</v>
      </c>
      <c r="N5780" s="0" t="n">
        <v>16</v>
      </c>
      <c r="O5780" s="0" t="n">
        <v>41.44</v>
      </c>
      <c r="P5780" s="0" t="s">
        <v>2444</v>
      </c>
    </row>
    <row r="5781" customFormat="false" ht="15" hidden="false" customHeight="true" outlineLevel="0" collapsed="false">
      <c r="A5781" s="0" t="n">
        <v>2</v>
      </c>
      <c r="B5781" s="71" t="n">
        <v>46246</v>
      </c>
      <c r="C5781" s="0" t="n">
        <v>11</v>
      </c>
      <c r="D5781" s="0" t="s">
        <v>2471</v>
      </c>
      <c r="E5781" s="0" t="n">
        <v>1608</v>
      </c>
      <c r="F5781" s="0" t="s">
        <v>240</v>
      </c>
      <c r="I5781" s="0" t="n">
        <v>1709601</v>
      </c>
      <c r="J5781" s="0" t="n">
        <v>29661</v>
      </c>
      <c r="K5781" s="0" t="n">
        <v>7896071024822</v>
      </c>
      <c r="L5781" s="0" t="s">
        <v>4254</v>
      </c>
      <c r="N5781" s="0" t="n">
        <v>16</v>
      </c>
      <c r="O5781" s="0" t="n">
        <v>41.44</v>
      </c>
      <c r="P5781" s="0" t="s">
        <v>2444</v>
      </c>
    </row>
    <row r="5782" customFormat="false" ht="15" hidden="false" customHeight="true" outlineLevel="0" collapsed="false">
      <c r="A5782" s="0" t="n">
        <v>2</v>
      </c>
      <c r="B5782" s="71" t="n">
        <v>46246</v>
      </c>
      <c r="C5782" s="0" t="n">
        <v>11</v>
      </c>
      <c r="D5782" s="0" t="s">
        <v>2471</v>
      </c>
      <c r="E5782" s="0" t="n">
        <v>1608</v>
      </c>
      <c r="F5782" s="0" t="s">
        <v>240</v>
      </c>
      <c r="I5782" s="0" t="n">
        <v>1709601</v>
      </c>
      <c r="J5782" s="0" t="n">
        <v>36474</v>
      </c>
      <c r="K5782" s="0" t="n">
        <v>7892840815745</v>
      </c>
      <c r="L5782" s="0" t="s">
        <v>3520</v>
      </c>
      <c r="N5782" s="0" t="n">
        <v>60</v>
      </c>
      <c r="O5782" s="0" t="n">
        <v>132</v>
      </c>
      <c r="P5782" s="0" t="s">
        <v>2444</v>
      </c>
    </row>
    <row r="5783" customFormat="false" ht="15" hidden="false" customHeight="true" outlineLevel="0" collapsed="false">
      <c r="A5783" s="0" t="n">
        <v>2</v>
      </c>
      <c r="B5783" s="71" t="n">
        <v>46246</v>
      </c>
      <c r="C5783" s="0" t="n">
        <v>11</v>
      </c>
      <c r="D5783" s="0" t="s">
        <v>2471</v>
      </c>
      <c r="E5783" s="0" t="n">
        <v>1608</v>
      </c>
      <c r="F5783" s="0" t="s">
        <v>240</v>
      </c>
      <c r="I5783" s="0" t="n">
        <v>1709601</v>
      </c>
      <c r="J5783" s="0" t="n">
        <v>38353</v>
      </c>
      <c r="K5783" s="0" t="n">
        <v>7892840817978</v>
      </c>
      <c r="L5783" s="0" t="s">
        <v>3521</v>
      </c>
      <c r="N5783" s="0" t="n">
        <v>5</v>
      </c>
      <c r="O5783" s="0" t="n">
        <v>58.7</v>
      </c>
      <c r="P5783" s="0" t="s">
        <v>2444</v>
      </c>
    </row>
    <row r="5784" customFormat="false" ht="15" hidden="false" customHeight="true" outlineLevel="0" collapsed="false">
      <c r="A5784" s="0" t="n">
        <v>2</v>
      </c>
      <c r="B5784" s="71" t="n">
        <v>46246</v>
      </c>
      <c r="C5784" s="0" t="n">
        <v>11</v>
      </c>
      <c r="D5784" s="0" t="s">
        <v>2471</v>
      </c>
      <c r="E5784" s="0" t="n">
        <v>1608</v>
      </c>
      <c r="F5784" s="0" t="s">
        <v>240</v>
      </c>
      <c r="I5784" s="0" t="n">
        <v>1709601</v>
      </c>
      <c r="J5784" s="0" t="n">
        <v>42694</v>
      </c>
      <c r="K5784" s="0" t="n">
        <v>7892840814724</v>
      </c>
      <c r="L5784" s="0" t="s">
        <v>4255</v>
      </c>
      <c r="N5784" s="0" t="n">
        <v>16</v>
      </c>
      <c r="O5784" s="0" t="n">
        <v>96.16</v>
      </c>
      <c r="P5784" s="0" t="s">
        <v>2444</v>
      </c>
    </row>
    <row r="5785" customFormat="false" ht="15" hidden="false" customHeight="true" outlineLevel="0" collapsed="false">
      <c r="A5785" s="0" t="n">
        <v>2</v>
      </c>
      <c r="B5785" s="71" t="n">
        <v>46246</v>
      </c>
      <c r="C5785" s="0" t="n">
        <v>11</v>
      </c>
      <c r="D5785" s="0" t="s">
        <v>2471</v>
      </c>
      <c r="E5785" s="0" t="n">
        <v>1608</v>
      </c>
      <c r="F5785" s="0" t="s">
        <v>240</v>
      </c>
      <c r="I5785" s="0" t="n">
        <v>1709601</v>
      </c>
      <c r="J5785" s="0" t="n">
        <v>51628</v>
      </c>
      <c r="K5785" s="0" t="n">
        <v>7892840817749</v>
      </c>
      <c r="L5785" s="0" t="s">
        <v>4256</v>
      </c>
      <c r="N5785" s="0" t="n">
        <v>5</v>
      </c>
      <c r="O5785" s="0" t="n">
        <v>70.45</v>
      </c>
      <c r="P5785" s="0" t="s">
        <v>2444</v>
      </c>
    </row>
    <row r="5786" customFormat="false" ht="15" hidden="false" customHeight="true" outlineLevel="0" collapsed="false">
      <c r="A5786" s="0" t="n">
        <v>2</v>
      </c>
      <c r="B5786" s="71" t="n">
        <v>46246</v>
      </c>
      <c r="C5786" s="0" t="n">
        <v>11</v>
      </c>
      <c r="D5786" s="0" t="s">
        <v>2471</v>
      </c>
      <c r="E5786" s="0" t="n">
        <v>1608</v>
      </c>
      <c r="F5786" s="0" t="s">
        <v>240</v>
      </c>
      <c r="I5786" s="0" t="n">
        <v>1709601</v>
      </c>
      <c r="J5786" s="0" t="n">
        <v>54095</v>
      </c>
      <c r="K5786" s="0" t="n">
        <v>7892840820381</v>
      </c>
      <c r="L5786" s="0" t="s">
        <v>3523</v>
      </c>
      <c r="N5786" s="0" t="n">
        <v>15</v>
      </c>
      <c r="O5786" s="0" t="n">
        <v>94.8</v>
      </c>
      <c r="P5786" s="0" t="s">
        <v>2444</v>
      </c>
    </row>
    <row r="5787" customFormat="false" ht="15" hidden="false" customHeight="true" outlineLevel="0" collapsed="false">
      <c r="A5787" s="0" t="n">
        <v>2</v>
      </c>
      <c r="B5787" s="71" t="n">
        <v>46246</v>
      </c>
      <c r="C5787" s="0" t="n">
        <v>11</v>
      </c>
      <c r="D5787" s="0" t="s">
        <v>2471</v>
      </c>
      <c r="E5787" s="0" t="n">
        <v>1608</v>
      </c>
      <c r="F5787" s="0" t="s">
        <v>240</v>
      </c>
      <c r="I5787" s="0" t="n">
        <v>1709601</v>
      </c>
      <c r="J5787" s="0" t="n">
        <v>65341</v>
      </c>
      <c r="K5787" s="0" t="n">
        <v>7892840822309</v>
      </c>
      <c r="L5787" s="0" t="s">
        <v>3524</v>
      </c>
      <c r="N5787" s="0" t="n">
        <v>56</v>
      </c>
      <c r="O5787" s="0" t="n">
        <v>186.48</v>
      </c>
      <c r="P5787" s="0" t="s">
        <v>2444</v>
      </c>
    </row>
    <row r="5788" customFormat="false" ht="15" hidden="false" customHeight="true" outlineLevel="0" collapsed="false">
      <c r="A5788" s="0" t="n">
        <v>2</v>
      </c>
      <c r="B5788" s="71" t="n">
        <v>46246</v>
      </c>
      <c r="C5788" s="0" t="n">
        <v>11</v>
      </c>
      <c r="D5788" s="0" t="s">
        <v>2471</v>
      </c>
      <c r="E5788" s="0" t="n">
        <v>1608</v>
      </c>
      <c r="F5788" s="0" t="s">
        <v>240</v>
      </c>
      <c r="I5788" s="0" t="n">
        <v>1709601</v>
      </c>
      <c r="J5788" s="0" t="n">
        <v>65342</v>
      </c>
      <c r="K5788" s="0" t="n">
        <v>7892840822446</v>
      </c>
      <c r="L5788" s="0" t="s">
        <v>3525</v>
      </c>
      <c r="N5788" s="0" t="n">
        <v>10</v>
      </c>
      <c r="O5788" s="0" t="n">
        <v>133.4</v>
      </c>
      <c r="P5788" s="0" t="s">
        <v>2444</v>
      </c>
    </row>
    <row r="5789" customFormat="false" ht="15" hidden="false" customHeight="true" outlineLevel="0" collapsed="false">
      <c r="A5789" s="0" t="n">
        <v>2</v>
      </c>
      <c r="B5789" s="71" t="n">
        <v>46246</v>
      </c>
      <c r="C5789" s="0" t="n">
        <v>11</v>
      </c>
      <c r="D5789" s="0" t="s">
        <v>2471</v>
      </c>
      <c r="E5789" s="0" t="n">
        <v>1608</v>
      </c>
      <c r="F5789" s="0" t="s">
        <v>240</v>
      </c>
      <c r="I5789" s="0" t="n">
        <v>1709601</v>
      </c>
      <c r="J5789" s="0" t="n">
        <v>65383</v>
      </c>
      <c r="K5789" s="0" t="n">
        <v>7892840822859</v>
      </c>
      <c r="L5789" s="0" t="s">
        <v>3526</v>
      </c>
      <c r="N5789" s="0" t="n">
        <v>20</v>
      </c>
      <c r="O5789" s="0" t="n">
        <v>53</v>
      </c>
      <c r="P5789" s="0" t="s">
        <v>2444</v>
      </c>
    </row>
    <row r="5790" customFormat="false" ht="15" hidden="false" customHeight="true" outlineLevel="0" collapsed="false">
      <c r="A5790" s="0" t="n">
        <v>2</v>
      </c>
      <c r="B5790" s="71" t="n">
        <v>46246</v>
      </c>
      <c r="C5790" s="0" t="n">
        <v>11</v>
      </c>
      <c r="D5790" s="0" t="s">
        <v>2471</v>
      </c>
      <c r="E5790" s="0" t="n">
        <v>1608</v>
      </c>
      <c r="F5790" s="0" t="s">
        <v>240</v>
      </c>
      <c r="I5790" s="0" t="n">
        <v>1709601</v>
      </c>
      <c r="J5790" s="0" t="n">
        <v>65591</v>
      </c>
      <c r="K5790" s="0" t="n">
        <v>7892840822941</v>
      </c>
      <c r="L5790" s="0" t="s">
        <v>3527</v>
      </c>
      <c r="N5790" s="0" t="n">
        <v>6</v>
      </c>
      <c r="O5790" s="0" t="n">
        <v>80.46</v>
      </c>
      <c r="P5790" s="0" t="s">
        <v>2444</v>
      </c>
    </row>
    <row r="5791" customFormat="false" ht="15" hidden="false" customHeight="true" outlineLevel="0" collapsed="false">
      <c r="A5791" s="0" t="n">
        <v>2</v>
      </c>
      <c r="B5791" s="71" t="n">
        <v>46246</v>
      </c>
      <c r="C5791" s="0" t="n">
        <v>11</v>
      </c>
      <c r="D5791" s="0" t="s">
        <v>2471</v>
      </c>
      <c r="E5791" s="0" t="n">
        <v>1608</v>
      </c>
      <c r="F5791" s="0" t="s">
        <v>240</v>
      </c>
      <c r="I5791" s="0" t="n">
        <v>1709601</v>
      </c>
      <c r="J5791" s="0" t="n">
        <v>65592</v>
      </c>
      <c r="K5791" s="0" t="n">
        <v>7892840822286</v>
      </c>
      <c r="L5791" s="0" t="s">
        <v>3528</v>
      </c>
      <c r="N5791" s="0" t="n">
        <v>28</v>
      </c>
      <c r="O5791" s="0" t="n">
        <v>93.24</v>
      </c>
      <c r="P5791" s="0" t="s">
        <v>2444</v>
      </c>
    </row>
    <row r="5792" customFormat="false" ht="15" hidden="false" customHeight="true" outlineLevel="0" collapsed="false">
      <c r="A5792" s="0" t="n">
        <v>2</v>
      </c>
      <c r="B5792" s="71" t="n">
        <v>46246</v>
      </c>
      <c r="C5792" s="0" t="n">
        <v>11</v>
      </c>
      <c r="D5792" s="0" t="s">
        <v>2471</v>
      </c>
      <c r="E5792" s="0" t="n">
        <v>1608</v>
      </c>
      <c r="F5792" s="0" t="s">
        <v>240</v>
      </c>
      <c r="I5792" s="0" t="n">
        <v>1709601</v>
      </c>
      <c r="J5792" s="0" t="n">
        <v>65597</v>
      </c>
      <c r="K5792" s="0" t="n">
        <v>7892840822736</v>
      </c>
      <c r="L5792" s="0" t="s">
        <v>3529</v>
      </c>
      <c r="N5792" s="0" t="n">
        <v>6</v>
      </c>
      <c r="O5792" s="0" t="n">
        <v>75.42</v>
      </c>
      <c r="P5792" s="0" t="s">
        <v>2444</v>
      </c>
    </row>
    <row r="5793" customFormat="false" ht="15" hidden="false" customHeight="true" outlineLevel="0" collapsed="false">
      <c r="A5793" s="0" t="n">
        <v>2</v>
      </c>
      <c r="B5793" s="71" t="n">
        <v>46246</v>
      </c>
      <c r="C5793" s="0" t="n">
        <v>11</v>
      </c>
      <c r="D5793" s="0" t="s">
        <v>2471</v>
      </c>
      <c r="E5793" s="0" t="n">
        <v>1608</v>
      </c>
      <c r="F5793" s="0" t="s">
        <v>240</v>
      </c>
      <c r="I5793" s="0" t="n">
        <v>1709601</v>
      </c>
      <c r="J5793" s="0" t="n">
        <v>65598</v>
      </c>
      <c r="K5793" s="0" t="n">
        <v>7892840822361</v>
      </c>
      <c r="L5793" s="0" t="s">
        <v>3530</v>
      </c>
      <c r="N5793" s="0" t="n">
        <v>10</v>
      </c>
      <c r="O5793" s="0" t="n">
        <v>78.4</v>
      </c>
      <c r="P5793" s="0" t="s">
        <v>2444</v>
      </c>
    </row>
    <row r="5794" customFormat="false" ht="15" hidden="false" customHeight="true" outlineLevel="0" collapsed="false">
      <c r="A5794" s="0" t="n">
        <v>2</v>
      </c>
      <c r="B5794" s="71" t="n">
        <v>46246</v>
      </c>
      <c r="C5794" s="0" t="n">
        <v>11</v>
      </c>
      <c r="D5794" s="0" t="s">
        <v>2471</v>
      </c>
      <c r="E5794" s="0" t="n">
        <v>1608</v>
      </c>
      <c r="F5794" s="0" t="s">
        <v>240</v>
      </c>
      <c r="I5794" s="0" t="n">
        <v>1709601</v>
      </c>
      <c r="J5794" s="0" t="n">
        <v>65734</v>
      </c>
      <c r="K5794" s="0" t="n">
        <v>7892840823047</v>
      </c>
      <c r="L5794" s="0" t="s">
        <v>3531</v>
      </c>
      <c r="N5794" s="0" t="n">
        <v>16</v>
      </c>
      <c r="O5794" s="0" t="n">
        <v>102.4</v>
      </c>
      <c r="P5794" s="0" t="s">
        <v>2444</v>
      </c>
    </row>
    <row r="5795" customFormat="false" ht="15" hidden="false" customHeight="true" outlineLevel="0" collapsed="false">
      <c r="A5795" s="0" t="n">
        <v>2</v>
      </c>
      <c r="B5795" s="71" t="n">
        <v>46246</v>
      </c>
      <c r="C5795" s="0" t="n">
        <v>11</v>
      </c>
      <c r="D5795" s="0" t="s">
        <v>2471</v>
      </c>
      <c r="E5795" s="0" t="n">
        <v>1608</v>
      </c>
      <c r="F5795" s="0" t="s">
        <v>240</v>
      </c>
      <c r="I5795" s="0" t="n">
        <v>1709601</v>
      </c>
      <c r="J5795" s="0" t="n">
        <v>65736</v>
      </c>
      <c r="K5795" s="0" t="n">
        <v>7892840823054</v>
      </c>
      <c r="L5795" s="0" t="s">
        <v>3532</v>
      </c>
      <c r="N5795" s="0" t="n">
        <v>20</v>
      </c>
      <c r="O5795" s="0" t="n">
        <v>128</v>
      </c>
      <c r="P5795" s="0" t="s">
        <v>2444</v>
      </c>
    </row>
    <row r="5796" customFormat="false" ht="15" hidden="false" customHeight="true" outlineLevel="0" collapsed="false">
      <c r="A5796" s="0" t="n">
        <v>2</v>
      </c>
      <c r="B5796" s="71" t="n">
        <v>46246</v>
      </c>
      <c r="C5796" s="0" t="n">
        <v>11</v>
      </c>
      <c r="D5796" s="0" t="s">
        <v>2471</v>
      </c>
      <c r="E5796" s="0" t="n">
        <v>1608</v>
      </c>
      <c r="F5796" s="0" t="s">
        <v>240</v>
      </c>
      <c r="I5796" s="0" t="n">
        <v>1709601</v>
      </c>
      <c r="J5796" s="0" t="n">
        <v>65799</v>
      </c>
      <c r="K5796" s="0" t="n">
        <v>7892840822385</v>
      </c>
      <c r="L5796" s="0" t="s">
        <v>3533</v>
      </c>
      <c r="N5796" s="0" t="n">
        <v>58</v>
      </c>
      <c r="O5796" s="0" t="n">
        <v>218.66</v>
      </c>
      <c r="P5796" s="0" t="s">
        <v>2444</v>
      </c>
    </row>
    <row r="5797" customFormat="false" ht="15" hidden="false" customHeight="true" outlineLevel="0" collapsed="false">
      <c r="A5797" s="0" t="n">
        <v>2</v>
      </c>
      <c r="B5797" s="71" t="n">
        <v>46246</v>
      </c>
      <c r="C5797" s="0" t="n">
        <v>11</v>
      </c>
      <c r="D5797" s="0" t="s">
        <v>2471</v>
      </c>
      <c r="E5797" s="0" t="n">
        <v>1608</v>
      </c>
      <c r="F5797" s="0" t="s">
        <v>240</v>
      </c>
      <c r="I5797" s="0" t="n">
        <v>1709601</v>
      </c>
      <c r="J5797" s="0" t="n">
        <v>65964</v>
      </c>
      <c r="K5797" s="0" t="n">
        <v>7892840822422</v>
      </c>
      <c r="L5797" s="0" t="s">
        <v>3534</v>
      </c>
      <c r="N5797" s="0" t="n">
        <v>12</v>
      </c>
      <c r="O5797" s="0" t="n">
        <v>21.6</v>
      </c>
      <c r="P5797" s="0" t="s">
        <v>2444</v>
      </c>
    </row>
    <row r="5798" customFormat="false" ht="15" hidden="false" customHeight="true" outlineLevel="0" collapsed="false">
      <c r="A5798" s="0" t="n">
        <v>2</v>
      </c>
      <c r="B5798" s="71" t="n">
        <v>46246</v>
      </c>
      <c r="C5798" s="0" t="n">
        <v>11</v>
      </c>
      <c r="D5798" s="0" t="s">
        <v>2471</v>
      </c>
      <c r="E5798" s="0" t="n">
        <v>1608</v>
      </c>
      <c r="F5798" s="0" t="s">
        <v>240</v>
      </c>
      <c r="I5798" s="0" t="n">
        <v>1709601</v>
      </c>
      <c r="J5798" s="0" t="n">
        <v>65965</v>
      </c>
      <c r="K5798" s="0" t="n">
        <v>7892840822507</v>
      </c>
      <c r="L5798" s="0" t="s">
        <v>3535</v>
      </c>
      <c r="N5798" s="0" t="n">
        <v>12</v>
      </c>
      <c r="O5798" s="0" t="n">
        <v>21.6</v>
      </c>
      <c r="P5798" s="0" t="s">
        <v>2444</v>
      </c>
    </row>
    <row r="5799" customFormat="false" ht="15" hidden="false" customHeight="true" outlineLevel="0" collapsed="false">
      <c r="A5799" s="0" t="n">
        <v>2</v>
      </c>
      <c r="B5799" s="71" t="n">
        <v>46246</v>
      </c>
      <c r="C5799" s="0" t="n">
        <v>11</v>
      </c>
      <c r="D5799" s="0" t="s">
        <v>2471</v>
      </c>
      <c r="E5799" s="0" t="n">
        <v>1608</v>
      </c>
      <c r="F5799" s="0" t="s">
        <v>240</v>
      </c>
      <c r="I5799" s="0" t="n">
        <v>1709601</v>
      </c>
      <c r="J5799" s="0" t="n">
        <v>66000</v>
      </c>
      <c r="K5799" s="0" t="n">
        <v>7892840822484</v>
      </c>
      <c r="L5799" s="0" t="s">
        <v>3537</v>
      </c>
      <c r="N5799" s="0" t="n">
        <v>12</v>
      </c>
      <c r="O5799" s="0" t="n">
        <v>21.6</v>
      </c>
      <c r="P5799" s="0" t="s">
        <v>2444</v>
      </c>
    </row>
    <row r="5800" customFormat="false" ht="15" hidden="false" customHeight="true" outlineLevel="0" collapsed="false">
      <c r="A5800" s="0" t="n">
        <v>2</v>
      </c>
      <c r="B5800" s="71" t="n">
        <v>46246</v>
      </c>
      <c r="C5800" s="0" t="n">
        <v>11</v>
      </c>
      <c r="D5800" s="0" t="s">
        <v>2471</v>
      </c>
      <c r="E5800" s="0" t="n">
        <v>1608</v>
      </c>
      <c r="F5800" s="0" t="s">
        <v>240</v>
      </c>
      <c r="I5800" s="0" t="n">
        <v>1709601</v>
      </c>
      <c r="J5800" s="0" t="n">
        <v>66002</v>
      </c>
      <c r="K5800" s="0" t="n">
        <v>7892840823481</v>
      </c>
      <c r="L5800" s="0" t="s">
        <v>3538</v>
      </c>
      <c r="N5800" s="0" t="n">
        <v>21</v>
      </c>
      <c r="O5800" s="0" t="n">
        <v>85.26</v>
      </c>
      <c r="P5800" s="0" t="s">
        <v>2444</v>
      </c>
    </row>
    <row r="5801" customFormat="false" ht="15" hidden="false" customHeight="true" outlineLevel="0" collapsed="false">
      <c r="A5801" s="0" t="n">
        <v>2</v>
      </c>
      <c r="B5801" s="71" t="n">
        <v>46246</v>
      </c>
      <c r="C5801" s="0" t="n">
        <v>11</v>
      </c>
      <c r="D5801" s="0" t="s">
        <v>2471</v>
      </c>
      <c r="E5801" s="0" t="n">
        <v>1608</v>
      </c>
      <c r="F5801" s="0" t="s">
        <v>240</v>
      </c>
      <c r="I5801" s="0" t="n">
        <v>1709601</v>
      </c>
      <c r="J5801" s="0" t="n">
        <v>66252</v>
      </c>
      <c r="K5801" s="0" t="n">
        <v>7892840822392</v>
      </c>
      <c r="L5801" s="0" t="s">
        <v>3540</v>
      </c>
      <c r="N5801" s="0" t="n">
        <v>16</v>
      </c>
      <c r="O5801" s="0" t="n">
        <v>54.72</v>
      </c>
      <c r="P5801" s="0" t="s">
        <v>2444</v>
      </c>
    </row>
    <row r="5802" customFormat="false" ht="15" hidden="false" customHeight="true" outlineLevel="0" collapsed="false">
      <c r="A5802" s="0" t="n">
        <v>2</v>
      </c>
      <c r="B5802" s="71" t="n">
        <v>46246</v>
      </c>
      <c r="C5802" s="0" t="n">
        <v>11</v>
      </c>
      <c r="D5802" s="0" t="s">
        <v>2471</v>
      </c>
      <c r="E5802" s="0" t="n">
        <v>1608</v>
      </c>
      <c r="F5802" s="0" t="s">
        <v>240</v>
      </c>
      <c r="I5802" s="0" t="n">
        <v>1709601</v>
      </c>
      <c r="J5802" s="0" t="n">
        <v>66366</v>
      </c>
      <c r="K5802" s="0" t="n">
        <v>7892840822378</v>
      </c>
      <c r="L5802" s="0" t="s">
        <v>4257</v>
      </c>
      <c r="N5802" s="0" t="n">
        <v>36</v>
      </c>
      <c r="O5802" s="0" t="n">
        <v>146.16</v>
      </c>
      <c r="P5802" s="0" t="s">
        <v>2444</v>
      </c>
    </row>
    <row r="5803" customFormat="false" ht="15" hidden="false" customHeight="true" outlineLevel="0" collapsed="false">
      <c r="A5803" s="0" t="n">
        <v>2</v>
      </c>
      <c r="B5803" s="71" t="n">
        <v>46246</v>
      </c>
      <c r="C5803" s="0" t="n">
        <v>11</v>
      </c>
      <c r="D5803" s="0" t="s">
        <v>2471</v>
      </c>
      <c r="E5803" s="0" t="n">
        <v>1608</v>
      </c>
      <c r="F5803" s="0" t="s">
        <v>240</v>
      </c>
      <c r="I5803" s="0" t="n">
        <v>1709601</v>
      </c>
      <c r="J5803" s="0" t="n">
        <v>66993</v>
      </c>
      <c r="K5803" s="0" t="n">
        <v>7892840822347</v>
      </c>
      <c r="L5803" s="0" t="s">
        <v>3525</v>
      </c>
      <c r="N5803" s="0" t="n">
        <v>20</v>
      </c>
      <c r="O5803" s="0" t="n">
        <v>172.8</v>
      </c>
      <c r="P5803" s="0" t="s">
        <v>2444</v>
      </c>
    </row>
    <row r="5804" customFormat="false" ht="15" hidden="false" customHeight="true" outlineLevel="0" collapsed="false">
      <c r="A5804" s="0" t="n">
        <v>2</v>
      </c>
      <c r="B5804" s="71" t="n">
        <v>46246</v>
      </c>
      <c r="C5804" s="0" t="n">
        <v>11</v>
      </c>
      <c r="D5804" s="0" t="s">
        <v>2471</v>
      </c>
      <c r="E5804" s="0" t="n">
        <v>1608</v>
      </c>
      <c r="F5804" s="0" t="s">
        <v>240</v>
      </c>
      <c r="I5804" s="0" t="n">
        <v>1709601</v>
      </c>
      <c r="J5804" s="0" t="n">
        <v>67725</v>
      </c>
      <c r="K5804" s="0" t="n">
        <v>7892840822477</v>
      </c>
      <c r="L5804" s="0" t="s">
        <v>3542</v>
      </c>
      <c r="N5804" s="0" t="n">
        <v>12</v>
      </c>
      <c r="O5804" s="0" t="n">
        <v>21.6</v>
      </c>
      <c r="P5804" s="0" t="s">
        <v>2444</v>
      </c>
    </row>
    <row r="5805" customFormat="false" ht="15" hidden="false" customHeight="true" outlineLevel="0" collapsed="false">
      <c r="A5805" s="0" t="n">
        <v>2</v>
      </c>
      <c r="B5805" s="71" t="n">
        <v>46246</v>
      </c>
      <c r="C5805" s="0" t="n">
        <v>11</v>
      </c>
      <c r="D5805" s="0" t="s">
        <v>2471</v>
      </c>
      <c r="E5805" s="0" t="n">
        <v>1608</v>
      </c>
      <c r="F5805" s="0" t="s">
        <v>240</v>
      </c>
      <c r="I5805" s="0" t="n">
        <v>1709601</v>
      </c>
      <c r="J5805" s="0" t="n">
        <v>68927</v>
      </c>
      <c r="K5805" s="0" t="n">
        <v>7892840823030</v>
      </c>
      <c r="L5805" s="0" t="s">
        <v>3543</v>
      </c>
      <c r="N5805" s="0" t="n">
        <v>16</v>
      </c>
      <c r="O5805" s="0" t="n">
        <v>102.4</v>
      </c>
      <c r="P5805" s="0" t="s">
        <v>2444</v>
      </c>
    </row>
    <row r="5806" customFormat="false" ht="15" hidden="false" customHeight="true" outlineLevel="0" collapsed="false">
      <c r="A5806" s="0" t="n">
        <v>2</v>
      </c>
      <c r="B5806" s="71" t="n">
        <v>46246</v>
      </c>
      <c r="C5806" s="0" t="n">
        <v>11</v>
      </c>
      <c r="D5806" s="0" t="s">
        <v>2471</v>
      </c>
      <c r="E5806" s="0" t="n">
        <v>1608</v>
      </c>
      <c r="F5806" s="0" t="s">
        <v>240</v>
      </c>
      <c r="I5806" s="0" t="n">
        <v>1709601</v>
      </c>
      <c r="J5806" s="0" t="n">
        <v>80042</v>
      </c>
      <c r="K5806" s="0" t="n">
        <v>7892840825171</v>
      </c>
      <c r="L5806" s="0" t="s">
        <v>4258</v>
      </c>
      <c r="N5806" s="0" t="n">
        <v>16</v>
      </c>
      <c r="O5806" s="0" t="n">
        <v>73.28</v>
      </c>
      <c r="P5806" s="0" t="s">
        <v>2444</v>
      </c>
    </row>
    <row r="5807" customFormat="false" ht="15" hidden="false" customHeight="true" outlineLevel="0" collapsed="false">
      <c r="A5807" s="0" t="n">
        <v>2</v>
      </c>
      <c r="B5807" s="71" t="n">
        <v>46246</v>
      </c>
      <c r="C5807" s="0" t="n">
        <v>11</v>
      </c>
      <c r="D5807" s="0" t="s">
        <v>2471</v>
      </c>
      <c r="E5807" s="0" t="n">
        <v>1608</v>
      </c>
      <c r="F5807" s="0" t="s">
        <v>240</v>
      </c>
      <c r="I5807" s="0" t="n">
        <v>1709601</v>
      </c>
      <c r="J5807" s="0" t="n">
        <v>80196</v>
      </c>
      <c r="K5807" s="0" t="n">
        <v>7892840824662</v>
      </c>
      <c r="L5807" s="0" t="s">
        <v>3547</v>
      </c>
      <c r="N5807" s="0" t="n">
        <v>20</v>
      </c>
      <c r="O5807" s="0" t="n">
        <v>66.6</v>
      </c>
      <c r="P5807" s="0" t="s">
        <v>2444</v>
      </c>
    </row>
    <row r="5808" customFormat="false" ht="15" hidden="false" customHeight="true" outlineLevel="0" collapsed="false">
      <c r="A5808" s="0" t="n">
        <v>2</v>
      </c>
      <c r="B5808" s="71" t="n">
        <v>46246</v>
      </c>
      <c r="C5808" s="0" t="n">
        <v>11</v>
      </c>
      <c r="D5808" s="0" t="s">
        <v>2471</v>
      </c>
      <c r="E5808" s="0" t="n">
        <v>1608</v>
      </c>
      <c r="F5808" s="0" t="s">
        <v>240</v>
      </c>
      <c r="I5808" s="0" t="n">
        <v>1709601</v>
      </c>
      <c r="J5808" s="0" t="n">
        <v>80197</v>
      </c>
      <c r="K5808" s="0" t="n">
        <v>7892840824648</v>
      </c>
      <c r="L5808" s="0" t="s">
        <v>3548</v>
      </c>
      <c r="N5808" s="0" t="n">
        <v>25</v>
      </c>
      <c r="O5808" s="0" t="n">
        <v>83.25</v>
      </c>
      <c r="P5808" s="0" t="s">
        <v>2444</v>
      </c>
    </row>
    <row r="5809" customFormat="false" ht="15" hidden="false" customHeight="true" outlineLevel="0" collapsed="false">
      <c r="A5809" s="0" t="n">
        <v>2</v>
      </c>
      <c r="B5809" s="71" t="n">
        <v>46246</v>
      </c>
      <c r="C5809" s="0" t="n">
        <v>11</v>
      </c>
      <c r="D5809" s="0" t="s">
        <v>2471</v>
      </c>
      <c r="E5809" s="0" t="n">
        <v>1608</v>
      </c>
      <c r="F5809" s="0" t="s">
        <v>240</v>
      </c>
      <c r="I5809" s="0" t="n">
        <v>1709601</v>
      </c>
      <c r="J5809" s="0" t="n">
        <v>80198</v>
      </c>
      <c r="K5809" s="0" t="n">
        <v>7892840824693</v>
      </c>
      <c r="L5809" s="0" t="s">
        <v>3549</v>
      </c>
      <c r="N5809" s="0" t="n">
        <v>50</v>
      </c>
      <c r="O5809" s="0" t="n">
        <v>166.5</v>
      </c>
      <c r="P5809" s="0" t="s">
        <v>2444</v>
      </c>
    </row>
    <row r="5810" customFormat="false" ht="15" hidden="false" customHeight="true" outlineLevel="0" collapsed="false">
      <c r="A5810" s="0" t="n">
        <v>2</v>
      </c>
      <c r="B5810" s="71" t="n">
        <v>46246</v>
      </c>
      <c r="C5810" s="0" t="n">
        <v>11</v>
      </c>
      <c r="D5810" s="0" t="s">
        <v>2471</v>
      </c>
      <c r="E5810" s="0" t="n">
        <v>1608</v>
      </c>
      <c r="F5810" s="0" t="s">
        <v>240</v>
      </c>
      <c r="I5810" s="0" t="n">
        <v>1709601</v>
      </c>
      <c r="J5810" s="0" t="n">
        <v>80207</v>
      </c>
      <c r="K5810" s="0" t="n">
        <v>7892840825317</v>
      </c>
      <c r="L5810" s="0" t="s">
        <v>4259</v>
      </c>
      <c r="N5810" s="0" t="n">
        <v>15</v>
      </c>
      <c r="O5810" s="0" t="n">
        <v>108.3</v>
      </c>
      <c r="P5810" s="0" t="s">
        <v>2444</v>
      </c>
    </row>
    <row r="5811" customFormat="false" ht="15" hidden="false" customHeight="true" outlineLevel="0" collapsed="false">
      <c r="A5811" s="0" t="n">
        <v>2</v>
      </c>
      <c r="B5811" s="71" t="n">
        <v>46247</v>
      </c>
      <c r="C5811" s="0" t="n">
        <v>11</v>
      </c>
      <c r="D5811" s="0" t="s">
        <v>2471</v>
      </c>
      <c r="E5811" s="0" t="n">
        <v>10096</v>
      </c>
      <c r="F5811" s="0" t="s">
        <v>622</v>
      </c>
      <c r="I5811" s="0" t="n">
        <v>158</v>
      </c>
      <c r="J5811" s="0" t="n">
        <v>61580</v>
      </c>
      <c r="K5811" s="0" t="n">
        <v>2258157</v>
      </c>
      <c r="L5811" s="0" t="s">
        <v>2509</v>
      </c>
      <c r="N5811" s="0" t="n">
        <v>10</v>
      </c>
      <c r="O5811" s="0" t="n">
        <v>120</v>
      </c>
      <c r="P5811" s="0" t="s">
        <v>2444</v>
      </c>
    </row>
    <row r="5812" customFormat="false" ht="15" hidden="false" customHeight="true" outlineLevel="0" collapsed="false">
      <c r="A5812" s="0" t="n">
        <v>2</v>
      </c>
      <c r="B5812" s="71" t="n">
        <v>46247</v>
      </c>
      <c r="C5812" s="0" t="n">
        <v>11</v>
      </c>
      <c r="D5812" s="0" t="s">
        <v>2471</v>
      </c>
      <c r="E5812" s="0" t="n">
        <v>1899</v>
      </c>
      <c r="F5812" s="0" t="s">
        <v>204</v>
      </c>
      <c r="I5812" s="0" t="n">
        <v>760</v>
      </c>
      <c r="J5812" s="0" t="n">
        <v>44588</v>
      </c>
      <c r="K5812" s="0" t="n">
        <v>7898904331091</v>
      </c>
      <c r="L5812" s="0" t="s">
        <v>2443</v>
      </c>
      <c r="N5812" s="0" t="n">
        <v>15</v>
      </c>
      <c r="O5812" s="0" t="n">
        <v>74.85</v>
      </c>
      <c r="P5812" s="0" t="s">
        <v>2444</v>
      </c>
    </row>
    <row r="5813" customFormat="false" ht="15" hidden="false" customHeight="true" outlineLevel="0" collapsed="false">
      <c r="A5813" s="0" t="n">
        <v>2</v>
      </c>
      <c r="B5813" s="71" t="n">
        <v>46247</v>
      </c>
      <c r="C5813" s="0" t="n">
        <v>11</v>
      </c>
      <c r="D5813" s="0" t="s">
        <v>2471</v>
      </c>
      <c r="E5813" s="0" t="n">
        <v>1899</v>
      </c>
      <c r="F5813" s="0" t="s">
        <v>204</v>
      </c>
      <c r="I5813" s="0" t="n">
        <v>760</v>
      </c>
      <c r="J5813" s="0" t="n">
        <v>77463</v>
      </c>
      <c r="K5813" s="0" t="n">
        <v>774642</v>
      </c>
      <c r="L5813" s="0" t="s">
        <v>2445</v>
      </c>
      <c r="N5813" s="0" t="n">
        <v>25</v>
      </c>
      <c r="O5813" s="0" t="n">
        <v>112.5</v>
      </c>
      <c r="P5813" s="0" t="s">
        <v>2444</v>
      </c>
    </row>
    <row r="5814" customFormat="false" ht="15" hidden="false" customHeight="true" outlineLevel="0" collapsed="false">
      <c r="A5814" s="0" t="n">
        <v>2</v>
      </c>
      <c r="B5814" s="71" t="n">
        <v>46247</v>
      </c>
      <c r="C5814" s="0" t="n">
        <v>11</v>
      </c>
      <c r="D5814" s="0" t="s">
        <v>2471</v>
      </c>
      <c r="E5814" s="0" t="n">
        <v>1899</v>
      </c>
      <c r="F5814" s="0" t="s">
        <v>204</v>
      </c>
      <c r="I5814" s="0" t="n">
        <v>760</v>
      </c>
      <c r="J5814" s="0" t="n">
        <v>77465</v>
      </c>
      <c r="K5814" s="0" t="n">
        <v>774666</v>
      </c>
      <c r="L5814" s="0" t="s">
        <v>2446</v>
      </c>
      <c r="N5814" s="0" t="n">
        <v>10</v>
      </c>
      <c r="O5814" s="0" t="n">
        <v>49.9</v>
      </c>
      <c r="P5814" s="0" t="s">
        <v>2444</v>
      </c>
    </row>
    <row r="5815" customFormat="false" ht="15" hidden="false" customHeight="true" outlineLevel="0" collapsed="false">
      <c r="A5815" s="0" t="n">
        <v>2</v>
      </c>
      <c r="B5815" s="71" t="n">
        <v>46247</v>
      </c>
      <c r="C5815" s="0" t="n">
        <v>11</v>
      </c>
      <c r="D5815" s="0" t="s">
        <v>2471</v>
      </c>
      <c r="E5815" s="0" t="n">
        <v>1899</v>
      </c>
      <c r="F5815" s="0" t="s">
        <v>204</v>
      </c>
      <c r="I5815" s="0" t="n">
        <v>760</v>
      </c>
      <c r="J5815" s="0" t="n">
        <v>77903</v>
      </c>
      <c r="K5815" s="0" t="n">
        <v>779043</v>
      </c>
      <c r="L5815" s="0" t="s">
        <v>2945</v>
      </c>
      <c r="N5815" s="0" t="n">
        <v>5</v>
      </c>
      <c r="O5815" s="0" t="n">
        <v>22.5</v>
      </c>
      <c r="P5815" s="0" t="s">
        <v>2444</v>
      </c>
    </row>
    <row r="5816" customFormat="false" ht="15" hidden="false" customHeight="true" outlineLevel="0" collapsed="false">
      <c r="A5816" s="0" t="n">
        <v>2</v>
      </c>
      <c r="B5816" s="71" t="n">
        <v>46247</v>
      </c>
      <c r="C5816" s="0" t="n">
        <v>11</v>
      </c>
      <c r="D5816" s="0" t="s">
        <v>2471</v>
      </c>
      <c r="E5816" s="0" t="n">
        <v>1899</v>
      </c>
      <c r="F5816" s="0" t="s">
        <v>204</v>
      </c>
      <c r="I5816" s="0" t="n">
        <v>760</v>
      </c>
      <c r="J5816" s="0" t="n">
        <v>78013</v>
      </c>
      <c r="K5816" s="0" t="n">
        <v>780148</v>
      </c>
      <c r="L5816" s="0" t="s">
        <v>2584</v>
      </c>
      <c r="N5816" s="0" t="n">
        <v>5</v>
      </c>
      <c r="O5816" s="0" t="n">
        <v>22.5</v>
      </c>
      <c r="P5816" s="0" t="s">
        <v>2444</v>
      </c>
    </row>
    <row r="5817" customFormat="false" ht="15" hidden="false" customHeight="true" outlineLevel="0" collapsed="false">
      <c r="A5817" s="0" t="n">
        <v>2</v>
      </c>
      <c r="B5817" s="71" t="n">
        <v>46247</v>
      </c>
      <c r="C5817" s="0" t="n">
        <v>11</v>
      </c>
      <c r="D5817" s="0" t="s">
        <v>2471</v>
      </c>
      <c r="E5817" s="0" t="n">
        <v>1899</v>
      </c>
      <c r="F5817" s="0" t="s">
        <v>204</v>
      </c>
      <c r="I5817" s="0" t="n">
        <v>760</v>
      </c>
      <c r="J5817" s="0" t="n">
        <v>78015</v>
      </c>
      <c r="K5817" s="0" t="n">
        <v>780162</v>
      </c>
      <c r="L5817" s="0" t="s">
        <v>2447</v>
      </c>
      <c r="N5817" s="0" t="n">
        <v>7</v>
      </c>
      <c r="O5817" s="0" t="n">
        <v>34.93</v>
      </c>
      <c r="P5817" s="0" t="s">
        <v>2444</v>
      </c>
    </row>
    <row r="5818" customFormat="false" ht="15" hidden="false" customHeight="true" outlineLevel="0" collapsed="false">
      <c r="A5818" s="0" t="n">
        <v>2</v>
      </c>
      <c r="B5818" s="71" t="n">
        <v>46247</v>
      </c>
      <c r="C5818" s="0" t="n">
        <v>11</v>
      </c>
      <c r="D5818" s="0" t="s">
        <v>2471</v>
      </c>
      <c r="E5818" s="0" t="n">
        <v>1635</v>
      </c>
      <c r="F5818" s="0" t="s">
        <v>128</v>
      </c>
      <c r="I5818" s="0" t="n">
        <v>3231</v>
      </c>
      <c r="J5818" s="0" t="n">
        <v>100024</v>
      </c>
      <c r="K5818" s="0" t="n">
        <v>25</v>
      </c>
      <c r="L5818" s="0" t="s">
        <v>3345</v>
      </c>
      <c r="N5818" s="0" t="n">
        <v>50</v>
      </c>
      <c r="O5818" s="0" t="n">
        <v>600</v>
      </c>
      <c r="P5818" s="0" t="s">
        <v>2444</v>
      </c>
    </row>
    <row r="5819" customFormat="false" ht="15" hidden="false" customHeight="true" outlineLevel="0" collapsed="false">
      <c r="A5819" s="0" t="n">
        <v>2</v>
      </c>
      <c r="B5819" s="71" t="n">
        <v>46247</v>
      </c>
      <c r="C5819" s="0" t="n">
        <v>11</v>
      </c>
      <c r="D5819" s="0" t="s">
        <v>2471</v>
      </c>
      <c r="E5819" s="0" t="n">
        <v>1136</v>
      </c>
      <c r="F5819" s="0" t="s">
        <v>1193</v>
      </c>
      <c r="I5819" s="0" t="n">
        <v>53859</v>
      </c>
      <c r="J5819" s="0" t="n">
        <v>102960</v>
      </c>
      <c r="K5819" s="0" t="n">
        <v>7896221400087</v>
      </c>
      <c r="L5819" s="0" t="s">
        <v>4243</v>
      </c>
      <c r="N5819" s="0" t="n">
        <v>10</v>
      </c>
      <c r="O5819" s="0" t="n">
        <v>50.76</v>
      </c>
      <c r="P5819" s="0" t="s">
        <v>2444</v>
      </c>
    </row>
    <row r="5820" customFormat="false" ht="15" hidden="false" customHeight="true" outlineLevel="0" collapsed="false">
      <c r="A5820" s="0" t="n">
        <v>2</v>
      </c>
      <c r="B5820" s="71" t="n">
        <v>46247</v>
      </c>
      <c r="C5820" s="0" t="n">
        <v>11</v>
      </c>
      <c r="D5820" s="0" t="s">
        <v>2471</v>
      </c>
      <c r="E5820" s="0" t="n">
        <v>1136</v>
      </c>
      <c r="F5820" s="0" t="s">
        <v>1193</v>
      </c>
      <c r="I5820" s="0" t="n">
        <v>53859</v>
      </c>
      <c r="J5820" s="0" t="n">
        <v>103992</v>
      </c>
      <c r="K5820" s="0" t="n">
        <v>7896221400018</v>
      </c>
      <c r="L5820" s="0" t="s">
        <v>4244</v>
      </c>
      <c r="N5820" s="0" t="n">
        <v>40</v>
      </c>
      <c r="O5820" s="0" t="n">
        <v>91.69</v>
      </c>
      <c r="P5820" s="0" t="s">
        <v>2444</v>
      </c>
    </row>
    <row r="5821" customFormat="false" ht="15" hidden="false" customHeight="true" outlineLevel="0" collapsed="false">
      <c r="A5821" s="0" t="n">
        <v>2</v>
      </c>
      <c r="B5821" s="71" t="n">
        <v>46247</v>
      </c>
      <c r="C5821" s="0" t="n">
        <v>11</v>
      </c>
      <c r="D5821" s="0" t="s">
        <v>2471</v>
      </c>
      <c r="E5821" s="0" t="n">
        <v>1136</v>
      </c>
      <c r="F5821" s="0" t="s">
        <v>1193</v>
      </c>
      <c r="I5821" s="0" t="n">
        <v>53859</v>
      </c>
      <c r="J5821" s="0" t="n">
        <v>106160</v>
      </c>
      <c r="K5821" s="0" t="n">
        <v>7896067200186</v>
      </c>
      <c r="L5821" s="0" t="s">
        <v>4731</v>
      </c>
      <c r="N5821" s="0" t="n">
        <v>60</v>
      </c>
      <c r="O5821" s="0" t="n">
        <v>360.23</v>
      </c>
      <c r="P5821" s="0" t="s">
        <v>2444</v>
      </c>
    </row>
    <row r="5822" customFormat="false" ht="15" hidden="false" customHeight="true" outlineLevel="0" collapsed="false">
      <c r="A5822" s="0" t="n">
        <v>2</v>
      </c>
      <c r="B5822" s="71" t="n">
        <v>46247</v>
      </c>
      <c r="C5822" s="0" t="n">
        <v>11</v>
      </c>
      <c r="D5822" s="0" t="s">
        <v>2471</v>
      </c>
      <c r="E5822" s="0" t="n">
        <v>1136</v>
      </c>
      <c r="F5822" s="0" t="s">
        <v>1193</v>
      </c>
      <c r="I5822" s="0" t="n">
        <v>53859</v>
      </c>
      <c r="J5822" s="0" t="n">
        <v>17725</v>
      </c>
      <c r="K5822" s="0" t="n">
        <v>7896221401749</v>
      </c>
      <c r="L5822" s="0" t="s">
        <v>4246</v>
      </c>
      <c r="N5822" s="0" t="n">
        <v>10</v>
      </c>
      <c r="O5822" s="0" t="n">
        <v>50.76</v>
      </c>
      <c r="P5822" s="0" t="s">
        <v>2444</v>
      </c>
    </row>
    <row r="5823" customFormat="false" ht="15" hidden="false" customHeight="true" outlineLevel="0" collapsed="false">
      <c r="A5823" s="0" t="n">
        <v>2</v>
      </c>
      <c r="B5823" s="71" t="n">
        <v>46247</v>
      </c>
      <c r="C5823" s="0" t="n">
        <v>11</v>
      </c>
      <c r="D5823" s="0" t="s">
        <v>2471</v>
      </c>
      <c r="E5823" s="0" t="n">
        <v>1136</v>
      </c>
      <c r="F5823" s="0" t="s">
        <v>1193</v>
      </c>
      <c r="I5823" s="0" t="n">
        <v>53859</v>
      </c>
      <c r="J5823" s="0" t="n">
        <v>28926</v>
      </c>
      <c r="K5823" s="0" t="n">
        <v>7896067203170</v>
      </c>
      <c r="L5823" s="0" t="s">
        <v>4732</v>
      </c>
      <c r="N5823" s="0" t="n">
        <v>260</v>
      </c>
      <c r="O5823" s="0" t="n">
        <v>205.81</v>
      </c>
      <c r="P5823" s="0" t="s">
        <v>2444</v>
      </c>
    </row>
    <row r="5824" customFormat="false" ht="15" hidden="false" customHeight="true" outlineLevel="0" collapsed="false">
      <c r="A5824" s="0" t="n">
        <v>2</v>
      </c>
      <c r="B5824" s="71" t="n">
        <v>46247</v>
      </c>
      <c r="C5824" s="0" t="n">
        <v>11</v>
      </c>
      <c r="D5824" s="0" t="s">
        <v>2471</v>
      </c>
      <c r="E5824" s="0" t="n">
        <v>1136</v>
      </c>
      <c r="F5824" s="0" t="s">
        <v>1193</v>
      </c>
      <c r="I5824" s="0" t="n">
        <v>53859</v>
      </c>
      <c r="J5824" s="0" t="n">
        <v>28981</v>
      </c>
      <c r="K5824" s="0" t="n">
        <v>58572</v>
      </c>
      <c r="L5824" s="0" t="s">
        <v>4733</v>
      </c>
      <c r="N5824" s="0" t="n">
        <v>200</v>
      </c>
      <c r="O5824" s="0" t="n">
        <v>199.05</v>
      </c>
      <c r="P5824" s="0" t="s">
        <v>2444</v>
      </c>
    </row>
    <row r="5825" customFormat="false" ht="15" hidden="false" customHeight="true" outlineLevel="0" collapsed="false">
      <c r="A5825" s="0" t="n">
        <v>2</v>
      </c>
      <c r="B5825" s="71" t="n">
        <v>46247</v>
      </c>
      <c r="C5825" s="0" t="n">
        <v>11</v>
      </c>
      <c r="D5825" s="0" t="s">
        <v>2471</v>
      </c>
      <c r="E5825" s="0" t="n">
        <v>1136</v>
      </c>
      <c r="F5825" s="0" t="s">
        <v>1193</v>
      </c>
      <c r="I5825" s="0" t="n">
        <v>53859</v>
      </c>
      <c r="J5825" s="0" t="n">
        <v>29863</v>
      </c>
      <c r="K5825" s="0" t="n">
        <v>7896221402456</v>
      </c>
      <c r="L5825" s="0" t="s">
        <v>4247</v>
      </c>
      <c r="N5825" s="0" t="n">
        <v>10</v>
      </c>
      <c r="O5825" s="0" t="n">
        <v>50.76</v>
      </c>
      <c r="P5825" s="0" t="s">
        <v>2444</v>
      </c>
    </row>
    <row r="5826" customFormat="false" ht="15" hidden="false" customHeight="true" outlineLevel="0" collapsed="false">
      <c r="A5826" s="0" t="n">
        <v>2</v>
      </c>
      <c r="B5826" s="71" t="n">
        <v>46247</v>
      </c>
      <c r="C5826" s="0" t="n">
        <v>11</v>
      </c>
      <c r="D5826" s="0" t="s">
        <v>2471</v>
      </c>
      <c r="E5826" s="0" t="n">
        <v>1136</v>
      </c>
      <c r="F5826" s="0" t="s">
        <v>1193</v>
      </c>
      <c r="I5826" s="0" t="n">
        <v>53859</v>
      </c>
      <c r="J5826" s="0" t="n">
        <v>31006</v>
      </c>
      <c r="K5826" s="0" t="n">
        <v>7896221402357</v>
      </c>
      <c r="L5826" s="0" t="s">
        <v>4734</v>
      </c>
      <c r="N5826" s="0" t="n">
        <v>10</v>
      </c>
      <c r="O5826" s="0" t="n">
        <v>50.76</v>
      </c>
      <c r="P5826" s="0" t="s">
        <v>2444</v>
      </c>
    </row>
    <row r="5827" customFormat="false" ht="15" hidden="false" customHeight="true" outlineLevel="0" collapsed="false">
      <c r="A5827" s="0" t="n">
        <v>2</v>
      </c>
      <c r="B5827" s="71" t="n">
        <v>46247</v>
      </c>
      <c r="C5827" s="0" t="n">
        <v>11</v>
      </c>
      <c r="D5827" s="0" t="s">
        <v>2471</v>
      </c>
      <c r="E5827" s="0" t="n">
        <v>1136</v>
      </c>
      <c r="F5827" s="0" t="s">
        <v>1193</v>
      </c>
      <c r="I5827" s="0" t="n">
        <v>53859</v>
      </c>
      <c r="J5827" s="0" t="n">
        <v>40519</v>
      </c>
      <c r="K5827" s="0" t="n">
        <v>7896067200551</v>
      </c>
      <c r="L5827" s="0" t="s">
        <v>4735</v>
      </c>
      <c r="N5827" s="0" t="n">
        <v>20</v>
      </c>
      <c r="O5827" s="0" t="n">
        <v>157.29</v>
      </c>
      <c r="P5827" s="0" t="s">
        <v>2444</v>
      </c>
    </row>
    <row r="5828" customFormat="false" ht="15" hidden="false" customHeight="true" outlineLevel="0" collapsed="false">
      <c r="A5828" s="0" t="n">
        <v>2</v>
      </c>
      <c r="B5828" s="71" t="n">
        <v>46247</v>
      </c>
      <c r="C5828" s="0" t="n">
        <v>11</v>
      </c>
      <c r="D5828" s="0" t="s">
        <v>2471</v>
      </c>
      <c r="E5828" s="0" t="n">
        <v>1136</v>
      </c>
      <c r="F5828" s="0" t="s">
        <v>1193</v>
      </c>
      <c r="I5828" s="0" t="n">
        <v>53859</v>
      </c>
      <c r="J5828" s="0" t="n">
        <v>52588</v>
      </c>
      <c r="K5828" s="0" t="n">
        <v>7896221401886</v>
      </c>
      <c r="L5828" s="0" t="s">
        <v>4248</v>
      </c>
      <c r="N5828" s="0" t="n">
        <v>30</v>
      </c>
      <c r="O5828" s="0" t="n">
        <v>88.19</v>
      </c>
      <c r="P5828" s="0" t="s">
        <v>2444</v>
      </c>
    </row>
    <row r="5829" customFormat="false" ht="15" hidden="false" customHeight="true" outlineLevel="0" collapsed="false">
      <c r="A5829" s="0" t="n">
        <v>2</v>
      </c>
      <c r="B5829" s="71" t="n">
        <v>46247</v>
      </c>
      <c r="C5829" s="0" t="n">
        <v>11</v>
      </c>
      <c r="D5829" s="0" t="s">
        <v>2471</v>
      </c>
      <c r="E5829" s="0" t="n">
        <v>1136</v>
      </c>
      <c r="F5829" s="0" t="s">
        <v>1193</v>
      </c>
      <c r="I5829" s="0" t="n">
        <v>53859</v>
      </c>
      <c r="J5829" s="0" t="n">
        <v>53684</v>
      </c>
      <c r="K5829" s="0" t="n">
        <v>7896221401695</v>
      </c>
      <c r="L5829" s="0" t="s">
        <v>4249</v>
      </c>
      <c r="N5829" s="0" t="n">
        <v>30</v>
      </c>
      <c r="O5829" s="0" t="n">
        <v>88.19</v>
      </c>
      <c r="P5829" s="0" t="s">
        <v>2444</v>
      </c>
    </row>
    <row r="5830" customFormat="false" ht="15" hidden="false" customHeight="true" outlineLevel="0" collapsed="false">
      <c r="A5830" s="0" t="n">
        <v>2</v>
      </c>
      <c r="B5830" s="71" t="n">
        <v>46247</v>
      </c>
      <c r="C5830" s="0" t="n">
        <v>11</v>
      </c>
      <c r="D5830" s="0" t="s">
        <v>2471</v>
      </c>
      <c r="E5830" s="0" t="n">
        <v>1723</v>
      </c>
      <c r="F5830" s="0" t="s">
        <v>371</v>
      </c>
      <c r="I5830" s="0" t="n">
        <v>174797</v>
      </c>
      <c r="J5830" s="0" t="n">
        <v>29079</v>
      </c>
      <c r="K5830" s="0" t="n">
        <v>55515</v>
      </c>
      <c r="L5830" s="0" t="s">
        <v>2449</v>
      </c>
      <c r="N5830" s="0" t="n">
        <v>75.35</v>
      </c>
      <c r="O5830" s="0" t="n">
        <v>2486.55</v>
      </c>
      <c r="P5830" s="0" t="s">
        <v>2444</v>
      </c>
    </row>
    <row r="5831" customFormat="false" ht="15" hidden="false" customHeight="true" outlineLevel="0" collapsed="false">
      <c r="A5831" s="0" t="n">
        <v>2</v>
      </c>
      <c r="B5831" s="71" t="n">
        <v>46247</v>
      </c>
      <c r="C5831" s="0" t="n">
        <v>11</v>
      </c>
      <c r="D5831" s="0" t="s">
        <v>2471</v>
      </c>
      <c r="E5831" s="0" t="n">
        <v>1723</v>
      </c>
      <c r="F5831" s="0" t="s">
        <v>371</v>
      </c>
      <c r="I5831" s="0" t="n">
        <v>174797</v>
      </c>
      <c r="J5831" s="0" t="n">
        <v>29080</v>
      </c>
      <c r="K5831" s="0" t="n">
        <v>55516</v>
      </c>
      <c r="L5831" s="0" t="s">
        <v>2450</v>
      </c>
      <c r="N5831" s="0" t="n">
        <v>57.75</v>
      </c>
      <c r="O5831" s="0" t="n">
        <v>1328.25</v>
      </c>
      <c r="P5831" s="0" t="s">
        <v>2444</v>
      </c>
    </row>
    <row r="5832" customFormat="false" ht="15" hidden="false" customHeight="true" outlineLevel="0" collapsed="false">
      <c r="A5832" s="0" t="n">
        <v>2</v>
      </c>
      <c r="B5832" s="71" t="n">
        <v>46247</v>
      </c>
      <c r="C5832" s="0" t="n">
        <v>11</v>
      </c>
      <c r="D5832" s="0" t="s">
        <v>2471</v>
      </c>
      <c r="E5832" s="0" t="n">
        <v>1734</v>
      </c>
      <c r="F5832" s="0" t="s">
        <v>566</v>
      </c>
      <c r="I5832" s="0" t="n">
        <v>257600</v>
      </c>
      <c r="J5832" s="0" t="n">
        <v>38215</v>
      </c>
      <c r="K5832" s="0" t="n">
        <v>7898055450474</v>
      </c>
      <c r="L5832" s="0" t="s">
        <v>3989</v>
      </c>
      <c r="N5832" s="0" t="n">
        <v>20</v>
      </c>
      <c r="O5832" s="0" t="n">
        <v>159.45</v>
      </c>
      <c r="P5832" s="0" t="s">
        <v>2444</v>
      </c>
    </row>
    <row r="5833" customFormat="false" ht="15" hidden="false" customHeight="true" outlineLevel="0" collapsed="false">
      <c r="A5833" s="0" t="n">
        <v>2</v>
      </c>
      <c r="B5833" s="71" t="n">
        <v>46247</v>
      </c>
      <c r="C5833" s="0" t="n">
        <v>11</v>
      </c>
      <c r="D5833" s="0" t="s">
        <v>2471</v>
      </c>
      <c r="E5833" s="0" t="n">
        <v>1734</v>
      </c>
      <c r="F5833" s="0" t="s">
        <v>566</v>
      </c>
      <c r="I5833" s="0" t="n">
        <v>257600</v>
      </c>
      <c r="J5833" s="0" t="n">
        <v>38222</v>
      </c>
      <c r="K5833" s="0" t="n">
        <v>7898055450863</v>
      </c>
      <c r="L5833" s="0" t="s">
        <v>4736</v>
      </c>
      <c r="N5833" s="0" t="n">
        <v>20</v>
      </c>
      <c r="O5833" s="0" t="n">
        <v>159.45</v>
      </c>
      <c r="P5833" s="0" t="s">
        <v>2444</v>
      </c>
    </row>
    <row r="5834" customFormat="false" ht="15" hidden="false" customHeight="true" outlineLevel="0" collapsed="false">
      <c r="A5834" s="0" t="n">
        <v>2</v>
      </c>
      <c r="B5834" s="71" t="n">
        <v>46247</v>
      </c>
      <c r="C5834" s="0" t="n">
        <v>11</v>
      </c>
      <c r="D5834" s="0" t="s">
        <v>2471</v>
      </c>
      <c r="E5834" s="0" t="n">
        <v>1734</v>
      </c>
      <c r="F5834" s="0" t="s">
        <v>566</v>
      </c>
      <c r="I5834" s="0" t="n">
        <v>257600</v>
      </c>
      <c r="J5834" s="0" t="n">
        <v>38787</v>
      </c>
      <c r="K5834" s="0" t="n">
        <v>7898055450849</v>
      </c>
      <c r="L5834" s="0" t="s">
        <v>3991</v>
      </c>
      <c r="N5834" s="0" t="n">
        <v>20</v>
      </c>
      <c r="O5834" s="0" t="n">
        <v>159.45</v>
      </c>
      <c r="P5834" s="0" t="s">
        <v>2444</v>
      </c>
    </row>
    <row r="5835" customFormat="false" ht="15" hidden="false" customHeight="true" outlineLevel="0" collapsed="false">
      <c r="A5835" s="0" t="n">
        <v>2</v>
      </c>
      <c r="B5835" s="71" t="n">
        <v>46247</v>
      </c>
      <c r="C5835" s="0" t="n">
        <v>11</v>
      </c>
      <c r="D5835" s="0" t="s">
        <v>2471</v>
      </c>
      <c r="E5835" s="0" t="n">
        <v>1734</v>
      </c>
      <c r="F5835" s="0" t="s">
        <v>566</v>
      </c>
      <c r="I5835" s="0" t="n">
        <v>257600</v>
      </c>
      <c r="J5835" s="0" t="n">
        <v>38791</v>
      </c>
      <c r="K5835" s="0" t="n">
        <v>7898055450931</v>
      </c>
      <c r="L5835" s="0" t="s">
        <v>3992</v>
      </c>
      <c r="N5835" s="0" t="n">
        <v>30</v>
      </c>
      <c r="O5835" s="0" t="n">
        <v>78.68</v>
      </c>
      <c r="P5835" s="0" t="s">
        <v>2444</v>
      </c>
    </row>
    <row r="5836" customFormat="false" ht="15" hidden="false" customHeight="true" outlineLevel="0" collapsed="false">
      <c r="A5836" s="0" t="n">
        <v>2</v>
      </c>
      <c r="B5836" s="71" t="n">
        <v>46247</v>
      </c>
      <c r="C5836" s="0" t="n">
        <v>11</v>
      </c>
      <c r="D5836" s="0" t="s">
        <v>2471</v>
      </c>
      <c r="E5836" s="0" t="n">
        <v>1734</v>
      </c>
      <c r="F5836" s="0" t="s">
        <v>566</v>
      </c>
      <c r="I5836" s="0" t="n">
        <v>257600</v>
      </c>
      <c r="J5836" s="0" t="n">
        <v>38792</v>
      </c>
      <c r="K5836" s="0" t="n">
        <v>7898055450894</v>
      </c>
      <c r="L5836" s="0" t="s">
        <v>3993</v>
      </c>
      <c r="N5836" s="0" t="n">
        <v>30</v>
      </c>
      <c r="O5836" s="0" t="n">
        <v>78.68</v>
      </c>
      <c r="P5836" s="0" t="s">
        <v>2444</v>
      </c>
    </row>
    <row r="5837" customFormat="false" ht="15" hidden="false" customHeight="true" outlineLevel="0" collapsed="false">
      <c r="A5837" s="0" t="n">
        <v>2</v>
      </c>
      <c r="B5837" s="71" t="n">
        <v>46247</v>
      </c>
      <c r="C5837" s="0" t="n">
        <v>11</v>
      </c>
      <c r="D5837" s="0" t="s">
        <v>2471</v>
      </c>
      <c r="E5837" s="0" t="n">
        <v>1734</v>
      </c>
      <c r="F5837" s="0" t="s">
        <v>566</v>
      </c>
      <c r="I5837" s="0" t="n">
        <v>257600</v>
      </c>
      <c r="J5837" s="0" t="n">
        <v>39028</v>
      </c>
      <c r="K5837" s="0" t="n">
        <v>7898055450368</v>
      </c>
      <c r="L5837" s="0" t="s">
        <v>2780</v>
      </c>
      <c r="N5837" s="0" t="n">
        <v>20</v>
      </c>
      <c r="O5837" s="0" t="n">
        <v>111.19</v>
      </c>
      <c r="P5837" s="0" t="s">
        <v>2444</v>
      </c>
    </row>
    <row r="5838" customFormat="false" ht="15" hidden="false" customHeight="true" outlineLevel="0" collapsed="false">
      <c r="A5838" s="0" t="n">
        <v>2</v>
      </c>
      <c r="B5838" s="71" t="n">
        <v>46247</v>
      </c>
      <c r="C5838" s="0" t="n">
        <v>11</v>
      </c>
      <c r="D5838" s="0" t="s">
        <v>2471</v>
      </c>
      <c r="E5838" s="0" t="n">
        <v>1734</v>
      </c>
      <c r="F5838" s="0" t="s">
        <v>566</v>
      </c>
      <c r="I5838" s="0" t="n">
        <v>257600</v>
      </c>
      <c r="J5838" s="0" t="n">
        <v>40713</v>
      </c>
      <c r="K5838" s="0" t="n">
        <v>7898055452294</v>
      </c>
      <c r="L5838" s="0" t="s">
        <v>4737</v>
      </c>
      <c r="N5838" s="0" t="n">
        <v>20</v>
      </c>
      <c r="O5838" s="0" t="n">
        <v>111.19</v>
      </c>
      <c r="P5838" s="0" t="s">
        <v>2444</v>
      </c>
    </row>
    <row r="5839" customFormat="false" ht="15" hidden="false" customHeight="true" outlineLevel="0" collapsed="false">
      <c r="A5839" s="0" t="n">
        <v>2</v>
      </c>
      <c r="B5839" s="71" t="n">
        <v>46247</v>
      </c>
      <c r="C5839" s="0" t="n">
        <v>11</v>
      </c>
      <c r="D5839" s="0" t="s">
        <v>2471</v>
      </c>
      <c r="E5839" s="0" t="n">
        <v>1734</v>
      </c>
      <c r="F5839" s="0" t="s">
        <v>566</v>
      </c>
      <c r="I5839" s="0" t="n">
        <v>257600</v>
      </c>
      <c r="J5839" s="0" t="n">
        <v>43119</v>
      </c>
      <c r="K5839" s="0" t="n">
        <v>7898055450887</v>
      </c>
      <c r="L5839" s="0" t="s">
        <v>3994</v>
      </c>
      <c r="N5839" s="0" t="n">
        <v>30</v>
      </c>
      <c r="O5839" s="0" t="n">
        <v>78.68</v>
      </c>
      <c r="P5839" s="0" t="s">
        <v>2444</v>
      </c>
    </row>
    <row r="5840" customFormat="false" ht="15" hidden="false" customHeight="true" outlineLevel="0" collapsed="false">
      <c r="A5840" s="0" t="n">
        <v>2</v>
      </c>
      <c r="B5840" s="71" t="n">
        <v>46247</v>
      </c>
      <c r="C5840" s="0" t="n">
        <v>11</v>
      </c>
      <c r="D5840" s="0" t="s">
        <v>2471</v>
      </c>
      <c r="E5840" s="0" t="n">
        <v>1734</v>
      </c>
      <c r="F5840" s="0" t="s">
        <v>566</v>
      </c>
      <c r="I5840" s="0" t="n">
        <v>257600</v>
      </c>
      <c r="J5840" s="0" t="n">
        <v>44940</v>
      </c>
      <c r="K5840" s="0" t="n">
        <v>7898055450382</v>
      </c>
      <c r="L5840" s="0" t="s">
        <v>2783</v>
      </c>
      <c r="N5840" s="0" t="n">
        <v>20</v>
      </c>
      <c r="O5840" s="0" t="n">
        <v>56.65</v>
      </c>
      <c r="P5840" s="0" t="s">
        <v>2444</v>
      </c>
    </row>
    <row r="5841" customFormat="false" ht="15" hidden="false" customHeight="true" outlineLevel="0" collapsed="false">
      <c r="A5841" s="0" t="n">
        <v>2</v>
      </c>
      <c r="B5841" s="71" t="n">
        <v>46247</v>
      </c>
      <c r="C5841" s="0" t="n">
        <v>11</v>
      </c>
      <c r="D5841" s="0" t="s">
        <v>2471</v>
      </c>
      <c r="E5841" s="0" t="n">
        <v>1734</v>
      </c>
      <c r="F5841" s="0" t="s">
        <v>566</v>
      </c>
      <c r="I5841" s="0" t="n">
        <v>257600</v>
      </c>
      <c r="J5841" s="0" t="n">
        <v>45875</v>
      </c>
      <c r="K5841" s="0" t="n">
        <v>7898055450214</v>
      </c>
      <c r="L5841" s="0" t="s">
        <v>2784</v>
      </c>
      <c r="N5841" s="0" t="n">
        <v>20</v>
      </c>
      <c r="O5841" s="0" t="n">
        <v>56.65</v>
      </c>
      <c r="P5841" s="0" t="s">
        <v>2444</v>
      </c>
    </row>
    <row r="5842" customFormat="false" ht="15" hidden="false" customHeight="true" outlineLevel="0" collapsed="false">
      <c r="A5842" s="0" t="n">
        <v>2</v>
      </c>
      <c r="B5842" s="71" t="n">
        <v>46247</v>
      </c>
      <c r="C5842" s="0" t="n">
        <v>11</v>
      </c>
      <c r="D5842" s="0" t="s">
        <v>2471</v>
      </c>
      <c r="E5842" s="0" t="n">
        <v>1667</v>
      </c>
      <c r="F5842" s="0" t="s">
        <v>77</v>
      </c>
      <c r="I5842" s="0" t="n">
        <v>398227</v>
      </c>
      <c r="J5842" s="0" t="n">
        <v>105620</v>
      </c>
      <c r="K5842" s="0" t="n">
        <v>7898330150020</v>
      </c>
      <c r="L5842" s="0" t="s">
        <v>3002</v>
      </c>
      <c r="N5842" s="0" t="n">
        <v>12</v>
      </c>
      <c r="O5842" s="0" t="n">
        <v>44.98</v>
      </c>
      <c r="P5842" s="0" t="s">
        <v>2444</v>
      </c>
    </row>
    <row r="5843" customFormat="false" ht="15" hidden="false" customHeight="true" outlineLevel="0" collapsed="false">
      <c r="A5843" s="0" t="n">
        <v>2</v>
      </c>
      <c r="B5843" s="71" t="n">
        <v>46247</v>
      </c>
      <c r="C5843" s="0" t="n">
        <v>11</v>
      </c>
      <c r="D5843" s="0" t="s">
        <v>2471</v>
      </c>
      <c r="E5843" s="0" t="n">
        <v>1667</v>
      </c>
      <c r="F5843" s="0" t="s">
        <v>77</v>
      </c>
      <c r="I5843" s="0" t="n">
        <v>398227</v>
      </c>
      <c r="J5843" s="0" t="n">
        <v>106546</v>
      </c>
      <c r="K5843" s="0" t="n">
        <v>7898330150013</v>
      </c>
      <c r="L5843" s="0" t="s">
        <v>3003</v>
      </c>
      <c r="N5843" s="0" t="n">
        <v>12</v>
      </c>
      <c r="O5843" s="0" t="n">
        <v>53.98</v>
      </c>
      <c r="P5843" s="0" t="s">
        <v>2444</v>
      </c>
    </row>
    <row r="5844" customFormat="false" ht="15" hidden="false" customHeight="true" outlineLevel="0" collapsed="false">
      <c r="A5844" s="0" t="n">
        <v>2</v>
      </c>
      <c r="B5844" s="71" t="n">
        <v>46247</v>
      </c>
      <c r="C5844" s="0" t="n">
        <v>11</v>
      </c>
      <c r="D5844" s="0" t="s">
        <v>2471</v>
      </c>
      <c r="E5844" s="0" t="n">
        <v>1667</v>
      </c>
      <c r="F5844" s="0" t="s">
        <v>77</v>
      </c>
      <c r="I5844" s="0" t="n">
        <v>398227</v>
      </c>
      <c r="J5844" s="0" t="n">
        <v>20915</v>
      </c>
      <c r="K5844" s="0" t="n">
        <v>7898330150129</v>
      </c>
      <c r="L5844" s="0" t="s">
        <v>3004</v>
      </c>
      <c r="N5844" s="0" t="n">
        <v>12</v>
      </c>
      <c r="O5844" s="0" t="n">
        <v>44.98</v>
      </c>
      <c r="P5844" s="0" t="s">
        <v>2444</v>
      </c>
    </row>
    <row r="5845" customFormat="false" ht="15" hidden="false" customHeight="true" outlineLevel="0" collapsed="false">
      <c r="A5845" s="0" t="n">
        <v>2</v>
      </c>
      <c r="B5845" s="71" t="n">
        <v>46247</v>
      </c>
      <c r="C5845" s="0" t="n">
        <v>11</v>
      </c>
      <c r="D5845" s="0" t="s">
        <v>2471</v>
      </c>
      <c r="E5845" s="0" t="n">
        <v>1667</v>
      </c>
      <c r="F5845" s="0" t="s">
        <v>77</v>
      </c>
      <c r="I5845" s="0" t="n">
        <v>398227</v>
      </c>
      <c r="J5845" s="0" t="n">
        <v>25807</v>
      </c>
      <c r="K5845" s="0" t="n">
        <v>7896256600780</v>
      </c>
      <c r="L5845" s="0" t="s">
        <v>3006</v>
      </c>
      <c r="N5845" s="0" t="n">
        <v>81</v>
      </c>
      <c r="O5845" s="0" t="n">
        <v>225.99</v>
      </c>
      <c r="P5845" s="0" t="s">
        <v>2444</v>
      </c>
    </row>
    <row r="5846" customFormat="false" ht="15" hidden="false" customHeight="true" outlineLevel="0" collapsed="false">
      <c r="A5846" s="0" t="n">
        <v>2</v>
      </c>
      <c r="B5846" s="71" t="n">
        <v>46247</v>
      </c>
      <c r="C5846" s="0" t="n">
        <v>11</v>
      </c>
      <c r="D5846" s="0" t="s">
        <v>2471</v>
      </c>
      <c r="E5846" s="0" t="n">
        <v>1667</v>
      </c>
      <c r="F5846" s="0" t="s">
        <v>77</v>
      </c>
      <c r="I5846" s="0" t="n">
        <v>398227</v>
      </c>
      <c r="J5846" s="0" t="n">
        <v>29491</v>
      </c>
      <c r="K5846" s="0" t="n">
        <v>7896256604962</v>
      </c>
      <c r="L5846" s="0" t="s">
        <v>3007</v>
      </c>
      <c r="N5846" s="0" t="n">
        <v>54</v>
      </c>
      <c r="O5846" s="0" t="n">
        <v>291.06</v>
      </c>
      <c r="P5846" s="0" t="s">
        <v>2444</v>
      </c>
    </row>
    <row r="5847" customFormat="false" ht="15" hidden="false" customHeight="true" outlineLevel="0" collapsed="false">
      <c r="A5847" s="0" t="n">
        <v>2</v>
      </c>
      <c r="B5847" s="71" t="n">
        <v>46247</v>
      </c>
      <c r="C5847" s="0" t="n">
        <v>11</v>
      </c>
      <c r="D5847" s="0" t="s">
        <v>2471</v>
      </c>
      <c r="E5847" s="0" t="n">
        <v>1667</v>
      </c>
      <c r="F5847" s="0" t="s">
        <v>77</v>
      </c>
      <c r="I5847" s="0" t="n">
        <v>398227</v>
      </c>
      <c r="J5847" s="0" t="n">
        <v>29774</v>
      </c>
      <c r="K5847" s="0" t="n">
        <v>7898330150723</v>
      </c>
      <c r="L5847" s="0" t="s">
        <v>4738</v>
      </c>
      <c r="N5847" s="0" t="n">
        <v>12</v>
      </c>
      <c r="O5847" s="0" t="n">
        <v>44.98</v>
      </c>
      <c r="P5847" s="0" t="s">
        <v>2444</v>
      </c>
    </row>
    <row r="5848" customFormat="false" ht="15" hidden="false" customHeight="true" outlineLevel="0" collapsed="false">
      <c r="A5848" s="0" t="n">
        <v>2</v>
      </c>
      <c r="B5848" s="71" t="n">
        <v>46247</v>
      </c>
      <c r="C5848" s="0" t="n">
        <v>11</v>
      </c>
      <c r="D5848" s="0" t="s">
        <v>2471</v>
      </c>
      <c r="E5848" s="0" t="n">
        <v>1667</v>
      </c>
      <c r="F5848" s="0" t="s">
        <v>77</v>
      </c>
      <c r="I5848" s="0" t="n">
        <v>398227</v>
      </c>
      <c r="J5848" s="0" t="n">
        <v>44738</v>
      </c>
      <c r="K5848" s="0" t="n">
        <v>7898330152161</v>
      </c>
      <c r="L5848" s="0" t="s">
        <v>4739</v>
      </c>
      <c r="N5848" s="0" t="n">
        <v>10</v>
      </c>
      <c r="O5848" s="0" t="n">
        <v>74.42</v>
      </c>
      <c r="P5848" s="0" t="s">
        <v>2444</v>
      </c>
    </row>
    <row r="5849" customFormat="false" ht="15" hidden="false" customHeight="true" outlineLevel="0" collapsed="false">
      <c r="A5849" s="0" t="n">
        <v>2</v>
      </c>
      <c r="B5849" s="71" t="n">
        <v>46247</v>
      </c>
      <c r="C5849" s="0" t="n">
        <v>11</v>
      </c>
      <c r="D5849" s="0" t="s">
        <v>2471</v>
      </c>
      <c r="E5849" s="0" t="n">
        <v>1667</v>
      </c>
      <c r="F5849" s="0" t="s">
        <v>77</v>
      </c>
      <c r="I5849" s="0" t="n">
        <v>398227</v>
      </c>
      <c r="J5849" s="0" t="n">
        <v>50516</v>
      </c>
      <c r="K5849" s="0" t="n">
        <v>7898330152109</v>
      </c>
      <c r="L5849" s="0" t="s">
        <v>4017</v>
      </c>
      <c r="N5849" s="0" t="n">
        <v>12</v>
      </c>
      <c r="O5849" s="0" t="n">
        <v>44.98</v>
      </c>
      <c r="P5849" s="0" t="s">
        <v>2444</v>
      </c>
    </row>
    <row r="5850" customFormat="false" ht="15" hidden="false" customHeight="true" outlineLevel="0" collapsed="false">
      <c r="A5850" s="0" t="n">
        <v>2</v>
      </c>
      <c r="B5850" s="71" t="n">
        <v>46247</v>
      </c>
      <c r="C5850" s="0" t="n">
        <v>11</v>
      </c>
      <c r="D5850" s="0" t="s">
        <v>2471</v>
      </c>
      <c r="E5850" s="0" t="n">
        <v>1667</v>
      </c>
      <c r="F5850" s="0" t="s">
        <v>77</v>
      </c>
      <c r="I5850" s="0" t="n">
        <v>398227</v>
      </c>
      <c r="J5850" s="0" t="n">
        <v>55440</v>
      </c>
      <c r="K5850" s="0" t="n">
        <v>7898330152642</v>
      </c>
      <c r="L5850" s="0" t="s">
        <v>4740</v>
      </c>
      <c r="N5850" s="0" t="n">
        <v>12</v>
      </c>
      <c r="O5850" s="0" t="n">
        <v>134.57</v>
      </c>
      <c r="P5850" s="0" t="s">
        <v>2444</v>
      </c>
    </row>
    <row r="5851" customFormat="false" ht="15" hidden="false" customHeight="true" outlineLevel="0" collapsed="false">
      <c r="A5851" s="0" t="n">
        <v>2</v>
      </c>
      <c r="B5851" s="71" t="n">
        <v>46247</v>
      </c>
      <c r="C5851" s="0" t="n">
        <v>11</v>
      </c>
      <c r="D5851" s="0" t="s">
        <v>2471</v>
      </c>
      <c r="E5851" s="0" t="n">
        <v>1667</v>
      </c>
      <c r="F5851" s="0" t="s">
        <v>77</v>
      </c>
      <c r="I5851" s="0" t="n">
        <v>398227</v>
      </c>
      <c r="J5851" s="0" t="n">
        <v>56194</v>
      </c>
      <c r="K5851" s="0" t="n">
        <v>7898330152659</v>
      </c>
      <c r="L5851" s="0" t="s">
        <v>3010</v>
      </c>
      <c r="N5851" s="0" t="n">
        <v>12</v>
      </c>
      <c r="O5851" s="0" t="n">
        <v>134.57</v>
      </c>
      <c r="P5851" s="0" t="s">
        <v>2444</v>
      </c>
    </row>
    <row r="5852" customFormat="false" ht="15" hidden="false" customHeight="true" outlineLevel="0" collapsed="false">
      <c r="A5852" s="0" t="n">
        <v>2</v>
      </c>
      <c r="B5852" s="71" t="n">
        <v>46247</v>
      </c>
      <c r="C5852" s="0" t="n">
        <v>11</v>
      </c>
      <c r="D5852" s="0" t="s">
        <v>2471</v>
      </c>
      <c r="E5852" s="0" t="n">
        <v>1667</v>
      </c>
      <c r="F5852" s="0" t="s">
        <v>77</v>
      </c>
      <c r="I5852" s="0" t="n">
        <v>398227</v>
      </c>
      <c r="J5852" s="0" t="n">
        <v>67546</v>
      </c>
      <c r="K5852" s="0" t="n">
        <v>7898330152963</v>
      </c>
      <c r="L5852" s="0" t="s">
        <v>3012</v>
      </c>
      <c r="N5852" s="0" t="n">
        <v>12</v>
      </c>
      <c r="O5852" s="0" t="n">
        <v>134.57</v>
      </c>
      <c r="P5852" s="0" t="s">
        <v>2444</v>
      </c>
    </row>
    <row r="5853" customFormat="false" ht="15" hidden="false" customHeight="true" outlineLevel="0" collapsed="false">
      <c r="A5853" s="0" t="n">
        <v>2</v>
      </c>
      <c r="B5853" s="71" t="n">
        <v>46247</v>
      </c>
      <c r="C5853" s="0" t="n">
        <v>11</v>
      </c>
      <c r="D5853" s="0" t="s">
        <v>2471</v>
      </c>
      <c r="E5853" s="0" t="n">
        <v>1667</v>
      </c>
      <c r="F5853" s="0" t="s">
        <v>77</v>
      </c>
      <c r="I5853" s="0" t="n">
        <v>398227</v>
      </c>
      <c r="J5853" s="0" t="n">
        <v>75914</v>
      </c>
      <c r="K5853" s="0" t="n">
        <v>7898330152499</v>
      </c>
      <c r="L5853" s="0" t="s">
        <v>4019</v>
      </c>
      <c r="N5853" s="0" t="n">
        <v>24</v>
      </c>
      <c r="O5853" s="0" t="n">
        <v>34.38</v>
      </c>
      <c r="P5853" s="0" t="s">
        <v>2444</v>
      </c>
    </row>
    <row r="5854" customFormat="false" ht="15" hidden="false" customHeight="true" outlineLevel="0" collapsed="false">
      <c r="A5854" s="0" t="n">
        <v>2</v>
      </c>
      <c r="B5854" s="71" t="n">
        <v>46247</v>
      </c>
      <c r="C5854" s="0" t="n">
        <v>11</v>
      </c>
      <c r="D5854" s="0" t="s">
        <v>2471</v>
      </c>
      <c r="E5854" s="0" t="n">
        <v>1667</v>
      </c>
      <c r="F5854" s="0" t="s">
        <v>77</v>
      </c>
      <c r="I5854" s="0" t="n">
        <v>398227</v>
      </c>
      <c r="J5854" s="0" t="n">
        <v>76256</v>
      </c>
      <c r="K5854" s="0" t="n">
        <v>7898330152475</v>
      </c>
      <c r="L5854" s="0" t="s">
        <v>4020</v>
      </c>
      <c r="N5854" s="0" t="n">
        <v>24</v>
      </c>
      <c r="O5854" s="0" t="n">
        <v>34.71</v>
      </c>
      <c r="P5854" s="0" t="s">
        <v>2444</v>
      </c>
    </row>
    <row r="5855" customFormat="false" ht="15" hidden="false" customHeight="true" outlineLevel="0" collapsed="false">
      <c r="A5855" s="0" t="n">
        <v>2</v>
      </c>
      <c r="B5855" s="71" t="n">
        <v>46247</v>
      </c>
      <c r="C5855" s="0" t="n">
        <v>11</v>
      </c>
      <c r="D5855" s="0" t="s">
        <v>2471</v>
      </c>
      <c r="E5855" s="0" t="n">
        <v>1667</v>
      </c>
      <c r="F5855" s="0" t="s">
        <v>77</v>
      </c>
      <c r="I5855" s="0" t="n">
        <v>398227</v>
      </c>
      <c r="J5855" s="0" t="n">
        <v>79135</v>
      </c>
      <c r="K5855" s="0" t="n">
        <v>7898330152536</v>
      </c>
      <c r="L5855" s="0" t="s">
        <v>4021</v>
      </c>
      <c r="N5855" s="0" t="n">
        <v>24</v>
      </c>
      <c r="O5855" s="0" t="n">
        <v>34.38</v>
      </c>
      <c r="P5855" s="0" t="s">
        <v>2444</v>
      </c>
    </row>
    <row r="5856" customFormat="false" ht="15" hidden="false" customHeight="true" outlineLevel="0" collapsed="false">
      <c r="A5856" s="0" t="n">
        <v>2</v>
      </c>
      <c r="B5856" s="71" t="n">
        <v>46247</v>
      </c>
      <c r="C5856" s="0" t="n">
        <v>11</v>
      </c>
      <c r="D5856" s="0" t="s">
        <v>2471</v>
      </c>
      <c r="E5856" s="0" t="n">
        <v>1671</v>
      </c>
      <c r="F5856" s="0" t="s">
        <v>119</v>
      </c>
      <c r="I5856" s="0" t="n">
        <v>586317</v>
      </c>
      <c r="J5856" s="0" t="n">
        <v>101919</v>
      </c>
      <c r="K5856" s="0" t="n">
        <v>7896264601410</v>
      </c>
      <c r="L5856" s="0" t="s">
        <v>3555</v>
      </c>
      <c r="N5856" s="0" t="n">
        <v>20</v>
      </c>
      <c r="O5856" s="0" t="n">
        <v>144.4</v>
      </c>
      <c r="P5856" s="0" t="s">
        <v>2444</v>
      </c>
    </row>
    <row r="5857" customFormat="false" ht="15" hidden="false" customHeight="true" outlineLevel="0" collapsed="false">
      <c r="A5857" s="0" t="n">
        <v>2</v>
      </c>
      <c r="B5857" s="71" t="n">
        <v>46247</v>
      </c>
      <c r="C5857" s="0" t="n">
        <v>11</v>
      </c>
      <c r="D5857" s="0" t="s">
        <v>2471</v>
      </c>
      <c r="E5857" s="0" t="n">
        <v>1671</v>
      </c>
      <c r="F5857" s="0" t="s">
        <v>119</v>
      </c>
      <c r="I5857" s="0" t="n">
        <v>586317</v>
      </c>
      <c r="J5857" s="0" t="n">
        <v>39269</v>
      </c>
      <c r="K5857" s="0" t="n">
        <v>7896024726582</v>
      </c>
      <c r="L5857" s="0" t="s">
        <v>4422</v>
      </c>
      <c r="N5857" s="0" t="n">
        <v>20</v>
      </c>
      <c r="O5857" s="0" t="n">
        <v>63.4</v>
      </c>
      <c r="P5857" s="0" t="s">
        <v>2444</v>
      </c>
    </row>
    <row r="5858" customFormat="false" ht="15" hidden="false" customHeight="true" outlineLevel="0" collapsed="false">
      <c r="A5858" s="0" t="n">
        <v>2</v>
      </c>
      <c r="B5858" s="71" t="n">
        <v>46247</v>
      </c>
      <c r="C5858" s="0" t="n">
        <v>11</v>
      </c>
      <c r="D5858" s="0" t="s">
        <v>2471</v>
      </c>
      <c r="E5858" s="0" t="n">
        <v>1671</v>
      </c>
      <c r="F5858" s="0" t="s">
        <v>119</v>
      </c>
      <c r="I5858" s="0" t="n">
        <v>586317</v>
      </c>
      <c r="J5858" s="0" t="n">
        <v>39286</v>
      </c>
      <c r="K5858" s="0" t="n">
        <v>7896024726667</v>
      </c>
      <c r="L5858" s="0" t="s">
        <v>4424</v>
      </c>
      <c r="N5858" s="0" t="n">
        <v>20</v>
      </c>
      <c r="O5858" s="0" t="n">
        <v>63.4</v>
      </c>
      <c r="P5858" s="0" t="s">
        <v>2444</v>
      </c>
    </row>
    <row r="5859" customFormat="false" ht="15" hidden="false" customHeight="true" outlineLevel="0" collapsed="false">
      <c r="A5859" s="0" t="n">
        <v>2</v>
      </c>
      <c r="B5859" s="71" t="n">
        <v>46247</v>
      </c>
      <c r="C5859" s="0" t="n">
        <v>11</v>
      </c>
      <c r="D5859" s="0" t="s">
        <v>2471</v>
      </c>
      <c r="E5859" s="0" t="n">
        <v>1024</v>
      </c>
      <c r="F5859" s="0" t="s">
        <v>471</v>
      </c>
      <c r="I5859" s="0" t="n">
        <v>621794</v>
      </c>
      <c r="J5859" s="0" t="n">
        <v>104359</v>
      </c>
      <c r="K5859" s="0" t="n">
        <v>7896792350071</v>
      </c>
      <c r="L5859" s="0" t="s">
        <v>4741</v>
      </c>
      <c r="N5859" s="0" t="n">
        <v>120</v>
      </c>
      <c r="O5859" s="0" t="n">
        <v>84</v>
      </c>
      <c r="P5859" s="0" t="s">
        <v>2444</v>
      </c>
    </row>
    <row r="5860" customFormat="false" ht="15" hidden="false" customHeight="true" outlineLevel="0" collapsed="false">
      <c r="A5860" s="0" t="n">
        <v>2</v>
      </c>
      <c r="B5860" s="71" t="n">
        <v>46247</v>
      </c>
      <c r="C5860" s="0" t="n">
        <v>11</v>
      </c>
      <c r="D5860" s="0" t="s">
        <v>2471</v>
      </c>
      <c r="E5860" s="0" t="n">
        <v>1024</v>
      </c>
      <c r="F5860" s="0" t="s">
        <v>471</v>
      </c>
      <c r="I5860" s="0" t="n">
        <v>621794</v>
      </c>
      <c r="J5860" s="0" t="n">
        <v>32856</v>
      </c>
      <c r="K5860" s="0" t="n">
        <v>7898654710115</v>
      </c>
      <c r="L5860" s="0" t="s">
        <v>3700</v>
      </c>
      <c r="N5860" s="0" t="n">
        <v>60</v>
      </c>
      <c r="O5860" s="0" t="n">
        <v>65</v>
      </c>
      <c r="P5860" s="0" t="s">
        <v>2444</v>
      </c>
    </row>
    <row r="5861" customFormat="false" ht="15" hidden="false" customHeight="true" outlineLevel="0" collapsed="false">
      <c r="A5861" s="0" t="n">
        <v>2</v>
      </c>
      <c r="B5861" s="71" t="n">
        <v>46247</v>
      </c>
      <c r="C5861" s="0" t="n">
        <v>11</v>
      </c>
      <c r="D5861" s="0" t="s">
        <v>2471</v>
      </c>
      <c r="E5861" s="0" t="n">
        <v>1624</v>
      </c>
      <c r="F5861" s="0" t="s">
        <v>351</v>
      </c>
      <c r="I5861" s="0" t="n">
        <v>668739</v>
      </c>
      <c r="J5861" s="0" t="n">
        <v>14183</v>
      </c>
      <c r="K5861" s="0" t="n">
        <v>7896720320015</v>
      </c>
      <c r="L5861" s="0" t="s">
        <v>4742</v>
      </c>
      <c r="N5861" s="0" t="n">
        <v>12</v>
      </c>
      <c r="O5861" s="0" t="n">
        <v>87.6</v>
      </c>
      <c r="P5861" s="0" t="s">
        <v>2444</v>
      </c>
    </row>
    <row r="5862" customFormat="false" ht="15" hidden="false" customHeight="true" outlineLevel="0" collapsed="false">
      <c r="A5862" s="0" t="n">
        <v>2</v>
      </c>
      <c r="B5862" s="71" t="n">
        <v>46247</v>
      </c>
      <c r="C5862" s="0" t="n">
        <v>11</v>
      </c>
      <c r="D5862" s="0" t="s">
        <v>2471</v>
      </c>
      <c r="E5862" s="0" t="n">
        <v>1624</v>
      </c>
      <c r="F5862" s="0" t="s">
        <v>351</v>
      </c>
      <c r="I5862" s="0" t="n">
        <v>668739</v>
      </c>
      <c r="J5862" s="0" t="n">
        <v>21132</v>
      </c>
      <c r="K5862" s="0" t="n">
        <v>7896273800033</v>
      </c>
      <c r="L5862" s="0" t="s">
        <v>4743</v>
      </c>
      <c r="N5862" s="0" t="n">
        <v>12</v>
      </c>
      <c r="O5862" s="0" t="n">
        <v>145.8</v>
      </c>
      <c r="P5862" s="0" t="s">
        <v>2444</v>
      </c>
    </row>
    <row r="5863" customFormat="false" ht="15" hidden="false" customHeight="true" outlineLevel="0" collapsed="false">
      <c r="A5863" s="0" t="n">
        <v>2</v>
      </c>
      <c r="B5863" s="71" t="n">
        <v>46247</v>
      </c>
      <c r="C5863" s="0" t="n">
        <v>11</v>
      </c>
      <c r="D5863" s="0" t="s">
        <v>2471</v>
      </c>
      <c r="E5863" s="0" t="n">
        <v>1624</v>
      </c>
      <c r="F5863" s="0" t="s">
        <v>351</v>
      </c>
      <c r="I5863" s="0" t="n">
        <v>668739</v>
      </c>
      <c r="J5863" s="0" t="n">
        <v>21133</v>
      </c>
      <c r="K5863" s="0" t="n">
        <v>7896273805182</v>
      </c>
      <c r="L5863" s="0" t="s">
        <v>4744</v>
      </c>
      <c r="N5863" s="0" t="n">
        <v>18</v>
      </c>
      <c r="O5863" s="0" t="n">
        <v>274.5</v>
      </c>
      <c r="P5863" s="0" t="s">
        <v>2444</v>
      </c>
    </row>
    <row r="5864" customFormat="false" ht="15" hidden="false" customHeight="true" outlineLevel="0" collapsed="false">
      <c r="A5864" s="0" t="n">
        <v>2</v>
      </c>
      <c r="B5864" s="71" t="n">
        <v>46247</v>
      </c>
      <c r="C5864" s="0" t="n">
        <v>11</v>
      </c>
      <c r="D5864" s="0" t="s">
        <v>2471</v>
      </c>
      <c r="E5864" s="0" t="n">
        <v>1624</v>
      </c>
      <c r="F5864" s="0" t="s">
        <v>351</v>
      </c>
      <c r="I5864" s="0" t="n">
        <v>668739</v>
      </c>
      <c r="J5864" s="0" t="n">
        <v>46675</v>
      </c>
      <c r="K5864" s="0" t="n">
        <v>7898996004125</v>
      </c>
      <c r="L5864" s="0" t="s">
        <v>3253</v>
      </c>
      <c r="N5864" s="0" t="n">
        <v>6</v>
      </c>
      <c r="O5864" s="0" t="n">
        <v>99</v>
      </c>
      <c r="P5864" s="0" t="s">
        <v>2444</v>
      </c>
    </row>
    <row r="5865" customFormat="false" ht="15" hidden="false" customHeight="true" outlineLevel="0" collapsed="false">
      <c r="A5865" s="0" t="n">
        <v>2</v>
      </c>
      <c r="B5865" s="71" t="n">
        <v>46247</v>
      </c>
      <c r="C5865" s="0" t="n">
        <v>11</v>
      </c>
      <c r="D5865" s="0" t="s">
        <v>2471</v>
      </c>
      <c r="E5865" s="0" t="n">
        <v>1624</v>
      </c>
      <c r="F5865" s="0" t="s">
        <v>351</v>
      </c>
      <c r="I5865" s="0" t="n">
        <v>668739</v>
      </c>
      <c r="J5865" s="0" t="n">
        <v>47078</v>
      </c>
      <c r="K5865" s="0" t="n">
        <v>7898274860023</v>
      </c>
      <c r="L5865" s="0" t="s">
        <v>4531</v>
      </c>
      <c r="N5865" s="0" t="n">
        <v>12</v>
      </c>
      <c r="O5865" s="0" t="n">
        <v>114</v>
      </c>
      <c r="P5865" s="0" t="s">
        <v>2444</v>
      </c>
    </row>
    <row r="5866" customFormat="false" ht="15" hidden="false" customHeight="true" outlineLevel="0" collapsed="false">
      <c r="A5866" s="0" t="n">
        <v>2</v>
      </c>
      <c r="B5866" s="71" t="n">
        <v>46247</v>
      </c>
      <c r="C5866" s="0" t="n">
        <v>11</v>
      </c>
      <c r="D5866" s="0" t="s">
        <v>2471</v>
      </c>
      <c r="E5866" s="0" t="n">
        <v>1624</v>
      </c>
      <c r="F5866" s="0" t="s">
        <v>351</v>
      </c>
      <c r="I5866" s="0" t="n">
        <v>668739</v>
      </c>
      <c r="J5866" s="0" t="n">
        <v>53374</v>
      </c>
      <c r="K5866" s="0" t="n">
        <v>7896273809197</v>
      </c>
      <c r="L5866" s="0" t="s">
        <v>4532</v>
      </c>
      <c r="N5866" s="0" t="n">
        <v>30</v>
      </c>
      <c r="O5866" s="0" t="n">
        <v>274.5</v>
      </c>
      <c r="P5866" s="0" t="s">
        <v>2444</v>
      </c>
    </row>
    <row r="5867" customFormat="false" ht="15" hidden="false" customHeight="true" outlineLevel="0" collapsed="false">
      <c r="A5867" s="0" t="n">
        <v>2</v>
      </c>
      <c r="B5867" s="71" t="n">
        <v>46247</v>
      </c>
      <c r="C5867" s="0" t="n">
        <v>11</v>
      </c>
      <c r="D5867" s="0" t="s">
        <v>2471</v>
      </c>
      <c r="E5867" s="0" t="n">
        <v>1624</v>
      </c>
      <c r="F5867" s="0" t="s">
        <v>351</v>
      </c>
      <c r="I5867" s="0" t="n">
        <v>668739</v>
      </c>
      <c r="J5867" s="0" t="n">
        <v>110552</v>
      </c>
      <c r="K5867" s="0" t="n">
        <v>60139</v>
      </c>
      <c r="L5867" s="0" t="s">
        <v>3254</v>
      </c>
      <c r="N5867" s="0" t="n">
        <v>350</v>
      </c>
      <c r="O5867" s="0" t="n">
        <v>1495</v>
      </c>
      <c r="P5867" s="0" t="s">
        <v>2444</v>
      </c>
    </row>
    <row r="5868" customFormat="false" ht="15" hidden="false" customHeight="true" outlineLevel="0" collapsed="false">
      <c r="A5868" s="0" t="n">
        <v>2</v>
      </c>
      <c r="B5868" s="71" t="n">
        <v>46247</v>
      </c>
      <c r="C5868" s="0" t="n">
        <v>11</v>
      </c>
      <c r="D5868" s="0" t="s">
        <v>2471</v>
      </c>
      <c r="E5868" s="0" t="n">
        <v>1601</v>
      </c>
      <c r="F5868" s="0" t="s">
        <v>193</v>
      </c>
      <c r="I5868" s="0" t="n">
        <v>862791</v>
      </c>
      <c r="J5868" s="0" t="n">
        <v>102287</v>
      </c>
      <c r="K5868" s="0" t="n">
        <v>7896593500026</v>
      </c>
      <c r="L5868" s="0" t="s">
        <v>3457</v>
      </c>
      <c r="N5868" s="0" t="n">
        <v>20</v>
      </c>
      <c r="O5868" s="0" t="n">
        <v>82.5</v>
      </c>
      <c r="P5868" s="0" t="s">
        <v>2444</v>
      </c>
    </row>
    <row r="5869" customFormat="false" ht="15" hidden="false" customHeight="true" outlineLevel="0" collapsed="false">
      <c r="A5869" s="0" t="n">
        <v>2</v>
      </c>
      <c r="B5869" s="71" t="n">
        <v>46247</v>
      </c>
      <c r="C5869" s="0" t="n">
        <v>11</v>
      </c>
      <c r="D5869" s="0" t="s">
        <v>2471</v>
      </c>
      <c r="E5869" s="0" t="n">
        <v>1601</v>
      </c>
      <c r="F5869" s="0" t="s">
        <v>193</v>
      </c>
      <c r="I5869" s="0" t="n">
        <v>862791</v>
      </c>
      <c r="J5869" s="0" t="n">
        <v>18478</v>
      </c>
      <c r="K5869" s="0" t="n">
        <v>7898943163011</v>
      </c>
      <c r="L5869" s="0" t="s">
        <v>3933</v>
      </c>
      <c r="N5869" s="0" t="n">
        <v>50</v>
      </c>
      <c r="O5869" s="0" t="n">
        <v>231.59</v>
      </c>
      <c r="P5869" s="0" t="s">
        <v>2444</v>
      </c>
    </row>
    <row r="5870" customFormat="false" ht="15" hidden="false" customHeight="true" outlineLevel="0" collapsed="false">
      <c r="A5870" s="0" t="n">
        <v>2</v>
      </c>
      <c r="B5870" s="71" t="n">
        <v>46247</v>
      </c>
      <c r="C5870" s="0" t="n">
        <v>11</v>
      </c>
      <c r="D5870" s="0" t="s">
        <v>2471</v>
      </c>
      <c r="E5870" s="0" t="n">
        <v>1601</v>
      </c>
      <c r="F5870" s="0" t="s">
        <v>193</v>
      </c>
      <c r="I5870" s="0" t="n">
        <v>862791</v>
      </c>
      <c r="J5870" s="0" t="n">
        <v>33117</v>
      </c>
      <c r="K5870" s="0" t="n">
        <v>7896369613967</v>
      </c>
      <c r="L5870" s="0" t="s">
        <v>4745</v>
      </c>
      <c r="N5870" s="0" t="n">
        <v>24</v>
      </c>
      <c r="O5870" s="0" t="n">
        <v>121.93</v>
      </c>
      <c r="P5870" s="0" t="s">
        <v>2444</v>
      </c>
    </row>
    <row r="5871" customFormat="false" ht="15" hidden="false" customHeight="true" outlineLevel="0" collapsed="false">
      <c r="A5871" s="0" t="n">
        <v>2</v>
      </c>
      <c r="B5871" s="71" t="n">
        <v>46247</v>
      </c>
      <c r="C5871" s="0" t="n">
        <v>11</v>
      </c>
      <c r="D5871" s="0" t="s">
        <v>2471</v>
      </c>
      <c r="E5871" s="0" t="n">
        <v>1740</v>
      </c>
      <c r="F5871" s="0" t="s">
        <v>468</v>
      </c>
      <c r="I5871" s="0" t="n">
        <v>1258801</v>
      </c>
      <c r="J5871" s="0" t="n">
        <v>106130</v>
      </c>
      <c r="K5871" s="0" t="n">
        <v>7891000340004</v>
      </c>
      <c r="L5871" s="0" t="s">
        <v>2819</v>
      </c>
      <c r="N5871" s="0" t="n">
        <v>5</v>
      </c>
      <c r="O5871" s="0" t="n">
        <v>18.9</v>
      </c>
      <c r="P5871" s="0" t="s">
        <v>2444</v>
      </c>
    </row>
    <row r="5872" customFormat="false" ht="15" hidden="false" customHeight="true" outlineLevel="0" collapsed="false">
      <c r="A5872" s="0" t="n">
        <v>2</v>
      </c>
      <c r="B5872" s="71" t="n">
        <v>46247</v>
      </c>
      <c r="C5872" s="0" t="n">
        <v>11</v>
      </c>
      <c r="D5872" s="0" t="s">
        <v>2471</v>
      </c>
      <c r="E5872" s="0" t="n">
        <v>1740</v>
      </c>
      <c r="F5872" s="0" t="s">
        <v>468</v>
      </c>
      <c r="I5872" s="0" t="n">
        <v>1258801</v>
      </c>
      <c r="J5872" s="0" t="n">
        <v>14219</v>
      </c>
      <c r="K5872" s="0" t="n">
        <v>7891000072950</v>
      </c>
      <c r="L5872" s="0" t="s">
        <v>2820</v>
      </c>
      <c r="N5872" s="0" t="n">
        <v>3</v>
      </c>
      <c r="O5872" s="0" t="n">
        <v>13.62</v>
      </c>
      <c r="P5872" s="0" t="s">
        <v>2444</v>
      </c>
    </row>
    <row r="5873" customFormat="false" ht="15" hidden="false" customHeight="true" outlineLevel="0" collapsed="false">
      <c r="A5873" s="0" t="n">
        <v>2</v>
      </c>
      <c r="B5873" s="71" t="n">
        <v>46247</v>
      </c>
      <c r="C5873" s="0" t="n">
        <v>11</v>
      </c>
      <c r="D5873" s="0" t="s">
        <v>2471</v>
      </c>
      <c r="E5873" s="0" t="n">
        <v>1740</v>
      </c>
      <c r="F5873" s="0" t="s">
        <v>468</v>
      </c>
      <c r="I5873" s="0" t="n">
        <v>1258801</v>
      </c>
      <c r="J5873" s="0" t="n">
        <v>16602</v>
      </c>
      <c r="K5873" s="0" t="n">
        <v>7891000084649</v>
      </c>
      <c r="L5873" s="0" t="s">
        <v>2821</v>
      </c>
      <c r="N5873" s="0" t="n">
        <v>3</v>
      </c>
      <c r="O5873" s="0" t="n">
        <v>32.97</v>
      </c>
      <c r="P5873" s="0" t="s">
        <v>2444</v>
      </c>
    </row>
    <row r="5874" customFormat="false" ht="15" hidden="false" customHeight="true" outlineLevel="0" collapsed="false">
      <c r="A5874" s="0" t="n">
        <v>2</v>
      </c>
      <c r="B5874" s="71" t="n">
        <v>46247</v>
      </c>
      <c r="C5874" s="0" t="n">
        <v>11</v>
      </c>
      <c r="D5874" s="0" t="s">
        <v>2471</v>
      </c>
      <c r="E5874" s="0" t="n">
        <v>1740</v>
      </c>
      <c r="F5874" s="0" t="s">
        <v>468</v>
      </c>
      <c r="I5874" s="0" t="n">
        <v>1258801</v>
      </c>
      <c r="J5874" s="0" t="n">
        <v>20584</v>
      </c>
      <c r="K5874" s="0" t="n">
        <v>7891000103876</v>
      </c>
      <c r="L5874" s="0" t="s">
        <v>4644</v>
      </c>
      <c r="N5874" s="0" t="n">
        <v>4</v>
      </c>
      <c r="O5874" s="0" t="n">
        <v>13.68</v>
      </c>
      <c r="P5874" s="0" t="s">
        <v>2444</v>
      </c>
    </row>
    <row r="5875" customFormat="false" ht="15" hidden="false" customHeight="true" outlineLevel="0" collapsed="false">
      <c r="A5875" s="0" t="n">
        <v>2</v>
      </c>
      <c r="B5875" s="71" t="n">
        <v>46247</v>
      </c>
      <c r="C5875" s="0" t="n">
        <v>11</v>
      </c>
      <c r="D5875" s="0" t="s">
        <v>2471</v>
      </c>
      <c r="E5875" s="0" t="n">
        <v>1740</v>
      </c>
      <c r="F5875" s="0" t="s">
        <v>468</v>
      </c>
      <c r="I5875" s="0" t="n">
        <v>1258801</v>
      </c>
      <c r="J5875" s="0" t="n">
        <v>23285</v>
      </c>
      <c r="K5875" s="0" t="n">
        <v>78936171</v>
      </c>
      <c r="L5875" s="0" t="s">
        <v>2823</v>
      </c>
      <c r="N5875" s="0" t="n">
        <v>2</v>
      </c>
      <c r="O5875" s="0" t="n">
        <v>6.98</v>
      </c>
      <c r="P5875" s="0" t="s">
        <v>2444</v>
      </c>
    </row>
    <row r="5876" customFormat="false" ht="15" hidden="false" customHeight="true" outlineLevel="0" collapsed="false">
      <c r="A5876" s="0" t="n">
        <v>2</v>
      </c>
      <c r="B5876" s="71" t="n">
        <v>46247</v>
      </c>
      <c r="C5876" s="0" t="n">
        <v>11</v>
      </c>
      <c r="D5876" s="0" t="s">
        <v>2471</v>
      </c>
      <c r="E5876" s="0" t="n">
        <v>1740</v>
      </c>
      <c r="F5876" s="0" t="s">
        <v>468</v>
      </c>
      <c r="I5876" s="0" t="n">
        <v>1258801</v>
      </c>
      <c r="J5876" s="0" t="n">
        <v>25112</v>
      </c>
      <c r="K5876" s="0" t="n">
        <v>7891000244425</v>
      </c>
      <c r="L5876" s="0" t="s">
        <v>2824</v>
      </c>
      <c r="N5876" s="0" t="n">
        <v>3</v>
      </c>
      <c r="O5876" s="0" t="n">
        <v>36.87</v>
      </c>
      <c r="P5876" s="0" t="s">
        <v>2444</v>
      </c>
    </row>
    <row r="5877" customFormat="false" ht="15" hidden="false" customHeight="true" outlineLevel="0" collapsed="false">
      <c r="A5877" s="0" t="n">
        <v>2</v>
      </c>
      <c r="B5877" s="71" t="n">
        <v>46247</v>
      </c>
      <c r="C5877" s="0" t="n">
        <v>11</v>
      </c>
      <c r="D5877" s="0" t="s">
        <v>2471</v>
      </c>
      <c r="E5877" s="0" t="n">
        <v>1740</v>
      </c>
      <c r="F5877" s="0" t="s">
        <v>468</v>
      </c>
      <c r="I5877" s="0" t="n">
        <v>1258801</v>
      </c>
      <c r="J5877" s="0" t="n">
        <v>25113</v>
      </c>
      <c r="K5877" s="0" t="n">
        <v>7891000244265</v>
      </c>
      <c r="L5877" s="0" t="s">
        <v>4746</v>
      </c>
      <c r="N5877" s="0" t="n">
        <v>5</v>
      </c>
      <c r="O5877" s="0" t="n">
        <v>14.55</v>
      </c>
      <c r="P5877" s="0" t="s">
        <v>2444</v>
      </c>
    </row>
    <row r="5878" customFormat="false" ht="15" hidden="false" customHeight="true" outlineLevel="0" collapsed="false">
      <c r="A5878" s="0" t="n">
        <v>2</v>
      </c>
      <c r="B5878" s="71" t="n">
        <v>46247</v>
      </c>
      <c r="C5878" s="0" t="n">
        <v>11</v>
      </c>
      <c r="D5878" s="0" t="s">
        <v>2471</v>
      </c>
      <c r="E5878" s="0" t="n">
        <v>1740</v>
      </c>
      <c r="F5878" s="0" t="s">
        <v>468</v>
      </c>
      <c r="I5878" s="0" t="n">
        <v>1258801</v>
      </c>
      <c r="J5878" s="0" t="n">
        <v>26803</v>
      </c>
      <c r="K5878" s="0" t="n">
        <v>7891000252833</v>
      </c>
      <c r="L5878" s="0" t="s">
        <v>3934</v>
      </c>
      <c r="N5878" s="0" t="n">
        <v>4</v>
      </c>
      <c r="O5878" s="0" t="n">
        <v>14.2</v>
      </c>
      <c r="P5878" s="0" t="s">
        <v>2444</v>
      </c>
    </row>
    <row r="5879" customFormat="false" ht="15" hidden="false" customHeight="true" outlineLevel="0" collapsed="false">
      <c r="A5879" s="0" t="n">
        <v>2</v>
      </c>
      <c r="B5879" s="71" t="n">
        <v>46247</v>
      </c>
      <c r="C5879" s="0" t="n">
        <v>11</v>
      </c>
      <c r="D5879" s="0" t="s">
        <v>2471</v>
      </c>
      <c r="E5879" s="0" t="n">
        <v>1740</v>
      </c>
      <c r="F5879" s="0" t="s">
        <v>468</v>
      </c>
      <c r="I5879" s="0" t="n">
        <v>1258801</v>
      </c>
      <c r="J5879" s="0" t="n">
        <v>27878</v>
      </c>
      <c r="K5879" s="0" t="n">
        <v>7891000261026</v>
      </c>
      <c r="L5879" s="0" t="s">
        <v>2828</v>
      </c>
      <c r="N5879" s="0" t="n">
        <v>10</v>
      </c>
      <c r="O5879" s="0" t="n">
        <v>88.5</v>
      </c>
      <c r="P5879" s="0" t="s">
        <v>2444</v>
      </c>
    </row>
    <row r="5880" customFormat="false" ht="15" hidden="false" customHeight="true" outlineLevel="0" collapsed="false">
      <c r="A5880" s="0" t="n">
        <v>2</v>
      </c>
      <c r="B5880" s="71" t="n">
        <v>46247</v>
      </c>
      <c r="C5880" s="0" t="n">
        <v>11</v>
      </c>
      <c r="D5880" s="0" t="s">
        <v>2471</v>
      </c>
      <c r="E5880" s="0" t="n">
        <v>1740</v>
      </c>
      <c r="F5880" s="0" t="s">
        <v>468</v>
      </c>
      <c r="I5880" s="0" t="n">
        <v>1258801</v>
      </c>
      <c r="J5880" s="0" t="n">
        <v>47789</v>
      </c>
      <c r="K5880" s="0" t="n">
        <v>7891000362037</v>
      </c>
      <c r="L5880" s="0" t="s">
        <v>2831</v>
      </c>
      <c r="N5880" s="0" t="n">
        <v>3</v>
      </c>
      <c r="O5880" s="0" t="n">
        <v>24.57</v>
      </c>
      <c r="P5880" s="0" t="s">
        <v>2444</v>
      </c>
    </row>
    <row r="5881" customFormat="false" ht="15" hidden="false" customHeight="true" outlineLevel="0" collapsed="false">
      <c r="A5881" s="0" t="n">
        <v>2</v>
      </c>
      <c r="B5881" s="71" t="n">
        <v>46247</v>
      </c>
      <c r="C5881" s="0" t="n">
        <v>11</v>
      </c>
      <c r="D5881" s="0" t="s">
        <v>2471</v>
      </c>
      <c r="E5881" s="0" t="n">
        <v>1740</v>
      </c>
      <c r="F5881" s="0" t="s">
        <v>468</v>
      </c>
      <c r="I5881" s="0" t="n">
        <v>1258801</v>
      </c>
      <c r="J5881" s="0" t="n">
        <v>47983</v>
      </c>
      <c r="K5881" s="0" t="n">
        <v>7891000360323</v>
      </c>
      <c r="L5881" s="0" t="s">
        <v>2832</v>
      </c>
      <c r="N5881" s="0" t="n">
        <v>3</v>
      </c>
      <c r="O5881" s="0" t="n">
        <v>24.87</v>
      </c>
      <c r="P5881" s="0" t="s">
        <v>2444</v>
      </c>
    </row>
    <row r="5882" customFormat="false" ht="15" hidden="false" customHeight="true" outlineLevel="0" collapsed="false">
      <c r="A5882" s="0" t="n">
        <v>2</v>
      </c>
      <c r="B5882" s="71" t="n">
        <v>46247</v>
      </c>
      <c r="C5882" s="0" t="n">
        <v>11</v>
      </c>
      <c r="D5882" s="0" t="s">
        <v>2471</v>
      </c>
      <c r="E5882" s="0" t="n">
        <v>1740</v>
      </c>
      <c r="F5882" s="0" t="s">
        <v>468</v>
      </c>
      <c r="I5882" s="0" t="n">
        <v>1258801</v>
      </c>
      <c r="J5882" s="0" t="n">
        <v>50424</v>
      </c>
      <c r="K5882" s="0" t="n">
        <v>7898953148169</v>
      </c>
      <c r="L5882" s="0" t="s">
        <v>4648</v>
      </c>
      <c r="N5882" s="0" t="n">
        <v>6</v>
      </c>
      <c r="O5882" s="0" t="n">
        <v>59.88</v>
      </c>
      <c r="P5882" s="0" t="s">
        <v>2444</v>
      </c>
    </row>
    <row r="5883" customFormat="false" ht="15" hidden="false" customHeight="true" outlineLevel="0" collapsed="false">
      <c r="A5883" s="0" t="n">
        <v>2</v>
      </c>
      <c r="B5883" s="71" t="n">
        <v>46247</v>
      </c>
      <c r="C5883" s="0" t="n">
        <v>11</v>
      </c>
      <c r="D5883" s="0" t="s">
        <v>2471</v>
      </c>
      <c r="E5883" s="0" t="n">
        <v>1740</v>
      </c>
      <c r="F5883" s="0" t="s">
        <v>468</v>
      </c>
      <c r="I5883" s="0" t="n">
        <v>1258801</v>
      </c>
      <c r="J5883" s="0" t="n">
        <v>62922</v>
      </c>
      <c r="K5883" s="0" t="n">
        <v>7891000260623</v>
      </c>
      <c r="L5883" s="0" t="s">
        <v>3937</v>
      </c>
      <c r="N5883" s="0" t="n">
        <v>1</v>
      </c>
      <c r="O5883" s="0" t="n">
        <v>14.21</v>
      </c>
      <c r="P5883" s="0" t="s">
        <v>2444</v>
      </c>
    </row>
    <row r="5884" customFormat="false" ht="15" hidden="false" customHeight="true" outlineLevel="0" collapsed="false">
      <c r="A5884" s="0" t="n">
        <v>2</v>
      </c>
      <c r="B5884" s="71" t="n">
        <v>46247</v>
      </c>
      <c r="C5884" s="0" t="n">
        <v>11</v>
      </c>
      <c r="D5884" s="0" t="s">
        <v>2471</v>
      </c>
      <c r="E5884" s="0" t="n">
        <v>1740</v>
      </c>
      <c r="F5884" s="0" t="s">
        <v>468</v>
      </c>
      <c r="I5884" s="0" t="n">
        <v>1258801</v>
      </c>
      <c r="J5884" s="0" t="n">
        <v>64165</v>
      </c>
      <c r="K5884" s="0" t="n">
        <v>7891000396452</v>
      </c>
      <c r="L5884" s="0" t="s">
        <v>4747</v>
      </c>
      <c r="N5884" s="0" t="n">
        <v>2</v>
      </c>
      <c r="O5884" s="0" t="n">
        <v>9.18</v>
      </c>
      <c r="P5884" s="0" t="s">
        <v>2444</v>
      </c>
    </row>
    <row r="5885" customFormat="false" ht="15" hidden="false" customHeight="true" outlineLevel="0" collapsed="false">
      <c r="A5885" s="0" t="n">
        <v>2</v>
      </c>
      <c r="B5885" s="71" t="n">
        <v>46247</v>
      </c>
      <c r="C5885" s="0" t="n">
        <v>11</v>
      </c>
      <c r="D5885" s="0" t="s">
        <v>2471</v>
      </c>
      <c r="E5885" s="0" t="n">
        <v>1740</v>
      </c>
      <c r="F5885" s="0" t="s">
        <v>468</v>
      </c>
      <c r="I5885" s="0" t="n">
        <v>1258801</v>
      </c>
      <c r="J5885" s="0" t="n">
        <v>69214</v>
      </c>
      <c r="K5885" s="0" t="n">
        <v>7898755200041</v>
      </c>
      <c r="L5885" s="0" t="s">
        <v>4649</v>
      </c>
      <c r="N5885" s="0" t="n">
        <v>4</v>
      </c>
      <c r="O5885" s="0" t="n">
        <v>13.76</v>
      </c>
      <c r="P5885" s="0" t="s">
        <v>2444</v>
      </c>
    </row>
    <row r="5886" customFormat="false" ht="15" hidden="false" customHeight="true" outlineLevel="0" collapsed="false">
      <c r="A5886" s="0" t="n">
        <v>2</v>
      </c>
      <c r="B5886" s="71" t="n">
        <v>46247</v>
      </c>
      <c r="C5886" s="0" t="n">
        <v>11</v>
      </c>
      <c r="D5886" s="0" t="s">
        <v>2471</v>
      </c>
      <c r="E5886" s="0" t="n">
        <v>1608</v>
      </c>
      <c r="F5886" s="0" t="s">
        <v>240</v>
      </c>
      <c r="I5886" s="0" t="n">
        <v>1710665</v>
      </c>
      <c r="J5886" s="0" t="n">
        <v>40020</v>
      </c>
      <c r="K5886" s="0" t="n">
        <v>7891132110216</v>
      </c>
      <c r="L5886" s="0" t="s">
        <v>4748</v>
      </c>
      <c r="N5886" s="0" t="n">
        <v>24</v>
      </c>
      <c r="O5886" s="0" t="n">
        <v>43.44</v>
      </c>
      <c r="P5886" s="0" t="s">
        <v>2444</v>
      </c>
    </row>
    <row r="5887" customFormat="false" ht="15" hidden="false" customHeight="true" outlineLevel="0" collapsed="false">
      <c r="A5887" s="0" t="n">
        <v>2</v>
      </c>
      <c r="B5887" s="71" t="n">
        <v>46247</v>
      </c>
      <c r="C5887" s="0" t="n">
        <v>11</v>
      </c>
      <c r="D5887" s="0" t="s">
        <v>2471</v>
      </c>
      <c r="E5887" s="0" t="n">
        <v>1608</v>
      </c>
      <c r="F5887" s="0" t="s">
        <v>240</v>
      </c>
      <c r="I5887" s="0" t="n">
        <v>1710665</v>
      </c>
      <c r="J5887" s="0" t="n">
        <v>40160</v>
      </c>
      <c r="K5887" s="0" t="n">
        <v>783094062009</v>
      </c>
      <c r="L5887" s="0" t="s">
        <v>4749</v>
      </c>
      <c r="N5887" s="0" t="n">
        <v>5</v>
      </c>
      <c r="O5887" s="0" t="n">
        <v>17.1</v>
      </c>
      <c r="P5887" s="0" t="s">
        <v>2444</v>
      </c>
    </row>
    <row r="5888" customFormat="false" ht="15" hidden="false" customHeight="true" outlineLevel="0" collapsed="false">
      <c r="A5888" s="0" t="n">
        <v>2</v>
      </c>
      <c r="B5888" s="71" t="n">
        <v>46247</v>
      </c>
      <c r="C5888" s="0" t="n">
        <v>11</v>
      </c>
      <c r="D5888" s="0" t="s">
        <v>2471</v>
      </c>
      <c r="E5888" s="0" t="n">
        <v>1608</v>
      </c>
      <c r="F5888" s="0" t="s">
        <v>240</v>
      </c>
      <c r="I5888" s="0" t="n">
        <v>1710665</v>
      </c>
      <c r="J5888" s="0" t="n">
        <v>102475</v>
      </c>
      <c r="K5888" s="0" t="n">
        <v>7891132019045</v>
      </c>
      <c r="L5888" s="0" t="s">
        <v>4750</v>
      </c>
      <c r="N5888" s="0" t="n">
        <v>12</v>
      </c>
      <c r="O5888" s="0" t="n">
        <v>47.28</v>
      </c>
      <c r="P5888" s="0" t="s">
        <v>2444</v>
      </c>
    </row>
    <row r="5889" customFormat="false" ht="15" hidden="false" customHeight="true" outlineLevel="0" collapsed="false">
      <c r="A5889" s="0" t="n">
        <v>2</v>
      </c>
      <c r="B5889" s="71" t="n">
        <v>46247</v>
      </c>
      <c r="C5889" s="0" t="n">
        <v>11</v>
      </c>
      <c r="D5889" s="0" t="s">
        <v>2471</v>
      </c>
      <c r="E5889" s="0" t="n">
        <v>1608</v>
      </c>
      <c r="F5889" s="0" t="s">
        <v>240</v>
      </c>
      <c r="I5889" s="0" t="n">
        <v>1710665</v>
      </c>
      <c r="J5889" s="0" t="n">
        <v>102476</v>
      </c>
      <c r="K5889" s="0" t="n">
        <v>7891132019021</v>
      </c>
      <c r="L5889" s="0" t="s">
        <v>4751</v>
      </c>
      <c r="N5889" s="0" t="n">
        <v>12</v>
      </c>
      <c r="O5889" s="0" t="n">
        <v>47.28</v>
      </c>
      <c r="P5889" s="0" t="s">
        <v>2444</v>
      </c>
    </row>
    <row r="5890" customFormat="false" ht="15" hidden="false" customHeight="true" outlineLevel="0" collapsed="false">
      <c r="A5890" s="0" t="n">
        <v>2</v>
      </c>
      <c r="B5890" s="71" t="n">
        <v>46247</v>
      </c>
      <c r="C5890" s="0" t="n">
        <v>11</v>
      </c>
      <c r="D5890" s="0" t="s">
        <v>2471</v>
      </c>
      <c r="E5890" s="0" t="n">
        <v>1608</v>
      </c>
      <c r="F5890" s="0" t="s">
        <v>240</v>
      </c>
      <c r="I5890" s="0" t="n">
        <v>1710665</v>
      </c>
      <c r="J5890" s="0" t="n">
        <v>102477</v>
      </c>
      <c r="K5890" s="0" t="n">
        <v>7891132019038</v>
      </c>
      <c r="L5890" s="0" t="s">
        <v>4752</v>
      </c>
      <c r="N5890" s="0" t="n">
        <v>12</v>
      </c>
      <c r="O5890" s="0" t="n">
        <v>47.28</v>
      </c>
      <c r="P5890" s="0" t="s">
        <v>2444</v>
      </c>
    </row>
    <row r="5891" customFormat="false" ht="15" hidden="false" customHeight="true" outlineLevel="0" collapsed="false">
      <c r="A5891" s="0" t="n">
        <v>2</v>
      </c>
      <c r="B5891" s="71" t="n">
        <v>46247</v>
      </c>
      <c r="C5891" s="0" t="n">
        <v>11</v>
      </c>
      <c r="D5891" s="0" t="s">
        <v>2471</v>
      </c>
      <c r="E5891" s="0" t="n">
        <v>1608</v>
      </c>
      <c r="F5891" s="0" t="s">
        <v>240</v>
      </c>
      <c r="I5891" s="0" t="n">
        <v>1710665</v>
      </c>
      <c r="J5891" s="0" t="n">
        <v>102512</v>
      </c>
      <c r="K5891" s="0" t="n">
        <v>7891132019274</v>
      </c>
      <c r="L5891" s="0" t="s">
        <v>4753</v>
      </c>
      <c r="N5891" s="0" t="n">
        <v>24</v>
      </c>
      <c r="O5891" s="0" t="n">
        <v>100.8</v>
      </c>
      <c r="P5891" s="0" t="s">
        <v>2444</v>
      </c>
    </row>
    <row r="5892" customFormat="false" ht="15" hidden="false" customHeight="true" outlineLevel="0" collapsed="false">
      <c r="A5892" s="0" t="n">
        <v>2</v>
      </c>
      <c r="B5892" s="71" t="n">
        <v>46247</v>
      </c>
      <c r="C5892" s="0" t="n">
        <v>11</v>
      </c>
      <c r="D5892" s="0" t="s">
        <v>2471</v>
      </c>
      <c r="E5892" s="0" t="n">
        <v>1608</v>
      </c>
      <c r="F5892" s="0" t="s">
        <v>240</v>
      </c>
      <c r="I5892" s="0" t="n">
        <v>1710665</v>
      </c>
      <c r="J5892" s="0" t="n">
        <v>102517</v>
      </c>
      <c r="K5892" s="0" t="n">
        <v>7891132019281</v>
      </c>
      <c r="L5892" s="0" t="s">
        <v>4754</v>
      </c>
      <c r="N5892" s="0" t="n">
        <v>24</v>
      </c>
      <c r="O5892" s="0" t="n">
        <v>100.8</v>
      </c>
      <c r="P5892" s="0" t="s">
        <v>2444</v>
      </c>
    </row>
    <row r="5893" customFormat="false" ht="15" hidden="false" customHeight="true" outlineLevel="0" collapsed="false">
      <c r="A5893" s="0" t="n">
        <v>2</v>
      </c>
      <c r="B5893" s="71" t="n">
        <v>46247</v>
      </c>
      <c r="C5893" s="0" t="n">
        <v>11</v>
      </c>
      <c r="D5893" s="0" t="s">
        <v>2471</v>
      </c>
      <c r="E5893" s="0" t="n">
        <v>1608</v>
      </c>
      <c r="F5893" s="0" t="s">
        <v>240</v>
      </c>
      <c r="I5893" s="0" t="n">
        <v>1710665</v>
      </c>
      <c r="J5893" s="0" t="n">
        <v>102519</v>
      </c>
      <c r="K5893" s="0" t="n">
        <v>7891132019724</v>
      </c>
      <c r="L5893" s="0" t="s">
        <v>4755</v>
      </c>
      <c r="N5893" s="0" t="n">
        <v>24</v>
      </c>
      <c r="O5893" s="0" t="n">
        <v>100.8</v>
      </c>
      <c r="P5893" s="0" t="s">
        <v>2444</v>
      </c>
    </row>
    <row r="5894" customFormat="false" ht="15" hidden="false" customHeight="true" outlineLevel="0" collapsed="false">
      <c r="A5894" s="0" t="n">
        <v>2</v>
      </c>
      <c r="B5894" s="71" t="n">
        <v>46247</v>
      </c>
      <c r="C5894" s="0" t="n">
        <v>11</v>
      </c>
      <c r="D5894" s="0" t="s">
        <v>2471</v>
      </c>
      <c r="E5894" s="0" t="n">
        <v>1608</v>
      </c>
      <c r="F5894" s="0" t="s">
        <v>240</v>
      </c>
      <c r="I5894" s="0" t="n">
        <v>1710665</v>
      </c>
      <c r="J5894" s="0" t="n">
        <v>104815</v>
      </c>
      <c r="K5894" s="0" t="n">
        <v>7891132000029</v>
      </c>
      <c r="L5894" s="0" t="s">
        <v>4756</v>
      </c>
      <c r="N5894" s="0" t="n">
        <v>1</v>
      </c>
      <c r="O5894" s="0" t="n">
        <v>9.9</v>
      </c>
      <c r="P5894" s="0" t="s">
        <v>2444</v>
      </c>
    </row>
    <row r="5895" customFormat="false" ht="15" hidden="false" customHeight="true" outlineLevel="0" collapsed="false">
      <c r="A5895" s="0" t="n">
        <v>2</v>
      </c>
      <c r="B5895" s="71" t="n">
        <v>46247</v>
      </c>
      <c r="C5895" s="0" t="n">
        <v>11</v>
      </c>
      <c r="D5895" s="0" t="s">
        <v>2471</v>
      </c>
      <c r="E5895" s="0" t="n">
        <v>1608</v>
      </c>
      <c r="F5895" s="0" t="s">
        <v>240</v>
      </c>
      <c r="I5895" s="0" t="n">
        <v>1710665</v>
      </c>
      <c r="J5895" s="0" t="n">
        <v>109870</v>
      </c>
      <c r="K5895" s="0" t="n">
        <v>7891079011805</v>
      </c>
      <c r="L5895" s="0" t="s">
        <v>4757</v>
      </c>
      <c r="N5895" s="0" t="n">
        <v>150</v>
      </c>
      <c r="O5895" s="0" t="n">
        <v>235.5</v>
      </c>
      <c r="P5895" s="0" t="s">
        <v>2444</v>
      </c>
    </row>
    <row r="5896" customFormat="false" ht="15" hidden="false" customHeight="true" outlineLevel="0" collapsed="false">
      <c r="A5896" s="0" t="n">
        <v>2</v>
      </c>
      <c r="B5896" s="71" t="n">
        <v>46247</v>
      </c>
      <c r="C5896" s="0" t="n">
        <v>11</v>
      </c>
      <c r="D5896" s="0" t="s">
        <v>2471</v>
      </c>
      <c r="E5896" s="0" t="n">
        <v>1608</v>
      </c>
      <c r="F5896" s="0" t="s">
        <v>240</v>
      </c>
      <c r="I5896" s="0" t="n">
        <v>1710665</v>
      </c>
      <c r="J5896" s="0" t="n">
        <v>10469</v>
      </c>
      <c r="K5896" s="0" t="n">
        <v>7891079011829</v>
      </c>
      <c r="L5896" s="0" t="s">
        <v>4758</v>
      </c>
      <c r="N5896" s="0" t="n">
        <v>50</v>
      </c>
      <c r="O5896" s="0" t="n">
        <v>78.5</v>
      </c>
      <c r="P5896" s="0" t="s">
        <v>2444</v>
      </c>
    </row>
    <row r="5897" customFormat="false" ht="15" hidden="false" customHeight="true" outlineLevel="0" collapsed="false">
      <c r="A5897" s="0" t="n">
        <v>2</v>
      </c>
      <c r="B5897" s="71" t="n">
        <v>46247</v>
      </c>
      <c r="C5897" s="0" t="n">
        <v>11</v>
      </c>
      <c r="D5897" s="0" t="s">
        <v>2471</v>
      </c>
      <c r="E5897" s="0" t="n">
        <v>1608</v>
      </c>
      <c r="F5897" s="0" t="s">
        <v>240</v>
      </c>
      <c r="I5897" s="0" t="n">
        <v>1710665</v>
      </c>
      <c r="J5897" s="0" t="n">
        <v>10667</v>
      </c>
      <c r="K5897" s="0" t="n">
        <v>7891079011812</v>
      </c>
      <c r="L5897" s="0" t="s">
        <v>4759</v>
      </c>
      <c r="N5897" s="0" t="n">
        <v>150</v>
      </c>
      <c r="O5897" s="0" t="n">
        <v>235.5</v>
      </c>
      <c r="P5897" s="0" t="s">
        <v>2444</v>
      </c>
    </row>
    <row r="5898" customFormat="false" ht="15" hidden="false" customHeight="true" outlineLevel="0" collapsed="false">
      <c r="A5898" s="0" t="n">
        <v>2</v>
      </c>
      <c r="B5898" s="71" t="n">
        <v>46247</v>
      </c>
      <c r="C5898" s="0" t="n">
        <v>11</v>
      </c>
      <c r="D5898" s="0" t="s">
        <v>2471</v>
      </c>
      <c r="E5898" s="0" t="n">
        <v>1608</v>
      </c>
      <c r="F5898" s="0" t="s">
        <v>240</v>
      </c>
      <c r="I5898" s="0" t="n">
        <v>1710665</v>
      </c>
      <c r="J5898" s="0" t="n">
        <v>20040</v>
      </c>
      <c r="K5898" s="0" t="n">
        <v>7891132008421</v>
      </c>
      <c r="L5898" s="0" t="s">
        <v>4760</v>
      </c>
      <c r="N5898" s="0" t="n">
        <v>24</v>
      </c>
      <c r="O5898" s="0" t="n">
        <v>69.84</v>
      </c>
      <c r="P5898" s="0" t="s">
        <v>2444</v>
      </c>
    </row>
    <row r="5899" customFormat="false" ht="15" hidden="false" customHeight="true" outlineLevel="0" collapsed="false">
      <c r="A5899" s="0" t="n">
        <v>2</v>
      </c>
      <c r="B5899" s="71" t="n">
        <v>46247</v>
      </c>
      <c r="C5899" s="0" t="n">
        <v>11</v>
      </c>
      <c r="D5899" s="0" t="s">
        <v>2471</v>
      </c>
      <c r="E5899" s="0" t="n">
        <v>1608</v>
      </c>
      <c r="F5899" s="0" t="s">
        <v>240</v>
      </c>
      <c r="I5899" s="0" t="n">
        <v>1710665</v>
      </c>
      <c r="J5899" s="0" t="n">
        <v>20041</v>
      </c>
      <c r="K5899" s="0" t="n">
        <v>7891132008391</v>
      </c>
      <c r="L5899" s="0" t="s">
        <v>4761</v>
      </c>
      <c r="N5899" s="0" t="n">
        <v>24</v>
      </c>
      <c r="O5899" s="0" t="n">
        <v>66.96</v>
      </c>
      <c r="P5899" s="0" t="s">
        <v>2444</v>
      </c>
    </row>
    <row r="5900" customFormat="false" ht="15" hidden="false" customHeight="true" outlineLevel="0" collapsed="false">
      <c r="A5900" s="0" t="n">
        <v>2</v>
      </c>
      <c r="B5900" s="71" t="n">
        <v>46247</v>
      </c>
      <c r="C5900" s="0" t="n">
        <v>11</v>
      </c>
      <c r="D5900" s="0" t="s">
        <v>2471</v>
      </c>
      <c r="E5900" s="0" t="n">
        <v>1608</v>
      </c>
      <c r="F5900" s="0" t="s">
        <v>240</v>
      </c>
      <c r="I5900" s="0" t="n">
        <v>1710665</v>
      </c>
      <c r="J5900" s="0" t="n">
        <v>21161</v>
      </c>
      <c r="K5900" s="0" t="n">
        <v>7891132080038</v>
      </c>
      <c r="L5900" s="0" t="s">
        <v>4762</v>
      </c>
      <c r="N5900" s="0" t="n">
        <v>12</v>
      </c>
      <c r="O5900" s="0" t="n">
        <v>71.88</v>
      </c>
      <c r="P5900" s="0" t="s">
        <v>2444</v>
      </c>
    </row>
    <row r="5901" customFormat="false" ht="15" hidden="false" customHeight="true" outlineLevel="0" collapsed="false">
      <c r="A5901" s="0" t="n">
        <v>2</v>
      </c>
      <c r="B5901" s="71" t="n">
        <v>46247</v>
      </c>
      <c r="C5901" s="0" t="n">
        <v>11</v>
      </c>
      <c r="D5901" s="0" t="s">
        <v>2471</v>
      </c>
      <c r="E5901" s="0" t="n">
        <v>1608</v>
      </c>
      <c r="F5901" s="0" t="s">
        <v>240</v>
      </c>
      <c r="I5901" s="0" t="n">
        <v>1710665</v>
      </c>
      <c r="J5901" s="0" t="n">
        <v>22048</v>
      </c>
      <c r="K5901" s="0" t="n">
        <v>7891132080021</v>
      </c>
      <c r="L5901" s="0" t="s">
        <v>4763</v>
      </c>
      <c r="N5901" s="0" t="n">
        <v>6</v>
      </c>
      <c r="O5901" s="0" t="n">
        <v>78.36</v>
      </c>
      <c r="P5901" s="0" t="s">
        <v>2444</v>
      </c>
    </row>
    <row r="5902" customFormat="false" ht="15" hidden="false" customHeight="true" outlineLevel="0" collapsed="false">
      <c r="A5902" s="0" t="n">
        <v>2</v>
      </c>
      <c r="B5902" s="71" t="n">
        <v>46247</v>
      </c>
      <c r="C5902" s="0" t="n">
        <v>11</v>
      </c>
      <c r="D5902" s="0" t="s">
        <v>2471</v>
      </c>
      <c r="E5902" s="0" t="n">
        <v>1608</v>
      </c>
      <c r="F5902" s="0" t="s">
        <v>240</v>
      </c>
      <c r="I5902" s="0" t="n">
        <v>1710665</v>
      </c>
      <c r="J5902" s="0" t="n">
        <v>28766</v>
      </c>
      <c r="K5902" s="0" t="n">
        <v>7891132083084</v>
      </c>
      <c r="L5902" s="0" t="s">
        <v>4764</v>
      </c>
      <c r="N5902" s="0" t="n">
        <v>30</v>
      </c>
      <c r="O5902" s="0" t="n">
        <v>20.16</v>
      </c>
      <c r="P5902" s="0" t="s">
        <v>2444</v>
      </c>
    </row>
    <row r="5903" customFormat="false" ht="15" hidden="false" customHeight="true" outlineLevel="0" collapsed="false">
      <c r="A5903" s="0" t="n">
        <v>2</v>
      </c>
      <c r="B5903" s="71" t="n">
        <v>46247</v>
      </c>
      <c r="C5903" s="0" t="n">
        <v>11</v>
      </c>
      <c r="D5903" s="0" t="s">
        <v>2471</v>
      </c>
      <c r="E5903" s="0" t="n">
        <v>1608</v>
      </c>
      <c r="F5903" s="0" t="s">
        <v>240</v>
      </c>
      <c r="I5903" s="0" t="n">
        <v>1710665</v>
      </c>
      <c r="J5903" s="0" t="n">
        <v>29471</v>
      </c>
      <c r="K5903" s="0" t="n">
        <v>7891132009985</v>
      </c>
      <c r="L5903" s="0" t="s">
        <v>4765</v>
      </c>
      <c r="N5903" s="0" t="n">
        <v>30</v>
      </c>
      <c r="O5903" s="0" t="n">
        <v>28.92</v>
      </c>
      <c r="P5903" s="0" t="s">
        <v>2444</v>
      </c>
    </row>
    <row r="5904" customFormat="false" ht="15" hidden="false" customHeight="true" outlineLevel="0" collapsed="false">
      <c r="A5904" s="0" t="n">
        <v>2</v>
      </c>
      <c r="B5904" s="71" t="n">
        <v>46247</v>
      </c>
      <c r="C5904" s="0" t="n">
        <v>11</v>
      </c>
      <c r="D5904" s="0" t="s">
        <v>2471</v>
      </c>
      <c r="E5904" s="0" t="n">
        <v>1608</v>
      </c>
      <c r="F5904" s="0" t="s">
        <v>240</v>
      </c>
      <c r="I5904" s="0" t="n">
        <v>1710665</v>
      </c>
      <c r="J5904" s="0" t="n">
        <v>30996</v>
      </c>
      <c r="K5904" s="0" t="n">
        <v>7891079013359</v>
      </c>
      <c r="L5904" s="0" t="s">
        <v>4766</v>
      </c>
      <c r="N5904" s="0" t="n">
        <v>50</v>
      </c>
      <c r="O5904" s="0" t="n">
        <v>78.5</v>
      </c>
      <c r="P5904" s="0" t="s">
        <v>2444</v>
      </c>
    </row>
    <row r="5905" customFormat="false" ht="15" hidden="false" customHeight="true" outlineLevel="0" collapsed="false">
      <c r="A5905" s="0" t="n">
        <v>2</v>
      </c>
      <c r="B5905" s="71" t="n">
        <v>46247</v>
      </c>
      <c r="C5905" s="0" t="n">
        <v>11</v>
      </c>
      <c r="D5905" s="0" t="s">
        <v>2471</v>
      </c>
      <c r="E5905" s="0" t="n">
        <v>1608</v>
      </c>
      <c r="F5905" s="0" t="s">
        <v>240</v>
      </c>
      <c r="I5905" s="0" t="n">
        <v>1710665</v>
      </c>
      <c r="J5905" s="0" t="n">
        <v>31069</v>
      </c>
      <c r="K5905" s="0" t="n">
        <v>7891079013342</v>
      </c>
      <c r="L5905" s="0" t="s">
        <v>4767</v>
      </c>
      <c r="N5905" s="0" t="n">
        <v>50</v>
      </c>
      <c r="O5905" s="0" t="n">
        <v>78.5</v>
      </c>
      <c r="P5905" s="0" t="s">
        <v>2444</v>
      </c>
    </row>
    <row r="5906" customFormat="false" ht="15" hidden="false" customHeight="true" outlineLevel="0" collapsed="false">
      <c r="A5906" s="0" t="n">
        <v>2</v>
      </c>
      <c r="B5906" s="71" t="n">
        <v>46247</v>
      </c>
      <c r="C5906" s="0" t="n">
        <v>11</v>
      </c>
      <c r="D5906" s="0" t="s">
        <v>2471</v>
      </c>
      <c r="E5906" s="0" t="n">
        <v>1608</v>
      </c>
      <c r="F5906" s="0" t="s">
        <v>240</v>
      </c>
      <c r="I5906" s="0" t="n">
        <v>1710665</v>
      </c>
      <c r="J5906" s="0" t="n">
        <v>35875</v>
      </c>
      <c r="K5906" s="0" t="n">
        <v>7891132082384</v>
      </c>
      <c r="L5906" s="0" t="s">
        <v>4768</v>
      </c>
      <c r="N5906" s="0" t="n">
        <v>60</v>
      </c>
      <c r="O5906" s="0" t="n">
        <v>40.32</v>
      </c>
      <c r="P5906" s="0" t="s">
        <v>2444</v>
      </c>
    </row>
    <row r="5907" customFormat="false" ht="15" hidden="false" customHeight="true" outlineLevel="0" collapsed="false">
      <c r="A5907" s="0" t="n">
        <v>2</v>
      </c>
      <c r="B5907" s="71" t="n">
        <v>46247</v>
      </c>
      <c r="C5907" s="0" t="n">
        <v>11</v>
      </c>
      <c r="D5907" s="0" t="s">
        <v>2471</v>
      </c>
      <c r="E5907" s="0" t="n">
        <v>1608</v>
      </c>
      <c r="F5907" s="0" t="s">
        <v>240</v>
      </c>
      <c r="I5907" s="0" t="n">
        <v>1710665</v>
      </c>
      <c r="J5907" s="0" t="n">
        <v>35877</v>
      </c>
      <c r="K5907" s="0" t="n">
        <v>7891132082445</v>
      </c>
      <c r="L5907" s="0" t="s">
        <v>4769</v>
      </c>
      <c r="N5907" s="0" t="n">
        <v>60</v>
      </c>
      <c r="O5907" s="0" t="n">
        <v>40.32</v>
      </c>
      <c r="P5907" s="0" t="s">
        <v>2444</v>
      </c>
    </row>
    <row r="5908" customFormat="false" ht="15" hidden="false" customHeight="true" outlineLevel="0" collapsed="false">
      <c r="A5908" s="0" t="n">
        <v>2</v>
      </c>
      <c r="B5908" s="71" t="n">
        <v>46247</v>
      </c>
      <c r="C5908" s="0" t="n">
        <v>11</v>
      </c>
      <c r="D5908" s="0" t="s">
        <v>2471</v>
      </c>
      <c r="E5908" s="0" t="n">
        <v>1608</v>
      </c>
      <c r="F5908" s="0" t="s">
        <v>240</v>
      </c>
      <c r="I5908" s="0" t="n">
        <v>1710665</v>
      </c>
      <c r="J5908" s="0" t="n">
        <v>35878</v>
      </c>
      <c r="K5908" s="0" t="n">
        <v>7891132082223</v>
      </c>
      <c r="L5908" s="0" t="s">
        <v>4770</v>
      </c>
      <c r="N5908" s="0" t="n">
        <v>30</v>
      </c>
      <c r="O5908" s="0" t="n">
        <v>20.16</v>
      </c>
      <c r="P5908" s="0" t="s">
        <v>2444</v>
      </c>
    </row>
    <row r="5909" customFormat="false" ht="15" hidden="false" customHeight="true" outlineLevel="0" collapsed="false">
      <c r="A5909" s="0" t="n">
        <v>2</v>
      </c>
      <c r="B5909" s="71" t="n">
        <v>46247</v>
      </c>
      <c r="C5909" s="0" t="n">
        <v>11</v>
      </c>
      <c r="D5909" s="0" t="s">
        <v>2471</v>
      </c>
      <c r="E5909" s="0" t="n">
        <v>1608</v>
      </c>
      <c r="F5909" s="0" t="s">
        <v>240</v>
      </c>
      <c r="I5909" s="0" t="n">
        <v>1710665</v>
      </c>
      <c r="J5909" s="0" t="n">
        <v>36696</v>
      </c>
      <c r="K5909" s="0" t="n">
        <v>7891132082261</v>
      </c>
      <c r="L5909" s="0" t="s">
        <v>4771</v>
      </c>
      <c r="N5909" s="0" t="n">
        <v>30</v>
      </c>
      <c r="O5909" s="0" t="n">
        <v>20.16</v>
      </c>
      <c r="P5909" s="0" t="s">
        <v>2444</v>
      </c>
    </row>
    <row r="5910" customFormat="false" ht="15" hidden="false" customHeight="true" outlineLevel="0" collapsed="false">
      <c r="A5910" s="0" t="n">
        <v>2</v>
      </c>
      <c r="B5910" s="71" t="n">
        <v>46247</v>
      </c>
      <c r="C5910" s="0" t="n">
        <v>11</v>
      </c>
      <c r="D5910" s="0" t="s">
        <v>2471</v>
      </c>
      <c r="E5910" s="0" t="n">
        <v>1608</v>
      </c>
      <c r="F5910" s="0" t="s">
        <v>240</v>
      </c>
      <c r="I5910" s="0" t="n">
        <v>1710665</v>
      </c>
      <c r="J5910" s="0" t="n">
        <v>36697</v>
      </c>
      <c r="K5910" s="0" t="n">
        <v>7891132082360</v>
      </c>
      <c r="L5910" s="0" t="s">
        <v>4772</v>
      </c>
      <c r="N5910" s="0" t="n">
        <v>60</v>
      </c>
      <c r="O5910" s="0" t="n">
        <v>40.32</v>
      </c>
      <c r="P5910" s="0" t="s">
        <v>2444</v>
      </c>
    </row>
    <row r="5911" customFormat="false" ht="15" hidden="false" customHeight="true" outlineLevel="0" collapsed="false">
      <c r="A5911" s="0" t="n">
        <v>2</v>
      </c>
      <c r="B5911" s="71" t="n">
        <v>46247</v>
      </c>
      <c r="C5911" s="0" t="n">
        <v>11</v>
      </c>
      <c r="D5911" s="0" t="s">
        <v>2471</v>
      </c>
      <c r="E5911" s="0" t="n">
        <v>1608</v>
      </c>
      <c r="F5911" s="0" t="s">
        <v>240</v>
      </c>
      <c r="I5911" s="0" t="n">
        <v>1710665</v>
      </c>
      <c r="J5911" s="0" t="n">
        <v>36699</v>
      </c>
      <c r="K5911" s="0" t="n">
        <v>7891132082483</v>
      </c>
      <c r="L5911" s="0" t="s">
        <v>4773</v>
      </c>
      <c r="N5911" s="0" t="n">
        <v>30</v>
      </c>
      <c r="O5911" s="0" t="n">
        <v>20.16</v>
      </c>
      <c r="P5911" s="0" t="s">
        <v>2444</v>
      </c>
    </row>
    <row r="5912" customFormat="false" ht="15" hidden="false" customHeight="true" outlineLevel="0" collapsed="false">
      <c r="A5912" s="0" t="n">
        <v>2</v>
      </c>
      <c r="B5912" s="71" t="n">
        <v>46247</v>
      </c>
      <c r="C5912" s="0" t="n">
        <v>11</v>
      </c>
      <c r="D5912" s="0" t="s">
        <v>2471</v>
      </c>
      <c r="E5912" s="0" t="n">
        <v>1608</v>
      </c>
      <c r="F5912" s="0" t="s">
        <v>240</v>
      </c>
      <c r="I5912" s="0" t="n">
        <v>1710665</v>
      </c>
      <c r="J5912" s="0" t="n">
        <v>40449</v>
      </c>
      <c r="K5912" s="0" t="n">
        <v>7891132110186</v>
      </c>
      <c r="L5912" s="0" t="s">
        <v>4774</v>
      </c>
      <c r="N5912" s="0" t="n">
        <v>24</v>
      </c>
      <c r="O5912" s="0" t="n">
        <v>43.44</v>
      </c>
      <c r="P5912" s="0" t="s">
        <v>2444</v>
      </c>
    </row>
    <row r="5913" customFormat="false" ht="15" hidden="false" customHeight="true" outlineLevel="0" collapsed="false">
      <c r="A5913" s="0" t="n">
        <v>2</v>
      </c>
      <c r="B5913" s="71" t="n">
        <v>46247</v>
      </c>
      <c r="C5913" s="0" t="n">
        <v>11</v>
      </c>
      <c r="D5913" s="0" t="s">
        <v>2471</v>
      </c>
      <c r="E5913" s="0" t="n">
        <v>1608</v>
      </c>
      <c r="F5913" s="0" t="s">
        <v>240</v>
      </c>
      <c r="I5913" s="0" t="n">
        <v>1710665</v>
      </c>
      <c r="J5913" s="0" t="n">
        <v>41038</v>
      </c>
      <c r="K5913" s="0" t="n">
        <v>7891132110223</v>
      </c>
      <c r="L5913" s="0" t="s">
        <v>4775</v>
      </c>
      <c r="N5913" s="0" t="n">
        <v>24</v>
      </c>
      <c r="O5913" s="0" t="n">
        <v>43.44</v>
      </c>
      <c r="P5913" s="0" t="s">
        <v>2444</v>
      </c>
    </row>
    <row r="5914" customFormat="false" ht="15" hidden="false" customHeight="true" outlineLevel="0" collapsed="false">
      <c r="A5914" s="0" t="n">
        <v>2</v>
      </c>
      <c r="B5914" s="71" t="n">
        <v>46247</v>
      </c>
      <c r="C5914" s="0" t="n">
        <v>11</v>
      </c>
      <c r="D5914" s="0" t="s">
        <v>2471</v>
      </c>
      <c r="E5914" s="0" t="n">
        <v>1608</v>
      </c>
      <c r="F5914" s="0" t="s">
        <v>240</v>
      </c>
      <c r="I5914" s="0" t="n">
        <v>1710665</v>
      </c>
      <c r="J5914" s="0" t="n">
        <v>41039</v>
      </c>
      <c r="K5914" s="0" t="n">
        <v>7891132110261</v>
      </c>
      <c r="L5914" s="0" t="s">
        <v>4776</v>
      </c>
      <c r="N5914" s="0" t="n">
        <v>24</v>
      </c>
      <c r="O5914" s="0" t="n">
        <v>43.44</v>
      </c>
      <c r="P5914" s="0" t="s">
        <v>2444</v>
      </c>
    </row>
    <row r="5915" customFormat="false" ht="15" hidden="false" customHeight="true" outlineLevel="0" collapsed="false">
      <c r="A5915" s="0" t="n">
        <v>2</v>
      </c>
      <c r="B5915" s="71" t="n">
        <v>46247</v>
      </c>
      <c r="C5915" s="0" t="n">
        <v>11</v>
      </c>
      <c r="D5915" s="0" t="s">
        <v>2471</v>
      </c>
      <c r="E5915" s="0" t="n">
        <v>1608</v>
      </c>
      <c r="F5915" s="0" t="s">
        <v>240</v>
      </c>
      <c r="I5915" s="0" t="n">
        <v>1710665</v>
      </c>
      <c r="J5915" s="0" t="n">
        <v>41449</v>
      </c>
      <c r="K5915" s="0" t="n">
        <v>7891132110247</v>
      </c>
      <c r="L5915" s="0" t="s">
        <v>4777</v>
      </c>
      <c r="N5915" s="0" t="n">
        <v>6</v>
      </c>
      <c r="O5915" s="0" t="n">
        <v>10.86</v>
      </c>
      <c r="P5915" s="0" t="s">
        <v>2444</v>
      </c>
    </row>
    <row r="5916" customFormat="false" ht="15" hidden="false" customHeight="true" outlineLevel="0" collapsed="false">
      <c r="A5916" s="0" t="n">
        <v>2</v>
      </c>
      <c r="B5916" s="71" t="n">
        <v>46247</v>
      </c>
      <c r="C5916" s="0" t="n">
        <v>11</v>
      </c>
      <c r="D5916" s="0" t="s">
        <v>2471</v>
      </c>
      <c r="E5916" s="0" t="n">
        <v>1608</v>
      </c>
      <c r="F5916" s="0" t="s">
        <v>240</v>
      </c>
      <c r="I5916" s="0" t="n">
        <v>1710665</v>
      </c>
      <c r="J5916" s="0" t="n">
        <v>42793</v>
      </c>
      <c r="K5916" s="0" t="n">
        <v>7891132110230</v>
      </c>
      <c r="L5916" s="0" t="s">
        <v>4778</v>
      </c>
      <c r="N5916" s="0" t="n">
        <v>24</v>
      </c>
      <c r="O5916" s="0" t="n">
        <v>43.44</v>
      </c>
      <c r="P5916" s="0" t="s">
        <v>2444</v>
      </c>
    </row>
    <row r="5917" customFormat="false" ht="15" hidden="false" customHeight="true" outlineLevel="0" collapsed="false">
      <c r="A5917" s="0" t="n">
        <v>2</v>
      </c>
      <c r="B5917" s="71" t="n">
        <v>46247</v>
      </c>
      <c r="C5917" s="0" t="n">
        <v>11</v>
      </c>
      <c r="D5917" s="0" t="s">
        <v>2471</v>
      </c>
      <c r="E5917" s="0" t="n">
        <v>1608</v>
      </c>
      <c r="F5917" s="0" t="s">
        <v>240</v>
      </c>
      <c r="I5917" s="0" t="n">
        <v>1710665</v>
      </c>
      <c r="J5917" s="0" t="n">
        <v>43048</v>
      </c>
      <c r="K5917" s="0" t="n">
        <v>7891132110193</v>
      </c>
      <c r="L5917" s="0" t="s">
        <v>4779</v>
      </c>
      <c r="N5917" s="0" t="n">
        <v>6</v>
      </c>
      <c r="O5917" s="0" t="n">
        <v>10.86</v>
      </c>
      <c r="P5917" s="0" t="s">
        <v>2444</v>
      </c>
    </row>
    <row r="5918" customFormat="false" ht="15" hidden="false" customHeight="true" outlineLevel="0" collapsed="false">
      <c r="A5918" s="0" t="n">
        <v>2</v>
      </c>
      <c r="B5918" s="71" t="n">
        <v>46247</v>
      </c>
      <c r="C5918" s="0" t="n">
        <v>11</v>
      </c>
      <c r="D5918" s="0" t="s">
        <v>2471</v>
      </c>
      <c r="E5918" s="0" t="n">
        <v>1608</v>
      </c>
      <c r="F5918" s="0" t="s">
        <v>240</v>
      </c>
      <c r="I5918" s="0" t="n">
        <v>1710665</v>
      </c>
      <c r="J5918" s="0" t="n">
        <v>51157</v>
      </c>
      <c r="K5918" s="0" t="n">
        <v>7891079013847</v>
      </c>
      <c r="L5918" s="0" t="s">
        <v>4780</v>
      </c>
      <c r="N5918" s="0" t="n">
        <v>6</v>
      </c>
      <c r="O5918" s="0" t="n">
        <v>35.64</v>
      </c>
      <c r="P5918" s="0" t="s">
        <v>2444</v>
      </c>
    </row>
    <row r="5919" customFormat="false" ht="15" hidden="false" customHeight="true" outlineLevel="0" collapsed="false">
      <c r="A5919" s="0" t="n">
        <v>2</v>
      </c>
      <c r="B5919" s="71" t="n">
        <v>46247</v>
      </c>
      <c r="C5919" s="0" t="n">
        <v>11</v>
      </c>
      <c r="D5919" s="0" t="s">
        <v>2471</v>
      </c>
      <c r="E5919" s="0" t="n">
        <v>1608</v>
      </c>
      <c r="F5919" s="0" t="s">
        <v>240</v>
      </c>
      <c r="I5919" s="0" t="n">
        <v>1710665</v>
      </c>
      <c r="J5919" s="0" t="n">
        <v>51165</v>
      </c>
      <c r="K5919" s="0" t="n">
        <v>7891079013861</v>
      </c>
      <c r="L5919" s="0" t="s">
        <v>4781</v>
      </c>
      <c r="N5919" s="0" t="n">
        <v>6</v>
      </c>
      <c r="O5919" s="0" t="n">
        <v>35.64</v>
      </c>
      <c r="P5919" s="0" t="s">
        <v>2444</v>
      </c>
    </row>
    <row r="5920" customFormat="false" ht="15" hidden="false" customHeight="true" outlineLevel="0" collapsed="false">
      <c r="A5920" s="0" t="n">
        <v>2</v>
      </c>
      <c r="B5920" s="71" t="n">
        <v>46247</v>
      </c>
      <c r="C5920" s="0" t="n">
        <v>11</v>
      </c>
      <c r="D5920" s="0" t="s">
        <v>2471</v>
      </c>
      <c r="E5920" s="0" t="n">
        <v>1608</v>
      </c>
      <c r="F5920" s="0" t="s">
        <v>240</v>
      </c>
      <c r="I5920" s="0" t="n">
        <v>1710665</v>
      </c>
      <c r="J5920" s="0" t="n">
        <v>68691</v>
      </c>
      <c r="K5920" s="0" t="n">
        <v>7891079014172</v>
      </c>
      <c r="L5920" s="0" t="s">
        <v>4782</v>
      </c>
      <c r="N5920" s="0" t="n">
        <v>12</v>
      </c>
      <c r="O5920" s="0" t="n">
        <v>71.28</v>
      </c>
      <c r="P5920" s="0" t="s">
        <v>2444</v>
      </c>
    </row>
    <row r="5921" customFormat="false" ht="15" hidden="false" customHeight="true" outlineLevel="0" collapsed="false">
      <c r="A5921" s="0" t="n">
        <v>2</v>
      </c>
      <c r="B5921" s="71" t="n">
        <v>46247</v>
      </c>
      <c r="C5921" s="0" t="n">
        <v>22</v>
      </c>
      <c r="D5921" s="0" t="s">
        <v>2479</v>
      </c>
      <c r="E5921" s="0" t="n">
        <v>48</v>
      </c>
      <c r="F5921" s="0" t="s">
        <v>153</v>
      </c>
      <c r="I5921" s="0" t="n">
        <v>2602</v>
      </c>
      <c r="J5921" s="0" t="n">
        <v>100000</v>
      </c>
      <c r="K5921" s="0" t="n">
        <v>1</v>
      </c>
      <c r="L5921" s="0" t="s">
        <v>2480</v>
      </c>
      <c r="N5921" s="0" t="n">
        <v>2.506</v>
      </c>
      <c r="O5921" s="0" t="n">
        <v>50.44</v>
      </c>
      <c r="P5921" s="0" t="s">
        <v>2444</v>
      </c>
    </row>
    <row r="5922" customFormat="false" ht="15" hidden="false" customHeight="true" outlineLevel="0" collapsed="false">
      <c r="A5922" s="0" t="n">
        <v>2</v>
      </c>
      <c r="B5922" s="71" t="n">
        <v>46247</v>
      </c>
      <c r="C5922" s="0" t="n">
        <v>22</v>
      </c>
      <c r="D5922" s="0" t="s">
        <v>2479</v>
      </c>
      <c r="E5922" s="0" t="n">
        <v>48</v>
      </c>
      <c r="F5922" s="0" t="s">
        <v>153</v>
      </c>
      <c r="I5922" s="0" t="n">
        <v>2602</v>
      </c>
      <c r="J5922" s="0" t="n">
        <v>100000</v>
      </c>
      <c r="K5922" s="0" t="n">
        <v>1</v>
      </c>
      <c r="L5922" s="0" t="s">
        <v>2480</v>
      </c>
      <c r="N5922" s="0" t="n">
        <v>3.228</v>
      </c>
      <c r="O5922" s="0" t="n">
        <v>66.12</v>
      </c>
      <c r="P5922" s="0" t="s">
        <v>2444</v>
      </c>
    </row>
    <row r="5923" customFormat="false" ht="15" hidden="false" customHeight="true" outlineLevel="0" collapsed="false">
      <c r="A5923" s="0" t="n">
        <v>2</v>
      </c>
      <c r="B5923" s="71" t="n">
        <v>46247</v>
      </c>
      <c r="C5923" s="0" t="n">
        <v>22</v>
      </c>
      <c r="D5923" s="0" t="s">
        <v>2479</v>
      </c>
      <c r="E5923" s="0" t="n">
        <v>48</v>
      </c>
      <c r="F5923" s="0" t="s">
        <v>153</v>
      </c>
      <c r="I5923" s="0" t="n">
        <v>2602</v>
      </c>
      <c r="J5923" s="0" t="n">
        <v>100001</v>
      </c>
      <c r="K5923" s="0" t="n">
        <v>2</v>
      </c>
      <c r="L5923" s="0" t="s">
        <v>2481</v>
      </c>
      <c r="N5923" s="0" t="n">
        <v>7.935</v>
      </c>
      <c r="O5923" s="0" t="n">
        <v>173.04</v>
      </c>
      <c r="P5923" s="0" t="s">
        <v>2444</v>
      </c>
    </row>
    <row r="5924" customFormat="false" ht="15" hidden="false" customHeight="true" outlineLevel="0" collapsed="false">
      <c r="A5924" s="0" t="n">
        <v>2</v>
      </c>
      <c r="B5924" s="71" t="n">
        <v>46247</v>
      </c>
      <c r="C5924" s="0" t="n">
        <v>22</v>
      </c>
      <c r="D5924" s="0" t="s">
        <v>2479</v>
      </c>
      <c r="E5924" s="0" t="n">
        <v>48</v>
      </c>
      <c r="F5924" s="0" t="s">
        <v>153</v>
      </c>
      <c r="I5924" s="0" t="n">
        <v>2602</v>
      </c>
      <c r="J5924" s="0" t="n">
        <v>100002</v>
      </c>
      <c r="K5924" s="0" t="n">
        <v>3</v>
      </c>
      <c r="L5924" s="0" t="s">
        <v>2482</v>
      </c>
      <c r="N5924" s="0" t="n">
        <v>17.68</v>
      </c>
      <c r="O5924" s="0" t="n">
        <v>444.89</v>
      </c>
      <c r="P5924" s="0" t="s">
        <v>2444</v>
      </c>
    </row>
    <row r="5925" customFormat="false" ht="15" hidden="false" customHeight="true" outlineLevel="0" collapsed="false">
      <c r="A5925" s="0" t="n">
        <v>2</v>
      </c>
      <c r="B5925" s="71" t="n">
        <v>46247</v>
      </c>
      <c r="C5925" s="0" t="n">
        <v>22</v>
      </c>
      <c r="D5925" s="0" t="s">
        <v>2479</v>
      </c>
      <c r="E5925" s="0" t="n">
        <v>48</v>
      </c>
      <c r="F5925" s="0" t="s">
        <v>153</v>
      </c>
      <c r="I5925" s="0" t="n">
        <v>2602</v>
      </c>
      <c r="J5925" s="0" t="n">
        <v>100003</v>
      </c>
      <c r="K5925" s="0" t="n">
        <v>4</v>
      </c>
      <c r="L5925" s="0" t="s">
        <v>2483</v>
      </c>
      <c r="N5925" s="0" t="n">
        <v>18.7</v>
      </c>
      <c r="O5925" s="0" t="n">
        <v>501.94</v>
      </c>
      <c r="P5925" s="0" t="s">
        <v>2444</v>
      </c>
    </row>
    <row r="5926" customFormat="false" ht="15" hidden="false" customHeight="true" outlineLevel="0" collapsed="false">
      <c r="A5926" s="0" t="n">
        <v>2</v>
      </c>
      <c r="B5926" s="71" t="n">
        <v>46247</v>
      </c>
      <c r="C5926" s="0" t="n">
        <v>22</v>
      </c>
      <c r="D5926" s="0" t="s">
        <v>2479</v>
      </c>
      <c r="E5926" s="0" t="n">
        <v>48</v>
      </c>
      <c r="F5926" s="0" t="s">
        <v>153</v>
      </c>
      <c r="I5926" s="0" t="n">
        <v>2602</v>
      </c>
      <c r="J5926" s="0" t="n">
        <v>100004</v>
      </c>
      <c r="K5926" s="0" t="n">
        <v>5</v>
      </c>
      <c r="L5926" s="0" t="s">
        <v>2484</v>
      </c>
      <c r="N5926" s="0" t="n">
        <v>1.27</v>
      </c>
      <c r="O5926" s="0" t="n">
        <v>29.83</v>
      </c>
      <c r="P5926" s="0" t="s">
        <v>2444</v>
      </c>
    </row>
    <row r="5927" customFormat="false" ht="15" hidden="false" customHeight="true" outlineLevel="0" collapsed="false">
      <c r="A5927" s="0" t="n">
        <v>2</v>
      </c>
      <c r="B5927" s="71" t="n">
        <v>46247</v>
      </c>
      <c r="C5927" s="0" t="n">
        <v>22</v>
      </c>
      <c r="D5927" s="0" t="s">
        <v>2479</v>
      </c>
      <c r="E5927" s="0" t="n">
        <v>48</v>
      </c>
      <c r="F5927" s="0" t="s">
        <v>153</v>
      </c>
      <c r="I5927" s="0" t="n">
        <v>2602</v>
      </c>
      <c r="J5927" s="0" t="n">
        <v>100005</v>
      </c>
      <c r="K5927" s="0" t="n">
        <v>6</v>
      </c>
      <c r="L5927" s="0" t="s">
        <v>2582</v>
      </c>
      <c r="N5927" s="0" t="n">
        <v>3.5</v>
      </c>
      <c r="O5927" s="0" t="n">
        <v>88.07</v>
      </c>
      <c r="P5927" s="0" t="s">
        <v>2444</v>
      </c>
    </row>
    <row r="5928" customFormat="false" ht="15" hidden="false" customHeight="true" outlineLevel="0" collapsed="false">
      <c r="A5928" s="0" t="n">
        <v>2</v>
      </c>
      <c r="B5928" s="71" t="n">
        <v>46247</v>
      </c>
      <c r="C5928" s="0" t="n">
        <v>22</v>
      </c>
      <c r="D5928" s="0" t="s">
        <v>2479</v>
      </c>
      <c r="E5928" s="0" t="n">
        <v>48</v>
      </c>
      <c r="F5928" s="0" t="s">
        <v>153</v>
      </c>
      <c r="I5928" s="0" t="n">
        <v>2602</v>
      </c>
      <c r="J5928" s="0" t="n">
        <v>100006</v>
      </c>
      <c r="K5928" s="0" t="n">
        <v>7</v>
      </c>
      <c r="L5928" s="0" t="s">
        <v>2485</v>
      </c>
      <c r="N5928" s="0" t="n">
        <v>2.406</v>
      </c>
      <c r="O5928" s="0" t="n">
        <v>69.83</v>
      </c>
      <c r="P5928" s="0" t="s">
        <v>2444</v>
      </c>
    </row>
    <row r="5929" customFormat="false" ht="15" hidden="false" customHeight="true" outlineLevel="0" collapsed="false">
      <c r="A5929" s="0" t="n">
        <v>2</v>
      </c>
      <c r="B5929" s="71" t="n">
        <v>46247</v>
      </c>
      <c r="C5929" s="0" t="n">
        <v>22</v>
      </c>
      <c r="D5929" s="0" t="s">
        <v>2479</v>
      </c>
      <c r="E5929" s="0" t="n">
        <v>48</v>
      </c>
      <c r="F5929" s="0" t="s">
        <v>153</v>
      </c>
      <c r="I5929" s="0" t="n">
        <v>2602</v>
      </c>
      <c r="J5929" s="0" t="n">
        <v>100007</v>
      </c>
      <c r="K5929" s="0" t="n">
        <v>8</v>
      </c>
      <c r="L5929" s="0" t="s">
        <v>2486</v>
      </c>
      <c r="N5929" s="0" t="n">
        <v>1.16</v>
      </c>
      <c r="O5929" s="0" t="n">
        <v>29.19</v>
      </c>
      <c r="P5929" s="0" t="s">
        <v>2444</v>
      </c>
    </row>
    <row r="5930" customFormat="false" ht="15" hidden="false" customHeight="true" outlineLevel="0" collapsed="false">
      <c r="A5930" s="0" t="n">
        <v>2</v>
      </c>
      <c r="B5930" s="71" t="n">
        <v>46247</v>
      </c>
      <c r="C5930" s="0" t="n">
        <v>22</v>
      </c>
      <c r="D5930" s="0" t="s">
        <v>2479</v>
      </c>
      <c r="E5930" s="0" t="n">
        <v>48</v>
      </c>
      <c r="F5930" s="0" t="s">
        <v>153</v>
      </c>
      <c r="I5930" s="0" t="n">
        <v>2602</v>
      </c>
      <c r="J5930" s="0" t="n">
        <v>100007</v>
      </c>
      <c r="K5930" s="0" t="n">
        <v>8</v>
      </c>
      <c r="L5930" s="0" t="s">
        <v>2486</v>
      </c>
      <c r="N5930" s="0" t="n">
        <v>1.818</v>
      </c>
      <c r="O5930" s="0" t="n">
        <v>46.55</v>
      </c>
      <c r="P5930" s="0" t="s">
        <v>2444</v>
      </c>
    </row>
    <row r="5931" customFormat="false" ht="15" hidden="false" customHeight="true" outlineLevel="0" collapsed="false">
      <c r="A5931" s="0" t="n">
        <v>2</v>
      </c>
      <c r="B5931" s="71" t="n">
        <v>46247</v>
      </c>
      <c r="C5931" s="0" t="n">
        <v>22</v>
      </c>
      <c r="D5931" s="0" t="s">
        <v>2479</v>
      </c>
      <c r="E5931" s="0" t="n">
        <v>48</v>
      </c>
      <c r="F5931" s="0" t="s">
        <v>153</v>
      </c>
      <c r="I5931" s="0" t="n">
        <v>2602</v>
      </c>
      <c r="J5931" s="0" t="n">
        <v>100008</v>
      </c>
      <c r="K5931" s="0" t="n">
        <v>9</v>
      </c>
      <c r="L5931" s="0" t="s">
        <v>2487</v>
      </c>
      <c r="N5931" s="0" t="n">
        <v>16.14</v>
      </c>
      <c r="O5931" s="0" t="n">
        <v>537.33</v>
      </c>
      <c r="P5931" s="0" t="s">
        <v>2444</v>
      </c>
    </row>
    <row r="5932" customFormat="false" ht="15" hidden="false" customHeight="true" outlineLevel="0" collapsed="false">
      <c r="A5932" s="0" t="n">
        <v>2</v>
      </c>
      <c r="B5932" s="71" t="n">
        <v>46247</v>
      </c>
      <c r="C5932" s="0" t="n">
        <v>22</v>
      </c>
      <c r="D5932" s="0" t="s">
        <v>2479</v>
      </c>
      <c r="E5932" s="0" t="n">
        <v>48</v>
      </c>
      <c r="F5932" s="0" t="s">
        <v>153</v>
      </c>
      <c r="I5932" s="0" t="n">
        <v>2602</v>
      </c>
      <c r="J5932" s="0" t="n">
        <v>100011</v>
      </c>
      <c r="K5932" s="0" t="n">
        <v>12</v>
      </c>
      <c r="L5932" s="0" t="s">
        <v>2488</v>
      </c>
      <c r="N5932" s="0" t="n">
        <v>10.365</v>
      </c>
      <c r="O5932" s="0" t="n">
        <v>398.17</v>
      </c>
      <c r="P5932" s="0" t="s">
        <v>2444</v>
      </c>
    </row>
    <row r="5933" customFormat="false" ht="15" hidden="false" customHeight="true" outlineLevel="0" collapsed="false">
      <c r="A5933" s="0" t="n">
        <v>2</v>
      </c>
      <c r="B5933" s="71" t="n">
        <v>46247</v>
      </c>
      <c r="C5933" s="0" t="n">
        <v>22</v>
      </c>
      <c r="D5933" s="0" t="s">
        <v>2479</v>
      </c>
      <c r="E5933" s="0" t="n">
        <v>48</v>
      </c>
      <c r="F5933" s="0" t="s">
        <v>153</v>
      </c>
      <c r="I5933" s="0" t="n">
        <v>2602</v>
      </c>
      <c r="J5933" s="0" t="n">
        <v>100012</v>
      </c>
      <c r="K5933" s="0" t="n">
        <v>13</v>
      </c>
      <c r="L5933" s="0" t="s">
        <v>2489</v>
      </c>
      <c r="N5933" s="0" t="n">
        <v>5.73</v>
      </c>
      <c r="O5933" s="0" t="n">
        <v>244.58</v>
      </c>
      <c r="P5933" s="0" t="s">
        <v>2444</v>
      </c>
    </row>
    <row r="5934" customFormat="false" ht="15" hidden="false" customHeight="true" outlineLevel="0" collapsed="false">
      <c r="A5934" s="0" t="n">
        <v>2</v>
      </c>
      <c r="B5934" s="71" t="n">
        <v>46247</v>
      </c>
      <c r="C5934" s="0" t="n">
        <v>22</v>
      </c>
      <c r="D5934" s="0" t="s">
        <v>2479</v>
      </c>
      <c r="E5934" s="0" t="n">
        <v>48</v>
      </c>
      <c r="F5934" s="0" t="s">
        <v>153</v>
      </c>
      <c r="I5934" s="0" t="n">
        <v>2602</v>
      </c>
      <c r="J5934" s="0" t="n">
        <v>100013</v>
      </c>
      <c r="K5934" s="0" t="n">
        <v>14</v>
      </c>
      <c r="L5934" s="0" t="s">
        <v>2490</v>
      </c>
      <c r="N5934" s="0" t="n">
        <v>10.615</v>
      </c>
      <c r="O5934" s="0" t="n">
        <v>480.29</v>
      </c>
      <c r="P5934" s="0" t="s">
        <v>2444</v>
      </c>
    </row>
    <row r="5935" customFormat="false" ht="15" hidden="false" customHeight="true" outlineLevel="0" collapsed="false">
      <c r="A5935" s="0" t="n">
        <v>2</v>
      </c>
      <c r="B5935" s="71" t="n">
        <v>46247</v>
      </c>
      <c r="C5935" s="0" t="n">
        <v>22</v>
      </c>
      <c r="D5935" s="0" t="s">
        <v>2479</v>
      </c>
      <c r="E5935" s="0" t="n">
        <v>48</v>
      </c>
      <c r="F5935" s="0" t="s">
        <v>153</v>
      </c>
      <c r="I5935" s="0" t="n">
        <v>2602</v>
      </c>
      <c r="J5935" s="0" t="n">
        <v>100014</v>
      </c>
      <c r="K5935" s="0" t="n">
        <v>15</v>
      </c>
      <c r="L5935" s="0" t="s">
        <v>2491</v>
      </c>
      <c r="N5935" s="0" t="n">
        <v>4.652</v>
      </c>
      <c r="O5935" s="0" t="n">
        <v>214.46</v>
      </c>
      <c r="P5935" s="0" t="s">
        <v>2444</v>
      </c>
    </row>
    <row r="5936" customFormat="false" ht="15" hidden="false" customHeight="true" outlineLevel="0" collapsed="false">
      <c r="A5936" s="0" t="n">
        <v>2</v>
      </c>
      <c r="B5936" s="71" t="n">
        <v>46247</v>
      </c>
      <c r="C5936" s="0" t="n">
        <v>22</v>
      </c>
      <c r="D5936" s="0" t="s">
        <v>2479</v>
      </c>
      <c r="E5936" s="0" t="n">
        <v>48</v>
      </c>
      <c r="F5936" s="0" t="s">
        <v>153</v>
      </c>
      <c r="I5936" s="0" t="n">
        <v>2602</v>
      </c>
      <c r="J5936" s="0" t="n">
        <v>100015</v>
      </c>
      <c r="K5936" s="0" t="n">
        <v>16</v>
      </c>
      <c r="L5936" s="0" t="s">
        <v>2492</v>
      </c>
      <c r="N5936" s="0" t="n">
        <v>1.826</v>
      </c>
      <c r="O5936" s="0" t="n">
        <v>74.82</v>
      </c>
      <c r="P5936" s="0" t="s">
        <v>2444</v>
      </c>
    </row>
    <row r="5937" customFormat="false" ht="15" hidden="false" customHeight="true" outlineLevel="0" collapsed="false">
      <c r="A5937" s="0" t="n">
        <v>2</v>
      </c>
      <c r="B5937" s="71" t="n">
        <v>46247</v>
      </c>
      <c r="C5937" s="0" t="n">
        <v>22</v>
      </c>
      <c r="D5937" s="0" t="s">
        <v>2479</v>
      </c>
      <c r="E5937" s="0" t="n">
        <v>48</v>
      </c>
      <c r="F5937" s="0" t="s">
        <v>153</v>
      </c>
      <c r="I5937" s="0" t="n">
        <v>2602</v>
      </c>
      <c r="J5937" s="0" t="n">
        <v>100016</v>
      </c>
      <c r="K5937" s="0" t="n">
        <v>17</v>
      </c>
      <c r="L5937" s="0" t="s">
        <v>2493</v>
      </c>
      <c r="N5937" s="0" t="n">
        <v>2.578</v>
      </c>
      <c r="O5937" s="0" t="n">
        <v>154.07</v>
      </c>
      <c r="P5937" s="0" t="s">
        <v>2444</v>
      </c>
    </row>
    <row r="5938" customFormat="false" ht="15" hidden="false" customHeight="true" outlineLevel="0" collapsed="false">
      <c r="A5938" s="0" t="n">
        <v>2</v>
      </c>
      <c r="B5938" s="71" t="n">
        <v>46247</v>
      </c>
      <c r="C5938" s="0" t="n">
        <v>22</v>
      </c>
      <c r="D5938" s="0" t="s">
        <v>2479</v>
      </c>
      <c r="E5938" s="0" t="n">
        <v>48</v>
      </c>
      <c r="F5938" s="0" t="s">
        <v>153</v>
      </c>
      <c r="I5938" s="0" t="n">
        <v>2602</v>
      </c>
      <c r="J5938" s="0" t="n">
        <v>100017</v>
      </c>
      <c r="K5938" s="0" t="n">
        <v>18</v>
      </c>
      <c r="L5938" s="0" t="s">
        <v>2494</v>
      </c>
      <c r="N5938" s="0" t="n">
        <v>1.506</v>
      </c>
      <c r="O5938" s="0" t="n">
        <v>90</v>
      </c>
      <c r="P5938" s="0" t="s">
        <v>2444</v>
      </c>
    </row>
    <row r="5939" customFormat="false" ht="15" hidden="false" customHeight="true" outlineLevel="0" collapsed="false">
      <c r="A5939" s="0" t="n">
        <v>2</v>
      </c>
      <c r="B5939" s="71" t="n">
        <v>46247</v>
      </c>
      <c r="C5939" s="0" t="n">
        <v>22</v>
      </c>
      <c r="D5939" s="0" t="s">
        <v>2479</v>
      </c>
      <c r="E5939" s="0" t="n">
        <v>48</v>
      </c>
      <c r="F5939" s="0" t="s">
        <v>153</v>
      </c>
      <c r="I5939" s="0" t="n">
        <v>2602</v>
      </c>
      <c r="J5939" s="0" t="n">
        <v>100053</v>
      </c>
      <c r="K5939" s="0" t="n">
        <v>54</v>
      </c>
      <c r="L5939" s="0" t="s">
        <v>2495</v>
      </c>
      <c r="N5939" s="0" t="n">
        <v>2.15</v>
      </c>
      <c r="O5939" s="0" t="n">
        <v>80.76</v>
      </c>
      <c r="P5939" s="0" t="s">
        <v>2444</v>
      </c>
    </row>
    <row r="5940" customFormat="false" ht="15" hidden="false" customHeight="true" outlineLevel="0" collapsed="false">
      <c r="A5940" s="0" t="n">
        <v>2</v>
      </c>
      <c r="B5940" s="71" t="n">
        <v>46247</v>
      </c>
      <c r="C5940" s="0" t="n">
        <v>22</v>
      </c>
      <c r="D5940" s="0" t="s">
        <v>2479</v>
      </c>
      <c r="E5940" s="0" t="n">
        <v>48</v>
      </c>
      <c r="F5940" s="0" t="s">
        <v>153</v>
      </c>
      <c r="I5940" s="0" t="n">
        <v>2602</v>
      </c>
      <c r="J5940" s="0" t="n">
        <v>100638</v>
      </c>
      <c r="K5940" s="0" t="n">
        <v>508</v>
      </c>
      <c r="L5940" s="0" t="s">
        <v>2496</v>
      </c>
      <c r="N5940" s="0" t="n">
        <v>1.612</v>
      </c>
      <c r="O5940" s="0" t="n">
        <v>4.12</v>
      </c>
      <c r="P5940" s="0" t="s">
        <v>2444</v>
      </c>
    </row>
    <row r="5941" customFormat="false" ht="15" hidden="false" customHeight="true" outlineLevel="0" collapsed="false">
      <c r="A5941" s="0" t="n">
        <v>2</v>
      </c>
      <c r="B5941" s="71" t="n">
        <v>46247</v>
      </c>
      <c r="C5941" s="0" t="n">
        <v>22</v>
      </c>
      <c r="D5941" s="0" t="s">
        <v>2479</v>
      </c>
      <c r="E5941" s="0" t="n">
        <v>48</v>
      </c>
      <c r="F5941" s="0" t="s">
        <v>153</v>
      </c>
      <c r="I5941" s="0" t="n">
        <v>2602</v>
      </c>
      <c r="J5941" s="0" t="n">
        <v>100638</v>
      </c>
      <c r="K5941" s="0" t="n">
        <v>508</v>
      </c>
      <c r="L5941" s="0" t="s">
        <v>2496</v>
      </c>
      <c r="N5941" s="0" t="n">
        <v>1.932</v>
      </c>
      <c r="O5941" s="0" t="n">
        <v>4.85</v>
      </c>
      <c r="P5941" s="0" t="s">
        <v>2444</v>
      </c>
    </row>
    <row r="5942" customFormat="false" ht="15" hidden="false" customHeight="true" outlineLevel="0" collapsed="false">
      <c r="A5942" s="0" t="n">
        <v>2</v>
      </c>
      <c r="B5942" s="71" t="n">
        <v>46247</v>
      </c>
      <c r="C5942" s="0" t="n">
        <v>22</v>
      </c>
      <c r="D5942" s="0" t="s">
        <v>2479</v>
      </c>
      <c r="E5942" s="0" t="n">
        <v>48</v>
      </c>
      <c r="F5942" s="0" t="s">
        <v>153</v>
      </c>
      <c r="I5942" s="0" t="n">
        <v>2602</v>
      </c>
      <c r="J5942" s="0" t="n">
        <v>100520</v>
      </c>
      <c r="K5942" s="0" t="n">
        <v>507</v>
      </c>
      <c r="L5942" s="0" t="s">
        <v>2497</v>
      </c>
      <c r="N5942" s="0" t="n">
        <v>9.97</v>
      </c>
      <c r="O5942" s="0" t="n">
        <v>25.45</v>
      </c>
      <c r="P5942" s="0" t="s">
        <v>2444</v>
      </c>
    </row>
    <row r="5943" customFormat="false" ht="15" hidden="false" customHeight="true" outlineLevel="0" collapsed="false">
      <c r="A5943" s="0" t="n">
        <v>2</v>
      </c>
      <c r="B5943" s="71" t="n">
        <v>46247</v>
      </c>
      <c r="C5943" s="0" t="n">
        <v>22</v>
      </c>
      <c r="D5943" s="0" t="s">
        <v>2479</v>
      </c>
      <c r="E5943" s="0" t="n">
        <v>48</v>
      </c>
      <c r="F5943" s="0" t="s">
        <v>153</v>
      </c>
      <c r="I5943" s="0" t="n">
        <v>2602</v>
      </c>
      <c r="J5943" s="0" t="n">
        <v>100520</v>
      </c>
      <c r="K5943" s="0" t="n">
        <v>507</v>
      </c>
      <c r="L5943" s="0" t="s">
        <v>2497</v>
      </c>
      <c r="N5943" s="0" t="n">
        <v>2.392</v>
      </c>
      <c r="O5943" s="0" t="n">
        <v>6</v>
      </c>
      <c r="P5943" s="0" t="s">
        <v>2444</v>
      </c>
    </row>
    <row r="5944" customFormat="false" ht="15" hidden="false" customHeight="true" outlineLevel="0" collapsed="false">
      <c r="A5944" s="0" t="n">
        <v>2</v>
      </c>
      <c r="B5944" s="71" t="n">
        <v>46247</v>
      </c>
      <c r="C5944" s="0" t="n">
        <v>22</v>
      </c>
      <c r="D5944" s="0" t="s">
        <v>2479</v>
      </c>
      <c r="E5944" s="0" t="n">
        <v>48</v>
      </c>
      <c r="F5944" s="0" t="s">
        <v>153</v>
      </c>
      <c r="I5944" s="0" t="n">
        <v>2602</v>
      </c>
      <c r="J5944" s="0" t="n">
        <v>110455</v>
      </c>
      <c r="K5944" s="0" t="n">
        <v>53212</v>
      </c>
      <c r="L5944" s="0" t="s">
        <v>2498</v>
      </c>
      <c r="N5944" s="0" t="n">
        <v>0.675</v>
      </c>
      <c r="O5944" s="0" t="n">
        <v>0</v>
      </c>
      <c r="P5944" s="0" t="s">
        <v>2444</v>
      </c>
    </row>
    <row r="5945" customFormat="false" ht="15" hidden="false" customHeight="true" outlineLevel="0" collapsed="false">
      <c r="A5945" s="0" t="n">
        <v>2</v>
      </c>
      <c r="B5945" s="71" t="n">
        <v>46247</v>
      </c>
      <c r="C5945" s="0" t="n">
        <v>22</v>
      </c>
      <c r="D5945" s="0" t="s">
        <v>2479</v>
      </c>
      <c r="E5945" s="0" t="n">
        <v>48</v>
      </c>
      <c r="F5945" s="0" t="s">
        <v>153</v>
      </c>
      <c r="I5945" s="0" t="n">
        <v>2602</v>
      </c>
      <c r="J5945" s="0" t="n">
        <v>110455</v>
      </c>
      <c r="K5945" s="0" t="n">
        <v>53212</v>
      </c>
      <c r="L5945" s="0" t="s">
        <v>2498</v>
      </c>
      <c r="N5945" s="0" t="n">
        <v>0.754</v>
      </c>
      <c r="O5945" s="0" t="n">
        <v>0</v>
      </c>
      <c r="P5945" s="0" t="s">
        <v>2444</v>
      </c>
    </row>
    <row r="5946" customFormat="false" ht="15" hidden="false" customHeight="true" outlineLevel="0" collapsed="false">
      <c r="A5946" s="0" t="n">
        <v>2</v>
      </c>
      <c r="B5946" s="71" t="n">
        <v>46247</v>
      </c>
      <c r="C5946" s="0" t="n">
        <v>100</v>
      </c>
      <c r="D5946" s="0" t="s">
        <v>2499</v>
      </c>
      <c r="E5946" s="0" t="n">
        <v>48</v>
      </c>
      <c r="F5946" s="0" t="s">
        <v>153</v>
      </c>
      <c r="I5946" s="0" t="n">
        <v>1542561</v>
      </c>
      <c r="J5946" s="0" t="n">
        <v>100000</v>
      </c>
      <c r="K5946" s="0" t="n">
        <v>1</v>
      </c>
      <c r="L5946" s="0" t="s">
        <v>2480</v>
      </c>
      <c r="N5946" s="0" t="n">
        <v>2.506</v>
      </c>
      <c r="O5946" s="0" t="n">
        <v>50.44</v>
      </c>
      <c r="P5946" s="0" t="s">
        <v>2444</v>
      </c>
    </row>
    <row r="5947" customFormat="false" ht="15" hidden="false" customHeight="true" outlineLevel="0" collapsed="false">
      <c r="A5947" s="0" t="n">
        <v>2</v>
      </c>
      <c r="B5947" s="71" t="n">
        <v>46247</v>
      </c>
      <c r="C5947" s="0" t="n">
        <v>100</v>
      </c>
      <c r="D5947" s="0" t="s">
        <v>2499</v>
      </c>
      <c r="E5947" s="0" t="n">
        <v>48</v>
      </c>
      <c r="F5947" s="0" t="s">
        <v>153</v>
      </c>
      <c r="I5947" s="0" t="n">
        <v>1542561</v>
      </c>
      <c r="J5947" s="0" t="n">
        <v>100001</v>
      </c>
      <c r="K5947" s="0" t="n">
        <v>2</v>
      </c>
      <c r="L5947" s="0" t="s">
        <v>2481</v>
      </c>
      <c r="N5947" s="0" t="n">
        <v>7.935</v>
      </c>
      <c r="O5947" s="0" t="n">
        <v>173.04</v>
      </c>
      <c r="P5947" s="0" t="s">
        <v>2444</v>
      </c>
    </row>
    <row r="5948" customFormat="false" ht="15" hidden="false" customHeight="true" outlineLevel="0" collapsed="false">
      <c r="A5948" s="0" t="n">
        <v>2</v>
      </c>
      <c r="B5948" s="71" t="n">
        <v>46247</v>
      </c>
      <c r="C5948" s="0" t="n">
        <v>100</v>
      </c>
      <c r="D5948" s="0" t="s">
        <v>2499</v>
      </c>
      <c r="E5948" s="0" t="n">
        <v>48</v>
      </c>
      <c r="F5948" s="0" t="s">
        <v>153</v>
      </c>
      <c r="I5948" s="0" t="n">
        <v>1542561</v>
      </c>
      <c r="J5948" s="0" t="n">
        <v>100002</v>
      </c>
      <c r="K5948" s="0" t="n">
        <v>3</v>
      </c>
      <c r="L5948" s="0" t="s">
        <v>2482</v>
      </c>
      <c r="N5948" s="0" t="n">
        <v>17.68</v>
      </c>
      <c r="O5948" s="0" t="n">
        <v>444.89</v>
      </c>
      <c r="P5948" s="0" t="s">
        <v>2444</v>
      </c>
    </row>
    <row r="5949" customFormat="false" ht="15" hidden="false" customHeight="true" outlineLevel="0" collapsed="false">
      <c r="A5949" s="0" t="n">
        <v>2</v>
      </c>
      <c r="B5949" s="71" t="n">
        <v>46247</v>
      </c>
      <c r="C5949" s="0" t="n">
        <v>100</v>
      </c>
      <c r="D5949" s="0" t="s">
        <v>2499</v>
      </c>
      <c r="E5949" s="0" t="n">
        <v>48</v>
      </c>
      <c r="F5949" s="0" t="s">
        <v>153</v>
      </c>
      <c r="I5949" s="0" t="n">
        <v>1542561</v>
      </c>
      <c r="J5949" s="0" t="n">
        <v>100003</v>
      </c>
      <c r="K5949" s="0" t="n">
        <v>4</v>
      </c>
      <c r="L5949" s="0" t="s">
        <v>2483</v>
      </c>
      <c r="N5949" s="0" t="n">
        <v>18.7</v>
      </c>
      <c r="O5949" s="0" t="n">
        <v>501.94</v>
      </c>
      <c r="P5949" s="0" t="s">
        <v>2444</v>
      </c>
    </row>
    <row r="5950" customFormat="false" ht="15" hidden="false" customHeight="true" outlineLevel="0" collapsed="false">
      <c r="A5950" s="0" t="n">
        <v>2</v>
      </c>
      <c r="B5950" s="71" t="n">
        <v>46247</v>
      </c>
      <c r="C5950" s="0" t="n">
        <v>100</v>
      </c>
      <c r="D5950" s="0" t="s">
        <v>2499</v>
      </c>
      <c r="E5950" s="0" t="n">
        <v>48</v>
      </c>
      <c r="F5950" s="0" t="s">
        <v>153</v>
      </c>
      <c r="I5950" s="0" t="n">
        <v>1542561</v>
      </c>
      <c r="J5950" s="0" t="n">
        <v>100004</v>
      </c>
      <c r="K5950" s="0" t="n">
        <v>5</v>
      </c>
      <c r="L5950" s="0" t="s">
        <v>2484</v>
      </c>
      <c r="N5950" s="0" t="n">
        <v>1.27</v>
      </c>
      <c r="O5950" s="0" t="n">
        <v>29.83</v>
      </c>
      <c r="P5950" s="0" t="s">
        <v>2444</v>
      </c>
    </row>
    <row r="5951" customFormat="false" ht="15" hidden="false" customHeight="true" outlineLevel="0" collapsed="false">
      <c r="A5951" s="0" t="n">
        <v>2</v>
      </c>
      <c r="B5951" s="71" t="n">
        <v>46247</v>
      </c>
      <c r="C5951" s="0" t="n">
        <v>100</v>
      </c>
      <c r="D5951" s="0" t="s">
        <v>2499</v>
      </c>
      <c r="E5951" s="0" t="n">
        <v>48</v>
      </c>
      <c r="F5951" s="0" t="s">
        <v>153</v>
      </c>
      <c r="I5951" s="0" t="n">
        <v>1542561</v>
      </c>
      <c r="J5951" s="0" t="n">
        <v>100005</v>
      </c>
      <c r="K5951" s="0" t="n">
        <v>6</v>
      </c>
      <c r="L5951" s="0" t="s">
        <v>2582</v>
      </c>
      <c r="N5951" s="0" t="n">
        <v>3.5</v>
      </c>
      <c r="O5951" s="0" t="n">
        <v>88.07</v>
      </c>
      <c r="P5951" s="0" t="s">
        <v>2444</v>
      </c>
    </row>
    <row r="5952" customFormat="false" ht="15" hidden="false" customHeight="true" outlineLevel="0" collapsed="false">
      <c r="A5952" s="0" t="n">
        <v>2</v>
      </c>
      <c r="B5952" s="71" t="n">
        <v>46247</v>
      </c>
      <c r="C5952" s="0" t="n">
        <v>100</v>
      </c>
      <c r="D5952" s="0" t="s">
        <v>2499</v>
      </c>
      <c r="E5952" s="0" t="n">
        <v>48</v>
      </c>
      <c r="F5952" s="0" t="s">
        <v>153</v>
      </c>
      <c r="I5952" s="0" t="n">
        <v>1542561</v>
      </c>
      <c r="J5952" s="0" t="n">
        <v>100007</v>
      </c>
      <c r="K5952" s="0" t="n">
        <v>8</v>
      </c>
      <c r="L5952" s="0" t="s">
        <v>2486</v>
      </c>
      <c r="N5952" s="0" t="n">
        <v>1.16</v>
      </c>
      <c r="O5952" s="0" t="n">
        <v>29.19</v>
      </c>
      <c r="P5952" s="0" t="s">
        <v>2444</v>
      </c>
    </row>
    <row r="5953" customFormat="false" ht="15" hidden="false" customHeight="true" outlineLevel="0" collapsed="false">
      <c r="A5953" s="0" t="n">
        <v>2</v>
      </c>
      <c r="B5953" s="71" t="n">
        <v>46247</v>
      </c>
      <c r="C5953" s="0" t="n">
        <v>100</v>
      </c>
      <c r="D5953" s="0" t="s">
        <v>2499</v>
      </c>
      <c r="E5953" s="0" t="n">
        <v>48</v>
      </c>
      <c r="F5953" s="0" t="s">
        <v>153</v>
      </c>
      <c r="I5953" s="0" t="n">
        <v>1542561</v>
      </c>
      <c r="J5953" s="0" t="n">
        <v>100638</v>
      </c>
      <c r="K5953" s="0" t="n">
        <v>508</v>
      </c>
      <c r="L5953" s="0" t="s">
        <v>2496</v>
      </c>
      <c r="N5953" s="0" t="n">
        <v>1.932</v>
      </c>
      <c r="O5953" s="0" t="n">
        <v>4.85</v>
      </c>
      <c r="P5953" s="0" t="s">
        <v>2444</v>
      </c>
    </row>
    <row r="5954" customFormat="false" ht="15" hidden="false" customHeight="true" outlineLevel="0" collapsed="false">
      <c r="A5954" s="0" t="n">
        <v>2</v>
      </c>
      <c r="B5954" s="71" t="n">
        <v>46247</v>
      </c>
      <c r="C5954" s="0" t="n">
        <v>100</v>
      </c>
      <c r="D5954" s="0" t="s">
        <v>2499</v>
      </c>
      <c r="E5954" s="0" t="n">
        <v>48</v>
      </c>
      <c r="F5954" s="0" t="s">
        <v>153</v>
      </c>
      <c r="I5954" s="0" t="n">
        <v>1542561</v>
      </c>
      <c r="J5954" s="0" t="n">
        <v>100520</v>
      </c>
      <c r="K5954" s="0" t="n">
        <v>507</v>
      </c>
      <c r="L5954" s="0" t="s">
        <v>2497</v>
      </c>
      <c r="N5954" s="0" t="n">
        <v>2.392</v>
      </c>
      <c r="O5954" s="0" t="n">
        <v>6</v>
      </c>
      <c r="P5954" s="0" t="s">
        <v>2444</v>
      </c>
    </row>
    <row r="5955" customFormat="false" ht="15" hidden="false" customHeight="true" outlineLevel="0" collapsed="false">
      <c r="A5955" s="0" t="n">
        <v>2</v>
      </c>
      <c r="B5955" s="71" t="n">
        <v>46247</v>
      </c>
      <c r="C5955" s="0" t="n">
        <v>100</v>
      </c>
      <c r="D5955" s="0" t="s">
        <v>2499</v>
      </c>
      <c r="E5955" s="0" t="n">
        <v>48</v>
      </c>
      <c r="F5955" s="0" t="s">
        <v>153</v>
      </c>
      <c r="I5955" s="0" t="n">
        <v>1542561</v>
      </c>
      <c r="J5955" s="0" t="n">
        <v>110455</v>
      </c>
      <c r="K5955" s="0" t="n">
        <v>53212</v>
      </c>
      <c r="L5955" s="0" t="s">
        <v>2498</v>
      </c>
      <c r="N5955" s="0" t="n">
        <v>0.675</v>
      </c>
      <c r="O5955" s="0" t="n">
        <v>0</v>
      </c>
      <c r="P5955" s="0" t="s">
        <v>2444</v>
      </c>
    </row>
    <row r="5956" customFormat="false" ht="15" hidden="false" customHeight="true" outlineLevel="0" collapsed="false">
      <c r="A5956" s="0" t="n">
        <v>2</v>
      </c>
      <c r="B5956" s="71" t="n">
        <v>46247</v>
      </c>
      <c r="C5956" s="0" t="n">
        <v>100</v>
      </c>
      <c r="D5956" s="0" t="s">
        <v>2499</v>
      </c>
      <c r="E5956" s="0" t="n">
        <v>48</v>
      </c>
      <c r="F5956" s="0" t="s">
        <v>153</v>
      </c>
      <c r="I5956" s="0" t="n">
        <v>1542587</v>
      </c>
      <c r="J5956" s="0" t="n">
        <v>100000</v>
      </c>
      <c r="K5956" s="0" t="n">
        <v>1</v>
      </c>
      <c r="L5956" s="0" t="s">
        <v>2480</v>
      </c>
      <c r="N5956" s="0" t="n">
        <v>3.228</v>
      </c>
      <c r="O5956" s="0" t="n">
        <v>66.12</v>
      </c>
      <c r="P5956" s="0" t="s">
        <v>2444</v>
      </c>
    </row>
    <row r="5957" customFormat="false" ht="15" hidden="false" customHeight="true" outlineLevel="0" collapsed="false">
      <c r="A5957" s="0" t="n">
        <v>2</v>
      </c>
      <c r="B5957" s="71" t="n">
        <v>46247</v>
      </c>
      <c r="C5957" s="0" t="n">
        <v>100</v>
      </c>
      <c r="D5957" s="0" t="s">
        <v>2499</v>
      </c>
      <c r="E5957" s="0" t="n">
        <v>48</v>
      </c>
      <c r="F5957" s="0" t="s">
        <v>153</v>
      </c>
      <c r="I5957" s="0" t="n">
        <v>1542587</v>
      </c>
      <c r="J5957" s="0" t="n">
        <v>100006</v>
      </c>
      <c r="K5957" s="0" t="n">
        <v>7</v>
      </c>
      <c r="L5957" s="0" t="s">
        <v>2485</v>
      </c>
      <c r="N5957" s="0" t="n">
        <v>2.406</v>
      </c>
      <c r="O5957" s="0" t="n">
        <v>69.83</v>
      </c>
      <c r="P5957" s="0" t="s">
        <v>2444</v>
      </c>
    </row>
    <row r="5958" customFormat="false" ht="15" hidden="false" customHeight="true" outlineLevel="0" collapsed="false">
      <c r="A5958" s="0" t="n">
        <v>2</v>
      </c>
      <c r="B5958" s="71" t="n">
        <v>46247</v>
      </c>
      <c r="C5958" s="0" t="n">
        <v>100</v>
      </c>
      <c r="D5958" s="0" t="s">
        <v>2499</v>
      </c>
      <c r="E5958" s="0" t="n">
        <v>48</v>
      </c>
      <c r="F5958" s="0" t="s">
        <v>153</v>
      </c>
      <c r="I5958" s="0" t="n">
        <v>1542587</v>
      </c>
      <c r="J5958" s="0" t="n">
        <v>100007</v>
      </c>
      <c r="K5958" s="0" t="n">
        <v>8</v>
      </c>
      <c r="L5958" s="0" t="s">
        <v>2486</v>
      </c>
      <c r="N5958" s="0" t="n">
        <v>1.818</v>
      </c>
      <c r="O5958" s="0" t="n">
        <v>46.55</v>
      </c>
      <c r="P5958" s="0" t="s">
        <v>2444</v>
      </c>
    </row>
    <row r="5959" customFormat="false" ht="15" hidden="false" customHeight="true" outlineLevel="0" collapsed="false">
      <c r="A5959" s="0" t="n">
        <v>2</v>
      </c>
      <c r="B5959" s="71" t="n">
        <v>46247</v>
      </c>
      <c r="C5959" s="0" t="n">
        <v>100</v>
      </c>
      <c r="D5959" s="0" t="s">
        <v>2499</v>
      </c>
      <c r="E5959" s="0" t="n">
        <v>48</v>
      </c>
      <c r="F5959" s="0" t="s">
        <v>153</v>
      </c>
      <c r="I5959" s="0" t="n">
        <v>1542587</v>
      </c>
      <c r="J5959" s="0" t="n">
        <v>100008</v>
      </c>
      <c r="K5959" s="0" t="n">
        <v>9</v>
      </c>
      <c r="L5959" s="0" t="s">
        <v>2487</v>
      </c>
      <c r="N5959" s="0" t="n">
        <v>16.14</v>
      </c>
      <c r="O5959" s="0" t="n">
        <v>537.33</v>
      </c>
      <c r="P5959" s="0" t="s">
        <v>2444</v>
      </c>
    </row>
    <row r="5960" customFormat="false" ht="15" hidden="false" customHeight="true" outlineLevel="0" collapsed="false">
      <c r="A5960" s="0" t="n">
        <v>2</v>
      </c>
      <c r="B5960" s="71" t="n">
        <v>46247</v>
      </c>
      <c r="C5960" s="0" t="n">
        <v>100</v>
      </c>
      <c r="D5960" s="0" t="s">
        <v>2499</v>
      </c>
      <c r="E5960" s="0" t="n">
        <v>48</v>
      </c>
      <c r="F5960" s="0" t="s">
        <v>153</v>
      </c>
      <c r="I5960" s="0" t="n">
        <v>1542587</v>
      </c>
      <c r="J5960" s="0" t="n">
        <v>100011</v>
      </c>
      <c r="K5960" s="0" t="n">
        <v>12</v>
      </c>
      <c r="L5960" s="0" t="s">
        <v>2488</v>
      </c>
      <c r="N5960" s="0" t="n">
        <v>10.365</v>
      </c>
      <c r="O5960" s="0" t="n">
        <v>398.17</v>
      </c>
      <c r="P5960" s="0" t="s">
        <v>2444</v>
      </c>
    </row>
    <row r="5961" customFormat="false" ht="15" hidden="false" customHeight="true" outlineLevel="0" collapsed="false">
      <c r="A5961" s="0" t="n">
        <v>2</v>
      </c>
      <c r="B5961" s="71" t="n">
        <v>46247</v>
      </c>
      <c r="C5961" s="0" t="n">
        <v>100</v>
      </c>
      <c r="D5961" s="0" t="s">
        <v>2499</v>
      </c>
      <c r="E5961" s="0" t="n">
        <v>48</v>
      </c>
      <c r="F5961" s="0" t="s">
        <v>153</v>
      </c>
      <c r="I5961" s="0" t="n">
        <v>1542587</v>
      </c>
      <c r="J5961" s="0" t="n">
        <v>100012</v>
      </c>
      <c r="K5961" s="0" t="n">
        <v>13</v>
      </c>
      <c r="L5961" s="0" t="s">
        <v>2489</v>
      </c>
      <c r="N5961" s="0" t="n">
        <v>5.73</v>
      </c>
      <c r="O5961" s="0" t="n">
        <v>244.58</v>
      </c>
      <c r="P5961" s="0" t="s">
        <v>2444</v>
      </c>
    </row>
    <row r="5962" customFormat="false" ht="15" hidden="false" customHeight="true" outlineLevel="0" collapsed="false">
      <c r="A5962" s="0" t="n">
        <v>2</v>
      </c>
      <c r="B5962" s="71" t="n">
        <v>46247</v>
      </c>
      <c r="C5962" s="0" t="n">
        <v>100</v>
      </c>
      <c r="D5962" s="0" t="s">
        <v>2499</v>
      </c>
      <c r="E5962" s="0" t="n">
        <v>48</v>
      </c>
      <c r="F5962" s="0" t="s">
        <v>153</v>
      </c>
      <c r="I5962" s="0" t="n">
        <v>1542587</v>
      </c>
      <c r="J5962" s="0" t="n">
        <v>100013</v>
      </c>
      <c r="K5962" s="0" t="n">
        <v>14</v>
      </c>
      <c r="L5962" s="0" t="s">
        <v>2490</v>
      </c>
      <c r="N5962" s="0" t="n">
        <v>10.615</v>
      </c>
      <c r="O5962" s="0" t="n">
        <v>480.29</v>
      </c>
      <c r="P5962" s="0" t="s">
        <v>2444</v>
      </c>
    </row>
    <row r="5963" customFormat="false" ht="15" hidden="false" customHeight="true" outlineLevel="0" collapsed="false">
      <c r="A5963" s="0" t="n">
        <v>2</v>
      </c>
      <c r="B5963" s="71" t="n">
        <v>46247</v>
      </c>
      <c r="C5963" s="0" t="n">
        <v>100</v>
      </c>
      <c r="D5963" s="0" t="s">
        <v>2499</v>
      </c>
      <c r="E5963" s="0" t="n">
        <v>48</v>
      </c>
      <c r="F5963" s="0" t="s">
        <v>153</v>
      </c>
      <c r="I5963" s="0" t="n">
        <v>1542587</v>
      </c>
      <c r="J5963" s="0" t="n">
        <v>100014</v>
      </c>
      <c r="K5963" s="0" t="n">
        <v>15</v>
      </c>
      <c r="L5963" s="0" t="s">
        <v>2491</v>
      </c>
      <c r="N5963" s="0" t="n">
        <v>4.652</v>
      </c>
      <c r="O5963" s="0" t="n">
        <v>214.46</v>
      </c>
      <c r="P5963" s="0" t="s">
        <v>2444</v>
      </c>
    </row>
    <row r="5964" customFormat="false" ht="15" hidden="false" customHeight="true" outlineLevel="0" collapsed="false">
      <c r="A5964" s="0" t="n">
        <v>2</v>
      </c>
      <c r="B5964" s="71" t="n">
        <v>46247</v>
      </c>
      <c r="C5964" s="0" t="n">
        <v>100</v>
      </c>
      <c r="D5964" s="0" t="s">
        <v>2499</v>
      </c>
      <c r="E5964" s="0" t="n">
        <v>48</v>
      </c>
      <c r="F5964" s="0" t="s">
        <v>153</v>
      </c>
      <c r="I5964" s="0" t="n">
        <v>1542587</v>
      </c>
      <c r="J5964" s="0" t="n">
        <v>100015</v>
      </c>
      <c r="K5964" s="0" t="n">
        <v>16</v>
      </c>
      <c r="L5964" s="0" t="s">
        <v>2492</v>
      </c>
      <c r="N5964" s="0" t="n">
        <v>1.826</v>
      </c>
      <c r="O5964" s="0" t="n">
        <v>74.82</v>
      </c>
      <c r="P5964" s="0" t="s">
        <v>2444</v>
      </c>
    </row>
    <row r="5965" customFormat="false" ht="15" hidden="false" customHeight="true" outlineLevel="0" collapsed="false">
      <c r="A5965" s="0" t="n">
        <v>2</v>
      </c>
      <c r="B5965" s="71" t="n">
        <v>46247</v>
      </c>
      <c r="C5965" s="0" t="n">
        <v>100</v>
      </c>
      <c r="D5965" s="0" t="s">
        <v>2499</v>
      </c>
      <c r="E5965" s="0" t="n">
        <v>48</v>
      </c>
      <c r="F5965" s="0" t="s">
        <v>153</v>
      </c>
      <c r="I5965" s="0" t="n">
        <v>1542587</v>
      </c>
      <c r="J5965" s="0" t="n">
        <v>100016</v>
      </c>
      <c r="K5965" s="0" t="n">
        <v>17</v>
      </c>
      <c r="L5965" s="0" t="s">
        <v>2493</v>
      </c>
      <c r="N5965" s="0" t="n">
        <v>2.578</v>
      </c>
      <c r="O5965" s="0" t="n">
        <v>154.07</v>
      </c>
      <c r="P5965" s="0" t="s">
        <v>2444</v>
      </c>
    </row>
    <row r="5966" customFormat="false" ht="15" hidden="false" customHeight="true" outlineLevel="0" collapsed="false">
      <c r="A5966" s="0" t="n">
        <v>2</v>
      </c>
      <c r="B5966" s="71" t="n">
        <v>46247</v>
      </c>
      <c r="C5966" s="0" t="n">
        <v>100</v>
      </c>
      <c r="D5966" s="0" t="s">
        <v>2499</v>
      </c>
      <c r="E5966" s="0" t="n">
        <v>48</v>
      </c>
      <c r="F5966" s="0" t="s">
        <v>153</v>
      </c>
      <c r="I5966" s="0" t="n">
        <v>1542587</v>
      </c>
      <c r="J5966" s="0" t="n">
        <v>100017</v>
      </c>
      <c r="K5966" s="0" t="n">
        <v>18</v>
      </c>
      <c r="L5966" s="0" t="s">
        <v>2494</v>
      </c>
      <c r="N5966" s="0" t="n">
        <v>1.506</v>
      </c>
      <c r="O5966" s="0" t="n">
        <v>90</v>
      </c>
      <c r="P5966" s="0" t="s">
        <v>2444</v>
      </c>
    </row>
    <row r="5967" customFormat="false" ht="15" hidden="false" customHeight="true" outlineLevel="0" collapsed="false">
      <c r="A5967" s="0" t="n">
        <v>2</v>
      </c>
      <c r="B5967" s="71" t="n">
        <v>46247</v>
      </c>
      <c r="C5967" s="0" t="n">
        <v>100</v>
      </c>
      <c r="D5967" s="0" t="s">
        <v>2499</v>
      </c>
      <c r="E5967" s="0" t="n">
        <v>48</v>
      </c>
      <c r="F5967" s="0" t="s">
        <v>153</v>
      </c>
      <c r="I5967" s="0" t="n">
        <v>1542587</v>
      </c>
      <c r="J5967" s="0" t="n">
        <v>100053</v>
      </c>
      <c r="K5967" s="0" t="n">
        <v>54</v>
      </c>
      <c r="L5967" s="0" t="s">
        <v>2495</v>
      </c>
      <c r="N5967" s="0" t="n">
        <v>2.15</v>
      </c>
      <c r="O5967" s="0" t="n">
        <v>80.76</v>
      </c>
      <c r="P5967" s="0" t="s">
        <v>2444</v>
      </c>
    </row>
    <row r="5968" customFormat="false" ht="15" hidden="false" customHeight="true" outlineLevel="0" collapsed="false">
      <c r="A5968" s="0" t="n">
        <v>2</v>
      </c>
      <c r="B5968" s="71" t="n">
        <v>46247</v>
      </c>
      <c r="C5968" s="0" t="n">
        <v>100</v>
      </c>
      <c r="D5968" s="0" t="s">
        <v>2499</v>
      </c>
      <c r="E5968" s="0" t="n">
        <v>48</v>
      </c>
      <c r="F5968" s="0" t="s">
        <v>153</v>
      </c>
      <c r="I5968" s="0" t="n">
        <v>1542587</v>
      </c>
      <c r="J5968" s="0" t="n">
        <v>100638</v>
      </c>
      <c r="K5968" s="0" t="n">
        <v>508</v>
      </c>
      <c r="L5968" s="0" t="s">
        <v>2496</v>
      </c>
      <c r="N5968" s="0" t="n">
        <v>1.612</v>
      </c>
      <c r="O5968" s="0" t="n">
        <v>4.12</v>
      </c>
      <c r="P5968" s="0" t="s">
        <v>2444</v>
      </c>
    </row>
    <row r="5969" customFormat="false" ht="15" hidden="false" customHeight="true" outlineLevel="0" collapsed="false">
      <c r="A5969" s="0" t="n">
        <v>2</v>
      </c>
      <c r="B5969" s="71" t="n">
        <v>46247</v>
      </c>
      <c r="C5969" s="0" t="n">
        <v>100</v>
      </c>
      <c r="D5969" s="0" t="s">
        <v>2499</v>
      </c>
      <c r="E5969" s="0" t="n">
        <v>48</v>
      </c>
      <c r="F5969" s="0" t="s">
        <v>153</v>
      </c>
      <c r="I5969" s="0" t="n">
        <v>1542587</v>
      </c>
      <c r="J5969" s="0" t="n">
        <v>100520</v>
      </c>
      <c r="K5969" s="0" t="n">
        <v>507</v>
      </c>
      <c r="L5969" s="0" t="s">
        <v>2497</v>
      </c>
      <c r="N5969" s="0" t="n">
        <v>9.97</v>
      </c>
      <c r="O5969" s="0" t="n">
        <v>25.45</v>
      </c>
      <c r="P5969" s="0" t="s">
        <v>2444</v>
      </c>
    </row>
    <row r="5970" customFormat="false" ht="15" hidden="false" customHeight="true" outlineLevel="0" collapsed="false">
      <c r="A5970" s="0" t="n">
        <v>2</v>
      </c>
      <c r="B5970" s="71" t="n">
        <v>46247</v>
      </c>
      <c r="C5970" s="0" t="n">
        <v>100</v>
      </c>
      <c r="D5970" s="0" t="s">
        <v>2499</v>
      </c>
      <c r="E5970" s="0" t="n">
        <v>48</v>
      </c>
      <c r="F5970" s="0" t="s">
        <v>153</v>
      </c>
      <c r="I5970" s="0" t="n">
        <v>1542587</v>
      </c>
      <c r="J5970" s="0" t="n">
        <v>110455</v>
      </c>
      <c r="K5970" s="0" t="n">
        <v>53212</v>
      </c>
      <c r="L5970" s="0" t="s">
        <v>2498</v>
      </c>
      <c r="N5970" s="0" t="n">
        <v>0.754</v>
      </c>
      <c r="O5970" s="0" t="n">
        <v>0</v>
      </c>
      <c r="P5970" s="0" t="s">
        <v>2444</v>
      </c>
    </row>
    <row r="5971" customFormat="false" ht="15" hidden="false" customHeight="true" outlineLevel="0" collapsed="false">
      <c r="A5971" s="0" t="n">
        <v>2</v>
      </c>
      <c r="B5971" s="71" t="n">
        <v>46247</v>
      </c>
      <c r="C5971" s="0" t="n">
        <v>171</v>
      </c>
      <c r="D5971" s="0" t="s">
        <v>3017</v>
      </c>
      <c r="E5971" s="0" t="n">
        <v>1740</v>
      </c>
      <c r="F5971" s="0" t="s">
        <v>468</v>
      </c>
      <c r="I5971" s="0" t="n">
        <v>1258802</v>
      </c>
      <c r="J5971" s="0" t="n">
        <v>25413</v>
      </c>
      <c r="K5971" s="0" t="n">
        <v>7891000241417</v>
      </c>
      <c r="L5971" s="0" t="s">
        <v>2825</v>
      </c>
      <c r="N5971" s="0" t="n">
        <v>1</v>
      </c>
      <c r="O5971" s="0" t="n">
        <v>12.29</v>
      </c>
      <c r="P5971" s="0" t="s">
        <v>3019</v>
      </c>
    </row>
    <row r="5972" customFormat="false" ht="15" hidden="false" customHeight="true" outlineLevel="0" collapsed="false">
      <c r="A5972" s="0" t="n">
        <v>2</v>
      </c>
      <c r="B5972" s="71" t="n">
        <v>46247</v>
      </c>
      <c r="C5972" s="0" t="n">
        <v>171</v>
      </c>
      <c r="D5972" s="0" t="s">
        <v>3017</v>
      </c>
      <c r="E5972" s="0" t="n">
        <v>1740</v>
      </c>
      <c r="F5972" s="0" t="s">
        <v>468</v>
      </c>
      <c r="I5972" s="0" t="n">
        <v>1258802</v>
      </c>
      <c r="J5972" s="0" t="n">
        <v>27874</v>
      </c>
      <c r="K5972" s="0" t="n">
        <v>7891000260609</v>
      </c>
      <c r="L5972" s="0" t="s">
        <v>2827</v>
      </c>
      <c r="N5972" s="0" t="n">
        <v>2</v>
      </c>
      <c r="O5972" s="0" t="n">
        <v>7.1</v>
      </c>
      <c r="P5972" s="0" t="s">
        <v>3019</v>
      </c>
    </row>
    <row r="5973" customFormat="false" ht="15" hidden="false" customHeight="true" outlineLevel="0" collapsed="false">
      <c r="A5973" s="0" t="n">
        <v>2</v>
      </c>
      <c r="B5973" s="71" t="n">
        <v>46248</v>
      </c>
      <c r="C5973" s="0" t="n">
        <v>6</v>
      </c>
      <c r="D5973" s="0" t="s">
        <v>2553</v>
      </c>
      <c r="E5973" s="0" t="n">
        <v>48</v>
      </c>
      <c r="F5973" s="0" t="s">
        <v>153</v>
      </c>
      <c r="I5973" s="0" t="n">
        <v>2603</v>
      </c>
      <c r="J5973" s="0" t="n">
        <v>42564</v>
      </c>
      <c r="K5973" s="0" t="n">
        <v>574</v>
      </c>
      <c r="L5973" s="0" t="s">
        <v>2534</v>
      </c>
      <c r="N5973" s="0" t="n">
        <v>15</v>
      </c>
      <c r="O5973" s="0" t="n">
        <v>225</v>
      </c>
      <c r="P5973" s="0" t="s">
        <v>2444</v>
      </c>
    </row>
    <row r="5974" customFormat="false" ht="15" hidden="false" customHeight="true" outlineLevel="0" collapsed="false">
      <c r="A5974" s="0" t="n">
        <v>2</v>
      </c>
      <c r="B5974" s="71" t="n">
        <v>46248</v>
      </c>
      <c r="C5974" s="0" t="n">
        <v>6</v>
      </c>
      <c r="D5974" s="0" t="s">
        <v>2553</v>
      </c>
      <c r="E5974" s="0" t="n">
        <v>48</v>
      </c>
      <c r="F5974" s="0" t="s">
        <v>153</v>
      </c>
      <c r="I5974" s="0" t="n">
        <v>2604</v>
      </c>
      <c r="J5974" s="0" t="n">
        <v>110142</v>
      </c>
      <c r="K5974" s="0" t="n">
        <v>16699</v>
      </c>
      <c r="L5974" s="0" t="s">
        <v>2549</v>
      </c>
      <c r="N5974" s="0" t="n">
        <v>20</v>
      </c>
      <c r="O5974" s="0" t="n">
        <v>115</v>
      </c>
      <c r="P5974" s="0" t="s">
        <v>2444</v>
      </c>
    </row>
    <row r="5975" customFormat="false" ht="15" hidden="false" customHeight="true" outlineLevel="0" collapsed="false">
      <c r="A5975" s="0" t="n">
        <v>2</v>
      </c>
      <c r="B5975" s="71" t="n">
        <v>46248</v>
      </c>
      <c r="C5975" s="0" t="n">
        <v>6</v>
      </c>
      <c r="D5975" s="0" t="s">
        <v>2553</v>
      </c>
      <c r="E5975" s="0" t="n">
        <v>48</v>
      </c>
      <c r="F5975" s="0" t="s">
        <v>153</v>
      </c>
      <c r="I5975" s="0" t="n">
        <v>2605</v>
      </c>
      <c r="J5975" s="0" t="n">
        <v>100105</v>
      </c>
      <c r="K5975" s="0" t="n">
        <v>106</v>
      </c>
      <c r="L5975" s="0" t="s">
        <v>2536</v>
      </c>
      <c r="N5975" s="0" t="n">
        <v>24</v>
      </c>
      <c r="O5975" s="0" t="n">
        <v>130</v>
      </c>
      <c r="P5975" s="0" t="s">
        <v>2444</v>
      </c>
    </row>
    <row r="5976" customFormat="false" ht="15" hidden="false" customHeight="true" outlineLevel="0" collapsed="false">
      <c r="A5976" s="0" t="n">
        <v>2</v>
      </c>
      <c r="B5976" s="71" t="n">
        <v>46248</v>
      </c>
      <c r="C5976" s="0" t="n">
        <v>6</v>
      </c>
      <c r="D5976" s="0" t="s">
        <v>2553</v>
      </c>
      <c r="E5976" s="0" t="n">
        <v>48</v>
      </c>
      <c r="F5976" s="0" t="s">
        <v>153</v>
      </c>
      <c r="I5976" s="0" t="n">
        <v>2605</v>
      </c>
      <c r="J5976" s="0" t="n">
        <v>100112</v>
      </c>
      <c r="K5976" s="0" t="n">
        <v>113</v>
      </c>
      <c r="L5976" s="0" t="s">
        <v>2538</v>
      </c>
      <c r="N5976" s="0" t="n">
        <v>10</v>
      </c>
      <c r="O5976" s="0" t="n">
        <v>30</v>
      </c>
      <c r="P5976" s="0" t="s">
        <v>2444</v>
      </c>
    </row>
    <row r="5977" customFormat="false" ht="15" hidden="false" customHeight="true" outlineLevel="0" collapsed="false">
      <c r="A5977" s="0" t="n">
        <v>2</v>
      </c>
      <c r="B5977" s="71" t="n">
        <v>46248</v>
      </c>
      <c r="C5977" s="0" t="n">
        <v>6</v>
      </c>
      <c r="D5977" s="0" t="s">
        <v>2553</v>
      </c>
      <c r="E5977" s="0" t="n">
        <v>48</v>
      </c>
      <c r="F5977" s="0" t="s">
        <v>153</v>
      </c>
      <c r="I5977" s="0" t="n">
        <v>2605</v>
      </c>
      <c r="J5977" s="0" t="n">
        <v>100113</v>
      </c>
      <c r="K5977" s="0" t="n">
        <v>114</v>
      </c>
      <c r="L5977" s="0" t="s">
        <v>2539</v>
      </c>
      <c r="N5977" s="0" t="n">
        <v>20</v>
      </c>
      <c r="O5977" s="0" t="n">
        <v>90</v>
      </c>
      <c r="P5977" s="0" t="s">
        <v>2444</v>
      </c>
    </row>
    <row r="5978" customFormat="false" ht="15" hidden="false" customHeight="true" outlineLevel="0" collapsed="false">
      <c r="A5978" s="0" t="n">
        <v>2</v>
      </c>
      <c r="B5978" s="71" t="n">
        <v>46248</v>
      </c>
      <c r="C5978" s="0" t="n">
        <v>6</v>
      </c>
      <c r="D5978" s="0" t="s">
        <v>2553</v>
      </c>
      <c r="E5978" s="0" t="n">
        <v>48</v>
      </c>
      <c r="F5978" s="0" t="s">
        <v>153</v>
      </c>
      <c r="I5978" s="0" t="n">
        <v>2605</v>
      </c>
      <c r="J5978" s="0" t="n">
        <v>100115</v>
      </c>
      <c r="K5978" s="0" t="n">
        <v>116</v>
      </c>
      <c r="L5978" s="0" t="s">
        <v>2694</v>
      </c>
      <c r="N5978" s="0" t="n">
        <v>15</v>
      </c>
      <c r="O5978" s="0" t="n">
        <v>150</v>
      </c>
      <c r="P5978" s="0" t="s">
        <v>2444</v>
      </c>
    </row>
    <row r="5979" customFormat="false" ht="15" hidden="false" customHeight="true" outlineLevel="0" collapsed="false">
      <c r="A5979" s="0" t="n">
        <v>2</v>
      </c>
      <c r="B5979" s="71" t="n">
        <v>46248</v>
      </c>
      <c r="C5979" s="0" t="n">
        <v>6</v>
      </c>
      <c r="D5979" s="0" t="s">
        <v>2553</v>
      </c>
      <c r="E5979" s="0" t="n">
        <v>48</v>
      </c>
      <c r="F5979" s="0" t="s">
        <v>153</v>
      </c>
      <c r="I5979" s="0" t="n">
        <v>2605</v>
      </c>
      <c r="J5979" s="0" t="n">
        <v>100116</v>
      </c>
      <c r="K5979" s="0" t="n">
        <v>117</v>
      </c>
      <c r="L5979" s="0" t="s">
        <v>2540</v>
      </c>
      <c r="N5979" s="0" t="n">
        <v>2</v>
      </c>
      <c r="O5979" s="0" t="n">
        <v>40</v>
      </c>
      <c r="P5979" s="0" t="s">
        <v>2444</v>
      </c>
    </row>
    <row r="5980" customFormat="false" ht="15" hidden="false" customHeight="true" outlineLevel="0" collapsed="false">
      <c r="A5980" s="0" t="n">
        <v>2</v>
      </c>
      <c r="B5980" s="71" t="n">
        <v>46248</v>
      </c>
      <c r="C5980" s="0" t="n">
        <v>6</v>
      </c>
      <c r="D5980" s="0" t="s">
        <v>2553</v>
      </c>
      <c r="E5980" s="0" t="n">
        <v>48</v>
      </c>
      <c r="F5980" s="0" t="s">
        <v>153</v>
      </c>
      <c r="I5980" s="0" t="n">
        <v>2605</v>
      </c>
      <c r="J5980" s="0" t="n">
        <v>100125</v>
      </c>
      <c r="K5980" s="0" t="n">
        <v>126</v>
      </c>
      <c r="L5980" s="0" t="s">
        <v>2597</v>
      </c>
      <c r="N5980" s="0" t="n">
        <v>20</v>
      </c>
      <c r="O5980" s="0" t="n">
        <v>140</v>
      </c>
      <c r="P5980" s="0" t="s">
        <v>2444</v>
      </c>
    </row>
    <row r="5981" customFormat="false" ht="15" hidden="false" customHeight="true" outlineLevel="0" collapsed="false">
      <c r="A5981" s="0" t="n">
        <v>2</v>
      </c>
      <c r="B5981" s="71" t="n">
        <v>46248</v>
      </c>
      <c r="C5981" s="0" t="n">
        <v>6</v>
      </c>
      <c r="D5981" s="0" t="s">
        <v>2553</v>
      </c>
      <c r="E5981" s="0" t="n">
        <v>48</v>
      </c>
      <c r="F5981" s="0" t="s">
        <v>153</v>
      </c>
      <c r="I5981" s="0" t="n">
        <v>2605</v>
      </c>
      <c r="J5981" s="0" t="n">
        <v>100129</v>
      </c>
      <c r="K5981" s="0" t="n">
        <v>130</v>
      </c>
      <c r="L5981" s="0" t="s">
        <v>2598</v>
      </c>
      <c r="N5981" s="0" t="n">
        <v>7</v>
      </c>
      <c r="O5981" s="0" t="n">
        <v>43.1</v>
      </c>
      <c r="P5981" s="0" t="s">
        <v>2444</v>
      </c>
    </row>
    <row r="5982" customFormat="false" ht="15" hidden="false" customHeight="true" outlineLevel="0" collapsed="false">
      <c r="A5982" s="0" t="n">
        <v>2</v>
      </c>
      <c r="B5982" s="71" t="n">
        <v>46248</v>
      </c>
      <c r="C5982" s="0" t="n">
        <v>6</v>
      </c>
      <c r="D5982" s="0" t="s">
        <v>2553</v>
      </c>
      <c r="E5982" s="0" t="n">
        <v>48</v>
      </c>
      <c r="F5982" s="0" t="s">
        <v>153</v>
      </c>
      <c r="I5982" s="0" t="n">
        <v>2605</v>
      </c>
      <c r="J5982" s="0" t="n">
        <v>100130</v>
      </c>
      <c r="K5982" s="0" t="n">
        <v>131</v>
      </c>
      <c r="L5982" s="0" t="s">
        <v>2545</v>
      </c>
      <c r="N5982" s="0" t="n">
        <v>25</v>
      </c>
      <c r="O5982" s="0" t="n">
        <v>175</v>
      </c>
      <c r="P5982" s="0" t="s">
        <v>2444</v>
      </c>
    </row>
    <row r="5983" customFormat="false" ht="15" hidden="false" customHeight="true" outlineLevel="0" collapsed="false">
      <c r="A5983" s="0" t="n">
        <v>2</v>
      </c>
      <c r="B5983" s="71" t="n">
        <v>46248</v>
      </c>
      <c r="C5983" s="0" t="n">
        <v>6</v>
      </c>
      <c r="D5983" s="0" t="s">
        <v>2553</v>
      </c>
      <c r="E5983" s="0" t="n">
        <v>48</v>
      </c>
      <c r="F5983" s="0" t="s">
        <v>153</v>
      </c>
      <c r="I5983" s="0" t="n">
        <v>2605</v>
      </c>
      <c r="J5983" s="0" t="n">
        <v>100132</v>
      </c>
      <c r="K5983" s="0" t="n">
        <v>133</v>
      </c>
      <c r="L5983" s="0" t="s">
        <v>2546</v>
      </c>
      <c r="N5983" s="0" t="n">
        <v>41.36</v>
      </c>
      <c r="O5983" s="0" t="n">
        <v>152.6</v>
      </c>
      <c r="P5983" s="0" t="s">
        <v>2444</v>
      </c>
    </row>
    <row r="5984" customFormat="false" ht="15" hidden="false" customHeight="true" outlineLevel="0" collapsed="false">
      <c r="A5984" s="0" t="n">
        <v>2</v>
      </c>
      <c r="B5984" s="71" t="n">
        <v>46248</v>
      </c>
      <c r="C5984" s="0" t="n">
        <v>6</v>
      </c>
      <c r="D5984" s="0" t="s">
        <v>2553</v>
      </c>
      <c r="E5984" s="0" t="n">
        <v>48</v>
      </c>
      <c r="F5984" s="0" t="s">
        <v>153</v>
      </c>
      <c r="I5984" s="0" t="n">
        <v>2605</v>
      </c>
      <c r="J5984" s="0" t="n">
        <v>100133</v>
      </c>
      <c r="K5984" s="0" t="n">
        <v>134</v>
      </c>
      <c r="L5984" s="0" t="s">
        <v>2547</v>
      </c>
      <c r="N5984" s="0" t="n">
        <v>14</v>
      </c>
      <c r="O5984" s="0" t="n">
        <v>91</v>
      </c>
      <c r="P5984" s="0" t="s">
        <v>2444</v>
      </c>
    </row>
    <row r="5985" customFormat="false" ht="15" hidden="false" customHeight="true" outlineLevel="0" collapsed="false">
      <c r="A5985" s="0" t="n">
        <v>2</v>
      </c>
      <c r="B5985" s="71" t="n">
        <v>46248</v>
      </c>
      <c r="C5985" s="0" t="n">
        <v>6</v>
      </c>
      <c r="D5985" s="0" t="s">
        <v>2553</v>
      </c>
      <c r="E5985" s="0" t="n">
        <v>48</v>
      </c>
      <c r="F5985" s="0" t="s">
        <v>153</v>
      </c>
      <c r="I5985" s="0" t="n">
        <v>2605</v>
      </c>
      <c r="J5985" s="0" t="n">
        <v>100135</v>
      </c>
      <c r="K5985" s="0" t="n">
        <v>136</v>
      </c>
      <c r="L5985" s="0" t="s">
        <v>2599</v>
      </c>
      <c r="N5985" s="0" t="n">
        <v>13</v>
      </c>
      <c r="O5985" s="0" t="n">
        <v>115.5</v>
      </c>
      <c r="P5985" s="0" t="s">
        <v>2444</v>
      </c>
    </row>
    <row r="5986" customFormat="false" ht="15" hidden="false" customHeight="true" outlineLevel="0" collapsed="false">
      <c r="A5986" s="0" t="n">
        <v>2</v>
      </c>
      <c r="B5986" s="71" t="n">
        <v>46248</v>
      </c>
      <c r="C5986" s="0" t="n">
        <v>6</v>
      </c>
      <c r="D5986" s="0" t="s">
        <v>2553</v>
      </c>
      <c r="E5986" s="0" t="n">
        <v>48</v>
      </c>
      <c r="F5986" s="0" t="s">
        <v>153</v>
      </c>
      <c r="I5986" s="0" t="n">
        <v>2605</v>
      </c>
      <c r="J5986" s="0" t="n">
        <v>110165</v>
      </c>
      <c r="K5986" s="0" t="n">
        <v>37441</v>
      </c>
      <c r="L5986" s="0" t="s">
        <v>4682</v>
      </c>
      <c r="N5986" s="0" t="n">
        <v>15</v>
      </c>
      <c r="O5986" s="0" t="n">
        <v>105</v>
      </c>
      <c r="P5986" s="0" t="s">
        <v>2444</v>
      </c>
    </row>
    <row r="5987" customFormat="false" ht="15" hidden="false" customHeight="true" outlineLevel="0" collapsed="false">
      <c r="A5987" s="0" t="n">
        <v>2</v>
      </c>
      <c r="B5987" s="71" t="n">
        <v>46248</v>
      </c>
      <c r="C5987" s="0" t="n">
        <v>6</v>
      </c>
      <c r="D5987" s="0" t="s">
        <v>2553</v>
      </c>
      <c r="E5987" s="0" t="n">
        <v>48</v>
      </c>
      <c r="F5987" s="0" t="s">
        <v>153</v>
      </c>
      <c r="I5987" s="0" t="n">
        <v>2605</v>
      </c>
      <c r="J5987" s="0" t="n">
        <v>110374</v>
      </c>
      <c r="K5987" s="0" t="n">
        <v>48077</v>
      </c>
      <c r="L5987" s="0" t="s">
        <v>2696</v>
      </c>
      <c r="N5987" s="0" t="n">
        <v>5</v>
      </c>
      <c r="O5987" s="0" t="n">
        <v>35</v>
      </c>
      <c r="P5987" s="0" t="s">
        <v>2444</v>
      </c>
    </row>
    <row r="5988" customFormat="false" ht="15" hidden="false" customHeight="true" outlineLevel="0" collapsed="false">
      <c r="A5988" s="0" t="n">
        <v>2</v>
      </c>
      <c r="B5988" s="71" t="n">
        <v>46248</v>
      </c>
      <c r="C5988" s="0" t="n">
        <v>6</v>
      </c>
      <c r="D5988" s="0" t="s">
        <v>2553</v>
      </c>
      <c r="E5988" s="0" t="n">
        <v>48</v>
      </c>
      <c r="F5988" s="0" t="s">
        <v>153</v>
      </c>
      <c r="I5988" s="0" t="n">
        <v>2605</v>
      </c>
      <c r="J5988" s="0" t="n">
        <v>110489</v>
      </c>
      <c r="K5988" s="0" t="n">
        <v>54743</v>
      </c>
      <c r="L5988" s="0" t="s">
        <v>2550</v>
      </c>
      <c r="N5988" s="0" t="n">
        <v>60</v>
      </c>
      <c r="O5988" s="0" t="n">
        <v>420</v>
      </c>
      <c r="P5988" s="0" t="s">
        <v>2444</v>
      </c>
    </row>
    <row r="5989" customFormat="false" ht="15" hidden="false" customHeight="true" outlineLevel="0" collapsed="false">
      <c r="A5989" s="0" t="n">
        <v>2</v>
      </c>
      <c r="B5989" s="71" t="n">
        <v>46248</v>
      </c>
      <c r="C5989" s="0" t="n">
        <v>6</v>
      </c>
      <c r="D5989" s="0" t="s">
        <v>2553</v>
      </c>
      <c r="E5989" s="0" t="n">
        <v>48</v>
      </c>
      <c r="F5989" s="0" t="s">
        <v>153</v>
      </c>
      <c r="I5989" s="0" t="n">
        <v>2605</v>
      </c>
      <c r="J5989" s="0" t="n">
        <v>80078</v>
      </c>
      <c r="K5989" s="0" t="n">
        <v>710</v>
      </c>
      <c r="L5989" s="0" t="s">
        <v>2551</v>
      </c>
      <c r="N5989" s="0" t="n">
        <v>5</v>
      </c>
      <c r="O5989" s="0" t="n">
        <v>15</v>
      </c>
      <c r="P5989" s="0" t="s">
        <v>2444</v>
      </c>
    </row>
    <row r="5990" customFormat="false" ht="15" hidden="false" customHeight="true" outlineLevel="0" collapsed="false">
      <c r="A5990" s="0" t="n">
        <v>2</v>
      </c>
      <c r="B5990" s="71" t="n">
        <v>46248</v>
      </c>
      <c r="C5990" s="0" t="n">
        <v>6</v>
      </c>
      <c r="D5990" s="0" t="s">
        <v>2553</v>
      </c>
      <c r="E5990" s="0" t="n">
        <v>48</v>
      </c>
      <c r="F5990" s="0" t="s">
        <v>153</v>
      </c>
      <c r="I5990" s="0" t="n">
        <v>2605</v>
      </c>
      <c r="J5990" s="0" t="n">
        <v>80156</v>
      </c>
      <c r="K5990" s="0" t="n">
        <v>727</v>
      </c>
      <c r="L5990" s="0" t="s">
        <v>4218</v>
      </c>
      <c r="N5990" s="0" t="n">
        <v>10</v>
      </c>
      <c r="O5990" s="0" t="n">
        <v>20</v>
      </c>
      <c r="P5990" s="0" t="s">
        <v>2444</v>
      </c>
    </row>
    <row r="5991" customFormat="false" ht="15" hidden="false" customHeight="true" outlineLevel="0" collapsed="false">
      <c r="A5991" s="0" t="n">
        <v>2</v>
      </c>
      <c r="B5991" s="71" t="n">
        <v>46248</v>
      </c>
      <c r="C5991" s="0" t="n">
        <v>6</v>
      </c>
      <c r="D5991" s="0" t="s">
        <v>2553</v>
      </c>
      <c r="E5991" s="0" t="n">
        <v>48</v>
      </c>
      <c r="F5991" s="0" t="s">
        <v>153</v>
      </c>
      <c r="I5991" s="0" t="n">
        <v>2605</v>
      </c>
      <c r="J5991" s="0" t="n">
        <v>80308</v>
      </c>
      <c r="K5991" s="0" t="n">
        <v>1250</v>
      </c>
      <c r="L5991" s="0" t="s">
        <v>2552</v>
      </c>
      <c r="N5991" s="0" t="n">
        <v>20</v>
      </c>
      <c r="O5991" s="0" t="n">
        <v>80</v>
      </c>
      <c r="P5991" s="0" t="s">
        <v>2444</v>
      </c>
    </row>
    <row r="5992" customFormat="false" ht="15" hidden="false" customHeight="true" outlineLevel="0" collapsed="false">
      <c r="A5992" s="0" t="n">
        <v>2</v>
      </c>
      <c r="B5992" s="71" t="n">
        <v>46248</v>
      </c>
      <c r="C5992" s="0" t="n">
        <v>6</v>
      </c>
      <c r="D5992" s="0" t="s">
        <v>2553</v>
      </c>
      <c r="E5992" s="0" t="n">
        <v>48</v>
      </c>
      <c r="F5992" s="0" t="s">
        <v>153</v>
      </c>
      <c r="I5992" s="0" t="n">
        <v>2605</v>
      </c>
      <c r="J5992" s="0" t="n">
        <v>81106</v>
      </c>
      <c r="K5992" s="0" t="n">
        <v>1168</v>
      </c>
      <c r="L5992" s="0" t="s">
        <v>4683</v>
      </c>
      <c r="N5992" s="0" t="n">
        <v>15</v>
      </c>
      <c r="O5992" s="0" t="n">
        <v>67.5</v>
      </c>
      <c r="P5992" s="0" t="s">
        <v>2444</v>
      </c>
    </row>
    <row r="5993" customFormat="false" ht="15" hidden="false" customHeight="true" outlineLevel="0" collapsed="false">
      <c r="A5993" s="0" t="n">
        <v>2</v>
      </c>
      <c r="B5993" s="71" t="n">
        <v>46248</v>
      </c>
      <c r="C5993" s="0" t="n">
        <v>11</v>
      </c>
      <c r="D5993" s="0" t="s">
        <v>2471</v>
      </c>
      <c r="E5993" s="0" t="n">
        <v>1152</v>
      </c>
      <c r="F5993" s="0" t="s">
        <v>812</v>
      </c>
      <c r="I5993" s="0" t="n">
        <v>269</v>
      </c>
      <c r="J5993" s="0" t="n">
        <v>108486</v>
      </c>
      <c r="K5993" s="0" t="n">
        <v>7898316970055</v>
      </c>
      <c r="L5993" s="0" t="s">
        <v>3609</v>
      </c>
      <c r="N5993" s="0" t="n">
        <v>50</v>
      </c>
      <c r="O5993" s="0" t="n">
        <v>250</v>
      </c>
      <c r="P5993" s="0" t="s">
        <v>2444</v>
      </c>
    </row>
    <row r="5994" customFormat="false" ht="15" hidden="false" customHeight="true" outlineLevel="0" collapsed="false">
      <c r="A5994" s="0" t="n">
        <v>2</v>
      </c>
      <c r="B5994" s="71" t="n">
        <v>46248</v>
      </c>
      <c r="C5994" s="0" t="n">
        <v>11</v>
      </c>
      <c r="D5994" s="0" t="s">
        <v>2471</v>
      </c>
      <c r="E5994" s="0" t="n">
        <v>1152</v>
      </c>
      <c r="F5994" s="0" t="s">
        <v>812</v>
      </c>
      <c r="I5994" s="0" t="n">
        <v>269</v>
      </c>
      <c r="J5994" s="0" t="n">
        <v>108487</v>
      </c>
      <c r="K5994" s="0" t="n">
        <v>7898316970017</v>
      </c>
      <c r="L5994" s="0" t="s">
        <v>3610</v>
      </c>
      <c r="N5994" s="0" t="n">
        <v>75</v>
      </c>
      <c r="O5994" s="0" t="n">
        <v>795</v>
      </c>
      <c r="P5994" s="0" t="s">
        <v>2444</v>
      </c>
    </row>
    <row r="5995" customFormat="false" ht="15" hidden="false" customHeight="true" outlineLevel="0" collapsed="false">
      <c r="A5995" s="0" t="n">
        <v>2</v>
      </c>
      <c r="B5995" s="71" t="n">
        <v>46248</v>
      </c>
      <c r="C5995" s="0" t="n">
        <v>11</v>
      </c>
      <c r="D5995" s="0" t="s">
        <v>2471</v>
      </c>
      <c r="E5995" s="0" t="n">
        <v>10035</v>
      </c>
      <c r="F5995" s="0" t="s">
        <v>86</v>
      </c>
      <c r="I5995" s="0" t="n">
        <v>401</v>
      </c>
      <c r="J5995" s="0" t="n">
        <v>38652</v>
      </c>
      <c r="K5995" s="0" t="n">
        <v>7898994684220</v>
      </c>
      <c r="L5995" s="0" t="s">
        <v>2711</v>
      </c>
      <c r="N5995" s="0" t="n">
        <v>15</v>
      </c>
      <c r="O5995" s="0" t="n">
        <v>135</v>
      </c>
      <c r="P5995" s="0" t="s">
        <v>2444</v>
      </c>
    </row>
    <row r="5996" customFormat="false" ht="15" hidden="false" customHeight="true" outlineLevel="0" collapsed="false">
      <c r="A5996" s="0" t="n">
        <v>2</v>
      </c>
      <c r="B5996" s="71" t="n">
        <v>46248</v>
      </c>
      <c r="C5996" s="0" t="n">
        <v>11</v>
      </c>
      <c r="D5996" s="0" t="s">
        <v>2471</v>
      </c>
      <c r="E5996" s="0" t="n">
        <v>10035</v>
      </c>
      <c r="F5996" s="0" t="s">
        <v>86</v>
      </c>
      <c r="I5996" s="0" t="n">
        <v>401</v>
      </c>
      <c r="J5996" s="0" t="n">
        <v>38653</v>
      </c>
      <c r="K5996" s="0" t="n">
        <v>7898994684275</v>
      </c>
      <c r="L5996" s="0" t="s">
        <v>2712</v>
      </c>
      <c r="N5996" s="0" t="n">
        <v>10</v>
      </c>
      <c r="O5996" s="0" t="n">
        <v>48</v>
      </c>
      <c r="P5996" s="0" t="s">
        <v>2444</v>
      </c>
    </row>
    <row r="5997" customFormat="false" ht="15" hidden="false" customHeight="true" outlineLevel="0" collapsed="false">
      <c r="A5997" s="0" t="n">
        <v>2</v>
      </c>
      <c r="B5997" s="71" t="n">
        <v>46248</v>
      </c>
      <c r="C5997" s="0" t="n">
        <v>11</v>
      </c>
      <c r="D5997" s="0" t="s">
        <v>2471</v>
      </c>
      <c r="E5997" s="0" t="n">
        <v>1609</v>
      </c>
      <c r="F5997" s="0" t="s">
        <v>84</v>
      </c>
      <c r="I5997" s="0" t="n">
        <v>5971</v>
      </c>
      <c r="J5997" s="0" t="n">
        <v>13720</v>
      </c>
      <c r="K5997" s="0" t="n">
        <v>7896981600307</v>
      </c>
      <c r="L5997" s="0" t="s">
        <v>2608</v>
      </c>
      <c r="N5997" s="0" t="n">
        <v>9</v>
      </c>
      <c r="O5997" s="0" t="n">
        <v>55</v>
      </c>
      <c r="P5997" s="0" t="s">
        <v>2444</v>
      </c>
    </row>
    <row r="5998" customFormat="false" ht="15" hidden="false" customHeight="true" outlineLevel="0" collapsed="false">
      <c r="A5998" s="0" t="n">
        <v>2</v>
      </c>
      <c r="B5998" s="71" t="n">
        <v>46248</v>
      </c>
      <c r="C5998" s="0" t="n">
        <v>11</v>
      </c>
      <c r="D5998" s="0" t="s">
        <v>2471</v>
      </c>
      <c r="E5998" s="0" t="n">
        <v>1609</v>
      </c>
      <c r="F5998" s="0" t="s">
        <v>84</v>
      </c>
      <c r="I5998" s="0" t="n">
        <v>5971</v>
      </c>
      <c r="J5998" s="0" t="n">
        <v>17163</v>
      </c>
      <c r="K5998" s="0" t="n">
        <v>7896981600567</v>
      </c>
      <c r="L5998" s="0" t="s">
        <v>2609</v>
      </c>
      <c r="N5998" s="0" t="n">
        <v>9</v>
      </c>
      <c r="O5998" s="0" t="n">
        <v>80</v>
      </c>
      <c r="P5998" s="0" t="s">
        <v>2444</v>
      </c>
    </row>
    <row r="5999" customFormat="false" ht="15" hidden="false" customHeight="true" outlineLevel="0" collapsed="false">
      <c r="A5999" s="0" t="n">
        <v>2</v>
      </c>
      <c r="B5999" s="71" t="n">
        <v>46248</v>
      </c>
      <c r="C5999" s="0" t="n">
        <v>11</v>
      </c>
      <c r="D5999" s="0" t="s">
        <v>2471</v>
      </c>
      <c r="E5999" s="0" t="n">
        <v>1609</v>
      </c>
      <c r="F5999" s="0" t="s">
        <v>84</v>
      </c>
      <c r="I5999" s="0" t="n">
        <v>5971</v>
      </c>
      <c r="J5999" s="0" t="n">
        <v>18382</v>
      </c>
      <c r="K5999" s="0" t="n">
        <v>7896878801190</v>
      </c>
      <c r="L5999" s="0" t="s">
        <v>2610</v>
      </c>
      <c r="N5999" s="0" t="n">
        <v>30</v>
      </c>
      <c r="O5999" s="0" t="n">
        <v>57</v>
      </c>
      <c r="P5999" s="0" t="s">
        <v>2444</v>
      </c>
    </row>
    <row r="6000" customFormat="false" ht="15" hidden="false" customHeight="true" outlineLevel="0" collapsed="false">
      <c r="A6000" s="0" t="n">
        <v>2</v>
      </c>
      <c r="B6000" s="71" t="n">
        <v>46248</v>
      </c>
      <c r="C6000" s="0" t="n">
        <v>11</v>
      </c>
      <c r="D6000" s="0" t="s">
        <v>2471</v>
      </c>
      <c r="E6000" s="0" t="n">
        <v>1609</v>
      </c>
      <c r="F6000" s="0" t="s">
        <v>84</v>
      </c>
      <c r="I6000" s="0" t="n">
        <v>5971</v>
      </c>
      <c r="J6000" s="0" t="n">
        <v>18384</v>
      </c>
      <c r="K6000" s="0" t="n">
        <v>7896878801206</v>
      </c>
      <c r="L6000" s="0" t="s">
        <v>2612</v>
      </c>
      <c r="N6000" s="0" t="n">
        <v>20</v>
      </c>
      <c r="O6000" s="0" t="n">
        <v>61</v>
      </c>
      <c r="P6000" s="0" t="s">
        <v>2444</v>
      </c>
    </row>
    <row r="6001" customFormat="false" ht="15" hidden="false" customHeight="true" outlineLevel="0" collapsed="false">
      <c r="A6001" s="0" t="n">
        <v>2</v>
      </c>
      <c r="B6001" s="71" t="n">
        <v>46248</v>
      </c>
      <c r="C6001" s="0" t="n">
        <v>11</v>
      </c>
      <c r="D6001" s="0" t="s">
        <v>2471</v>
      </c>
      <c r="E6001" s="0" t="n">
        <v>1609</v>
      </c>
      <c r="F6001" s="0" t="s">
        <v>84</v>
      </c>
      <c r="I6001" s="0" t="n">
        <v>5971</v>
      </c>
      <c r="J6001" s="0" t="n">
        <v>18385</v>
      </c>
      <c r="K6001" s="0" t="n">
        <v>7896878801220</v>
      </c>
      <c r="L6001" s="0" t="s">
        <v>2613</v>
      </c>
      <c r="N6001" s="0" t="n">
        <v>9</v>
      </c>
      <c r="O6001" s="0" t="n">
        <v>70.65</v>
      </c>
      <c r="P6001" s="0" t="s">
        <v>2444</v>
      </c>
    </row>
    <row r="6002" customFormat="false" ht="15" hidden="false" customHeight="true" outlineLevel="0" collapsed="false">
      <c r="A6002" s="0" t="n">
        <v>2</v>
      </c>
      <c r="B6002" s="71" t="n">
        <v>46248</v>
      </c>
      <c r="C6002" s="0" t="n">
        <v>11</v>
      </c>
      <c r="D6002" s="0" t="s">
        <v>2471</v>
      </c>
      <c r="E6002" s="0" t="n">
        <v>1609</v>
      </c>
      <c r="F6002" s="0" t="s">
        <v>84</v>
      </c>
      <c r="I6002" s="0" t="n">
        <v>5971</v>
      </c>
      <c r="J6002" s="0" t="n">
        <v>18775</v>
      </c>
      <c r="K6002" s="0" t="n">
        <v>7896878801237</v>
      </c>
      <c r="L6002" s="0" t="s">
        <v>2614</v>
      </c>
      <c r="N6002" s="0" t="n">
        <v>20</v>
      </c>
      <c r="O6002" s="0" t="n">
        <v>66</v>
      </c>
      <c r="P6002" s="0" t="s">
        <v>2444</v>
      </c>
    </row>
    <row r="6003" customFormat="false" ht="15" hidden="false" customHeight="true" outlineLevel="0" collapsed="false">
      <c r="A6003" s="0" t="n">
        <v>2</v>
      </c>
      <c r="B6003" s="71" t="n">
        <v>46248</v>
      </c>
      <c r="C6003" s="0" t="n">
        <v>11</v>
      </c>
      <c r="D6003" s="0" t="s">
        <v>2471</v>
      </c>
      <c r="E6003" s="0" t="n">
        <v>1609</v>
      </c>
      <c r="F6003" s="0" t="s">
        <v>84</v>
      </c>
      <c r="I6003" s="0" t="n">
        <v>5971</v>
      </c>
      <c r="J6003" s="0" t="n">
        <v>18910</v>
      </c>
      <c r="K6003" s="0" t="n">
        <v>7896878801176</v>
      </c>
      <c r="L6003" s="0" t="s">
        <v>2615</v>
      </c>
      <c r="N6003" s="0" t="n">
        <v>5</v>
      </c>
      <c r="O6003" s="0" t="n">
        <v>20.25</v>
      </c>
      <c r="P6003" s="0" t="s">
        <v>2444</v>
      </c>
    </row>
    <row r="6004" customFormat="false" ht="15" hidden="false" customHeight="true" outlineLevel="0" collapsed="false">
      <c r="A6004" s="0" t="n">
        <v>2</v>
      </c>
      <c r="B6004" s="71" t="n">
        <v>46248</v>
      </c>
      <c r="C6004" s="0" t="n">
        <v>11</v>
      </c>
      <c r="D6004" s="0" t="s">
        <v>2471</v>
      </c>
      <c r="E6004" s="0" t="n">
        <v>1609</v>
      </c>
      <c r="F6004" s="0" t="s">
        <v>84</v>
      </c>
      <c r="I6004" s="0" t="n">
        <v>5971</v>
      </c>
      <c r="J6004" s="0" t="n">
        <v>18968</v>
      </c>
      <c r="K6004" s="0" t="n">
        <v>7896878801244</v>
      </c>
      <c r="L6004" s="0" t="s">
        <v>2616</v>
      </c>
      <c r="N6004" s="0" t="n">
        <v>20</v>
      </c>
      <c r="O6004" s="0" t="n">
        <v>66</v>
      </c>
      <c r="P6004" s="0" t="s">
        <v>2444</v>
      </c>
    </row>
    <row r="6005" customFormat="false" ht="15" hidden="false" customHeight="true" outlineLevel="0" collapsed="false">
      <c r="A6005" s="0" t="n">
        <v>2</v>
      </c>
      <c r="B6005" s="71" t="n">
        <v>46248</v>
      </c>
      <c r="C6005" s="0" t="n">
        <v>11</v>
      </c>
      <c r="D6005" s="0" t="s">
        <v>2471</v>
      </c>
      <c r="E6005" s="0" t="n">
        <v>1609</v>
      </c>
      <c r="F6005" s="0" t="s">
        <v>84</v>
      </c>
      <c r="I6005" s="0" t="n">
        <v>5971</v>
      </c>
      <c r="J6005" s="0" t="n">
        <v>20027</v>
      </c>
      <c r="K6005" s="0" t="n">
        <v>7896878801053</v>
      </c>
      <c r="L6005" s="0" t="s">
        <v>2617</v>
      </c>
      <c r="N6005" s="0" t="n">
        <v>5</v>
      </c>
      <c r="O6005" s="0" t="n">
        <v>20.25</v>
      </c>
      <c r="P6005" s="0" t="s">
        <v>2444</v>
      </c>
    </row>
    <row r="6006" customFormat="false" ht="15" hidden="false" customHeight="true" outlineLevel="0" collapsed="false">
      <c r="A6006" s="0" t="n">
        <v>2</v>
      </c>
      <c r="B6006" s="71" t="n">
        <v>46248</v>
      </c>
      <c r="C6006" s="0" t="n">
        <v>11</v>
      </c>
      <c r="D6006" s="0" t="s">
        <v>2471</v>
      </c>
      <c r="E6006" s="0" t="n">
        <v>1609</v>
      </c>
      <c r="F6006" s="0" t="s">
        <v>84</v>
      </c>
      <c r="I6006" s="0" t="n">
        <v>5971</v>
      </c>
      <c r="J6006" s="0" t="n">
        <v>41614</v>
      </c>
      <c r="K6006" s="0" t="n">
        <v>7896878801213</v>
      </c>
      <c r="L6006" s="0" t="s">
        <v>2622</v>
      </c>
      <c r="N6006" s="0" t="n">
        <v>20</v>
      </c>
      <c r="O6006" s="0" t="n">
        <v>81</v>
      </c>
      <c r="P6006" s="0" t="s">
        <v>2444</v>
      </c>
    </row>
    <row r="6007" customFormat="false" ht="15" hidden="false" customHeight="true" outlineLevel="0" collapsed="false">
      <c r="A6007" s="0" t="n">
        <v>2</v>
      </c>
      <c r="B6007" s="71" t="n">
        <v>46248</v>
      </c>
      <c r="C6007" s="0" t="n">
        <v>11</v>
      </c>
      <c r="D6007" s="0" t="s">
        <v>2471</v>
      </c>
      <c r="E6007" s="0" t="n">
        <v>1609</v>
      </c>
      <c r="F6007" s="0" t="s">
        <v>84</v>
      </c>
      <c r="I6007" s="0" t="n">
        <v>5971</v>
      </c>
      <c r="J6007" s="0" t="n">
        <v>80962</v>
      </c>
      <c r="K6007" s="0" t="n">
        <v>7890678801091</v>
      </c>
      <c r="L6007" s="0" t="s">
        <v>2623</v>
      </c>
      <c r="N6007" s="0" t="n">
        <v>5</v>
      </c>
      <c r="O6007" s="0" t="n">
        <v>20.25</v>
      </c>
      <c r="P6007" s="0" t="s">
        <v>2444</v>
      </c>
    </row>
    <row r="6008" customFormat="false" ht="15" hidden="false" customHeight="true" outlineLevel="0" collapsed="false">
      <c r="A6008" s="0" t="n">
        <v>2</v>
      </c>
      <c r="B6008" s="71" t="n">
        <v>46248</v>
      </c>
      <c r="C6008" s="0" t="n">
        <v>11</v>
      </c>
      <c r="D6008" s="0" t="s">
        <v>2471</v>
      </c>
      <c r="E6008" s="0" t="n">
        <v>581</v>
      </c>
      <c r="F6008" s="0" t="s">
        <v>147</v>
      </c>
      <c r="I6008" s="0" t="n">
        <v>31936</v>
      </c>
      <c r="J6008" s="0" t="n">
        <v>48008</v>
      </c>
      <c r="K6008" s="0" t="n">
        <v>798190027999</v>
      </c>
      <c r="L6008" s="0" t="s">
        <v>2579</v>
      </c>
      <c r="N6008" s="0" t="n">
        <v>20</v>
      </c>
      <c r="O6008" s="0" t="n">
        <v>130</v>
      </c>
      <c r="P6008" s="0" t="s">
        <v>2444</v>
      </c>
    </row>
    <row r="6009" customFormat="false" ht="15" hidden="false" customHeight="true" outlineLevel="0" collapsed="false">
      <c r="A6009" s="0" t="n">
        <v>2</v>
      </c>
      <c r="B6009" s="71" t="n">
        <v>46248</v>
      </c>
      <c r="C6009" s="0" t="n">
        <v>11</v>
      </c>
      <c r="D6009" s="0" t="s">
        <v>2471</v>
      </c>
      <c r="E6009" s="0" t="n">
        <v>581</v>
      </c>
      <c r="F6009" s="0" t="s">
        <v>147</v>
      </c>
      <c r="I6009" s="0" t="n">
        <v>31936</v>
      </c>
      <c r="J6009" s="0" t="n">
        <v>48380</v>
      </c>
      <c r="K6009" s="0" t="n">
        <v>798190189116</v>
      </c>
      <c r="L6009" s="0" t="s">
        <v>2946</v>
      </c>
      <c r="N6009" s="0" t="n">
        <v>10</v>
      </c>
      <c r="O6009" s="0" t="n">
        <v>65</v>
      </c>
      <c r="P6009" s="0" t="s">
        <v>2444</v>
      </c>
    </row>
    <row r="6010" customFormat="false" ht="15" hidden="false" customHeight="true" outlineLevel="0" collapsed="false">
      <c r="A6010" s="0" t="n">
        <v>2</v>
      </c>
      <c r="B6010" s="71" t="n">
        <v>46248</v>
      </c>
      <c r="C6010" s="0" t="n">
        <v>11</v>
      </c>
      <c r="D6010" s="0" t="s">
        <v>2471</v>
      </c>
      <c r="E6010" s="0" t="n">
        <v>10011</v>
      </c>
      <c r="F6010" s="0" t="s">
        <v>349</v>
      </c>
      <c r="I6010" s="0" t="n">
        <v>35161</v>
      </c>
      <c r="J6010" s="0" t="n">
        <v>100363</v>
      </c>
      <c r="K6010" s="0" t="n">
        <v>234</v>
      </c>
      <c r="L6010" s="0" t="s">
        <v>4783</v>
      </c>
      <c r="N6010" s="0" t="n">
        <v>75</v>
      </c>
      <c r="O6010" s="0" t="n">
        <v>685.15</v>
      </c>
      <c r="P6010" s="0" t="s">
        <v>2444</v>
      </c>
    </row>
    <row r="6011" customFormat="false" ht="15" hidden="false" customHeight="true" outlineLevel="0" collapsed="false">
      <c r="A6011" s="0" t="n">
        <v>2</v>
      </c>
      <c r="B6011" s="71" t="n">
        <v>46248</v>
      </c>
      <c r="C6011" s="0" t="n">
        <v>11</v>
      </c>
      <c r="D6011" s="0" t="s">
        <v>2471</v>
      </c>
      <c r="E6011" s="0" t="n">
        <v>1123</v>
      </c>
      <c r="F6011" s="0" t="s">
        <v>443</v>
      </c>
      <c r="I6011" s="0" t="n">
        <v>46106</v>
      </c>
      <c r="J6011" s="0" t="n">
        <v>72629</v>
      </c>
      <c r="K6011" s="0" t="n">
        <v>7898055455356</v>
      </c>
      <c r="L6011" s="0" t="s">
        <v>2684</v>
      </c>
      <c r="N6011" s="0" t="n">
        <v>64</v>
      </c>
      <c r="O6011" s="0" t="n">
        <v>460</v>
      </c>
      <c r="P6011" s="0" t="s">
        <v>2444</v>
      </c>
    </row>
    <row r="6012" customFormat="false" ht="15" hidden="false" customHeight="true" outlineLevel="0" collapsed="false">
      <c r="A6012" s="0" t="n">
        <v>2</v>
      </c>
      <c r="B6012" s="71" t="n">
        <v>46248</v>
      </c>
      <c r="C6012" s="0" t="n">
        <v>11</v>
      </c>
      <c r="D6012" s="0" t="s">
        <v>2471</v>
      </c>
      <c r="E6012" s="0" t="n">
        <v>1720</v>
      </c>
      <c r="F6012" s="0" t="s">
        <v>842</v>
      </c>
      <c r="I6012" s="0" t="n">
        <v>48205</v>
      </c>
      <c r="J6012" s="0" t="n">
        <v>101473</v>
      </c>
      <c r="K6012" s="0" t="n">
        <v>7897277300017</v>
      </c>
      <c r="L6012" s="0" t="s">
        <v>3468</v>
      </c>
      <c r="N6012" s="0" t="n">
        <v>48</v>
      </c>
      <c r="O6012" s="0" t="n">
        <v>176</v>
      </c>
      <c r="P6012" s="0" t="s">
        <v>2444</v>
      </c>
    </row>
    <row r="6013" customFormat="false" ht="15" hidden="false" customHeight="true" outlineLevel="0" collapsed="false">
      <c r="A6013" s="0" t="n">
        <v>2</v>
      </c>
      <c r="B6013" s="71" t="n">
        <v>46248</v>
      </c>
      <c r="C6013" s="0" t="n">
        <v>11</v>
      </c>
      <c r="D6013" s="0" t="s">
        <v>2471</v>
      </c>
      <c r="E6013" s="0" t="n">
        <v>1720</v>
      </c>
      <c r="F6013" s="0" t="s">
        <v>842</v>
      </c>
      <c r="I6013" s="0" t="n">
        <v>48205</v>
      </c>
      <c r="J6013" s="0" t="n">
        <v>101475</v>
      </c>
      <c r="K6013" s="0" t="n">
        <v>7897277300062</v>
      </c>
      <c r="L6013" s="0" t="s">
        <v>4784</v>
      </c>
      <c r="N6013" s="0" t="n">
        <v>12</v>
      </c>
      <c r="O6013" s="0" t="n">
        <v>88</v>
      </c>
      <c r="P6013" s="0" t="s">
        <v>2444</v>
      </c>
    </row>
    <row r="6014" customFormat="false" ht="15" hidden="false" customHeight="true" outlineLevel="0" collapsed="false">
      <c r="A6014" s="0" t="n">
        <v>2</v>
      </c>
      <c r="B6014" s="71" t="n">
        <v>46248</v>
      </c>
      <c r="C6014" s="0" t="n">
        <v>11</v>
      </c>
      <c r="D6014" s="0" t="s">
        <v>2471</v>
      </c>
      <c r="E6014" s="0" t="n">
        <v>1720</v>
      </c>
      <c r="F6014" s="0" t="s">
        <v>842</v>
      </c>
      <c r="I6014" s="0" t="n">
        <v>48205</v>
      </c>
      <c r="J6014" s="0" t="n">
        <v>101476</v>
      </c>
      <c r="K6014" s="0" t="n">
        <v>7897277300079</v>
      </c>
      <c r="L6014" s="0" t="s">
        <v>4785</v>
      </c>
      <c r="N6014" s="0" t="n">
        <v>12</v>
      </c>
      <c r="O6014" s="0" t="n">
        <v>88</v>
      </c>
      <c r="P6014" s="0" t="s">
        <v>2444</v>
      </c>
    </row>
    <row r="6015" customFormat="false" ht="15" hidden="false" customHeight="true" outlineLevel="0" collapsed="false">
      <c r="A6015" s="0" t="n">
        <v>2</v>
      </c>
      <c r="B6015" s="71" t="n">
        <v>46248</v>
      </c>
      <c r="C6015" s="0" t="n">
        <v>11</v>
      </c>
      <c r="D6015" s="0" t="s">
        <v>2471</v>
      </c>
      <c r="E6015" s="0" t="n">
        <v>1720</v>
      </c>
      <c r="F6015" s="0" t="s">
        <v>842</v>
      </c>
      <c r="I6015" s="0" t="n">
        <v>48205</v>
      </c>
      <c r="J6015" s="0" t="n">
        <v>101477</v>
      </c>
      <c r="K6015" s="0" t="n">
        <v>7897277300956</v>
      </c>
      <c r="L6015" s="0" t="s">
        <v>4786</v>
      </c>
      <c r="N6015" s="0" t="n">
        <v>12</v>
      </c>
      <c r="O6015" s="0" t="n">
        <v>88</v>
      </c>
      <c r="P6015" s="0" t="s">
        <v>2444</v>
      </c>
    </row>
    <row r="6016" customFormat="false" ht="15" hidden="false" customHeight="true" outlineLevel="0" collapsed="false">
      <c r="A6016" s="0" t="n">
        <v>2</v>
      </c>
      <c r="B6016" s="71" t="n">
        <v>46248</v>
      </c>
      <c r="C6016" s="0" t="n">
        <v>11</v>
      </c>
      <c r="D6016" s="0" t="s">
        <v>2471</v>
      </c>
      <c r="E6016" s="0" t="n">
        <v>1720</v>
      </c>
      <c r="F6016" s="0" t="s">
        <v>842</v>
      </c>
      <c r="I6016" s="0" t="n">
        <v>48205</v>
      </c>
      <c r="J6016" s="0" t="n">
        <v>105167</v>
      </c>
      <c r="K6016" s="0" t="n">
        <v>7897277300390</v>
      </c>
      <c r="L6016" s="0" t="s">
        <v>3470</v>
      </c>
      <c r="N6016" s="0" t="n">
        <v>24</v>
      </c>
      <c r="O6016" s="0" t="n">
        <v>83</v>
      </c>
      <c r="P6016" s="0" t="s">
        <v>2444</v>
      </c>
    </row>
    <row r="6017" customFormat="false" ht="15" hidden="false" customHeight="true" outlineLevel="0" collapsed="false">
      <c r="A6017" s="0" t="n">
        <v>2</v>
      </c>
      <c r="B6017" s="71" t="n">
        <v>46248</v>
      </c>
      <c r="C6017" s="0" t="n">
        <v>11</v>
      </c>
      <c r="D6017" s="0" t="s">
        <v>2471</v>
      </c>
      <c r="E6017" s="0" t="n">
        <v>1720</v>
      </c>
      <c r="F6017" s="0" t="s">
        <v>842</v>
      </c>
      <c r="I6017" s="0" t="n">
        <v>48205</v>
      </c>
      <c r="J6017" s="0" t="n">
        <v>108038</v>
      </c>
      <c r="K6017" s="0" t="n">
        <v>7897277300123</v>
      </c>
      <c r="L6017" s="0" t="s">
        <v>3471</v>
      </c>
      <c r="N6017" s="0" t="n">
        <v>24</v>
      </c>
      <c r="O6017" s="0" t="n">
        <v>79.5</v>
      </c>
      <c r="P6017" s="0" t="s">
        <v>2444</v>
      </c>
    </row>
    <row r="6018" customFormat="false" ht="15" hidden="false" customHeight="true" outlineLevel="0" collapsed="false">
      <c r="A6018" s="0" t="n">
        <v>2</v>
      </c>
      <c r="B6018" s="71" t="n">
        <v>46248</v>
      </c>
      <c r="C6018" s="0" t="n">
        <v>11</v>
      </c>
      <c r="D6018" s="0" t="s">
        <v>2471</v>
      </c>
      <c r="E6018" s="0" t="n">
        <v>1720</v>
      </c>
      <c r="F6018" s="0" t="s">
        <v>842</v>
      </c>
      <c r="I6018" s="0" t="n">
        <v>48205</v>
      </c>
      <c r="J6018" s="0" t="n">
        <v>108048</v>
      </c>
      <c r="K6018" s="0" t="n">
        <v>7897277300031</v>
      </c>
      <c r="L6018" s="0" t="s">
        <v>4787</v>
      </c>
      <c r="N6018" s="0" t="n">
        <v>12</v>
      </c>
      <c r="O6018" s="0" t="n">
        <v>88</v>
      </c>
      <c r="P6018" s="0" t="s">
        <v>2444</v>
      </c>
    </row>
    <row r="6019" customFormat="false" ht="15" hidden="false" customHeight="true" outlineLevel="0" collapsed="false">
      <c r="A6019" s="0" t="n">
        <v>2</v>
      </c>
      <c r="B6019" s="71" t="n">
        <v>46248</v>
      </c>
      <c r="C6019" s="0" t="n">
        <v>11</v>
      </c>
      <c r="D6019" s="0" t="s">
        <v>2471</v>
      </c>
      <c r="E6019" s="0" t="n">
        <v>1720</v>
      </c>
      <c r="F6019" s="0" t="s">
        <v>842</v>
      </c>
      <c r="I6019" s="0" t="n">
        <v>48205</v>
      </c>
      <c r="J6019" s="0" t="n">
        <v>108049</v>
      </c>
      <c r="K6019" s="0" t="n">
        <v>7897277300109</v>
      </c>
      <c r="L6019" s="0" t="s">
        <v>4788</v>
      </c>
      <c r="N6019" s="0" t="n">
        <v>12</v>
      </c>
      <c r="O6019" s="0" t="n">
        <v>88</v>
      </c>
      <c r="P6019" s="0" t="s">
        <v>2444</v>
      </c>
    </row>
    <row r="6020" customFormat="false" ht="15" hidden="false" customHeight="true" outlineLevel="0" collapsed="false">
      <c r="A6020" s="0" t="n">
        <v>2</v>
      </c>
      <c r="B6020" s="71" t="n">
        <v>46248</v>
      </c>
      <c r="C6020" s="0" t="n">
        <v>11</v>
      </c>
      <c r="D6020" s="0" t="s">
        <v>2471</v>
      </c>
      <c r="E6020" s="0" t="n">
        <v>1720</v>
      </c>
      <c r="F6020" s="0" t="s">
        <v>842</v>
      </c>
      <c r="I6020" s="0" t="n">
        <v>48205</v>
      </c>
      <c r="J6020" s="0" t="n">
        <v>12004</v>
      </c>
      <c r="K6020" s="0" t="n">
        <v>7897277300055</v>
      </c>
      <c r="L6020" s="0" t="s">
        <v>4789</v>
      </c>
      <c r="N6020" s="0" t="n">
        <v>12</v>
      </c>
      <c r="O6020" s="0" t="n">
        <v>88</v>
      </c>
      <c r="P6020" s="0" t="s">
        <v>2444</v>
      </c>
    </row>
    <row r="6021" customFormat="false" ht="15" hidden="false" customHeight="true" outlineLevel="0" collapsed="false">
      <c r="A6021" s="0" t="n">
        <v>2</v>
      </c>
      <c r="B6021" s="71" t="n">
        <v>46248</v>
      </c>
      <c r="C6021" s="0" t="n">
        <v>11</v>
      </c>
      <c r="D6021" s="0" t="s">
        <v>2471</v>
      </c>
      <c r="E6021" s="0" t="n">
        <v>1720</v>
      </c>
      <c r="F6021" s="0" t="s">
        <v>842</v>
      </c>
      <c r="I6021" s="0" t="n">
        <v>48205</v>
      </c>
      <c r="J6021" s="0" t="n">
        <v>40446</v>
      </c>
      <c r="K6021" s="0" t="n">
        <v>7897277300963</v>
      </c>
      <c r="L6021" s="0" t="s">
        <v>4790</v>
      </c>
      <c r="N6021" s="0" t="n">
        <v>12</v>
      </c>
      <c r="O6021" s="0" t="n">
        <v>88</v>
      </c>
      <c r="P6021" s="0" t="s">
        <v>2444</v>
      </c>
    </row>
    <row r="6022" customFormat="false" ht="15" hidden="false" customHeight="true" outlineLevel="0" collapsed="false">
      <c r="A6022" s="0" t="n">
        <v>2</v>
      </c>
      <c r="B6022" s="71" t="n">
        <v>46248</v>
      </c>
      <c r="C6022" s="0" t="n">
        <v>11</v>
      </c>
      <c r="D6022" s="0" t="s">
        <v>2471</v>
      </c>
      <c r="E6022" s="0" t="n">
        <v>1720</v>
      </c>
      <c r="F6022" s="0" t="s">
        <v>842</v>
      </c>
      <c r="I6022" s="0" t="n">
        <v>48205</v>
      </c>
      <c r="J6022" s="0" t="n">
        <v>55703</v>
      </c>
      <c r="K6022" s="0" t="n">
        <v>7897277300024</v>
      </c>
      <c r="L6022" s="0" t="s">
        <v>3474</v>
      </c>
      <c r="N6022" s="0" t="n">
        <v>24</v>
      </c>
      <c r="O6022" s="0" t="n">
        <v>176</v>
      </c>
      <c r="P6022" s="0" t="s">
        <v>2444</v>
      </c>
    </row>
    <row r="6023" customFormat="false" ht="15" hidden="false" customHeight="true" outlineLevel="0" collapsed="false">
      <c r="A6023" s="0" t="n">
        <v>2</v>
      </c>
      <c r="B6023" s="71" t="n">
        <v>46248</v>
      </c>
      <c r="C6023" s="0" t="n">
        <v>11</v>
      </c>
      <c r="D6023" s="0" t="s">
        <v>2471</v>
      </c>
      <c r="E6023" s="0" t="n">
        <v>1678</v>
      </c>
      <c r="F6023" s="0" t="s">
        <v>840</v>
      </c>
      <c r="I6023" s="0" t="n">
        <v>163912</v>
      </c>
      <c r="J6023" s="0" t="n">
        <v>100826</v>
      </c>
      <c r="K6023" s="0" t="n">
        <v>7897057810057</v>
      </c>
      <c r="L6023" s="0" t="s">
        <v>3475</v>
      </c>
      <c r="N6023" s="0" t="n">
        <v>24</v>
      </c>
      <c r="O6023" s="0" t="n">
        <v>59</v>
      </c>
      <c r="P6023" s="0" t="s">
        <v>2444</v>
      </c>
    </row>
    <row r="6024" customFormat="false" ht="15" hidden="false" customHeight="true" outlineLevel="0" collapsed="false">
      <c r="A6024" s="0" t="n">
        <v>2</v>
      </c>
      <c r="B6024" s="71" t="n">
        <v>46248</v>
      </c>
      <c r="C6024" s="0" t="n">
        <v>11</v>
      </c>
      <c r="D6024" s="0" t="s">
        <v>2471</v>
      </c>
      <c r="E6024" s="0" t="n">
        <v>1678</v>
      </c>
      <c r="F6024" s="0" t="s">
        <v>840</v>
      </c>
      <c r="I6024" s="0" t="n">
        <v>163912</v>
      </c>
      <c r="J6024" s="0" t="n">
        <v>101224</v>
      </c>
      <c r="K6024" s="0" t="n">
        <v>7896495000426</v>
      </c>
      <c r="L6024" s="0" t="s">
        <v>4791</v>
      </c>
      <c r="N6024" s="0" t="n">
        <v>12</v>
      </c>
      <c r="O6024" s="0" t="n">
        <v>102.5</v>
      </c>
      <c r="P6024" s="0" t="s">
        <v>2444</v>
      </c>
    </row>
    <row r="6025" customFormat="false" ht="15" hidden="false" customHeight="true" outlineLevel="0" collapsed="false">
      <c r="A6025" s="0" t="n">
        <v>2</v>
      </c>
      <c r="B6025" s="71" t="n">
        <v>46248</v>
      </c>
      <c r="C6025" s="0" t="n">
        <v>11</v>
      </c>
      <c r="D6025" s="0" t="s">
        <v>2471</v>
      </c>
      <c r="E6025" s="0" t="n">
        <v>1678</v>
      </c>
      <c r="F6025" s="0" t="s">
        <v>840</v>
      </c>
      <c r="I6025" s="0" t="n">
        <v>163912</v>
      </c>
      <c r="J6025" s="0" t="n">
        <v>101225</v>
      </c>
      <c r="K6025" s="0" t="n">
        <v>7896495000129</v>
      </c>
      <c r="L6025" s="0" t="s">
        <v>4792</v>
      </c>
      <c r="N6025" s="0" t="n">
        <v>6</v>
      </c>
      <c r="O6025" s="0" t="n">
        <v>106</v>
      </c>
      <c r="P6025" s="0" t="s">
        <v>2444</v>
      </c>
    </row>
    <row r="6026" customFormat="false" ht="15" hidden="false" customHeight="true" outlineLevel="0" collapsed="false">
      <c r="A6026" s="0" t="n">
        <v>2</v>
      </c>
      <c r="B6026" s="71" t="n">
        <v>46248</v>
      </c>
      <c r="C6026" s="0" t="n">
        <v>11</v>
      </c>
      <c r="D6026" s="0" t="s">
        <v>2471</v>
      </c>
      <c r="E6026" s="0" t="n">
        <v>1678</v>
      </c>
      <c r="F6026" s="0" t="s">
        <v>840</v>
      </c>
      <c r="I6026" s="0" t="n">
        <v>163912</v>
      </c>
      <c r="J6026" s="0" t="n">
        <v>101366</v>
      </c>
      <c r="K6026" s="0" t="n">
        <v>7896495000051</v>
      </c>
      <c r="L6026" s="0" t="s">
        <v>3476</v>
      </c>
      <c r="N6026" s="0" t="n">
        <v>6</v>
      </c>
      <c r="O6026" s="0" t="n">
        <v>84</v>
      </c>
      <c r="P6026" s="0" t="s">
        <v>2444</v>
      </c>
    </row>
    <row r="6027" customFormat="false" ht="15" hidden="false" customHeight="true" outlineLevel="0" collapsed="false">
      <c r="A6027" s="0" t="n">
        <v>2</v>
      </c>
      <c r="B6027" s="71" t="n">
        <v>46248</v>
      </c>
      <c r="C6027" s="0" t="n">
        <v>11</v>
      </c>
      <c r="D6027" s="0" t="s">
        <v>2471</v>
      </c>
      <c r="E6027" s="0" t="n">
        <v>1678</v>
      </c>
      <c r="F6027" s="0" t="s">
        <v>840</v>
      </c>
      <c r="I6027" s="0" t="n">
        <v>163912</v>
      </c>
      <c r="J6027" s="0" t="n">
        <v>101367</v>
      </c>
      <c r="K6027" s="0" t="n">
        <v>7897057800034</v>
      </c>
      <c r="L6027" s="0" t="s">
        <v>3477</v>
      </c>
      <c r="N6027" s="0" t="n">
        <v>12</v>
      </c>
      <c r="O6027" s="0" t="n">
        <v>53</v>
      </c>
      <c r="P6027" s="0" t="s">
        <v>2444</v>
      </c>
    </row>
    <row r="6028" customFormat="false" ht="15" hidden="false" customHeight="true" outlineLevel="0" collapsed="false">
      <c r="A6028" s="0" t="n">
        <v>2</v>
      </c>
      <c r="B6028" s="71" t="n">
        <v>46248</v>
      </c>
      <c r="C6028" s="0" t="n">
        <v>11</v>
      </c>
      <c r="D6028" s="0" t="s">
        <v>2471</v>
      </c>
      <c r="E6028" s="0" t="n">
        <v>1678</v>
      </c>
      <c r="F6028" s="0" t="s">
        <v>840</v>
      </c>
      <c r="I6028" s="0" t="n">
        <v>163912</v>
      </c>
      <c r="J6028" s="0" t="n">
        <v>107537</v>
      </c>
      <c r="K6028" s="0" t="n">
        <v>7896021620050</v>
      </c>
      <c r="L6028" s="0" t="s">
        <v>4793</v>
      </c>
      <c r="N6028" s="0" t="n">
        <v>60</v>
      </c>
      <c r="O6028" s="0" t="n">
        <v>48.5</v>
      </c>
      <c r="P6028" s="0" t="s">
        <v>2444</v>
      </c>
    </row>
    <row r="6029" customFormat="false" ht="15" hidden="false" customHeight="true" outlineLevel="0" collapsed="false">
      <c r="A6029" s="0" t="n">
        <v>2</v>
      </c>
      <c r="B6029" s="71" t="n">
        <v>46248</v>
      </c>
      <c r="C6029" s="0" t="n">
        <v>11</v>
      </c>
      <c r="D6029" s="0" t="s">
        <v>2471</v>
      </c>
      <c r="E6029" s="0" t="n">
        <v>1678</v>
      </c>
      <c r="F6029" s="0" t="s">
        <v>840</v>
      </c>
      <c r="I6029" s="0" t="n">
        <v>163912</v>
      </c>
      <c r="J6029" s="0" t="n">
        <v>108133</v>
      </c>
      <c r="K6029" s="0" t="n">
        <v>7897057800058</v>
      </c>
      <c r="L6029" s="0" t="s">
        <v>4794</v>
      </c>
      <c r="N6029" s="0" t="n">
        <v>12</v>
      </c>
      <c r="O6029" s="0" t="n">
        <v>49.5</v>
      </c>
      <c r="P6029" s="0" t="s">
        <v>2444</v>
      </c>
    </row>
    <row r="6030" customFormat="false" ht="15" hidden="false" customHeight="true" outlineLevel="0" collapsed="false">
      <c r="A6030" s="0" t="n">
        <v>2</v>
      </c>
      <c r="B6030" s="71" t="n">
        <v>46248</v>
      </c>
      <c r="C6030" s="0" t="n">
        <v>11</v>
      </c>
      <c r="D6030" s="0" t="s">
        <v>2471</v>
      </c>
      <c r="E6030" s="0" t="n">
        <v>1678</v>
      </c>
      <c r="F6030" s="0" t="s">
        <v>840</v>
      </c>
      <c r="I6030" s="0" t="n">
        <v>163912</v>
      </c>
      <c r="J6030" s="0" t="n">
        <v>108148</v>
      </c>
      <c r="K6030" s="0" t="n">
        <v>7897057800799</v>
      </c>
      <c r="L6030" s="0" t="s">
        <v>4795</v>
      </c>
      <c r="N6030" s="0" t="n">
        <v>12</v>
      </c>
      <c r="O6030" s="0" t="n">
        <v>25.75</v>
      </c>
      <c r="P6030" s="0" t="s">
        <v>2444</v>
      </c>
    </row>
    <row r="6031" customFormat="false" ht="15" hidden="false" customHeight="true" outlineLevel="0" collapsed="false">
      <c r="A6031" s="0" t="n">
        <v>2</v>
      </c>
      <c r="B6031" s="71" t="n">
        <v>46248</v>
      </c>
      <c r="C6031" s="0" t="n">
        <v>11</v>
      </c>
      <c r="D6031" s="0" t="s">
        <v>2471</v>
      </c>
      <c r="E6031" s="0" t="n">
        <v>1678</v>
      </c>
      <c r="F6031" s="0" t="s">
        <v>840</v>
      </c>
      <c r="I6031" s="0" t="n">
        <v>163912</v>
      </c>
      <c r="J6031" s="0" t="n">
        <v>15825</v>
      </c>
      <c r="K6031" s="0" t="n">
        <v>7896495001157</v>
      </c>
      <c r="L6031" s="0" t="s">
        <v>3479</v>
      </c>
      <c r="N6031" s="0" t="n">
        <v>6</v>
      </c>
      <c r="O6031" s="0" t="n">
        <v>84</v>
      </c>
      <c r="P6031" s="0" t="s">
        <v>2444</v>
      </c>
    </row>
    <row r="6032" customFormat="false" ht="15" hidden="false" customHeight="true" outlineLevel="0" collapsed="false">
      <c r="A6032" s="0" t="n">
        <v>2</v>
      </c>
      <c r="B6032" s="71" t="n">
        <v>46248</v>
      </c>
      <c r="C6032" s="0" t="n">
        <v>11</v>
      </c>
      <c r="D6032" s="0" t="s">
        <v>2471</v>
      </c>
      <c r="E6032" s="0" t="n">
        <v>1678</v>
      </c>
      <c r="F6032" s="0" t="s">
        <v>840</v>
      </c>
      <c r="I6032" s="0" t="n">
        <v>163912</v>
      </c>
      <c r="J6032" s="0" t="n">
        <v>17476</v>
      </c>
      <c r="K6032" s="0" t="n">
        <v>7896021620470</v>
      </c>
      <c r="L6032" s="0" t="s">
        <v>3480</v>
      </c>
      <c r="N6032" s="0" t="n">
        <v>60</v>
      </c>
      <c r="O6032" s="0" t="n">
        <v>139</v>
      </c>
      <c r="P6032" s="0" t="s">
        <v>2444</v>
      </c>
    </row>
    <row r="6033" customFormat="false" ht="15" hidden="false" customHeight="true" outlineLevel="0" collapsed="false">
      <c r="A6033" s="0" t="n">
        <v>2</v>
      </c>
      <c r="B6033" s="71" t="n">
        <v>46248</v>
      </c>
      <c r="C6033" s="0" t="n">
        <v>11</v>
      </c>
      <c r="D6033" s="0" t="s">
        <v>2471</v>
      </c>
      <c r="E6033" s="0" t="n">
        <v>1678</v>
      </c>
      <c r="F6033" s="0" t="s">
        <v>840</v>
      </c>
      <c r="I6033" s="0" t="n">
        <v>163912</v>
      </c>
      <c r="J6033" s="0" t="n">
        <v>25121</v>
      </c>
      <c r="K6033" s="0" t="n">
        <v>7893515615226</v>
      </c>
      <c r="L6033" s="0" t="s">
        <v>4796</v>
      </c>
      <c r="N6033" s="0" t="n">
        <v>50</v>
      </c>
      <c r="O6033" s="0" t="n">
        <v>110</v>
      </c>
      <c r="P6033" s="0" t="s">
        <v>2444</v>
      </c>
    </row>
    <row r="6034" customFormat="false" ht="15" hidden="false" customHeight="true" outlineLevel="0" collapsed="false">
      <c r="A6034" s="0" t="n">
        <v>2</v>
      </c>
      <c r="B6034" s="71" t="n">
        <v>46248</v>
      </c>
      <c r="C6034" s="0" t="n">
        <v>11</v>
      </c>
      <c r="D6034" s="0" t="s">
        <v>2471</v>
      </c>
      <c r="E6034" s="0" t="n">
        <v>1678</v>
      </c>
      <c r="F6034" s="0" t="s">
        <v>840</v>
      </c>
      <c r="I6034" s="0" t="n">
        <v>163912</v>
      </c>
      <c r="J6034" s="0" t="n">
        <v>25589</v>
      </c>
      <c r="K6034" s="0" t="n">
        <v>7893515615059</v>
      </c>
      <c r="L6034" s="0" t="s">
        <v>4797</v>
      </c>
      <c r="N6034" s="0" t="n">
        <v>24</v>
      </c>
      <c r="O6034" s="0" t="n">
        <v>47.5</v>
      </c>
      <c r="P6034" s="0" t="s">
        <v>2444</v>
      </c>
    </row>
    <row r="6035" customFormat="false" ht="15" hidden="false" customHeight="true" outlineLevel="0" collapsed="false">
      <c r="A6035" s="0" t="n">
        <v>2</v>
      </c>
      <c r="B6035" s="71" t="n">
        <v>46248</v>
      </c>
      <c r="C6035" s="0" t="n">
        <v>11</v>
      </c>
      <c r="D6035" s="0" t="s">
        <v>2471</v>
      </c>
      <c r="E6035" s="0" t="n">
        <v>1678</v>
      </c>
      <c r="F6035" s="0" t="s">
        <v>840</v>
      </c>
      <c r="I6035" s="0" t="n">
        <v>163912</v>
      </c>
      <c r="J6035" s="0" t="n">
        <v>32088</v>
      </c>
      <c r="K6035" s="0" t="n">
        <v>7893515616155</v>
      </c>
      <c r="L6035" s="0" t="s">
        <v>4798</v>
      </c>
      <c r="N6035" s="0" t="n">
        <v>12</v>
      </c>
      <c r="O6035" s="0" t="n">
        <v>22.5</v>
      </c>
      <c r="P6035" s="0" t="s">
        <v>2444</v>
      </c>
    </row>
    <row r="6036" customFormat="false" ht="15" hidden="false" customHeight="true" outlineLevel="0" collapsed="false">
      <c r="A6036" s="0" t="n">
        <v>2</v>
      </c>
      <c r="B6036" s="71" t="n">
        <v>46248</v>
      </c>
      <c r="C6036" s="0" t="n">
        <v>11</v>
      </c>
      <c r="D6036" s="0" t="s">
        <v>2471</v>
      </c>
      <c r="E6036" s="0" t="n">
        <v>1678</v>
      </c>
      <c r="F6036" s="0" t="s">
        <v>840</v>
      </c>
      <c r="I6036" s="0" t="n">
        <v>163912</v>
      </c>
      <c r="J6036" s="0" t="n">
        <v>53699</v>
      </c>
      <c r="K6036" s="0" t="n">
        <v>7897057810118</v>
      </c>
      <c r="L6036" s="0" t="s">
        <v>4799</v>
      </c>
      <c r="N6036" s="0" t="n">
        <v>12</v>
      </c>
      <c r="O6036" s="0" t="n">
        <v>25.75</v>
      </c>
      <c r="P6036" s="0" t="s">
        <v>2444</v>
      </c>
    </row>
    <row r="6037" customFormat="false" ht="15" hidden="false" customHeight="true" outlineLevel="0" collapsed="false">
      <c r="A6037" s="0" t="n">
        <v>2</v>
      </c>
      <c r="B6037" s="71" t="n">
        <v>46248</v>
      </c>
      <c r="C6037" s="0" t="n">
        <v>11</v>
      </c>
      <c r="D6037" s="0" t="s">
        <v>2471</v>
      </c>
      <c r="E6037" s="0" t="n">
        <v>1678</v>
      </c>
      <c r="F6037" s="0" t="s">
        <v>840</v>
      </c>
      <c r="I6037" s="0" t="n">
        <v>163912</v>
      </c>
      <c r="J6037" s="0" t="n">
        <v>53700</v>
      </c>
      <c r="K6037" s="0" t="n">
        <v>7897057800782</v>
      </c>
      <c r="L6037" s="0" t="s">
        <v>4800</v>
      </c>
      <c r="N6037" s="0" t="n">
        <v>12</v>
      </c>
      <c r="O6037" s="0" t="n">
        <v>25.75</v>
      </c>
      <c r="P6037" s="0" t="s">
        <v>2444</v>
      </c>
    </row>
    <row r="6038" customFormat="false" ht="15" hidden="false" customHeight="true" outlineLevel="0" collapsed="false">
      <c r="A6038" s="0" t="n">
        <v>2</v>
      </c>
      <c r="B6038" s="71" t="n">
        <v>46248</v>
      </c>
      <c r="C6038" s="0" t="n">
        <v>11</v>
      </c>
      <c r="D6038" s="0" t="s">
        <v>2471</v>
      </c>
      <c r="E6038" s="0" t="n">
        <v>1678</v>
      </c>
      <c r="F6038" s="0" t="s">
        <v>840</v>
      </c>
      <c r="I6038" s="0" t="n">
        <v>163912</v>
      </c>
      <c r="J6038" s="0" t="n">
        <v>53803</v>
      </c>
      <c r="K6038" s="0" t="n">
        <v>7897057800812</v>
      </c>
      <c r="L6038" s="0" t="s">
        <v>4801</v>
      </c>
      <c r="N6038" s="0" t="n">
        <v>12</v>
      </c>
      <c r="O6038" s="0" t="n">
        <v>25.75</v>
      </c>
      <c r="P6038" s="0" t="s">
        <v>2444</v>
      </c>
    </row>
    <row r="6039" customFormat="false" ht="15" hidden="false" customHeight="true" outlineLevel="0" collapsed="false">
      <c r="A6039" s="0" t="n">
        <v>2</v>
      </c>
      <c r="B6039" s="71" t="n">
        <v>46248</v>
      </c>
      <c r="C6039" s="0" t="n">
        <v>11</v>
      </c>
      <c r="D6039" s="0" t="s">
        <v>2471</v>
      </c>
      <c r="E6039" s="0" t="n">
        <v>1678</v>
      </c>
      <c r="F6039" s="0" t="s">
        <v>840</v>
      </c>
      <c r="I6039" s="0" t="n">
        <v>163912</v>
      </c>
      <c r="J6039" s="0" t="n">
        <v>53804</v>
      </c>
      <c r="K6039" s="0" t="n">
        <v>7897057800881</v>
      </c>
      <c r="L6039" s="0" t="s">
        <v>4802</v>
      </c>
      <c r="N6039" s="0" t="n">
        <v>12</v>
      </c>
      <c r="O6039" s="0" t="n">
        <v>25.75</v>
      </c>
      <c r="P6039" s="0" t="s">
        <v>2444</v>
      </c>
    </row>
    <row r="6040" customFormat="false" ht="15" hidden="false" customHeight="true" outlineLevel="0" collapsed="false">
      <c r="A6040" s="0" t="n">
        <v>2</v>
      </c>
      <c r="B6040" s="71" t="n">
        <v>46248</v>
      </c>
      <c r="C6040" s="0" t="n">
        <v>11</v>
      </c>
      <c r="D6040" s="0" t="s">
        <v>2471</v>
      </c>
      <c r="E6040" s="0" t="n">
        <v>1678</v>
      </c>
      <c r="F6040" s="0" t="s">
        <v>840</v>
      </c>
      <c r="I6040" s="0" t="n">
        <v>163912</v>
      </c>
      <c r="J6040" s="0" t="n">
        <v>53904</v>
      </c>
      <c r="K6040" s="0" t="n">
        <v>697</v>
      </c>
      <c r="L6040" s="0" t="s">
        <v>4803</v>
      </c>
      <c r="N6040" s="0" t="n">
        <v>101</v>
      </c>
      <c r="O6040" s="0" t="n">
        <v>930</v>
      </c>
      <c r="P6040" s="0" t="s">
        <v>2444</v>
      </c>
    </row>
    <row r="6041" customFormat="false" ht="15" hidden="false" customHeight="true" outlineLevel="0" collapsed="false">
      <c r="A6041" s="0" t="n">
        <v>2</v>
      </c>
      <c r="B6041" s="71" t="n">
        <v>46248</v>
      </c>
      <c r="C6041" s="0" t="n">
        <v>11</v>
      </c>
      <c r="D6041" s="0" t="s">
        <v>2471</v>
      </c>
      <c r="E6041" s="0" t="n">
        <v>1678</v>
      </c>
      <c r="F6041" s="0" t="s">
        <v>840</v>
      </c>
      <c r="I6041" s="0" t="n">
        <v>163912</v>
      </c>
      <c r="J6041" s="0" t="n">
        <v>69938</v>
      </c>
      <c r="K6041" s="0" t="n">
        <v>7898743961251</v>
      </c>
      <c r="L6041" s="0" t="s">
        <v>3482</v>
      </c>
      <c r="N6041" s="0" t="n">
        <v>50</v>
      </c>
      <c r="O6041" s="0" t="n">
        <v>105</v>
      </c>
      <c r="P6041" s="0" t="s">
        <v>2444</v>
      </c>
    </row>
    <row r="6042" customFormat="false" ht="15" hidden="false" customHeight="true" outlineLevel="0" collapsed="false">
      <c r="A6042" s="0" t="n">
        <v>2</v>
      </c>
      <c r="B6042" s="71" t="n">
        <v>46248</v>
      </c>
      <c r="C6042" s="0" t="n">
        <v>11</v>
      </c>
      <c r="D6042" s="0" t="s">
        <v>2471</v>
      </c>
      <c r="E6042" s="0" t="n">
        <v>1678</v>
      </c>
      <c r="F6042" s="0" t="s">
        <v>840</v>
      </c>
      <c r="I6042" s="0" t="n">
        <v>163912</v>
      </c>
      <c r="J6042" s="0" t="n">
        <v>74526</v>
      </c>
      <c r="K6042" s="0" t="n">
        <v>7896021628278</v>
      </c>
      <c r="L6042" s="0" t="s">
        <v>4804</v>
      </c>
      <c r="N6042" s="0" t="n">
        <v>12</v>
      </c>
      <c r="O6042" s="0" t="n">
        <v>84</v>
      </c>
      <c r="P6042" s="0" t="s">
        <v>2444</v>
      </c>
    </row>
    <row r="6043" customFormat="false" ht="15" hidden="false" customHeight="true" outlineLevel="0" collapsed="false">
      <c r="A6043" s="0" t="n">
        <v>2</v>
      </c>
      <c r="B6043" s="71" t="n">
        <v>46248</v>
      </c>
      <c r="C6043" s="0" t="n">
        <v>11</v>
      </c>
      <c r="D6043" s="0" t="s">
        <v>2471</v>
      </c>
      <c r="E6043" s="0" t="n">
        <v>1650</v>
      </c>
      <c r="F6043" s="0" t="s">
        <v>438</v>
      </c>
      <c r="I6043" s="0" t="n">
        <v>228832</v>
      </c>
      <c r="J6043" s="0" t="n">
        <v>17454</v>
      </c>
      <c r="K6043" s="0" t="n">
        <v>7898055453222</v>
      </c>
      <c r="L6043" s="0" t="s">
        <v>2689</v>
      </c>
      <c r="N6043" s="0" t="n">
        <v>24</v>
      </c>
      <c r="O6043" s="0" t="n">
        <v>205.32</v>
      </c>
      <c r="P6043" s="0" t="s">
        <v>2444</v>
      </c>
    </row>
    <row r="6044" customFormat="false" ht="15" hidden="false" customHeight="true" outlineLevel="0" collapsed="false">
      <c r="A6044" s="0" t="n">
        <v>2</v>
      </c>
      <c r="B6044" s="71" t="n">
        <v>46248</v>
      </c>
      <c r="C6044" s="0" t="n">
        <v>11</v>
      </c>
      <c r="D6044" s="0" t="s">
        <v>2471</v>
      </c>
      <c r="E6044" s="0" t="n">
        <v>1650</v>
      </c>
      <c r="F6044" s="0" t="s">
        <v>438</v>
      </c>
      <c r="I6044" s="0" t="n">
        <v>228832</v>
      </c>
      <c r="J6044" s="0" t="n">
        <v>21206</v>
      </c>
      <c r="K6044" s="0" t="n">
        <v>7898055453215</v>
      </c>
      <c r="L6044" s="0" t="s">
        <v>3871</v>
      </c>
      <c r="N6044" s="0" t="n">
        <v>20</v>
      </c>
      <c r="O6044" s="0" t="n">
        <v>130.29</v>
      </c>
      <c r="P6044" s="0" t="s">
        <v>2444</v>
      </c>
    </row>
    <row r="6045" customFormat="false" ht="15" hidden="false" customHeight="true" outlineLevel="0" collapsed="false">
      <c r="A6045" s="0" t="n">
        <v>2</v>
      </c>
      <c r="B6045" s="71" t="n">
        <v>46248</v>
      </c>
      <c r="C6045" s="0" t="n">
        <v>11</v>
      </c>
      <c r="D6045" s="0" t="s">
        <v>2471</v>
      </c>
      <c r="E6045" s="0" t="n">
        <v>1650</v>
      </c>
      <c r="F6045" s="0" t="s">
        <v>438</v>
      </c>
      <c r="I6045" s="0" t="n">
        <v>228832</v>
      </c>
      <c r="J6045" s="0" t="n">
        <v>25277</v>
      </c>
      <c r="K6045" s="0" t="n">
        <v>7898055453239</v>
      </c>
      <c r="L6045" s="0" t="s">
        <v>2692</v>
      </c>
      <c r="N6045" s="0" t="n">
        <v>12</v>
      </c>
      <c r="O6045" s="0" t="n">
        <v>236.12</v>
      </c>
      <c r="P6045" s="0" t="s">
        <v>2444</v>
      </c>
    </row>
    <row r="6046" customFormat="false" ht="15" hidden="false" customHeight="true" outlineLevel="0" collapsed="false">
      <c r="A6046" s="0" t="n">
        <v>2</v>
      </c>
      <c r="B6046" s="71" t="n">
        <v>46248</v>
      </c>
      <c r="C6046" s="0" t="n">
        <v>11</v>
      </c>
      <c r="D6046" s="0" t="s">
        <v>2471</v>
      </c>
      <c r="E6046" s="0" t="n">
        <v>1718</v>
      </c>
      <c r="F6046" s="0" t="s">
        <v>236</v>
      </c>
      <c r="I6046" s="0" t="n">
        <v>689222</v>
      </c>
      <c r="J6046" s="0" t="n">
        <v>103359</v>
      </c>
      <c r="K6046" s="0" t="n">
        <v>7896089011982</v>
      </c>
      <c r="L6046" s="0" t="s">
        <v>4805</v>
      </c>
      <c r="N6046" s="0" t="n">
        <v>60</v>
      </c>
      <c r="O6046" s="0" t="n">
        <v>772.8</v>
      </c>
      <c r="P6046" s="0" t="s">
        <v>2444</v>
      </c>
    </row>
    <row r="6047" customFormat="false" ht="15" hidden="false" customHeight="true" outlineLevel="0" collapsed="false">
      <c r="A6047" s="0" t="n">
        <v>2</v>
      </c>
      <c r="B6047" s="71" t="n">
        <v>46248</v>
      </c>
      <c r="C6047" s="0" t="n">
        <v>11</v>
      </c>
      <c r="D6047" s="0" t="s">
        <v>2471</v>
      </c>
      <c r="E6047" s="0" t="n">
        <v>1718</v>
      </c>
      <c r="F6047" s="0" t="s">
        <v>236</v>
      </c>
      <c r="I6047" s="0" t="n">
        <v>689222</v>
      </c>
      <c r="J6047" s="0" t="n">
        <v>104845</v>
      </c>
      <c r="K6047" s="0" t="n">
        <v>70330909229</v>
      </c>
      <c r="L6047" s="0" t="s">
        <v>4047</v>
      </c>
      <c r="N6047" s="0" t="n">
        <v>150</v>
      </c>
      <c r="O6047" s="0" t="n">
        <v>575.01</v>
      </c>
      <c r="P6047" s="0" t="s">
        <v>2444</v>
      </c>
    </row>
    <row r="6048" customFormat="false" ht="15" hidden="false" customHeight="true" outlineLevel="0" collapsed="false">
      <c r="A6048" s="0" t="n">
        <v>2</v>
      </c>
      <c r="B6048" s="71" t="n">
        <v>46248</v>
      </c>
      <c r="C6048" s="0" t="n">
        <v>11</v>
      </c>
      <c r="D6048" s="0" t="s">
        <v>2471</v>
      </c>
      <c r="E6048" s="0" t="n">
        <v>1718</v>
      </c>
      <c r="F6048" s="0" t="s">
        <v>236</v>
      </c>
      <c r="I6048" s="0" t="n">
        <v>689222</v>
      </c>
      <c r="J6048" s="0" t="n">
        <v>107538</v>
      </c>
      <c r="K6048" s="0" t="n">
        <v>70330913431</v>
      </c>
      <c r="L6048" s="0" t="s">
        <v>2744</v>
      </c>
      <c r="N6048" s="0" t="n">
        <v>120</v>
      </c>
      <c r="O6048" s="0" t="n">
        <v>364.2</v>
      </c>
      <c r="P6048" s="0" t="s">
        <v>2444</v>
      </c>
    </row>
    <row r="6049" customFormat="false" ht="15" hidden="false" customHeight="true" outlineLevel="0" collapsed="false">
      <c r="A6049" s="0" t="n">
        <v>2</v>
      </c>
      <c r="B6049" s="71" t="n">
        <v>46248</v>
      </c>
      <c r="C6049" s="0" t="n">
        <v>11</v>
      </c>
      <c r="D6049" s="0" t="s">
        <v>2471</v>
      </c>
      <c r="E6049" s="0" t="n">
        <v>1718</v>
      </c>
      <c r="F6049" s="0" t="s">
        <v>236</v>
      </c>
      <c r="I6049" s="0" t="n">
        <v>689222</v>
      </c>
      <c r="J6049" s="0" t="n">
        <v>12703</v>
      </c>
      <c r="K6049" s="0" t="n">
        <v>70330710221</v>
      </c>
      <c r="L6049" s="0" t="s">
        <v>3427</v>
      </c>
      <c r="N6049" s="0" t="n">
        <v>100</v>
      </c>
      <c r="O6049" s="0" t="n">
        <v>254</v>
      </c>
      <c r="P6049" s="0" t="s">
        <v>2444</v>
      </c>
    </row>
    <row r="6050" customFormat="false" ht="15" hidden="false" customHeight="true" outlineLevel="0" collapsed="false">
      <c r="A6050" s="0" t="n">
        <v>2</v>
      </c>
      <c r="B6050" s="71" t="n">
        <v>46248</v>
      </c>
      <c r="C6050" s="0" t="n">
        <v>11</v>
      </c>
      <c r="D6050" s="0" t="s">
        <v>2471</v>
      </c>
      <c r="E6050" s="0" t="n">
        <v>1718</v>
      </c>
      <c r="F6050" s="0" t="s">
        <v>236</v>
      </c>
      <c r="I6050" s="0" t="n">
        <v>689222</v>
      </c>
      <c r="J6050" s="0" t="n">
        <v>38503</v>
      </c>
      <c r="K6050" s="0" t="n">
        <v>7896007800056</v>
      </c>
      <c r="L6050" s="0" t="s">
        <v>4806</v>
      </c>
      <c r="N6050" s="0" t="n">
        <v>12</v>
      </c>
      <c r="O6050" s="0" t="n">
        <v>45.74</v>
      </c>
      <c r="P6050" s="0" t="s">
        <v>2444</v>
      </c>
    </row>
    <row r="6051" customFormat="false" ht="15" hidden="false" customHeight="true" outlineLevel="0" collapsed="false">
      <c r="A6051" s="0" t="n">
        <v>2</v>
      </c>
      <c r="B6051" s="71" t="n">
        <v>46248</v>
      </c>
      <c r="C6051" s="0" t="n">
        <v>11</v>
      </c>
      <c r="D6051" s="0" t="s">
        <v>2471</v>
      </c>
      <c r="E6051" s="0" t="n">
        <v>1718</v>
      </c>
      <c r="F6051" s="0" t="s">
        <v>236</v>
      </c>
      <c r="I6051" s="0" t="n">
        <v>689222</v>
      </c>
      <c r="J6051" s="0" t="n">
        <v>82032</v>
      </c>
      <c r="K6051" s="0" t="n">
        <v>7897011000272</v>
      </c>
      <c r="L6051" s="0" t="s">
        <v>4807</v>
      </c>
      <c r="N6051" s="0" t="n">
        <v>24</v>
      </c>
      <c r="O6051" s="0" t="n">
        <v>41.86</v>
      </c>
      <c r="P6051" s="0" t="s">
        <v>2444</v>
      </c>
    </row>
    <row r="6052" customFormat="false" ht="15" hidden="false" customHeight="true" outlineLevel="0" collapsed="false">
      <c r="A6052" s="0" t="n">
        <v>2</v>
      </c>
      <c r="B6052" s="71" t="n">
        <v>46248</v>
      </c>
      <c r="C6052" s="0" t="n">
        <v>11</v>
      </c>
      <c r="D6052" s="0" t="s">
        <v>2471</v>
      </c>
      <c r="E6052" s="0" t="n">
        <v>1718</v>
      </c>
      <c r="F6052" s="0" t="s">
        <v>236</v>
      </c>
      <c r="I6052" s="0" t="n">
        <v>689222</v>
      </c>
      <c r="J6052" s="0" t="n">
        <v>82074</v>
      </c>
      <c r="K6052" s="0" t="n">
        <v>7897011000258</v>
      </c>
      <c r="L6052" s="0" t="s">
        <v>4808</v>
      </c>
      <c r="N6052" s="0" t="n">
        <v>32</v>
      </c>
      <c r="O6052" s="0" t="n">
        <v>66.06</v>
      </c>
      <c r="P6052" s="0" t="s">
        <v>2444</v>
      </c>
    </row>
    <row r="6053" customFormat="false" ht="15" hidden="false" customHeight="true" outlineLevel="0" collapsed="false">
      <c r="A6053" s="0" t="n">
        <v>2</v>
      </c>
      <c r="B6053" s="71" t="n">
        <v>46248</v>
      </c>
      <c r="C6053" s="0" t="n">
        <v>11</v>
      </c>
      <c r="D6053" s="0" t="s">
        <v>2471</v>
      </c>
      <c r="E6053" s="0" t="n">
        <v>1621</v>
      </c>
      <c r="F6053" s="0" t="s">
        <v>232</v>
      </c>
      <c r="I6053" s="0" t="n">
        <v>957093</v>
      </c>
      <c r="J6053" s="0" t="n">
        <v>20242</v>
      </c>
      <c r="K6053" s="0" t="n">
        <v>7891149104932</v>
      </c>
      <c r="L6053" s="0" t="s">
        <v>3771</v>
      </c>
      <c r="N6053" s="0" t="n">
        <v>60</v>
      </c>
      <c r="O6053" s="0" t="n">
        <v>102.54</v>
      </c>
      <c r="P6053" s="0" t="s">
        <v>2444</v>
      </c>
    </row>
    <row r="6054" customFormat="false" ht="15" hidden="false" customHeight="true" outlineLevel="0" collapsed="false">
      <c r="A6054" s="0" t="n">
        <v>2</v>
      </c>
      <c r="B6054" s="71" t="n">
        <v>46248</v>
      </c>
      <c r="C6054" s="0" t="n">
        <v>11</v>
      </c>
      <c r="D6054" s="0" t="s">
        <v>2471</v>
      </c>
      <c r="E6054" s="0" t="n">
        <v>1621</v>
      </c>
      <c r="F6054" s="0" t="s">
        <v>232</v>
      </c>
      <c r="I6054" s="0" t="n">
        <v>957093</v>
      </c>
      <c r="J6054" s="0" t="n">
        <v>103124</v>
      </c>
      <c r="K6054" s="0" t="n">
        <v>7891991000796</v>
      </c>
      <c r="L6054" s="0" t="s">
        <v>3598</v>
      </c>
      <c r="N6054" s="0" t="n">
        <v>60</v>
      </c>
      <c r="O6054" s="0" t="n">
        <v>205.090065</v>
      </c>
      <c r="P6054" s="0" t="s">
        <v>2444</v>
      </c>
    </row>
    <row r="6055" customFormat="false" ht="15" hidden="false" customHeight="true" outlineLevel="0" collapsed="false">
      <c r="A6055" s="0" t="n">
        <v>2</v>
      </c>
      <c r="B6055" s="71" t="n">
        <v>46248</v>
      </c>
      <c r="C6055" s="0" t="n">
        <v>11</v>
      </c>
      <c r="D6055" s="0" t="s">
        <v>2471</v>
      </c>
      <c r="E6055" s="0" t="n">
        <v>1621</v>
      </c>
      <c r="F6055" s="0" t="s">
        <v>232</v>
      </c>
      <c r="I6055" s="0" t="n">
        <v>957093</v>
      </c>
      <c r="J6055" s="0" t="n">
        <v>103126</v>
      </c>
      <c r="K6055" s="0" t="n">
        <v>7891991000727</v>
      </c>
      <c r="L6055" s="0" t="s">
        <v>3065</v>
      </c>
      <c r="N6055" s="0" t="n">
        <v>12</v>
      </c>
      <c r="O6055" s="0" t="n">
        <v>36.02</v>
      </c>
      <c r="P6055" s="0" t="s">
        <v>2444</v>
      </c>
    </row>
    <row r="6056" customFormat="false" ht="15" hidden="false" customHeight="true" outlineLevel="0" collapsed="false">
      <c r="A6056" s="0" t="n">
        <v>2</v>
      </c>
      <c r="B6056" s="71" t="n">
        <v>46248</v>
      </c>
      <c r="C6056" s="0" t="n">
        <v>11</v>
      </c>
      <c r="D6056" s="0" t="s">
        <v>2471</v>
      </c>
      <c r="E6056" s="0" t="n">
        <v>1621</v>
      </c>
      <c r="F6056" s="0" t="s">
        <v>232</v>
      </c>
      <c r="I6056" s="0" t="n">
        <v>957093</v>
      </c>
      <c r="J6056" s="0" t="n">
        <v>103127</v>
      </c>
      <c r="K6056" s="0" t="n">
        <v>7891991000826</v>
      </c>
      <c r="L6056" s="0" t="s">
        <v>3066</v>
      </c>
      <c r="N6056" s="0" t="n">
        <v>12</v>
      </c>
      <c r="O6056" s="0" t="n">
        <v>36.02</v>
      </c>
      <c r="P6056" s="0" t="s">
        <v>2444</v>
      </c>
    </row>
    <row r="6057" customFormat="false" ht="15" hidden="false" customHeight="true" outlineLevel="0" collapsed="false">
      <c r="A6057" s="0" t="n">
        <v>2</v>
      </c>
      <c r="B6057" s="71" t="n">
        <v>46248</v>
      </c>
      <c r="C6057" s="0" t="n">
        <v>11</v>
      </c>
      <c r="D6057" s="0" t="s">
        <v>2471</v>
      </c>
      <c r="E6057" s="0" t="n">
        <v>1621</v>
      </c>
      <c r="F6057" s="0" t="s">
        <v>232</v>
      </c>
      <c r="I6057" s="0" t="n">
        <v>957093</v>
      </c>
      <c r="J6057" s="0" t="n">
        <v>103128</v>
      </c>
      <c r="K6057" s="0" t="n">
        <v>7891991000833</v>
      </c>
      <c r="L6057" s="0" t="s">
        <v>4809</v>
      </c>
      <c r="N6057" s="0" t="n">
        <v>12</v>
      </c>
      <c r="O6057" s="0" t="n">
        <v>34.91</v>
      </c>
      <c r="P6057" s="0" t="s">
        <v>2444</v>
      </c>
    </row>
    <row r="6058" customFormat="false" ht="15" hidden="false" customHeight="true" outlineLevel="0" collapsed="false">
      <c r="A6058" s="0" t="n">
        <v>2</v>
      </c>
      <c r="B6058" s="71" t="n">
        <v>46248</v>
      </c>
      <c r="C6058" s="0" t="n">
        <v>11</v>
      </c>
      <c r="D6058" s="0" t="s">
        <v>2471</v>
      </c>
      <c r="E6058" s="0" t="n">
        <v>1621</v>
      </c>
      <c r="F6058" s="0" t="s">
        <v>232</v>
      </c>
      <c r="I6058" s="0" t="n">
        <v>957093</v>
      </c>
      <c r="J6058" s="0" t="n">
        <v>103130</v>
      </c>
      <c r="K6058" s="0" t="n">
        <v>7891149440801</v>
      </c>
      <c r="L6058" s="0" t="s">
        <v>3067</v>
      </c>
      <c r="N6058" s="0" t="n">
        <v>18</v>
      </c>
      <c r="O6058" s="0" t="n">
        <v>100.48</v>
      </c>
      <c r="P6058" s="0" t="s">
        <v>2444</v>
      </c>
    </row>
    <row r="6059" customFormat="false" ht="15" hidden="false" customHeight="true" outlineLevel="0" collapsed="false">
      <c r="A6059" s="0" t="n">
        <v>2</v>
      </c>
      <c r="B6059" s="71" t="n">
        <v>46248</v>
      </c>
      <c r="C6059" s="0" t="n">
        <v>11</v>
      </c>
      <c r="D6059" s="0" t="s">
        <v>2471</v>
      </c>
      <c r="E6059" s="0" t="n">
        <v>1621</v>
      </c>
      <c r="F6059" s="0" t="s">
        <v>232</v>
      </c>
      <c r="I6059" s="0" t="n">
        <v>957093</v>
      </c>
      <c r="J6059" s="0" t="n">
        <v>103131</v>
      </c>
      <c r="K6059" s="0" t="n">
        <v>7891991001359</v>
      </c>
      <c r="L6059" s="0" t="s">
        <v>4810</v>
      </c>
      <c r="N6059" s="0" t="n">
        <v>12</v>
      </c>
      <c r="O6059" s="0" t="n">
        <v>82.4</v>
      </c>
      <c r="P6059" s="0" t="s">
        <v>2444</v>
      </c>
    </row>
    <row r="6060" customFormat="false" ht="15" hidden="false" customHeight="true" outlineLevel="0" collapsed="false">
      <c r="A6060" s="0" t="n">
        <v>2</v>
      </c>
      <c r="B6060" s="71" t="n">
        <v>46248</v>
      </c>
      <c r="C6060" s="0" t="n">
        <v>11</v>
      </c>
      <c r="D6060" s="0" t="s">
        <v>2471</v>
      </c>
      <c r="E6060" s="0" t="n">
        <v>1621</v>
      </c>
      <c r="F6060" s="0" t="s">
        <v>232</v>
      </c>
      <c r="I6060" s="0" t="n">
        <v>957093</v>
      </c>
      <c r="J6060" s="0" t="n">
        <v>103792</v>
      </c>
      <c r="K6060" s="0" t="n">
        <v>7891149010509</v>
      </c>
      <c r="L6060" s="0" t="s">
        <v>3599</v>
      </c>
      <c r="N6060" s="0" t="n">
        <v>60</v>
      </c>
      <c r="O6060" s="0" t="n">
        <v>194.810145</v>
      </c>
      <c r="P6060" s="0" t="s">
        <v>2444</v>
      </c>
    </row>
    <row r="6061" customFormat="false" ht="15" hidden="false" customHeight="true" outlineLevel="0" collapsed="false">
      <c r="A6061" s="0" t="n">
        <v>2</v>
      </c>
      <c r="B6061" s="71" t="n">
        <v>46248</v>
      </c>
      <c r="C6061" s="0" t="n">
        <v>11</v>
      </c>
      <c r="D6061" s="0" t="s">
        <v>2471</v>
      </c>
      <c r="E6061" s="0" t="n">
        <v>1621</v>
      </c>
      <c r="F6061" s="0" t="s">
        <v>232</v>
      </c>
      <c r="I6061" s="0" t="n">
        <v>957093</v>
      </c>
      <c r="J6061" s="0" t="n">
        <v>103943</v>
      </c>
      <c r="K6061" s="0" t="n">
        <v>7891149200504</v>
      </c>
      <c r="L6061" s="0" t="s">
        <v>3072</v>
      </c>
      <c r="N6061" s="0" t="n">
        <v>36</v>
      </c>
      <c r="O6061" s="0" t="n">
        <v>116.879941</v>
      </c>
      <c r="P6061" s="0" t="s">
        <v>2444</v>
      </c>
    </row>
    <row r="6062" customFormat="false" ht="15" hidden="false" customHeight="true" outlineLevel="0" collapsed="false">
      <c r="A6062" s="0" t="n">
        <v>2</v>
      </c>
      <c r="B6062" s="71" t="n">
        <v>46248</v>
      </c>
      <c r="C6062" s="0" t="n">
        <v>11</v>
      </c>
      <c r="D6062" s="0" t="s">
        <v>2471</v>
      </c>
      <c r="E6062" s="0" t="n">
        <v>1621</v>
      </c>
      <c r="F6062" s="0" t="s">
        <v>232</v>
      </c>
      <c r="I6062" s="0" t="n">
        <v>957093</v>
      </c>
      <c r="J6062" s="0" t="n">
        <v>108599</v>
      </c>
      <c r="K6062" s="0" t="n">
        <v>7892840808051</v>
      </c>
      <c r="L6062" s="0" t="s">
        <v>3074</v>
      </c>
      <c r="N6062" s="0" t="n">
        <v>6</v>
      </c>
      <c r="O6062" s="0" t="n">
        <v>32.88</v>
      </c>
      <c r="P6062" s="0" t="s">
        <v>2444</v>
      </c>
    </row>
    <row r="6063" customFormat="false" ht="15" hidden="false" customHeight="true" outlineLevel="0" collapsed="false">
      <c r="A6063" s="0" t="n">
        <v>2</v>
      </c>
      <c r="B6063" s="71" t="n">
        <v>46248</v>
      </c>
      <c r="C6063" s="0" t="n">
        <v>11</v>
      </c>
      <c r="D6063" s="0" t="s">
        <v>2471</v>
      </c>
      <c r="E6063" s="0" t="n">
        <v>1621</v>
      </c>
      <c r="F6063" s="0" t="s">
        <v>232</v>
      </c>
      <c r="I6063" s="0" t="n">
        <v>957093</v>
      </c>
      <c r="J6063" s="0" t="n">
        <v>12669</v>
      </c>
      <c r="K6063" s="0" t="n">
        <v>7891991010351</v>
      </c>
      <c r="L6063" s="0" t="s">
        <v>3772</v>
      </c>
      <c r="N6063" s="0" t="n">
        <v>12</v>
      </c>
      <c r="O6063" s="0" t="n">
        <v>34.91</v>
      </c>
      <c r="P6063" s="0" t="s">
        <v>2444</v>
      </c>
    </row>
    <row r="6064" customFormat="false" ht="15" hidden="false" customHeight="true" outlineLevel="0" collapsed="false">
      <c r="A6064" s="0" t="n">
        <v>2</v>
      </c>
      <c r="B6064" s="71" t="n">
        <v>46248</v>
      </c>
      <c r="C6064" s="0" t="n">
        <v>11</v>
      </c>
      <c r="D6064" s="0" t="s">
        <v>2471</v>
      </c>
      <c r="E6064" s="0" t="n">
        <v>1621</v>
      </c>
      <c r="F6064" s="0" t="s">
        <v>232</v>
      </c>
      <c r="I6064" s="0" t="n">
        <v>957093</v>
      </c>
      <c r="J6064" s="0" t="n">
        <v>13504</v>
      </c>
      <c r="K6064" s="0" t="n">
        <v>7892840808020</v>
      </c>
      <c r="L6064" s="0" t="s">
        <v>3874</v>
      </c>
      <c r="N6064" s="0" t="n">
        <v>6</v>
      </c>
      <c r="O6064" s="0" t="n">
        <v>32.88</v>
      </c>
      <c r="P6064" s="0" t="s">
        <v>2444</v>
      </c>
    </row>
    <row r="6065" customFormat="false" ht="15" hidden="false" customHeight="true" outlineLevel="0" collapsed="false">
      <c r="A6065" s="0" t="n">
        <v>2</v>
      </c>
      <c r="B6065" s="71" t="n">
        <v>46248</v>
      </c>
      <c r="C6065" s="0" t="n">
        <v>11</v>
      </c>
      <c r="D6065" s="0" t="s">
        <v>2471</v>
      </c>
      <c r="E6065" s="0" t="n">
        <v>1621</v>
      </c>
      <c r="F6065" s="0" t="s">
        <v>232</v>
      </c>
      <c r="I6065" s="0" t="n">
        <v>957093</v>
      </c>
      <c r="J6065" s="0" t="n">
        <v>16185</v>
      </c>
      <c r="K6065" s="0" t="n">
        <v>7891149103102</v>
      </c>
      <c r="L6065" s="0" t="s">
        <v>3075</v>
      </c>
      <c r="N6065" s="0" t="n">
        <v>75</v>
      </c>
      <c r="O6065" s="0" t="n">
        <v>211.36004</v>
      </c>
      <c r="P6065" s="0" t="s">
        <v>2444</v>
      </c>
    </row>
    <row r="6066" customFormat="false" ht="15" hidden="false" customHeight="true" outlineLevel="0" collapsed="false">
      <c r="A6066" s="0" t="n">
        <v>2</v>
      </c>
      <c r="B6066" s="71" t="n">
        <v>46248</v>
      </c>
      <c r="C6066" s="0" t="n">
        <v>11</v>
      </c>
      <c r="D6066" s="0" t="s">
        <v>2471</v>
      </c>
      <c r="E6066" s="0" t="n">
        <v>1621</v>
      </c>
      <c r="F6066" s="0" t="s">
        <v>232</v>
      </c>
      <c r="I6066" s="0" t="n">
        <v>957093</v>
      </c>
      <c r="J6066" s="0" t="n">
        <v>16653</v>
      </c>
      <c r="K6066" s="0" t="n">
        <v>7891149103065</v>
      </c>
      <c r="L6066" s="0" t="s">
        <v>4651</v>
      </c>
      <c r="N6066" s="0" t="n">
        <v>16</v>
      </c>
      <c r="O6066" s="0" t="n">
        <v>58.839935</v>
      </c>
      <c r="P6066" s="0" t="s">
        <v>2444</v>
      </c>
    </row>
    <row r="6067" customFormat="false" ht="15" hidden="false" customHeight="true" outlineLevel="0" collapsed="false">
      <c r="A6067" s="0" t="n">
        <v>2</v>
      </c>
      <c r="B6067" s="71" t="n">
        <v>46248</v>
      </c>
      <c r="C6067" s="0" t="n">
        <v>11</v>
      </c>
      <c r="D6067" s="0" t="s">
        <v>2471</v>
      </c>
      <c r="E6067" s="0" t="n">
        <v>1621</v>
      </c>
      <c r="F6067" s="0" t="s">
        <v>232</v>
      </c>
      <c r="I6067" s="0" t="n">
        <v>957093</v>
      </c>
      <c r="J6067" s="0" t="n">
        <v>17277</v>
      </c>
      <c r="K6067" s="0" t="n">
        <v>7892840808174</v>
      </c>
      <c r="L6067" s="0" t="s">
        <v>3076</v>
      </c>
      <c r="N6067" s="0" t="n">
        <v>6</v>
      </c>
      <c r="O6067" s="0" t="n">
        <v>31.89</v>
      </c>
      <c r="P6067" s="0" t="s">
        <v>2444</v>
      </c>
    </row>
    <row r="6068" customFormat="false" ht="15" hidden="false" customHeight="true" outlineLevel="0" collapsed="false">
      <c r="A6068" s="0" t="n">
        <v>2</v>
      </c>
      <c r="B6068" s="71" t="n">
        <v>46248</v>
      </c>
      <c r="C6068" s="0" t="n">
        <v>11</v>
      </c>
      <c r="D6068" s="0" t="s">
        <v>2471</v>
      </c>
      <c r="E6068" s="0" t="n">
        <v>1621</v>
      </c>
      <c r="F6068" s="0" t="s">
        <v>232</v>
      </c>
      <c r="I6068" s="0" t="n">
        <v>957093</v>
      </c>
      <c r="J6068" s="0" t="n">
        <v>17473</v>
      </c>
      <c r="K6068" s="0" t="n">
        <v>822671</v>
      </c>
      <c r="L6068" s="0" t="s">
        <v>3077</v>
      </c>
      <c r="N6068" s="0" t="n">
        <v>75</v>
      </c>
      <c r="O6068" s="0" t="n">
        <v>204.979852</v>
      </c>
      <c r="P6068" s="0" t="s">
        <v>2444</v>
      </c>
    </row>
    <row r="6069" customFormat="false" ht="15" hidden="false" customHeight="true" outlineLevel="0" collapsed="false">
      <c r="A6069" s="0" t="n">
        <v>2</v>
      </c>
      <c r="B6069" s="71" t="n">
        <v>46248</v>
      </c>
      <c r="C6069" s="0" t="n">
        <v>11</v>
      </c>
      <c r="D6069" s="0" t="s">
        <v>2471</v>
      </c>
      <c r="E6069" s="0" t="n">
        <v>1621</v>
      </c>
      <c r="F6069" s="0" t="s">
        <v>232</v>
      </c>
      <c r="I6069" s="0" t="n">
        <v>957093</v>
      </c>
      <c r="J6069" s="0" t="n">
        <v>24129</v>
      </c>
      <c r="K6069" s="0" t="n">
        <v>7891991011877</v>
      </c>
      <c r="L6069" s="0" t="s">
        <v>3079</v>
      </c>
      <c r="N6069" s="0" t="n">
        <v>16</v>
      </c>
      <c r="O6069" s="0" t="n">
        <v>46.470022</v>
      </c>
      <c r="P6069" s="0" t="s">
        <v>2444</v>
      </c>
    </row>
    <row r="6070" customFormat="false" ht="15" hidden="false" customHeight="true" outlineLevel="0" collapsed="false">
      <c r="A6070" s="0" t="n">
        <v>2</v>
      </c>
      <c r="B6070" s="71" t="n">
        <v>46248</v>
      </c>
      <c r="C6070" s="0" t="n">
        <v>11</v>
      </c>
      <c r="D6070" s="0" t="s">
        <v>2471</v>
      </c>
      <c r="E6070" s="0" t="n">
        <v>1621</v>
      </c>
      <c r="F6070" s="0" t="s">
        <v>232</v>
      </c>
      <c r="I6070" s="0" t="n">
        <v>957093</v>
      </c>
      <c r="J6070" s="0" t="n">
        <v>28304</v>
      </c>
      <c r="K6070" s="0" t="n">
        <v>7891991014762</v>
      </c>
      <c r="L6070" s="0" t="s">
        <v>3773</v>
      </c>
      <c r="N6070" s="0" t="n">
        <v>72</v>
      </c>
      <c r="O6070" s="0" t="n">
        <v>411.280079</v>
      </c>
      <c r="P6070" s="0" t="s">
        <v>2444</v>
      </c>
    </row>
    <row r="6071" customFormat="false" ht="15" hidden="false" customHeight="true" outlineLevel="0" collapsed="false">
      <c r="A6071" s="0" t="n">
        <v>2</v>
      </c>
      <c r="B6071" s="71" t="n">
        <v>46248</v>
      </c>
      <c r="C6071" s="0" t="n">
        <v>11</v>
      </c>
      <c r="D6071" s="0" t="s">
        <v>2471</v>
      </c>
      <c r="E6071" s="0" t="n">
        <v>1621</v>
      </c>
      <c r="F6071" s="0" t="s">
        <v>232</v>
      </c>
      <c r="I6071" s="0" t="n">
        <v>957093</v>
      </c>
      <c r="J6071" s="0" t="n">
        <v>31030</v>
      </c>
      <c r="K6071" s="0" t="n">
        <v>7891991014090</v>
      </c>
      <c r="L6071" s="0" t="s">
        <v>3082</v>
      </c>
      <c r="N6071" s="0" t="n">
        <v>24</v>
      </c>
      <c r="O6071" s="0" t="n">
        <v>82.4</v>
      </c>
      <c r="P6071" s="0" t="s">
        <v>2444</v>
      </c>
    </row>
    <row r="6072" customFormat="false" ht="15" hidden="false" customHeight="true" outlineLevel="0" collapsed="false">
      <c r="A6072" s="0" t="n">
        <v>2</v>
      </c>
      <c r="B6072" s="71" t="n">
        <v>46248</v>
      </c>
      <c r="C6072" s="0" t="n">
        <v>11</v>
      </c>
      <c r="D6072" s="0" t="s">
        <v>2471</v>
      </c>
      <c r="E6072" s="0" t="n">
        <v>1621</v>
      </c>
      <c r="F6072" s="0" t="s">
        <v>232</v>
      </c>
      <c r="I6072" s="0" t="n">
        <v>957093</v>
      </c>
      <c r="J6072" s="0" t="n">
        <v>31030</v>
      </c>
      <c r="K6072" s="0" t="n">
        <v>7891991014090</v>
      </c>
      <c r="L6072" s="0" t="s">
        <v>3082</v>
      </c>
      <c r="N6072" s="0" t="n">
        <v>6</v>
      </c>
      <c r="O6072" s="0" t="n">
        <v>18.55</v>
      </c>
      <c r="P6072" s="0" t="s">
        <v>2444</v>
      </c>
    </row>
    <row r="6073" customFormat="false" ht="15" hidden="false" customHeight="true" outlineLevel="0" collapsed="false">
      <c r="A6073" s="0" t="n">
        <v>2</v>
      </c>
      <c r="B6073" s="71" t="n">
        <v>46248</v>
      </c>
      <c r="C6073" s="0" t="n">
        <v>11</v>
      </c>
      <c r="D6073" s="0" t="s">
        <v>2471</v>
      </c>
      <c r="E6073" s="0" t="n">
        <v>1621</v>
      </c>
      <c r="F6073" s="0" t="s">
        <v>232</v>
      </c>
      <c r="I6073" s="0" t="n">
        <v>957093</v>
      </c>
      <c r="J6073" s="0" t="n">
        <v>32100</v>
      </c>
      <c r="K6073" s="0" t="n">
        <v>7891991015493</v>
      </c>
      <c r="L6073" s="0" t="s">
        <v>3774</v>
      </c>
      <c r="N6073" s="0" t="n">
        <v>60</v>
      </c>
      <c r="O6073" s="0" t="n">
        <v>256.489865</v>
      </c>
      <c r="P6073" s="0" t="s">
        <v>2444</v>
      </c>
    </row>
    <row r="6074" customFormat="false" ht="15" hidden="false" customHeight="true" outlineLevel="0" collapsed="false">
      <c r="A6074" s="0" t="n">
        <v>2</v>
      </c>
      <c r="B6074" s="71" t="n">
        <v>46248</v>
      </c>
      <c r="C6074" s="0" t="n">
        <v>11</v>
      </c>
      <c r="D6074" s="0" t="s">
        <v>2471</v>
      </c>
      <c r="E6074" s="0" t="n">
        <v>1621</v>
      </c>
      <c r="F6074" s="0" t="s">
        <v>232</v>
      </c>
      <c r="I6074" s="0" t="n">
        <v>957093</v>
      </c>
      <c r="J6074" s="0" t="n">
        <v>33355</v>
      </c>
      <c r="K6074" s="0" t="n">
        <v>7891991010177</v>
      </c>
      <c r="L6074" s="0" t="s">
        <v>4811</v>
      </c>
      <c r="N6074" s="0" t="n">
        <v>30</v>
      </c>
      <c r="O6074" s="0" t="n">
        <v>89.700093</v>
      </c>
      <c r="P6074" s="0" t="s">
        <v>2444</v>
      </c>
    </row>
    <row r="6075" customFormat="false" ht="15" hidden="false" customHeight="true" outlineLevel="0" collapsed="false">
      <c r="A6075" s="0" t="n">
        <v>2</v>
      </c>
      <c r="B6075" s="71" t="n">
        <v>46248</v>
      </c>
      <c r="C6075" s="0" t="n">
        <v>11</v>
      </c>
      <c r="D6075" s="0" t="s">
        <v>2471</v>
      </c>
      <c r="E6075" s="0" t="n">
        <v>1621</v>
      </c>
      <c r="F6075" s="0" t="s">
        <v>232</v>
      </c>
      <c r="I6075" s="0" t="n">
        <v>957093</v>
      </c>
      <c r="J6075" s="0" t="n">
        <v>33537</v>
      </c>
      <c r="K6075" s="0" t="n">
        <v>7891991294942</v>
      </c>
      <c r="L6075" s="0" t="s">
        <v>3344</v>
      </c>
      <c r="N6075" s="0" t="n">
        <v>120</v>
      </c>
      <c r="O6075" s="0" t="n">
        <v>420.45</v>
      </c>
      <c r="P6075" s="0" t="s">
        <v>2444</v>
      </c>
    </row>
    <row r="6076" customFormat="false" ht="15" hidden="false" customHeight="true" outlineLevel="0" collapsed="false">
      <c r="A6076" s="0" t="n">
        <v>2</v>
      </c>
      <c r="B6076" s="71" t="n">
        <v>46248</v>
      </c>
      <c r="C6076" s="0" t="n">
        <v>11</v>
      </c>
      <c r="D6076" s="0" t="s">
        <v>2471</v>
      </c>
      <c r="E6076" s="0" t="n">
        <v>1621</v>
      </c>
      <c r="F6076" s="0" t="s">
        <v>232</v>
      </c>
      <c r="I6076" s="0" t="n">
        <v>957093</v>
      </c>
      <c r="J6076" s="0" t="n">
        <v>38561</v>
      </c>
      <c r="K6076" s="0" t="n">
        <v>7891991295086</v>
      </c>
      <c r="L6076" s="0" t="s">
        <v>4652</v>
      </c>
      <c r="N6076" s="0" t="n">
        <v>30</v>
      </c>
      <c r="O6076" s="0" t="n">
        <v>100.109914</v>
      </c>
      <c r="P6076" s="0" t="s">
        <v>2444</v>
      </c>
    </row>
    <row r="6077" customFormat="false" ht="15" hidden="false" customHeight="true" outlineLevel="0" collapsed="false">
      <c r="A6077" s="0" t="n">
        <v>2</v>
      </c>
      <c r="B6077" s="71" t="n">
        <v>46248</v>
      </c>
      <c r="C6077" s="0" t="n">
        <v>11</v>
      </c>
      <c r="D6077" s="0" t="s">
        <v>2471</v>
      </c>
      <c r="E6077" s="0" t="n">
        <v>1621</v>
      </c>
      <c r="F6077" s="0" t="s">
        <v>232</v>
      </c>
      <c r="I6077" s="0" t="n">
        <v>957093</v>
      </c>
      <c r="J6077" s="0" t="n">
        <v>46066</v>
      </c>
      <c r="K6077" s="0" t="n">
        <v>7891991295277</v>
      </c>
      <c r="L6077" s="0" t="s">
        <v>3088</v>
      </c>
      <c r="N6077" s="0" t="n">
        <v>30</v>
      </c>
      <c r="O6077" s="0" t="n">
        <v>87.129915</v>
      </c>
      <c r="P6077" s="0" t="s">
        <v>2444</v>
      </c>
    </row>
    <row r="6078" customFormat="false" ht="15" hidden="false" customHeight="true" outlineLevel="0" collapsed="false">
      <c r="A6078" s="0" t="n">
        <v>2</v>
      </c>
      <c r="B6078" s="71" t="n">
        <v>46248</v>
      </c>
      <c r="C6078" s="0" t="n">
        <v>11</v>
      </c>
      <c r="D6078" s="0" t="s">
        <v>2471</v>
      </c>
      <c r="E6078" s="0" t="n">
        <v>1621</v>
      </c>
      <c r="F6078" s="0" t="s">
        <v>232</v>
      </c>
      <c r="I6078" s="0" t="n">
        <v>957093</v>
      </c>
      <c r="J6078" s="0" t="n">
        <v>73036</v>
      </c>
      <c r="K6078" s="0" t="n">
        <v>7892840822019</v>
      </c>
      <c r="L6078" s="0" t="s">
        <v>3096</v>
      </c>
      <c r="N6078" s="0" t="n">
        <v>6</v>
      </c>
      <c r="O6078" s="0" t="n">
        <v>32.88</v>
      </c>
      <c r="P6078" s="0" t="s">
        <v>2444</v>
      </c>
    </row>
    <row r="6079" customFormat="false" ht="15" hidden="false" customHeight="true" outlineLevel="0" collapsed="false">
      <c r="A6079" s="0" t="n">
        <v>2</v>
      </c>
      <c r="B6079" s="71" t="n">
        <v>46248</v>
      </c>
      <c r="C6079" s="0" t="n">
        <v>11</v>
      </c>
      <c r="D6079" s="0" t="s">
        <v>2471</v>
      </c>
      <c r="E6079" s="0" t="n">
        <v>1621</v>
      </c>
      <c r="F6079" s="0" t="s">
        <v>232</v>
      </c>
      <c r="I6079" s="0" t="n">
        <v>957093</v>
      </c>
      <c r="J6079" s="0" t="n">
        <v>78038</v>
      </c>
      <c r="K6079" s="0" t="n">
        <v>7891991010481</v>
      </c>
      <c r="L6079" s="0" t="s">
        <v>3099</v>
      </c>
      <c r="N6079" s="0" t="n">
        <v>60</v>
      </c>
      <c r="O6079" s="0" t="n">
        <v>220.509904</v>
      </c>
      <c r="P6079" s="0" t="s">
        <v>2444</v>
      </c>
    </row>
    <row r="6080" customFormat="false" ht="15" hidden="false" customHeight="true" outlineLevel="0" collapsed="false">
      <c r="A6080" s="0" t="n">
        <v>2</v>
      </c>
      <c r="B6080" s="71" t="n">
        <v>46248</v>
      </c>
      <c r="C6080" s="0" t="n">
        <v>11</v>
      </c>
      <c r="D6080" s="0" t="s">
        <v>2471</v>
      </c>
      <c r="E6080" s="0" t="n">
        <v>1621</v>
      </c>
      <c r="F6080" s="0" t="s">
        <v>232</v>
      </c>
      <c r="I6080" s="0" t="n">
        <v>957093</v>
      </c>
      <c r="J6080" s="0" t="n">
        <v>78062</v>
      </c>
      <c r="K6080" s="0" t="n">
        <v>7891991305440</v>
      </c>
      <c r="L6080" s="0" t="s">
        <v>3100</v>
      </c>
      <c r="N6080" s="0" t="n">
        <v>24</v>
      </c>
      <c r="O6080" s="0" t="n">
        <v>133.429999</v>
      </c>
      <c r="P6080" s="0" t="s">
        <v>2444</v>
      </c>
    </row>
    <row r="6081" customFormat="false" ht="15" hidden="false" customHeight="true" outlineLevel="0" collapsed="false">
      <c r="A6081" s="0" t="n">
        <v>2</v>
      </c>
      <c r="B6081" s="71" t="n">
        <v>46248</v>
      </c>
      <c r="C6081" s="0" t="n">
        <v>11</v>
      </c>
      <c r="D6081" s="0" t="s">
        <v>2471</v>
      </c>
      <c r="E6081" s="0" t="n">
        <v>1621</v>
      </c>
      <c r="F6081" s="0" t="s">
        <v>232</v>
      </c>
      <c r="I6081" s="0" t="n">
        <v>957093</v>
      </c>
      <c r="J6081" s="0" t="n">
        <v>78063</v>
      </c>
      <c r="K6081" s="0" t="n">
        <v>7891149108718</v>
      </c>
      <c r="L6081" s="0" t="s">
        <v>3600</v>
      </c>
      <c r="N6081" s="0" t="n">
        <v>48</v>
      </c>
      <c r="O6081" s="0" t="n">
        <v>315.410032</v>
      </c>
      <c r="P6081" s="0" t="s">
        <v>2444</v>
      </c>
    </row>
    <row r="6082" customFormat="false" ht="15" hidden="false" customHeight="true" outlineLevel="0" collapsed="false">
      <c r="A6082" s="0" t="n">
        <v>2</v>
      </c>
      <c r="B6082" s="71" t="n">
        <v>46248</v>
      </c>
      <c r="C6082" s="0" t="n">
        <v>11</v>
      </c>
      <c r="D6082" s="0" t="s">
        <v>2471</v>
      </c>
      <c r="E6082" s="0" t="n">
        <v>1705</v>
      </c>
      <c r="F6082" s="0" t="s">
        <v>130</v>
      </c>
      <c r="I6082" s="0" t="n">
        <v>1246872</v>
      </c>
      <c r="J6082" s="0" t="n">
        <v>70703</v>
      </c>
      <c r="K6082" s="0" t="n">
        <v>7898938890090</v>
      </c>
      <c r="L6082" s="0" t="s">
        <v>4812</v>
      </c>
      <c r="N6082" s="0" t="n">
        <v>6</v>
      </c>
      <c r="O6082" s="0" t="n">
        <v>50.85</v>
      </c>
      <c r="P6082" s="0" t="s">
        <v>2444</v>
      </c>
    </row>
    <row r="6083" customFormat="false" ht="15" hidden="false" customHeight="true" outlineLevel="0" collapsed="false">
      <c r="A6083" s="0" t="n">
        <v>2</v>
      </c>
      <c r="B6083" s="71" t="n">
        <v>46248</v>
      </c>
      <c r="C6083" s="0" t="n">
        <v>11</v>
      </c>
      <c r="D6083" s="0" t="s">
        <v>2471</v>
      </c>
      <c r="E6083" s="0" t="n">
        <v>1705</v>
      </c>
      <c r="F6083" s="0" t="s">
        <v>130</v>
      </c>
      <c r="I6083" s="0" t="n">
        <v>1246873</v>
      </c>
      <c r="J6083" s="0" t="n">
        <v>104576</v>
      </c>
      <c r="K6083" s="0" t="n">
        <v>7898341430111</v>
      </c>
      <c r="L6083" s="0" t="s">
        <v>2561</v>
      </c>
      <c r="N6083" s="0" t="n">
        <v>6</v>
      </c>
      <c r="O6083" s="0" t="n">
        <v>60.87</v>
      </c>
      <c r="P6083" s="0" t="s">
        <v>2444</v>
      </c>
    </row>
    <row r="6084" customFormat="false" ht="15" hidden="false" customHeight="true" outlineLevel="0" collapsed="false">
      <c r="A6084" s="0" t="n">
        <v>2</v>
      </c>
      <c r="B6084" s="71" t="n">
        <v>46248</v>
      </c>
      <c r="C6084" s="0" t="n">
        <v>11</v>
      </c>
      <c r="D6084" s="0" t="s">
        <v>2471</v>
      </c>
      <c r="E6084" s="0" t="n">
        <v>1705</v>
      </c>
      <c r="F6084" s="0" t="s">
        <v>130</v>
      </c>
      <c r="I6084" s="0" t="n">
        <v>1246873</v>
      </c>
      <c r="J6084" s="0" t="n">
        <v>24324</v>
      </c>
      <c r="K6084" s="0" t="n">
        <v>70847022015</v>
      </c>
      <c r="L6084" s="0" t="s">
        <v>2462</v>
      </c>
      <c r="N6084" s="0" t="n">
        <v>24</v>
      </c>
      <c r="O6084" s="0" t="n">
        <v>203.42</v>
      </c>
      <c r="P6084" s="0" t="s">
        <v>2444</v>
      </c>
    </row>
    <row r="6085" customFormat="false" ht="15" hidden="false" customHeight="true" outlineLevel="0" collapsed="false">
      <c r="A6085" s="0" t="n">
        <v>2</v>
      </c>
      <c r="B6085" s="71" t="n">
        <v>46248</v>
      </c>
      <c r="C6085" s="0" t="n">
        <v>11</v>
      </c>
      <c r="D6085" s="0" t="s">
        <v>2471</v>
      </c>
      <c r="E6085" s="0" t="n">
        <v>1705</v>
      </c>
      <c r="F6085" s="0" t="s">
        <v>130</v>
      </c>
      <c r="I6085" s="0" t="n">
        <v>1246873</v>
      </c>
      <c r="J6085" s="0" t="n">
        <v>25136</v>
      </c>
      <c r="K6085" s="0" t="n">
        <v>70847022206</v>
      </c>
      <c r="L6085" s="0" t="s">
        <v>2463</v>
      </c>
      <c r="N6085" s="0" t="n">
        <v>6</v>
      </c>
      <c r="O6085" s="0" t="n">
        <v>50.85</v>
      </c>
      <c r="P6085" s="0" t="s">
        <v>2444</v>
      </c>
    </row>
    <row r="6086" customFormat="false" ht="15" hidden="false" customHeight="true" outlineLevel="0" collapsed="false">
      <c r="A6086" s="0" t="n">
        <v>2</v>
      </c>
      <c r="B6086" s="71" t="n">
        <v>46248</v>
      </c>
      <c r="C6086" s="0" t="n">
        <v>11</v>
      </c>
      <c r="D6086" s="0" t="s">
        <v>2471</v>
      </c>
      <c r="E6086" s="0" t="n">
        <v>1705</v>
      </c>
      <c r="F6086" s="0" t="s">
        <v>130</v>
      </c>
      <c r="I6086" s="0" t="n">
        <v>1246873</v>
      </c>
      <c r="J6086" s="0" t="n">
        <v>29747</v>
      </c>
      <c r="K6086" s="0" t="n">
        <v>70847022305</v>
      </c>
      <c r="L6086" s="0" t="s">
        <v>4124</v>
      </c>
      <c r="N6086" s="0" t="n">
        <v>12</v>
      </c>
      <c r="O6086" s="0" t="n">
        <v>101.71</v>
      </c>
      <c r="P6086" s="0" t="s">
        <v>2444</v>
      </c>
    </row>
    <row r="6087" customFormat="false" ht="15" hidden="false" customHeight="true" outlineLevel="0" collapsed="false">
      <c r="A6087" s="0" t="n">
        <v>2</v>
      </c>
      <c r="B6087" s="71" t="n">
        <v>46248</v>
      </c>
      <c r="C6087" s="0" t="n">
        <v>11</v>
      </c>
      <c r="D6087" s="0" t="s">
        <v>2471</v>
      </c>
      <c r="E6087" s="0" t="n">
        <v>1705</v>
      </c>
      <c r="F6087" s="0" t="s">
        <v>130</v>
      </c>
      <c r="I6087" s="0" t="n">
        <v>1246873</v>
      </c>
      <c r="J6087" s="0" t="n">
        <v>29749</v>
      </c>
      <c r="K6087" s="0" t="n">
        <v>70847033929</v>
      </c>
      <c r="L6087" s="0" t="s">
        <v>2563</v>
      </c>
      <c r="N6087" s="0" t="n">
        <v>6</v>
      </c>
      <c r="O6087" s="0" t="n">
        <v>50.85</v>
      </c>
      <c r="P6087" s="0" t="s">
        <v>2444</v>
      </c>
    </row>
    <row r="6088" customFormat="false" ht="15" hidden="false" customHeight="true" outlineLevel="0" collapsed="false">
      <c r="A6088" s="0" t="n">
        <v>2</v>
      </c>
      <c r="B6088" s="71" t="n">
        <v>46248</v>
      </c>
      <c r="C6088" s="0" t="n">
        <v>11</v>
      </c>
      <c r="D6088" s="0" t="s">
        <v>2471</v>
      </c>
      <c r="E6088" s="0" t="n">
        <v>1705</v>
      </c>
      <c r="F6088" s="0" t="s">
        <v>130</v>
      </c>
      <c r="I6088" s="0" t="n">
        <v>1246873</v>
      </c>
      <c r="J6088" s="0" t="n">
        <v>66038</v>
      </c>
      <c r="K6088" s="0" t="n">
        <v>7898938890076</v>
      </c>
      <c r="L6088" s="0" t="s">
        <v>3442</v>
      </c>
      <c r="N6088" s="0" t="n">
        <v>12</v>
      </c>
      <c r="O6088" s="0" t="n">
        <v>101.71</v>
      </c>
      <c r="P6088" s="0" t="s">
        <v>2444</v>
      </c>
    </row>
    <row r="6089" customFormat="false" ht="15" hidden="false" customHeight="true" outlineLevel="0" collapsed="false">
      <c r="A6089" s="0" t="n">
        <v>2</v>
      </c>
      <c r="B6089" s="71" t="n">
        <v>46248</v>
      </c>
      <c r="C6089" s="0" t="n">
        <v>11</v>
      </c>
      <c r="D6089" s="0" t="s">
        <v>2471</v>
      </c>
      <c r="E6089" s="0" t="n">
        <v>1705</v>
      </c>
      <c r="F6089" s="0" t="s">
        <v>130</v>
      </c>
      <c r="I6089" s="0" t="n">
        <v>1246873</v>
      </c>
      <c r="J6089" s="0" t="n">
        <v>81668</v>
      </c>
      <c r="K6089" s="0" t="n">
        <v>7898770420011</v>
      </c>
      <c r="L6089" s="0" t="s">
        <v>3884</v>
      </c>
      <c r="N6089" s="0" t="n">
        <v>6</v>
      </c>
      <c r="O6089" s="0" t="n">
        <v>50.85</v>
      </c>
      <c r="P6089" s="0" t="s">
        <v>2444</v>
      </c>
    </row>
    <row r="6090" customFormat="false" ht="15" hidden="false" customHeight="true" outlineLevel="0" collapsed="false">
      <c r="A6090" s="0" t="n">
        <v>2</v>
      </c>
      <c r="B6090" s="71" t="n">
        <v>46248</v>
      </c>
      <c r="C6090" s="0" t="n">
        <v>11</v>
      </c>
      <c r="D6090" s="0" t="s">
        <v>2471</v>
      </c>
      <c r="E6090" s="0" t="n">
        <v>1613</v>
      </c>
      <c r="F6090" s="0" t="s">
        <v>50</v>
      </c>
      <c r="I6090" s="0" t="n">
        <v>1619132</v>
      </c>
      <c r="J6090" s="0" t="n">
        <v>100034</v>
      </c>
      <c r="K6090" s="0" t="n">
        <v>35</v>
      </c>
      <c r="L6090" s="0" t="s">
        <v>2716</v>
      </c>
      <c r="N6090" s="0" t="n">
        <v>30</v>
      </c>
      <c r="O6090" s="0" t="n">
        <v>408.6</v>
      </c>
      <c r="P6090" s="0" t="s">
        <v>2444</v>
      </c>
    </row>
    <row r="6091" customFormat="false" ht="15" hidden="false" customHeight="true" outlineLevel="0" collapsed="false">
      <c r="A6091" s="0" t="n">
        <v>2</v>
      </c>
      <c r="B6091" s="71" t="n">
        <v>46248</v>
      </c>
      <c r="C6091" s="0" t="n">
        <v>11</v>
      </c>
      <c r="D6091" s="0" t="s">
        <v>2471</v>
      </c>
      <c r="E6091" s="0" t="n">
        <v>1613</v>
      </c>
      <c r="F6091" s="0" t="s">
        <v>50</v>
      </c>
      <c r="I6091" s="0" t="n">
        <v>1619132</v>
      </c>
      <c r="J6091" s="0" t="n">
        <v>100073</v>
      </c>
      <c r="K6091" s="0" t="n">
        <v>74</v>
      </c>
      <c r="L6091" s="0" t="s">
        <v>2626</v>
      </c>
      <c r="N6091" s="0" t="n">
        <v>36</v>
      </c>
      <c r="O6091" s="0" t="n">
        <v>752.66</v>
      </c>
      <c r="P6091" s="0" t="s">
        <v>2444</v>
      </c>
    </row>
    <row r="6092" customFormat="false" ht="15" hidden="false" customHeight="true" outlineLevel="0" collapsed="false">
      <c r="A6092" s="0" t="n">
        <v>2</v>
      </c>
      <c r="B6092" s="71" t="n">
        <v>46248</v>
      </c>
      <c r="C6092" s="0" t="n">
        <v>11</v>
      </c>
      <c r="D6092" s="0" t="s">
        <v>2471</v>
      </c>
      <c r="E6092" s="0" t="n">
        <v>1613</v>
      </c>
      <c r="F6092" s="0" t="s">
        <v>50</v>
      </c>
      <c r="I6092" s="0" t="n">
        <v>1619132</v>
      </c>
      <c r="J6092" s="0" t="n">
        <v>102407</v>
      </c>
      <c r="K6092" s="0" t="n">
        <v>7893000394117</v>
      </c>
      <c r="L6092" s="0" t="s">
        <v>3758</v>
      </c>
      <c r="N6092" s="0" t="n">
        <v>24</v>
      </c>
      <c r="O6092" s="0" t="n">
        <v>120.06</v>
      </c>
      <c r="P6092" s="0" t="s">
        <v>2444</v>
      </c>
    </row>
    <row r="6093" customFormat="false" ht="15" hidden="false" customHeight="true" outlineLevel="0" collapsed="false">
      <c r="A6093" s="0" t="n">
        <v>2</v>
      </c>
      <c r="B6093" s="71" t="n">
        <v>46248</v>
      </c>
      <c r="C6093" s="0" t="n">
        <v>11</v>
      </c>
      <c r="D6093" s="0" t="s">
        <v>2471</v>
      </c>
      <c r="E6093" s="0" t="n">
        <v>1613</v>
      </c>
      <c r="F6093" s="0" t="s">
        <v>50</v>
      </c>
      <c r="I6093" s="0" t="n">
        <v>1619132</v>
      </c>
      <c r="J6093" s="0" t="n">
        <v>103796</v>
      </c>
      <c r="K6093" s="0" t="n">
        <v>7893000436725</v>
      </c>
      <c r="L6093" s="0" t="s">
        <v>2971</v>
      </c>
      <c r="N6093" s="0" t="n">
        <v>12</v>
      </c>
      <c r="O6093" s="0" t="n">
        <v>134.64</v>
      </c>
      <c r="P6093" s="0" t="s">
        <v>2444</v>
      </c>
    </row>
    <row r="6094" customFormat="false" ht="15" hidden="false" customHeight="true" outlineLevel="0" collapsed="false">
      <c r="A6094" s="0" t="n">
        <v>2</v>
      </c>
      <c r="B6094" s="71" t="n">
        <v>46248</v>
      </c>
      <c r="C6094" s="0" t="n">
        <v>11</v>
      </c>
      <c r="D6094" s="0" t="s">
        <v>2471</v>
      </c>
      <c r="E6094" s="0" t="n">
        <v>1613</v>
      </c>
      <c r="F6094" s="0" t="s">
        <v>50</v>
      </c>
      <c r="I6094" s="0" t="n">
        <v>1619132</v>
      </c>
      <c r="J6094" s="0" t="n">
        <v>103830</v>
      </c>
      <c r="K6094" s="0" t="n">
        <v>7893000394209</v>
      </c>
      <c r="L6094" s="0" t="s">
        <v>4813</v>
      </c>
      <c r="N6094" s="0" t="n">
        <v>12</v>
      </c>
      <c r="O6094" s="0" t="n">
        <v>109.14</v>
      </c>
      <c r="P6094" s="0" t="s">
        <v>2444</v>
      </c>
    </row>
    <row r="6095" customFormat="false" ht="15" hidden="false" customHeight="true" outlineLevel="0" collapsed="false">
      <c r="A6095" s="0" t="n">
        <v>2</v>
      </c>
      <c r="B6095" s="71" t="n">
        <v>46248</v>
      </c>
      <c r="C6095" s="0" t="n">
        <v>11</v>
      </c>
      <c r="D6095" s="0" t="s">
        <v>2471</v>
      </c>
      <c r="E6095" s="0" t="n">
        <v>1613</v>
      </c>
      <c r="F6095" s="0" t="s">
        <v>50</v>
      </c>
      <c r="I6095" s="0" t="n">
        <v>1619132</v>
      </c>
      <c r="J6095" s="0" t="n">
        <v>103851</v>
      </c>
      <c r="K6095" s="0" t="n">
        <v>7893000482401</v>
      </c>
      <c r="L6095" s="0" t="s">
        <v>3759</v>
      </c>
      <c r="N6095" s="0" t="n">
        <v>12</v>
      </c>
      <c r="O6095" s="0" t="n">
        <v>187.32</v>
      </c>
      <c r="P6095" s="0" t="s">
        <v>2444</v>
      </c>
    </row>
    <row r="6096" customFormat="false" ht="15" hidden="false" customHeight="true" outlineLevel="0" collapsed="false">
      <c r="A6096" s="0" t="n">
        <v>2</v>
      </c>
      <c r="B6096" s="71" t="n">
        <v>46248</v>
      </c>
      <c r="C6096" s="0" t="n">
        <v>11</v>
      </c>
      <c r="D6096" s="0" t="s">
        <v>2471</v>
      </c>
      <c r="E6096" s="0" t="n">
        <v>1613</v>
      </c>
      <c r="F6096" s="0" t="s">
        <v>50</v>
      </c>
      <c r="I6096" s="0" t="n">
        <v>1619132</v>
      </c>
      <c r="J6096" s="0" t="n">
        <v>104014</v>
      </c>
      <c r="K6096" s="0" t="n">
        <v>7893000863125</v>
      </c>
      <c r="L6096" s="0" t="s">
        <v>2973</v>
      </c>
      <c r="N6096" s="0" t="n">
        <v>12</v>
      </c>
      <c r="O6096" s="0" t="n">
        <v>173.58</v>
      </c>
      <c r="P6096" s="0" t="s">
        <v>2444</v>
      </c>
    </row>
    <row r="6097" customFormat="false" ht="15" hidden="false" customHeight="true" outlineLevel="0" collapsed="false">
      <c r="A6097" s="0" t="n">
        <v>2</v>
      </c>
      <c r="B6097" s="71" t="n">
        <v>46248</v>
      </c>
      <c r="C6097" s="0" t="n">
        <v>11</v>
      </c>
      <c r="D6097" s="0" t="s">
        <v>2471</v>
      </c>
      <c r="E6097" s="0" t="n">
        <v>1613</v>
      </c>
      <c r="F6097" s="0" t="s">
        <v>50</v>
      </c>
      <c r="I6097" s="0" t="n">
        <v>1619132</v>
      </c>
      <c r="J6097" s="0" t="n">
        <v>105663</v>
      </c>
      <c r="K6097" s="0" t="n">
        <v>7893000980006</v>
      </c>
      <c r="L6097" s="0" t="s">
        <v>3760</v>
      </c>
      <c r="N6097" s="0" t="n">
        <v>24</v>
      </c>
      <c r="O6097" s="0" t="n">
        <v>150.8</v>
      </c>
      <c r="P6097" s="0" t="s">
        <v>2444</v>
      </c>
    </row>
    <row r="6098" customFormat="false" ht="15" hidden="false" customHeight="true" outlineLevel="0" collapsed="false">
      <c r="A6098" s="0" t="n">
        <v>2</v>
      </c>
      <c r="B6098" s="71" t="n">
        <v>46248</v>
      </c>
      <c r="C6098" s="0" t="n">
        <v>11</v>
      </c>
      <c r="D6098" s="0" t="s">
        <v>2471</v>
      </c>
      <c r="E6098" s="0" t="n">
        <v>1613</v>
      </c>
      <c r="F6098" s="0" t="s">
        <v>50</v>
      </c>
      <c r="I6098" s="0" t="n">
        <v>1619132</v>
      </c>
      <c r="J6098" s="0" t="n">
        <v>19525</v>
      </c>
      <c r="K6098" s="0" t="n">
        <v>7893000079298</v>
      </c>
      <c r="L6098" s="0" t="s">
        <v>4476</v>
      </c>
      <c r="N6098" s="0" t="n">
        <v>6</v>
      </c>
      <c r="O6098" s="0" t="n">
        <v>88.98</v>
      </c>
      <c r="P6098" s="0" t="s">
        <v>2444</v>
      </c>
    </row>
    <row r="6099" customFormat="false" ht="15" hidden="false" customHeight="true" outlineLevel="0" collapsed="false">
      <c r="A6099" s="0" t="n">
        <v>2</v>
      </c>
      <c r="B6099" s="71" t="n">
        <v>46248</v>
      </c>
      <c r="C6099" s="0" t="n">
        <v>11</v>
      </c>
      <c r="D6099" s="0" t="s">
        <v>2471</v>
      </c>
      <c r="E6099" s="0" t="n">
        <v>1613</v>
      </c>
      <c r="F6099" s="0" t="s">
        <v>50</v>
      </c>
      <c r="I6099" s="0" t="n">
        <v>1619132</v>
      </c>
      <c r="J6099" s="0" t="n">
        <v>22445</v>
      </c>
      <c r="K6099" s="0" t="n">
        <v>7891515432089</v>
      </c>
      <c r="L6099" s="0" t="s">
        <v>4814</v>
      </c>
      <c r="N6099" s="0" t="n">
        <v>15</v>
      </c>
      <c r="O6099" s="0" t="n">
        <v>56.34</v>
      </c>
      <c r="P6099" s="0" t="s">
        <v>2444</v>
      </c>
    </row>
    <row r="6100" customFormat="false" ht="15" hidden="false" customHeight="true" outlineLevel="0" collapsed="false">
      <c r="A6100" s="0" t="n">
        <v>2</v>
      </c>
      <c r="B6100" s="71" t="n">
        <v>46248</v>
      </c>
      <c r="C6100" s="0" t="n">
        <v>11</v>
      </c>
      <c r="D6100" s="0" t="s">
        <v>2471</v>
      </c>
      <c r="E6100" s="0" t="n">
        <v>1613</v>
      </c>
      <c r="F6100" s="0" t="s">
        <v>50</v>
      </c>
      <c r="I6100" s="0" t="n">
        <v>1619132</v>
      </c>
      <c r="J6100" s="0" t="n">
        <v>23694</v>
      </c>
      <c r="K6100" s="0" t="n">
        <v>7891515474737</v>
      </c>
      <c r="L6100" s="0" t="s">
        <v>2978</v>
      </c>
      <c r="N6100" s="0" t="n">
        <v>45</v>
      </c>
      <c r="O6100" s="0" t="n">
        <v>73.7</v>
      </c>
      <c r="P6100" s="0" t="s">
        <v>2444</v>
      </c>
    </row>
    <row r="6101" customFormat="false" ht="15" hidden="false" customHeight="true" outlineLevel="0" collapsed="false">
      <c r="A6101" s="0" t="n">
        <v>2</v>
      </c>
      <c r="B6101" s="71" t="n">
        <v>46248</v>
      </c>
      <c r="C6101" s="0" t="n">
        <v>11</v>
      </c>
      <c r="D6101" s="0" t="s">
        <v>2471</v>
      </c>
      <c r="E6101" s="0" t="n">
        <v>1613</v>
      </c>
      <c r="F6101" s="0" t="s">
        <v>50</v>
      </c>
      <c r="I6101" s="0" t="n">
        <v>1619132</v>
      </c>
      <c r="J6101" s="0" t="n">
        <v>23695</v>
      </c>
      <c r="K6101" s="0" t="n">
        <v>7891515474126</v>
      </c>
      <c r="L6101" s="0" t="s">
        <v>2979</v>
      </c>
      <c r="N6101" s="0" t="n">
        <v>45</v>
      </c>
      <c r="O6101" s="0" t="n">
        <v>73.7</v>
      </c>
      <c r="P6101" s="0" t="s">
        <v>2444</v>
      </c>
    </row>
    <row r="6102" customFormat="false" ht="15" hidden="false" customHeight="true" outlineLevel="0" collapsed="false">
      <c r="A6102" s="0" t="n">
        <v>2</v>
      </c>
      <c r="B6102" s="71" t="n">
        <v>46248</v>
      </c>
      <c r="C6102" s="0" t="n">
        <v>11</v>
      </c>
      <c r="D6102" s="0" t="s">
        <v>2471</v>
      </c>
      <c r="E6102" s="0" t="n">
        <v>1683</v>
      </c>
      <c r="F6102" s="0" t="s">
        <v>406</v>
      </c>
      <c r="I6102" s="0" t="n">
        <v>1664419</v>
      </c>
      <c r="J6102" s="0" t="n">
        <v>109791</v>
      </c>
      <c r="K6102" s="0" t="n">
        <v>9667</v>
      </c>
      <c r="L6102" s="0" t="s">
        <v>2465</v>
      </c>
      <c r="N6102" s="0" t="n">
        <v>20</v>
      </c>
      <c r="O6102" s="0" t="n">
        <v>30</v>
      </c>
      <c r="P6102" s="0" t="s">
        <v>2444</v>
      </c>
    </row>
    <row r="6103" customFormat="false" ht="15" hidden="false" customHeight="true" outlineLevel="0" collapsed="false">
      <c r="A6103" s="0" t="n">
        <v>2</v>
      </c>
      <c r="B6103" s="71" t="n">
        <v>46248</v>
      </c>
      <c r="C6103" s="0" t="n">
        <v>11</v>
      </c>
      <c r="D6103" s="0" t="s">
        <v>2471</v>
      </c>
      <c r="E6103" s="0" t="n">
        <v>1683</v>
      </c>
      <c r="F6103" s="0" t="s">
        <v>406</v>
      </c>
      <c r="I6103" s="0" t="n">
        <v>1664419</v>
      </c>
      <c r="J6103" s="0" t="n">
        <v>37361</v>
      </c>
      <c r="K6103" s="0" t="n">
        <v>2240817</v>
      </c>
      <c r="L6103" s="0" t="s">
        <v>2467</v>
      </c>
      <c r="N6103" s="0" t="n">
        <v>65</v>
      </c>
      <c r="O6103" s="0" t="n">
        <v>117</v>
      </c>
      <c r="P6103" s="0" t="s">
        <v>2444</v>
      </c>
    </row>
    <row r="6104" customFormat="false" ht="15" hidden="false" customHeight="true" outlineLevel="0" collapsed="false">
      <c r="A6104" s="0" t="n">
        <v>2</v>
      </c>
      <c r="B6104" s="71" t="n">
        <v>46248</v>
      </c>
      <c r="C6104" s="0" t="n">
        <v>11</v>
      </c>
      <c r="D6104" s="0" t="s">
        <v>2471</v>
      </c>
      <c r="E6104" s="0" t="n">
        <v>1683</v>
      </c>
      <c r="F6104" s="0" t="s">
        <v>406</v>
      </c>
      <c r="I6104" s="0" t="n">
        <v>1664421</v>
      </c>
      <c r="J6104" s="0" t="n">
        <v>109791</v>
      </c>
      <c r="K6104" s="0" t="n">
        <v>9667</v>
      </c>
      <c r="L6104" s="0" t="s">
        <v>2465</v>
      </c>
      <c r="N6104" s="0" t="n">
        <v>5</v>
      </c>
      <c r="O6104" s="0" t="n">
        <v>7.5</v>
      </c>
      <c r="P6104" s="0" t="s">
        <v>2444</v>
      </c>
    </row>
    <row r="6105" customFormat="false" ht="15" hidden="false" customHeight="true" outlineLevel="0" collapsed="false">
      <c r="A6105" s="0" t="n">
        <v>2</v>
      </c>
      <c r="B6105" s="71" t="n">
        <v>46248</v>
      </c>
      <c r="C6105" s="0" t="n">
        <v>11</v>
      </c>
      <c r="D6105" s="0" t="s">
        <v>2471</v>
      </c>
      <c r="E6105" s="0" t="n">
        <v>1683</v>
      </c>
      <c r="F6105" s="0" t="s">
        <v>406</v>
      </c>
      <c r="I6105" s="0" t="n">
        <v>1664421</v>
      </c>
      <c r="J6105" s="0" t="n">
        <v>37359</v>
      </c>
      <c r="K6105" s="0" t="n">
        <v>55526</v>
      </c>
      <c r="L6105" s="0" t="s">
        <v>2466</v>
      </c>
      <c r="N6105" s="0" t="n">
        <v>5</v>
      </c>
      <c r="O6105" s="0" t="n">
        <v>17.5</v>
      </c>
      <c r="P6105" s="0" t="s">
        <v>2444</v>
      </c>
    </row>
    <row r="6106" customFormat="false" ht="15" hidden="false" customHeight="true" outlineLevel="0" collapsed="false">
      <c r="A6106" s="0" t="n">
        <v>2</v>
      </c>
      <c r="B6106" s="71" t="n">
        <v>46248</v>
      </c>
      <c r="C6106" s="0" t="n">
        <v>11</v>
      </c>
      <c r="D6106" s="0" t="s">
        <v>2471</v>
      </c>
      <c r="E6106" s="0" t="n">
        <v>1683</v>
      </c>
      <c r="F6106" s="0" t="s">
        <v>406</v>
      </c>
      <c r="I6106" s="0" t="n">
        <v>1664421</v>
      </c>
      <c r="J6106" s="0" t="n">
        <v>37361</v>
      </c>
      <c r="K6106" s="0" t="n">
        <v>2240817</v>
      </c>
      <c r="L6106" s="0" t="s">
        <v>2467</v>
      </c>
      <c r="N6106" s="0" t="n">
        <v>30</v>
      </c>
      <c r="O6106" s="0" t="n">
        <v>54</v>
      </c>
      <c r="P6106" s="0" t="s">
        <v>2444</v>
      </c>
    </row>
    <row r="6107" customFormat="false" ht="15" hidden="false" customHeight="true" outlineLevel="0" collapsed="false">
      <c r="A6107" s="0" t="n">
        <v>2</v>
      </c>
      <c r="B6107" s="71" t="n">
        <v>46248</v>
      </c>
      <c r="C6107" s="0" t="n">
        <v>11</v>
      </c>
      <c r="D6107" s="0" t="s">
        <v>2471</v>
      </c>
      <c r="E6107" s="0" t="n">
        <v>1608</v>
      </c>
      <c r="F6107" s="0" t="s">
        <v>240</v>
      </c>
      <c r="I6107" s="0" t="n">
        <v>1711525</v>
      </c>
      <c r="J6107" s="0" t="n">
        <v>50232</v>
      </c>
      <c r="K6107" s="0" t="n">
        <v>7891025123057</v>
      </c>
      <c r="L6107" s="0" t="s">
        <v>2639</v>
      </c>
      <c r="N6107" s="0" t="n">
        <v>4</v>
      </c>
      <c r="O6107" s="0" t="n">
        <v>10.52</v>
      </c>
      <c r="P6107" s="0" t="s">
        <v>2444</v>
      </c>
    </row>
    <row r="6108" customFormat="false" ht="15" hidden="false" customHeight="true" outlineLevel="0" collapsed="false">
      <c r="A6108" s="0" t="n">
        <v>2</v>
      </c>
      <c r="B6108" s="71" t="n">
        <v>46248</v>
      </c>
      <c r="C6108" s="0" t="n">
        <v>11</v>
      </c>
      <c r="D6108" s="0" t="s">
        <v>2471</v>
      </c>
      <c r="E6108" s="0" t="n">
        <v>1608</v>
      </c>
      <c r="F6108" s="0" t="s">
        <v>240</v>
      </c>
      <c r="I6108" s="0" t="n">
        <v>1711525</v>
      </c>
      <c r="J6108" s="0" t="n">
        <v>18949</v>
      </c>
      <c r="K6108" s="0" t="n">
        <v>7891025699880</v>
      </c>
      <c r="L6108" s="0" t="s">
        <v>2640</v>
      </c>
      <c r="N6108" s="0" t="n">
        <v>3</v>
      </c>
      <c r="O6108" s="0" t="n">
        <v>26.67</v>
      </c>
      <c r="P6108" s="0" t="s">
        <v>2444</v>
      </c>
    </row>
    <row r="6109" customFormat="false" ht="15" hidden="false" customHeight="true" outlineLevel="0" collapsed="false">
      <c r="A6109" s="0" t="n">
        <v>2</v>
      </c>
      <c r="B6109" s="71" t="n">
        <v>46248</v>
      </c>
      <c r="C6109" s="0" t="n">
        <v>11</v>
      </c>
      <c r="D6109" s="0" t="s">
        <v>2471</v>
      </c>
      <c r="E6109" s="0" t="n">
        <v>1608</v>
      </c>
      <c r="F6109" s="0" t="s">
        <v>240</v>
      </c>
      <c r="I6109" s="0" t="n">
        <v>1711525</v>
      </c>
      <c r="J6109" s="0" t="n">
        <v>19906</v>
      </c>
      <c r="K6109" s="0" t="n">
        <v>7898553442933</v>
      </c>
      <c r="L6109" s="0" t="s">
        <v>2982</v>
      </c>
      <c r="N6109" s="0" t="n">
        <v>12</v>
      </c>
      <c r="O6109" s="0" t="n">
        <v>125.76</v>
      </c>
      <c r="P6109" s="0" t="s">
        <v>2444</v>
      </c>
    </row>
    <row r="6110" customFormat="false" ht="15" hidden="false" customHeight="true" outlineLevel="0" collapsed="false">
      <c r="A6110" s="0" t="n">
        <v>2</v>
      </c>
      <c r="B6110" s="71" t="n">
        <v>46248</v>
      </c>
      <c r="C6110" s="0" t="n">
        <v>11</v>
      </c>
      <c r="D6110" s="0" t="s">
        <v>2471</v>
      </c>
      <c r="E6110" s="0" t="n">
        <v>1608</v>
      </c>
      <c r="F6110" s="0" t="s">
        <v>240</v>
      </c>
      <c r="I6110" s="0" t="n">
        <v>1711525</v>
      </c>
      <c r="J6110" s="0" t="n">
        <v>20479</v>
      </c>
      <c r="K6110" s="0" t="n">
        <v>7891025101161</v>
      </c>
      <c r="L6110" s="0" t="s">
        <v>2641</v>
      </c>
      <c r="N6110" s="0" t="n">
        <v>6</v>
      </c>
      <c r="O6110" s="0" t="n">
        <v>19.86</v>
      </c>
      <c r="P6110" s="0" t="s">
        <v>2444</v>
      </c>
    </row>
    <row r="6111" customFormat="false" ht="15" hidden="false" customHeight="true" outlineLevel="0" collapsed="false">
      <c r="A6111" s="0" t="n">
        <v>2</v>
      </c>
      <c r="B6111" s="71" t="n">
        <v>46248</v>
      </c>
      <c r="C6111" s="0" t="n">
        <v>11</v>
      </c>
      <c r="D6111" s="0" t="s">
        <v>2471</v>
      </c>
      <c r="E6111" s="0" t="n">
        <v>1608</v>
      </c>
      <c r="F6111" s="0" t="s">
        <v>240</v>
      </c>
      <c r="I6111" s="0" t="n">
        <v>1711525</v>
      </c>
      <c r="J6111" s="0" t="n">
        <v>20522</v>
      </c>
      <c r="K6111" s="0" t="n">
        <v>7891025106067</v>
      </c>
      <c r="L6111" s="0" t="s">
        <v>2642</v>
      </c>
      <c r="N6111" s="0" t="n">
        <v>4</v>
      </c>
      <c r="O6111" s="0" t="n">
        <v>11.4</v>
      </c>
      <c r="P6111" s="0" t="s">
        <v>2444</v>
      </c>
    </row>
    <row r="6112" customFormat="false" ht="15" hidden="false" customHeight="true" outlineLevel="0" collapsed="false">
      <c r="A6112" s="0" t="n">
        <v>2</v>
      </c>
      <c r="B6112" s="71" t="n">
        <v>46248</v>
      </c>
      <c r="C6112" s="0" t="n">
        <v>11</v>
      </c>
      <c r="D6112" s="0" t="s">
        <v>2471</v>
      </c>
      <c r="E6112" s="0" t="n">
        <v>1608</v>
      </c>
      <c r="F6112" s="0" t="s">
        <v>240</v>
      </c>
      <c r="I6112" s="0" t="n">
        <v>1711525</v>
      </c>
      <c r="J6112" s="0" t="n">
        <v>22010</v>
      </c>
      <c r="K6112" s="0" t="n">
        <v>7891025107255</v>
      </c>
      <c r="L6112" s="0" t="s">
        <v>2983</v>
      </c>
      <c r="N6112" s="0" t="n">
        <v>4</v>
      </c>
      <c r="O6112" s="0" t="n">
        <v>11.4</v>
      </c>
      <c r="P6112" s="0" t="s">
        <v>2444</v>
      </c>
    </row>
    <row r="6113" customFormat="false" ht="15" hidden="false" customHeight="true" outlineLevel="0" collapsed="false">
      <c r="A6113" s="0" t="n">
        <v>2</v>
      </c>
      <c r="B6113" s="71" t="n">
        <v>46248</v>
      </c>
      <c r="C6113" s="0" t="n">
        <v>11</v>
      </c>
      <c r="D6113" s="0" t="s">
        <v>2471</v>
      </c>
      <c r="E6113" s="0" t="n">
        <v>1608</v>
      </c>
      <c r="F6113" s="0" t="s">
        <v>240</v>
      </c>
      <c r="I6113" s="0" t="n">
        <v>1711525</v>
      </c>
      <c r="J6113" s="0" t="n">
        <v>24123</v>
      </c>
      <c r="K6113" s="0" t="n">
        <v>7891025109396</v>
      </c>
      <c r="L6113" s="0" t="s">
        <v>2643</v>
      </c>
      <c r="N6113" s="0" t="n">
        <v>6</v>
      </c>
      <c r="O6113" s="0" t="n">
        <v>20.16</v>
      </c>
      <c r="P6113" s="0" t="s">
        <v>2444</v>
      </c>
    </row>
    <row r="6114" customFormat="false" ht="15" hidden="false" customHeight="true" outlineLevel="0" collapsed="false">
      <c r="A6114" s="0" t="n">
        <v>2</v>
      </c>
      <c r="B6114" s="71" t="n">
        <v>46248</v>
      </c>
      <c r="C6114" s="0" t="n">
        <v>11</v>
      </c>
      <c r="D6114" s="0" t="s">
        <v>2471</v>
      </c>
      <c r="E6114" s="0" t="n">
        <v>1608</v>
      </c>
      <c r="F6114" s="0" t="s">
        <v>240</v>
      </c>
      <c r="I6114" s="0" t="n">
        <v>1711525</v>
      </c>
      <c r="J6114" s="0" t="n">
        <v>24124</v>
      </c>
      <c r="K6114" s="0" t="n">
        <v>7891025109419</v>
      </c>
      <c r="L6114" s="0" t="s">
        <v>2644</v>
      </c>
      <c r="N6114" s="0" t="n">
        <v>6</v>
      </c>
      <c r="O6114" s="0" t="n">
        <v>20.16</v>
      </c>
      <c r="P6114" s="0" t="s">
        <v>2444</v>
      </c>
    </row>
    <row r="6115" customFormat="false" ht="15" hidden="false" customHeight="true" outlineLevel="0" collapsed="false">
      <c r="A6115" s="0" t="n">
        <v>2</v>
      </c>
      <c r="B6115" s="71" t="n">
        <v>46248</v>
      </c>
      <c r="C6115" s="0" t="n">
        <v>11</v>
      </c>
      <c r="D6115" s="0" t="s">
        <v>2471</v>
      </c>
      <c r="E6115" s="0" t="n">
        <v>1608</v>
      </c>
      <c r="F6115" s="0" t="s">
        <v>240</v>
      </c>
      <c r="I6115" s="0" t="n">
        <v>1711525</v>
      </c>
      <c r="J6115" s="0" t="n">
        <v>24196</v>
      </c>
      <c r="K6115" s="0" t="n">
        <v>7891025109884</v>
      </c>
      <c r="L6115" s="0" t="s">
        <v>2645</v>
      </c>
      <c r="N6115" s="0" t="n">
        <v>6</v>
      </c>
      <c r="O6115" s="0" t="n">
        <v>52.8</v>
      </c>
      <c r="P6115" s="0" t="s">
        <v>2444</v>
      </c>
    </row>
    <row r="6116" customFormat="false" ht="15" hidden="false" customHeight="true" outlineLevel="0" collapsed="false">
      <c r="A6116" s="0" t="n">
        <v>2</v>
      </c>
      <c r="B6116" s="71" t="n">
        <v>46248</v>
      </c>
      <c r="C6116" s="0" t="n">
        <v>11</v>
      </c>
      <c r="D6116" s="0" t="s">
        <v>2471</v>
      </c>
      <c r="E6116" s="0" t="n">
        <v>1608</v>
      </c>
      <c r="F6116" s="0" t="s">
        <v>240</v>
      </c>
      <c r="I6116" s="0" t="n">
        <v>1711525</v>
      </c>
      <c r="J6116" s="0" t="n">
        <v>24832</v>
      </c>
      <c r="K6116" s="0" t="n">
        <v>7891025109891</v>
      </c>
      <c r="L6116" s="0" t="s">
        <v>2646</v>
      </c>
      <c r="N6116" s="0" t="n">
        <v>6</v>
      </c>
      <c r="O6116" s="0" t="n">
        <v>52.8</v>
      </c>
      <c r="P6116" s="0" t="s">
        <v>2444</v>
      </c>
    </row>
    <row r="6117" customFormat="false" ht="15" hidden="false" customHeight="true" outlineLevel="0" collapsed="false">
      <c r="A6117" s="0" t="n">
        <v>2</v>
      </c>
      <c r="B6117" s="71" t="n">
        <v>46248</v>
      </c>
      <c r="C6117" s="0" t="n">
        <v>11</v>
      </c>
      <c r="D6117" s="0" t="s">
        <v>2471</v>
      </c>
      <c r="E6117" s="0" t="n">
        <v>1608</v>
      </c>
      <c r="F6117" s="0" t="s">
        <v>240</v>
      </c>
      <c r="I6117" s="0" t="n">
        <v>1711525</v>
      </c>
      <c r="J6117" s="0" t="n">
        <v>28462</v>
      </c>
      <c r="K6117" s="0" t="n">
        <v>7891025121626</v>
      </c>
      <c r="L6117" s="0" t="s">
        <v>2985</v>
      </c>
      <c r="N6117" s="0" t="n">
        <v>4</v>
      </c>
      <c r="O6117" s="0" t="n">
        <v>30.04</v>
      </c>
      <c r="P6117" s="0" t="s">
        <v>2444</v>
      </c>
    </row>
    <row r="6118" customFormat="false" ht="15" hidden="false" customHeight="true" outlineLevel="0" collapsed="false">
      <c r="A6118" s="0" t="n">
        <v>2</v>
      </c>
      <c r="B6118" s="71" t="n">
        <v>46248</v>
      </c>
      <c r="C6118" s="0" t="n">
        <v>11</v>
      </c>
      <c r="D6118" s="0" t="s">
        <v>2471</v>
      </c>
      <c r="E6118" s="0" t="n">
        <v>1608</v>
      </c>
      <c r="F6118" s="0" t="s">
        <v>240</v>
      </c>
      <c r="I6118" s="0" t="n">
        <v>1711525</v>
      </c>
      <c r="J6118" s="0" t="n">
        <v>28705</v>
      </c>
      <c r="K6118" s="0" t="n">
        <v>7891025121633</v>
      </c>
      <c r="L6118" s="0" t="s">
        <v>2648</v>
      </c>
      <c r="N6118" s="0" t="n">
        <v>4</v>
      </c>
      <c r="O6118" s="0" t="n">
        <v>30.04</v>
      </c>
      <c r="P6118" s="0" t="s">
        <v>2444</v>
      </c>
    </row>
    <row r="6119" customFormat="false" ht="15" hidden="false" customHeight="true" outlineLevel="0" collapsed="false">
      <c r="A6119" s="0" t="n">
        <v>2</v>
      </c>
      <c r="B6119" s="71" t="n">
        <v>46248</v>
      </c>
      <c r="C6119" s="0" t="n">
        <v>11</v>
      </c>
      <c r="D6119" s="0" t="s">
        <v>2471</v>
      </c>
      <c r="E6119" s="0" t="n">
        <v>1608</v>
      </c>
      <c r="F6119" s="0" t="s">
        <v>240</v>
      </c>
      <c r="I6119" s="0" t="n">
        <v>1711525</v>
      </c>
      <c r="J6119" s="0" t="n">
        <v>29446</v>
      </c>
      <c r="K6119" s="0" t="n">
        <v>7891025116790</v>
      </c>
      <c r="L6119" s="0" t="s">
        <v>4623</v>
      </c>
      <c r="N6119" s="0" t="n">
        <v>2</v>
      </c>
      <c r="O6119" s="0" t="n">
        <v>17.78</v>
      </c>
      <c r="P6119" s="0" t="s">
        <v>2444</v>
      </c>
    </row>
    <row r="6120" customFormat="false" ht="15" hidden="false" customHeight="true" outlineLevel="0" collapsed="false">
      <c r="A6120" s="0" t="n">
        <v>2</v>
      </c>
      <c r="B6120" s="71" t="n">
        <v>46248</v>
      </c>
      <c r="C6120" s="0" t="n">
        <v>11</v>
      </c>
      <c r="D6120" s="0" t="s">
        <v>2471</v>
      </c>
      <c r="E6120" s="0" t="n">
        <v>1608</v>
      </c>
      <c r="F6120" s="0" t="s">
        <v>240</v>
      </c>
      <c r="I6120" s="0" t="n">
        <v>1711525</v>
      </c>
      <c r="J6120" s="0" t="n">
        <v>29787</v>
      </c>
      <c r="K6120" s="0" t="n">
        <v>7891025115595</v>
      </c>
      <c r="L6120" s="0" t="s">
        <v>3880</v>
      </c>
      <c r="N6120" s="0" t="n">
        <v>1</v>
      </c>
      <c r="O6120" s="0" t="n">
        <v>8.88</v>
      </c>
      <c r="P6120" s="0" t="s">
        <v>2444</v>
      </c>
    </row>
    <row r="6121" customFormat="false" ht="15" hidden="false" customHeight="true" outlineLevel="0" collapsed="false">
      <c r="A6121" s="0" t="n">
        <v>2</v>
      </c>
      <c r="B6121" s="71" t="n">
        <v>46248</v>
      </c>
      <c r="C6121" s="0" t="n">
        <v>11</v>
      </c>
      <c r="D6121" s="0" t="s">
        <v>2471</v>
      </c>
      <c r="E6121" s="0" t="n">
        <v>1608</v>
      </c>
      <c r="F6121" s="0" t="s">
        <v>240</v>
      </c>
      <c r="I6121" s="0" t="n">
        <v>1711525</v>
      </c>
      <c r="J6121" s="0" t="n">
        <v>31496</v>
      </c>
      <c r="K6121" s="0" t="n">
        <v>7891025117797</v>
      </c>
      <c r="L6121" s="0" t="s">
        <v>2519</v>
      </c>
      <c r="N6121" s="0" t="n">
        <v>2</v>
      </c>
      <c r="O6121" s="0" t="n">
        <v>10.92</v>
      </c>
      <c r="P6121" s="0" t="s">
        <v>2444</v>
      </c>
    </row>
    <row r="6122" customFormat="false" ht="15" hidden="false" customHeight="true" outlineLevel="0" collapsed="false">
      <c r="A6122" s="0" t="n">
        <v>2</v>
      </c>
      <c r="B6122" s="71" t="n">
        <v>46248</v>
      </c>
      <c r="C6122" s="0" t="n">
        <v>11</v>
      </c>
      <c r="D6122" s="0" t="s">
        <v>2471</v>
      </c>
      <c r="E6122" s="0" t="n">
        <v>1608</v>
      </c>
      <c r="F6122" s="0" t="s">
        <v>240</v>
      </c>
      <c r="I6122" s="0" t="n">
        <v>1711525</v>
      </c>
      <c r="J6122" s="0" t="n">
        <v>31497</v>
      </c>
      <c r="K6122" s="0" t="n">
        <v>7891025117773</v>
      </c>
      <c r="L6122" s="0" t="s">
        <v>2520</v>
      </c>
      <c r="N6122" s="0" t="n">
        <v>2</v>
      </c>
      <c r="O6122" s="0" t="n">
        <v>10.92</v>
      </c>
      <c r="P6122" s="0" t="s">
        <v>2444</v>
      </c>
    </row>
    <row r="6123" customFormat="false" ht="15" hidden="false" customHeight="true" outlineLevel="0" collapsed="false">
      <c r="A6123" s="0" t="n">
        <v>2</v>
      </c>
      <c r="B6123" s="71" t="n">
        <v>46248</v>
      </c>
      <c r="C6123" s="0" t="n">
        <v>11</v>
      </c>
      <c r="D6123" s="0" t="s">
        <v>2471</v>
      </c>
      <c r="E6123" s="0" t="n">
        <v>1608</v>
      </c>
      <c r="F6123" s="0" t="s">
        <v>240</v>
      </c>
      <c r="I6123" s="0" t="n">
        <v>1711525</v>
      </c>
      <c r="J6123" s="0" t="n">
        <v>31551</v>
      </c>
      <c r="K6123" s="0" t="n">
        <v>7891025117742</v>
      </c>
      <c r="L6123" s="0" t="s">
        <v>2521</v>
      </c>
      <c r="N6123" s="0" t="n">
        <v>2</v>
      </c>
      <c r="O6123" s="0" t="n">
        <v>10.92</v>
      </c>
      <c r="P6123" s="0" t="s">
        <v>2444</v>
      </c>
    </row>
    <row r="6124" customFormat="false" ht="15" hidden="false" customHeight="true" outlineLevel="0" collapsed="false">
      <c r="A6124" s="0" t="n">
        <v>2</v>
      </c>
      <c r="B6124" s="71" t="n">
        <v>46248</v>
      </c>
      <c r="C6124" s="0" t="n">
        <v>11</v>
      </c>
      <c r="D6124" s="0" t="s">
        <v>2471</v>
      </c>
      <c r="E6124" s="0" t="n">
        <v>1608</v>
      </c>
      <c r="F6124" s="0" t="s">
        <v>240</v>
      </c>
      <c r="I6124" s="0" t="n">
        <v>1711525</v>
      </c>
      <c r="J6124" s="0" t="n">
        <v>31570</v>
      </c>
      <c r="K6124" s="0" t="n">
        <v>7898927809157</v>
      </c>
      <c r="L6124" s="0" t="s">
        <v>2986</v>
      </c>
      <c r="N6124" s="0" t="n">
        <v>3</v>
      </c>
      <c r="O6124" s="0" t="n">
        <v>44.61</v>
      </c>
      <c r="P6124" s="0" t="s">
        <v>2444</v>
      </c>
    </row>
    <row r="6125" customFormat="false" ht="15" hidden="false" customHeight="true" outlineLevel="0" collapsed="false">
      <c r="A6125" s="0" t="n">
        <v>2</v>
      </c>
      <c r="B6125" s="71" t="n">
        <v>46248</v>
      </c>
      <c r="C6125" s="0" t="n">
        <v>11</v>
      </c>
      <c r="D6125" s="0" t="s">
        <v>2471</v>
      </c>
      <c r="E6125" s="0" t="n">
        <v>1608</v>
      </c>
      <c r="F6125" s="0" t="s">
        <v>240</v>
      </c>
      <c r="I6125" s="0" t="n">
        <v>1711525</v>
      </c>
      <c r="J6125" s="0" t="n">
        <v>35359</v>
      </c>
      <c r="K6125" s="0" t="n">
        <v>7891025119869</v>
      </c>
      <c r="L6125" s="0" t="s">
        <v>2651</v>
      </c>
      <c r="N6125" s="0" t="n">
        <v>3</v>
      </c>
      <c r="O6125" s="0" t="n">
        <v>38.43</v>
      </c>
      <c r="P6125" s="0" t="s">
        <v>2444</v>
      </c>
    </row>
    <row r="6126" customFormat="false" ht="15" hidden="false" customHeight="true" outlineLevel="0" collapsed="false">
      <c r="A6126" s="0" t="n">
        <v>2</v>
      </c>
      <c r="B6126" s="71" t="n">
        <v>46248</v>
      </c>
      <c r="C6126" s="0" t="n">
        <v>11</v>
      </c>
      <c r="D6126" s="0" t="s">
        <v>2471</v>
      </c>
      <c r="E6126" s="0" t="n">
        <v>1608</v>
      </c>
      <c r="F6126" s="0" t="s">
        <v>240</v>
      </c>
      <c r="I6126" s="0" t="n">
        <v>1711525</v>
      </c>
      <c r="J6126" s="0" t="n">
        <v>35395</v>
      </c>
      <c r="K6126" s="0" t="n">
        <v>7891025119852</v>
      </c>
      <c r="L6126" s="0" t="s">
        <v>2987</v>
      </c>
      <c r="N6126" s="0" t="n">
        <v>2</v>
      </c>
      <c r="O6126" s="0" t="n">
        <v>25.62</v>
      </c>
      <c r="P6126" s="0" t="s">
        <v>2444</v>
      </c>
    </row>
    <row r="6127" customFormat="false" ht="15" hidden="false" customHeight="true" outlineLevel="0" collapsed="false">
      <c r="A6127" s="0" t="n">
        <v>2</v>
      </c>
      <c r="B6127" s="71" t="n">
        <v>46248</v>
      </c>
      <c r="C6127" s="0" t="n">
        <v>11</v>
      </c>
      <c r="D6127" s="0" t="s">
        <v>2471</v>
      </c>
      <c r="E6127" s="0" t="n">
        <v>1608</v>
      </c>
      <c r="F6127" s="0" t="s">
        <v>240</v>
      </c>
      <c r="I6127" s="0" t="n">
        <v>1711525</v>
      </c>
      <c r="J6127" s="0" t="n">
        <v>35841</v>
      </c>
      <c r="K6127" s="0" t="n">
        <v>7891025120223</v>
      </c>
      <c r="L6127" s="0" t="s">
        <v>2988</v>
      </c>
      <c r="N6127" s="0" t="n">
        <v>4</v>
      </c>
      <c r="O6127" s="0" t="n">
        <v>15.2</v>
      </c>
      <c r="P6127" s="0" t="s">
        <v>2444</v>
      </c>
    </row>
    <row r="6128" customFormat="false" ht="15" hidden="false" customHeight="true" outlineLevel="0" collapsed="false">
      <c r="A6128" s="0" t="n">
        <v>2</v>
      </c>
      <c r="B6128" s="71" t="n">
        <v>46248</v>
      </c>
      <c r="C6128" s="0" t="n">
        <v>11</v>
      </c>
      <c r="D6128" s="0" t="s">
        <v>2471</v>
      </c>
      <c r="E6128" s="0" t="n">
        <v>1608</v>
      </c>
      <c r="F6128" s="0" t="s">
        <v>240</v>
      </c>
      <c r="I6128" s="0" t="n">
        <v>1711525</v>
      </c>
      <c r="J6128" s="0" t="n">
        <v>35842</v>
      </c>
      <c r="K6128" s="0" t="n">
        <v>7891025120230</v>
      </c>
      <c r="L6128" s="0" t="s">
        <v>2522</v>
      </c>
      <c r="N6128" s="0" t="n">
        <v>6</v>
      </c>
      <c r="O6128" s="0" t="n">
        <v>22.8</v>
      </c>
      <c r="P6128" s="0" t="s">
        <v>2444</v>
      </c>
    </row>
    <row r="6129" customFormat="false" ht="15" hidden="false" customHeight="true" outlineLevel="0" collapsed="false">
      <c r="A6129" s="0" t="n">
        <v>2</v>
      </c>
      <c r="B6129" s="71" t="n">
        <v>46248</v>
      </c>
      <c r="C6129" s="0" t="n">
        <v>11</v>
      </c>
      <c r="D6129" s="0" t="s">
        <v>2471</v>
      </c>
      <c r="E6129" s="0" t="n">
        <v>1608</v>
      </c>
      <c r="F6129" s="0" t="s">
        <v>240</v>
      </c>
      <c r="I6129" s="0" t="n">
        <v>1711525</v>
      </c>
      <c r="J6129" s="0" t="n">
        <v>37024</v>
      </c>
      <c r="K6129" s="0" t="n">
        <v>7891025121251</v>
      </c>
      <c r="L6129" s="0" t="s">
        <v>2523</v>
      </c>
      <c r="N6129" s="0" t="n">
        <v>4</v>
      </c>
      <c r="O6129" s="0" t="n">
        <v>15.2</v>
      </c>
      <c r="P6129" s="0" t="s">
        <v>2444</v>
      </c>
    </row>
    <row r="6130" customFormat="false" ht="15" hidden="false" customHeight="true" outlineLevel="0" collapsed="false">
      <c r="A6130" s="0" t="n">
        <v>2</v>
      </c>
      <c r="B6130" s="71" t="n">
        <v>46248</v>
      </c>
      <c r="C6130" s="0" t="n">
        <v>11</v>
      </c>
      <c r="D6130" s="0" t="s">
        <v>2471</v>
      </c>
      <c r="E6130" s="0" t="n">
        <v>1608</v>
      </c>
      <c r="F6130" s="0" t="s">
        <v>240</v>
      </c>
      <c r="I6130" s="0" t="n">
        <v>1711525</v>
      </c>
      <c r="J6130" s="0" t="n">
        <v>37051</v>
      </c>
      <c r="K6130" s="0" t="n">
        <v>7891025121244</v>
      </c>
      <c r="L6130" s="0" t="s">
        <v>4815</v>
      </c>
      <c r="N6130" s="0" t="n">
        <v>4</v>
      </c>
      <c r="O6130" s="0" t="n">
        <v>15.2</v>
      </c>
      <c r="P6130" s="0" t="s">
        <v>2444</v>
      </c>
    </row>
    <row r="6131" customFormat="false" ht="15" hidden="false" customHeight="true" outlineLevel="0" collapsed="false">
      <c r="A6131" s="0" t="n">
        <v>2</v>
      </c>
      <c r="B6131" s="71" t="n">
        <v>46248</v>
      </c>
      <c r="C6131" s="0" t="n">
        <v>11</v>
      </c>
      <c r="D6131" s="0" t="s">
        <v>2471</v>
      </c>
      <c r="E6131" s="0" t="n">
        <v>1608</v>
      </c>
      <c r="F6131" s="0" t="s">
        <v>240</v>
      </c>
      <c r="I6131" s="0" t="n">
        <v>1711525</v>
      </c>
      <c r="J6131" s="0" t="n">
        <v>37558</v>
      </c>
      <c r="K6131" s="0" t="n">
        <v>7891025101376</v>
      </c>
      <c r="L6131" s="0" t="s">
        <v>2652</v>
      </c>
      <c r="N6131" s="0" t="n">
        <v>6</v>
      </c>
      <c r="O6131" s="0" t="n">
        <v>19.86</v>
      </c>
      <c r="P6131" s="0" t="s">
        <v>2444</v>
      </c>
    </row>
    <row r="6132" customFormat="false" ht="15" hidden="false" customHeight="true" outlineLevel="0" collapsed="false">
      <c r="A6132" s="0" t="n">
        <v>2</v>
      </c>
      <c r="B6132" s="71" t="n">
        <v>46248</v>
      </c>
      <c r="C6132" s="0" t="n">
        <v>11</v>
      </c>
      <c r="D6132" s="0" t="s">
        <v>2471</v>
      </c>
      <c r="E6132" s="0" t="n">
        <v>1608</v>
      </c>
      <c r="F6132" s="0" t="s">
        <v>240</v>
      </c>
      <c r="I6132" s="0" t="n">
        <v>1711525</v>
      </c>
      <c r="J6132" s="0" t="n">
        <v>37980</v>
      </c>
      <c r="K6132" s="0" t="n">
        <v>7891025121640</v>
      </c>
      <c r="L6132" s="0" t="s">
        <v>2989</v>
      </c>
      <c r="N6132" s="0" t="n">
        <v>2</v>
      </c>
      <c r="O6132" s="0" t="n">
        <v>14.72</v>
      </c>
      <c r="P6132" s="0" t="s">
        <v>2444</v>
      </c>
    </row>
    <row r="6133" customFormat="false" ht="15" hidden="false" customHeight="true" outlineLevel="0" collapsed="false">
      <c r="A6133" s="0" t="n">
        <v>2</v>
      </c>
      <c r="B6133" s="71" t="n">
        <v>46248</v>
      </c>
      <c r="C6133" s="0" t="n">
        <v>11</v>
      </c>
      <c r="D6133" s="0" t="s">
        <v>2471</v>
      </c>
      <c r="E6133" s="0" t="n">
        <v>1608</v>
      </c>
      <c r="F6133" s="0" t="s">
        <v>240</v>
      </c>
      <c r="I6133" s="0" t="n">
        <v>1711525</v>
      </c>
      <c r="J6133" s="0" t="n">
        <v>50664</v>
      </c>
      <c r="K6133" s="0" t="n">
        <v>7891025123064</v>
      </c>
      <c r="L6133" s="0" t="s">
        <v>3881</v>
      </c>
      <c r="N6133" s="0" t="n">
        <v>4</v>
      </c>
      <c r="O6133" s="0" t="n">
        <v>10.52</v>
      </c>
      <c r="P6133" s="0" t="s">
        <v>2444</v>
      </c>
    </row>
    <row r="6134" customFormat="false" ht="15" hidden="false" customHeight="true" outlineLevel="0" collapsed="false">
      <c r="A6134" s="0" t="n">
        <v>2</v>
      </c>
      <c r="B6134" s="71" t="n">
        <v>46248</v>
      </c>
      <c r="C6134" s="0" t="n">
        <v>11</v>
      </c>
      <c r="D6134" s="0" t="s">
        <v>2471</v>
      </c>
      <c r="E6134" s="0" t="n">
        <v>1608</v>
      </c>
      <c r="F6134" s="0" t="s">
        <v>240</v>
      </c>
      <c r="I6134" s="0" t="n">
        <v>1711525</v>
      </c>
      <c r="J6134" s="0" t="n">
        <v>50877</v>
      </c>
      <c r="K6134" s="0" t="n">
        <v>7891025123040</v>
      </c>
      <c r="L6134" s="0" t="s">
        <v>2990</v>
      </c>
      <c r="N6134" s="0" t="n">
        <v>4</v>
      </c>
      <c r="O6134" s="0" t="n">
        <v>10.52</v>
      </c>
      <c r="P6134" s="0" t="s">
        <v>2444</v>
      </c>
    </row>
    <row r="6135" customFormat="false" ht="15" hidden="false" customHeight="true" outlineLevel="0" collapsed="false">
      <c r="A6135" s="0" t="n">
        <v>2</v>
      </c>
      <c r="B6135" s="71" t="n">
        <v>46248</v>
      </c>
      <c r="C6135" s="0" t="n">
        <v>11</v>
      </c>
      <c r="D6135" s="0" t="s">
        <v>2471</v>
      </c>
      <c r="E6135" s="0" t="n">
        <v>1608</v>
      </c>
      <c r="F6135" s="0" t="s">
        <v>240</v>
      </c>
      <c r="I6135" s="0" t="n">
        <v>1711525</v>
      </c>
      <c r="J6135" s="0" t="n">
        <v>69612</v>
      </c>
      <c r="K6135" s="0" t="n">
        <v>7891025123453</v>
      </c>
      <c r="L6135" s="0" t="s">
        <v>2525</v>
      </c>
      <c r="N6135" s="0" t="n">
        <v>3</v>
      </c>
      <c r="O6135" s="0" t="n">
        <v>37.98</v>
      </c>
      <c r="P6135" s="0" t="s">
        <v>2444</v>
      </c>
    </row>
    <row r="6136" customFormat="false" ht="15" hidden="false" customHeight="true" outlineLevel="0" collapsed="false">
      <c r="A6136" s="0" t="n">
        <v>2</v>
      </c>
      <c r="B6136" s="71" t="n">
        <v>46248</v>
      </c>
      <c r="C6136" s="0" t="n">
        <v>11</v>
      </c>
      <c r="D6136" s="0" t="s">
        <v>2471</v>
      </c>
      <c r="E6136" s="0" t="n">
        <v>1608</v>
      </c>
      <c r="F6136" s="0" t="s">
        <v>240</v>
      </c>
      <c r="I6136" s="0" t="n">
        <v>1711525</v>
      </c>
      <c r="J6136" s="0" t="n">
        <v>69614</v>
      </c>
      <c r="K6136" s="0" t="n">
        <v>7891025123477</v>
      </c>
      <c r="L6136" s="0" t="s">
        <v>2527</v>
      </c>
      <c r="N6136" s="0" t="n">
        <v>3</v>
      </c>
      <c r="O6136" s="0" t="n">
        <v>37.98</v>
      </c>
      <c r="P6136" s="0" t="s">
        <v>2444</v>
      </c>
    </row>
    <row r="6137" customFormat="false" ht="15" hidden="false" customHeight="true" outlineLevel="0" collapsed="false">
      <c r="A6137" s="0" t="n">
        <v>2</v>
      </c>
      <c r="B6137" s="71" t="n">
        <v>46248</v>
      </c>
      <c r="C6137" s="0" t="n">
        <v>11</v>
      </c>
      <c r="D6137" s="0" t="s">
        <v>2471</v>
      </c>
      <c r="E6137" s="0" t="n">
        <v>1608</v>
      </c>
      <c r="F6137" s="0" t="s">
        <v>240</v>
      </c>
      <c r="I6137" s="0" t="n">
        <v>1711525</v>
      </c>
      <c r="J6137" s="0" t="n">
        <v>80307</v>
      </c>
      <c r="K6137" s="0" t="n">
        <v>7891025125372</v>
      </c>
      <c r="L6137" s="0" t="s">
        <v>2992</v>
      </c>
      <c r="N6137" s="0" t="n">
        <v>2</v>
      </c>
      <c r="O6137" s="0" t="n">
        <v>31.74</v>
      </c>
      <c r="P6137" s="0" t="s">
        <v>2444</v>
      </c>
    </row>
    <row r="6138" customFormat="false" ht="15" hidden="false" customHeight="true" outlineLevel="0" collapsed="false">
      <c r="A6138" s="0" t="n">
        <v>2</v>
      </c>
      <c r="B6138" s="71" t="n">
        <v>46248</v>
      </c>
      <c r="C6138" s="0" t="n">
        <v>11</v>
      </c>
      <c r="D6138" s="0" t="s">
        <v>2471</v>
      </c>
      <c r="E6138" s="0" t="n">
        <v>1608</v>
      </c>
      <c r="F6138" s="0" t="s">
        <v>240</v>
      </c>
      <c r="I6138" s="0" t="n">
        <v>1711525</v>
      </c>
      <c r="J6138" s="0" t="n">
        <v>80680</v>
      </c>
      <c r="K6138" s="0" t="n">
        <v>7891025125488</v>
      </c>
      <c r="L6138" s="0" t="s">
        <v>2531</v>
      </c>
      <c r="N6138" s="0" t="n">
        <v>6</v>
      </c>
      <c r="O6138" s="0" t="n">
        <v>17.04</v>
      </c>
      <c r="P6138" s="0" t="s">
        <v>2444</v>
      </c>
    </row>
    <row r="6139" customFormat="false" ht="15" hidden="false" customHeight="true" outlineLevel="0" collapsed="false">
      <c r="A6139" s="0" t="n">
        <v>2</v>
      </c>
      <c r="B6139" s="71" t="n">
        <v>46248</v>
      </c>
      <c r="C6139" s="0" t="n">
        <v>11</v>
      </c>
      <c r="D6139" s="0" t="s">
        <v>2471</v>
      </c>
      <c r="E6139" s="0" t="n">
        <v>1608</v>
      </c>
      <c r="F6139" s="0" t="s">
        <v>240</v>
      </c>
      <c r="I6139" s="0" t="n">
        <v>1711525</v>
      </c>
      <c r="J6139" s="0" t="n">
        <v>80681</v>
      </c>
      <c r="K6139" s="0" t="n">
        <v>7891025125495</v>
      </c>
      <c r="L6139" s="0" t="s">
        <v>2532</v>
      </c>
      <c r="N6139" s="0" t="n">
        <v>6</v>
      </c>
      <c r="O6139" s="0" t="n">
        <v>17.04</v>
      </c>
      <c r="P6139" s="0" t="s">
        <v>2444</v>
      </c>
    </row>
    <row r="6140" customFormat="false" ht="15" hidden="false" customHeight="true" outlineLevel="0" collapsed="false">
      <c r="A6140" s="0" t="n">
        <v>2</v>
      </c>
      <c r="B6140" s="71" t="n">
        <v>46248</v>
      </c>
      <c r="C6140" s="0" t="n">
        <v>11</v>
      </c>
      <c r="D6140" s="0" t="s">
        <v>2471</v>
      </c>
      <c r="E6140" s="0" t="n">
        <v>1608</v>
      </c>
      <c r="F6140" s="0" t="s">
        <v>240</v>
      </c>
      <c r="I6140" s="0" t="n">
        <v>1711525</v>
      </c>
      <c r="J6140" s="0" t="n">
        <v>81338</v>
      </c>
      <c r="K6140" s="0" t="n">
        <v>7891025125365</v>
      </c>
      <c r="L6140" s="0" t="s">
        <v>2994</v>
      </c>
      <c r="N6140" s="0" t="n">
        <v>2</v>
      </c>
      <c r="O6140" s="0" t="n">
        <v>31.74</v>
      </c>
      <c r="P6140" s="0" t="s">
        <v>2444</v>
      </c>
    </row>
    <row r="6141" customFormat="false" ht="15" hidden="false" customHeight="true" outlineLevel="0" collapsed="false">
      <c r="A6141" s="0" t="n">
        <v>2</v>
      </c>
      <c r="B6141" s="71" t="n">
        <v>46248</v>
      </c>
      <c r="C6141" s="0" t="n">
        <v>11</v>
      </c>
      <c r="D6141" s="0" t="s">
        <v>2471</v>
      </c>
      <c r="E6141" s="0" t="n">
        <v>1705</v>
      </c>
      <c r="F6141" s="0" t="s">
        <v>130</v>
      </c>
      <c r="I6141" s="0" t="n">
        <v>1986776</v>
      </c>
      <c r="J6141" s="0" t="n">
        <v>30186</v>
      </c>
      <c r="K6141" s="0" t="n">
        <v>78938571</v>
      </c>
      <c r="L6141" s="0" t="s">
        <v>4816</v>
      </c>
      <c r="N6141" s="0" t="n">
        <v>12</v>
      </c>
      <c r="O6141" s="0" t="n">
        <v>20.51</v>
      </c>
      <c r="P6141" s="0" t="s">
        <v>2444</v>
      </c>
    </row>
    <row r="6142" customFormat="false" ht="15" hidden="false" customHeight="true" outlineLevel="0" collapsed="false">
      <c r="A6142" s="0" t="n">
        <v>2</v>
      </c>
      <c r="B6142" s="71" t="n">
        <v>46248</v>
      </c>
      <c r="C6142" s="0" t="n">
        <v>11</v>
      </c>
      <c r="D6142" s="0" t="s">
        <v>2471</v>
      </c>
      <c r="E6142" s="0" t="n">
        <v>1705</v>
      </c>
      <c r="F6142" s="0" t="s">
        <v>130</v>
      </c>
      <c r="I6142" s="0" t="n">
        <v>1986776</v>
      </c>
      <c r="J6142" s="0" t="n">
        <v>103145</v>
      </c>
      <c r="K6142" s="0" t="n">
        <v>7894900051513</v>
      </c>
      <c r="L6142" s="0" t="s">
        <v>2995</v>
      </c>
      <c r="N6142" s="0" t="n">
        <v>18</v>
      </c>
      <c r="O6142" s="0" t="n">
        <v>134.98</v>
      </c>
      <c r="P6142" s="0" t="s">
        <v>2444</v>
      </c>
    </row>
    <row r="6143" customFormat="false" ht="15" hidden="false" customHeight="true" outlineLevel="0" collapsed="false">
      <c r="A6143" s="0" t="n">
        <v>2</v>
      </c>
      <c r="B6143" s="71" t="n">
        <v>46248</v>
      </c>
      <c r="C6143" s="0" t="n">
        <v>11</v>
      </c>
      <c r="D6143" s="0" t="s">
        <v>2471</v>
      </c>
      <c r="E6143" s="0" t="n">
        <v>1705</v>
      </c>
      <c r="F6143" s="0" t="s">
        <v>130</v>
      </c>
      <c r="I6143" s="0" t="n">
        <v>1986776</v>
      </c>
      <c r="J6143" s="0" t="n">
        <v>103146</v>
      </c>
      <c r="K6143" s="0" t="n">
        <v>7894900031515</v>
      </c>
      <c r="L6143" s="0" t="s">
        <v>2567</v>
      </c>
      <c r="N6143" s="0" t="n">
        <v>18</v>
      </c>
      <c r="O6143" s="0" t="n">
        <v>134.98</v>
      </c>
      <c r="P6143" s="0" t="s">
        <v>2444</v>
      </c>
    </row>
    <row r="6144" customFormat="false" ht="15" hidden="false" customHeight="true" outlineLevel="0" collapsed="false">
      <c r="A6144" s="0" t="n">
        <v>2</v>
      </c>
      <c r="B6144" s="71" t="n">
        <v>46248</v>
      </c>
      <c r="C6144" s="0" t="n">
        <v>11</v>
      </c>
      <c r="D6144" s="0" t="s">
        <v>2471</v>
      </c>
      <c r="E6144" s="0" t="n">
        <v>1705</v>
      </c>
      <c r="F6144" s="0" t="s">
        <v>130</v>
      </c>
      <c r="I6144" s="0" t="n">
        <v>1986776</v>
      </c>
      <c r="J6144" s="0" t="n">
        <v>103159</v>
      </c>
      <c r="K6144" s="0" t="n">
        <v>7894900050011</v>
      </c>
      <c r="L6144" s="0" t="s">
        <v>2656</v>
      </c>
      <c r="N6144" s="0" t="n">
        <v>12</v>
      </c>
      <c r="O6144" s="0" t="n">
        <v>34.31</v>
      </c>
      <c r="P6144" s="0" t="s">
        <v>2444</v>
      </c>
    </row>
    <row r="6145" customFormat="false" ht="15" hidden="false" customHeight="true" outlineLevel="0" collapsed="false">
      <c r="A6145" s="0" t="n">
        <v>2</v>
      </c>
      <c r="B6145" s="71" t="n">
        <v>46248</v>
      </c>
      <c r="C6145" s="0" t="n">
        <v>11</v>
      </c>
      <c r="D6145" s="0" t="s">
        <v>2471</v>
      </c>
      <c r="E6145" s="0" t="n">
        <v>1705</v>
      </c>
      <c r="F6145" s="0" t="s">
        <v>130</v>
      </c>
      <c r="I6145" s="0" t="n">
        <v>1986776</v>
      </c>
      <c r="J6145" s="0" t="n">
        <v>103160</v>
      </c>
      <c r="K6145" s="0" t="n">
        <v>7894900030013</v>
      </c>
      <c r="L6145" s="0" t="s">
        <v>2568</v>
      </c>
      <c r="N6145" s="0" t="n">
        <v>12</v>
      </c>
      <c r="O6145" s="0" t="n">
        <v>34.31</v>
      </c>
      <c r="P6145" s="0" t="s">
        <v>2444</v>
      </c>
    </row>
    <row r="6146" customFormat="false" ht="15" hidden="false" customHeight="true" outlineLevel="0" collapsed="false">
      <c r="A6146" s="0" t="n">
        <v>2</v>
      </c>
      <c r="B6146" s="71" t="n">
        <v>46248</v>
      </c>
      <c r="C6146" s="0" t="n">
        <v>11</v>
      </c>
      <c r="D6146" s="0" t="s">
        <v>2471</v>
      </c>
      <c r="E6146" s="0" t="n">
        <v>1705</v>
      </c>
      <c r="F6146" s="0" t="s">
        <v>130</v>
      </c>
      <c r="I6146" s="0" t="n">
        <v>1986776</v>
      </c>
      <c r="J6146" s="0" t="n">
        <v>104472</v>
      </c>
      <c r="K6146" s="0" t="n">
        <v>7897105200038</v>
      </c>
      <c r="L6146" s="0" t="s">
        <v>2657</v>
      </c>
      <c r="N6146" s="0" t="n">
        <v>18</v>
      </c>
      <c r="O6146" s="0" t="n">
        <v>73.99</v>
      </c>
      <c r="P6146" s="0" t="s">
        <v>2444</v>
      </c>
    </row>
    <row r="6147" customFormat="false" ht="15" hidden="false" customHeight="true" outlineLevel="0" collapsed="false">
      <c r="A6147" s="0" t="n">
        <v>2</v>
      </c>
      <c r="B6147" s="71" t="n">
        <v>46248</v>
      </c>
      <c r="C6147" s="0" t="n">
        <v>11</v>
      </c>
      <c r="D6147" s="0" t="s">
        <v>2471</v>
      </c>
      <c r="E6147" s="0" t="n">
        <v>1705</v>
      </c>
      <c r="F6147" s="0" t="s">
        <v>130</v>
      </c>
      <c r="I6147" s="0" t="n">
        <v>1986776</v>
      </c>
      <c r="J6147" s="0" t="n">
        <v>105323</v>
      </c>
      <c r="K6147" s="0" t="n">
        <v>7894900701753</v>
      </c>
      <c r="L6147" s="0" t="s">
        <v>2570</v>
      </c>
      <c r="N6147" s="0" t="n">
        <v>18</v>
      </c>
      <c r="O6147" s="0" t="n">
        <v>109.71</v>
      </c>
      <c r="P6147" s="0" t="s">
        <v>2444</v>
      </c>
    </row>
    <row r="6148" customFormat="false" ht="15" hidden="false" customHeight="true" outlineLevel="0" collapsed="false">
      <c r="A6148" s="0" t="n">
        <v>2</v>
      </c>
      <c r="B6148" s="71" t="n">
        <v>46248</v>
      </c>
      <c r="C6148" s="0" t="n">
        <v>11</v>
      </c>
      <c r="D6148" s="0" t="s">
        <v>2471</v>
      </c>
      <c r="E6148" s="0" t="n">
        <v>1705</v>
      </c>
      <c r="F6148" s="0" t="s">
        <v>130</v>
      </c>
      <c r="I6148" s="0" t="n">
        <v>1986776</v>
      </c>
      <c r="J6148" s="0" t="n">
        <v>105631</v>
      </c>
      <c r="K6148" s="0" t="n">
        <v>7894900011609</v>
      </c>
      <c r="L6148" s="0" t="s">
        <v>2571</v>
      </c>
      <c r="N6148" s="0" t="n">
        <v>60</v>
      </c>
      <c r="O6148" s="0" t="n">
        <v>247.25</v>
      </c>
      <c r="P6148" s="0" t="s">
        <v>2444</v>
      </c>
    </row>
    <row r="6149" customFormat="false" ht="15" hidden="false" customHeight="true" outlineLevel="0" collapsed="false">
      <c r="A6149" s="0" t="n">
        <v>2</v>
      </c>
      <c r="B6149" s="71" t="n">
        <v>46248</v>
      </c>
      <c r="C6149" s="0" t="n">
        <v>11</v>
      </c>
      <c r="D6149" s="0" t="s">
        <v>2471</v>
      </c>
      <c r="E6149" s="0" t="n">
        <v>1705</v>
      </c>
      <c r="F6149" s="0" t="s">
        <v>130</v>
      </c>
      <c r="I6149" s="0" t="n">
        <v>1986776</v>
      </c>
      <c r="J6149" s="0" t="n">
        <v>18192</v>
      </c>
      <c r="K6149" s="0" t="n">
        <v>7894900320015</v>
      </c>
      <c r="L6149" s="0" t="s">
        <v>4632</v>
      </c>
      <c r="N6149" s="0" t="n">
        <v>6</v>
      </c>
      <c r="O6149" s="0" t="n">
        <v>19.23</v>
      </c>
      <c r="P6149" s="0" t="s">
        <v>2444</v>
      </c>
    </row>
    <row r="6150" customFormat="false" ht="15" hidden="false" customHeight="true" outlineLevel="0" collapsed="false">
      <c r="A6150" s="0" t="n">
        <v>2</v>
      </c>
      <c r="B6150" s="71" t="n">
        <v>46248</v>
      </c>
      <c r="C6150" s="0" t="n">
        <v>11</v>
      </c>
      <c r="D6150" s="0" t="s">
        <v>2471</v>
      </c>
      <c r="E6150" s="0" t="n">
        <v>1705</v>
      </c>
      <c r="F6150" s="0" t="s">
        <v>130</v>
      </c>
      <c r="I6150" s="0" t="n">
        <v>1986776</v>
      </c>
      <c r="J6150" s="0" t="n">
        <v>21426</v>
      </c>
      <c r="K6150" s="0" t="n">
        <v>7894900014211</v>
      </c>
      <c r="L6150" s="0" t="s">
        <v>2470</v>
      </c>
      <c r="N6150" s="0" t="n">
        <v>45</v>
      </c>
      <c r="O6150" s="0" t="n">
        <v>301.74</v>
      </c>
      <c r="P6150" s="0" t="s">
        <v>2444</v>
      </c>
    </row>
    <row r="6151" customFormat="false" ht="15" hidden="false" customHeight="true" outlineLevel="0" collapsed="false">
      <c r="A6151" s="0" t="n">
        <v>2</v>
      </c>
      <c r="B6151" s="71" t="n">
        <v>46248</v>
      </c>
      <c r="C6151" s="0" t="n">
        <v>11</v>
      </c>
      <c r="D6151" s="0" t="s">
        <v>2471</v>
      </c>
      <c r="E6151" s="0" t="n">
        <v>1705</v>
      </c>
      <c r="F6151" s="0" t="s">
        <v>130</v>
      </c>
      <c r="I6151" s="0" t="n">
        <v>1986776</v>
      </c>
      <c r="J6151" s="0" t="n">
        <v>27673</v>
      </c>
      <c r="K6151" s="0" t="n">
        <v>7894900701715</v>
      </c>
      <c r="L6151" s="0" t="s">
        <v>2660</v>
      </c>
      <c r="N6151" s="0" t="n">
        <v>12</v>
      </c>
      <c r="O6151" s="0" t="n">
        <v>65.81</v>
      </c>
      <c r="P6151" s="0" t="s">
        <v>2444</v>
      </c>
    </row>
    <row r="6152" customFormat="false" ht="15" hidden="false" customHeight="true" outlineLevel="0" collapsed="false">
      <c r="A6152" s="0" t="n">
        <v>2</v>
      </c>
      <c r="B6152" s="71" t="n">
        <v>46248</v>
      </c>
      <c r="C6152" s="0" t="n">
        <v>11</v>
      </c>
      <c r="D6152" s="0" t="s">
        <v>2471</v>
      </c>
      <c r="E6152" s="0" t="n">
        <v>1705</v>
      </c>
      <c r="F6152" s="0" t="s">
        <v>130</v>
      </c>
      <c r="I6152" s="0" t="n">
        <v>1986776</v>
      </c>
      <c r="J6152" s="0" t="n">
        <v>28739</v>
      </c>
      <c r="K6152" s="0" t="n">
        <v>7894900027044</v>
      </c>
      <c r="L6152" s="0" t="s">
        <v>2658</v>
      </c>
      <c r="N6152" s="0" t="n">
        <v>18</v>
      </c>
      <c r="O6152" s="0" t="n">
        <v>101.83</v>
      </c>
      <c r="P6152" s="0" t="s">
        <v>2444</v>
      </c>
    </row>
    <row r="6153" customFormat="false" ht="15" hidden="false" customHeight="true" outlineLevel="0" collapsed="false">
      <c r="A6153" s="0" t="n">
        <v>2</v>
      </c>
      <c r="B6153" s="71" t="n">
        <v>46248</v>
      </c>
      <c r="C6153" s="0" t="n">
        <v>11</v>
      </c>
      <c r="D6153" s="0" t="s">
        <v>2471</v>
      </c>
      <c r="E6153" s="0" t="n">
        <v>1705</v>
      </c>
      <c r="F6153" s="0" t="s">
        <v>130</v>
      </c>
      <c r="I6153" s="0" t="n">
        <v>1986776</v>
      </c>
      <c r="J6153" s="0" t="n">
        <v>29509</v>
      </c>
      <c r="K6153" s="0" t="n">
        <v>78933873</v>
      </c>
      <c r="L6153" s="0" t="s">
        <v>3258</v>
      </c>
      <c r="N6153" s="0" t="n">
        <v>6</v>
      </c>
      <c r="O6153" s="0" t="n">
        <v>11.29</v>
      </c>
      <c r="P6153" s="0" t="s">
        <v>2444</v>
      </c>
    </row>
    <row r="6154" customFormat="false" ht="15" hidden="false" customHeight="true" outlineLevel="0" collapsed="false">
      <c r="A6154" s="0" t="n">
        <v>2</v>
      </c>
      <c r="B6154" s="71" t="n">
        <v>46248</v>
      </c>
      <c r="C6154" s="0" t="n">
        <v>11</v>
      </c>
      <c r="D6154" s="0" t="s">
        <v>2471</v>
      </c>
      <c r="E6154" s="0" t="n">
        <v>1705</v>
      </c>
      <c r="F6154" s="0" t="s">
        <v>130</v>
      </c>
      <c r="I6154" s="0" t="n">
        <v>1986776</v>
      </c>
      <c r="J6154" s="0" t="n">
        <v>29575</v>
      </c>
      <c r="K6154" s="0" t="n">
        <v>78936478</v>
      </c>
      <c r="L6154" s="0" t="s">
        <v>4817</v>
      </c>
      <c r="N6154" s="0" t="n">
        <v>12</v>
      </c>
      <c r="O6154" s="0" t="n">
        <v>20.51</v>
      </c>
      <c r="P6154" s="0" t="s">
        <v>2444</v>
      </c>
    </row>
    <row r="6155" customFormat="false" ht="15" hidden="false" customHeight="true" outlineLevel="0" collapsed="false">
      <c r="A6155" s="0" t="n">
        <v>2</v>
      </c>
      <c r="B6155" s="71" t="n">
        <v>46248</v>
      </c>
      <c r="C6155" s="0" t="n">
        <v>11</v>
      </c>
      <c r="D6155" s="0" t="s">
        <v>2471</v>
      </c>
      <c r="E6155" s="0" t="n">
        <v>1705</v>
      </c>
      <c r="F6155" s="0" t="s">
        <v>130</v>
      </c>
      <c r="I6155" s="0" t="n">
        <v>1986776</v>
      </c>
      <c r="J6155" s="0" t="n">
        <v>30017</v>
      </c>
      <c r="K6155" s="0" t="n">
        <v>7894900680508</v>
      </c>
      <c r="L6155" s="0" t="s">
        <v>3589</v>
      </c>
      <c r="N6155" s="0" t="n">
        <v>12</v>
      </c>
      <c r="O6155" s="0" t="n">
        <v>42.12</v>
      </c>
      <c r="P6155" s="0" t="s">
        <v>2444</v>
      </c>
    </row>
    <row r="6156" customFormat="false" ht="15" hidden="false" customHeight="true" outlineLevel="0" collapsed="false">
      <c r="A6156" s="0" t="n">
        <v>2</v>
      </c>
      <c r="B6156" s="71" t="n">
        <v>46248</v>
      </c>
      <c r="C6156" s="0" t="n">
        <v>11</v>
      </c>
      <c r="D6156" s="0" t="s">
        <v>2471</v>
      </c>
      <c r="E6156" s="0" t="n">
        <v>1705</v>
      </c>
      <c r="F6156" s="0" t="s">
        <v>130</v>
      </c>
      <c r="I6156" s="0" t="n">
        <v>1986776</v>
      </c>
      <c r="J6156" s="0" t="n">
        <v>31767</v>
      </c>
      <c r="K6156" s="0" t="n">
        <v>7897105250095</v>
      </c>
      <c r="L6156" s="0" t="s">
        <v>3888</v>
      </c>
      <c r="N6156" s="0" t="n">
        <v>9</v>
      </c>
      <c r="O6156" s="0" t="n">
        <v>33.52</v>
      </c>
      <c r="P6156" s="0" t="s">
        <v>2444</v>
      </c>
    </row>
    <row r="6157" customFormat="false" ht="15" hidden="false" customHeight="true" outlineLevel="0" collapsed="false">
      <c r="A6157" s="0" t="n">
        <v>2</v>
      </c>
      <c r="B6157" s="71" t="n">
        <v>46248</v>
      </c>
      <c r="C6157" s="0" t="n">
        <v>11</v>
      </c>
      <c r="D6157" s="0" t="s">
        <v>2471</v>
      </c>
      <c r="E6157" s="0" t="n">
        <v>1705</v>
      </c>
      <c r="F6157" s="0" t="s">
        <v>130</v>
      </c>
      <c r="I6157" s="0" t="n">
        <v>1986776</v>
      </c>
      <c r="J6157" s="0" t="n">
        <v>32339</v>
      </c>
      <c r="K6157" s="0" t="n">
        <v>7894900681000</v>
      </c>
      <c r="L6157" s="0" t="s">
        <v>2996</v>
      </c>
      <c r="N6157" s="0" t="n">
        <v>12</v>
      </c>
      <c r="O6157" s="0" t="n">
        <v>89.99</v>
      </c>
      <c r="P6157" s="0" t="s">
        <v>2444</v>
      </c>
    </row>
    <row r="6158" customFormat="false" ht="15" hidden="false" customHeight="true" outlineLevel="0" collapsed="false">
      <c r="A6158" s="0" t="n">
        <v>2</v>
      </c>
      <c r="B6158" s="71" t="n">
        <v>46248</v>
      </c>
      <c r="C6158" s="0" t="n">
        <v>11</v>
      </c>
      <c r="D6158" s="0" t="s">
        <v>2471</v>
      </c>
      <c r="E6158" s="0" t="n">
        <v>1705</v>
      </c>
      <c r="F6158" s="0" t="s">
        <v>130</v>
      </c>
      <c r="I6158" s="0" t="n">
        <v>1986776</v>
      </c>
      <c r="J6158" s="0" t="n">
        <v>37279</v>
      </c>
      <c r="K6158" s="0" t="n">
        <v>7894900027013</v>
      </c>
      <c r="L6158" s="0" t="s">
        <v>2575</v>
      </c>
      <c r="N6158" s="0" t="n">
        <v>60</v>
      </c>
      <c r="O6158" s="0" t="n">
        <v>529.3</v>
      </c>
      <c r="P6158" s="0" t="s">
        <v>2444</v>
      </c>
    </row>
    <row r="6159" customFormat="false" ht="15" hidden="false" customHeight="true" outlineLevel="0" collapsed="false">
      <c r="A6159" s="0" t="n">
        <v>2</v>
      </c>
      <c r="B6159" s="71" t="n">
        <v>46248</v>
      </c>
      <c r="C6159" s="0" t="n">
        <v>11</v>
      </c>
      <c r="D6159" s="0" t="s">
        <v>2471</v>
      </c>
      <c r="E6159" s="0" t="n">
        <v>1705</v>
      </c>
      <c r="F6159" s="0" t="s">
        <v>130</v>
      </c>
      <c r="I6159" s="0" t="n">
        <v>1986776</v>
      </c>
      <c r="J6159" s="0" t="n">
        <v>38060</v>
      </c>
      <c r="K6159" s="0" t="n">
        <v>7894900701609</v>
      </c>
      <c r="L6159" s="0" t="s">
        <v>2576</v>
      </c>
      <c r="N6159" s="0" t="n">
        <v>24</v>
      </c>
      <c r="O6159" s="0" t="n">
        <v>88.16</v>
      </c>
      <c r="P6159" s="0" t="s">
        <v>2444</v>
      </c>
    </row>
    <row r="6160" customFormat="false" ht="15" hidden="false" customHeight="true" outlineLevel="0" collapsed="false">
      <c r="A6160" s="0" t="n">
        <v>2</v>
      </c>
      <c r="B6160" s="71" t="n">
        <v>46248</v>
      </c>
      <c r="C6160" s="0" t="n">
        <v>11</v>
      </c>
      <c r="D6160" s="0" t="s">
        <v>2471</v>
      </c>
      <c r="E6160" s="0" t="n">
        <v>1705</v>
      </c>
      <c r="F6160" s="0" t="s">
        <v>130</v>
      </c>
      <c r="I6160" s="0" t="n">
        <v>1986776</v>
      </c>
      <c r="J6160" s="0" t="n">
        <v>38978</v>
      </c>
      <c r="K6160" s="0" t="n">
        <v>7894900034097</v>
      </c>
      <c r="L6160" s="0" t="s">
        <v>3890</v>
      </c>
      <c r="N6160" s="0" t="n">
        <v>12</v>
      </c>
      <c r="O6160" s="0" t="n">
        <v>54.58</v>
      </c>
      <c r="P6160" s="0" t="s">
        <v>2444</v>
      </c>
    </row>
    <row r="6161" customFormat="false" ht="15" hidden="false" customHeight="true" outlineLevel="0" collapsed="false">
      <c r="A6161" s="0" t="n">
        <v>2</v>
      </c>
      <c r="B6161" s="71" t="n">
        <v>46249</v>
      </c>
      <c r="C6161" s="0" t="n">
        <v>6</v>
      </c>
      <c r="D6161" s="0" t="s">
        <v>2553</v>
      </c>
      <c r="E6161" s="0" t="n">
        <v>48</v>
      </c>
      <c r="F6161" s="0" t="s">
        <v>153</v>
      </c>
      <c r="I6161" s="0" t="n">
        <v>2606</v>
      </c>
      <c r="J6161" s="0" t="n">
        <v>42564</v>
      </c>
      <c r="K6161" s="0" t="n">
        <v>574</v>
      </c>
      <c r="L6161" s="0" t="s">
        <v>2534</v>
      </c>
      <c r="N6161" s="0" t="n">
        <v>18</v>
      </c>
      <c r="O6161" s="0" t="n">
        <v>270</v>
      </c>
      <c r="P6161" s="0" t="s">
        <v>2444</v>
      </c>
    </row>
    <row r="6162" customFormat="false" ht="15" hidden="false" customHeight="true" outlineLevel="0" collapsed="false">
      <c r="A6162" s="0" t="n">
        <v>2</v>
      </c>
      <c r="B6162" s="71" t="n">
        <v>46249</v>
      </c>
      <c r="C6162" s="0" t="n">
        <v>11</v>
      </c>
      <c r="D6162" s="0" t="s">
        <v>2471</v>
      </c>
      <c r="E6162" s="0" t="n">
        <v>10096</v>
      </c>
      <c r="F6162" s="0" t="s">
        <v>622</v>
      </c>
      <c r="I6162" s="0" t="n">
        <v>174</v>
      </c>
      <c r="J6162" s="0" t="n">
        <v>61580</v>
      </c>
      <c r="K6162" s="0" t="n">
        <v>2258157</v>
      </c>
      <c r="L6162" s="0" t="s">
        <v>2509</v>
      </c>
      <c r="N6162" s="0" t="n">
        <v>15</v>
      </c>
      <c r="O6162" s="0" t="n">
        <v>180</v>
      </c>
      <c r="P6162" s="0" t="s">
        <v>2444</v>
      </c>
    </row>
    <row r="6163" customFormat="false" ht="15" hidden="false" customHeight="true" outlineLevel="0" collapsed="false">
      <c r="A6163" s="0" t="n">
        <v>2</v>
      </c>
      <c r="B6163" s="71" t="n">
        <v>46249</v>
      </c>
      <c r="C6163" s="0" t="n">
        <v>11</v>
      </c>
      <c r="D6163" s="0" t="s">
        <v>2471</v>
      </c>
      <c r="E6163" s="0" t="n">
        <v>10096</v>
      </c>
      <c r="F6163" s="0" t="s">
        <v>622</v>
      </c>
      <c r="I6163" s="0" t="n">
        <v>174</v>
      </c>
      <c r="J6163" s="0" t="n">
        <v>61597</v>
      </c>
      <c r="K6163" s="0" t="n">
        <v>2258188</v>
      </c>
      <c r="L6163" s="0" t="s">
        <v>2510</v>
      </c>
      <c r="N6163" s="0" t="n">
        <v>5</v>
      </c>
      <c r="O6163" s="0" t="n">
        <v>20</v>
      </c>
      <c r="P6163" s="0" t="s">
        <v>2444</v>
      </c>
    </row>
    <row r="6164" customFormat="false" ht="15" hidden="false" customHeight="true" outlineLevel="0" collapsed="false">
      <c r="A6164" s="0" t="n">
        <v>2</v>
      </c>
      <c r="B6164" s="71" t="n">
        <v>46249</v>
      </c>
      <c r="C6164" s="0" t="n">
        <v>11</v>
      </c>
      <c r="D6164" s="0" t="s">
        <v>2471</v>
      </c>
      <c r="E6164" s="0" t="n">
        <v>10018</v>
      </c>
      <c r="F6164" s="0" t="s">
        <v>216</v>
      </c>
      <c r="I6164" s="0" t="n">
        <v>360</v>
      </c>
      <c r="J6164" s="0" t="n">
        <v>100933</v>
      </c>
      <c r="K6164" s="0" t="n">
        <v>7896982100059</v>
      </c>
      <c r="L6164" s="0" t="s">
        <v>2500</v>
      </c>
      <c r="N6164" s="0" t="n">
        <v>1800</v>
      </c>
      <c r="O6164" s="0" t="n">
        <v>899.5</v>
      </c>
      <c r="P6164" s="0" t="s">
        <v>2444</v>
      </c>
    </row>
    <row r="6165" customFormat="false" ht="15" hidden="false" customHeight="true" outlineLevel="0" collapsed="false">
      <c r="A6165" s="0" t="n">
        <v>2</v>
      </c>
      <c r="B6165" s="71" t="n">
        <v>46249</v>
      </c>
      <c r="C6165" s="0" t="n">
        <v>11</v>
      </c>
      <c r="D6165" s="0" t="s">
        <v>2471</v>
      </c>
      <c r="E6165" s="0" t="n">
        <v>1815</v>
      </c>
      <c r="F6165" s="0" t="s">
        <v>172</v>
      </c>
      <c r="I6165" s="0" t="n">
        <v>398015</v>
      </c>
      <c r="J6165" s="0" t="n">
        <v>100030</v>
      </c>
      <c r="K6165" s="0" t="n">
        <v>31</v>
      </c>
      <c r="L6165" s="0" t="s">
        <v>3898</v>
      </c>
      <c r="N6165" s="0" t="n">
        <v>10.328</v>
      </c>
      <c r="O6165" s="0" t="n">
        <v>232.38</v>
      </c>
      <c r="P6165" s="0" t="s">
        <v>2444</v>
      </c>
    </row>
    <row r="6166" customFormat="false" ht="15" hidden="false" customHeight="true" outlineLevel="0" collapsed="false">
      <c r="A6166" s="0" t="n">
        <v>2</v>
      </c>
      <c r="B6166" s="71" t="n">
        <v>46249</v>
      </c>
      <c r="C6166" s="0" t="n">
        <v>11</v>
      </c>
      <c r="D6166" s="0" t="s">
        <v>2471</v>
      </c>
      <c r="E6166" s="0" t="n">
        <v>1815</v>
      </c>
      <c r="F6166" s="0" t="s">
        <v>172</v>
      </c>
      <c r="I6166" s="0" t="n">
        <v>398015</v>
      </c>
      <c r="J6166" s="0" t="n">
        <v>110191</v>
      </c>
      <c r="K6166" s="0" t="n">
        <v>37402</v>
      </c>
      <c r="L6166" s="0" t="s">
        <v>2638</v>
      </c>
      <c r="N6166" s="0" t="n">
        <v>40</v>
      </c>
      <c r="O6166" s="0" t="n">
        <v>279.6</v>
      </c>
      <c r="P6166" s="0" t="s">
        <v>2444</v>
      </c>
    </row>
    <row r="6167" customFormat="false" ht="15" hidden="false" customHeight="true" outlineLevel="0" collapsed="false">
      <c r="A6167" s="0" t="n">
        <v>2</v>
      </c>
      <c r="B6167" s="71" t="n">
        <v>46249</v>
      </c>
      <c r="C6167" s="0" t="n">
        <v>11</v>
      </c>
      <c r="D6167" s="0" t="s">
        <v>2471</v>
      </c>
      <c r="E6167" s="0" t="n">
        <v>1718</v>
      </c>
      <c r="F6167" s="0" t="s">
        <v>236</v>
      </c>
      <c r="I6167" s="0" t="n">
        <v>689224</v>
      </c>
      <c r="J6167" s="0" t="n">
        <v>16771</v>
      </c>
      <c r="K6167" s="0" t="n">
        <v>7895800304235</v>
      </c>
      <c r="L6167" s="0" t="s">
        <v>4818</v>
      </c>
      <c r="N6167" s="0" t="n">
        <v>42</v>
      </c>
      <c r="O6167" s="0" t="n">
        <v>85.3</v>
      </c>
      <c r="P6167" s="0" t="s">
        <v>2444</v>
      </c>
    </row>
    <row r="6168" customFormat="false" ht="15" hidden="false" customHeight="true" outlineLevel="0" collapsed="false">
      <c r="A6168" s="0" t="n">
        <v>2</v>
      </c>
      <c r="B6168" s="71" t="n">
        <v>46249</v>
      </c>
      <c r="C6168" s="0" t="n">
        <v>11</v>
      </c>
      <c r="D6168" s="0" t="s">
        <v>2471</v>
      </c>
      <c r="E6168" s="0" t="n">
        <v>1718</v>
      </c>
      <c r="F6168" s="0" t="s">
        <v>236</v>
      </c>
      <c r="I6168" s="0" t="n">
        <v>689224</v>
      </c>
      <c r="J6168" s="0" t="n">
        <v>16772</v>
      </c>
      <c r="K6168" s="0" t="n">
        <v>7895800309780</v>
      </c>
      <c r="L6168" s="0" t="s">
        <v>3264</v>
      </c>
      <c r="N6168" s="0" t="n">
        <v>84</v>
      </c>
      <c r="O6168" s="0" t="n">
        <v>170.6</v>
      </c>
      <c r="P6168" s="0" t="s">
        <v>2444</v>
      </c>
    </row>
    <row r="6169" customFormat="false" ht="15" hidden="false" customHeight="true" outlineLevel="0" collapsed="false">
      <c r="A6169" s="0" t="n">
        <v>2</v>
      </c>
      <c r="B6169" s="71" t="n">
        <v>46249</v>
      </c>
      <c r="C6169" s="0" t="n">
        <v>11</v>
      </c>
      <c r="D6169" s="0" t="s">
        <v>2471</v>
      </c>
      <c r="E6169" s="0" t="n">
        <v>1718</v>
      </c>
      <c r="F6169" s="0" t="s">
        <v>236</v>
      </c>
      <c r="I6169" s="0" t="n">
        <v>689224</v>
      </c>
      <c r="J6169" s="0" t="n">
        <v>16776</v>
      </c>
      <c r="K6169" s="0" t="n">
        <v>7895800304211</v>
      </c>
      <c r="L6169" s="0" t="s">
        <v>3267</v>
      </c>
      <c r="N6169" s="0" t="n">
        <v>63</v>
      </c>
      <c r="O6169" s="0" t="n">
        <v>127.95</v>
      </c>
      <c r="P6169" s="0" t="s">
        <v>2444</v>
      </c>
    </row>
    <row r="6170" customFormat="false" ht="15" hidden="false" customHeight="true" outlineLevel="0" collapsed="false">
      <c r="A6170" s="0" t="n">
        <v>2</v>
      </c>
      <c r="B6170" s="71" t="n">
        <v>46249</v>
      </c>
      <c r="C6170" s="0" t="n">
        <v>11</v>
      </c>
      <c r="D6170" s="0" t="s">
        <v>2471</v>
      </c>
      <c r="E6170" s="0" t="n">
        <v>1718</v>
      </c>
      <c r="F6170" s="0" t="s">
        <v>236</v>
      </c>
      <c r="I6170" s="0" t="n">
        <v>689224</v>
      </c>
      <c r="J6170" s="0" t="n">
        <v>21275</v>
      </c>
      <c r="K6170" s="0" t="n">
        <v>7622300830151</v>
      </c>
      <c r="L6170" s="0" t="s">
        <v>3399</v>
      </c>
      <c r="N6170" s="0" t="n">
        <v>48</v>
      </c>
      <c r="O6170" s="0" t="n">
        <v>168.96</v>
      </c>
      <c r="P6170" s="0" t="s">
        <v>2444</v>
      </c>
    </row>
    <row r="6171" customFormat="false" ht="15" hidden="false" customHeight="true" outlineLevel="0" collapsed="false">
      <c r="A6171" s="0" t="n">
        <v>2</v>
      </c>
      <c r="B6171" s="71" t="n">
        <v>46249</v>
      </c>
      <c r="C6171" s="0" t="n">
        <v>11</v>
      </c>
      <c r="D6171" s="0" t="s">
        <v>2471</v>
      </c>
      <c r="E6171" s="0" t="n">
        <v>1718</v>
      </c>
      <c r="F6171" s="0" t="s">
        <v>236</v>
      </c>
      <c r="I6171" s="0" t="n">
        <v>689224</v>
      </c>
      <c r="J6171" s="0" t="n">
        <v>22427</v>
      </c>
      <c r="K6171" s="0" t="n">
        <v>7622300873455</v>
      </c>
      <c r="L6171" s="0" t="s">
        <v>3400</v>
      </c>
      <c r="N6171" s="0" t="n">
        <v>16</v>
      </c>
      <c r="O6171" s="0" t="n">
        <v>26.3</v>
      </c>
      <c r="P6171" s="0" t="s">
        <v>2444</v>
      </c>
    </row>
    <row r="6172" customFormat="false" ht="15" hidden="false" customHeight="true" outlineLevel="0" collapsed="false">
      <c r="A6172" s="0" t="n">
        <v>2</v>
      </c>
      <c r="B6172" s="71" t="n">
        <v>46249</v>
      </c>
      <c r="C6172" s="0" t="n">
        <v>11</v>
      </c>
      <c r="D6172" s="0" t="s">
        <v>2471</v>
      </c>
      <c r="E6172" s="0" t="n">
        <v>1718</v>
      </c>
      <c r="F6172" s="0" t="s">
        <v>236</v>
      </c>
      <c r="I6172" s="0" t="n">
        <v>689224</v>
      </c>
      <c r="J6172" s="0" t="n">
        <v>22869</v>
      </c>
      <c r="K6172" s="0" t="n">
        <v>7622300873554</v>
      </c>
      <c r="L6172" s="0" t="s">
        <v>3401</v>
      </c>
      <c r="N6172" s="0" t="n">
        <v>48</v>
      </c>
      <c r="O6172" s="0" t="n">
        <v>168.96</v>
      </c>
      <c r="P6172" s="0" t="s">
        <v>2444</v>
      </c>
    </row>
    <row r="6173" customFormat="false" ht="15" hidden="false" customHeight="true" outlineLevel="0" collapsed="false">
      <c r="A6173" s="0" t="n">
        <v>2</v>
      </c>
      <c r="B6173" s="71" t="n">
        <v>46249</v>
      </c>
      <c r="C6173" s="0" t="n">
        <v>11</v>
      </c>
      <c r="D6173" s="0" t="s">
        <v>2471</v>
      </c>
      <c r="E6173" s="0" t="n">
        <v>1718</v>
      </c>
      <c r="F6173" s="0" t="s">
        <v>236</v>
      </c>
      <c r="I6173" s="0" t="n">
        <v>689224</v>
      </c>
      <c r="J6173" s="0" t="n">
        <v>23714</v>
      </c>
      <c r="K6173" s="0" t="n">
        <v>7622300988470</v>
      </c>
      <c r="L6173" s="0" t="s">
        <v>4819</v>
      </c>
      <c r="N6173" s="0" t="n">
        <v>24</v>
      </c>
      <c r="O6173" s="0" t="n">
        <v>92.27</v>
      </c>
      <c r="P6173" s="0" t="s">
        <v>2444</v>
      </c>
    </row>
    <row r="6174" customFormat="false" ht="15" hidden="false" customHeight="true" outlineLevel="0" collapsed="false">
      <c r="A6174" s="0" t="n">
        <v>2</v>
      </c>
      <c r="B6174" s="71" t="n">
        <v>46249</v>
      </c>
      <c r="C6174" s="0" t="n">
        <v>11</v>
      </c>
      <c r="D6174" s="0" t="s">
        <v>2471</v>
      </c>
      <c r="E6174" s="0" t="n">
        <v>1718</v>
      </c>
      <c r="F6174" s="0" t="s">
        <v>236</v>
      </c>
      <c r="I6174" s="0" t="n">
        <v>689224</v>
      </c>
      <c r="J6174" s="0" t="n">
        <v>24048</v>
      </c>
      <c r="K6174" s="0" t="n">
        <v>7622300992293</v>
      </c>
      <c r="L6174" s="0" t="s">
        <v>3402</v>
      </c>
      <c r="N6174" s="0" t="n">
        <v>10</v>
      </c>
      <c r="O6174" s="0" t="n">
        <v>50.2</v>
      </c>
      <c r="P6174" s="0" t="s">
        <v>2444</v>
      </c>
    </row>
    <row r="6175" customFormat="false" ht="15" hidden="false" customHeight="true" outlineLevel="0" collapsed="false">
      <c r="A6175" s="0" t="n">
        <v>2</v>
      </c>
      <c r="B6175" s="71" t="n">
        <v>46249</v>
      </c>
      <c r="C6175" s="0" t="n">
        <v>11</v>
      </c>
      <c r="D6175" s="0" t="s">
        <v>2471</v>
      </c>
      <c r="E6175" s="0" t="n">
        <v>1718</v>
      </c>
      <c r="F6175" s="0" t="s">
        <v>236</v>
      </c>
      <c r="I6175" s="0" t="n">
        <v>689224</v>
      </c>
      <c r="J6175" s="0" t="n">
        <v>24049</v>
      </c>
      <c r="K6175" s="0" t="n">
        <v>7622300990701</v>
      </c>
      <c r="L6175" s="0" t="s">
        <v>3403</v>
      </c>
      <c r="N6175" s="0" t="n">
        <v>44</v>
      </c>
      <c r="O6175" s="0" t="n">
        <v>220.88</v>
      </c>
      <c r="P6175" s="0" t="s">
        <v>2444</v>
      </c>
    </row>
    <row r="6176" customFormat="false" ht="15" hidden="false" customHeight="true" outlineLevel="0" collapsed="false">
      <c r="A6176" s="0" t="n">
        <v>2</v>
      </c>
      <c r="B6176" s="71" t="n">
        <v>46249</v>
      </c>
      <c r="C6176" s="0" t="n">
        <v>11</v>
      </c>
      <c r="D6176" s="0" t="s">
        <v>2471</v>
      </c>
      <c r="E6176" s="0" t="n">
        <v>1718</v>
      </c>
      <c r="F6176" s="0" t="s">
        <v>236</v>
      </c>
      <c r="I6176" s="0" t="n">
        <v>689224</v>
      </c>
      <c r="J6176" s="0" t="n">
        <v>24066</v>
      </c>
      <c r="K6176" s="0" t="n">
        <v>7622300989408</v>
      </c>
      <c r="L6176" s="0" t="s">
        <v>3404</v>
      </c>
      <c r="N6176" s="0" t="n">
        <v>24</v>
      </c>
      <c r="O6176" s="0" t="n">
        <v>84.48</v>
      </c>
      <c r="P6176" s="0" t="s">
        <v>2444</v>
      </c>
    </row>
    <row r="6177" customFormat="false" ht="15" hidden="false" customHeight="true" outlineLevel="0" collapsed="false">
      <c r="A6177" s="0" t="n">
        <v>2</v>
      </c>
      <c r="B6177" s="71" t="n">
        <v>46249</v>
      </c>
      <c r="C6177" s="0" t="n">
        <v>11</v>
      </c>
      <c r="D6177" s="0" t="s">
        <v>2471</v>
      </c>
      <c r="E6177" s="0" t="n">
        <v>1718</v>
      </c>
      <c r="F6177" s="0" t="s">
        <v>236</v>
      </c>
      <c r="I6177" s="0" t="n">
        <v>689224</v>
      </c>
      <c r="J6177" s="0" t="n">
        <v>24231</v>
      </c>
      <c r="K6177" s="0" t="n">
        <v>7622210641151</v>
      </c>
      <c r="L6177" s="0" t="s">
        <v>3405</v>
      </c>
      <c r="N6177" s="0" t="n">
        <v>10</v>
      </c>
      <c r="O6177" s="0" t="n">
        <v>50.2</v>
      </c>
      <c r="P6177" s="0" t="s">
        <v>2444</v>
      </c>
    </row>
    <row r="6178" customFormat="false" ht="15" hidden="false" customHeight="true" outlineLevel="0" collapsed="false">
      <c r="A6178" s="0" t="n">
        <v>2</v>
      </c>
      <c r="B6178" s="71" t="n">
        <v>46249</v>
      </c>
      <c r="C6178" s="0" t="n">
        <v>11</v>
      </c>
      <c r="D6178" s="0" t="s">
        <v>2471</v>
      </c>
      <c r="E6178" s="0" t="n">
        <v>1718</v>
      </c>
      <c r="F6178" s="0" t="s">
        <v>236</v>
      </c>
      <c r="I6178" s="0" t="n">
        <v>689224</v>
      </c>
      <c r="J6178" s="0" t="n">
        <v>24526</v>
      </c>
      <c r="K6178" s="0" t="n">
        <v>7622210644534</v>
      </c>
      <c r="L6178" s="0" t="s">
        <v>3406</v>
      </c>
      <c r="N6178" s="0" t="n">
        <v>10</v>
      </c>
      <c r="O6178" s="0" t="n">
        <v>50.2</v>
      </c>
      <c r="P6178" s="0" t="s">
        <v>2444</v>
      </c>
    </row>
    <row r="6179" customFormat="false" ht="15" hidden="false" customHeight="true" outlineLevel="0" collapsed="false">
      <c r="A6179" s="0" t="n">
        <v>2</v>
      </c>
      <c r="B6179" s="71" t="n">
        <v>46249</v>
      </c>
      <c r="C6179" s="0" t="n">
        <v>11</v>
      </c>
      <c r="D6179" s="0" t="s">
        <v>2471</v>
      </c>
      <c r="E6179" s="0" t="n">
        <v>1718</v>
      </c>
      <c r="F6179" s="0" t="s">
        <v>236</v>
      </c>
      <c r="I6179" s="0" t="n">
        <v>689224</v>
      </c>
      <c r="J6179" s="0" t="n">
        <v>25460</v>
      </c>
      <c r="K6179" s="0" t="n">
        <v>7622210661609</v>
      </c>
      <c r="L6179" s="0" t="s">
        <v>4820</v>
      </c>
      <c r="N6179" s="0" t="n">
        <v>15</v>
      </c>
      <c r="O6179" s="0" t="n">
        <v>75.3</v>
      </c>
      <c r="P6179" s="0" t="s">
        <v>2444</v>
      </c>
    </row>
    <row r="6180" customFormat="false" ht="15" hidden="false" customHeight="true" outlineLevel="0" collapsed="false">
      <c r="A6180" s="0" t="n">
        <v>2</v>
      </c>
      <c r="B6180" s="71" t="n">
        <v>46249</v>
      </c>
      <c r="C6180" s="0" t="n">
        <v>11</v>
      </c>
      <c r="D6180" s="0" t="s">
        <v>2471</v>
      </c>
      <c r="E6180" s="0" t="n">
        <v>1718</v>
      </c>
      <c r="F6180" s="0" t="s">
        <v>236</v>
      </c>
      <c r="I6180" s="0" t="n">
        <v>689224</v>
      </c>
      <c r="J6180" s="0" t="n">
        <v>26009</v>
      </c>
      <c r="K6180" s="0" t="n">
        <v>7622210661661</v>
      </c>
      <c r="L6180" s="0" t="s">
        <v>3407</v>
      </c>
      <c r="N6180" s="0" t="n">
        <v>15</v>
      </c>
      <c r="O6180" s="0" t="n">
        <v>75.3</v>
      </c>
      <c r="P6180" s="0" t="s">
        <v>2444</v>
      </c>
    </row>
    <row r="6181" customFormat="false" ht="15" hidden="false" customHeight="true" outlineLevel="0" collapsed="false">
      <c r="A6181" s="0" t="n">
        <v>2</v>
      </c>
      <c r="B6181" s="71" t="n">
        <v>46249</v>
      </c>
      <c r="C6181" s="0" t="n">
        <v>11</v>
      </c>
      <c r="D6181" s="0" t="s">
        <v>2471</v>
      </c>
      <c r="E6181" s="0" t="n">
        <v>1718</v>
      </c>
      <c r="F6181" s="0" t="s">
        <v>236</v>
      </c>
      <c r="I6181" s="0" t="n">
        <v>689224</v>
      </c>
      <c r="J6181" s="0" t="n">
        <v>29150</v>
      </c>
      <c r="K6181" s="0" t="n">
        <v>78938816</v>
      </c>
      <c r="L6181" s="0" t="s">
        <v>3409</v>
      </c>
      <c r="N6181" s="0" t="n">
        <v>84</v>
      </c>
      <c r="O6181" s="0" t="n">
        <v>112.28</v>
      </c>
      <c r="P6181" s="0" t="s">
        <v>2444</v>
      </c>
    </row>
    <row r="6182" customFormat="false" ht="15" hidden="false" customHeight="true" outlineLevel="0" collapsed="false">
      <c r="A6182" s="0" t="n">
        <v>2</v>
      </c>
      <c r="B6182" s="71" t="n">
        <v>46249</v>
      </c>
      <c r="C6182" s="0" t="n">
        <v>11</v>
      </c>
      <c r="D6182" s="0" t="s">
        <v>2471</v>
      </c>
      <c r="E6182" s="0" t="n">
        <v>1718</v>
      </c>
      <c r="F6182" s="0" t="s">
        <v>236</v>
      </c>
      <c r="I6182" s="0" t="n">
        <v>689224</v>
      </c>
      <c r="J6182" s="0" t="n">
        <v>29152</v>
      </c>
      <c r="K6182" s="0" t="n">
        <v>78938847</v>
      </c>
      <c r="L6182" s="0" t="s">
        <v>3411</v>
      </c>
      <c r="N6182" s="0" t="n">
        <v>42</v>
      </c>
      <c r="O6182" s="0" t="n">
        <v>56.14</v>
      </c>
      <c r="P6182" s="0" t="s">
        <v>2444</v>
      </c>
    </row>
    <row r="6183" customFormat="false" ht="15" hidden="false" customHeight="true" outlineLevel="0" collapsed="false">
      <c r="A6183" s="0" t="n">
        <v>2</v>
      </c>
      <c r="B6183" s="71" t="n">
        <v>46249</v>
      </c>
      <c r="C6183" s="0" t="n">
        <v>11</v>
      </c>
      <c r="D6183" s="0" t="s">
        <v>2471</v>
      </c>
      <c r="E6183" s="0" t="n">
        <v>1718</v>
      </c>
      <c r="F6183" s="0" t="s">
        <v>236</v>
      </c>
      <c r="I6183" s="0" t="n">
        <v>689224</v>
      </c>
      <c r="J6183" s="0" t="n">
        <v>29153</v>
      </c>
      <c r="K6183" s="0" t="n">
        <v>78938793</v>
      </c>
      <c r="L6183" s="0" t="s">
        <v>3412</v>
      </c>
      <c r="N6183" s="0" t="n">
        <v>42</v>
      </c>
      <c r="O6183" s="0" t="n">
        <v>56.14</v>
      </c>
      <c r="P6183" s="0" t="s">
        <v>2444</v>
      </c>
    </row>
    <row r="6184" customFormat="false" ht="15" hidden="false" customHeight="true" outlineLevel="0" collapsed="false">
      <c r="A6184" s="0" t="n">
        <v>2</v>
      </c>
      <c r="B6184" s="71" t="n">
        <v>46249</v>
      </c>
      <c r="C6184" s="0" t="n">
        <v>11</v>
      </c>
      <c r="D6184" s="0" t="s">
        <v>2471</v>
      </c>
      <c r="E6184" s="0" t="n">
        <v>1718</v>
      </c>
      <c r="F6184" s="0" t="s">
        <v>236</v>
      </c>
      <c r="I6184" s="0" t="n">
        <v>689224</v>
      </c>
      <c r="J6184" s="0" t="n">
        <v>29368</v>
      </c>
      <c r="K6184" s="0" t="n">
        <v>78932609</v>
      </c>
      <c r="L6184" s="0" t="s">
        <v>3413</v>
      </c>
      <c r="N6184" s="0" t="n">
        <v>500</v>
      </c>
      <c r="O6184" s="0" t="n">
        <v>102.35</v>
      </c>
      <c r="P6184" s="0" t="s">
        <v>2444</v>
      </c>
    </row>
    <row r="6185" customFormat="false" ht="15" hidden="false" customHeight="true" outlineLevel="0" collapsed="false">
      <c r="A6185" s="0" t="n">
        <v>2</v>
      </c>
      <c r="B6185" s="71" t="n">
        <v>46249</v>
      </c>
      <c r="C6185" s="0" t="n">
        <v>11</v>
      </c>
      <c r="D6185" s="0" t="s">
        <v>2471</v>
      </c>
      <c r="E6185" s="0" t="n">
        <v>1718</v>
      </c>
      <c r="F6185" s="0" t="s">
        <v>236</v>
      </c>
      <c r="I6185" s="0" t="n">
        <v>689224</v>
      </c>
      <c r="J6185" s="0" t="n">
        <v>36310</v>
      </c>
      <c r="K6185" s="0" t="n">
        <v>78938854</v>
      </c>
      <c r="L6185" s="0" t="s">
        <v>3416</v>
      </c>
      <c r="N6185" s="0" t="n">
        <v>84</v>
      </c>
      <c r="O6185" s="0" t="n">
        <v>112.28</v>
      </c>
      <c r="P6185" s="0" t="s">
        <v>2444</v>
      </c>
    </row>
    <row r="6186" customFormat="false" ht="15" hidden="false" customHeight="true" outlineLevel="0" collapsed="false">
      <c r="A6186" s="0" t="n">
        <v>2</v>
      </c>
      <c r="B6186" s="71" t="n">
        <v>46249</v>
      </c>
      <c r="C6186" s="0" t="n">
        <v>11</v>
      </c>
      <c r="D6186" s="0" t="s">
        <v>2471</v>
      </c>
      <c r="E6186" s="0" t="n">
        <v>1718</v>
      </c>
      <c r="F6186" s="0" t="s">
        <v>236</v>
      </c>
      <c r="I6186" s="0" t="n">
        <v>689224</v>
      </c>
      <c r="J6186" s="0" t="n">
        <v>38441</v>
      </c>
      <c r="K6186" s="0" t="n">
        <v>7622210566409</v>
      </c>
      <c r="L6186" s="0" t="s">
        <v>4821</v>
      </c>
      <c r="N6186" s="0" t="n">
        <v>24</v>
      </c>
      <c r="O6186" s="0" t="n">
        <v>92.27</v>
      </c>
      <c r="P6186" s="0" t="s">
        <v>2444</v>
      </c>
    </row>
    <row r="6187" customFormat="false" ht="15" hidden="false" customHeight="true" outlineLevel="0" collapsed="false">
      <c r="A6187" s="0" t="n">
        <v>2</v>
      </c>
      <c r="B6187" s="71" t="n">
        <v>46249</v>
      </c>
      <c r="C6187" s="0" t="n">
        <v>11</v>
      </c>
      <c r="D6187" s="0" t="s">
        <v>2471</v>
      </c>
      <c r="E6187" s="0" t="n">
        <v>1718</v>
      </c>
      <c r="F6187" s="0" t="s">
        <v>236</v>
      </c>
      <c r="I6187" s="0" t="n">
        <v>689224</v>
      </c>
      <c r="J6187" s="0" t="n">
        <v>38525</v>
      </c>
      <c r="K6187" s="0" t="n">
        <v>78938861</v>
      </c>
      <c r="L6187" s="0" t="s">
        <v>3418</v>
      </c>
      <c r="N6187" s="0" t="n">
        <v>21</v>
      </c>
      <c r="O6187" s="0" t="n">
        <v>28.07</v>
      </c>
      <c r="P6187" s="0" t="s">
        <v>2444</v>
      </c>
    </row>
    <row r="6188" customFormat="false" ht="15" hidden="false" customHeight="true" outlineLevel="0" collapsed="false">
      <c r="A6188" s="0" t="n">
        <v>2</v>
      </c>
      <c r="B6188" s="71" t="n">
        <v>46249</v>
      </c>
      <c r="C6188" s="0" t="n">
        <v>11</v>
      </c>
      <c r="D6188" s="0" t="s">
        <v>2471</v>
      </c>
      <c r="E6188" s="0" t="n">
        <v>1718</v>
      </c>
      <c r="F6188" s="0" t="s">
        <v>236</v>
      </c>
      <c r="I6188" s="0" t="n">
        <v>689224</v>
      </c>
      <c r="J6188" s="0" t="n">
        <v>38564</v>
      </c>
      <c r="K6188" s="0" t="n">
        <v>7622210564290</v>
      </c>
      <c r="L6188" s="0" t="s">
        <v>4343</v>
      </c>
      <c r="N6188" s="0" t="n">
        <v>84</v>
      </c>
      <c r="O6188" s="0" t="n">
        <v>170.6</v>
      </c>
      <c r="P6188" s="0" t="s">
        <v>2444</v>
      </c>
    </row>
    <row r="6189" customFormat="false" ht="15" hidden="false" customHeight="true" outlineLevel="0" collapsed="false">
      <c r="A6189" s="0" t="n">
        <v>2</v>
      </c>
      <c r="B6189" s="71" t="n">
        <v>46249</v>
      </c>
      <c r="C6189" s="0" t="n">
        <v>11</v>
      </c>
      <c r="D6189" s="0" t="s">
        <v>2471</v>
      </c>
      <c r="E6189" s="0" t="n">
        <v>1718</v>
      </c>
      <c r="F6189" s="0" t="s">
        <v>236</v>
      </c>
      <c r="I6189" s="0" t="n">
        <v>689224</v>
      </c>
      <c r="J6189" s="0" t="n">
        <v>39155</v>
      </c>
      <c r="K6189" s="0" t="n">
        <v>7622210933454</v>
      </c>
      <c r="L6189" s="0" t="s">
        <v>3419</v>
      </c>
      <c r="N6189" s="0" t="n">
        <v>20</v>
      </c>
      <c r="O6189" s="0" t="n">
        <v>51.08</v>
      </c>
      <c r="P6189" s="0" t="s">
        <v>2444</v>
      </c>
    </row>
    <row r="6190" customFormat="false" ht="15" hidden="false" customHeight="true" outlineLevel="0" collapsed="false">
      <c r="A6190" s="0" t="n">
        <v>2</v>
      </c>
      <c r="B6190" s="71" t="n">
        <v>46249</v>
      </c>
      <c r="C6190" s="0" t="n">
        <v>11</v>
      </c>
      <c r="D6190" s="0" t="s">
        <v>2471</v>
      </c>
      <c r="E6190" s="0" t="n">
        <v>1718</v>
      </c>
      <c r="F6190" s="0" t="s">
        <v>236</v>
      </c>
      <c r="I6190" s="0" t="n">
        <v>689224</v>
      </c>
      <c r="J6190" s="0" t="n">
        <v>41590</v>
      </c>
      <c r="K6190" s="0" t="n">
        <v>7622210564337</v>
      </c>
      <c r="L6190" s="0" t="s">
        <v>4822</v>
      </c>
      <c r="N6190" s="0" t="n">
        <v>42</v>
      </c>
      <c r="O6190" s="0" t="n">
        <v>85.3</v>
      </c>
      <c r="P6190" s="0" t="s">
        <v>2444</v>
      </c>
    </row>
    <row r="6191" customFormat="false" ht="15" hidden="false" customHeight="true" outlineLevel="0" collapsed="false">
      <c r="A6191" s="0" t="n">
        <v>2</v>
      </c>
      <c r="B6191" s="71" t="n">
        <v>46249</v>
      </c>
      <c r="C6191" s="0" t="n">
        <v>11</v>
      </c>
      <c r="D6191" s="0" t="s">
        <v>2471</v>
      </c>
      <c r="E6191" s="0" t="n">
        <v>1718</v>
      </c>
      <c r="F6191" s="0" t="s">
        <v>236</v>
      </c>
      <c r="I6191" s="0" t="n">
        <v>689224</v>
      </c>
      <c r="J6191" s="0" t="n">
        <v>43073</v>
      </c>
      <c r="K6191" s="0" t="n">
        <v>7622210568816</v>
      </c>
      <c r="L6191" s="0" t="s">
        <v>4823</v>
      </c>
      <c r="N6191" s="0" t="n">
        <v>15</v>
      </c>
      <c r="O6191" s="0" t="n">
        <v>75.3</v>
      </c>
      <c r="P6191" s="0" t="s">
        <v>2444</v>
      </c>
    </row>
    <row r="6192" customFormat="false" ht="15" hidden="false" customHeight="true" outlineLevel="0" collapsed="false">
      <c r="A6192" s="0" t="n">
        <v>2</v>
      </c>
      <c r="B6192" s="71" t="n">
        <v>46249</v>
      </c>
      <c r="C6192" s="0" t="n">
        <v>11</v>
      </c>
      <c r="D6192" s="0" t="s">
        <v>2471</v>
      </c>
      <c r="E6192" s="0" t="n">
        <v>1718</v>
      </c>
      <c r="F6192" s="0" t="s">
        <v>236</v>
      </c>
      <c r="I6192" s="0" t="n">
        <v>689224</v>
      </c>
      <c r="J6192" s="0" t="n">
        <v>45647</v>
      </c>
      <c r="K6192" s="0" t="n">
        <v>7622210566331</v>
      </c>
      <c r="L6192" s="0" t="s">
        <v>4824</v>
      </c>
      <c r="N6192" s="0" t="n">
        <v>24</v>
      </c>
      <c r="O6192" s="0" t="n">
        <v>92.27</v>
      </c>
      <c r="P6192" s="0" t="s">
        <v>2444</v>
      </c>
    </row>
    <row r="6193" customFormat="false" ht="15" hidden="false" customHeight="true" outlineLevel="0" collapsed="false">
      <c r="A6193" s="0" t="n">
        <v>2</v>
      </c>
      <c r="B6193" s="71" t="n">
        <v>46249</v>
      </c>
      <c r="C6193" s="0" t="n">
        <v>11</v>
      </c>
      <c r="D6193" s="0" t="s">
        <v>2471</v>
      </c>
      <c r="E6193" s="0" t="n">
        <v>1718</v>
      </c>
      <c r="F6193" s="0" t="s">
        <v>236</v>
      </c>
      <c r="I6193" s="0" t="n">
        <v>689224</v>
      </c>
      <c r="J6193" s="0" t="n">
        <v>52437</v>
      </c>
      <c r="K6193" s="0" t="n">
        <v>7895800002964</v>
      </c>
      <c r="L6193" s="0" t="s">
        <v>4346</v>
      </c>
      <c r="N6193" s="0" t="n">
        <v>120</v>
      </c>
      <c r="O6193" s="0" t="n">
        <v>34.12</v>
      </c>
      <c r="P6193" s="0" t="s">
        <v>2444</v>
      </c>
    </row>
    <row r="6194" customFormat="false" ht="15" hidden="false" customHeight="true" outlineLevel="0" collapsed="false">
      <c r="A6194" s="0" t="n">
        <v>2</v>
      </c>
      <c r="B6194" s="71" t="n">
        <v>46249</v>
      </c>
      <c r="C6194" s="0" t="n">
        <v>11</v>
      </c>
      <c r="D6194" s="0" t="s">
        <v>2471</v>
      </c>
      <c r="E6194" s="0" t="n">
        <v>1718</v>
      </c>
      <c r="F6194" s="0" t="s">
        <v>236</v>
      </c>
      <c r="I6194" s="0" t="n">
        <v>689224</v>
      </c>
      <c r="J6194" s="0" t="n">
        <v>52731</v>
      </c>
      <c r="K6194" s="0" t="n">
        <v>7622210674050</v>
      </c>
      <c r="L6194" s="0" t="s">
        <v>3420</v>
      </c>
      <c r="N6194" s="0" t="n">
        <v>17</v>
      </c>
      <c r="O6194" s="0" t="n">
        <v>139.9</v>
      </c>
      <c r="P6194" s="0" t="s">
        <v>2444</v>
      </c>
    </row>
    <row r="6195" customFormat="false" ht="15" hidden="false" customHeight="true" outlineLevel="0" collapsed="false">
      <c r="A6195" s="0" t="n">
        <v>2</v>
      </c>
      <c r="B6195" s="71" t="n">
        <v>46249</v>
      </c>
      <c r="C6195" s="0" t="n">
        <v>11</v>
      </c>
      <c r="D6195" s="0" t="s">
        <v>2471</v>
      </c>
      <c r="E6195" s="0" t="n">
        <v>1718</v>
      </c>
      <c r="F6195" s="0" t="s">
        <v>236</v>
      </c>
      <c r="I6195" s="0" t="n">
        <v>689224</v>
      </c>
      <c r="J6195" s="0" t="n">
        <v>52732</v>
      </c>
      <c r="K6195" s="0" t="n">
        <v>7622210673831</v>
      </c>
      <c r="L6195" s="0" t="s">
        <v>3421</v>
      </c>
      <c r="N6195" s="0" t="n">
        <v>17</v>
      </c>
      <c r="O6195" s="0" t="n">
        <v>139.9</v>
      </c>
      <c r="P6195" s="0" t="s">
        <v>2444</v>
      </c>
    </row>
    <row r="6196" customFormat="false" ht="15" hidden="false" customHeight="true" outlineLevel="0" collapsed="false">
      <c r="A6196" s="0" t="n">
        <v>2</v>
      </c>
      <c r="B6196" s="71" t="n">
        <v>46249</v>
      </c>
      <c r="C6196" s="0" t="n">
        <v>11</v>
      </c>
      <c r="D6196" s="0" t="s">
        <v>2471</v>
      </c>
      <c r="E6196" s="0" t="n">
        <v>1718</v>
      </c>
      <c r="F6196" s="0" t="s">
        <v>236</v>
      </c>
      <c r="I6196" s="0" t="n">
        <v>689224</v>
      </c>
      <c r="J6196" s="0" t="n">
        <v>52734</v>
      </c>
      <c r="K6196" s="0" t="n">
        <v>7622210674395</v>
      </c>
      <c r="L6196" s="0" t="s">
        <v>3422</v>
      </c>
      <c r="N6196" s="0" t="n">
        <v>17</v>
      </c>
      <c r="O6196" s="0" t="n">
        <v>139.9</v>
      </c>
      <c r="P6196" s="0" t="s">
        <v>2444</v>
      </c>
    </row>
    <row r="6197" customFormat="false" ht="15" hidden="false" customHeight="true" outlineLevel="0" collapsed="false">
      <c r="A6197" s="0" t="n">
        <v>2</v>
      </c>
      <c r="B6197" s="71" t="n">
        <v>46249</v>
      </c>
      <c r="C6197" s="0" t="n">
        <v>11</v>
      </c>
      <c r="D6197" s="0" t="s">
        <v>2471</v>
      </c>
      <c r="E6197" s="0" t="n">
        <v>1718</v>
      </c>
      <c r="F6197" s="0" t="s">
        <v>236</v>
      </c>
      <c r="I6197" s="0" t="n">
        <v>689224</v>
      </c>
      <c r="J6197" s="0" t="n">
        <v>53290</v>
      </c>
      <c r="K6197" s="0" t="n">
        <v>7622210674319</v>
      </c>
      <c r="L6197" s="0" t="s">
        <v>3423</v>
      </c>
      <c r="N6197" s="0" t="n">
        <v>17</v>
      </c>
      <c r="O6197" s="0" t="n">
        <v>139.9</v>
      </c>
      <c r="P6197" s="0" t="s">
        <v>2444</v>
      </c>
    </row>
    <row r="6198" customFormat="false" ht="15" hidden="false" customHeight="true" outlineLevel="0" collapsed="false">
      <c r="A6198" s="0" t="n">
        <v>2</v>
      </c>
      <c r="B6198" s="71" t="n">
        <v>46249</v>
      </c>
      <c r="C6198" s="0" t="n">
        <v>11</v>
      </c>
      <c r="D6198" s="0" t="s">
        <v>2471</v>
      </c>
      <c r="E6198" s="0" t="n">
        <v>1718</v>
      </c>
      <c r="F6198" s="0" t="s">
        <v>236</v>
      </c>
      <c r="I6198" s="0" t="n">
        <v>689224</v>
      </c>
      <c r="J6198" s="0" t="n">
        <v>54107</v>
      </c>
      <c r="K6198" s="0" t="n">
        <v>7622210674432</v>
      </c>
      <c r="L6198" s="0" t="s">
        <v>3424</v>
      </c>
      <c r="N6198" s="0" t="n">
        <v>17</v>
      </c>
      <c r="O6198" s="0" t="n">
        <v>139.9</v>
      </c>
      <c r="P6198" s="0" t="s">
        <v>2444</v>
      </c>
    </row>
    <row r="6199" customFormat="false" ht="15" hidden="false" customHeight="true" outlineLevel="0" collapsed="false">
      <c r="A6199" s="0" t="n">
        <v>2</v>
      </c>
      <c r="B6199" s="71" t="n">
        <v>46249</v>
      </c>
      <c r="C6199" s="0" t="n">
        <v>11</v>
      </c>
      <c r="D6199" s="0" t="s">
        <v>2471</v>
      </c>
      <c r="E6199" s="0" t="n">
        <v>1718</v>
      </c>
      <c r="F6199" s="0" t="s">
        <v>236</v>
      </c>
      <c r="I6199" s="0" t="n">
        <v>689224</v>
      </c>
      <c r="J6199" s="0" t="n">
        <v>54427</v>
      </c>
      <c r="K6199" s="0" t="n">
        <v>7622210575630</v>
      </c>
      <c r="L6199" s="0" t="s">
        <v>3425</v>
      </c>
      <c r="N6199" s="0" t="n">
        <v>17</v>
      </c>
      <c r="O6199" s="0" t="n">
        <v>139.9</v>
      </c>
      <c r="P6199" s="0" t="s">
        <v>2444</v>
      </c>
    </row>
    <row r="6200" customFormat="false" ht="15" hidden="false" customHeight="true" outlineLevel="0" collapsed="false">
      <c r="A6200" s="0" t="n">
        <v>2</v>
      </c>
      <c r="B6200" s="71" t="n">
        <v>46249</v>
      </c>
      <c r="C6200" s="0" t="n">
        <v>11</v>
      </c>
      <c r="D6200" s="0" t="s">
        <v>2471</v>
      </c>
      <c r="E6200" s="0" t="n">
        <v>1718</v>
      </c>
      <c r="F6200" s="0" t="s">
        <v>236</v>
      </c>
      <c r="I6200" s="0" t="n">
        <v>689224</v>
      </c>
      <c r="J6200" s="0" t="n">
        <v>60555</v>
      </c>
      <c r="K6200" s="0" t="n">
        <v>7622210575999</v>
      </c>
      <c r="L6200" s="0" t="s">
        <v>3930</v>
      </c>
      <c r="N6200" s="0" t="n">
        <v>35</v>
      </c>
      <c r="O6200" s="0" t="n">
        <v>239.75</v>
      </c>
      <c r="P6200" s="0" t="s">
        <v>2444</v>
      </c>
    </row>
    <row r="6201" customFormat="false" ht="15" hidden="false" customHeight="true" outlineLevel="0" collapsed="false">
      <c r="A6201" s="0" t="n">
        <v>2</v>
      </c>
      <c r="B6201" s="71" t="n">
        <v>46249</v>
      </c>
      <c r="C6201" s="0" t="n">
        <v>11</v>
      </c>
      <c r="D6201" s="0" t="s">
        <v>2471</v>
      </c>
      <c r="E6201" s="0" t="n">
        <v>1718</v>
      </c>
      <c r="F6201" s="0" t="s">
        <v>236</v>
      </c>
      <c r="I6201" s="0" t="n">
        <v>689224</v>
      </c>
      <c r="J6201" s="0" t="n">
        <v>60942</v>
      </c>
      <c r="K6201" s="0" t="n">
        <v>7622210575975</v>
      </c>
      <c r="L6201" s="0" t="s">
        <v>3931</v>
      </c>
      <c r="N6201" s="0" t="n">
        <v>35</v>
      </c>
      <c r="O6201" s="0" t="n">
        <v>239.75</v>
      </c>
      <c r="P6201" s="0" t="s">
        <v>2444</v>
      </c>
    </row>
    <row r="6202" customFormat="false" ht="15" hidden="false" customHeight="true" outlineLevel="0" collapsed="false">
      <c r="A6202" s="0" t="n">
        <v>2</v>
      </c>
      <c r="B6202" s="71" t="n">
        <v>46249</v>
      </c>
      <c r="C6202" s="0" t="n">
        <v>11</v>
      </c>
      <c r="D6202" s="0" t="s">
        <v>2471</v>
      </c>
      <c r="E6202" s="0" t="n">
        <v>1718</v>
      </c>
      <c r="F6202" s="0" t="s">
        <v>236</v>
      </c>
      <c r="I6202" s="0" t="n">
        <v>689224</v>
      </c>
      <c r="J6202" s="0" t="n">
        <v>75083</v>
      </c>
      <c r="K6202" s="0" t="n">
        <v>7622202256691</v>
      </c>
      <c r="L6202" s="0" t="s">
        <v>4825</v>
      </c>
      <c r="N6202" s="0" t="n">
        <v>12</v>
      </c>
      <c r="O6202" s="0" t="n">
        <v>44.87</v>
      </c>
      <c r="P6202" s="0" t="s">
        <v>2444</v>
      </c>
    </row>
    <row r="6203" customFormat="false" ht="15" hidden="false" customHeight="true" outlineLevel="0" collapsed="false">
      <c r="A6203" s="0" t="n">
        <v>2</v>
      </c>
      <c r="B6203" s="71" t="n">
        <v>46249</v>
      </c>
      <c r="C6203" s="0" t="n">
        <v>11</v>
      </c>
      <c r="D6203" s="0" t="s">
        <v>2471</v>
      </c>
      <c r="E6203" s="0" t="n">
        <v>1718</v>
      </c>
      <c r="F6203" s="0" t="s">
        <v>236</v>
      </c>
      <c r="I6203" s="0" t="n">
        <v>689224</v>
      </c>
      <c r="J6203" s="0" t="n">
        <v>75086</v>
      </c>
      <c r="K6203" s="0" t="n">
        <v>7622202256721</v>
      </c>
      <c r="L6203" s="0" t="s">
        <v>4826</v>
      </c>
      <c r="N6203" s="0" t="n">
        <v>12</v>
      </c>
      <c r="O6203" s="0" t="n">
        <v>44.87</v>
      </c>
      <c r="P6203" s="0" t="s">
        <v>2444</v>
      </c>
    </row>
    <row r="6204" customFormat="false" ht="15" hidden="false" customHeight="true" outlineLevel="0" collapsed="false">
      <c r="A6204" s="0" t="n">
        <v>2</v>
      </c>
      <c r="B6204" s="71" t="n">
        <v>46249</v>
      </c>
      <c r="C6204" s="0" t="n">
        <v>11</v>
      </c>
      <c r="D6204" s="0" t="s">
        <v>2471</v>
      </c>
      <c r="E6204" s="0" t="n">
        <v>1718</v>
      </c>
      <c r="F6204" s="0" t="s">
        <v>236</v>
      </c>
      <c r="I6204" s="0" t="n">
        <v>689224</v>
      </c>
      <c r="J6204" s="0" t="n">
        <v>75087</v>
      </c>
      <c r="K6204" s="0" t="n">
        <v>7622202258459</v>
      </c>
      <c r="L6204" s="0" t="s">
        <v>4827</v>
      </c>
      <c r="N6204" s="0" t="n">
        <v>12</v>
      </c>
      <c r="O6204" s="0" t="n">
        <v>44.87</v>
      </c>
      <c r="P6204" s="0" t="s">
        <v>2444</v>
      </c>
    </row>
    <row r="6205" customFormat="false" ht="15" hidden="false" customHeight="true" outlineLevel="0" collapsed="false">
      <c r="A6205" s="0" t="n">
        <v>2</v>
      </c>
      <c r="B6205" s="71" t="n">
        <v>46249</v>
      </c>
      <c r="C6205" s="0" t="n">
        <v>11</v>
      </c>
      <c r="D6205" s="0" t="s">
        <v>2471</v>
      </c>
      <c r="E6205" s="0" t="n">
        <v>1718</v>
      </c>
      <c r="F6205" s="0" t="s">
        <v>236</v>
      </c>
      <c r="I6205" s="0" t="n">
        <v>689224</v>
      </c>
      <c r="J6205" s="0" t="n">
        <v>79825</v>
      </c>
      <c r="K6205" s="0" t="n">
        <v>7622210674357</v>
      </c>
      <c r="L6205" s="0" t="s">
        <v>3426</v>
      </c>
      <c r="N6205" s="0" t="n">
        <v>17</v>
      </c>
      <c r="O6205" s="0" t="n">
        <v>139.9</v>
      </c>
      <c r="P6205" s="0" t="s">
        <v>2444</v>
      </c>
    </row>
    <row r="6206" customFormat="false" ht="15" hidden="false" customHeight="true" outlineLevel="0" collapsed="false">
      <c r="A6206" s="0" t="n">
        <v>2</v>
      </c>
      <c r="B6206" s="71" t="n">
        <v>46249</v>
      </c>
      <c r="C6206" s="0" t="n">
        <v>11</v>
      </c>
      <c r="D6206" s="0" t="s">
        <v>2471</v>
      </c>
      <c r="E6206" s="0" t="n">
        <v>1718</v>
      </c>
      <c r="F6206" s="0" t="s">
        <v>236</v>
      </c>
      <c r="I6206" s="0" t="n">
        <v>689224</v>
      </c>
      <c r="J6206" s="0" t="n">
        <v>80212</v>
      </c>
      <c r="K6206" s="0" t="n">
        <v>7622202327056</v>
      </c>
      <c r="L6206" s="0" t="s">
        <v>4828</v>
      </c>
      <c r="N6206" s="0" t="n">
        <v>15</v>
      </c>
      <c r="O6206" s="0" t="n">
        <v>75.3</v>
      </c>
      <c r="P6206" s="0" t="s">
        <v>2444</v>
      </c>
    </row>
    <row r="6207" customFormat="false" ht="15" hidden="false" customHeight="true" outlineLevel="0" collapsed="false">
      <c r="A6207" s="0" t="n">
        <v>2</v>
      </c>
      <c r="B6207" s="71" t="n">
        <v>46249</v>
      </c>
      <c r="C6207" s="0" t="n">
        <v>11</v>
      </c>
      <c r="D6207" s="0" t="s">
        <v>2471</v>
      </c>
      <c r="E6207" s="0" t="n">
        <v>1718</v>
      </c>
      <c r="F6207" s="0" t="s">
        <v>236</v>
      </c>
      <c r="I6207" s="0" t="n">
        <v>689224</v>
      </c>
      <c r="J6207" s="0" t="n">
        <v>81768</v>
      </c>
      <c r="K6207" s="0" t="n">
        <v>78949416</v>
      </c>
      <c r="L6207" s="0" t="s">
        <v>4348</v>
      </c>
      <c r="N6207" s="0" t="n">
        <v>63</v>
      </c>
      <c r="O6207" s="0" t="n">
        <v>84.21</v>
      </c>
      <c r="P6207" s="0" t="s">
        <v>2444</v>
      </c>
    </row>
    <row r="6208" customFormat="false" ht="15" hidden="false" customHeight="true" outlineLevel="0" collapsed="false">
      <c r="A6208" s="0" t="n">
        <v>2</v>
      </c>
      <c r="B6208" s="71" t="n">
        <v>46249</v>
      </c>
      <c r="C6208" s="0" t="n">
        <v>11</v>
      </c>
      <c r="D6208" s="0" t="s">
        <v>2471</v>
      </c>
      <c r="E6208" s="0" t="n">
        <v>1636</v>
      </c>
      <c r="F6208" s="0" t="s">
        <v>61</v>
      </c>
      <c r="I6208" s="0" t="n">
        <v>3237036</v>
      </c>
      <c r="J6208" s="0" t="n">
        <v>14767</v>
      </c>
      <c r="K6208" s="0" t="n">
        <v>7896036095096</v>
      </c>
      <c r="L6208" s="0" t="s">
        <v>3278</v>
      </c>
      <c r="N6208" s="0" t="n">
        <v>27</v>
      </c>
      <c r="O6208" s="0" t="n">
        <v>71.82</v>
      </c>
      <c r="P6208" s="0" t="s">
        <v>2444</v>
      </c>
    </row>
    <row r="6209" customFormat="false" ht="15" hidden="false" customHeight="true" outlineLevel="0" collapsed="false">
      <c r="A6209" s="0" t="n">
        <v>2</v>
      </c>
      <c r="B6209" s="71" t="n">
        <v>46249</v>
      </c>
      <c r="C6209" s="0" t="n">
        <v>11</v>
      </c>
      <c r="D6209" s="0" t="s">
        <v>2471</v>
      </c>
      <c r="E6209" s="0" t="n">
        <v>1636</v>
      </c>
      <c r="F6209" s="0" t="s">
        <v>61</v>
      </c>
      <c r="I6209" s="0" t="n">
        <v>3237036</v>
      </c>
      <c r="J6209" s="0" t="n">
        <v>14874</v>
      </c>
      <c r="K6209" s="0" t="n">
        <v>7896036095102</v>
      </c>
      <c r="L6209" s="0" t="s">
        <v>3279</v>
      </c>
      <c r="N6209" s="0" t="n">
        <v>24</v>
      </c>
      <c r="O6209" s="0" t="n">
        <v>108.72</v>
      </c>
      <c r="P6209" s="0" t="s">
        <v>2444</v>
      </c>
    </row>
    <row r="6210" customFormat="false" ht="15" hidden="false" customHeight="true" outlineLevel="0" collapsed="false">
      <c r="A6210" s="0" t="n">
        <v>2</v>
      </c>
      <c r="B6210" s="71" t="n">
        <v>46249</v>
      </c>
      <c r="C6210" s="0" t="n">
        <v>11</v>
      </c>
      <c r="D6210" s="0" t="s">
        <v>2471</v>
      </c>
      <c r="E6210" s="0" t="n">
        <v>1636</v>
      </c>
      <c r="F6210" s="0" t="s">
        <v>61</v>
      </c>
      <c r="I6210" s="0" t="n">
        <v>3237036</v>
      </c>
      <c r="J6210" s="0" t="n">
        <v>15633</v>
      </c>
      <c r="K6210" s="0" t="n">
        <v>7896036090619</v>
      </c>
      <c r="L6210" s="0" t="s">
        <v>3281</v>
      </c>
      <c r="N6210" s="0" t="n">
        <v>3</v>
      </c>
      <c r="O6210" s="0" t="n">
        <v>45.94</v>
      </c>
      <c r="P6210" s="0" t="s">
        <v>2444</v>
      </c>
    </row>
    <row r="6211" customFormat="false" ht="15" hidden="false" customHeight="true" outlineLevel="0" collapsed="false">
      <c r="A6211" s="0" t="n">
        <v>2</v>
      </c>
      <c r="B6211" s="71" t="n">
        <v>46249</v>
      </c>
      <c r="C6211" s="0" t="n">
        <v>11</v>
      </c>
      <c r="D6211" s="0" t="s">
        <v>2471</v>
      </c>
      <c r="E6211" s="0" t="n">
        <v>1636</v>
      </c>
      <c r="F6211" s="0" t="s">
        <v>61</v>
      </c>
      <c r="I6211" s="0" t="n">
        <v>3237036</v>
      </c>
      <c r="J6211" s="0" t="n">
        <v>18509</v>
      </c>
      <c r="K6211" s="0" t="n">
        <v>7896036094815</v>
      </c>
      <c r="L6211" s="0" t="s">
        <v>3282</v>
      </c>
      <c r="N6211" s="0" t="n">
        <v>24</v>
      </c>
      <c r="O6211" s="0" t="n">
        <v>47.76</v>
      </c>
      <c r="P6211" s="0" t="s">
        <v>2444</v>
      </c>
    </row>
    <row r="6212" customFormat="false" ht="15" hidden="false" customHeight="true" outlineLevel="0" collapsed="false">
      <c r="A6212" s="0" t="n">
        <v>2</v>
      </c>
      <c r="B6212" s="71" t="n">
        <v>46249</v>
      </c>
      <c r="C6212" s="0" t="n">
        <v>11</v>
      </c>
      <c r="D6212" s="0" t="s">
        <v>2471</v>
      </c>
      <c r="E6212" s="0" t="n">
        <v>1636</v>
      </c>
      <c r="F6212" s="0" t="s">
        <v>61</v>
      </c>
      <c r="I6212" s="0" t="n">
        <v>3237036</v>
      </c>
      <c r="J6212" s="0" t="n">
        <v>37266</v>
      </c>
      <c r="K6212" s="0" t="n">
        <v>7896036098325</v>
      </c>
      <c r="L6212" s="0" t="s">
        <v>4829</v>
      </c>
      <c r="N6212" s="0" t="n">
        <v>6</v>
      </c>
      <c r="O6212" s="0" t="n">
        <v>64.75</v>
      </c>
      <c r="P6212" s="0" t="s">
        <v>2444</v>
      </c>
    </row>
    <row r="6213" customFormat="false" ht="15" hidden="false" customHeight="true" outlineLevel="0" collapsed="false">
      <c r="A6213" s="0" t="n">
        <v>2</v>
      </c>
      <c r="B6213" s="71" t="n">
        <v>46249</v>
      </c>
      <c r="C6213" s="0" t="n">
        <v>11</v>
      </c>
      <c r="D6213" s="0" t="s">
        <v>2471</v>
      </c>
      <c r="E6213" s="0" t="n">
        <v>1636</v>
      </c>
      <c r="F6213" s="0" t="s">
        <v>61</v>
      </c>
      <c r="I6213" s="0" t="n">
        <v>3237036</v>
      </c>
      <c r="J6213" s="0" t="n">
        <v>57653</v>
      </c>
      <c r="K6213" s="0" t="n">
        <v>7896036000809</v>
      </c>
      <c r="L6213" s="0" t="s">
        <v>4830</v>
      </c>
      <c r="N6213" s="0" t="n">
        <v>12</v>
      </c>
      <c r="O6213" s="0" t="n">
        <v>57.89</v>
      </c>
      <c r="P6213" s="0" t="s">
        <v>2444</v>
      </c>
    </row>
    <row r="6214" customFormat="false" ht="15" hidden="false" customHeight="true" outlineLevel="0" collapsed="false">
      <c r="A6214" s="0" t="n">
        <v>2</v>
      </c>
      <c r="B6214" s="71" t="n">
        <v>46249</v>
      </c>
      <c r="C6214" s="0" t="n">
        <v>11</v>
      </c>
      <c r="D6214" s="0" t="s">
        <v>2471</v>
      </c>
      <c r="E6214" s="0" t="n">
        <v>1636</v>
      </c>
      <c r="F6214" s="0" t="s">
        <v>61</v>
      </c>
      <c r="I6214" s="0" t="n">
        <v>3237036</v>
      </c>
      <c r="J6214" s="0" t="n">
        <v>58730</v>
      </c>
      <c r="K6214" s="0" t="n">
        <v>7896036000717</v>
      </c>
      <c r="L6214" s="0" t="s">
        <v>4831</v>
      </c>
      <c r="N6214" s="0" t="n">
        <v>6</v>
      </c>
      <c r="O6214" s="0" t="n">
        <v>37.36</v>
      </c>
      <c r="P6214" s="0" t="s">
        <v>2444</v>
      </c>
    </row>
    <row r="6215" customFormat="false" ht="15" hidden="false" customHeight="true" outlineLevel="0" collapsed="false">
      <c r="A6215" s="0" t="n">
        <v>2</v>
      </c>
      <c r="B6215" s="71" t="n">
        <v>46249</v>
      </c>
      <c r="C6215" s="0" t="n">
        <v>11</v>
      </c>
      <c r="D6215" s="0" t="s">
        <v>2471</v>
      </c>
      <c r="E6215" s="0" t="n">
        <v>1636</v>
      </c>
      <c r="F6215" s="0" t="s">
        <v>61</v>
      </c>
      <c r="I6215" s="0" t="n">
        <v>3237036</v>
      </c>
      <c r="J6215" s="0" t="n">
        <v>66069</v>
      </c>
      <c r="K6215" s="0" t="n">
        <v>7896004010076</v>
      </c>
      <c r="L6215" s="0" t="s">
        <v>3291</v>
      </c>
      <c r="N6215" s="0" t="n">
        <v>60</v>
      </c>
      <c r="O6215" s="0" t="n">
        <v>275.63</v>
      </c>
      <c r="P6215" s="0" t="s">
        <v>2444</v>
      </c>
    </row>
    <row r="6216" customFormat="false" ht="15" hidden="false" customHeight="true" outlineLevel="0" collapsed="false">
      <c r="A6216" s="0" t="n">
        <v>2</v>
      </c>
      <c r="B6216" s="71" t="n">
        <v>46249</v>
      </c>
      <c r="C6216" s="0" t="n">
        <v>11</v>
      </c>
      <c r="D6216" s="0" t="s">
        <v>2471</v>
      </c>
      <c r="E6216" s="0" t="n">
        <v>1636</v>
      </c>
      <c r="F6216" s="0" t="s">
        <v>61</v>
      </c>
      <c r="I6216" s="0" t="n">
        <v>3237036</v>
      </c>
      <c r="J6216" s="0" t="n">
        <v>82077</v>
      </c>
      <c r="K6216" s="0" t="n">
        <v>7891167831810</v>
      </c>
      <c r="L6216" s="0" t="s">
        <v>4832</v>
      </c>
      <c r="N6216" s="0" t="n">
        <v>4</v>
      </c>
      <c r="O6216" s="0" t="n">
        <v>38.45</v>
      </c>
      <c r="P6216" s="0" t="s">
        <v>2444</v>
      </c>
    </row>
    <row r="6217" customFormat="false" ht="15" hidden="false" customHeight="true" outlineLevel="0" collapsed="false">
      <c r="A6217" s="0" t="n">
        <v>2</v>
      </c>
      <c r="B6217" s="71" t="n">
        <v>46251</v>
      </c>
      <c r="C6217" s="0" t="n">
        <v>6</v>
      </c>
      <c r="D6217" s="0" t="s">
        <v>2553</v>
      </c>
      <c r="E6217" s="0" t="n">
        <v>48</v>
      </c>
      <c r="F6217" s="0" t="s">
        <v>153</v>
      </c>
      <c r="I6217" s="0" t="n">
        <v>2609</v>
      </c>
      <c r="J6217" s="0" t="n">
        <v>42564</v>
      </c>
      <c r="K6217" s="0" t="n">
        <v>574</v>
      </c>
      <c r="L6217" s="0" t="s">
        <v>2534</v>
      </c>
      <c r="N6217" s="0" t="n">
        <v>15</v>
      </c>
      <c r="O6217" s="0" t="n">
        <v>225</v>
      </c>
      <c r="P6217" s="0" t="s">
        <v>2444</v>
      </c>
    </row>
    <row r="6218" customFormat="false" ht="15" hidden="false" customHeight="true" outlineLevel="0" collapsed="false">
      <c r="A6218" s="0" t="n">
        <v>2</v>
      </c>
      <c r="B6218" s="71" t="n">
        <v>46251</v>
      </c>
      <c r="C6218" s="0" t="n">
        <v>11</v>
      </c>
      <c r="D6218" s="0" t="s">
        <v>2471</v>
      </c>
      <c r="E6218" s="0" t="n">
        <v>10096</v>
      </c>
      <c r="F6218" s="0" t="s">
        <v>622</v>
      </c>
      <c r="I6218" s="0" t="n">
        <v>181</v>
      </c>
      <c r="J6218" s="0" t="n">
        <v>61580</v>
      </c>
      <c r="K6218" s="0" t="n">
        <v>2258157</v>
      </c>
      <c r="L6218" s="0" t="s">
        <v>2509</v>
      </c>
      <c r="N6218" s="0" t="n">
        <v>10</v>
      </c>
      <c r="O6218" s="0" t="n">
        <v>120</v>
      </c>
      <c r="P6218" s="0" t="s">
        <v>2444</v>
      </c>
    </row>
    <row r="6219" customFormat="false" ht="15" hidden="false" customHeight="true" outlineLevel="0" collapsed="false">
      <c r="A6219" s="0" t="n">
        <v>2</v>
      </c>
      <c r="B6219" s="71" t="n">
        <v>46251</v>
      </c>
      <c r="C6219" s="0" t="n">
        <v>11</v>
      </c>
      <c r="D6219" s="0" t="s">
        <v>2471</v>
      </c>
      <c r="E6219" s="0" t="n">
        <v>10096</v>
      </c>
      <c r="F6219" s="0" t="s">
        <v>622</v>
      </c>
      <c r="I6219" s="0" t="n">
        <v>181</v>
      </c>
      <c r="J6219" s="0" t="n">
        <v>61597</v>
      </c>
      <c r="K6219" s="0" t="n">
        <v>2258188</v>
      </c>
      <c r="L6219" s="0" t="s">
        <v>2510</v>
      </c>
      <c r="N6219" s="0" t="n">
        <v>5</v>
      </c>
      <c r="O6219" s="0" t="n">
        <v>20</v>
      </c>
      <c r="P6219" s="0" t="s">
        <v>2444</v>
      </c>
    </row>
    <row r="6220" customFormat="false" ht="15" hidden="false" customHeight="true" outlineLevel="0" collapsed="false">
      <c r="A6220" s="0" t="n">
        <v>2</v>
      </c>
      <c r="B6220" s="71" t="n">
        <v>46251</v>
      </c>
      <c r="C6220" s="0" t="n">
        <v>11</v>
      </c>
      <c r="D6220" s="0" t="s">
        <v>2471</v>
      </c>
      <c r="E6220" s="0" t="n">
        <v>1363</v>
      </c>
      <c r="F6220" s="0" t="s">
        <v>174</v>
      </c>
      <c r="I6220" s="0" t="n">
        <v>3728</v>
      </c>
      <c r="J6220" s="0" t="n">
        <v>73511</v>
      </c>
      <c r="K6220" s="0" t="n">
        <v>609963171019</v>
      </c>
      <c r="L6220" s="0" t="s">
        <v>2585</v>
      </c>
      <c r="N6220" s="0" t="n">
        <v>3</v>
      </c>
      <c r="O6220" s="0" t="n">
        <v>18</v>
      </c>
      <c r="P6220" s="0" t="s">
        <v>2444</v>
      </c>
    </row>
    <row r="6221" customFormat="false" ht="15" hidden="false" customHeight="true" outlineLevel="0" collapsed="false">
      <c r="A6221" s="0" t="n">
        <v>2</v>
      </c>
      <c r="B6221" s="71" t="n">
        <v>46251</v>
      </c>
      <c r="C6221" s="0" t="n">
        <v>11</v>
      </c>
      <c r="D6221" s="0" t="s">
        <v>2471</v>
      </c>
      <c r="E6221" s="0" t="n">
        <v>1363</v>
      </c>
      <c r="F6221" s="0" t="s">
        <v>174</v>
      </c>
      <c r="I6221" s="0" t="n">
        <v>3728</v>
      </c>
      <c r="J6221" s="0" t="n">
        <v>65493</v>
      </c>
      <c r="K6221" s="0" t="n">
        <v>609963171002</v>
      </c>
      <c r="L6221" s="0" t="s">
        <v>2586</v>
      </c>
      <c r="N6221" s="0" t="n">
        <v>3</v>
      </c>
      <c r="O6221" s="0" t="n">
        <v>18</v>
      </c>
      <c r="P6221" s="0" t="s">
        <v>2444</v>
      </c>
    </row>
    <row r="6222" customFormat="false" ht="15" hidden="false" customHeight="true" outlineLevel="0" collapsed="false">
      <c r="A6222" s="0" t="n">
        <v>2</v>
      </c>
      <c r="B6222" s="71" t="n">
        <v>46251</v>
      </c>
      <c r="C6222" s="0" t="n">
        <v>11</v>
      </c>
      <c r="D6222" s="0" t="s">
        <v>2471</v>
      </c>
      <c r="E6222" s="0" t="n">
        <v>1363</v>
      </c>
      <c r="F6222" s="0" t="s">
        <v>174</v>
      </c>
      <c r="I6222" s="0" t="n">
        <v>3728</v>
      </c>
      <c r="J6222" s="0" t="n">
        <v>65494</v>
      </c>
      <c r="K6222" s="0" t="n">
        <v>618231677535</v>
      </c>
      <c r="L6222" s="0" t="s">
        <v>2587</v>
      </c>
      <c r="N6222" s="0" t="n">
        <v>9</v>
      </c>
      <c r="O6222" s="0" t="n">
        <v>54</v>
      </c>
      <c r="P6222" s="0" t="s">
        <v>2444</v>
      </c>
    </row>
    <row r="6223" customFormat="false" ht="15" hidden="false" customHeight="true" outlineLevel="0" collapsed="false">
      <c r="A6223" s="0" t="n">
        <v>2</v>
      </c>
      <c r="B6223" s="71" t="n">
        <v>46251</v>
      </c>
      <c r="C6223" s="0" t="n">
        <v>11</v>
      </c>
      <c r="D6223" s="0" t="s">
        <v>2471</v>
      </c>
      <c r="E6223" s="0" t="n">
        <v>1363</v>
      </c>
      <c r="F6223" s="0" t="s">
        <v>174</v>
      </c>
      <c r="I6223" s="0" t="n">
        <v>3728</v>
      </c>
      <c r="J6223" s="0" t="n">
        <v>65496</v>
      </c>
      <c r="K6223" s="0" t="n">
        <v>618231677528</v>
      </c>
      <c r="L6223" s="0" t="s">
        <v>2588</v>
      </c>
      <c r="N6223" s="0" t="n">
        <v>4</v>
      </c>
      <c r="O6223" s="0" t="n">
        <v>24</v>
      </c>
      <c r="P6223" s="0" t="s">
        <v>2444</v>
      </c>
    </row>
    <row r="6224" customFormat="false" ht="15" hidden="false" customHeight="true" outlineLevel="0" collapsed="false">
      <c r="A6224" s="0" t="n">
        <v>2</v>
      </c>
      <c r="B6224" s="71" t="n">
        <v>46251</v>
      </c>
      <c r="C6224" s="0" t="n">
        <v>11</v>
      </c>
      <c r="D6224" s="0" t="s">
        <v>2471</v>
      </c>
      <c r="E6224" s="0" t="n">
        <v>1363</v>
      </c>
      <c r="F6224" s="0" t="s">
        <v>174</v>
      </c>
      <c r="I6224" s="0" t="n">
        <v>3728</v>
      </c>
      <c r="J6224" s="0" t="n">
        <v>65621</v>
      </c>
      <c r="K6224" s="0" t="n">
        <v>618231677504</v>
      </c>
      <c r="L6224" s="0" t="s">
        <v>2589</v>
      </c>
      <c r="N6224" s="0" t="n">
        <v>4</v>
      </c>
      <c r="O6224" s="0" t="n">
        <v>28</v>
      </c>
      <c r="P6224" s="0" t="s">
        <v>2444</v>
      </c>
    </row>
    <row r="6225" customFormat="false" ht="15" hidden="false" customHeight="true" outlineLevel="0" collapsed="false">
      <c r="A6225" s="0" t="n">
        <v>2</v>
      </c>
      <c r="B6225" s="71" t="n">
        <v>46251</v>
      </c>
      <c r="C6225" s="0" t="n">
        <v>11</v>
      </c>
      <c r="D6225" s="0" t="s">
        <v>2471</v>
      </c>
      <c r="E6225" s="0" t="n">
        <v>1625</v>
      </c>
      <c r="F6225" s="0" t="s">
        <v>270</v>
      </c>
      <c r="I6225" s="0" t="n">
        <v>15061</v>
      </c>
      <c r="J6225" s="0" t="n">
        <v>29079</v>
      </c>
      <c r="K6225" s="0" t="n">
        <v>55515</v>
      </c>
      <c r="L6225" s="0" t="s">
        <v>2449</v>
      </c>
      <c r="N6225" s="0" t="n">
        <v>69.6</v>
      </c>
      <c r="O6225" s="0" t="n">
        <v>2262</v>
      </c>
      <c r="P6225" s="0" t="s">
        <v>2444</v>
      </c>
    </row>
    <row r="6226" customFormat="false" ht="15" hidden="false" customHeight="true" outlineLevel="0" collapsed="false">
      <c r="A6226" s="0" t="n">
        <v>2</v>
      </c>
      <c r="B6226" s="71" t="n">
        <v>46251</v>
      </c>
      <c r="C6226" s="0" t="n">
        <v>11</v>
      </c>
      <c r="D6226" s="0" t="s">
        <v>2471</v>
      </c>
      <c r="E6226" s="0" t="n">
        <v>1625</v>
      </c>
      <c r="F6226" s="0" t="s">
        <v>270</v>
      </c>
      <c r="I6226" s="0" t="n">
        <v>15061</v>
      </c>
      <c r="J6226" s="0" t="n">
        <v>29080</v>
      </c>
      <c r="K6226" s="0" t="n">
        <v>55516</v>
      </c>
      <c r="L6226" s="0" t="s">
        <v>2450</v>
      </c>
      <c r="N6226" s="0" t="n">
        <v>53.8</v>
      </c>
      <c r="O6226" s="0" t="n">
        <v>1210.5</v>
      </c>
      <c r="P6226" s="0" t="s">
        <v>2444</v>
      </c>
    </row>
    <row r="6227" customFormat="false" ht="15" hidden="false" customHeight="true" outlineLevel="0" collapsed="false">
      <c r="A6227" s="0" t="n">
        <v>2</v>
      </c>
      <c r="B6227" s="71" t="n">
        <v>46251</v>
      </c>
      <c r="C6227" s="0" t="n">
        <v>11</v>
      </c>
      <c r="D6227" s="0" t="s">
        <v>2471</v>
      </c>
      <c r="E6227" s="0" t="n">
        <v>1921</v>
      </c>
      <c r="F6227" s="0" t="s">
        <v>167</v>
      </c>
      <c r="I6227" s="0" t="n">
        <v>21279</v>
      </c>
      <c r="J6227" s="0" t="n">
        <v>45856</v>
      </c>
      <c r="K6227" s="0" t="n">
        <v>7899085120443</v>
      </c>
      <c r="L6227" s="0" t="s">
        <v>3909</v>
      </c>
      <c r="N6227" s="0" t="n">
        <v>30</v>
      </c>
      <c r="O6227" s="0" t="n">
        <v>63</v>
      </c>
      <c r="P6227" s="0" t="s">
        <v>2444</v>
      </c>
    </row>
    <row r="6228" customFormat="false" ht="15" hidden="false" customHeight="true" outlineLevel="0" collapsed="false">
      <c r="A6228" s="0" t="n">
        <v>2</v>
      </c>
      <c r="B6228" s="71" t="n">
        <v>46251</v>
      </c>
      <c r="C6228" s="0" t="n">
        <v>11</v>
      </c>
      <c r="D6228" s="0" t="s">
        <v>2471</v>
      </c>
      <c r="E6228" s="0" t="n">
        <v>1921</v>
      </c>
      <c r="F6228" s="0" t="s">
        <v>167</v>
      </c>
      <c r="I6228" s="0" t="n">
        <v>21279</v>
      </c>
      <c r="J6228" s="0" t="n">
        <v>46077</v>
      </c>
      <c r="K6228" s="0" t="n">
        <v>7899085120221</v>
      </c>
      <c r="L6228" s="0" t="s">
        <v>2666</v>
      </c>
      <c r="N6228" s="0" t="n">
        <v>20</v>
      </c>
      <c r="O6228" s="0" t="n">
        <v>40.15</v>
      </c>
      <c r="P6228" s="0" t="s">
        <v>2444</v>
      </c>
    </row>
    <row r="6229" customFormat="false" ht="15" hidden="false" customHeight="true" outlineLevel="0" collapsed="false">
      <c r="A6229" s="0" t="n">
        <v>2</v>
      </c>
      <c r="B6229" s="71" t="n">
        <v>46251</v>
      </c>
      <c r="C6229" s="0" t="n">
        <v>11</v>
      </c>
      <c r="D6229" s="0" t="s">
        <v>2471</v>
      </c>
      <c r="E6229" s="0" t="n">
        <v>1921</v>
      </c>
      <c r="F6229" s="0" t="s">
        <v>167</v>
      </c>
      <c r="I6229" s="0" t="n">
        <v>21279</v>
      </c>
      <c r="J6229" s="0" t="n">
        <v>46078</v>
      </c>
      <c r="K6229" s="0" t="n">
        <v>7899085120016</v>
      </c>
      <c r="L6229" s="0" t="s">
        <v>2667</v>
      </c>
      <c r="N6229" s="0" t="n">
        <v>20</v>
      </c>
      <c r="O6229" s="0" t="n">
        <v>48.75</v>
      </c>
      <c r="P6229" s="0" t="s">
        <v>2444</v>
      </c>
    </row>
    <row r="6230" customFormat="false" ht="15" hidden="false" customHeight="true" outlineLevel="0" collapsed="false">
      <c r="A6230" s="0" t="n">
        <v>2</v>
      </c>
      <c r="B6230" s="71" t="n">
        <v>46251</v>
      </c>
      <c r="C6230" s="0" t="n">
        <v>11</v>
      </c>
      <c r="D6230" s="0" t="s">
        <v>2471</v>
      </c>
      <c r="E6230" s="0" t="n">
        <v>1921</v>
      </c>
      <c r="F6230" s="0" t="s">
        <v>167</v>
      </c>
      <c r="I6230" s="0" t="n">
        <v>21279</v>
      </c>
      <c r="J6230" s="0" t="n">
        <v>46088</v>
      </c>
      <c r="K6230" s="0" t="n">
        <v>7899085120269</v>
      </c>
      <c r="L6230" s="0" t="s">
        <v>2670</v>
      </c>
      <c r="N6230" s="0" t="n">
        <v>10</v>
      </c>
      <c r="O6230" s="0" t="n">
        <v>41.42</v>
      </c>
      <c r="P6230" s="0" t="s">
        <v>2444</v>
      </c>
    </row>
    <row r="6231" customFormat="false" ht="15" hidden="false" customHeight="true" outlineLevel="0" collapsed="false">
      <c r="A6231" s="0" t="n">
        <v>2</v>
      </c>
      <c r="B6231" s="71" t="n">
        <v>46251</v>
      </c>
      <c r="C6231" s="0" t="n">
        <v>11</v>
      </c>
      <c r="D6231" s="0" t="s">
        <v>2471</v>
      </c>
      <c r="E6231" s="0" t="n">
        <v>1921</v>
      </c>
      <c r="F6231" s="0" t="s">
        <v>167</v>
      </c>
      <c r="I6231" s="0" t="n">
        <v>21279</v>
      </c>
      <c r="J6231" s="0" t="n">
        <v>46095</v>
      </c>
      <c r="K6231" s="0" t="n">
        <v>7899085120641</v>
      </c>
      <c r="L6231" s="0" t="s">
        <v>3910</v>
      </c>
      <c r="N6231" s="0" t="n">
        <v>20</v>
      </c>
      <c r="O6231" s="0" t="n">
        <v>41.22</v>
      </c>
      <c r="P6231" s="0" t="s">
        <v>2444</v>
      </c>
    </row>
    <row r="6232" customFormat="false" ht="15" hidden="false" customHeight="true" outlineLevel="0" collapsed="false">
      <c r="A6232" s="0" t="n">
        <v>2</v>
      </c>
      <c r="B6232" s="71" t="n">
        <v>46251</v>
      </c>
      <c r="C6232" s="0" t="n">
        <v>11</v>
      </c>
      <c r="D6232" s="0" t="s">
        <v>2471</v>
      </c>
      <c r="E6232" s="0" t="n">
        <v>1921</v>
      </c>
      <c r="F6232" s="0" t="s">
        <v>167</v>
      </c>
      <c r="I6232" s="0" t="n">
        <v>21279</v>
      </c>
      <c r="J6232" s="0" t="n">
        <v>47041</v>
      </c>
      <c r="K6232" s="0" t="n">
        <v>7899085120252</v>
      </c>
      <c r="L6232" s="0" t="s">
        <v>4833</v>
      </c>
      <c r="N6232" s="0" t="n">
        <v>20</v>
      </c>
      <c r="O6232" s="0" t="n">
        <v>78.83</v>
      </c>
      <c r="P6232" s="0" t="s">
        <v>2444</v>
      </c>
    </row>
    <row r="6233" customFormat="false" ht="15" hidden="false" customHeight="true" outlineLevel="0" collapsed="false">
      <c r="A6233" s="0" t="n">
        <v>2</v>
      </c>
      <c r="B6233" s="71" t="n">
        <v>46251</v>
      </c>
      <c r="C6233" s="0" t="n">
        <v>11</v>
      </c>
      <c r="D6233" s="0" t="s">
        <v>2471</v>
      </c>
      <c r="E6233" s="0" t="n">
        <v>1921</v>
      </c>
      <c r="F6233" s="0" t="s">
        <v>167</v>
      </c>
      <c r="I6233" s="0" t="n">
        <v>21279</v>
      </c>
      <c r="J6233" s="0" t="n">
        <v>47042</v>
      </c>
      <c r="K6233" s="0" t="n">
        <v>7899085120061</v>
      </c>
      <c r="L6233" s="0" t="s">
        <v>3912</v>
      </c>
      <c r="N6233" s="0" t="n">
        <v>20</v>
      </c>
      <c r="O6233" s="0" t="n">
        <v>34.78</v>
      </c>
      <c r="P6233" s="0" t="s">
        <v>2444</v>
      </c>
    </row>
    <row r="6234" customFormat="false" ht="15" hidden="false" customHeight="true" outlineLevel="0" collapsed="false">
      <c r="A6234" s="0" t="n">
        <v>2</v>
      </c>
      <c r="B6234" s="71" t="n">
        <v>46251</v>
      </c>
      <c r="C6234" s="0" t="n">
        <v>11</v>
      </c>
      <c r="D6234" s="0" t="s">
        <v>2471</v>
      </c>
      <c r="E6234" s="0" t="n">
        <v>1921</v>
      </c>
      <c r="F6234" s="0" t="s">
        <v>167</v>
      </c>
      <c r="I6234" s="0" t="n">
        <v>21279</v>
      </c>
      <c r="J6234" s="0" t="n">
        <v>47044</v>
      </c>
      <c r="K6234" s="0" t="n">
        <v>7899085120290</v>
      </c>
      <c r="L6234" s="0" t="s">
        <v>3913</v>
      </c>
      <c r="N6234" s="0" t="n">
        <v>20</v>
      </c>
      <c r="O6234" s="0" t="n">
        <v>51.98</v>
      </c>
      <c r="P6234" s="0" t="s">
        <v>2444</v>
      </c>
    </row>
    <row r="6235" customFormat="false" ht="15" hidden="false" customHeight="true" outlineLevel="0" collapsed="false">
      <c r="A6235" s="0" t="n">
        <v>2</v>
      </c>
      <c r="B6235" s="71" t="n">
        <v>46251</v>
      </c>
      <c r="C6235" s="0" t="n">
        <v>11</v>
      </c>
      <c r="D6235" s="0" t="s">
        <v>2471</v>
      </c>
      <c r="E6235" s="0" t="n">
        <v>1921</v>
      </c>
      <c r="F6235" s="0" t="s">
        <v>167</v>
      </c>
      <c r="I6235" s="0" t="n">
        <v>21279</v>
      </c>
      <c r="J6235" s="0" t="n">
        <v>47045</v>
      </c>
      <c r="K6235" s="0" t="n">
        <v>7899085120351</v>
      </c>
      <c r="L6235" s="0" t="s">
        <v>2677</v>
      </c>
      <c r="N6235" s="0" t="n">
        <v>20</v>
      </c>
      <c r="O6235" s="0" t="n">
        <v>44.44</v>
      </c>
      <c r="P6235" s="0" t="s">
        <v>2444</v>
      </c>
    </row>
    <row r="6236" customFormat="false" ht="15" hidden="false" customHeight="true" outlineLevel="0" collapsed="false">
      <c r="A6236" s="0" t="n">
        <v>2</v>
      </c>
      <c r="B6236" s="71" t="n">
        <v>46251</v>
      </c>
      <c r="C6236" s="0" t="n">
        <v>11</v>
      </c>
      <c r="D6236" s="0" t="s">
        <v>2471</v>
      </c>
      <c r="E6236" s="0" t="n">
        <v>1921</v>
      </c>
      <c r="F6236" s="0" t="s">
        <v>167</v>
      </c>
      <c r="I6236" s="0" t="n">
        <v>21279</v>
      </c>
      <c r="J6236" s="0" t="n">
        <v>47047</v>
      </c>
      <c r="K6236" s="0" t="n">
        <v>7899085120108</v>
      </c>
      <c r="L6236" s="0" t="s">
        <v>3914</v>
      </c>
      <c r="N6236" s="0" t="n">
        <v>20</v>
      </c>
      <c r="O6236" s="0" t="n">
        <v>38</v>
      </c>
      <c r="P6236" s="0" t="s">
        <v>2444</v>
      </c>
    </row>
    <row r="6237" customFormat="false" ht="15" hidden="false" customHeight="true" outlineLevel="0" collapsed="false">
      <c r="A6237" s="0" t="n">
        <v>2</v>
      </c>
      <c r="B6237" s="71" t="n">
        <v>46251</v>
      </c>
      <c r="C6237" s="0" t="n">
        <v>11</v>
      </c>
      <c r="D6237" s="0" t="s">
        <v>2471</v>
      </c>
      <c r="E6237" s="0" t="n">
        <v>1921</v>
      </c>
      <c r="F6237" s="0" t="s">
        <v>167</v>
      </c>
      <c r="I6237" s="0" t="n">
        <v>21279</v>
      </c>
      <c r="J6237" s="0" t="n">
        <v>47050</v>
      </c>
      <c r="K6237" s="0" t="n">
        <v>7899085120146</v>
      </c>
      <c r="L6237" s="0" t="s">
        <v>2680</v>
      </c>
      <c r="N6237" s="0" t="n">
        <v>20</v>
      </c>
      <c r="O6237" s="0" t="n">
        <v>38</v>
      </c>
      <c r="P6237" s="0" t="s">
        <v>2444</v>
      </c>
    </row>
    <row r="6238" customFormat="false" ht="15" hidden="false" customHeight="true" outlineLevel="0" collapsed="false">
      <c r="A6238" s="0" t="n">
        <v>2</v>
      </c>
      <c r="B6238" s="71" t="n">
        <v>46251</v>
      </c>
      <c r="C6238" s="0" t="n">
        <v>11</v>
      </c>
      <c r="D6238" s="0" t="s">
        <v>2471</v>
      </c>
      <c r="E6238" s="0" t="n">
        <v>1921</v>
      </c>
      <c r="F6238" s="0" t="s">
        <v>167</v>
      </c>
      <c r="I6238" s="0" t="n">
        <v>21279</v>
      </c>
      <c r="J6238" s="0" t="n">
        <v>47064</v>
      </c>
      <c r="K6238" s="0" t="n">
        <v>7899085120122</v>
      </c>
      <c r="L6238" s="0" t="s">
        <v>2681</v>
      </c>
      <c r="N6238" s="0" t="n">
        <v>20</v>
      </c>
      <c r="O6238" s="0" t="n">
        <v>54.12</v>
      </c>
      <c r="P6238" s="0" t="s">
        <v>2444</v>
      </c>
    </row>
    <row r="6239" customFormat="false" ht="15" hidden="false" customHeight="true" outlineLevel="0" collapsed="false">
      <c r="A6239" s="0" t="n">
        <v>2</v>
      </c>
      <c r="B6239" s="71" t="n">
        <v>46251</v>
      </c>
      <c r="C6239" s="0" t="n">
        <v>11</v>
      </c>
      <c r="D6239" s="0" t="s">
        <v>2471</v>
      </c>
      <c r="E6239" s="0" t="n">
        <v>1921</v>
      </c>
      <c r="F6239" s="0" t="s">
        <v>167</v>
      </c>
      <c r="I6239" s="0" t="n">
        <v>21279</v>
      </c>
      <c r="J6239" s="0" t="n">
        <v>47067</v>
      </c>
      <c r="K6239" s="0" t="n">
        <v>7899085120573</v>
      </c>
      <c r="L6239" s="0" t="s">
        <v>3916</v>
      </c>
      <c r="N6239" s="0" t="n">
        <v>10</v>
      </c>
      <c r="O6239" s="0" t="n">
        <v>34.78</v>
      </c>
      <c r="P6239" s="0" t="s">
        <v>2444</v>
      </c>
    </row>
    <row r="6240" customFormat="false" ht="15" hidden="false" customHeight="true" outlineLevel="0" collapsed="false">
      <c r="A6240" s="0" t="n">
        <v>2</v>
      </c>
      <c r="B6240" s="71" t="n">
        <v>46251</v>
      </c>
      <c r="C6240" s="0" t="n">
        <v>11</v>
      </c>
      <c r="D6240" s="0" t="s">
        <v>2471</v>
      </c>
      <c r="E6240" s="0" t="n">
        <v>1921</v>
      </c>
      <c r="F6240" s="0" t="s">
        <v>167</v>
      </c>
      <c r="I6240" s="0" t="n">
        <v>21279</v>
      </c>
      <c r="J6240" s="0" t="n">
        <v>48073</v>
      </c>
      <c r="K6240" s="0" t="n">
        <v>7899085120634</v>
      </c>
      <c r="L6240" s="0" t="s">
        <v>3917</v>
      </c>
      <c r="N6240" s="0" t="n">
        <v>20</v>
      </c>
      <c r="O6240" s="0" t="n">
        <v>41.22</v>
      </c>
      <c r="P6240" s="0" t="s">
        <v>2444</v>
      </c>
    </row>
    <row r="6241" customFormat="false" ht="15" hidden="false" customHeight="true" outlineLevel="0" collapsed="false">
      <c r="A6241" s="0" t="n">
        <v>2</v>
      </c>
      <c r="B6241" s="71" t="n">
        <v>46251</v>
      </c>
      <c r="C6241" s="0" t="n">
        <v>11</v>
      </c>
      <c r="D6241" s="0" t="s">
        <v>2471</v>
      </c>
      <c r="E6241" s="0" t="n">
        <v>1921</v>
      </c>
      <c r="F6241" s="0" t="s">
        <v>167</v>
      </c>
      <c r="I6241" s="0" t="n">
        <v>21279</v>
      </c>
      <c r="J6241" s="0" t="n">
        <v>49811</v>
      </c>
      <c r="K6241" s="0" t="n">
        <v>7899085120917</v>
      </c>
      <c r="L6241" s="0" t="s">
        <v>3918</v>
      </c>
      <c r="N6241" s="0" t="n">
        <v>20</v>
      </c>
      <c r="O6241" s="0" t="n">
        <v>41.22</v>
      </c>
      <c r="P6241" s="0" t="s">
        <v>2444</v>
      </c>
    </row>
    <row r="6242" customFormat="false" ht="15" hidden="false" customHeight="true" outlineLevel="0" collapsed="false">
      <c r="A6242" s="0" t="n">
        <v>2</v>
      </c>
      <c r="B6242" s="71" t="n">
        <v>46251</v>
      </c>
      <c r="C6242" s="0" t="n">
        <v>11</v>
      </c>
      <c r="D6242" s="0" t="s">
        <v>2471</v>
      </c>
      <c r="E6242" s="0" t="n">
        <v>10017</v>
      </c>
      <c r="F6242" s="0" t="s">
        <v>183</v>
      </c>
      <c r="I6242" s="0" t="n">
        <v>195597</v>
      </c>
      <c r="J6242" s="0" t="n">
        <v>40089</v>
      </c>
      <c r="K6242" s="0" t="n">
        <v>7893596029516</v>
      </c>
      <c r="L6242" s="0" t="s">
        <v>4834</v>
      </c>
      <c r="N6242" s="0" t="n">
        <v>32</v>
      </c>
      <c r="O6242" s="0" t="n">
        <v>83.9</v>
      </c>
      <c r="P6242" s="0" t="s">
        <v>2444</v>
      </c>
    </row>
    <row r="6243" customFormat="false" ht="15" hidden="false" customHeight="true" outlineLevel="0" collapsed="false">
      <c r="A6243" s="0" t="n">
        <v>2</v>
      </c>
      <c r="B6243" s="71" t="n">
        <v>46251</v>
      </c>
      <c r="C6243" s="0" t="n">
        <v>11</v>
      </c>
      <c r="D6243" s="0" t="s">
        <v>2471</v>
      </c>
      <c r="E6243" s="0" t="n">
        <v>10017</v>
      </c>
      <c r="F6243" s="0" t="s">
        <v>183</v>
      </c>
      <c r="I6243" s="0" t="n">
        <v>195597</v>
      </c>
      <c r="J6243" s="0" t="n">
        <v>103991</v>
      </c>
      <c r="K6243" s="0" t="n">
        <v>7896020417132</v>
      </c>
      <c r="L6243" s="0" t="s">
        <v>4835</v>
      </c>
      <c r="N6243" s="0" t="n">
        <v>25</v>
      </c>
      <c r="O6243" s="0" t="n">
        <v>48.95</v>
      </c>
      <c r="P6243" s="0" t="s">
        <v>2444</v>
      </c>
    </row>
    <row r="6244" customFormat="false" ht="15" hidden="false" customHeight="true" outlineLevel="0" collapsed="false">
      <c r="A6244" s="0" t="n">
        <v>2</v>
      </c>
      <c r="B6244" s="71" t="n">
        <v>46251</v>
      </c>
      <c r="C6244" s="0" t="n">
        <v>11</v>
      </c>
      <c r="D6244" s="0" t="s">
        <v>2471</v>
      </c>
      <c r="E6244" s="0" t="n">
        <v>10017</v>
      </c>
      <c r="F6244" s="0" t="s">
        <v>183</v>
      </c>
      <c r="I6244" s="0" t="n">
        <v>195597</v>
      </c>
      <c r="J6244" s="0" t="n">
        <v>109626</v>
      </c>
      <c r="K6244" s="0" t="n">
        <v>7892300000698</v>
      </c>
      <c r="L6244" s="0" t="s">
        <v>4836</v>
      </c>
      <c r="N6244" s="0" t="n">
        <v>30</v>
      </c>
      <c r="O6244" s="0" t="n">
        <v>71.42</v>
      </c>
      <c r="P6244" s="0" t="s">
        <v>2444</v>
      </c>
    </row>
    <row r="6245" customFormat="false" ht="15" hidden="false" customHeight="true" outlineLevel="0" collapsed="false">
      <c r="A6245" s="0" t="n">
        <v>2</v>
      </c>
      <c r="B6245" s="71" t="n">
        <v>46251</v>
      </c>
      <c r="C6245" s="0" t="n">
        <v>11</v>
      </c>
      <c r="D6245" s="0" t="s">
        <v>2471</v>
      </c>
      <c r="E6245" s="0" t="n">
        <v>10017</v>
      </c>
      <c r="F6245" s="0" t="s">
        <v>183</v>
      </c>
      <c r="I6245" s="0" t="n">
        <v>195597</v>
      </c>
      <c r="J6245" s="0" t="n">
        <v>11207</v>
      </c>
      <c r="K6245" s="0" t="n">
        <v>7892300000933</v>
      </c>
      <c r="L6245" s="0" t="s">
        <v>4837</v>
      </c>
      <c r="N6245" s="0" t="n">
        <v>20</v>
      </c>
      <c r="O6245" s="0" t="n">
        <v>43.58</v>
      </c>
      <c r="P6245" s="0" t="s">
        <v>2444</v>
      </c>
    </row>
    <row r="6246" customFormat="false" ht="15" hidden="false" customHeight="true" outlineLevel="0" collapsed="false">
      <c r="A6246" s="0" t="n">
        <v>2</v>
      </c>
      <c r="B6246" s="71" t="n">
        <v>46251</v>
      </c>
      <c r="C6246" s="0" t="n">
        <v>11</v>
      </c>
      <c r="D6246" s="0" t="s">
        <v>2471</v>
      </c>
      <c r="E6246" s="0" t="n">
        <v>10017</v>
      </c>
      <c r="F6246" s="0" t="s">
        <v>183</v>
      </c>
      <c r="I6246" s="0" t="n">
        <v>195597</v>
      </c>
      <c r="J6246" s="0" t="n">
        <v>44815</v>
      </c>
      <c r="K6246" s="0" t="n">
        <v>144438</v>
      </c>
      <c r="L6246" s="0" t="s">
        <v>4838</v>
      </c>
      <c r="N6246" s="0" t="n">
        <v>100</v>
      </c>
      <c r="O6246" s="0" t="n">
        <v>184.8</v>
      </c>
      <c r="P6246" s="0" t="s">
        <v>2444</v>
      </c>
    </row>
    <row r="6247" customFormat="false" ht="15" hidden="false" customHeight="true" outlineLevel="0" collapsed="false">
      <c r="A6247" s="0" t="n">
        <v>2</v>
      </c>
      <c r="B6247" s="71" t="n">
        <v>46251</v>
      </c>
      <c r="C6247" s="0" t="n">
        <v>11</v>
      </c>
      <c r="D6247" s="0" t="s">
        <v>2471</v>
      </c>
      <c r="E6247" s="0" t="n">
        <v>10017</v>
      </c>
      <c r="F6247" s="0" t="s">
        <v>183</v>
      </c>
      <c r="I6247" s="0" t="n">
        <v>195597</v>
      </c>
      <c r="J6247" s="0" t="n">
        <v>44816</v>
      </c>
      <c r="K6247" s="0" t="n">
        <v>144421</v>
      </c>
      <c r="L6247" s="0" t="s">
        <v>4839</v>
      </c>
      <c r="N6247" s="0" t="n">
        <v>100</v>
      </c>
      <c r="O6247" s="0" t="n">
        <v>184.8</v>
      </c>
      <c r="P6247" s="0" t="s">
        <v>2444</v>
      </c>
    </row>
    <row r="6248" customFormat="false" ht="15" hidden="false" customHeight="true" outlineLevel="0" collapsed="false">
      <c r="A6248" s="0" t="n">
        <v>2</v>
      </c>
      <c r="B6248" s="71" t="n">
        <v>46251</v>
      </c>
      <c r="C6248" s="0" t="n">
        <v>11</v>
      </c>
      <c r="D6248" s="0" t="s">
        <v>2471</v>
      </c>
      <c r="E6248" s="0" t="n">
        <v>10017</v>
      </c>
      <c r="F6248" s="0" t="s">
        <v>183</v>
      </c>
      <c r="I6248" s="0" t="n">
        <v>195597</v>
      </c>
      <c r="J6248" s="0" t="n">
        <v>51929</v>
      </c>
      <c r="K6248" s="0" t="n">
        <v>7896212920501</v>
      </c>
      <c r="L6248" s="0" t="s">
        <v>3034</v>
      </c>
      <c r="N6248" s="0" t="n">
        <v>100</v>
      </c>
      <c r="O6248" s="0" t="n">
        <v>182.9</v>
      </c>
      <c r="P6248" s="0" t="s">
        <v>2444</v>
      </c>
    </row>
    <row r="6249" customFormat="false" ht="15" hidden="false" customHeight="true" outlineLevel="0" collapsed="false">
      <c r="A6249" s="0" t="n">
        <v>2</v>
      </c>
      <c r="B6249" s="71" t="n">
        <v>46251</v>
      </c>
      <c r="C6249" s="0" t="n">
        <v>11</v>
      </c>
      <c r="D6249" s="0" t="s">
        <v>2471</v>
      </c>
      <c r="E6249" s="0" t="n">
        <v>10017</v>
      </c>
      <c r="F6249" s="0" t="s">
        <v>183</v>
      </c>
      <c r="I6249" s="0" t="n">
        <v>195597</v>
      </c>
      <c r="J6249" s="0" t="n">
        <v>59714</v>
      </c>
      <c r="K6249" s="0" t="n">
        <v>7896005210192</v>
      </c>
      <c r="L6249" s="0" t="s">
        <v>4840</v>
      </c>
      <c r="N6249" s="0" t="n">
        <v>100</v>
      </c>
      <c r="O6249" s="0" t="n">
        <v>234.7</v>
      </c>
      <c r="P6249" s="0" t="s">
        <v>2444</v>
      </c>
    </row>
    <row r="6250" customFormat="false" ht="15" hidden="false" customHeight="true" outlineLevel="0" collapsed="false">
      <c r="A6250" s="0" t="n">
        <v>2</v>
      </c>
      <c r="B6250" s="71" t="n">
        <v>46251</v>
      </c>
      <c r="C6250" s="0" t="n">
        <v>11</v>
      </c>
      <c r="D6250" s="0" t="s">
        <v>2471</v>
      </c>
      <c r="E6250" s="0" t="n">
        <v>10017</v>
      </c>
      <c r="F6250" s="0" t="s">
        <v>183</v>
      </c>
      <c r="I6250" s="0" t="n">
        <v>195597</v>
      </c>
      <c r="J6250" s="0" t="n">
        <v>79679</v>
      </c>
      <c r="K6250" s="0" t="n">
        <v>7898961490311</v>
      </c>
      <c r="L6250" s="0" t="s">
        <v>3036</v>
      </c>
      <c r="N6250" s="0" t="n">
        <v>54</v>
      </c>
      <c r="O6250" s="0" t="n">
        <v>65.86</v>
      </c>
      <c r="P6250" s="0" t="s">
        <v>2444</v>
      </c>
    </row>
    <row r="6251" customFormat="false" ht="15" hidden="false" customHeight="true" outlineLevel="0" collapsed="false">
      <c r="A6251" s="0" t="n">
        <v>2</v>
      </c>
      <c r="B6251" s="71" t="n">
        <v>46251</v>
      </c>
      <c r="C6251" s="0" t="n">
        <v>11</v>
      </c>
      <c r="D6251" s="0" t="s">
        <v>2471</v>
      </c>
      <c r="E6251" s="0" t="n">
        <v>10017</v>
      </c>
      <c r="F6251" s="0" t="s">
        <v>183</v>
      </c>
      <c r="I6251" s="0" t="n">
        <v>195597</v>
      </c>
      <c r="J6251" s="0" t="n">
        <v>79680</v>
      </c>
      <c r="K6251" s="0" t="n">
        <v>7898961490441</v>
      </c>
      <c r="L6251" s="0" t="s">
        <v>3037</v>
      </c>
      <c r="N6251" s="0" t="n">
        <v>54</v>
      </c>
      <c r="O6251" s="0" t="n">
        <v>65.86</v>
      </c>
      <c r="P6251" s="0" t="s">
        <v>2444</v>
      </c>
    </row>
    <row r="6252" customFormat="false" ht="15" hidden="false" customHeight="true" outlineLevel="0" collapsed="false">
      <c r="A6252" s="0" t="n">
        <v>2</v>
      </c>
      <c r="B6252" s="71" t="n">
        <v>46251</v>
      </c>
      <c r="C6252" s="0" t="n">
        <v>11</v>
      </c>
      <c r="D6252" s="0" t="s">
        <v>2471</v>
      </c>
      <c r="E6252" s="0" t="n">
        <v>10017</v>
      </c>
      <c r="F6252" s="0" t="s">
        <v>183</v>
      </c>
      <c r="I6252" s="0" t="n">
        <v>195597</v>
      </c>
      <c r="J6252" s="0" t="n">
        <v>79681</v>
      </c>
      <c r="K6252" s="0" t="n">
        <v>7898961490335</v>
      </c>
      <c r="L6252" s="0" t="s">
        <v>3038</v>
      </c>
      <c r="N6252" s="0" t="n">
        <v>27</v>
      </c>
      <c r="O6252" s="0" t="n">
        <v>32.93</v>
      </c>
      <c r="P6252" s="0" t="s">
        <v>2444</v>
      </c>
    </row>
    <row r="6253" customFormat="false" ht="15" hidden="false" customHeight="true" outlineLevel="0" collapsed="false">
      <c r="A6253" s="0" t="n">
        <v>2</v>
      </c>
      <c r="B6253" s="71" t="n">
        <v>46251</v>
      </c>
      <c r="C6253" s="0" t="n">
        <v>11</v>
      </c>
      <c r="D6253" s="0" t="s">
        <v>2471</v>
      </c>
      <c r="E6253" s="0" t="n">
        <v>1657</v>
      </c>
      <c r="F6253" s="0" t="s">
        <v>1585</v>
      </c>
      <c r="I6253" s="0" t="n">
        <v>297321</v>
      </c>
      <c r="J6253" s="0" t="n">
        <v>102207</v>
      </c>
      <c r="K6253" s="0" t="n">
        <v>7896028014487</v>
      </c>
      <c r="L6253" s="0" t="s">
        <v>4841</v>
      </c>
      <c r="N6253" s="0" t="n">
        <v>12</v>
      </c>
      <c r="O6253" s="0" t="n">
        <v>65.95</v>
      </c>
      <c r="P6253" s="0" t="s">
        <v>2444</v>
      </c>
    </row>
    <row r="6254" customFormat="false" ht="15" hidden="false" customHeight="true" outlineLevel="0" collapsed="false">
      <c r="A6254" s="0" t="n">
        <v>2</v>
      </c>
      <c r="B6254" s="71" t="n">
        <v>46251</v>
      </c>
      <c r="C6254" s="0" t="n">
        <v>11</v>
      </c>
      <c r="D6254" s="0" t="s">
        <v>2471</v>
      </c>
      <c r="E6254" s="0" t="n">
        <v>1657</v>
      </c>
      <c r="F6254" s="0" t="s">
        <v>1585</v>
      </c>
      <c r="I6254" s="0" t="n">
        <v>297321</v>
      </c>
      <c r="J6254" s="0" t="n">
        <v>102256</v>
      </c>
      <c r="K6254" s="0" t="n">
        <v>7896028030661</v>
      </c>
      <c r="L6254" s="0" t="s">
        <v>4842</v>
      </c>
      <c r="N6254" s="0" t="n">
        <v>48</v>
      </c>
      <c r="O6254" s="0" t="n">
        <v>45</v>
      </c>
      <c r="P6254" s="0" t="s">
        <v>2444</v>
      </c>
    </row>
    <row r="6255" customFormat="false" ht="15" hidden="false" customHeight="true" outlineLevel="0" collapsed="false">
      <c r="A6255" s="0" t="n">
        <v>2</v>
      </c>
      <c r="B6255" s="71" t="n">
        <v>46251</v>
      </c>
      <c r="C6255" s="0" t="n">
        <v>11</v>
      </c>
      <c r="D6255" s="0" t="s">
        <v>2471</v>
      </c>
      <c r="E6255" s="0" t="n">
        <v>1657</v>
      </c>
      <c r="F6255" s="0" t="s">
        <v>1585</v>
      </c>
      <c r="I6255" s="0" t="n">
        <v>297321</v>
      </c>
      <c r="J6255" s="0" t="n">
        <v>103847</v>
      </c>
      <c r="K6255" s="0" t="n">
        <v>7896028030654</v>
      </c>
      <c r="L6255" s="0" t="s">
        <v>4843</v>
      </c>
      <c r="N6255" s="0" t="n">
        <v>24</v>
      </c>
      <c r="O6255" s="0" t="n">
        <v>60</v>
      </c>
      <c r="P6255" s="0" t="s">
        <v>2444</v>
      </c>
    </row>
    <row r="6256" customFormat="false" ht="15" hidden="false" customHeight="true" outlineLevel="0" collapsed="false">
      <c r="A6256" s="0" t="n">
        <v>2</v>
      </c>
      <c r="B6256" s="71" t="n">
        <v>46251</v>
      </c>
      <c r="C6256" s="0" t="n">
        <v>11</v>
      </c>
      <c r="D6256" s="0" t="s">
        <v>2471</v>
      </c>
      <c r="E6256" s="0" t="n">
        <v>1657</v>
      </c>
      <c r="F6256" s="0" t="s">
        <v>1585</v>
      </c>
      <c r="I6256" s="0" t="n">
        <v>297321</v>
      </c>
      <c r="J6256" s="0" t="n">
        <v>27196</v>
      </c>
      <c r="K6256" s="0" t="n">
        <v>7896180783795</v>
      </c>
      <c r="L6256" s="0" t="s">
        <v>4844</v>
      </c>
      <c r="N6256" s="0" t="n">
        <v>12</v>
      </c>
      <c r="O6256" s="0" t="n">
        <v>104.95</v>
      </c>
      <c r="P6256" s="0" t="s">
        <v>2444</v>
      </c>
    </row>
    <row r="6257" customFormat="false" ht="15" hidden="false" customHeight="true" outlineLevel="0" collapsed="false">
      <c r="A6257" s="0" t="n">
        <v>2</v>
      </c>
      <c r="B6257" s="71" t="n">
        <v>46251</v>
      </c>
      <c r="C6257" s="0" t="n">
        <v>11</v>
      </c>
      <c r="D6257" s="0" t="s">
        <v>2471</v>
      </c>
      <c r="E6257" s="0" t="n">
        <v>1657</v>
      </c>
      <c r="F6257" s="0" t="s">
        <v>1585</v>
      </c>
      <c r="I6257" s="0" t="n">
        <v>297321</v>
      </c>
      <c r="J6257" s="0" t="n">
        <v>32996</v>
      </c>
      <c r="K6257" s="0" t="n">
        <v>7896360400061</v>
      </c>
      <c r="L6257" s="0" t="s">
        <v>4845</v>
      </c>
      <c r="N6257" s="0" t="n">
        <v>12</v>
      </c>
      <c r="O6257" s="0" t="n">
        <v>54.98</v>
      </c>
      <c r="P6257" s="0" t="s">
        <v>2444</v>
      </c>
    </row>
    <row r="6258" customFormat="false" ht="15" hidden="false" customHeight="true" outlineLevel="0" collapsed="false">
      <c r="A6258" s="0" t="n">
        <v>2</v>
      </c>
      <c r="B6258" s="71" t="n">
        <v>46251</v>
      </c>
      <c r="C6258" s="0" t="n">
        <v>11</v>
      </c>
      <c r="D6258" s="0" t="s">
        <v>2471</v>
      </c>
      <c r="E6258" s="0" t="n">
        <v>1657</v>
      </c>
      <c r="F6258" s="0" t="s">
        <v>1585</v>
      </c>
      <c r="I6258" s="0" t="n">
        <v>297321</v>
      </c>
      <c r="J6258" s="0" t="n">
        <v>34020</v>
      </c>
      <c r="K6258" s="0" t="n">
        <v>7896360400085</v>
      </c>
      <c r="L6258" s="0" t="s">
        <v>4846</v>
      </c>
      <c r="N6258" s="0" t="n">
        <v>12</v>
      </c>
      <c r="O6258" s="0" t="n">
        <v>54.98</v>
      </c>
      <c r="P6258" s="0" t="s">
        <v>2444</v>
      </c>
    </row>
    <row r="6259" customFormat="false" ht="15" hidden="false" customHeight="true" outlineLevel="0" collapsed="false">
      <c r="A6259" s="0" t="n">
        <v>2</v>
      </c>
      <c r="B6259" s="71" t="n">
        <v>46251</v>
      </c>
      <c r="C6259" s="0" t="n">
        <v>11</v>
      </c>
      <c r="D6259" s="0" t="s">
        <v>2471</v>
      </c>
      <c r="E6259" s="0" t="n">
        <v>1657</v>
      </c>
      <c r="F6259" s="0" t="s">
        <v>1585</v>
      </c>
      <c r="I6259" s="0" t="n">
        <v>297321</v>
      </c>
      <c r="J6259" s="0" t="n">
        <v>36800</v>
      </c>
      <c r="K6259" s="0" t="n">
        <v>7896180784266</v>
      </c>
      <c r="L6259" s="0" t="s">
        <v>4847</v>
      </c>
      <c r="N6259" s="0" t="n">
        <v>24</v>
      </c>
      <c r="O6259" s="0" t="n">
        <v>107.9</v>
      </c>
      <c r="P6259" s="0" t="s">
        <v>2444</v>
      </c>
    </row>
    <row r="6260" customFormat="false" ht="15" hidden="false" customHeight="true" outlineLevel="0" collapsed="false">
      <c r="A6260" s="0" t="n">
        <v>2</v>
      </c>
      <c r="B6260" s="71" t="n">
        <v>46251</v>
      </c>
      <c r="C6260" s="0" t="n">
        <v>11</v>
      </c>
      <c r="D6260" s="0" t="s">
        <v>2471</v>
      </c>
      <c r="E6260" s="0" t="n">
        <v>1657</v>
      </c>
      <c r="F6260" s="0" t="s">
        <v>1585</v>
      </c>
      <c r="I6260" s="0" t="n">
        <v>297321</v>
      </c>
      <c r="J6260" s="0" t="n">
        <v>52458</v>
      </c>
      <c r="K6260" s="0" t="n">
        <v>7897312404199</v>
      </c>
      <c r="L6260" s="0" t="s">
        <v>4848</v>
      </c>
      <c r="N6260" s="0" t="n">
        <v>50</v>
      </c>
      <c r="O6260" s="0" t="n">
        <v>95.95</v>
      </c>
      <c r="P6260" s="0" t="s">
        <v>2444</v>
      </c>
    </row>
    <row r="6261" customFormat="false" ht="15" hidden="false" customHeight="true" outlineLevel="0" collapsed="false">
      <c r="A6261" s="0" t="n">
        <v>2</v>
      </c>
      <c r="B6261" s="71" t="n">
        <v>46251</v>
      </c>
      <c r="C6261" s="0" t="n">
        <v>11</v>
      </c>
      <c r="D6261" s="0" t="s">
        <v>2471</v>
      </c>
      <c r="E6261" s="0" t="n">
        <v>1657</v>
      </c>
      <c r="F6261" s="0" t="s">
        <v>1585</v>
      </c>
      <c r="I6261" s="0" t="n">
        <v>297321</v>
      </c>
      <c r="J6261" s="0" t="n">
        <v>79295</v>
      </c>
      <c r="K6261" s="0" t="n">
        <v>7898962669693</v>
      </c>
      <c r="L6261" s="0" t="s">
        <v>4849</v>
      </c>
      <c r="N6261" s="0" t="n">
        <v>20</v>
      </c>
      <c r="O6261" s="0" t="n">
        <v>134.95</v>
      </c>
      <c r="P6261" s="0" t="s">
        <v>2444</v>
      </c>
    </row>
    <row r="6262" customFormat="false" ht="15" hidden="false" customHeight="true" outlineLevel="0" collapsed="false">
      <c r="A6262" s="0" t="n">
        <v>2</v>
      </c>
      <c r="B6262" s="71" t="n">
        <v>46251</v>
      </c>
      <c r="C6262" s="0" t="n">
        <v>11</v>
      </c>
      <c r="D6262" s="0" t="s">
        <v>2471</v>
      </c>
      <c r="E6262" s="0" t="n">
        <v>1657</v>
      </c>
      <c r="F6262" s="0" t="s">
        <v>1585</v>
      </c>
      <c r="I6262" s="0" t="n">
        <v>297321</v>
      </c>
      <c r="J6262" s="0" t="n">
        <v>80521</v>
      </c>
      <c r="K6262" s="0" t="n">
        <v>7898962669709</v>
      </c>
      <c r="L6262" s="0" t="s">
        <v>4850</v>
      </c>
      <c r="N6262" s="0" t="n">
        <v>40</v>
      </c>
      <c r="O6262" s="0" t="n">
        <v>134.95</v>
      </c>
      <c r="P6262" s="0" t="s">
        <v>2444</v>
      </c>
    </row>
    <row r="6263" customFormat="false" ht="15" hidden="false" customHeight="true" outlineLevel="0" collapsed="false">
      <c r="A6263" s="0" t="n">
        <v>2</v>
      </c>
      <c r="B6263" s="71" t="n">
        <v>46251</v>
      </c>
      <c r="C6263" s="0" t="n">
        <v>11</v>
      </c>
      <c r="D6263" s="0" t="s">
        <v>2471</v>
      </c>
      <c r="E6263" s="0" t="n">
        <v>1657</v>
      </c>
      <c r="F6263" s="0" t="s">
        <v>1585</v>
      </c>
      <c r="I6263" s="0" t="n">
        <v>297321</v>
      </c>
      <c r="J6263" s="0" t="n">
        <v>82087</v>
      </c>
      <c r="K6263" s="0" t="n">
        <v>7895644286902</v>
      </c>
      <c r="L6263" s="0" t="s">
        <v>4851</v>
      </c>
      <c r="N6263" s="0" t="n">
        <v>12</v>
      </c>
      <c r="O6263" s="0" t="n">
        <v>99.9</v>
      </c>
      <c r="P6263" s="0" t="s">
        <v>2444</v>
      </c>
    </row>
    <row r="6264" customFormat="false" ht="15" hidden="false" customHeight="true" outlineLevel="0" collapsed="false">
      <c r="A6264" s="0" t="n">
        <v>2</v>
      </c>
      <c r="B6264" s="71" t="n">
        <v>46251</v>
      </c>
      <c r="C6264" s="0" t="n">
        <v>11</v>
      </c>
      <c r="D6264" s="0" t="s">
        <v>2471</v>
      </c>
      <c r="E6264" s="0" t="n">
        <v>1657</v>
      </c>
      <c r="F6264" s="0" t="s">
        <v>1585</v>
      </c>
      <c r="I6264" s="0" t="n">
        <v>297321</v>
      </c>
      <c r="J6264" s="0" t="n">
        <v>82088</v>
      </c>
      <c r="K6264" s="0" t="n">
        <v>7891645329990</v>
      </c>
      <c r="L6264" s="0" t="s">
        <v>4852</v>
      </c>
      <c r="N6264" s="0" t="n">
        <v>6</v>
      </c>
      <c r="O6264" s="0" t="n">
        <v>24.8</v>
      </c>
      <c r="P6264" s="0" t="s">
        <v>2444</v>
      </c>
    </row>
    <row r="6265" customFormat="false" ht="15" hidden="false" customHeight="true" outlineLevel="0" collapsed="false">
      <c r="A6265" s="0" t="n">
        <v>2</v>
      </c>
      <c r="B6265" s="71" t="n">
        <v>46251</v>
      </c>
      <c r="C6265" s="0" t="n">
        <v>11</v>
      </c>
      <c r="D6265" s="0" t="s">
        <v>2471</v>
      </c>
      <c r="E6265" s="0" t="n">
        <v>1657</v>
      </c>
      <c r="F6265" s="0" t="s">
        <v>1585</v>
      </c>
      <c r="I6265" s="0" t="n">
        <v>297321</v>
      </c>
      <c r="J6265" s="0" t="n">
        <v>82089</v>
      </c>
      <c r="K6265" s="0" t="n">
        <v>7891867345631</v>
      </c>
      <c r="L6265" s="0" t="s">
        <v>4853</v>
      </c>
      <c r="N6265" s="0" t="n">
        <v>6</v>
      </c>
      <c r="O6265" s="0" t="n">
        <v>24.8</v>
      </c>
      <c r="P6265" s="0" t="s">
        <v>2444</v>
      </c>
    </row>
    <row r="6266" customFormat="false" ht="15" hidden="false" customHeight="true" outlineLevel="0" collapsed="false">
      <c r="A6266" s="0" t="n">
        <v>2</v>
      </c>
      <c r="B6266" s="71" t="n">
        <v>46251</v>
      </c>
      <c r="C6266" s="0" t="n">
        <v>11</v>
      </c>
      <c r="D6266" s="0" t="s">
        <v>2471</v>
      </c>
      <c r="E6266" s="0" t="n">
        <v>1657</v>
      </c>
      <c r="F6266" s="0" t="s">
        <v>1585</v>
      </c>
      <c r="I6266" s="0" t="n">
        <v>297321</v>
      </c>
      <c r="J6266" s="0" t="n">
        <v>82090</v>
      </c>
      <c r="K6266" s="0" t="n">
        <v>7891745983245</v>
      </c>
      <c r="L6266" s="0" t="s">
        <v>4854</v>
      </c>
      <c r="N6266" s="0" t="n">
        <v>6</v>
      </c>
      <c r="O6266" s="0" t="n">
        <v>24.8</v>
      </c>
      <c r="P6266" s="0" t="s">
        <v>2444</v>
      </c>
    </row>
    <row r="6267" customFormat="false" ht="15" hidden="false" customHeight="true" outlineLevel="0" collapsed="false">
      <c r="A6267" s="0" t="n">
        <v>2</v>
      </c>
      <c r="B6267" s="71" t="n">
        <v>46251</v>
      </c>
      <c r="C6267" s="0" t="n">
        <v>11</v>
      </c>
      <c r="D6267" s="0" t="s">
        <v>2471</v>
      </c>
      <c r="E6267" s="0" t="n">
        <v>1657</v>
      </c>
      <c r="F6267" s="0" t="s">
        <v>1585</v>
      </c>
      <c r="I6267" s="0" t="n">
        <v>297321</v>
      </c>
      <c r="J6267" s="0" t="n">
        <v>82091</v>
      </c>
      <c r="K6267" s="0" t="n">
        <v>7891729693337</v>
      </c>
      <c r="L6267" s="0" t="s">
        <v>4855</v>
      </c>
      <c r="N6267" s="0" t="n">
        <v>6</v>
      </c>
      <c r="O6267" s="0" t="n">
        <v>28.95</v>
      </c>
      <c r="P6267" s="0" t="s">
        <v>2444</v>
      </c>
    </row>
    <row r="6268" customFormat="false" ht="15" hidden="false" customHeight="true" outlineLevel="0" collapsed="false">
      <c r="A6268" s="0" t="n">
        <v>2</v>
      </c>
      <c r="B6268" s="71" t="n">
        <v>46251</v>
      </c>
      <c r="C6268" s="0" t="n">
        <v>11</v>
      </c>
      <c r="D6268" s="0" t="s">
        <v>2471</v>
      </c>
      <c r="E6268" s="0" t="n">
        <v>1657</v>
      </c>
      <c r="F6268" s="0" t="s">
        <v>1585</v>
      </c>
      <c r="I6268" s="0" t="n">
        <v>297321</v>
      </c>
      <c r="J6268" s="0" t="n">
        <v>82092</v>
      </c>
      <c r="K6268" s="0" t="n">
        <v>7891734673508</v>
      </c>
      <c r="L6268" s="0" t="s">
        <v>4856</v>
      </c>
      <c r="N6268" s="0" t="n">
        <v>6</v>
      </c>
      <c r="O6268" s="0" t="n">
        <v>28.95</v>
      </c>
      <c r="P6268" s="0" t="s">
        <v>2444</v>
      </c>
    </row>
    <row r="6269" customFormat="false" ht="15" hidden="false" customHeight="true" outlineLevel="0" collapsed="false">
      <c r="A6269" s="0" t="n">
        <v>2</v>
      </c>
      <c r="B6269" s="71" t="n">
        <v>46251</v>
      </c>
      <c r="C6269" s="0" t="n">
        <v>11</v>
      </c>
      <c r="D6269" s="0" t="s">
        <v>2471</v>
      </c>
      <c r="E6269" s="0" t="n">
        <v>1657</v>
      </c>
      <c r="F6269" s="0" t="s">
        <v>1585</v>
      </c>
      <c r="I6269" s="0" t="n">
        <v>297321</v>
      </c>
      <c r="J6269" s="0" t="n">
        <v>82093</v>
      </c>
      <c r="K6269" s="0" t="n">
        <v>7991945032009</v>
      </c>
      <c r="L6269" s="0" t="s">
        <v>4857</v>
      </c>
      <c r="N6269" s="0" t="n">
        <v>6</v>
      </c>
      <c r="O6269" s="0" t="n">
        <v>28.95</v>
      </c>
      <c r="P6269" s="0" t="s">
        <v>2444</v>
      </c>
    </row>
    <row r="6270" customFormat="false" ht="15" hidden="false" customHeight="true" outlineLevel="0" collapsed="false">
      <c r="A6270" s="0" t="n">
        <v>2</v>
      </c>
      <c r="B6270" s="71" t="n">
        <v>46251</v>
      </c>
      <c r="C6270" s="0" t="n">
        <v>11</v>
      </c>
      <c r="D6270" s="0" t="s">
        <v>2471</v>
      </c>
      <c r="E6270" s="0" t="n">
        <v>1699</v>
      </c>
      <c r="F6270" s="0" t="s">
        <v>248</v>
      </c>
      <c r="I6270" s="0" t="n">
        <v>311270</v>
      </c>
      <c r="J6270" s="0" t="n">
        <v>101262</v>
      </c>
      <c r="K6270" s="0" t="n">
        <v>7896179500013</v>
      </c>
      <c r="L6270" s="0" t="s">
        <v>2627</v>
      </c>
      <c r="N6270" s="0" t="n">
        <v>60</v>
      </c>
      <c r="O6270" s="0" t="n">
        <v>179.5</v>
      </c>
      <c r="P6270" s="0" t="s">
        <v>2444</v>
      </c>
    </row>
    <row r="6271" customFormat="false" ht="15" hidden="false" customHeight="true" outlineLevel="0" collapsed="false">
      <c r="A6271" s="0" t="n">
        <v>2</v>
      </c>
      <c r="B6271" s="71" t="n">
        <v>46251</v>
      </c>
      <c r="C6271" s="0" t="n">
        <v>11</v>
      </c>
      <c r="D6271" s="0" t="s">
        <v>2471</v>
      </c>
      <c r="E6271" s="0" t="n">
        <v>1699</v>
      </c>
      <c r="F6271" s="0" t="s">
        <v>248</v>
      </c>
      <c r="I6271" s="0" t="n">
        <v>311270</v>
      </c>
      <c r="J6271" s="0" t="n">
        <v>101759</v>
      </c>
      <c r="K6271" s="0" t="n">
        <v>7896179500037</v>
      </c>
      <c r="L6271" s="0" t="s">
        <v>2628</v>
      </c>
      <c r="N6271" s="0" t="n">
        <v>24</v>
      </c>
      <c r="O6271" s="0" t="n">
        <v>81.8</v>
      </c>
      <c r="P6271" s="0" t="s">
        <v>2444</v>
      </c>
    </row>
    <row r="6272" customFormat="false" ht="15" hidden="false" customHeight="true" outlineLevel="0" collapsed="false">
      <c r="A6272" s="0" t="n">
        <v>2</v>
      </c>
      <c r="B6272" s="71" t="n">
        <v>46251</v>
      </c>
      <c r="C6272" s="0" t="n">
        <v>11</v>
      </c>
      <c r="D6272" s="0" t="s">
        <v>2471</v>
      </c>
      <c r="E6272" s="0" t="n">
        <v>1699</v>
      </c>
      <c r="F6272" s="0" t="s">
        <v>248</v>
      </c>
      <c r="I6272" s="0" t="n">
        <v>311270</v>
      </c>
      <c r="J6272" s="0" t="n">
        <v>102448</v>
      </c>
      <c r="K6272" s="0" t="n">
        <v>7896037514701</v>
      </c>
      <c r="L6272" s="0" t="s">
        <v>4319</v>
      </c>
      <c r="N6272" s="0" t="n">
        <v>24</v>
      </c>
      <c r="O6272" s="0" t="n">
        <v>196.9</v>
      </c>
      <c r="P6272" s="0" t="s">
        <v>2444</v>
      </c>
    </row>
    <row r="6273" customFormat="false" ht="15" hidden="false" customHeight="true" outlineLevel="0" collapsed="false">
      <c r="A6273" s="0" t="n">
        <v>2</v>
      </c>
      <c r="B6273" s="71" t="n">
        <v>46251</v>
      </c>
      <c r="C6273" s="0" t="n">
        <v>11</v>
      </c>
      <c r="D6273" s="0" t="s">
        <v>2471</v>
      </c>
      <c r="E6273" s="0" t="n">
        <v>1699</v>
      </c>
      <c r="F6273" s="0" t="s">
        <v>248</v>
      </c>
      <c r="I6273" s="0" t="n">
        <v>311270</v>
      </c>
      <c r="J6273" s="0" t="n">
        <v>102457</v>
      </c>
      <c r="K6273" s="0" t="n">
        <v>7896031253347</v>
      </c>
      <c r="L6273" s="0" t="s">
        <v>2632</v>
      </c>
      <c r="N6273" s="0" t="n">
        <v>48</v>
      </c>
      <c r="O6273" s="0" t="n">
        <v>431.8</v>
      </c>
      <c r="P6273" s="0" t="s">
        <v>2444</v>
      </c>
    </row>
    <row r="6274" customFormat="false" ht="15" hidden="false" customHeight="true" outlineLevel="0" collapsed="false">
      <c r="A6274" s="0" t="n">
        <v>2</v>
      </c>
      <c r="B6274" s="71" t="n">
        <v>46251</v>
      </c>
      <c r="C6274" s="0" t="n">
        <v>11</v>
      </c>
      <c r="D6274" s="0" t="s">
        <v>2471</v>
      </c>
      <c r="E6274" s="0" t="n">
        <v>1699</v>
      </c>
      <c r="F6274" s="0" t="s">
        <v>248</v>
      </c>
      <c r="I6274" s="0" t="n">
        <v>311270</v>
      </c>
      <c r="J6274" s="0" t="n">
        <v>102528</v>
      </c>
      <c r="K6274" s="0" t="n">
        <v>7896031224088</v>
      </c>
      <c r="L6274" s="0" t="s">
        <v>4858</v>
      </c>
      <c r="N6274" s="0" t="n">
        <v>12</v>
      </c>
      <c r="O6274" s="0" t="n">
        <v>176.9</v>
      </c>
      <c r="P6274" s="0" t="s">
        <v>2444</v>
      </c>
    </row>
    <row r="6275" customFormat="false" ht="15" hidden="false" customHeight="true" outlineLevel="0" collapsed="false">
      <c r="A6275" s="0" t="n">
        <v>2</v>
      </c>
      <c r="B6275" s="71" t="n">
        <v>46251</v>
      </c>
      <c r="C6275" s="0" t="n">
        <v>11</v>
      </c>
      <c r="D6275" s="0" t="s">
        <v>2471</v>
      </c>
      <c r="E6275" s="0" t="n">
        <v>1699</v>
      </c>
      <c r="F6275" s="0" t="s">
        <v>248</v>
      </c>
      <c r="I6275" s="0" t="n">
        <v>311270</v>
      </c>
      <c r="J6275" s="0" t="n">
        <v>107958</v>
      </c>
      <c r="K6275" s="0" t="n">
        <v>7898430866845</v>
      </c>
      <c r="L6275" s="0" t="s">
        <v>4859</v>
      </c>
      <c r="N6275" s="0" t="n">
        <v>24</v>
      </c>
      <c r="O6275" s="0" t="n">
        <v>91.9</v>
      </c>
      <c r="P6275" s="0" t="s">
        <v>2444</v>
      </c>
    </row>
    <row r="6276" customFormat="false" ht="15" hidden="false" customHeight="true" outlineLevel="0" collapsed="false">
      <c r="A6276" s="0" t="n">
        <v>2</v>
      </c>
      <c r="B6276" s="71" t="n">
        <v>46251</v>
      </c>
      <c r="C6276" s="0" t="n">
        <v>11</v>
      </c>
      <c r="D6276" s="0" t="s">
        <v>2471</v>
      </c>
      <c r="E6276" s="0" t="n">
        <v>1699</v>
      </c>
      <c r="F6276" s="0" t="s">
        <v>248</v>
      </c>
      <c r="I6276" s="0" t="n">
        <v>311270</v>
      </c>
      <c r="J6276" s="0" t="n">
        <v>11838</v>
      </c>
      <c r="K6276" s="0" t="n">
        <v>7894351099867</v>
      </c>
      <c r="L6276" s="0" t="s">
        <v>4320</v>
      </c>
      <c r="N6276" s="0" t="n">
        <v>48</v>
      </c>
      <c r="O6276" s="0" t="n">
        <v>437.8</v>
      </c>
      <c r="P6276" s="0" t="s">
        <v>2444</v>
      </c>
    </row>
    <row r="6277" customFormat="false" ht="15" hidden="false" customHeight="true" outlineLevel="0" collapsed="false">
      <c r="A6277" s="0" t="n">
        <v>2</v>
      </c>
      <c r="B6277" s="71" t="n">
        <v>46251</v>
      </c>
      <c r="C6277" s="0" t="n">
        <v>11</v>
      </c>
      <c r="D6277" s="0" t="s">
        <v>2471</v>
      </c>
      <c r="E6277" s="0" t="n">
        <v>1699</v>
      </c>
      <c r="F6277" s="0" t="s">
        <v>248</v>
      </c>
      <c r="I6277" s="0" t="n">
        <v>311270</v>
      </c>
      <c r="J6277" s="0" t="n">
        <v>28475</v>
      </c>
      <c r="K6277" s="0" t="n">
        <v>7896860546528</v>
      </c>
      <c r="L6277" s="0" t="s">
        <v>4860</v>
      </c>
      <c r="N6277" s="0" t="n">
        <v>48</v>
      </c>
      <c r="O6277" s="0" t="n">
        <v>379.8</v>
      </c>
      <c r="P6277" s="0" t="s">
        <v>2444</v>
      </c>
    </row>
    <row r="6278" customFormat="false" ht="15" hidden="false" customHeight="true" outlineLevel="0" collapsed="false">
      <c r="A6278" s="0" t="n">
        <v>2</v>
      </c>
      <c r="B6278" s="71" t="n">
        <v>46251</v>
      </c>
      <c r="C6278" s="0" t="n">
        <v>11</v>
      </c>
      <c r="D6278" s="0" t="s">
        <v>2471</v>
      </c>
      <c r="E6278" s="0" t="n">
        <v>1683</v>
      </c>
      <c r="F6278" s="0" t="s">
        <v>406</v>
      </c>
      <c r="I6278" s="0" t="n">
        <v>1664730</v>
      </c>
      <c r="J6278" s="0" t="n">
        <v>109791</v>
      </c>
      <c r="K6278" s="0" t="n">
        <v>9667</v>
      </c>
      <c r="L6278" s="0" t="s">
        <v>2465</v>
      </c>
      <c r="N6278" s="0" t="n">
        <v>5</v>
      </c>
      <c r="O6278" s="0" t="n">
        <v>7.5</v>
      </c>
      <c r="P6278" s="0" t="s">
        <v>2444</v>
      </c>
    </row>
    <row r="6279" customFormat="false" ht="15" hidden="false" customHeight="true" outlineLevel="0" collapsed="false">
      <c r="A6279" s="0" t="n">
        <v>2</v>
      </c>
      <c r="B6279" s="71" t="n">
        <v>46251</v>
      </c>
      <c r="C6279" s="0" t="n">
        <v>11</v>
      </c>
      <c r="D6279" s="0" t="s">
        <v>2471</v>
      </c>
      <c r="E6279" s="0" t="n">
        <v>1683</v>
      </c>
      <c r="F6279" s="0" t="s">
        <v>406</v>
      </c>
      <c r="I6279" s="0" t="n">
        <v>1664730</v>
      </c>
      <c r="J6279" s="0" t="n">
        <v>37361</v>
      </c>
      <c r="K6279" s="0" t="n">
        <v>2240817</v>
      </c>
      <c r="L6279" s="0" t="s">
        <v>2467</v>
      </c>
      <c r="N6279" s="0" t="n">
        <v>50</v>
      </c>
      <c r="O6279" s="0" t="n">
        <v>90</v>
      </c>
      <c r="P6279" s="0" t="s">
        <v>2444</v>
      </c>
    </row>
    <row r="6280" customFormat="false" ht="15" hidden="false" customHeight="true" outlineLevel="0" collapsed="false">
      <c r="A6280" s="0" t="n">
        <v>2</v>
      </c>
      <c r="B6280" s="71" t="n">
        <v>46251</v>
      </c>
      <c r="C6280" s="0" t="n">
        <v>11</v>
      </c>
      <c r="D6280" s="0" t="s">
        <v>2471</v>
      </c>
      <c r="E6280" s="0" t="n">
        <v>1637</v>
      </c>
      <c r="F6280" s="0" t="s">
        <v>871</v>
      </c>
      <c r="I6280" s="0" t="n">
        <v>1919900</v>
      </c>
      <c r="J6280" s="0" t="n">
        <v>107958</v>
      </c>
      <c r="K6280" s="0" t="n">
        <v>7898430866845</v>
      </c>
      <c r="L6280" s="0" t="s">
        <v>4859</v>
      </c>
      <c r="N6280" s="0" t="n">
        <v>48</v>
      </c>
      <c r="O6280" s="0" t="n">
        <v>181.92</v>
      </c>
      <c r="P6280" s="0" t="s">
        <v>2444</v>
      </c>
    </row>
    <row r="6281" customFormat="false" ht="15" hidden="false" customHeight="true" outlineLevel="0" collapsed="false">
      <c r="A6281" s="0" t="n">
        <v>2</v>
      </c>
      <c r="B6281" s="71" t="n">
        <v>46251</v>
      </c>
      <c r="C6281" s="0" t="n">
        <v>11</v>
      </c>
      <c r="D6281" s="0" t="s">
        <v>2471</v>
      </c>
      <c r="E6281" s="0" t="n">
        <v>1637</v>
      </c>
      <c r="F6281" s="0" t="s">
        <v>871</v>
      </c>
      <c r="I6281" s="0" t="n">
        <v>1919900</v>
      </c>
      <c r="J6281" s="0" t="n">
        <v>56633</v>
      </c>
      <c r="K6281" s="0" t="n">
        <v>7896264671031</v>
      </c>
      <c r="L6281" s="0" t="s">
        <v>4861</v>
      </c>
      <c r="N6281" s="0" t="n">
        <v>48</v>
      </c>
      <c r="O6281" s="0" t="n">
        <v>220.32</v>
      </c>
      <c r="P6281" s="0" t="s">
        <v>2444</v>
      </c>
    </row>
    <row r="6282" customFormat="false" ht="15" hidden="false" customHeight="true" outlineLevel="0" collapsed="false">
      <c r="A6282" s="0" t="n">
        <v>2</v>
      </c>
      <c r="B6282" s="71" t="n">
        <v>46251</v>
      </c>
      <c r="C6282" s="0" t="n">
        <v>11</v>
      </c>
      <c r="D6282" s="0" t="s">
        <v>2471</v>
      </c>
      <c r="E6282" s="0" t="n">
        <v>1637</v>
      </c>
      <c r="F6282" s="0" t="s">
        <v>871</v>
      </c>
      <c r="I6282" s="0" t="n">
        <v>1919900</v>
      </c>
      <c r="J6282" s="0" t="n">
        <v>67814</v>
      </c>
      <c r="K6282" s="0" t="n">
        <v>7898617581707</v>
      </c>
      <c r="L6282" s="0" t="s">
        <v>4862</v>
      </c>
      <c r="N6282" s="0" t="n">
        <v>56</v>
      </c>
      <c r="O6282" s="0" t="n">
        <v>159.6</v>
      </c>
      <c r="P6282" s="0" t="s">
        <v>2444</v>
      </c>
    </row>
    <row r="6283" customFormat="false" ht="15" hidden="false" customHeight="true" outlineLevel="0" collapsed="false">
      <c r="A6283" s="0" t="n">
        <v>2</v>
      </c>
      <c r="B6283" s="71" t="n">
        <v>46251</v>
      </c>
      <c r="C6283" s="0" t="n">
        <v>11</v>
      </c>
      <c r="D6283" s="0" t="s">
        <v>2471</v>
      </c>
      <c r="E6283" s="0" t="n">
        <v>1636</v>
      </c>
      <c r="F6283" s="0" t="s">
        <v>61</v>
      </c>
      <c r="I6283" s="0" t="n">
        <v>3237634</v>
      </c>
      <c r="J6283" s="0" t="n">
        <v>104951</v>
      </c>
      <c r="K6283" s="0" t="n">
        <v>7896061915109</v>
      </c>
      <c r="L6283" s="0" t="s">
        <v>4863</v>
      </c>
      <c r="N6283" s="0" t="n">
        <v>16</v>
      </c>
      <c r="O6283" s="0" t="n">
        <v>54.55</v>
      </c>
      <c r="P6283" s="0" t="s">
        <v>2444</v>
      </c>
    </row>
    <row r="6284" customFormat="false" ht="15" hidden="false" customHeight="true" outlineLevel="0" collapsed="false">
      <c r="A6284" s="0" t="n">
        <v>2</v>
      </c>
      <c r="B6284" s="71" t="n">
        <v>46251</v>
      </c>
      <c r="C6284" s="0" t="n">
        <v>11</v>
      </c>
      <c r="D6284" s="0" t="s">
        <v>2471</v>
      </c>
      <c r="E6284" s="0" t="n">
        <v>1636</v>
      </c>
      <c r="F6284" s="0" t="s">
        <v>61</v>
      </c>
      <c r="I6284" s="0" t="n">
        <v>3237634</v>
      </c>
      <c r="J6284" s="0" t="n">
        <v>16038</v>
      </c>
      <c r="K6284" s="0" t="n">
        <v>7896061916106</v>
      </c>
      <c r="L6284" s="0" t="s">
        <v>4864</v>
      </c>
      <c r="N6284" s="0" t="n">
        <v>16</v>
      </c>
      <c r="O6284" s="0" t="n">
        <v>92.49</v>
      </c>
      <c r="P6284" s="0" t="s">
        <v>2444</v>
      </c>
    </row>
    <row r="6285" customFormat="false" ht="15" hidden="false" customHeight="true" outlineLevel="0" collapsed="false">
      <c r="A6285" s="0" t="n">
        <v>2</v>
      </c>
      <c r="B6285" s="71" t="n">
        <v>46251</v>
      </c>
      <c r="C6285" s="0" t="n">
        <v>11</v>
      </c>
      <c r="D6285" s="0" t="s">
        <v>2471</v>
      </c>
      <c r="E6285" s="0" t="n">
        <v>1636</v>
      </c>
      <c r="F6285" s="0" t="s">
        <v>61</v>
      </c>
      <c r="I6285" s="0" t="n">
        <v>3237634</v>
      </c>
      <c r="J6285" s="0" t="n">
        <v>16710</v>
      </c>
      <c r="K6285" s="0" t="n">
        <v>7894650003787</v>
      </c>
      <c r="L6285" s="0" t="s">
        <v>4865</v>
      </c>
      <c r="N6285" s="0" t="n">
        <v>12</v>
      </c>
      <c r="O6285" s="0" t="n">
        <v>154.68</v>
      </c>
      <c r="P6285" s="0" t="s">
        <v>2444</v>
      </c>
    </row>
    <row r="6286" customFormat="false" ht="15" hidden="false" customHeight="true" outlineLevel="0" collapsed="false">
      <c r="A6286" s="0" t="n">
        <v>2</v>
      </c>
      <c r="B6286" s="71" t="n">
        <v>46251</v>
      </c>
      <c r="C6286" s="0" t="n">
        <v>11</v>
      </c>
      <c r="D6286" s="0" t="s">
        <v>2471</v>
      </c>
      <c r="E6286" s="0" t="n">
        <v>1636</v>
      </c>
      <c r="F6286" s="0" t="s">
        <v>61</v>
      </c>
      <c r="I6286" s="0" t="n">
        <v>3237634</v>
      </c>
      <c r="J6286" s="0" t="n">
        <v>17976</v>
      </c>
      <c r="K6286" s="0" t="n">
        <v>7894650003848</v>
      </c>
      <c r="L6286" s="0" t="s">
        <v>3057</v>
      </c>
      <c r="N6286" s="0" t="n">
        <v>6</v>
      </c>
      <c r="O6286" s="0" t="n">
        <v>86.94</v>
      </c>
      <c r="P6286" s="0" t="s">
        <v>2444</v>
      </c>
    </row>
    <row r="6287" customFormat="false" ht="15" hidden="false" customHeight="true" outlineLevel="0" collapsed="false">
      <c r="A6287" s="0" t="n">
        <v>2</v>
      </c>
      <c r="B6287" s="71" t="n">
        <v>46251</v>
      </c>
      <c r="C6287" s="0" t="n">
        <v>11</v>
      </c>
      <c r="D6287" s="0" t="s">
        <v>2471</v>
      </c>
      <c r="E6287" s="0" t="n">
        <v>1636</v>
      </c>
      <c r="F6287" s="0" t="s">
        <v>61</v>
      </c>
      <c r="I6287" s="0" t="n">
        <v>3237634</v>
      </c>
      <c r="J6287" s="0" t="n">
        <v>23113</v>
      </c>
      <c r="K6287" s="0" t="n">
        <v>7894650004241</v>
      </c>
      <c r="L6287" s="0" t="s">
        <v>4866</v>
      </c>
      <c r="N6287" s="0" t="n">
        <v>9</v>
      </c>
      <c r="O6287" s="0" t="n">
        <v>22.56</v>
      </c>
      <c r="P6287" s="0" t="s">
        <v>2444</v>
      </c>
    </row>
    <row r="6288" customFormat="false" ht="15" hidden="false" customHeight="true" outlineLevel="0" collapsed="false">
      <c r="A6288" s="0" t="n">
        <v>2</v>
      </c>
      <c r="B6288" s="71" t="n">
        <v>46251</v>
      </c>
      <c r="C6288" s="0" t="n">
        <v>11</v>
      </c>
      <c r="D6288" s="0" t="s">
        <v>2471</v>
      </c>
      <c r="E6288" s="0" t="n">
        <v>1636</v>
      </c>
      <c r="F6288" s="0" t="s">
        <v>61</v>
      </c>
      <c r="I6288" s="0" t="n">
        <v>3237634</v>
      </c>
      <c r="J6288" s="0" t="n">
        <v>23302</v>
      </c>
      <c r="K6288" s="0" t="n">
        <v>7894650012888</v>
      </c>
      <c r="L6288" s="0" t="s">
        <v>4867</v>
      </c>
      <c r="N6288" s="0" t="n">
        <v>12</v>
      </c>
      <c r="O6288" s="0" t="n">
        <v>154.68</v>
      </c>
      <c r="P6288" s="0" t="s">
        <v>2444</v>
      </c>
    </row>
    <row r="6289" customFormat="false" ht="15" hidden="false" customHeight="true" outlineLevel="0" collapsed="false">
      <c r="A6289" s="0" t="n">
        <v>2</v>
      </c>
      <c r="B6289" s="71" t="n">
        <v>46251</v>
      </c>
      <c r="C6289" s="0" t="n">
        <v>11</v>
      </c>
      <c r="D6289" s="0" t="s">
        <v>2471</v>
      </c>
      <c r="E6289" s="0" t="n">
        <v>1636</v>
      </c>
      <c r="F6289" s="0" t="s">
        <v>61</v>
      </c>
      <c r="I6289" s="0" t="n">
        <v>3237634</v>
      </c>
      <c r="J6289" s="0" t="n">
        <v>26544</v>
      </c>
      <c r="K6289" s="0" t="n">
        <v>7894650013861</v>
      </c>
      <c r="L6289" s="0" t="s">
        <v>4868</v>
      </c>
      <c r="N6289" s="0" t="n">
        <v>6</v>
      </c>
      <c r="O6289" s="0" t="n">
        <v>71.34</v>
      </c>
      <c r="P6289" s="0" t="s">
        <v>2444</v>
      </c>
    </row>
    <row r="6290" customFormat="false" ht="15" hidden="false" customHeight="true" outlineLevel="0" collapsed="false">
      <c r="A6290" s="0" t="n">
        <v>2</v>
      </c>
      <c r="B6290" s="71" t="n">
        <v>46251</v>
      </c>
      <c r="C6290" s="0" t="n">
        <v>11</v>
      </c>
      <c r="D6290" s="0" t="s">
        <v>2471</v>
      </c>
      <c r="E6290" s="0" t="n">
        <v>1636</v>
      </c>
      <c r="F6290" s="0" t="s">
        <v>61</v>
      </c>
      <c r="I6290" s="0" t="n">
        <v>3237634</v>
      </c>
      <c r="J6290" s="0" t="n">
        <v>28018</v>
      </c>
      <c r="K6290" s="0" t="n">
        <v>7894650013502</v>
      </c>
      <c r="L6290" s="0" t="s">
        <v>4869</v>
      </c>
      <c r="N6290" s="0" t="n">
        <v>9</v>
      </c>
      <c r="O6290" s="0" t="n">
        <v>47.61</v>
      </c>
      <c r="P6290" s="0" t="s">
        <v>2444</v>
      </c>
    </row>
    <row r="6291" customFormat="false" ht="15" hidden="false" customHeight="true" outlineLevel="0" collapsed="false">
      <c r="A6291" s="0" t="n">
        <v>2</v>
      </c>
      <c r="B6291" s="71" t="n">
        <v>46251</v>
      </c>
      <c r="C6291" s="0" t="n">
        <v>11</v>
      </c>
      <c r="D6291" s="0" t="s">
        <v>2471</v>
      </c>
      <c r="E6291" s="0" t="n">
        <v>1636</v>
      </c>
      <c r="F6291" s="0" t="s">
        <v>61</v>
      </c>
      <c r="I6291" s="0" t="n">
        <v>3237634</v>
      </c>
      <c r="J6291" s="0" t="n">
        <v>28076</v>
      </c>
      <c r="K6291" s="0" t="n">
        <v>7894650014448</v>
      </c>
      <c r="L6291" s="0" t="s">
        <v>4870</v>
      </c>
      <c r="N6291" s="0" t="n">
        <v>6</v>
      </c>
      <c r="O6291" s="0" t="n">
        <v>71.34</v>
      </c>
      <c r="P6291" s="0" t="s">
        <v>2444</v>
      </c>
    </row>
    <row r="6292" customFormat="false" ht="15" hidden="false" customHeight="true" outlineLevel="0" collapsed="false">
      <c r="A6292" s="0" t="n">
        <v>2</v>
      </c>
      <c r="B6292" s="71" t="n">
        <v>46251</v>
      </c>
      <c r="C6292" s="0" t="n">
        <v>11</v>
      </c>
      <c r="D6292" s="0" t="s">
        <v>2471</v>
      </c>
      <c r="E6292" s="0" t="n">
        <v>1636</v>
      </c>
      <c r="F6292" s="0" t="s">
        <v>61</v>
      </c>
      <c r="I6292" s="0" t="n">
        <v>3237634</v>
      </c>
      <c r="J6292" s="0" t="n">
        <v>31329</v>
      </c>
      <c r="K6292" s="0" t="n">
        <v>7894650938430</v>
      </c>
      <c r="L6292" s="0" t="s">
        <v>3059</v>
      </c>
      <c r="N6292" s="0" t="n">
        <v>6</v>
      </c>
      <c r="O6292" s="0" t="n">
        <v>71.34</v>
      </c>
      <c r="P6292" s="0" t="s">
        <v>2444</v>
      </c>
    </row>
    <row r="6293" customFormat="false" ht="15" hidden="false" customHeight="true" outlineLevel="0" collapsed="false">
      <c r="A6293" s="0" t="n">
        <v>2</v>
      </c>
      <c r="B6293" s="71" t="n">
        <v>46251</v>
      </c>
      <c r="C6293" s="0" t="n">
        <v>11</v>
      </c>
      <c r="D6293" s="0" t="s">
        <v>2471</v>
      </c>
      <c r="E6293" s="0" t="n">
        <v>1636</v>
      </c>
      <c r="F6293" s="0" t="s">
        <v>61</v>
      </c>
      <c r="I6293" s="0" t="n">
        <v>3237634</v>
      </c>
      <c r="J6293" s="0" t="n">
        <v>33964</v>
      </c>
      <c r="K6293" s="0" t="n">
        <v>7894650014288</v>
      </c>
      <c r="L6293" s="0" t="s">
        <v>4871</v>
      </c>
      <c r="N6293" s="0" t="n">
        <v>9</v>
      </c>
      <c r="O6293" s="0" t="n">
        <v>22.56</v>
      </c>
      <c r="P6293" s="0" t="s">
        <v>2444</v>
      </c>
    </row>
    <row r="6294" customFormat="false" ht="15" hidden="false" customHeight="true" outlineLevel="0" collapsed="false">
      <c r="A6294" s="0" t="n">
        <v>2</v>
      </c>
      <c r="B6294" s="71" t="n">
        <v>46251</v>
      </c>
      <c r="C6294" s="0" t="n">
        <v>11</v>
      </c>
      <c r="D6294" s="0" t="s">
        <v>2471</v>
      </c>
      <c r="E6294" s="0" t="n">
        <v>1636</v>
      </c>
      <c r="F6294" s="0" t="s">
        <v>61</v>
      </c>
      <c r="I6294" s="0" t="n">
        <v>3237634</v>
      </c>
      <c r="J6294" s="0" t="n">
        <v>37930</v>
      </c>
      <c r="K6294" s="0" t="n">
        <v>7894650939598</v>
      </c>
      <c r="L6294" s="0" t="s">
        <v>4871</v>
      </c>
      <c r="N6294" s="0" t="n">
        <v>9</v>
      </c>
      <c r="O6294" s="0" t="n">
        <v>22.56</v>
      </c>
      <c r="P6294" s="0" t="s">
        <v>2444</v>
      </c>
    </row>
    <row r="6295" customFormat="false" ht="15" hidden="false" customHeight="true" outlineLevel="0" collapsed="false">
      <c r="A6295" s="0" t="n">
        <v>2</v>
      </c>
      <c r="B6295" s="71" t="n">
        <v>46251</v>
      </c>
      <c r="C6295" s="0" t="n">
        <v>11</v>
      </c>
      <c r="D6295" s="0" t="s">
        <v>2471</v>
      </c>
      <c r="E6295" s="0" t="n">
        <v>1636</v>
      </c>
      <c r="F6295" s="0" t="s">
        <v>61</v>
      </c>
      <c r="I6295" s="0" t="n">
        <v>3237634</v>
      </c>
      <c r="J6295" s="0" t="n">
        <v>38477</v>
      </c>
      <c r="K6295" s="0" t="n">
        <v>7894650005712</v>
      </c>
      <c r="L6295" s="0" t="s">
        <v>4872</v>
      </c>
      <c r="N6295" s="0" t="n">
        <v>3</v>
      </c>
      <c r="O6295" s="0" t="n">
        <v>57.12</v>
      </c>
      <c r="P6295" s="0" t="s">
        <v>2444</v>
      </c>
    </row>
    <row r="6296" customFormat="false" ht="15" hidden="false" customHeight="true" outlineLevel="0" collapsed="false">
      <c r="A6296" s="0" t="n">
        <v>2</v>
      </c>
      <c r="B6296" s="71" t="n">
        <v>46251</v>
      </c>
      <c r="C6296" s="0" t="n">
        <v>11</v>
      </c>
      <c r="D6296" s="0" t="s">
        <v>2471</v>
      </c>
      <c r="E6296" s="0" t="n">
        <v>1636</v>
      </c>
      <c r="F6296" s="0" t="s">
        <v>61</v>
      </c>
      <c r="I6296" s="0" t="n">
        <v>3237634</v>
      </c>
      <c r="J6296" s="0" t="n">
        <v>57941</v>
      </c>
      <c r="K6296" s="0" t="n">
        <v>7896044942023</v>
      </c>
      <c r="L6296" s="0" t="s">
        <v>3062</v>
      </c>
      <c r="N6296" s="0" t="n">
        <v>6</v>
      </c>
      <c r="O6296" s="0" t="n">
        <v>34.12</v>
      </c>
      <c r="P6296" s="0" t="s">
        <v>2444</v>
      </c>
    </row>
    <row r="6297" customFormat="false" ht="15" hidden="false" customHeight="true" outlineLevel="0" collapsed="false">
      <c r="A6297" s="0" t="n">
        <v>2</v>
      </c>
      <c r="B6297" s="71" t="n">
        <v>46251</v>
      </c>
      <c r="C6297" s="0" t="n">
        <v>11</v>
      </c>
      <c r="D6297" s="0" t="s">
        <v>2471</v>
      </c>
      <c r="E6297" s="0" t="n">
        <v>1636</v>
      </c>
      <c r="F6297" s="0" t="s">
        <v>61</v>
      </c>
      <c r="I6297" s="0" t="n">
        <v>3237634</v>
      </c>
      <c r="J6297" s="0" t="n">
        <v>65737</v>
      </c>
      <c r="K6297" s="0" t="n">
        <v>7894650008539</v>
      </c>
      <c r="L6297" s="0" t="s">
        <v>4873</v>
      </c>
      <c r="N6297" s="0" t="n">
        <v>12</v>
      </c>
      <c r="O6297" s="0" t="n">
        <v>173.88</v>
      </c>
      <c r="P6297" s="0" t="s">
        <v>2444</v>
      </c>
    </row>
    <row r="6298" customFormat="false" ht="15" hidden="false" customHeight="true" outlineLevel="0" collapsed="false">
      <c r="A6298" s="0" t="n">
        <v>2</v>
      </c>
      <c r="B6298" s="71" t="n">
        <v>46251</v>
      </c>
      <c r="C6298" s="0" t="n">
        <v>11</v>
      </c>
      <c r="D6298" s="0" t="s">
        <v>2471</v>
      </c>
      <c r="E6298" s="0" t="n">
        <v>1636</v>
      </c>
      <c r="F6298" s="0" t="s">
        <v>61</v>
      </c>
      <c r="I6298" s="0" t="n">
        <v>3237634</v>
      </c>
      <c r="J6298" s="0" t="n">
        <v>80795</v>
      </c>
      <c r="K6298" s="0" t="n">
        <v>7894650009260</v>
      </c>
      <c r="L6298" s="0" t="s">
        <v>4874</v>
      </c>
      <c r="N6298" s="0" t="n">
        <v>6</v>
      </c>
      <c r="O6298" s="0" t="n">
        <v>71.34</v>
      </c>
      <c r="P6298" s="0" t="s">
        <v>2444</v>
      </c>
    </row>
    <row r="6299" customFormat="false" ht="15" hidden="false" customHeight="true" outlineLevel="0" collapsed="false">
      <c r="A6299" s="0" t="n">
        <v>2</v>
      </c>
      <c r="B6299" s="71" t="n">
        <v>46251</v>
      </c>
      <c r="C6299" s="0" t="n">
        <v>11</v>
      </c>
      <c r="D6299" s="0" t="s">
        <v>2471</v>
      </c>
      <c r="E6299" s="0" t="n">
        <v>1636</v>
      </c>
      <c r="F6299" s="0" t="s">
        <v>61</v>
      </c>
      <c r="I6299" s="0" t="n">
        <v>3237634</v>
      </c>
      <c r="J6299" s="0" t="n">
        <v>82094</v>
      </c>
      <c r="K6299" s="0" t="n">
        <v>7898663111682</v>
      </c>
      <c r="L6299" s="0" t="s">
        <v>4875</v>
      </c>
      <c r="N6299" s="0" t="n">
        <v>6</v>
      </c>
      <c r="O6299" s="0" t="n">
        <v>57.6</v>
      </c>
      <c r="P6299" s="0" t="s">
        <v>2444</v>
      </c>
    </row>
    <row r="6300" customFormat="false" ht="15" hidden="false" customHeight="true" outlineLevel="0" collapsed="false">
      <c r="A6300" s="0" t="n">
        <v>2</v>
      </c>
      <c r="B6300" s="71" t="n">
        <v>46251</v>
      </c>
      <c r="C6300" s="0" t="n">
        <v>11</v>
      </c>
      <c r="D6300" s="0" t="s">
        <v>2471</v>
      </c>
      <c r="E6300" s="0" t="n">
        <v>1636</v>
      </c>
      <c r="F6300" s="0" t="s">
        <v>61</v>
      </c>
      <c r="I6300" s="0" t="n">
        <v>3237634</v>
      </c>
      <c r="J6300" s="0" t="n">
        <v>82095</v>
      </c>
      <c r="K6300" s="0" t="n">
        <v>7898663111675</v>
      </c>
      <c r="L6300" s="0" t="s">
        <v>4876</v>
      </c>
      <c r="N6300" s="0" t="n">
        <v>6</v>
      </c>
      <c r="O6300" s="0" t="n">
        <v>57.6</v>
      </c>
      <c r="P6300" s="0" t="s">
        <v>2444</v>
      </c>
    </row>
    <row r="6301" customFormat="false" ht="15" hidden="false" customHeight="true" outlineLevel="0" collapsed="false">
      <c r="A6301" s="0" t="n">
        <v>2</v>
      </c>
      <c r="B6301" s="71" t="n">
        <v>46251</v>
      </c>
      <c r="C6301" s="0" t="n">
        <v>11</v>
      </c>
      <c r="D6301" s="0" t="s">
        <v>2471</v>
      </c>
      <c r="E6301" s="0" t="n">
        <v>1636</v>
      </c>
      <c r="F6301" s="0" t="s">
        <v>61</v>
      </c>
      <c r="I6301" s="0" t="n">
        <v>3237634</v>
      </c>
      <c r="J6301" s="0" t="n">
        <v>82096</v>
      </c>
      <c r="K6301" s="0" t="n">
        <v>7894650016435</v>
      </c>
      <c r="L6301" s="0" t="s">
        <v>4877</v>
      </c>
      <c r="N6301" s="0" t="n">
        <v>3</v>
      </c>
      <c r="O6301" s="0" t="n">
        <v>27.81</v>
      </c>
      <c r="P6301" s="0" t="s">
        <v>2444</v>
      </c>
    </row>
    <row r="6302" customFormat="false" ht="15" hidden="false" customHeight="true" outlineLevel="0" collapsed="false">
      <c r="A6302" s="0" t="n">
        <v>2</v>
      </c>
      <c r="B6302" s="71" t="n">
        <v>46251</v>
      </c>
      <c r="C6302" s="0" t="n">
        <v>22</v>
      </c>
      <c r="D6302" s="0" t="s">
        <v>2479</v>
      </c>
      <c r="E6302" s="0" t="n">
        <v>48</v>
      </c>
      <c r="F6302" s="0" t="s">
        <v>153</v>
      </c>
      <c r="I6302" s="0" t="n">
        <v>2608</v>
      </c>
      <c r="J6302" s="0" t="n">
        <v>100000</v>
      </c>
      <c r="K6302" s="0" t="n">
        <v>1</v>
      </c>
      <c r="L6302" s="0" t="s">
        <v>2480</v>
      </c>
      <c r="N6302" s="0" t="n">
        <v>2.434</v>
      </c>
      <c r="O6302" s="0" t="n">
        <v>47.76</v>
      </c>
      <c r="P6302" s="0" t="s">
        <v>2444</v>
      </c>
    </row>
    <row r="6303" customFormat="false" ht="15" hidden="false" customHeight="true" outlineLevel="0" collapsed="false">
      <c r="A6303" s="0" t="n">
        <v>2</v>
      </c>
      <c r="B6303" s="71" t="n">
        <v>46251</v>
      </c>
      <c r="C6303" s="0" t="n">
        <v>22</v>
      </c>
      <c r="D6303" s="0" t="s">
        <v>2479</v>
      </c>
      <c r="E6303" s="0" t="n">
        <v>48</v>
      </c>
      <c r="F6303" s="0" t="s">
        <v>153</v>
      </c>
      <c r="I6303" s="0" t="n">
        <v>2608</v>
      </c>
      <c r="J6303" s="0" t="n">
        <v>100000</v>
      </c>
      <c r="K6303" s="0" t="n">
        <v>1</v>
      </c>
      <c r="L6303" s="0" t="s">
        <v>2480</v>
      </c>
      <c r="N6303" s="0" t="n">
        <v>2.612</v>
      </c>
      <c r="O6303" s="0" t="n">
        <v>52.63</v>
      </c>
      <c r="P6303" s="0" t="s">
        <v>2444</v>
      </c>
    </row>
    <row r="6304" customFormat="false" ht="15" hidden="false" customHeight="true" outlineLevel="0" collapsed="false">
      <c r="A6304" s="0" t="n">
        <v>2</v>
      </c>
      <c r="B6304" s="71" t="n">
        <v>46251</v>
      </c>
      <c r="C6304" s="0" t="n">
        <v>22</v>
      </c>
      <c r="D6304" s="0" t="s">
        <v>2479</v>
      </c>
      <c r="E6304" s="0" t="n">
        <v>48</v>
      </c>
      <c r="F6304" s="0" t="s">
        <v>153</v>
      </c>
      <c r="I6304" s="0" t="n">
        <v>2608</v>
      </c>
      <c r="J6304" s="0" t="n">
        <v>100001</v>
      </c>
      <c r="K6304" s="0" t="n">
        <v>2</v>
      </c>
      <c r="L6304" s="0" t="s">
        <v>2481</v>
      </c>
      <c r="N6304" s="0" t="n">
        <v>10.54</v>
      </c>
      <c r="O6304" s="0" t="n">
        <v>224.07</v>
      </c>
      <c r="P6304" s="0" t="s">
        <v>2444</v>
      </c>
    </row>
    <row r="6305" customFormat="false" ht="15" hidden="false" customHeight="true" outlineLevel="0" collapsed="false">
      <c r="A6305" s="0" t="n">
        <v>2</v>
      </c>
      <c r="B6305" s="71" t="n">
        <v>46251</v>
      </c>
      <c r="C6305" s="0" t="n">
        <v>22</v>
      </c>
      <c r="D6305" s="0" t="s">
        <v>2479</v>
      </c>
      <c r="E6305" s="0" t="n">
        <v>48</v>
      </c>
      <c r="F6305" s="0" t="s">
        <v>153</v>
      </c>
      <c r="I6305" s="0" t="n">
        <v>2608</v>
      </c>
      <c r="J6305" s="0" t="n">
        <v>100002</v>
      </c>
      <c r="K6305" s="0" t="n">
        <v>3</v>
      </c>
      <c r="L6305" s="0" t="s">
        <v>2482</v>
      </c>
      <c r="N6305" s="0" t="n">
        <v>15.67</v>
      </c>
      <c r="O6305" s="0" t="n">
        <v>384.4</v>
      </c>
      <c r="P6305" s="0" t="s">
        <v>2444</v>
      </c>
    </row>
    <row r="6306" customFormat="false" ht="15" hidden="false" customHeight="true" outlineLevel="0" collapsed="false">
      <c r="A6306" s="0" t="n">
        <v>2</v>
      </c>
      <c r="B6306" s="71" t="n">
        <v>46251</v>
      </c>
      <c r="C6306" s="0" t="n">
        <v>22</v>
      </c>
      <c r="D6306" s="0" t="s">
        <v>2479</v>
      </c>
      <c r="E6306" s="0" t="n">
        <v>48</v>
      </c>
      <c r="F6306" s="0" t="s">
        <v>153</v>
      </c>
      <c r="I6306" s="0" t="n">
        <v>2608</v>
      </c>
      <c r="J6306" s="0" t="n">
        <v>100003</v>
      </c>
      <c r="K6306" s="0" t="n">
        <v>4</v>
      </c>
      <c r="L6306" s="0" t="s">
        <v>2483</v>
      </c>
      <c r="N6306" s="0" t="n">
        <v>17.04</v>
      </c>
      <c r="O6306" s="0" t="n">
        <v>445.88</v>
      </c>
      <c r="P6306" s="0" t="s">
        <v>2444</v>
      </c>
    </row>
    <row r="6307" customFormat="false" ht="15" hidden="false" customHeight="true" outlineLevel="0" collapsed="false">
      <c r="A6307" s="0" t="n">
        <v>2</v>
      </c>
      <c r="B6307" s="71" t="n">
        <v>46251</v>
      </c>
      <c r="C6307" s="0" t="n">
        <v>22</v>
      </c>
      <c r="D6307" s="0" t="s">
        <v>2479</v>
      </c>
      <c r="E6307" s="0" t="n">
        <v>48</v>
      </c>
      <c r="F6307" s="0" t="s">
        <v>153</v>
      </c>
      <c r="I6307" s="0" t="n">
        <v>2608</v>
      </c>
      <c r="J6307" s="0" t="n">
        <v>100004</v>
      </c>
      <c r="K6307" s="0" t="n">
        <v>5</v>
      </c>
      <c r="L6307" s="0" t="s">
        <v>2484</v>
      </c>
      <c r="N6307" s="0" t="n">
        <v>1.442</v>
      </c>
      <c r="O6307" s="0" t="n">
        <v>33.01</v>
      </c>
      <c r="P6307" s="0" t="s">
        <v>2444</v>
      </c>
    </row>
    <row r="6308" customFormat="false" ht="15" hidden="false" customHeight="true" outlineLevel="0" collapsed="false">
      <c r="A6308" s="0" t="n">
        <v>2</v>
      </c>
      <c r="B6308" s="71" t="n">
        <v>46251</v>
      </c>
      <c r="C6308" s="0" t="n">
        <v>22</v>
      </c>
      <c r="D6308" s="0" t="s">
        <v>2479</v>
      </c>
      <c r="E6308" s="0" t="n">
        <v>48</v>
      </c>
      <c r="F6308" s="0" t="s">
        <v>153</v>
      </c>
      <c r="I6308" s="0" t="n">
        <v>2608</v>
      </c>
      <c r="J6308" s="0" t="n">
        <v>100005</v>
      </c>
      <c r="K6308" s="0" t="n">
        <v>6</v>
      </c>
      <c r="L6308" s="0" t="s">
        <v>2582</v>
      </c>
      <c r="N6308" s="0" t="n">
        <v>1.442</v>
      </c>
      <c r="O6308" s="0" t="n">
        <v>35.37</v>
      </c>
      <c r="P6308" s="0" t="s">
        <v>2444</v>
      </c>
    </row>
    <row r="6309" customFormat="false" ht="15" hidden="false" customHeight="true" outlineLevel="0" collapsed="false">
      <c r="A6309" s="0" t="n">
        <v>2</v>
      </c>
      <c r="B6309" s="71" t="n">
        <v>46251</v>
      </c>
      <c r="C6309" s="0" t="n">
        <v>22</v>
      </c>
      <c r="D6309" s="0" t="s">
        <v>2479</v>
      </c>
      <c r="E6309" s="0" t="n">
        <v>48</v>
      </c>
      <c r="F6309" s="0" t="s">
        <v>153</v>
      </c>
      <c r="I6309" s="0" t="n">
        <v>2608</v>
      </c>
      <c r="J6309" s="0" t="n">
        <v>100006</v>
      </c>
      <c r="K6309" s="0" t="n">
        <v>7</v>
      </c>
      <c r="L6309" s="0" t="s">
        <v>2485</v>
      </c>
      <c r="N6309" s="0" t="n">
        <v>2.088</v>
      </c>
      <c r="O6309" s="0" t="n">
        <v>59.61</v>
      </c>
      <c r="P6309" s="0" t="s">
        <v>2444</v>
      </c>
    </row>
    <row r="6310" customFormat="false" ht="15" hidden="false" customHeight="true" outlineLevel="0" collapsed="false">
      <c r="A6310" s="0" t="n">
        <v>2</v>
      </c>
      <c r="B6310" s="71" t="n">
        <v>46251</v>
      </c>
      <c r="C6310" s="0" t="n">
        <v>22</v>
      </c>
      <c r="D6310" s="0" t="s">
        <v>2479</v>
      </c>
      <c r="E6310" s="0" t="n">
        <v>48</v>
      </c>
      <c r="F6310" s="0" t="s">
        <v>153</v>
      </c>
      <c r="I6310" s="0" t="n">
        <v>2608</v>
      </c>
      <c r="J6310" s="0" t="n">
        <v>100007</v>
      </c>
      <c r="K6310" s="0" t="n">
        <v>8</v>
      </c>
      <c r="L6310" s="0" t="s">
        <v>2486</v>
      </c>
      <c r="N6310" s="0" t="n">
        <v>1.318</v>
      </c>
      <c r="O6310" s="0" t="n">
        <v>32.33</v>
      </c>
      <c r="P6310" s="0" t="s">
        <v>2444</v>
      </c>
    </row>
    <row r="6311" customFormat="false" ht="15" hidden="false" customHeight="true" outlineLevel="0" collapsed="false">
      <c r="A6311" s="0" t="n">
        <v>2</v>
      </c>
      <c r="B6311" s="71" t="n">
        <v>46251</v>
      </c>
      <c r="C6311" s="0" t="n">
        <v>22</v>
      </c>
      <c r="D6311" s="0" t="s">
        <v>2479</v>
      </c>
      <c r="E6311" s="0" t="n">
        <v>48</v>
      </c>
      <c r="F6311" s="0" t="s">
        <v>153</v>
      </c>
      <c r="I6311" s="0" t="n">
        <v>2608</v>
      </c>
      <c r="J6311" s="0" t="n">
        <v>100007</v>
      </c>
      <c r="K6311" s="0" t="n">
        <v>8</v>
      </c>
      <c r="L6311" s="0" t="s">
        <v>2486</v>
      </c>
      <c r="N6311" s="0" t="n">
        <v>1.75</v>
      </c>
      <c r="O6311" s="0" t="n">
        <v>44.08</v>
      </c>
      <c r="P6311" s="0" t="s">
        <v>2444</v>
      </c>
    </row>
    <row r="6312" customFormat="false" ht="15" hidden="false" customHeight="true" outlineLevel="0" collapsed="false">
      <c r="A6312" s="0" t="n">
        <v>2</v>
      </c>
      <c r="B6312" s="71" t="n">
        <v>46251</v>
      </c>
      <c r="C6312" s="0" t="n">
        <v>22</v>
      </c>
      <c r="D6312" s="0" t="s">
        <v>2479</v>
      </c>
      <c r="E6312" s="0" t="n">
        <v>48</v>
      </c>
      <c r="F6312" s="0" t="s">
        <v>153</v>
      </c>
      <c r="I6312" s="0" t="n">
        <v>2608</v>
      </c>
      <c r="J6312" s="0" t="n">
        <v>100008</v>
      </c>
      <c r="K6312" s="0" t="n">
        <v>9</v>
      </c>
      <c r="L6312" s="0" t="s">
        <v>2487</v>
      </c>
      <c r="N6312" s="0" t="n">
        <v>14.235</v>
      </c>
      <c r="O6312" s="0" t="n">
        <v>466.2</v>
      </c>
      <c r="P6312" s="0" t="s">
        <v>2444</v>
      </c>
    </row>
    <row r="6313" customFormat="false" ht="15" hidden="false" customHeight="true" outlineLevel="0" collapsed="false">
      <c r="A6313" s="0" t="n">
        <v>2</v>
      </c>
      <c r="B6313" s="71" t="n">
        <v>46251</v>
      </c>
      <c r="C6313" s="0" t="n">
        <v>22</v>
      </c>
      <c r="D6313" s="0" t="s">
        <v>2479</v>
      </c>
      <c r="E6313" s="0" t="n">
        <v>48</v>
      </c>
      <c r="F6313" s="0" t="s">
        <v>153</v>
      </c>
      <c r="I6313" s="0" t="n">
        <v>2608</v>
      </c>
      <c r="J6313" s="0" t="n">
        <v>100011</v>
      </c>
      <c r="K6313" s="0" t="n">
        <v>12</v>
      </c>
      <c r="L6313" s="0" t="s">
        <v>2488</v>
      </c>
      <c r="N6313" s="0" t="n">
        <v>9.01</v>
      </c>
      <c r="O6313" s="0" t="n">
        <v>340.49</v>
      </c>
      <c r="P6313" s="0" t="s">
        <v>2444</v>
      </c>
    </row>
    <row r="6314" customFormat="false" ht="15" hidden="false" customHeight="true" outlineLevel="0" collapsed="false">
      <c r="A6314" s="0" t="n">
        <v>2</v>
      </c>
      <c r="B6314" s="71" t="n">
        <v>46251</v>
      </c>
      <c r="C6314" s="0" t="n">
        <v>22</v>
      </c>
      <c r="D6314" s="0" t="s">
        <v>2479</v>
      </c>
      <c r="E6314" s="0" t="n">
        <v>48</v>
      </c>
      <c r="F6314" s="0" t="s">
        <v>153</v>
      </c>
      <c r="I6314" s="0" t="n">
        <v>2608</v>
      </c>
      <c r="J6314" s="0" t="n">
        <v>100012</v>
      </c>
      <c r="K6314" s="0" t="n">
        <v>13</v>
      </c>
      <c r="L6314" s="0" t="s">
        <v>2489</v>
      </c>
      <c r="N6314" s="0" t="n">
        <v>5.156</v>
      </c>
      <c r="O6314" s="0" t="n">
        <v>216.5</v>
      </c>
      <c r="P6314" s="0" t="s">
        <v>2444</v>
      </c>
    </row>
    <row r="6315" customFormat="false" ht="15" hidden="false" customHeight="true" outlineLevel="0" collapsed="false">
      <c r="A6315" s="0" t="n">
        <v>2</v>
      </c>
      <c r="B6315" s="71" t="n">
        <v>46251</v>
      </c>
      <c r="C6315" s="0" t="n">
        <v>22</v>
      </c>
      <c r="D6315" s="0" t="s">
        <v>2479</v>
      </c>
      <c r="E6315" s="0" t="n">
        <v>48</v>
      </c>
      <c r="F6315" s="0" t="s">
        <v>153</v>
      </c>
      <c r="I6315" s="0" t="n">
        <v>2608</v>
      </c>
      <c r="J6315" s="0" t="n">
        <v>100013</v>
      </c>
      <c r="K6315" s="0" t="n">
        <v>14</v>
      </c>
      <c r="L6315" s="0" t="s">
        <v>2490</v>
      </c>
      <c r="N6315" s="0" t="n">
        <v>10.41</v>
      </c>
      <c r="O6315" s="0" t="n">
        <v>463.35</v>
      </c>
      <c r="P6315" s="0" t="s">
        <v>2444</v>
      </c>
    </row>
    <row r="6316" customFormat="false" ht="15" hidden="false" customHeight="true" outlineLevel="0" collapsed="false">
      <c r="A6316" s="0" t="n">
        <v>2</v>
      </c>
      <c r="B6316" s="71" t="n">
        <v>46251</v>
      </c>
      <c r="C6316" s="0" t="n">
        <v>22</v>
      </c>
      <c r="D6316" s="0" t="s">
        <v>2479</v>
      </c>
      <c r="E6316" s="0" t="n">
        <v>48</v>
      </c>
      <c r="F6316" s="0" t="s">
        <v>153</v>
      </c>
      <c r="I6316" s="0" t="n">
        <v>2608</v>
      </c>
      <c r="J6316" s="0" t="n">
        <v>100014</v>
      </c>
      <c r="K6316" s="0" t="n">
        <v>15</v>
      </c>
      <c r="L6316" s="0" t="s">
        <v>2491</v>
      </c>
      <c r="N6316" s="0" t="n">
        <v>4.082</v>
      </c>
      <c r="O6316" s="0" t="n">
        <v>185.12</v>
      </c>
      <c r="P6316" s="0" t="s">
        <v>2444</v>
      </c>
    </row>
    <row r="6317" customFormat="false" ht="15" hidden="false" customHeight="true" outlineLevel="0" collapsed="false">
      <c r="A6317" s="0" t="n">
        <v>2</v>
      </c>
      <c r="B6317" s="71" t="n">
        <v>46251</v>
      </c>
      <c r="C6317" s="0" t="n">
        <v>22</v>
      </c>
      <c r="D6317" s="0" t="s">
        <v>2479</v>
      </c>
      <c r="E6317" s="0" t="n">
        <v>48</v>
      </c>
      <c r="F6317" s="0" t="s">
        <v>153</v>
      </c>
      <c r="I6317" s="0" t="n">
        <v>2608</v>
      </c>
      <c r="J6317" s="0" t="n">
        <v>100015</v>
      </c>
      <c r="K6317" s="0" t="n">
        <v>16</v>
      </c>
      <c r="L6317" s="0" t="s">
        <v>2492</v>
      </c>
      <c r="N6317" s="0" t="n">
        <v>1.65</v>
      </c>
      <c r="O6317" s="0" t="n">
        <v>66.51</v>
      </c>
      <c r="P6317" s="0" t="s">
        <v>2444</v>
      </c>
    </row>
    <row r="6318" customFormat="false" ht="15" hidden="false" customHeight="true" outlineLevel="0" collapsed="false">
      <c r="A6318" s="0" t="n">
        <v>2</v>
      </c>
      <c r="B6318" s="71" t="n">
        <v>46251</v>
      </c>
      <c r="C6318" s="0" t="n">
        <v>22</v>
      </c>
      <c r="D6318" s="0" t="s">
        <v>2479</v>
      </c>
      <c r="E6318" s="0" t="n">
        <v>48</v>
      </c>
      <c r="F6318" s="0" t="s">
        <v>153</v>
      </c>
      <c r="I6318" s="0" t="n">
        <v>2608</v>
      </c>
      <c r="J6318" s="0" t="n">
        <v>100016</v>
      </c>
      <c r="K6318" s="0" t="n">
        <v>17</v>
      </c>
      <c r="L6318" s="0" t="s">
        <v>2493</v>
      </c>
      <c r="N6318" s="0" t="n">
        <v>2.244</v>
      </c>
      <c r="O6318" s="0" t="n">
        <v>131.92</v>
      </c>
      <c r="P6318" s="0" t="s">
        <v>2444</v>
      </c>
    </row>
    <row r="6319" customFormat="false" ht="15" hidden="false" customHeight="true" outlineLevel="0" collapsed="false">
      <c r="A6319" s="0" t="n">
        <v>2</v>
      </c>
      <c r="B6319" s="71" t="n">
        <v>46251</v>
      </c>
      <c r="C6319" s="0" t="n">
        <v>22</v>
      </c>
      <c r="D6319" s="0" t="s">
        <v>2479</v>
      </c>
      <c r="E6319" s="0" t="n">
        <v>48</v>
      </c>
      <c r="F6319" s="0" t="s">
        <v>153</v>
      </c>
      <c r="I6319" s="0" t="n">
        <v>2608</v>
      </c>
      <c r="J6319" s="0" t="n">
        <v>100017</v>
      </c>
      <c r="K6319" s="0" t="n">
        <v>18</v>
      </c>
      <c r="L6319" s="0" t="s">
        <v>2494</v>
      </c>
      <c r="N6319" s="0" t="n">
        <v>1.48</v>
      </c>
      <c r="O6319" s="0" t="n">
        <v>87.01</v>
      </c>
      <c r="P6319" s="0" t="s">
        <v>2444</v>
      </c>
    </row>
    <row r="6320" customFormat="false" ht="15" hidden="false" customHeight="true" outlineLevel="0" collapsed="false">
      <c r="A6320" s="0" t="n">
        <v>2</v>
      </c>
      <c r="B6320" s="71" t="n">
        <v>46251</v>
      </c>
      <c r="C6320" s="0" t="n">
        <v>22</v>
      </c>
      <c r="D6320" s="0" t="s">
        <v>2479</v>
      </c>
      <c r="E6320" s="0" t="n">
        <v>48</v>
      </c>
      <c r="F6320" s="0" t="s">
        <v>153</v>
      </c>
      <c r="I6320" s="0" t="n">
        <v>2608</v>
      </c>
      <c r="J6320" s="0" t="n">
        <v>100020</v>
      </c>
      <c r="K6320" s="0" t="n">
        <v>21</v>
      </c>
      <c r="L6320" s="0" t="s">
        <v>4878</v>
      </c>
      <c r="N6320" s="0" t="n">
        <v>0.91</v>
      </c>
      <c r="O6320" s="0" t="n">
        <v>29.8</v>
      </c>
      <c r="P6320" s="0" t="s">
        <v>2444</v>
      </c>
    </row>
    <row r="6321" customFormat="false" ht="15" hidden="false" customHeight="true" outlineLevel="0" collapsed="false">
      <c r="A6321" s="0" t="n">
        <v>2</v>
      </c>
      <c r="B6321" s="71" t="n">
        <v>46251</v>
      </c>
      <c r="C6321" s="0" t="n">
        <v>22</v>
      </c>
      <c r="D6321" s="0" t="s">
        <v>2479</v>
      </c>
      <c r="E6321" s="0" t="n">
        <v>48</v>
      </c>
      <c r="F6321" s="0" t="s">
        <v>153</v>
      </c>
      <c r="I6321" s="0" t="n">
        <v>2608</v>
      </c>
      <c r="J6321" s="0" t="n">
        <v>100053</v>
      </c>
      <c r="K6321" s="0" t="n">
        <v>54</v>
      </c>
      <c r="L6321" s="0" t="s">
        <v>2495</v>
      </c>
      <c r="N6321" s="0" t="n">
        <v>2.49</v>
      </c>
      <c r="O6321" s="0" t="n">
        <v>92.01</v>
      </c>
      <c r="P6321" s="0" t="s">
        <v>2444</v>
      </c>
    </row>
    <row r="6322" customFormat="false" ht="15" hidden="false" customHeight="true" outlineLevel="0" collapsed="false">
      <c r="A6322" s="0" t="n">
        <v>2</v>
      </c>
      <c r="B6322" s="71" t="n">
        <v>46251</v>
      </c>
      <c r="C6322" s="0" t="n">
        <v>22</v>
      </c>
      <c r="D6322" s="0" t="s">
        <v>2479</v>
      </c>
      <c r="E6322" s="0" t="n">
        <v>48</v>
      </c>
      <c r="F6322" s="0" t="s">
        <v>153</v>
      </c>
      <c r="I6322" s="0" t="n">
        <v>2608</v>
      </c>
      <c r="J6322" s="0" t="n">
        <v>100638</v>
      </c>
      <c r="K6322" s="0" t="n">
        <v>508</v>
      </c>
      <c r="L6322" s="0" t="s">
        <v>2496</v>
      </c>
      <c r="N6322" s="0" t="n">
        <v>1.528</v>
      </c>
      <c r="O6322" s="0" t="n">
        <v>3.84</v>
      </c>
      <c r="P6322" s="0" t="s">
        <v>2444</v>
      </c>
    </row>
    <row r="6323" customFormat="false" ht="15" hidden="false" customHeight="true" outlineLevel="0" collapsed="false">
      <c r="A6323" s="0" t="n">
        <v>2</v>
      </c>
      <c r="B6323" s="71" t="n">
        <v>46251</v>
      </c>
      <c r="C6323" s="0" t="n">
        <v>22</v>
      </c>
      <c r="D6323" s="0" t="s">
        <v>2479</v>
      </c>
      <c r="E6323" s="0" t="n">
        <v>48</v>
      </c>
      <c r="F6323" s="0" t="s">
        <v>153</v>
      </c>
      <c r="I6323" s="0" t="n">
        <v>2608</v>
      </c>
      <c r="J6323" s="0" t="n">
        <v>100638</v>
      </c>
      <c r="K6323" s="0" t="n">
        <v>508</v>
      </c>
      <c r="L6323" s="0" t="s">
        <v>2496</v>
      </c>
      <c r="N6323" s="0" t="n">
        <v>1.178</v>
      </c>
      <c r="O6323" s="0" t="n">
        <v>2.88</v>
      </c>
      <c r="P6323" s="0" t="s">
        <v>2444</v>
      </c>
    </row>
    <row r="6324" customFormat="false" ht="15" hidden="false" customHeight="true" outlineLevel="0" collapsed="false">
      <c r="A6324" s="0" t="n">
        <v>2</v>
      </c>
      <c r="B6324" s="71" t="n">
        <v>46251</v>
      </c>
      <c r="C6324" s="0" t="n">
        <v>22</v>
      </c>
      <c r="D6324" s="0" t="s">
        <v>2479</v>
      </c>
      <c r="E6324" s="0" t="n">
        <v>48</v>
      </c>
      <c r="F6324" s="0" t="s">
        <v>153</v>
      </c>
      <c r="I6324" s="0" t="n">
        <v>2608</v>
      </c>
      <c r="J6324" s="0" t="n">
        <v>100520</v>
      </c>
      <c r="K6324" s="0" t="n">
        <v>507</v>
      </c>
      <c r="L6324" s="0" t="s">
        <v>2497</v>
      </c>
      <c r="N6324" s="0" t="n">
        <v>9.125</v>
      </c>
      <c r="O6324" s="0" t="n">
        <v>22.92</v>
      </c>
      <c r="P6324" s="0" t="s">
        <v>2444</v>
      </c>
    </row>
    <row r="6325" customFormat="false" ht="15" hidden="false" customHeight="true" outlineLevel="0" collapsed="false">
      <c r="A6325" s="0" t="n">
        <v>2</v>
      </c>
      <c r="B6325" s="71" t="n">
        <v>46251</v>
      </c>
      <c r="C6325" s="0" t="n">
        <v>22</v>
      </c>
      <c r="D6325" s="0" t="s">
        <v>2479</v>
      </c>
      <c r="E6325" s="0" t="n">
        <v>48</v>
      </c>
      <c r="F6325" s="0" t="s">
        <v>153</v>
      </c>
      <c r="I6325" s="0" t="n">
        <v>2608</v>
      </c>
      <c r="J6325" s="0" t="n">
        <v>100520</v>
      </c>
      <c r="K6325" s="0" t="n">
        <v>507</v>
      </c>
      <c r="L6325" s="0" t="s">
        <v>2497</v>
      </c>
      <c r="N6325" s="0" t="n">
        <v>1.954</v>
      </c>
      <c r="O6325" s="0" t="n">
        <v>4.78</v>
      </c>
      <c r="P6325" s="0" t="s">
        <v>2444</v>
      </c>
    </row>
    <row r="6326" customFormat="false" ht="15" hidden="false" customHeight="true" outlineLevel="0" collapsed="false">
      <c r="A6326" s="0" t="n">
        <v>2</v>
      </c>
      <c r="B6326" s="71" t="n">
        <v>46251</v>
      </c>
      <c r="C6326" s="0" t="n">
        <v>22</v>
      </c>
      <c r="D6326" s="0" t="s">
        <v>2479</v>
      </c>
      <c r="E6326" s="0" t="n">
        <v>48</v>
      </c>
      <c r="F6326" s="0" t="s">
        <v>153</v>
      </c>
      <c r="I6326" s="0" t="n">
        <v>2608</v>
      </c>
      <c r="J6326" s="0" t="n">
        <v>110455</v>
      </c>
      <c r="K6326" s="0" t="n">
        <v>53212</v>
      </c>
      <c r="L6326" s="0" t="s">
        <v>2498</v>
      </c>
      <c r="N6326" s="0" t="n">
        <v>0.782</v>
      </c>
      <c r="O6326" s="0" t="n">
        <v>0.02</v>
      </c>
      <c r="P6326" s="0" t="s">
        <v>2444</v>
      </c>
    </row>
    <row r="6327" customFormat="false" ht="15" hidden="false" customHeight="true" outlineLevel="0" collapsed="false">
      <c r="A6327" s="0" t="n">
        <v>2</v>
      </c>
      <c r="B6327" s="71" t="n">
        <v>46251</v>
      </c>
      <c r="C6327" s="0" t="n">
        <v>22</v>
      </c>
      <c r="D6327" s="0" t="s">
        <v>2479</v>
      </c>
      <c r="E6327" s="0" t="n">
        <v>48</v>
      </c>
      <c r="F6327" s="0" t="s">
        <v>153</v>
      </c>
      <c r="I6327" s="0" t="n">
        <v>2608</v>
      </c>
      <c r="J6327" s="0" t="n">
        <v>110455</v>
      </c>
      <c r="K6327" s="0" t="n">
        <v>53212</v>
      </c>
      <c r="L6327" s="0" t="s">
        <v>2498</v>
      </c>
      <c r="N6327" s="0" t="n">
        <v>0.83</v>
      </c>
      <c r="O6327" s="0" t="n">
        <v>0.01</v>
      </c>
      <c r="P6327" s="0" t="s">
        <v>2444</v>
      </c>
    </row>
    <row r="6328" customFormat="false" ht="15" hidden="false" customHeight="true" outlineLevel="0" collapsed="false">
      <c r="A6328" s="0" t="n">
        <v>2</v>
      </c>
      <c r="B6328" s="71" t="n">
        <v>46251</v>
      </c>
      <c r="C6328" s="0" t="n">
        <v>100</v>
      </c>
      <c r="D6328" s="0" t="s">
        <v>2499</v>
      </c>
      <c r="E6328" s="0" t="n">
        <v>48</v>
      </c>
      <c r="F6328" s="0" t="s">
        <v>153</v>
      </c>
      <c r="I6328" s="0" t="n">
        <v>1562570</v>
      </c>
      <c r="J6328" s="0" t="n">
        <v>100000</v>
      </c>
      <c r="K6328" s="0" t="n">
        <v>1</v>
      </c>
      <c r="L6328" s="0" t="s">
        <v>2480</v>
      </c>
      <c r="N6328" s="0" t="n">
        <v>2.612</v>
      </c>
      <c r="O6328" s="0" t="n">
        <v>52.63</v>
      </c>
      <c r="P6328" s="0" t="s">
        <v>2444</v>
      </c>
    </row>
    <row r="6329" customFormat="false" ht="15" hidden="false" customHeight="true" outlineLevel="0" collapsed="false">
      <c r="A6329" s="0" t="n">
        <v>2</v>
      </c>
      <c r="B6329" s="71" t="n">
        <v>46251</v>
      </c>
      <c r="C6329" s="0" t="n">
        <v>100</v>
      </c>
      <c r="D6329" s="0" t="s">
        <v>2499</v>
      </c>
      <c r="E6329" s="0" t="n">
        <v>48</v>
      </c>
      <c r="F6329" s="0" t="s">
        <v>153</v>
      </c>
      <c r="I6329" s="0" t="n">
        <v>1562570</v>
      </c>
      <c r="J6329" s="0" t="n">
        <v>100006</v>
      </c>
      <c r="K6329" s="0" t="n">
        <v>7</v>
      </c>
      <c r="L6329" s="0" t="s">
        <v>2485</v>
      </c>
      <c r="N6329" s="0" t="n">
        <v>2.088</v>
      </c>
      <c r="O6329" s="0" t="n">
        <v>59.61</v>
      </c>
      <c r="P6329" s="0" t="s">
        <v>2444</v>
      </c>
    </row>
    <row r="6330" customFormat="false" ht="15" hidden="false" customHeight="true" outlineLevel="0" collapsed="false">
      <c r="A6330" s="0" t="n">
        <v>2</v>
      </c>
      <c r="B6330" s="71" t="n">
        <v>46251</v>
      </c>
      <c r="C6330" s="0" t="n">
        <v>100</v>
      </c>
      <c r="D6330" s="0" t="s">
        <v>2499</v>
      </c>
      <c r="E6330" s="0" t="n">
        <v>48</v>
      </c>
      <c r="F6330" s="0" t="s">
        <v>153</v>
      </c>
      <c r="I6330" s="0" t="n">
        <v>1562570</v>
      </c>
      <c r="J6330" s="0" t="n">
        <v>100007</v>
      </c>
      <c r="K6330" s="0" t="n">
        <v>8</v>
      </c>
      <c r="L6330" s="0" t="s">
        <v>2486</v>
      </c>
      <c r="N6330" s="0" t="n">
        <v>1.75</v>
      </c>
      <c r="O6330" s="0" t="n">
        <v>44.08</v>
      </c>
      <c r="P6330" s="0" t="s">
        <v>2444</v>
      </c>
    </row>
    <row r="6331" customFormat="false" ht="15" hidden="false" customHeight="true" outlineLevel="0" collapsed="false">
      <c r="A6331" s="0" t="n">
        <v>2</v>
      </c>
      <c r="B6331" s="71" t="n">
        <v>46251</v>
      </c>
      <c r="C6331" s="0" t="n">
        <v>100</v>
      </c>
      <c r="D6331" s="0" t="s">
        <v>2499</v>
      </c>
      <c r="E6331" s="0" t="n">
        <v>48</v>
      </c>
      <c r="F6331" s="0" t="s">
        <v>153</v>
      </c>
      <c r="I6331" s="0" t="n">
        <v>1562570</v>
      </c>
      <c r="J6331" s="0" t="n">
        <v>100008</v>
      </c>
      <c r="K6331" s="0" t="n">
        <v>9</v>
      </c>
      <c r="L6331" s="0" t="s">
        <v>2487</v>
      </c>
      <c r="N6331" s="0" t="n">
        <v>14.235</v>
      </c>
      <c r="O6331" s="0" t="n">
        <v>466.2</v>
      </c>
      <c r="P6331" s="0" t="s">
        <v>2444</v>
      </c>
    </row>
    <row r="6332" customFormat="false" ht="15" hidden="false" customHeight="true" outlineLevel="0" collapsed="false">
      <c r="A6332" s="0" t="n">
        <v>2</v>
      </c>
      <c r="B6332" s="71" t="n">
        <v>46251</v>
      </c>
      <c r="C6332" s="0" t="n">
        <v>100</v>
      </c>
      <c r="D6332" s="0" t="s">
        <v>2499</v>
      </c>
      <c r="E6332" s="0" t="n">
        <v>48</v>
      </c>
      <c r="F6332" s="0" t="s">
        <v>153</v>
      </c>
      <c r="I6332" s="0" t="n">
        <v>1562570</v>
      </c>
      <c r="J6332" s="0" t="n">
        <v>100011</v>
      </c>
      <c r="K6332" s="0" t="n">
        <v>12</v>
      </c>
      <c r="L6332" s="0" t="s">
        <v>2488</v>
      </c>
      <c r="N6332" s="0" t="n">
        <v>9.01</v>
      </c>
      <c r="O6332" s="0" t="n">
        <v>340.49</v>
      </c>
      <c r="P6332" s="0" t="s">
        <v>2444</v>
      </c>
    </row>
    <row r="6333" customFormat="false" ht="15" hidden="false" customHeight="true" outlineLevel="0" collapsed="false">
      <c r="A6333" s="0" t="n">
        <v>2</v>
      </c>
      <c r="B6333" s="71" t="n">
        <v>46251</v>
      </c>
      <c r="C6333" s="0" t="n">
        <v>100</v>
      </c>
      <c r="D6333" s="0" t="s">
        <v>2499</v>
      </c>
      <c r="E6333" s="0" t="n">
        <v>48</v>
      </c>
      <c r="F6333" s="0" t="s">
        <v>153</v>
      </c>
      <c r="I6333" s="0" t="n">
        <v>1562570</v>
      </c>
      <c r="J6333" s="0" t="n">
        <v>100012</v>
      </c>
      <c r="K6333" s="0" t="n">
        <v>13</v>
      </c>
      <c r="L6333" s="0" t="s">
        <v>2489</v>
      </c>
      <c r="N6333" s="0" t="n">
        <v>5.156</v>
      </c>
      <c r="O6333" s="0" t="n">
        <v>216.5</v>
      </c>
      <c r="P6333" s="0" t="s">
        <v>2444</v>
      </c>
    </row>
    <row r="6334" customFormat="false" ht="15" hidden="false" customHeight="true" outlineLevel="0" collapsed="false">
      <c r="A6334" s="0" t="n">
        <v>2</v>
      </c>
      <c r="B6334" s="71" t="n">
        <v>46251</v>
      </c>
      <c r="C6334" s="0" t="n">
        <v>100</v>
      </c>
      <c r="D6334" s="0" t="s">
        <v>2499</v>
      </c>
      <c r="E6334" s="0" t="n">
        <v>48</v>
      </c>
      <c r="F6334" s="0" t="s">
        <v>153</v>
      </c>
      <c r="I6334" s="0" t="n">
        <v>1562570</v>
      </c>
      <c r="J6334" s="0" t="n">
        <v>100013</v>
      </c>
      <c r="K6334" s="0" t="n">
        <v>14</v>
      </c>
      <c r="L6334" s="0" t="s">
        <v>2490</v>
      </c>
      <c r="N6334" s="0" t="n">
        <v>10.41</v>
      </c>
      <c r="O6334" s="0" t="n">
        <v>463.35</v>
      </c>
      <c r="P6334" s="0" t="s">
        <v>2444</v>
      </c>
    </row>
    <row r="6335" customFormat="false" ht="15" hidden="false" customHeight="true" outlineLevel="0" collapsed="false">
      <c r="A6335" s="0" t="n">
        <v>2</v>
      </c>
      <c r="B6335" s="71" t="n">
        <v>46251</v>
      </c>
      <c r="C6335" s="0" t="n">
        <v>100</v>
      </c>
      <c r="D6335" s="0" t="s">
        <v>2499</v>
      </c>
      <c r="E6335" s="0" t="n">
        <v>48</v>
      </c>
      <c r="F6335" s="0" t="s">
        <v>153</v>
      </c>
      <c r="I6335" s="0" t="n">
        <v>1562570</v>
      </c>
      <c r="J6335" s="0" t="n">
        <v>100014</v>
      </c>
      <c r="K6335" s="0" t="n">
        <v>15</v>
      </c>
      <c r="L6335" s="0" t="s">
        <v>2491</v>
      </c>
      <c r="N6335" s="0" t="n">
        <v>4.082</v>
      </c>
      <c r="O6335" s="0" t="n">
        <v>185.12</v>
      </c>
      <c r="P6335" s="0" t="s">
        <v>2444</v>
      </c>
    </row>
    <row r="6336" customFormat="false" ht="15" hidden="false" customHeight="true" outlineLevel="0" collapsed="false">
      <c r="A6336" s="0" t="n">
        <v>2</v>
      </c>
      <c r="B6336" s="71" t="n">
        <v>46251</v>
      </c>
      <c r="C6336" s="0" t="n">
        <v>100</v>
      </c>
      <c r="D6336" s="0" t="s">
        <v>2499</v>
      </c>
      <c r="E6336" s="0" t="n">
        <v>48</v>
      </c>
      <c r="F6336" s="0" t="s">
        <v>153</v>
      </c>
      <c r="I6336" s="0" t="n">
        <v>1562570</v>
      </c>
      <c r="J6336" s="0" t="n">
        <v>100015</v>
      </c>
      <c r="K6336" s="0" t="n">
        <v>16</v>
      </c>
      <c r="L6336" s="0" t="s">
        <v>2492</v>
      </c>
      <c r="N6336" s="0" t="n">
        <v>1.65</v>
      </c>
      <c r="O6336" s="0" t="n">
        <v>66.51</v>
      </c>
      <c r="P6336" s="0" t="s">
        <v>2444</v>
      </c>
    </row>
    <row r="6337" customFormat="false" ht="15" hidden="false" customHeight="true" outlineLevel="0" collapsed="false">
      <c r="A6337" s="0" t="n">
        <v>2</v>
      </c>
      <c r="B6337" s="71" t="n">
        <v>46251</v>
      </c>
      <c r="C6337" s="0" t="n">
        <v>100</v>
      </c>
      <c r="D6337" s="0" t="s">
        <v>2499</v>
      </c>
      <c r="E6337" s="0" t="n">
        <v>48</v>
      </c>
      <c r="F6337" s="0" t="s">
        <v>153</v>
      </c>
      <c r="I6337" s="0" t="n">
        <v>1562570</v>
      </c>
      <c r="J6337" s="0" t="n">
        <v>100016</v>
      </c>
      <c r="K6337" s="0" t="n">
        <v>17</v>
      </c>
      <c r="L6337" s="0" t="s">
        <v>2493</v>
      </c>
      <c r="N6337" s="0" t="n">
        <v>2.244</v>
      </c>
      <c r="O6337" s="0" t="n">
        <v>131.92</v>
      </c>
      <c r="P6337" s="0" t="s">
        <v>2444</v>
      </c>
    </row>
    <row r="6338" customFormat="false" ht="15" hidden="false" customHeight="true" outlineLevel="0" collapsed="false">
      <c r="A6338" s="0" t="n">
        <v>2</v>
      </c>
      <c r="B6338" s="71" t="n">
        <v>46251</v>
      </c>
      <c r="C6338" s="0" t="n">
        <v>100</v>
      </c>
      <c r="D6338" s="0" t="s">
        <v>2499</v>
      </c>
      <c r="E6338" s="0" t="n">
        <v>48</v>
      </c>
      <c r="F6338" s="0" t="s">
        <v>153</v>
      </c>
      <c r="I6338" s="0" t="n">
        <v>1562570</v>
      </c>
      <c r="J6338" s="0" t="n">
        <v>100017</v>
      </c>
      <c r="K6338" s="0" t="n">
        <v>18</v>
      </c>
      <c r="L6338" s="0" t="s">
        <v>2494</v>
      </c>
      <c r="N6338" s="0" t="n">
        <v>1.48</v>
      </c>
      <c r="O6338" s="0" t="n">
        <v>87.01</v>
      </c>
      <c r="P6338" s="0" t="s">
        <v>2444</v>
      </c>
    </row>
    <row r="6339" customFormat="false" ht="15" hidden="false" customHeight="true" outlineLevel="0" collapsed="false">
      <c r="A6339" s="0" t="n">
        <v>2</v>
      </c>
      <c r="B6339" s="71" t="n">
        <v>46251</v>
      </c>
      <c r="C6339" s="0" t="n">
        <v>100</v>
      </c>
      <c r="D6339" s="0" t="s">
        <v>2499</v>
      </c>
      <c r="E6339" s="0" t="n">
        <v>48</v>
      </c>
      <c r="F6339" s="0" t="s">
        <v>153</v>
      </c>
      <c r="I6339" s="0" t="n">
        <v>1562570</v>
      </c>
      <c r="J6339" s="0" t="n">
        <v>100020</v>
      </c>
      <c r="K6339" s="0" t="n">
        <v>21</v>
      </c>
      <c r="L6339" s="0" t="s">
        <v>4878</v>
      </c>
      <c r="N6339" s="0" t="n">
        <v>0.91</v>
      </c>
      <c r="O6339" s="0" t="n">
        <v>29.8</v>
      </c>
      <c r="P6339" s="0" t="s">
        <v>2444</v>
      </c>
    </row>
    <row r="6340" customFormat="false" ht="15" hidden="false" customHeight="true" outlineLevel="0" collapsed="false">
      <c r="A6340" s="0" t="n">
        <v>2</v>
      </c>
      <c r="B6340" s="71" t="n">
        <v>46251</v>
      </c>
      <c r="C6340" s="0" t="n">
        <v>100</v>
      </c>
      <c r="D6340" s="0" t="s">
        <v>2499</v>
      </c>
      <c r="E6340" s="0" t="n">
        <v>48</v>
      </c>
      <c r="F6340" s="0" t="s">
        <v>153</v>
      </c>
      <c r="I6340" s="0" t="n">
        <v>1562570</v>
      </c>
      <c r="J6340" s="0" t="n">
        <v>100053</v>
      </c>
      <c r="K6340" s="0" t="n">
        <v>54</v>
      </c>
      <c r="L6340" s="0" t="s">
        <v>2495</v>
      </c>
      <c r="N6340" s="0" t="n">
        <v>2.49</v>
      </c>
      <c r="O6340" s="0" t="n">
        <v>92.01</v>
      </c>
      <c r="P6340" s="0" t="s">
        <v>2444</v>
      </c>
    </row>
    <row r="6341" customFormat="false" ht="15" hidden="false" customHeight="true" outlineLevel="0" collapsed="false">
      <c r="A6341" s="0" t="n">
        <v>2</v>
      </c>
      <c r="B6341" s="71" t="n">
        <v>46251</v>
      </c>
      <c r="C6341" s="0" t="n">
        <v>100</v>
      </c>
      <c r="D6341" s="0" t="s">
        <v>2499</v>
      </c>
      <c r="E6341" s="0" t="n">
        <v>48</v>
      </c>
      <c r="F6341" s="0" t="s">
        <v>153</v>
      </c>
      <c r="I6341" s="0" t="n">
        <v>1562570</v>
      </c>
      <c r="J6341" s="0" t="n">
        <v>100638</v>
      </c>
      <c r="K6341" s="0" t="n">
        <v>508</v>
      </c>
      <c r="L6341" s="0" t="s">
        <v>2496</v>
      </c>
      <c r="N6341" s="0" t="n">
        <v>1.528</v>
      </c>
      <c r="O6341" s="0" t="n">
        <v>3.84</v>
      </c>
      <c r="P6341" s="0" t="s">
        <v>2444</v>
      </c>
    </row>
    <row r="6342" customFormat="false" ht="15" hidden="false" customHeight="true" outlineLevel="0" collapsed="false">
      <c r="A6342" s="0" t="n">
        <v>2</v>
      </c>
      <c r="B6342" s="71" t="n">
        <v>46251</v>
      </c>
      <c r="C6342" s="0" t="n">
        <v>100</v>
      </c>
      <c r="D6342" s="0" t="s">
        <v>2499</v>
      </c>
      <c r="E6342" s="0" t="n">
        <v>48</v>
      </c>
      <c r="F6342" s="0" t="s">
        <v>153</v>
      </c>
      <c r="I6342" s="0" t="n">
        <v>1562570</v>
      </c>
      <c r="J6342" s="0" t="n">
        <v>100520</v>
      </c>
      <c r="K6342" s="0" t="n">
        <v>507</v>
      </c>
      <c r="L6342" s="0" t="s">
        <v>2497</v>
      </c>
      <c r="N6342" s="0" t="n">
        <v>9.125</v>
      </c>
      <c r="O6342" s="0" t="n">
        <v>22.92</v>
      </c>
      <c r="P6342" s="0" t="s">
        <v>2444</v>
      </c>
    </row>
    <row r="6343" customFormat="false" ht="15" hidden="false" customHeight="true" outlineLevel="0" collapsed="false">
      <c r="A6343" s="0" t="n">
        <v>2</v>
      </c>
      <c r="B6343" s="71" t="n">
        <v>46251</v>
      </c>
      <c r="C6343" s="0" t="n">
        <v>100</v>
      </c>
      <c r="D6343" s="0" t="s">
        <v>2499</v>
      </c>
      <c r="E6343" s="0" t="n">
        <v>48</v>
      </c>
      <c r="F6343" s="0" t="s">
        <v>153</v>
      </c>
      <c r="I6343" s="0" t="n">
        <v>1562570</v>
      </c>
      <c r="J6343" s="0" t="n">
        <v>110455</v>
      </c>
      <c r="K6343" s="0" t="n">
        <v>53212</v>
      </c>
      <c r="L6343" s="0" t="s">
        <v>2498</v>
      </c>
      <c r="N6343" s="0" t="n">
        <v>0.83</v>
      </c>
      <c r="O6343" s="0" t="n">
        <v>0.01</v>
      </c>
      <c r="P6343" s="0" t="s">
        <v>2444</v>
      </c>
    </row>
    <row r="6344" customFormat="false" ht="15" hidden="false" customHeight="true" outlineLevel="0" collapsed="false">
      <c r="A6344" s="0" t="n">
        <v>2</v>
      </c>
      <c r="B6344" s="71" t="n">
        <v>46251</v>
      </c>
      <c r="C6344" s="0" t="n">
        <v>100</v>
      </c>
      <c r="D6344" s="0" t="s">
        <v>2499</v>
      </c>
      <c r="E6344" s="0" t="n">
        <v>48</v>
      </c>
      <c r="F6344" s="0" t="s">
        <v>153</v>
      </c>
      <c r="I6344" s="0" t="n">
        <v>1562586</v>
      </c>
      <c r="J6344" s="0" t="n">
        <v>100000</v>
      </c>
      <c r="K6344" s="0" t="n">
        <v>1</v>
      </c>
      <c r="L6344" s="0" t="s">
        <v>2480</v>
      </c>
      <c r="N6344" s="0" t="n">
        <v>2.434</v>
      </c>
      <c r="O6344" s="0" t="n">
        <v>47.76</v>
      </c>
      <c r="P6344" s="0" t="s">
        <v>2444</v>
      </c>
    </row>
    <row r="6345" customFormat="false" ht="15" hidden="false" customHeight="true" outlineLevel="0" collapsed="false">
      <c r="A6345" s="0" t="n">
        <v>2</v>
      </c>
      <c r="B6345" s="71" t="n">
        <v>46251</v>
      </c>
      <c r="C6345" s="0" t="n">
        <v>100</v>
      </c>
      <c r="D6345" s="0" t="s">
        <v>2499</v>
      </c>
      <c r="E6345" s="0" t="n">
        <v>48</v>
      </c>
      <c r="F6345" s="0" t="s">
        <v>153</v>
      </c>
      <c r="I6345" s="0" t="n">
        <v>1562586</v>
      </c>
      <c r="J6345" s="0" t="n">
        <v>100001</v>
      </c>
      <c r="K6345" s="0" t="n">
        <v>2</v>
      </c>
      <c r="L6345" s="0" t="s">
        <v>2481</v>
      </c>
      <c r="N6345" s="0" t="n">
        <v>10.54</v>
      </c>
      <c r="O6345" s="0" t="n">
        <v>224.07</v>
      </c>
      <c r="P6345" s="0" t="s">
        <v>2444</v>
      </c>
    </row>
    <row r="6346" customFormat="false" ht="15" hidden="false" customHeight="true" outlineLevel="0" collapsed="false">
      <c r="A6346" s="0" t="n">
        <v>2</v>
      </c>
      <c r="B6346" s="71" t="n">
        <v>46251</v>
      </c>
      <c r="C6346" s="0" t="n">
        <v>100</v>
      </c>
      <c r="D6346" s="0" t="s">
        <v>2499</v>
      </c>
      <c r="E6346" s="0" t="n">
        <v>48</v>
      </c>
      <c r="F6346" s="0" t="s">
        <v>153</v>
      </c>
      <c r="I6346" s="0" t="n">
        <v>1562586</v>
      </c>
      <c r="J6346" s="0" t="n">
        <v>100002</v>
      </c>
      <c r="K6346" s="0" t="n">
        <v>3</v>
      </c>
      <c r="L6346" s="0" t="s">
        <v>2482</v>
      </c>
      <c r="N6346" s="0" t="n">
        <v>15.67</v>
      </c>
      <c r="O6346" s="0" t="n">
        <v>384.4</v>
      </c>
      <c r="P6346" s="0" t="s">
        <v>2444</v>
      </c>
    </row>
    <row r="6347" customFormat="false" ht="15" hidden="false" customHeight="true" outlineLevel="0" collapsed="false">
      <c r="A6347" s="0" t="n">
        <v>2</v>
      </c>
      <c r="B6347" s="71" t="n">
        <v>46251</v>
      </c>
      <c r="C6347" s="0" t="n">
        <v>100</v>
      </c>
      <c r="D6347" s="0" t="s">
        <v>2499</v>
      </c>
      <c r="E6347" s="0" t="n">
        <v>48</v>
      </c>
      <c r="F6347" s="0" t="s">
        <v>153</v>
      </c>
      <c r="I6347" s="0" t="n">
        <v>1562586</v>
      </c>
      <c r="J6347" s="0" t="n">
        <v>100003</v>
      </c>
      <c r="K6347" s="0" t="n">
        <v>4</v>
      </c>
      <c r="L6347" s="0" t="s">
        <v>2483</v>
      </c>
      <c r="N6347" s="0" t="n">
        <v>17.04</v>
      </c>
      <c r="O6347" s="0" t="n">
        <v>445.88</v>
      </c>
      <c r="P6347" s="0" t="s">
        <v>2444</v>
      </c>
    </row>
    <row r="6348" customFormat="false" ht="15" hidden="false" customHeight="true" outlineLevel="0" collapsed="false">
      <c r="A6348" s="0" t="n">
        <v>2</v>
      </c>
      <c r="B6348" s="71" t="n">
        <v>46251</v>
      </c>
      <c r="C6348" s="0" t="n">
        <v>100</v>
      </c>
      <c r="D6348" s="0" t="s">
        <v>2499</v>
      </c>
      <c r="E6348" s="0" t="n">
        <v>48</v>
      </c>
      <c r="F6348" s="0" t="s">
        <v>153</v>
      </c>
      <c r="I6348" s="0" t="n">
        <v>1562586</v>
      </c>
      <c r="J6348" s="0" t="n">
        <v>100004</v>
      </c>
      <c r="K6348" s="0" t="n">
        <v>5</v>
      </c>
      <c r="L6348" s="0" t="s">
        <v>2484</v>
      </c>
      <c r="N6348" s="0" t="n">
        <v>1.442</v>
      </c>
      <c r="O6348" s="0" t="n">
        <v>33.01</v>
      </c>
      <c r="P6348" s="0" t="s">
        <v>2444</v>
      </c>
    </row>
    <row r="6349" customFormat="false" ht="15" hidden="false" customHeight="true" outlineLevel="0" collapsed="false">
      <c r="A6349" s="0" t="n">
        <v>2</v>
      </c>
      <c r="B6349" s="71" t="n">
        <v>46251</v>
      </c>
      <c r="C6349" s="0" t="n">
        <v>100</v>
      </c>
      <c r="D6349" s="0" t="s">
        <v>2499</v>
      </c>
      <c r="E6349" s="0" t="n">
        <v>48</v>
      </c>
      <c r="F6349" s="0" t="s">
        <v>153</v>
      </c>
      <c r="I6349" s="0" t="n">
        <v>1562586</v>
      </c>
      <c r="J6349" s="0" t="n">
        <v>100005</v>
      </c>
      <c r="K6349" s="0" t="n">
        <v>6</v>
      </c>
      <c r="L6349" s="0" t="s">
        <v>2582</v>
      </c>
      <c r="N6349" s="0" t="n">
        <v>1.442</v>
      </c>
      <c r="O6349" s="0" t="n">
        <v>35.37</v>
      </c>
      <c r="P6349" s="0" t="s">
        <v>2444</v>
      </c>
    </row>
    <row r="6350" customFormat="false" ht="15" hidden="false" customHeight="true" outlineLevel="0" collapsed="false">
      <c r="A6350" s="0" t="n">
        <v>2</v>
      </c>
      <c r="B6350" s="71" t="n">
        <v>46251</v>
      </c>
      <c r="C6350" s="0" t="n">
        <v>100</v>
      </c>
      <c r="D6350" s="0" t="s">
        <v>2499</v>
      </c>
      <c r="E6350" s="0" t="n">
        <v>48</v>
      </c>
      <c r="F6350" s="0" t="s">
        <v>153</v>
      </c>
      <c r="I6350" s="0" t="n">
        <v>1562586</v>
      </c>
      <c r="J6350" s="0" t="n">
        <v>100007</v>
      </c>
      <c r="K6350" s="0" t="n">
        <v>8</v>
      </c>
      <c r="L6350" s="0" t="s">
        <v>2486</v>
      </c>
      <c r="N6350" s="0" t="n">
        <v>1.318</v>
      </c>
      <c r="O6350" s="0" t="n">
        <v>32.33</v>
      </c>
      <c r="P6350" s="0" t="s">
        <v>2444</v>
      </c>
    </row>
    <row r="6351" customFormat="false" ht="15" hidden="false" customHeight="true" outlineLevel="0" collapsed="false">
      <c r="A6351" s="0" t="n">
        <v>2</v>
      </c>
      <c r="B6351" s="71" t="n">
        <v>46251</v>
      </c>
      <c r="C6351" s="0" t="n">
        <v>100</v>
      </c>
      <c r="D6351" s="0" t="s">
        <v>2499</v>
      </c>
      <c r="E6351" s="0" t="n">
        <v>48</v>
      </c>
      <c r="F6351" s="0" t="s">
        <v>153</v>
      </c>
      <c r="I6351" s="0" t="n">
        <v>1562586</v>
      </c>
      <c r="J6351" s="0" t="n">
        <v>100638</v>
      </c>
      <c r="K6351" s="0" t="n">
        <v>508</v>
      </c>
      <c r="L6351" s="0" t="s">
        <v>2496</v>
      </c>
      <c r="N6351" s="0" t="n">
        <v>1.178</v>
      </c>
      <c r="O6351" s="0" t="n">
        <v>2.88</v>
      </c>
      <c r="P6351" s="0" t="s">
        <v>2444</v>
      </c>
    </row>
    <row r="6352" customFormat="false" ht="15" hidden="false" customHeight="true" outlineLevel="0" collapsed="false">
      <c r="A6352" s="0" t="n">
        <v>2</v>
      </c>
      <c r="B6352" s="71" t="n">
        <v>46251</v>
      </c>
      <c r="C6352" s="0" t="n">
        <v>100</v>
      </c>
      <c r="D6352" s="0" t="s">
        <v>2499</v>
      </c>
      <c r="E6352" s="0" t="n">
        <v>48</v>
      </c>
      <c r="F6352" s="0" t="s">
        <v>153</v>
      </c>
      <c r="I6352" s="0" t="n">
        <v>1562586</v>
      </c>
      <c r="J6352" s="0" t="n">
        <v>100520</v>
      </c>
      <c r="K6352" s="0" t="n">
        <v>507</v>
      </c>
      <c r="L6352" s="0" t="s">
        <v>2497</v>
      </c>
      <c r="N6352" s="0" t="n">
        <v>1.954</v>
      </c>
      <c r="O6352" s="0" t="n">
        <v>4.78</v>
      </c>
      <c r="P6352" s="0" t="s">
        <v>2444</v>
      </c>
    </row>
    <row r="6353" customFormat="false" ht="15" hidden="false" customHeight="true" outlineLevel="0" collapsed="false">
      <c r="A6353" s="0" t="n">
        <v>2</v>
      </c>
      <c r="B6353" s="71" t="n">
        <v>46251</v>
      </c>
      <c r="C6353" s="0" t="n">
        <v>100</v>
      </c>
      <c r="D6353" s="0" t="s">
        <v>2499</v>
      </c>
      <c r="E6353" s="0" t="n">
        <v>48</v>
      </c>
      <c r="F6353" s="0" t="s">
        <v>153</v>
      </c>
      <c r="I6353" s="0" t="n">
        <v>1562586</v>
      </c>
      <c r="J6353" s="0" t="n">
        <v>110455</v>
      </c>
      <c r="K6353" s="0" t="n">
        <v>53212</v>
      </c>
      <c r="L6353" s="0" t="s">
        <v>2498</v>
      </c>
      <c r="N6353" s="0" t="n">
        <v>0.782</v>
      </c>
      <c r="O6353" s="0" t="n">
        <v>0.02</v>
      </c>
      <c r="P6353" s="0" t="s">
        <v>2444</v>
      </c>
    </row>
    <row r="6354" customFormat="false" ht="15" hidden="false" customHeight="true" outlineLevel="0" collapsed="false">
      <c r="A6354" s="0" t="n">
        <v>2</v>
      </c>
      <c r="B6354" s="71" t="n">
        <v>46252</v>
      </c>
      <c r="C6354" s="0" t="n">
        <v>6</v>
      </c>
      <c r="D6354" s="0" t="s">
        <v>2553</v>
      </c>
      <c r="E6354" s="0" t="n">
        <v>48</v>
      </c>
      <c r="F6354" s="0" t="s">
        <v>153</v>
      </c>
      <c r="I6354" s="0" t="n">
        <v>2610</v>
      </c>
      <c r="J6354" s="0" t="n">
        <v>100113</v>
      </c>
      <c r="K6354" s="0" t="n">
        <v>114</v>
      </c>
      <c r="L6354" s="0" t="s">
        <v>2539</v>
      </c>
      <c r="N6354" s="0" t="n">
        <v>20</v>
      </c>
      <c r="O6354" s="0" t="n">
        <v>85</v>
      </c>
      <c r="P6354" s="0" t="s">
        <v>2444</v>
      </c>
    </row>
    <row r="6355" customFormat="false" ht="15" hidden="false" customHeight="true" outlineLevel="0" collapsed="false">
      <c r="A6355" s="0" t="n">
        <v>2</v>
      </c>
      <c r="B6355" s="71" t="n">
        <v>46252</v>
      </c>
      <c r="C6355" s="0" t="n">
        <v>6</v>
      </c>
      <c r="D6355" s="0" t="s">
        <v>2553</v>
      </c>
      <c r="E6355" s="0" t="n">
        <v>48</v>
      </c>
      <c r="F6355" s="0" t="s">
        <v>153</v>
      </c>
      <c r="I6355" s="0" t="n">
        <v>2610</v>
      </c>
      <c r="J6355" s="0" t="n">
        <v>110142</v>
      </c>
      <c r="K6355" s="0" t="n">
        <v>16699</v>
      </c>
      <c r="L6355" s="0" t="s">
        <v>2549</v>
      </c>
      <c r="N6355" s="0" t="n">
        <v>20</v>
      </c>
      <c r="O6355" s="0" t="n">
        <v>115</v>
      </c>
      <c r="P6355" s="0" t="s">
        <v>2444</v>
      </c>
    </row>
    <row r="6356" customFormat="false" ht="15" hidden="false" customHeight="true" outlineLevel="0" collapsed="false">
      <c r="A6356" s="0" t="n">
        <v>2</v>
      </c>
      <c r="B6356" s="71" t="n">
        <v>46252</v>
      </c>
      <c r="C6356" s="0" t="n">
        <v>6</v>
      </c>
      <c r="D6356" s="0" t="s">
        <v>2553</v>
      </c>
      <c r="E6356" s="0" t="n">
        <v>48</v>
      </c>
      <c r="F6356" s="0" t="s">
        <v>153</v>
      </c>
      <c r="I6356" s="0" t="n">
        <v>2611</v>
      </c>
      <c r="J6356" s="0" t="n">
        <v>100062</v>
      </c>
      <c r="K6356" s="0" t="n">
        <v>63</v>
      </c>
      <c r="L6356" s="0" t="s">
        <v>2535</v>
      </c>
      <c r="N6356" s="0" t="n">
        <v>18</v>
      </c>
      <c r="O6356" s="0" t="n">
        <v>130</v>
      </c>
      <c r="P6356" s="0" t="s">
        <v>2444</v>
      </c>
    </row>
    <row r="6357" customFormat="false" ht="15" hidden="false" customHeight="true" outlineLevel="0" collapsed="false">
      <c r="A6357" s="0" t="n">
        <v>2</v>
      </c>
      <c r="B6357" s="71" t="n">
        <v>46252</v>
      </c>
      <c r="C6357" s="0" t="n">
        <v>6</v>
      </c>
      <c r="D6357" s="0" t="s">
        <v>2553</v>
      </c>
      <c r="E6357" s="0" t="n">
        <v>48</v>
      </c>
      <c r="F6357" s="0" t="s">
        <v>153</v>
      </c>
      <c r="I6357" s="0" t="n">
        <v>2611</v>
      </c>
      <c r="J6357" s="0" t="n">
        <v>100105</v>
      </c>
      <c r="K6357" s="0" t="n">
        <v>106</v>
      </c>
      <c r="L6357" s="0" t="s">
        <v>2536</v>
      </c>
      <c r="N6357" s="0" t="n">
        <v>12</v>
      </c>
      <c r="O6357" s="0" t="n">
        <v>65</v>
      </c>
      <c r="P6357" s="0" t="s">
        <v>2444</v>
      </c>
    </row>
    <row r="6358" customFormat="false" ht="15" hidden="false" customHeight="true" outlineLevel="0" collapsed="false">
      <c r="A6358" s="0" t="n">
        <v>2</v>
      </c>
      <c r="B6358" s="71" t="n">
        <v>46252</v>
      </c>
      <c r="C6358" s="0" t="n">
        <v>6</v>
      </c>
      <c r="D6358" s="0" t="s">
        <v>2553</v>
      </c>
      <c r="E6358" s="0" t="n">
        <v>48</v>
      </c>
      <c r="F6358" s="0" t="s">
        <v>153</v>
      </c>
      <c r="I6358" s="0" t="n">
        <v>2611</v>
      </c>
      <c r="J6358" s="0" t="n">
        <v>100109</v>
      </c>
      <c r="K6358" s="0" t="n">
        <v>110</v>
      </c>
      <c r="L6358" s="0" t="s">
        <v>2537</v>
      </c>
      <c r="N6358" s="0" t="n">
        <v>20</v>
      </c>
      <c r="O6358" s="0" t="n">
        <v>100</v>
      </c>
      <c r="P6358" s="0" t="s">
        <v>2444</v>
      </c>
    </row>
    <row r="6359" customFormat="false" ht="15" hidden="false" customHeight="true" outlineLevel="0" collapsed="false">
      <c r="A6359" s="0" t="n">
        <v>2</v>
      </c>
      <c r="B6359" s="71" t="n">
        <v>46252</v>
      </c>
      <c r="C6359" s="0" t="n">
        <v>6</v>
      </c>
      <c r="D6359" s="0" t="s">
        <v>2553</v>
      </c>
      <c r="E6359" s="0" t="n">
        <v>48</v>
      </c>
      <c r="F6359" s="0" t="s">
        <v>153</v>
      </c>
      <c r="I6359" s="0" t="n">
        <v>2611</v>
      </c>
      <c r="J6359" s="0" t="n">
        <v>100116</v>
      </c>
      <c r="K6359" s="0" t="n">
        <v>117</v>
      </c>
      <c r="L6359" s="0" t="s">
        <v>2540</v>
      </c>
      <c r="N6359" s="0" t="n">
        <v>2</v>
      </c>
      <c r="O6359" s="0" t="n">
        <v>40</v>
      </c>
      <c r="P6359" s="0" t="s">
        <v>2444</v>
      </c>
    </row>
    <row r="6360" customFormat="false" ht="15" hidden="false" customHeight="true" outlineLevel="0" collapsed="false">
      <c r="A6360" s="0" t="n">
        <v>2</v>
      </c>
      <c r="B6360" s="71" t="n">
        <v>46252</v>
      </c>
      <c r="C6360" s="0" t="n">
        <v>6</v>
      </c>
      <c r="D6360" s="0" t="s">
        <v>2553</v>
      </c>
      <c r="E6360" s="0" t="n">
        <v>48</v>
      </c>
      <c r="F6360" s="0" t="s">
        <v>153</v>
      </c>
      <c r="I6360" s="0" t="n">
        <v>2611</v>
      </c>
      <c r="J6360" s="0" t="n">
        <v>100121</v>
      </c>
      <c r="K6360" s="0" t="n">
        <v>122</v>
      </c>
      <c r="L6360" s="0" t="s">
        <v>2542</v>
      </c>
      <c r="N6360" s="0" t="n">
        <v>2</v>
      </c>
      <c r="O6360" s="0" t="n">
        <v>30</v>
      </c>
      <c r="P6360" s="0" t="s">
        <v>2444</v>
      </c>
    </row>
    <row r="6361" customFormat="false" ht="15" hidden="false" customHeight="true" outlineLevel="0" collapsed="false">
      <c r="A6361" s="0" t="n">
        <v>2</v>
      </c>
      <c r="B6361" s="71" t="n">
        <v>46252</v>
      </c>
      <c r="C6361" s="0" t="n">
        <v>6</v>
      </c>
      <c r="D6361" s="0" t="s">
        <v>2553</v>
      </c>
      <c r="E6361" s="0" t="n">
        <v>48</v>
      </c>
      <c r="F6361" s="0" t="s">
        <v>153</v>
      </c>
      <c r="I6361" s="0" t="n">
        <v>2611</v>
      </c>
      <c r="J6361" s="0" t="n">
        <v>100122</v>
      </c>
      <c r="K6361" s="0" t="n">
        <v>123</v>
      </c>
      <c r="L6361" s="0" t="s">
        <v>2543</v>
      </c>
      <c r="N6361" s="0" t="n">
        <v>2</v>
      </c>
      <c r="O6361" s="0" t="n">
        <v>26</v>
      </c>
      <c r="P6361" s="0" t="s">
        <v>2444</v>
      </c>
    </row>
    <row r="6362" customFormat="false" ht="15" hidden="false" customHeight="true" outlineLevel="0" collapsed="false">
      <c r="A6362" s="0" t="n">
        <v>2</v>
      </c>
      <c r="B6362" s="71" t="n">
        <v>46252</v>
      </c>
      <c r="C6362" s="0" t="n">
        <v>6</v>
      </c>
      <c r="D6362" s="0" t="s">
        <v>2553</v>
      </c>
      <c r="E6362" s="0" t="n">
        <v>48</v>
      </c>
      <c r="F6362" s="0" t="s">
        <v>153</v>
      </c>
      <c r="I6362" s="0" t="n">
        <v>2611</v>
      </c>
      <c r="J6362" s="0" t="n">
        <v>100124</v>
      </c>
      <c r="K6362" s="0" t="n">
        <v>125</v>
      </c>
      <c r="L6362" s="0" t="s">
        <v>2695</v>
      </c>
      <c r="N6362" s="0" t="n">
        <v>5</v>
      </c>
      <c r="O6362" s="0" t="n">
        <v>55</v>
      </c>
      <c r="P6362" s="0" t="s">
        <v>2444</v>
      </c>
    </row>
    <row r="6363" customFormat="false" ht="15" hidden="false" customHeight="true" outlineLevel="0" collapsed="false">
      <c r="A6363" s="0" t="n">
        <v>2</v>
      </c>
      <c r="B6363" s="71" t="n">
        <v>46252</v>
      </c>
      <c r="C6363" s="0" t="n">
        <v>6</v>
      </c>
      <c r="D6363" s="0" t="s">
        <v>2553</v>
      </c>
      <c r="E6363" s="0" t="n">
        <v>48</v>
      </c>
      <c r="F6363" s="0" t="s">
        <v>153</v>
      </c>
      <c r="I6363" s="0" t="n">
        <v>2611</v>
      </c>
      <c r="J6363" s="0" t="n">
        <v>100129</v>
      </c>
      <c r="K6363" s="0" t="n">
        <v>130</v>
      </c>
      <c r="L6363" s="0" t="s">
        <v>2598</v>
      </c>
      <c r="N6363" s="0" t="n">
        <v>7</v>
      </c>
      <c r="O6363" s="0" t="n">
        <v>43</v>
      </c>
      <c r="P6363" s="0" t="s">
        <v>2444</v>
      </c>
    </row>
    <row r="6364" customFormat="false" ht="15" hidden="false" customHeight="true" outlineLevel="0" collapsed="false">
      <c r="A6364" s="0" t="n">
        <v>2</v>
      </c>
      <c r="B6364" s="71" t="n">
        <v>46252</v>
      </c>
      <c r="C6364" s="0" t="n">
        <v>6</v>
      </c>
      <c r="D6364" s="0" t="s">
        <v>2553</v>
      </c>
      <c r="E6364" s="0" t="n">
        <v>48</v>
      </c>
      <c r="F6364" s="0" t="s">
        <v>153</v>
      </c>
      <c r="I6364" s="0" t="n">
        <v>2611</v>
      </c>
      <c r="J6364" s="0" t="n">
        <v>100130</v>
      </c>
      <c r="K6364" s="0" t="n">
        <v>131</v>
      </c>
      <c r="L6364" s="0" t="s">
        <v>2545</v>
      </c>
      <c r="N6364" s="0" t="n">
        <v>15</v>
      </c>
      <c r="O6364" s="0" t="n">
        <v>90</v>
      </c>
      <c r="P6364" s="0" t="s">
        <v>2444</v>
      </c>
    </row>
    <row r="6365" customFormat="false" ht="15" hidden="false" customHeight="true" outlineLevel="0" collapsed="false">
      <c r="A6365" s="0" t="n">
        <v>2</v>
      </c>
      <c r="B6365" s="71" t="n">
        <v>46252</v>
      </c>
      <c r="C6365" s="0" t="n">
        <v>6</v>
      </c>
      <c r="D6365" s="0" t="s">
        <v>2553</v>
      </c>
      <c r="E6365" s="0" t="n">
        <v>48</v>
      </c>
      <c r="F6365" s="0" t="s">
        <v>153</v>
      </c>
      <c r="I6365" s="0" t="n">
        <v>2611</v>
      </c>
      <c r="J6365" s="0" t="n">
        <v>100132</v>
      </c>
      <c r="K6365" s="0" t="n">
        <v>133</v>
      </c>
      <c r="L6365" s="0" t="s">
        <v>2546</v>
      </c>
      <c r="N6365" s="0" t="n">
        <v>48.1</v>
      </c>
      <c r="O6365" s="0" t="n">
        <v>125</v>
      </c>
      <c r="P6365" s="0" t="s">
        <v>2444</v>
      </c>
    </row>
    <row r="6366" customFormat="false" ht="15" hidden="false" customHeight="true" outlineLevel="0" collapsed="false">
      <c r="A6366" s="0" t="n">
        <v>2</v>
      </c>
      <c r="B6366" s="71" t="n">
        <v>46252</v>
      </c>
      <c r="C6366" s="0" t="n">
        <v>6</v>
      </c>
      <c r="D6366" s="0" t="s">
        <v>2553</v>
      </c>
      <c r="E6366" s="0" t="n">
        <v>48</v>
      </c>
      <c r="F6366" s="0" t="s">
        <v>153</v>
      </c>
      <c r="I6366" s="0" t="n">
        <v>2611</v>
      </c>
      <c r="J6366" s="0" t="n">
        <v>100133</v>
      </c>
      <c r="K6366" s="0" t="n">
        <v>134</v>
      </c>
      <c r="L6366" s="0" t="s">
        <v>2547</v>
      </c>
      <c r="N6366" s="0" t="n">
        <v>14</v>
      </c>
      <c r="O6366" s="0" t="n">
        <v>70</v>
      </c>
      <c r="P6366" s="0" t="s">
        <v>2444</v>
      </c>
    </row>
    <row r="6367" customFormat="false" ht="15" hidden="false" customHeight="true" outlineLevel="0" collapsed="false">
      <c r="A6367" s="0" t="n">
        <v>2</v>
      </c>
      <c r="B6367" s="71" t="n">
        <v>46252</v>
      </c>
      <c r="C6367" s="0" t="n">
        <v>6</v>
      </c>
      <c r="D6367" s="0" t="s">
        <v>2553</v>
      </c>
      <c r="E6367" s="0" t="n">
        <v>48</v>
      </c>
      <c r="F6367" s="0" t="s">
        <v>153</v>
      </c>
      <c r="I6367" s="0" t="n">
        <v>2611</v>
      </c>
      <c r="J6367" s="0" t="n">
        <v>110263</v>
      </c>
      <c r="K6367" s="0" t="n">
        <v>41228</v>
      </c>
      <c r="L6367" s="0" t="s">
        <v>2659</v>
      </c>
      <c r="N6367" s="0" t="n">
        <v>10</v>
      </c>
      <c r="O6367" s="0" t="n">
        <v>150</v>
      </c>
      <c r="P6367" s="0" t="s">
        <v>2444</v>
      </c>
    </row>
    <row r="6368" customFormat="false" ht="15" hidden="false" customHeight="true" outlineLevel="0" collapsed="false">
      <c r="A6368" s="0" t="n">
        <v>2</v>
      </c>
      <c r="B6368" s="71" t="n">
        <v>46252</v>
      </c>
      <c r="C6368" s="0" t="n">
        <v>6</v>
      </c>
      <c r="D6368" s="0" t="s">
        <v>2553</v>
      </c>
      <c r="E6368" s="0" t="n">
        <v>48</v>
      </c>
      <c r="F6368" s="0" t="s">
        <v>153</v>
      </c>
      <c r="I6368" s="0" t="n">
        <v>2611</v>
      </c>
      <c r="J6368" s="0" t="n">
        <v>110489</v>
      </c>
      <c r="K6368" s="0" t="n">
        <v>54743</v>
      </c>
      <c r="L6368" s="0" t="s">
        <v>2550</v>
      </c>
      <c r="N6368" s="0" t="n">
        <v>60</v>
      </c>
      <c r="O6368" s="0" t="n">
        <v>405</v>
      </c>
      <c r="P6368" s="0" t="s">
        <v>2444</v>
      </c>
    </row>
    <row r="6369" customFormat="false" ht="15" hidden="false" customHeight="true" outlineLevel="0" collapsed="false">
      <c r="A6369" s="0" t="n">
        <v>2</v>
      </c>
      <c r="B6369" s="71" t="n">
        <v>46252</v>
      </c>
      <c r="C6369" s="0" t="n">
        <v>6</v>
      </c>
      <c r="D6369" s="0" t="s">
        <v>2553</v>
      </c>
      <c r="E6369" s="0" t="n">
        <v>48</v>
      </c>
      <c r="F6369" s="0" t="s">
        <v>153</v>
      </c>
      <c r="I6369" s="0" t="n">
        <v>2611</v>
      </c>
      <c r="J6369" s="0" t="n">
        <v>80078</v>
      </c>
      <c r="K6369" s="0" t="n">
        <v>710</v>
      </c>
      <c r="L6369" s="0" t="s">
        <v>2551</v>
      </c>
      <c r="N6369" s="0" t="n">
        <v>5</v>
      </c>
      <c r="O6369" s="0" t="n">
        <v>15</v>
      </c>
      <c r="P6369" s="0" t="s">
        <v>2444</v>
      </c>
    </row>
    <row r="6370" customFormat="false" ht="15" hidden="false" customHeight="true" outlineLevel="0" collapsed="false">
      <c r="A6370" s="0" t="n">
        <v>2</v>
      </c>
      <c r="B6370" s="71" t="n">
        <v>46252</v>
      </c>
      <c r="C6370" s="0" t="n">
        <v>6</v>
      </c>
      <c r="D6370" s="0" t="s">
        <v>2553</v>
      </c>
      <c r="E6370" s="0" t="n">
        <v>48</v>
      </c>
      <c r="F6370" s="0" t="s">
        <v>153</v>
      </c>
      <c r="I6370" s="0" t="n">
        <v>2611</v>
      </c>
      <c r="J6370" s="0" t="n">
        <v>80308</v>
      </c>
      <c r="K6370" s="0" t="n">
        <v>1250</v>
      </c>
      <c r="L6370" s="0" t="s">
        <v>2552</v>
      </c>
      <c r="N6370" s="0" t="n">
        <v>5</v>
      </c>
      <c r="O6370" s="0" t="n">
        <v>15</v>
      </c>
      <c r="P6370" s="0" t="s">
        <v>2444</v>
      </c>
    </row>
    <row r="6371" customFormat="false" ht="15" hidden="false" customHeight="true" outlineLevel="0" collapsed="false">
      <c r="A6371" s="0" t="n">
        <v>2</v>
      </c>
      <c r="B6371" s="71" t="n">
        <v>46252</v>
      </c>
      <c r="C6371" s="0" t="n">
        <v>6</v>
      </c>
      <c r="D6371" s="0" t="s">
        <v>2553</v>
      </c>
      <c r="E6371" s="0" t="n">
        <v>48</v>
      </c>
      <c r="F6371" s="0" t="s">
        <v>153</v>
      </c>
      <c r="I6371" s="0" t="n">
        <v>2611</v>
      </c>
      <c r="J6371" s="0" t="n">
        <v>81106</v>
      </c>
      <c r="K6371" s="0" t="n">
        <v>1168</v>
      </c>
      <c r="L6371" s="0" t="s">
        <v>4683</v>
      </c>
      <c r="N6371" s="0" t="n">
        <v>10</v>
      </c>
      <c r="O6371" s="0" t="n">
        <v>45</v>
      </c>
      <c r="P6371" s="0" t="s">
        <v>2444</v>
      </c>
    </row>
    <row r="6372" customFormat="false" ht="15" hidden="false" customHeight="true" outlineLevel="0" collapsed="false">
      <c r="A6372" s="0" t="n">
        <v>2</v>
      </c>
      <c r="B6372" s="71" t="n">
        <v>46252</v>
      </c>
      <c r="C6372" s="0" t="n">
        <v>11</v>
      </c>
      <c r="D6372" s="0" t="s">
        <v>2471</v>
      </c>
      <c r="E6372" s="0" t="n">
        <v>642</v>
      </c>
      <c r="F6372" s="0" t="s">
        <v>123</v>
      </c>
      <c r="I6372" s="0" t="n">
        <v>605</v>
      </c>
      <c r="J6372" s="0" t="n">
        <v>71766</v>
      </c>
      <c r="K6372" s="0" t="n">
        <v>779180</v>
      </c>
      <c r="L6372" s="0" t="s">
        <v>2501</v>
      </c>
      <c r="N6372" s="0" t="n">
        <v>17</v>
      </c>
      <c r="O6372" s="0" t="n">
        <v>204</v>
      </c>
      <c r="P6372" s="0" t="s">
        <v>2444</v>
      </c>
    </row>
    <row r="6373" customFormat="false" ht="15" hidden="false" customHeight="true" outlineLevel="0" collapsed="false">
      <c r="A6373" s="0" t="n">
        <v>2</v>
      </c>
      <c r="B6373" s="71" t="n">
        <v>46252</v>
      </c>
      <c r="C6373" s="0" t="n">
        <v>11</v>
      </c>
      <c r="D6373" s="0" t="s">
        <v>2471</v>
      </c>
      <c r="E6373" s="0" t="n">
        <v>1899</v>
      </c>
      <c r="F6373" s="0" t="s">
        <v>204</v>
      </c>
      <c r="I6373" s="0" t="n">
        <v>767</v>
      </c>
      <c r="J6373" s="0" t="n">
        <v>44588</v>
      </c>
      <c r="K6373" s="0" t="n">
        <v>7898904331091</v>
      </c>
      <c r="L6373" s="0" t="s">
        <v>2443</v>
      </c>
      <c r="N6373" s="0" t="n">
        <v>12</v>
      </c>
      <c r="O6373" s="0" t="n">
        <v>59.88</v>
      </c>
      <c r="P6373" s="0" t="s">
        <v>2444</v>
      </c>
    </row>
    <row r="6374" customFormat="false" ht="15" hidden="false" customHeight="true" outlineLevel="0" collapsed="false">
      <c r="A6374" s="0" t="n">
        <v>2</v>
      </c>
      <c r="B6374" s="71" t="n">
        <v>46252</v>
      </c>
      <c r="C6374" s="0" t="n">
        <v>11</v>
      </c>
      <c r="D6374" s="0" t="s">
        <v>2471</v>
      </c>
      <c r="E6374" s="0" t="n">
        <v>1899</v>
      </c>
      <c r="F6374" s="0" t="s">
        <v>204</v>
      </c>
      <c r="I6374" s="0" t="n">
        <v>767</v>
      </c>
      <c r="J6374" s="0" t="n">
        <v>77463</v>
      </c>
      <c r="K6374" s="0" t="n">
        <v>774642</v>
      </c>
      <c r="L6374" s="0" t="s">
        <v>2445</v>
      </c>
      <c r="N6374" s="0" t="n">
        <v>19</v>
      </c>
      <c r="O6374" s="0" t="n">
        <v>85.5</v>
      </c>
      <c r="P6374" s="0" t="s">
        <v>2444</v>
      </c>
    </row>
    <row r="6375" customFormat="false" ht="15" hidden="false" customHeight="true" outlineLevel="0" collapsed="false">
      <c r="A6375" s="0" t="n">
        <v>2</v>
      </c>
      <c r="B6375" s="71" t="n">
        <v>46252</v>
      </c>
      <c r="C6375" s="0" t="n">
        <v>11</v>
      </c>
      <c r="D6375" s="0" t="s">
        <v>2471</v>
      </c>
      <c r="E6375" s="0" t="n">
        <v>1899</v>
      </c>
      <c r="F6375" s="0" t="s">
        <v>204</v>
      </c>
      <c r="I6375" s="0" t="n">
        <v>767</v>
      </c>
      <c r="J6375" s="0" t="n">
        <v>77465</v>
      </c>
      <c r="K6375" s="0" t="n">
        <v>774666</v>
      </c>
      <c r="L6375" s="0" t="s">
        <v>2446</v>
      </c>
      <c r="N6375" s="0" t="n">
        <v>10</v>
      </c>
      <c r="O6375" s="0" t="n">
        <v>49.9</v>
      </c>
      <c r="P6375" s="0" t="s">
        <v>2444</v>
      </c>
    </row>
    <row r="6376" customFormat="false" ht="15" hidden="false" customHeight="true" outlineLevel="0" collapsed="false">
      <c r="A6376" s="0" t="n">
        <v>2</v>
      </c>
      <c r="B6376" s="71" t="n">
        <v>46252</v>
      </c>
      <c r="C6376" s="0" t="n">
        <v>11</v>
      </c>
      <c r="D6376" s="0" t="s">
        <v>2471</v>
      </c>
      <c r="E6376" s="0" t="n">
        <v>1899</v>
      </c>
      <c r="F6376" s="0" t="s">
        <v>204</v>
      </c>
      <c r="I6376" s="0" t="n">
        <v>767</v>
      </c>
      <c r="J6376" s="0" t="n">
        <v>78013</v>
      </c>
      <c r="K6376" s="0" t="n">
        <v>780148</v>
      </c>
      <c r="L6376" s="0" t="s">
        <v>2584</v>
      </c>
      <c r="N6376" s="0" t="n">
        <v>5</v>
      </c>
      <c r="O6376" s="0" t="n">
        <v>22.5</v>
      </c>
      <c r="P6376" s="0" t="s">
        <v>2444</v>
      </c>
    </row>
    <row r="6377" customFormat="false" ht="15" hidden="false" customHeight="true" outlineLevel="0" collapsed="false">
      <c r="A6377" s="0" t="n">
        <v>2</v>
      </c>
      <c r="B6377" s="71" t="n">
        <v>46252</v>
      </c>
      <c r="C6377" s="0" t="n">
        <v>11</v>
      </c>
      <c r="D6377" s="0" t="s">
        <v>2471</v>
      </c>
      <c r="E6377" s="0" t="n">
        <v>1899</v>
      </c>
      <c r="F6377" s="0" t="s">
        <v>204</v>
      </c>
      <c r="I6377" s="0" t="n">
        <v>767</v>
      </c>
      <c r="J6377" s="0" t="n">
        <v>78015</v>
      </c>
      <c r="K6377" s="0" t="n">
        <v>780162</v>
      </c>
      <c r="L6377" s="0" t="s">
        <v>2447</v>
      </c>
      <c r="N6377" s="0" t="n">
        <v>4</v>
      </c>
      <c r="O6377" s="0" t="n">
        <v>19.96</v>
      </c>
      <c r="P6377" s="0" t="s">
        <v>2444</v>
      </c>
    </row>
    <row r="6378" customFormat="false" ht="15" hidden="false" customHeight="true" outlineLevel="0" collapsed="false">
      <c r="A6378" s="0" t="n">
        <v>2</v>
      </c>
      <c r="B6378" s="71" t="n">
        <v>46252</v>
      </c>
      <c r="C6378" s="0" t="n">
        <v>11</v>
      </c>
      <c r="D6378" s="0" t="s">
        <v>2471</v>
      </c>
      <c r="E6378" s="0" t="n">
        <v>1328</v>
      </c>
      <c r="F6378" s="0" t="s">
        <v>95</v>
      </c>
      <c r="I6378" s="0" t="n">
        <v>4402</v>
      </c>
      <c r="J6378" s="0" t="n">
        <v>50310</v>
      </c>
      <c r="K6378" s="0" t="n">
        <v>7898588380101</v>
      </c>
      <c r="L6378" s="0" t="s">
        <v>2502</v>
      </c>
      <c r="N6378" s="0" t="n">
        <v>3</v>
      </c>
      <c r="O6378" s="0" t="n">
        <v>21.75</v>
      </c>
      <c r="P6378" s="0" t="s">
        <v>2444</v>
      </c>
    </row>
    <row r="6379" customFormat="false" ht="15" hidden="false" customHeight="true" outlineLevel="0" collapsed="false">
      <c r="A6379" s="0" t="n">
        <v>2</v>
      </c>
      <c r="B6379" s="71" t="n">
        <v>46252</v>
      </c>
      <c r="C6379" s="0" t="n">
        <v>11</v>
      </c>
      <c r="D6379" s="0" t="s">
        <v>2471</v>
      </c>
      <c r="E6379" s="0" t="n">
        <v>1328</v>
      </c>
      <c r="F6379" s="0" t="s">
        <v>95</v>
      </c>
      <c r="I6379" s="0" t="n">
        <v>4402</v>
      </c>
      <c r="J6379" s="0" t="n">
        <v>21045</v>
      </c>
      <c r="K6379" s="0" t="n">
        <v>7898588380255</v>
      </c>
      <c r="L6379" s="0" t="s">
        <v>2503</v>
      </c>
      <c r="N6379" s="0" t="n">
        <v>3</v>
      </c>
      <c r="O6379" s="0" t="n">
        <v>16.5</v>
      </c>
      <c r="P6379" s="0" t="s">
        <v>2444</v>
      </c>
    </row>
    <row r="6380" customFormat="false" ht="15" hidden="false" customHeight="true" outlineLevel="0" collapsed="false">
      <c r="A6380" s="0" t="n">
        <v>2</v>
      </c>
      <c r="B6380" s="71" t="n">
        <v>46252</v>
      </c>
      <c r="C6380" s="0" t="n">
        <v>11</v>
      </c>
      <c r="D6380" s="0" t="s">
        <v>2471</v>
      </c>
      <c r="E6380" s="0" t="n">
        <v>1328</v>
      </c>
      <c r="F6380" s="0" t="s">
        <v>95</v>
      </c>
      <c r="I6380" s="0" t="n">
        <v>4402</v>
      </c>
      <c r="J6380" s="0" t="n">
        <v>21060</v>
      </c>
      <c r="K6380" s="0" t="n">
        <v>7898588380118</v>
      </c>
      <c r="L6380" s="0" t="s">
        <v>2504</v>
      </c>
      <c r="N6380" s="0" t="n">
        <v>15</v>
      </c>
      <c r="O6380" s="0" t="n">
        <v>97.5</v>
      </c>
      <c r="P6380" s="0" t="s">
        <v>2444</v>
      </c>
    </row>
    <row r="6381" customFormat="false" ht="15" hidden="false" customHeight="true" outlineLevel="0" collapsed="false">
      <c r="A6381" s="0" t="n">
        <v>2</v>
      </c>
      <c r="B6381" s="71" t="n">
        <v>46252</v>
      </c>
      <c r="C6381" s="0" t="n">
        <v>11</v>
      </c>
      <c r="D6381" s="0" t="s">
        <v>2471</v>
      </c>
      <c r="E6381" s="0" t="n">
        <v>1328</v>
      </c>
      <c r="F6381" s="0" t="s">
        <v>95</v>
      </c>
      <c r="I6381" s="0" t="n">
        <v>4402</v>
      </c>
      <c r="J6381" s="0" t="n">
        <v>31789</v>
      </c>
      <c r="K6381" s="0" t="n">
        <v>7898588380149</v>
      </c>
      <c r="L6381" s="0" t="s">
        <v>2446</v>
      </c>
      <c r="N6381" s="0" t="n">
        <v>4</v>
      </c>
      <c r="O6381" s="0" t="n">
        <v>22</v>
      </c>
      <c r="P6381" s="0" t="s">
        <v>2444</v>
      </c>
    </row>
    <row r="6382" customFormat="false" ht="15" hidden="false" customHeight="true" outlineLevel="0" collapsed="false">
      <c r="A6382" s="0" t="n">
        <v>2</v>
      </c>
      <c r="B6382" s="71" t="n">
        <v>46252</v>
      </c>
      <c r="C6382" s="0" t="n">
        <v>11</v>
      </c>
      <c r="D6382" s="0" t="s">
        <v>2471</v>
      </c>
      <c r="E6382" s="0" t="n">
        <v>1328</v>
      </c>
      <c r="F6382" s="0" t="s">
        <v>95</v>
      </c>
      <c r="I6382" s="0" t="n">
        <v>4402</v>
      </c>
      <c r="J6382" s="0" t="n">
        <v>31782</v>
      </c>
      <c r="K6382" s="0" t="n">
        <v>7898588380132</v>
      </c>
      <c r="L6382" s="0" t="s">
        <v>2505</v>
      </c>
      <c r="N6382" s="0" t="n">
        <v>4</v>
      </c>
      <c r="O6382" s="0" t="n">
        <v>22</v>
      </c>
      <c r="P6382" s="0" t="s">
        <v>2444</v>
      </c>
    </row>
    <row r="6383" customFormat="false" ht="15" hidden="false" customHeight="true" outlineLevel="0" collapsed="false">
      <c r="A6383" s="0" t="n">
        <v>2</v>
      </c>
      <c r="B6383" s="71" t="n">
        <v>46252</v>
      </c>
      <c r="C6383" s="0" t="n">
        <v>11</v>
      </c>
      <c r="D6383" s="0" t="s">
        <v>2471</v>
      </c>
      <c r="E6383" s="0" t="n">
        <v>1328</v>
      </c>
      <c r="F6383" s="0" t="s">
        <v>95</v>
      </c>
      <c r="I6383" s="0" t="n">
        <v>4402</v>
      </c>
      <c r="J6383" s="0" t="n">
        <v>31784</v>
      </c>
      <c r="K6383" s="0" t="n">
        <v>7898588380545</v>
      </c>
      <c r="L6383" s="0" t="s">
        <v>2590</v>
      </c>
      <c r="N6383" s="0" t="n">
        <v>2</v>
      </c>
      <c r="O6383" s="0" t="n">
        <v>11</v>
      </c>
      <c r="P6383" s="0" t="s">
        <v>2444</v>
      </c>
    </row>
    <row r="6384" customFormat="false" ht="15" hidden="false" customHeight="true" outlineLevel="0" collapsed="false">
      <c r="A6384" s="0" t="n">
        <v>2</v>
      </c>
      <c r="B6384" s="71" t="n">
        <v>46252</v>
      </c>
      <c r="C6384" s="0" t="n">
        <v>11</v>
      </c>
      <c r="D6384" s="0" t="s">
        <v>2471</v>
      </c>
      <c r="E6384" s="0" t="n">
        <v>1328</v>
      </c>
      <c r="F6384" s="0" t="s">
        <v>95</v>
      </c>
      <c r="I6384" s="0" t="n">
        <v>4402</v>
      </c>
      <c r="J6384" s="0" t="n">
        <v>31786</v>
      </c>
      <c r="K6384" s="0" t="n">
        <v>7898588380187</v>
      </c>
      <c r="L6384" s="0" t="s">
        <v>2506</v>
      </c>
      <c r="N6384" s="0" t="n">
        <v>4</v>
      </c>
      <c r="O6384" s="0" t="n">
        <v>22</v>
      </c>
      <c r="P6384" s="0" t="s">
        <v>2444</v>
      </c>
    </row>
    <row r="6385" customFormat="false" ht="15" hidden="false" customHeight="true" outlineLevel="0" collapsed="false">
      <c r="A6385" s="0" t="n">
        <v>2</v>
      </c>
      <c r="B6385" s="71" t="n">
        <v>46252</v>
      </c>
      <c r="C6385" s="0" t="n">
        <v>11</v>
      </c>
      <c r="D6385" s="0" t="s">
        <v>2471</v>
      </c>
      <c r="E6385" s="0" t="n">
        <v>1328</v>
      </c>
      <c r="F6385" s="0" t="s">
        <v>95</v>
      </c>
      <c r="I6385" s="0" t="n">
        <v>4402</v>
      </c>
      <c r="J6385" s="0" t="n">
        <v>31787</v>
      </c>
      <c r="K6385" s="0" t="n">
        <v>7898588380125</v>
      </c>
      <c r="L6385" s="0" t="s">
        <v>2507</v>
      </c>
      <c r="N6385" s="0" t="n">
        <v>8</v>
      </c>
      <c r="O6385" s="0" t="n">
        <v>67.2</v>
      </c>
      <c r="P6385" s="0" t="s">
        <v>2444</v>
      </c>
    </row>
    <row r="6386" customFormat="false" ht="15" hidden="false" customHeight="true" outlineLevel="0" collapsed="false">
      <c r="A6386" s="0" t="n">
        <v>2</v>
      </c>
      <c r="B6386" s="71" t="n">
        <v>46252</v>
      </c>
      <c r="C6386" s="0" t="n">
        <v>11</v>
      </c>
      <c r="D6386" s="0" t="s">
        <v>2471</v>
      </c>
      <c r="E6386" s="0" t="n">
        <v>1328</v>
      </c>
      <c r="F6386" s="0" t="s">
        <v>95</v>
      </c>
      <c r="I6386" s="0" t="n">
        <v>4402</v>
      </c>
      <c r="J6386" s="0" t="n">
        <v>31790</v>
      </c>
      <c r="K6386" s="0" t="n">
        <v>7898588380231</v>
      </c>
      <c r="L6386" s="0" t="s">
        <v>2508</v>
      </c>
      <c r="N6386" s="0" t="n">
        <v>4</v>
      </c>
      <c r="O6386" s="0" t="n">
        <v>22</v>
      </c>
      <c r="P6386" s="0" t="s">
        <v>2444</v>
      </c>
    </row>
    <row r="6387" customFormat="false" ht="15" hidden="false" customHeight="true" outlineLevel="0" collapsed="false">
      <c r="A6387" s="0" t="n">
        <v>2</v>
      </c>
      <c r="B6387" s="71" t="n">
        <v>46252</v>
      </c>
      <c r="C6387" s="0" t="n">
        <v>11</v>
      </c>
      <c r="D6387" s="0" t="s">
        <v>2471</v>
      </c>
      <c r="E6387" s="0" t="n">
        <v>1196</v>
      </c>
      <c r="F6387" s="0" t="s">
        <v>1470</v>
      </c>
      <c r="I6387" s="0" t="n">
        <v>12793</v>
      </c>
      <c r="J6387" s="0" t="n">
        <v>34038</v>
      </c>
      <c r="K6387" s="0" t="n">
        <v>7898966081002</v>
      </c>
      <c r="L6387" s="0" t="s">
        <v>4879</v>
      </c>
      <c r="N6387" s="0" t="n">
        <v>20</v>
      </c>
      <c r="O6387" s="0" t="n">
        <v>69.76</v>
      </c>
      <c r="P6387" s="0" t="s">
        <v>2444</v>
      </c>
    </row>
    <row r="6388" customFormat="false" ht="15" hidden="false" customHeight="true" outlineLevel="0" collapsed="false">
      <c r="A6388" s="0" t="n">
        <v>2</v>
      </c>
      <c r="B6388" s="71" t="n">
        <v>46252</v>
      </c>
      <c r="C6388" s="0" t="n">
        <v>11</v>
      </c>
      <c r="D6388" s="0" t="s">
        <v>2471</v>
      </c>
      <c r="E6388" s="0" t="n">
        <v>1196</v>
      </c>
      <c r="F6388" s="0" t="s">
        <v>1470</v>
      </c>
      <c r="I6388" s="0" t="n">
        <v>12793</v>
      </c>
      <c r="J6388" s="0" t="n">
        <v>34799</v>
      </c>
      <c r="K6388" s="0" t="n">
        <v>7898966081019</v>
      </c>
      <c r="L6388" s="0" t="s">
        <v>4880</v>
      </c>
      <c r="N6388" s="0" t="n">
        <v>20</v>
      </c>
      <c r="O6388" s="0" t="n">
        <v>69.76</v>
      </c>
      <c r="P6388" s="0" t="s">
        <v>2444</v>
      </c>
    </row>
    <row r="6389" customFormat="false" ht="15" hidden="false" customHeight="true" outlineLevel="0" collapsed="false">
      <c r="A6389" s="0" t="n">
        <v>2</v>
      </c>
      <c r="B6389" s="71" t="n">
        <v>46252</v>
      </c>
      <c r="C6389" s="0" t="n">
        <v>11</v>
      </c>
      <c r="D6389" s="0" t="s">
        <v>2471</v>
      </c>
      <c r="E6389" s="0" t="n">
        <v>1196</v>
      </c>
      <c r="F6389" s="0" t="s">
        <v>1470</v>
      </c>
      <c r="I6389" s="0" t="n">
        <v>12793</v>
      </c>
      <c r="J6389" s="0" t="n">
        <v>34923</v>
      </c>
      <c r="K6389" s="0" t="n">
        <v>7896253401465</v>
      </c>
      <c r="L6389" s="0" t="s">
        <v>4881</v>
      </c>
      <c r="N6389" s="0" t="n">
        <v>30</v>
      </c>
      <c r="O6389" s="0" t="n">
        <v>121.42</v>
      </c>
      <c r="P6389" s="0" t="s">
        <v>2444</v>
      </c>
    </row>
    <row r="6390" customFormat="false" ht="15" hidden="false" customHeight="true" outlineLevel="0" collapsed="false">
      <c r="A6390" s="0" t="n">
        <v>2</v>
      </c>
      <c r="B6390" s="71" t="n">
        <v>46252</v>
      </c>
      <c r="C6390" s="0" t="n">
        <v>11</v>
      </c>
      <c r="D6390" s="0" t="s">
        <v>2471</v>
      </c>
      <c r="E6390" s="0" t="n">
        <v>1196</v>
      </c>
      <c r="F6390" s="0" t="s">
        <v>1470</v>
      </c>
      <c r="I6390" s="0" t="n">
        <v>12793</v>
      </c>
      <c r="J6390" s="0" t="n">
        <v>53324</v>
      </c>
      <c r="K6390" s="0" t="n">
        <v>7896253401472</v>
      </c>
      <c r="L6390" s="0" t="s">
        <v>4882</v>
      </c>
      <c r="N6390" s="0" t="n">
        <v>30</v>
      </c>
      <c r="O6390" s="0" t="n">
        <v>121.42</v>
      </c>
      <c r="P6390" s="0" t="s">
        <v>2444</v>
      </c>
    </row>
    <row r="6391" customFormat="false" ht="15" hidden="false" customHeight="true" outlineLevel="0" collapsed="false">
      <c r="A6391" s="0" t="n">
        <v>2</v>
      </c>
      <c r="B6391" s="71" t="n">
        <v>46252</v>
      </c>
      <c r="C6391" s="0" t="n">
        <v>11</v>
      </c>
      <c r="D6391" s="0" t="s">
        <v>2471</v>
      </c>
      <c r="E6391" s="0" t="n">
        <v>1196</v>
      </c>
      <c r="F6391" s="0" t="s">
        <v>1470</v>
      </c>
      <c r="I6391" s="0" t="n">
        <v>12793</v>
      </c>
      <c r="J6391" s="0" t="n">
        <v>56689</v>
      </c>
      <c r="K6391" s="0" t="n">
        <v>7896253401861</v>
      </c>
      <c r="L6391" s="0" t="s">
        <v>4883</v>
      </c>
      <c r="N6391" s="0" t="n">
        <v>36</v>
      </c>
      <c r="O6391" s="0" t="n">
        <v>144.11</v>
      </c>
      <c r="P6391" s="0" t="s">
        <v>2444</v>
      </c>
    </row>
    <row r="6392" customFormat="false" ht="15" hidden="false" customHeight="true" outlineLevel="0" collapsed="false">
      <c r="A6392" s="0" t="n">
        <v>2</v>
      </c>
      <c r="B6392" s="71" t="n">
        <v>46252</v>
      </c>
      <c r="C6392" s="0" t="n">
        <v>11</v>
      </c>
      <c r="D6392" s="0" t="s">
        <v>2471</v>
      </c>
      <c r="E6392" s="0" t="n">
        <v>1196</v>
      </c>
      <c r="F6392" s="0" t="s">
        <v>1470</v>
      </c>
      <c r="I6392" s="0" t="n">
        <v>12793</v>
      </c>
      <c r="J6392" s="0" t="n">
        <v>82099</v>
      </c>
      <c r="K6392" s="0" t="n">
        <v>7896434921461</v>
      </c>
      <c r="L6392" s="0" t="s">
        <v>4884</v>
      </c>
      <c r="N6392" s="0" t="n">
        <v>24</v>
      </c>
      <c r="O6392" s="0" t="n">
        <v>329.52</v>
      </c>
      <c r="P6392" s="0" t="s">
        <v>2444</v>
      </c>
    </row>
    <row r="6393" customFormat="false" ht="15" hidden="false" customHeight="true" outlineLevel="0" collapsed="false">
      <c r="A6393" s="0" t="n">
        <v>2</v>
      </c>
      <c r="B6393" s="71" t="n">
        <v>46252</v>
      </c>
      <c r="C6393" s="0" t="n">
        <v>11</v>
      </c>
      <c r="D6393" s="0" t="s">
        <v>2471</v>
      </c>
      <c r="E6393" s="0" t="n">
        <v>1711</v>
      </c>
      <c r="F6393" s="0" t="s">
        <v>1537</v>
      </c>
      <c r="I6393" s="0" t="n">
        <v>160332</v>
      </c>
      <c r="J6393" s="0" t="n">
        <v>50203</v>
      </c>
      <c r="K6393" s="0" t="n">
        <v>7891253274262</v>
      </c>
      <c r="L6393" s="0" t="s">
        <v>4885</v>
      </c>
      <c r="N6393" s="0" t="n">
        <v>5</v>
      </c>
      <c r="O6393" s="0" t="n">
        <v>47.05</v>
      </c>
      <c r="P6393" s="0" t="s">
        <v>2444</v>
      </c>
    </row>
    <row r="6394" customFormat="false" ht="15" hidden="false" customHeight="true" outlineLevel="0" collapsed="false">
      <c r="A6394" s="0" t="n">
        <v>2</v>
      </c>
      <c r="B6394" s="71" t="n">
        <v>46252</v>
      </c>
      <c r="C6394" s="0" t="n">
        <v>11</v>
      </c>
      <c r="D6394" s="0" t="s">
        <v>2471</v>
      </c>
      <c r="E6394" s="0" t="n">
        <v>1711</v>
      </c>
      <c r="F6394" s="0" t="s">
        <v>1537</v>
      </c>
      <c r="I6394" s="0" t="n">
        <v>160332</v>
      </c>
      <c r="J6394" s="0" t="n">
        <v>50209</v>
      </c>
      <c r="K6394" s="0" t="n">
        <v>7891253251959</v>
      </c>
      <c r="L6394" s="0" t="s">
        <v>4886</v>
      </c>
      <c r="N6394" s="0" t="n">
        <v>3</v>
      </c>
      <c r="O6394" s="0" t="n">
        <v>44.99</v>
      </c>
      <c r="P6394" s="0" t="s">
        <v>2444</v>
      </c>
    </row>
    <row r="6395" customFormat="false" ht="15" hidden="false" customHeight="true" outlineLevel="0" collapsed="false">
      <c r="A6395" s="0" t="n">
        <v>2</v>
      </c>
      <c r="B6395" s="71" t="n">
        <v>46252</v>
      </c>
      <c r="C6395" s="0" t="n">
        <v>11</v>
      </c>
      <c r="D6395" s="0" t="s">
        <v>2471</v>
      </c>
      <c r="E6395" s="0" t="n">
        <v>1711</v>
      </c>
      <c r="F6395" s="0" t="s">
        <v>1537</v>
      </c>
      <c r="I6395" s="0" t="n">
        <v>160332</v>
      </c>
      <c r="J6395" s="0" t="n">
        <v>103198</v>
      </c>
      <c r="K6395" s="0" t="n">
        <v>7891253104811</v>
      </c>
      <c r="L6395" s="0" t="s">
        <v>4887</v>
      </c>
      <c r="N6395" s="0" t="n">
        <v>10</v>
      </c>
      <c r="O6395" s="0" t="n">
        <v>77.11</v>
      </c>
      <c r="P6395" s="0" t="s">
        <v>2444</v>
      </c>
    </row>
    <row r="6396" customFormat="false" ht="15" hidden="false" customHeight="true" outlineLevel="0" collapsed="false">
      <c r="A6396" s="0" t="n">
        <v>2</v>
      </c>
      <c r="B6396" s="71" t="n">
        <v>46252</v>
      </c>
      <c r="C6396" s="0" t="n">
        <v>11</v>
      </c>
      <c r="D6396" s="0" t="s">
        <v>2471</v>
      </c>
      <c r="E6396" s="0" t="n">
        <v>1711</v>
      </c>
      <c r="F6396" s="0" t="s">
        <v>1537</v>
      </c>
      <c r="I6396" s="0" t="n">
        <v>160332</v>
      </c>
      <c r="J6396" s="0" t="n">
        <v>104798</v>
      </c>
      <c r="K6396" s="0" t="n">
        <v>7897393538585</v>
      </c>
      <c r="L6396" s="0" t="s">
        <v>4888</v>
      </c>
      <c r="N6396" s="0" t="n">
        <v>20</v>
      </c>
      <c r="O6396" s="0" t="n">
        <v>18.91</v>
      </c>
      <c r="P6396" s="0" t="s">
        <v>2444</v>
      </c>
    </row>
    <row r="6397" customFormat="false" ht="15" hidden="false" customHeight="true" outlineLevel="0" collapsed="false">
      <c r="A6397" s="0" t="n">
        <v>2</v>
      </c>
      <c r="B6397" s="71" t="n">
        <v>46252</v>
      </c>
      <c r="C6397" s="0" t="n">
        <v>11</v>
      </c>
      <c r="D6397" s="0" t="s">
        <v>2471</v>
      </c>
      <c r="E6397" s="0" t="n">
        <v>1711</v>
      </c>
      <c r="F6397" s="0" t="s">
        <v>1537</v>
      </c>
      <c r="I6397" s="0" t="n">
        <v>160332</v>
      </c>
      <c r="J6397" s="0" t="n">
        <v>105334</v>
      </c>
      <c r="K6397" s="0" t="n">
        <v>7897393538615</v>
      </c>
      <c r="L6397" s="0" t="s">
        <v>4889</v>
      </c>
      <c r="N6397" s="0" t="n">
        <v>20</v>
      </c>
      <c r="O6397" s="0" t="n">
        <v>20.6</v>
      </c>
      <c r="P6397" s="0" t="s">
        <v>2444</v>
      </c>
    </row>
    <row r="6398" customFormat="false" ht="15" hidden="false" customHeight="true" outlineLevel="0" collapsed="false">
      <c r="A6398" s="0" t="n">
        <v>2</v>
      </c>
      <c r="B6398" s="71" t="n">
        <v>46252</v>
      </c>
      <c r="C6398" s="0" t="n">
        <v>11</v>
      </c>
      <c r="D6398" s="0" t="s">
        <v>2471</v>
      </c>
      <c r="E6398" s="0" t="n">
        <v>1711</v>
      </c>
      <c r="F6398" s="0" t="s">
        <v>1537</v>
      </c>
      <c r="I6398" s="0" t="n">
        <v>160332</v>
      </c>
      <c r="J6398" s="0" t="n">
        <v>24145</v>
      </c>
      <c r="K6398" s="0" t="n">
        <v>7894494000621</v>
      </c>
      <c r="L6398" s="0" t="s">
        <v>4890</v>
      </c>
      <c r="N6398" s="0" t="n">
        <v>5</v>
      </c>
      <c r="O6398" s="0" t="n">
        <v>39.88</v>
      </c>
      <c r="P6398" s="0" t="s">
        <v>2444</v>
      </c>
    </row>
    <row r="6399" customFormat="false" ht="15" hidden="false" customHeight="true" outlineLevel="0" collapsed="false">
      <c r="A6399" s="0" t="n">
        <v>2</v>
      </c>
      <c r="B6399" s="71" t="n">
        <v>46252</v>
      </c>
      <c r="C6399" s="0" t="n">
        <v>11</v>
      </c>
      <c r="D6399" s="0" t="s">
        <v>2471</v>
      </c>
      <c r="E6399" s="0" t="n">
        <v>1711</v>
      </c>
      <c r="F6399" s="0" t="s">
        <v>1537</v>
      </c>
      <c r="I6399" s="0" t="n">
        <v>160332</v>
      </c>
      <c r="J6399" s="0" t="n">
        <v>29618</v>
      </c>
      <c r="K6399" s="0" t="n">
        <v>7894494637735</v>
      </c>
      <c r="L6399" s="0" t="s">
        <v>4891</v>
      </c>
      <c r="N6399" s="0" t="n">
        <v>5</v>
      </c>
      <c r="O6399" s="0" t="n">
        <v>39.88</v>
      </c>
      <c r="P6399" s="0" t="s">
        <v>2444</v>
      </c>
    </row>
    <row r="6400" customFormat="false" ht="15" hidden="false" customHeight="true" outlineLevel="0" collapsed="false">
      <c r="A6400" s="0" t="n">
        <v>2</v>
      </c>
      <c r="B6400" s="71" t="n">
        <v>46252</v>
      </c>
      <c r="C6400" s="0" t="n">
        <v>11</v>
      </c>
      <c r="D6400" s="0" t="s">
        <v>2471</v>
      </c>
      <c r="E6400" s="0" t="n">
        <v>1711</v>
      </c>
      <c r="F6400" s="0" t="s">
        <v>1537</v>
      </c>
      <c r="I6400" s="0" t="n">
        <v>160332</v>
      </c>
      <c r="J6400" s="0" t="n">
        <v>30550</v>
      </c>
      <c r="K6400" s="0" t="n">
        <v>7894494000614</v>
      </c>
      <c r="L6400" s="0" t="s">
        <v>4892</v>
      </c>
      <c r="N6400" s="0" t="n">
        <v>5</v>
      </c>
      <c r="O6400" s="0" t="n">
        <v>39.88</v>
      </c>
      <c r="P6400" s="0" t="s">
        <v>2444</v>
      </c>
    </row>
    <row r="6401" customFormat="false" ht="15" hidden="false" customHeight="true" outlineLevel="0" collapsed="false">
      <c r="A6401" s="0" t="n">
        <v>2</v>
      </c>
      <c r="B6401" s="71" t="n">
        <v>46252</v>
      </c>
      <c r="C6401" s="0" t="n">
        <v>11</v>
      </c>
      <c r="D6401" s="0" t="s">
        <v>2471</v>
      </c>
      <c r="E6401" s="0" t="n">
        <v>1711</v>
      </c>
      <c r="F6401" s="0" t="s">
        <v>1537</v>
      </c>
      <c r="I6401" s="0" t="n">
        <v>160332</v>
      </c>
      <c r="J6401" s="0" t="n">
        <v>30551</v>
      </c>
      <c r="K6401" s="0" t="n">
        <v>7894494000638</v>
      </c>
      <c r="L6401" s="0" t="s">
        <v>4893</v>
      </c>
      <c r="N6401" s="0" t="n">
        <v>5</v>
      </c>
      <c r="O6401" s="0" t="n">
        <v>39.88</v>
      </c>
      <c r="P6401" s="0" t="s">
        <v>2444</v>
      </c>
    </row>
    <row r="6402" customFormat="false" ht="15" hidden="false" customHeight="true" outlineLevel="0" collapsed="false">
      <c r="A6402" s="0" t="n">
        <v>2</v>
      </c>
      <c r="B6402" s="71" t="n">
        <v>46252</v>
      </c>
      <c r="C6402" s="0" t="n">
        <v>11</v>
      </c>
      <c r="D6402" s="0" t="s">
        <v>2471</v>
      </c>
      <c r="E6402" s="0" t="n">
        <v>1711</v>
      </c>
      <c r="F6402" s="0" t="s">
        <v>1537</v>
      </c>
      <c r="I6402" s="0" t="n">
        <v>160332</v>
      </c>
      <c r="J6402" s="0" t="n">
        <v>31508</v>
      </c>
      <c r="K6402" s="0" t="n">
        <v>7894494000607</v>
      </c>
      <c r="L6402" s="0" t="s">
        <v>4894</v>
      </c>
      <c r="N6402" s="0" t="n">
        <v>5</v>
      </c>
      <c r="O6402" s="0" t="n">
        <v>39.88</v>
      </c>
      <c r="P6402" s="0" t="s">
        <v>2444</v>
      </c>
    </row>
    <row r="6403" customFormat="false" ht="15" hidden="false" customHeight="true" outlineLevel="0" collapsed="false">
      <c r="A6403" s="0" t="n">
        <v>2</v>
      </c>
      <c r="B6403" s="71" t="n">
        <v>46252</v>
      </c>
      <c r="C6403" s="0" t="n">
        <v>11</v>
      </c>
      <c r="D6403" s="0" t="s">
        <v>2471</v>
      </c>
      <c r="E6403" s="0" t="n">
        <v>1711</v>
      </c>
      <c r="F6403" s="0" t="s">
        <v>1537</v>
      </c>
      <c r="I6403" s="0" t="n">
        <v>160332</v>
      </c>
      <c r="J6403" s="0" t="n">
        <v>36092</v>
      </c>
      <c r="K6403" s="0" t="n">
        <v>7894494000539</v>
      </c>
      <c r="L6403" s="0" t="s">
        <v>4895</v>
      </c>
      <c r="N6403" s="0" t="n">
        <v>5</v>
      </c>
      <c r="O6403" s="0" t="n">
        <v>28.48</v>
      </c>
      <c r="P6403" s="0" t="s">
        <v>2444</v>
      </c>
    </row>
    <row r="6404" customFormat="false" ht="15" hidden="false" customHeight="true" outlineLevel="0" collapsed="false">
      <c r="A6404" s="0" t="n">
        <v>2</v>
      </c>
      <c r="B6404" s="71" t="n">
        <v>46252</v>
      </c>
      <c r="C6404" s="0" t="n">
        <v>11</v>
      </c>
      <c r="D6404" s="0" t="s">
        <v>2471</v>
      </c>
      <c r="E6404" s="0" t="n">
        <v>1711</v>
      </c>
      <c r="F6404" s="0" t="s">
        <v>1537</v>
      </c>
      <c r="I6404" s="0" t="n">
        <v>160332</v>
      </c>
      <c r="J6404" s="0" t="n">
        <v>36518</v>
      </c>
      <c r="K6404" s="0" t="n">
        <v>7891253205006</v>
      </c>
      <c r="L6404" s="0" t="s">
        <v>4896</v>
      </c>
      <c r="N6404" s="0" t="n">
        <v>15</v>
      </c>
      <c r="O6404" s="0" t="n">
        <v>62.46</v>
      </c>
      <c r="P6404" s="0" t="s">
        <v>2444</v>
      </c>
    </row>
    <row r="6405" customFormat="false" ht="15" hidden="false" customHeight="true" outlineLevel="0" collapsed="false">
      <c r="A6405" s="0" t="n">
        <v>2</v>
      </c>
      <c r="B6405" s="71" t="n">
        <v>46252</v>
      </c>
      <c r="C6405" s="0" t="n">
        <v>11</v>
      </c>
      <c r="D6405" s="0" t="s">
        <v>2471</v>
      </c>
      <c r="E6405" s="0" t="n">
        <v>1711</v>
      </c>
      <c r="F6405" s="0" t="s">
        <v>1537</v>
      </c>
      <c r="I6405" s="0" t="n">
        <v>160332</v>
      </c>
      <c r="J6405" s="0" t="n">
        <v>36519</v>
      </c>
      <c r="K6405" s="0" t="n">
        <v>7891253104552</v>
      </c>
      <c r="L6405" s="0" t="s">
        <v>4897</v>
      </c>
      <c r="N6405" s="0" t="n">
        <v>10</v>
      </c>
      <c r="O6405" s="0" t="n">
        <v>53.31</v>
      </c>
      <c r="P6405" s="0" t="s">
        <v>2444</v>
      </c>
    </row>
    <row r="6406" customFormat="false" ht="15" hidden="false" customHeight="true" outlineLevel="0" collapsed="false">
      <c r="A6406" s="0" t="n">
        <v>2</v>
      </c>
      <c r="B6406" s="71" t="n">
        <v>46252</v>
      </c>
      <c r="C6406" s="0" t="n">
        <v>11</v>
      </c>
      <c r="D6406" s="0" t="s">
        <v>2471</v>
      </c>
      <c r="E6406" s="0" t="n">
        <v>1711</v>
      </c>
      <c r="F6406" s="0" t="s">
        <v>1537</v>
      </c>
      <c r="I6406" s="0" t="n">
        <v>160332</v>
      </c>
      <c r="J6406" s="0" t="n">
        <v>36938</v>
      </c>
      <c r="K6406" s="0" t="n">
        <v>7897027272038</v>
      </c>
      <c r="L6406" s="0" t="s">
        <v>4898</v>
      </c>
      <c r="N6406" s="0" t="n">
        <v>10</v>
      </c>
      <c r="O6406" s="0" t="n">
        <v>17.04</v>
      </c>
      <c r="P6406" s="0" t="s">
        <v>2444</v>
      </c>
    </row>
    <row r="6407" customFormat="false" ht="15" hidden="false" customHeight="true" outlineLevel="0" collapsed="false">
      <c r="A6407" s="0" t="n">
        <v>2</v>
      </c>
      <c r="B6407" s="71" t="n">
        <v>46252</v>
      </c>
      <c r="C6407" s="0" t="n">
        <v>11</v>
      </c>
      <c r="D6407" s="0" t="s">
        <v>2471</v>
      </c>
      <c r="E6407" s="0" t="n">
        <v>1711</v>
      </c>
      <c r="F6407" s="0" t="s">
        <v>1537</v>
      </c>
      <c r="I6407" s="0" t="n">
        <v>160332</v>
      </c>
      <c r="J6407" s="0" t="n">
        <v>44069</v>
      </c>
      <c r="K6407" s="0" t="n">
        <v>7891253205327</v>
      </c>
      <c r="L6407" s="0" t="s">
        <v>4899</v>
      </c>
      <c r="N6407" s="0" t="n">
        <v>3</v>
      </c>
      <c r="O6407" s="0" t="n">
        <v>44.99</v>
      </c>
      <c r="P6407" s="0" t="s">
        <v>2444</v>
      </c>
    </row>
    <row r="6408" customFormat="false" ht="15" hidden="false" customHeight="true" outlineLevel="0" collapsed="false">
      <c r="A6408" s="0" t="n">
        <v>2</v>
      </c>
      <c r="B6408" s="71" t="n">
        <v>46252</v>
      </c>
      <c r="C6408" s="0" t="n">
        <v>11</v>
      </c>
      <c r="D6408" s="0" t="s">
        <v>2471</v>
      </c>
      <c r="E6408" s="0" t="n">
        <v>1711</v>
      </c>
      <c r="F6408" s="0" t="s">
        <v>1537</v>
      </c>
      <c r="I6408" s="0" t="n">
        <v>160332</v>
      </c>
      <c r="J6408" s="0" t="n">
        <v>44132</v>
      </c>
      <c r="K6408" s="0" t="n">
        <v>7891253254264</v>
      </c>
      <c r="L6408" s="0" t="s">
        <v>4900</v>
      </c>
      <c r="N6408" s="0" t="n">
        <v>5</v>
      </c>
      <c r="O6408" s="0" t="n">
        <v>62.26</v>
      </c>
      <c r="P6408" s="0" t="s">
        <v>2444</v>
      </c>
    </row>
    <row r="6409" customFormat="false" ht="15" hidden="false" customHeight="true" outlineLevel="0" collapsed="false">
      <c r="A6409" s="0" t="n">
        <v>2</v>
      </c>
      <c r="B6409" s="71" t="n">
        <v>46252</v>
      </c>
      <c r="C6409" s="0" t="n">
        <v>11</v>
      </c>
      <c r="D6409" s="0" t="s">
        <v>2471</v>
      </c>
      <c r="E6409" s="0" t="n">
        <v>1711</v>
      </c>
      <c r="F6409" s="0" t="s">
        <v>1537</v>
      </c>
      <c r="I6409" s="0" t="n">
        <v>160332</v>
      </c>
      <c r="J6409" s="0" t="n">
        <v>44192</v>
      </c>
      <c r="K6409" s="0" t="n">
        <v>7891253251942</v>
      </c>
      <c r="L6409" s="0" t="s">
        <v>4901</v>
      </c>
      <c r="N6409" s="0" t="n">
        <v>5</v>
      </c>
      <c r="O6409" s="0" t="n">
        <v>62.26</v>
      </c>
      <c r="P6409" s="0" t="s">
        <v>2444</v>
      </c>
    </row>
    <row r="6410" customFormat="false" ht="15" hidden="false" customHeight="true" outlineLevel="0" collapsed="false">
      <c r="A6410" s="0" t="n">
        <v>2</v>
      </c>
      <c r="B6410" s="71" t="n">
        <v>46252</v>
      </c>
      <c r="C6410" s="0" t="n">
        <v>11</v>
      </c>
      <c r="D6410" s="0" t="s">
        <v>2471</v>
      </c>
      <c r="E6410" s="0" t="n">
        <v>1711</v>
      </c>
      <c r="F6410" s="0" t="s">
        <v>1537</v>
      </c>
      <c r="I6410" s="0" t="n">
        <v>160332</v>
      </c>
      <c r="J6410" s="0" t="n">
        <v>44606</v>
      </c>
      <c r="K6410" s="0" t="n">
        <v>7897027202714</v>
      </c>
      <c r="L6410" s="0" t="s">
        <v>4902</v>
      </c>
      <c r="N6410" s="0" t="n">
        <v>10</v>
      </c>
      <c r="O6410" s="0" t="n">
        <v>17.04</v>
      </c>
      <c r="P6410" s="0" t="s">
        <v>2444</v>
      </c>
    </row>
    <row r="6411" customFormat="false" ht="15" hidden="false" customHeight="true" outlineLevel="0" collapsed="false">
      <c r="A6411" s="0" t="n">
        <v>2</v>
      </c>
      <c r="B6411" s="71" t="n">
        <v>46252</v>
      </c>
      <c r="C6411" s="0" t="n">
        <v>11</v>
      </c>
      <c r="D6411" s="0" t="s">
        <v>2471</v>
      </c>
      <c r="E6411" s="0" t="n">
        <v>1711</v>
      </c>
      <c r="F6411" s="0" t="s">
        <v>1537</v>
      </c>
      <c r="I6411" s="0" t="n">
        <v>160332</v>
      </c>
      <c r="J6411" s="0" t="n">
        <v>46036</v>
      </c>
      <c r="K6411" s="0" t="n">
        <v>7891253269480</v>
      </c>
      <c r="L6411" s="0" t="s">
        <v>4903</v>
      </c>
      <c r="N6411" s="0" t="n">
        <v>5</v>
      </c>
      <c r="O6411" s="0" t="n">
        <v>62.26</v>
      </c>
      <c r="P6411" s="0" t="s">
        <v>2444</v>
      </c>
    </row>
    <row r="6412" customFormat="false" ht="15" hidden="false" customHeight="true" outlineLevel="0" collapsed="false">
      <c r="A6412" s="0" t="n">
        <v>2</v>
      </c>
      <c r="B6412" s="71" t="n">
        <v>46252</v>
      </c>
      <c r="C6412" s="0" t="n">
        <v>11</v>
      </c>
      <c r="D6412" s="0" t="s">
        <v>2471</v>
      </c>
      <c r="E6412" s="0" t="n">
        <v>1711</v>
      </c>
      <c r="F6412" s="0" t="s">
        <v>1537</v>
      </c>
      <c r="I6412" s="0" t="n">
        <v>160332</v>
      </c>
      <c r="J6412" s="0" t="n">
        <v>46580</v>
      </c>
      <c r="K6412" s="0" t="n">
        <v>7894494583698</v>
      </c>
      <c r="L6412" s="0" t="s">
        <v>4904</v>
      </c>
      <c r="N6412" s="0" t="n">
        <v>5</v>
      </c>
      <c r="O6412" s="0" t="n">
        <v>39.88</v>
      </c>
      <c r="P6412" s="0" t="s">
        <v>2444</v>
      </c>
    </row>
    <row r="6413" customFormat="false" ht="15" hidden="false" customHeight="true" outlineLevel="0" collapsed="false">
      <c r="A6413" s="0" t="n">
        <v>2</v>
      </c>
      <c r="B6413" s="71" t="n">
        <v>46252</v>
      </c>
      <c r="C6413" s="0" t="n">
        <v>11</v>
      </c>
      <c r="D6413" s="0" t="s">
        <v>2471</v>
      </c>
      <c r="E6413" s="0" t="n">
        <v>1711</v>
      </c>
      <c r="F6413" s="0" t="s">
        <v>1537</v>
      </c>
      <c r="I6413" s="0" t="n">
        <v>160332</v>
      </c>
      <c r="J6413" s="0" t="n">
        <v>46838</v>
      </c>
      <c r="K6413" s="0" t="n">
        <v>7898542315996</v>
      </c>
      <c r="L6413" s="0" t="s">
        <v>4905</v>
      </c>
      <c r="N6413" s="0" t="n">
        <v>20</v>
      </c>
      <c r="O6413" s="0" t="n">
        <v>28.82</v>
      </c>
      <c r="P6413" s="0" t="s">
        <v>2444</v>
      </c>
    </row>
    <row r="6414" customFormat="false" ht="15" hidden="false" customHeight="true" outlineLevel="0" collapsed="false">
      <c r="A6414" s="0" t="n">
        <v>2</v>
      </c>
      <c r="B6414" s="71" t="n">
        <v>46252</v>
      </c>
      <c r="C6414" s="0" t="n">
        <v>11</v>
      </c>
      <c r="D6414" s="0" t="s">
        <v>2471</v>
      </c>
      <c r="E6414" s="0" t="n">
        <v>1711</v>
      </c>
      <c r="F6414" s="0" t="s">
        <v>1537</v>
      </c>
      <c r="I6414" s="0" t="n">
        <v>160332</v>
      </c>
      <c r="J6414" s="0" t="n">
        <v>46842</v>
      </c>
      <c r="K6414" s="0" t="n">
        <v>7898542316016</v>
      </c>
      <c r="L6414" s="0" t="s">
        <v>4906</v>
      </c>
      <c r="N6414" s="0" t="n">
        <v>20</v>
      </c>
      <c r="O6414" s="0" t="n">
        <v>28.82</v>
      </c>
      <c r="P6414" s="0" t="s">
        <v>2444</v>
      </c>
    </row>
    <row r="6415" customFormat="false" ht="15" hidden="false" customHeight="true" outlineLevel="0" collapsed="false">
      <c r="A6415" s="0" t="n">
        <v>2</v>
      </c>
      <c r="B6415" s="71" t="n">
        <v>46252</v>
      </c>
      <c r="C6415" s="0" t="n">
        <v>11</v>
      </c>
      <c r="D6415" s="0" t="s">
        <v>2471</v>
      </c>
      <c r="E6415" s="0" t="n">
        <v>1711</v>
      </c>
      <c r="F6415" s="0" t="s">
        <v>1537</v>
      </c>
      <c r="I6415" s="0" t="n">
        <v>160332</v>
      </c>
      <c r="J6415" s="0" t="n">
        <v>48387</v>
      </c>
      <c r="K6415" s="0" t="n">
        <v>7891253269497</v>
      </c>
      <c r="L6415" s="0" t="s">
        <v>4907</v>
      </c>
      <c r="N6415" s="0" t="n">
        <v>3</v>
      </c>
      <c r="O6415" s="0" t="n">
        <v>44.99</v>
      </c>
      <c r="P6415" s="0" t="s">
        <v>2444</v>
      </c>
    </row>
    <row r="6416" customFormat="false" ht="15" hidden="false" customHeight="true" outlineLevel="0" collapsed="false">
      <c r="A6416" s="0" t="n">
        <v>2</v>
      </c>
      <c r="B6416" s="71" t="n">
        <v>46252</v>
      </c>
      <c r="C6416" s="0" t="n">
        <v>11</v>
      </c>
      <c r="D6416" s="0" t="s">
        <v>2471</v>
      </c>
      <c r="E6416" s="0" t="n">
        <v>1711</v>
      </c>
      <c r="F6416" s="0" t="s">
        <v>1537</v>
      </c>
      <c r="I6416" s="0" t="n">
        <v>160332</v>
      </c>
      <c r="J6416" s="0" t="n">
        <v>48408</v>
      </c>
      <c r="K6416" s="0" t="n">
        <v>7891253205310</v>
      </c>
      <c r="L6416" s="0" t="s">
        <v>4908</v>
      </c>
      <c r="N6416" s="0" t="n">
        <v>5</v>
      </c>
      <c r="O6416" s="0" t="n">
        <v>62.26</v>
      </c>
      <c r="P6416" s="0" t="s">
        <v>2444</v>
      </c>
    </row>
    <row r="6417" customFormat="false" ht="15" hidden="false" customHeight="true" outlineLevel="0" collapsed="false">
      <c r="A6417" s="0" t="n">
        <v>2</v>
      </c>
      <c r="B6417" s="71" t="n">
        <v>46252</v>
      </c>
      <c r="C6417" s="0" t="n">
        <v>11</v>
      </c>
      <c r="D6417" s="0" t="s">
        <v>2471</v>
      </c>
      <c r="E6417" s="0" t="n">
        <v>1711</v>
      </c>
      <c r="F6417" s="0" t="s">
        <v>1537</v>
      </c>
      <c r="I6417" s="0" t="n">
        <v>160332</v>
      </c>
      <c r="J6417" s="0" t="n">
        <v>49385</v>
      </c>
      <c r="K6417" s="0" t="n">
        <v>7891253269657</v>
      </c>
      <c r="L6417" s="0" t="s">
        <v>4909</v>
      </c>
      <c r="N6417" s="0" t="n">
        <v>3</v>
      </c>
      <c r="O6417" s="0" t="n">
        <v>44.99</v>
      </c>
      <c r="P6417" s="0" t="s">
        <v>2444</v>
      </c>
    </row>
    <row r="6418" customFormat="false" ht="15" hidden="false" customHeight="true" outlineLevel="0" collapsed="false">
      <c r="A6418" s="0" t="n">
        <v>2</v>
      </c>
      <c r="B6418" s="71" t="n">
        <v>46252</v>
      </c>
      <c r="C6418" s="0" t="n">
        <v>11</v>
      </c>
      <c r="D6418" s="0" t="s">
        <v>2471</v>
      </c>
      <c r="E6418" s="0" t="n">
        <v>1711</v>
      </c>
      <c r="F6418" s="0" t="s">
        <v>1537</v>
      </c>
      <c r="I6418" s="0" t="n">
        <v>160332</v>
      </c>
      <c r="J6418" s="0" t="n">
        <v>53119</v>
      </c>
      <c r="K6418" s="0" t="n">
        <v>7891027153649</v>
      </c>
      <c r="L6418" s="0" t="s">
        <v>4910</v>
      </c>
      <c r="N6418" s="0" t="n">
        <v>8</v>
      </c>
      <c r="O6418" s="0" t="n">
        <v>62.64</v>
      </c>
      <c r="P6418" s="0" t="s">
        <v>2444</v>
      </c>
    </row>
    <row r="6419" customFormat="false" ht="15" hidden="false" customHeight="true" outlineLevel="0" collapsed="false">
      <c r="A6419" s="0" t="n">
        <v>2</v>
      </c>
      <c r="B6419" s="71" t="n">
        <v>46252</v>
      </c>
      <c r="C6419" s="0" t="n">
        <v>11</v>
      </c>
      <c r="D6419" s="0" t="s">
        <v>2471</v>
      </c>
      <c r="E6419" s="0" t="n">
        <v>1711</v>
      </c>
      <c r="F6419" s="0" t="s">
        <v>1537</v>
      </c>
      <c r="I6419" s="0" t="n">
        <v>160332</v>
      </c>
      <c r="J6419" s="0" t="n">
        <v>53132</v>
      </c>
      <c r="K6419" s="0" t="n">
        <v>7891027179915</v>
      </c>
      <c r="L6419" s="0" t="s">
        <v>4911</v>
      </c>
      <c r="N6419" s="0" t="n">
        <v>8</v>
      </c>
      <c r="O6419" s="0" t="n">
        <v>62.64</v>
      </c>
      <c r="P6419" s="0" t="s">
        <v>2444</v>
      </c>
    </row>
    <row r="6420" customFormat="false" ht="15" hidden="false" customHeight="true" outlineLevel="0" collapsed="false">
      <c r="A6420" s="0" t="n">
        <v>2</v>
      </c>
      <c r="B6420" s="71" t="n">
        <v>46252</v>
      </c>
      <c r="C6420" s="0" t="n">
        <v>11</v>
      </c>
      <c r="D6420" s="0" t="s">
        <v>2471</v>
      </c>
      <c r="E6420" s="0" t="n">
        <v>1711</v>
      </c>
      <c r="F6420" s="0" t="s">
        <v>1537</v>
      </c>
      <c r="I6420" s="0" t="n">
        <v>160332</v>
      </c>
      <c r="J6420" s="0" t="n">
        <v>53450</v>
      </c>
      <c r="K6420" s="0" t="n">
        <v>7899264391473</v>
      </c>
      <c r="L6420" s="0" t="s">
        <v>4912</v>
      </c>
      <c r="N6420" s="0" t="n">
        <v>5</v>
      </c>
      <c r="O6420" s="0" t="n">
        <v>62.63</v>
      </c>
      <c r="P6420" s="0" t="s">
        <v>2444</v>
      </c>
    </row>
    <row r="6421" customFormat="false" ht="15" hidden="false" customHeight="true" outlineLevel="0" collapsed="false">
      <c r="A6421" s="0" t="n">
        <v>2</v>
      </c>
      <c r="B6421" s="71" t="n">
        <v>46252</v>
      </c>
      <c r="C6421" s="0" t="n">
        <v>11</v>
      </c>
      <c r="D6421" s="0" t="s">
        <v>2471</v>
      </c>
      <c r="E6421" s="0" t="n">
        <v>1711</v>
      </c>
      <c r="F6421" s="0" t="s">
        <v>1537</v>
      </c>
      <c r="I6421" s="0" t="n">
        <v>160332</v>
      </c>
      <c r="J6421" s="0" t="n">
        <v>54692</v>
      </c>
      <c r="K6421" s="0" t="n">
        <v>7894494000546</v>
      </c>
      <c r="L6421" s="0" t="s">
        <v>4913</v>
      </c>
      <c r="N6421" s="0" t="n">
        <v>5</v>
      </c>
      <c r="O6421" s="0" t="n">
        <v>28.48</v>
      </c>
      <c r="P6421" s="0" t="s">
        <v>2444</v>
      </c>
    </row>
    <row r="6422" customFormat="false" ht="15" hidden="false" customHeight="true" outlineLevel="0" collapsed="false">
      <c r="A6422" s="0" t="n">
        <v>2</v>
      </c>
      <c r="B6422" s="71" t="n">
        <v>46252</v>
      </c>
      <c r="C6422" s="0" t="n">
        <v>11</v>
      </c>
      <c r="D6422" s="0" t="s">
        <v>2471</v>
      </c>
      <c r="E6422" s="0" t="n">
        <v>1711</v>
      </c>
      <c r="F6422" s="0" t="s">
        <v>1537</v>
      </c>
      <c r="I6422" s="0" t="n">
        <v>160332</v>
      </c>
      <c r="J6422" s="0" t="n">
        <v>54693</v>
      </c>
      <c r="K6422" s="0" t="n">
        <v>7894494000553</v>
      </c>
      <c r="L6422" s="0" t="s">
        <v>4914</v>
      </c>
      <c r="N6422" s="0" t="n">
        <v>5</v>
      </c>
      <c r="O6422" s="0" t="n">
        <v>28.48</v>
      </c>
      <c r="P6422" s="0" t="s">
        <v>2444</v>
      </c>
    </row>
    <row r="6423" customFormat="false" ht="15" hidden="false" customHeight="true" outlineLevel="0" collapsed="false">
      <c r="A6423" s="0" t="n">
        <v>2</v>
      </c>
      <c r="B6423" s="71" t="n">
        <v>46252</v>
      </c>
      <c r="C6423" s="0" t="n">
        <v>11</v>
      </c>
      <c r="D6423" s="0" t="s">
        <v>2471</v>
      </c>
      <c r="E6423" s="0" t="n">
        <v>1711</v>
      </c>
      <c r="F6423" s="0" t="s">
        <v>1537</v>
      </c>
      <c r="I6423" s="0" t="n">
        <v>160332</v>
      </c>
      <c r="J6423" s="0" t="n">
        <v>58728</v>
      </c>
      <c r="K6423" s="0" t="n">
        <v>7891253254271</v>
      </c>
      <c r="L6423" s="0" t="s">
        <v>4915</v>
      </c>
      <c r="N6423" s="0" t="n">
        <v>3</v>
      </c>
      <c r="O6423" s="0" t="n">
        <v>44.99</v>
      </c>
      <c r="P6423" s="0" t="s">
        <v>2444</v>
      </c>
    </row>
    <row r="6424" customFormat="false" ht="15" hidden="false" customHeight="true" outlineLevel="0" collapsed="false">
      <c r="A6424" s="0" t="n">
        <v>2</v>
      </c>
      <c r="B6424" s="71" t="n">
        <v>46252</v>
      </c>
      <c r="C6424" s="0" t="n">
        <v>11</v>
      </c>
      <c r="D6424" s="0" t="s">
        <v>2471</v>
      </c>
      <c r="E6424" s="0" t="n">
        <v>1711</v>
      </c>
      <c r="F6424" s="0" t="s">
        <v>1537</v>
      </c>
      <c r="I6424" s="0" t="n">
        <v>160332</v>
      </c>
      <c r="J6424" s="0" t="n">
        <v>58919</v>
      </c>
      <c r="K6424" s="0" t="n">
        <v>7908293912686</v>
      </c>
      <c r="L6424" s="0" t="s">
        <v>4916</v>
      </c>
      <c r="N6424" s="0" t="n">
        <v>10</v>
      </c>
      <c r="O6424" s="0" t="n">
        <v>46.08</v>
      </c>
      <c r="P6424" s="0" t="s">
        <v>2444</v>
      </c>
    </row>
    <row r="6425" customFormat="false" ht="15" hidden="false" customHeight="true" outlineLevel="0" collapsed="false">
      <c r="A6425" s="0" t="n">
        <v>2</v>
      </c>
      <c r="B6425" s="71" t="n">
        <v>46252</v>
      </c>
      <c r="C6425" s="0" t="n">
        <v>11</v>
      </c>
      <c r="D6425" s="0" t="s">
        <v>2471</v>
      </c>
      <c r="E6425" s="0" t="n">
        <v>1711</v>
      </c>
      <c r="F6425" s="0" t="s">
        <v>1537</v>
      </c>
      <c r="I6425" s="0" t="n">
        <v>160332</v>
      </c>
      <c r="J6425" s="0" t="n">
        <v>59137</v>
      </c>
      <c r="K6425" s="0" t="n">
        <v>7898542316115</v>
      </c>
      <c r="L6425" s="0" t="s">
        <v>4917</v>
      </c>
      <c r="N6425" s="0" t="n">
        <v>20</v>
      </c>
      <c r="O6425" s="0" t="n">
        <v>28.82</v>
      </c>
      <c r="P6425" s="0" t="s">
        <v>2444</v>
      </c>
    </row>
    <row r="6426" customFormat="false" ht="15" hidden="false" customHeight="true" outlineLevel="0" collapsed="false">
      <c r="A6426" s="0" t="n">
        <v>2</v>
      </c>
      <c r="B6426" s="71" t="n">
        <v>46252</v>
      </c>
      <c r="C6426" s="0" t="n">
        <v>11</v>
      </c>
      <c r="D6426" s="0" t="s">
        <v>2471</v>
      </c>
      <c r="E6426" s="0" t="n">
        <v>1711</v>
      </c>
      <c r="F6426" s="0" t="s">
        <v>1537</v>
      </c>
      <c r="I6426" s="0" t="n">
        <v>160332</v>
      </c>
      <c r="J6426" s="0" t="n">
        <v>62490</v>
      </c>
      <c r="K6426" s="0" t="n">
        <v>7894494000522</v>
      </c>
      <c r="L6426" s="0" t="s">
        <v>4918</v>
      </c>
      <c r="N6426" s="0" t="n">
        <v>5</v>
      </c>
      <c r="O6426" s="0" t="n">
        <v>28.48</v>
      </c>
      <c r="P6426" s="0" t="s">
        <v>2444</v>
      </c>
    </row>
    <row r="6427" customFormat="false" ht="15" hidden="false" customHeight="true" outlineLevel="0" collapsed="false">
      <c r="A6427" s="0" t="n">
        <v>2</v>
      </c>
      <c r="B6427" s="71" t="n">
        <v>46252</v>
      </c>
      <c r="C6427" s="0" t="n">
        <v>11</v>
      </c>
      <c r="D6427" s="0" t="s">
        <v>2471</v>
      </c>
      <c r="E6427" s="0" t="n">
        <v>1711</v>
      </c>
      <c r="F6427" s="0" t="s">
        <v>1537</v>
      </c>
      <c r="I6427" s="0" t="n">
        <v>160332</v>
      </c>
      <c r="J6427" s="0" t="n">
        <v>62581</v>
      </c>
      <c r="K6427" s="0" t="n">
        <v>7894494252839</v>
      </c>
      <c r="L6427" s="0" t="s">
        <v>4919</v>
      </c>
      <c r="N6427" s="0" t="n">
        <v>5</v>
      </c>
      <c r="O6427" s="0" t="n">
        <v>39.88</v>
      </c>
      <c r="P6427" s="0" t="s">
        <v>2444</v>
      </c>
    </row>
    <row r="6428" customFormat="false" ht="15" hidden="false" customHeight="true" outlineLevel="0" collapsed="false">
      <c r="A6428" s="0" t="n">
        <v>2</v>
      </c>
      <c r="B6428" s="71" t="n">
        <v>46252</v>
      </c>
      <c r="C6428" s="0" t="n">
        <v>11</v>
      </c>
      <c r="D6428" s="0" t="s">
        <v>2471</v>
      </c>
      <c r="E6428" s="0" t="n">
        <v>1711</v>
      </c>
      <c r="F6428" s="0" t="s">
        <v>1537</v>
      </c>
      <c r="I6428" s="0" t="n">
        <v>160332</v>
      </c>
      <c r="J6428" s="0" t="n">
        <v>62582</v>
      </c>
      <c r="K6428" s="0" t="n">
        <v>7894494752841</v>
      </c>
      <c r="L6428" s="0" t="s">
        <v>4920</v>
      </c>
      <c r="N6428" s="0" t="n">
        <v>5</v>
      </c>
      <c r="O6428" s="0" t="n">
        <v>39.88</v>
      </c>
      <c r="P6428" s="0" t="s">
        <v>2444</v>
      </c>
    </row>
    <row r="6429" customFormat="false" ht="15" hidden="false" customHeight="true" outlineLevel="0" collapsed="false">
      <c r="A6429" s="0" t="n">
        <v>2</v>
      </c>
      <c r="B6429" s="71" t="n">
        <v>46252</v>
      </c>
      <c r="C6429" s="0" t="n">
        <v>11</v>
      </c>
      <c r="D6429" s="0" t="s">
        <v>2471</v>
      </c>
      <c r="E6429" s="0" t="n">
        <v>1711</v>
      </c>
      <c r="F6429" s="0" t="s">
        <v>1537</v>
      </c>
      <c r="I6429" s="0" t="n">
        <v>160332</v>
      </c>
      <c r="J6429" s="0" t="n">
        <v>62926</v>
      </c>
      <c r="K6429" s="0" t="n">
        <v>7894494637711</v>
      </c>
      <c r="L6429" s="0" t="s">
        <v>4921</v>
      </c>
      <c r="N6429" s="0" t="n">
        <v>5</v>
      </c>
      <c r="O6429" s="0" t="n">
        <v>28.48</v>
      </c>
      <c r="P6429" s="0" t="s">
        <v>2444</v>
      </c>
    </row>
    <row r="6430" customFormat="false" ht="15" hidden="false" customHeight="true" outlineLevel="0" collapsed="false">
      <c r="A6430" s="0" t="n">
        <v>2</v>
      </c>
      <c r="B6430" s="71" t="n">
        <v>46252</v>
      </c>
      <c r="C6430" s="0" t="n">
        <v>11</v>
      </c>
      <c r="D6430" s="0" t="s">
        <v>2471</v>
      </c>
      <c r="E6430" s="0" t="n">
        <v>1711</v>
      </c>
      <c r="F6430" s="0" t="s">
        <v>1537</v>
      </c>
      <c r="I6430" s="0" t="n">
        <v>160332</v>
      </c>
      <c r="J6430" s="0" t="n">
        <v>65918</v>
      </c>
      <c r="K6430" s="0" t="n">
        <v>7894494594472</v>
      </c>
      <c r="L6430" s="0" t="s">
        <v>4922</v>
      </c>
      <c r="N6430" s="0" t="n">
        <v>5</v>
      </c>
      <c r="O6430" s="0" t="n">
        <v>52.27</v>
      </c>
      <c r="P6430" s="0" t="s">
        <v>2444</v>
      </c>
    </row>
    <row r="6431" customFormat="false" ht="15" hidden="false" customHeight="true" outlineLevel="0" collapsed="false">
      <c r="A6431" s="0" t="n">
        <v>2</v>
      </c>
      <c r="B6431" s="71" t="n">
        <v>46252</v>
      </c>
      <c r="C6431" s="0" t="n">
        <v>11</v>
      </c>
      <c r="D6431" s="0" t="s">
        <v>2471</v>
      </c>
      <c r="E6431" s="0" t="n">
        <v>1711</v>
      </c>
      <c r="F6431" s="0" t="s">
        <v>1537</v>
      </c>
      <c r="I6431" s="0" t="n">
        <v>160332</v>
      </c>
      <c r="J6431" s="0" t="n">
        <v>71440</v>
      </c>
      <c r="K6431" s="0" t="n">
        <v>7891253283936</v>
      </c>
      <c r="L6431" s="0" t="s">
        <v>4923</v>
      </c>
      <c r="N6431" s="0" t="n">
        <v>20</v>
      </c>
      <c r="O6431" s="0" t="n">
        <v>39.5</v>
      </c>
      <c r="P6431" s="0" t="s">
        <v>2444</v>
      </c>
    </row>
    <row r="6432" customFormat="false" ht="15" hidden="false" customHeight="true" outlineLevel="0" collapsed="false">
      <c r="A6432" s="0" t="n">
        <v>2</v>
      </c>
      <c r="B6432" s="71" t="n">
        <v>46252</v>
      </c>
      <c r="C6432" s="0" t="n">
        <v>11</v>
      </c>
      <c r="D6432" s="0" t="s">
        <v>2471</v>
      </c>
      <c r="E6432" s="0" t="n">
        <v>1711</v>
      </c>
      <c r="F6432" s="0" t="s">
        <v>1537</v>
      </c>
      <c r="I6432" s="0" t="n">
        <v>160332</v>
      </c>
      <c r="J6432" s="0" t="n">
        <v>76264</v>
      </c>
      <c r="K6432" s="0" t="n">
        <v>7894494583674</v>
      </c>
      <c r="L6432" s="0" t="s">
        <v>4924</v>
      </c>
      <c r="N6432" s="0" t="n">
        <v>5</v>
      </c>
      <c r="O6432" s="0" t="n">
        <v>28.48</v>
      </c>
      <c r="P6432" s="0" t="s">
        <v>2444</v>
      </c>
    </row>
    <row r="6433" customFormat="false" ht="15" hidden="false" customHeight="true" outlineLevel="0" collapsed="false">
      <c r="A6433" s="0" t="n">
        <v>2</v>
      </c>
      <c r="B6433" s="71" t="n">
        <v>46252</v>
      </c>
      <c r="C6433" s="0" t="n">
        <v>11</v>
      </c>
      <c r="D6433" s="0" t="s">
        <v>2471</v>
      </c>
      <c r="E6433" s="0" t="n">
        <v>1711</v>
      </c>
      <c r="F6433" s="0" t="s">
        <v>1537</v>
      </c>
      <c r="I6433" s="0" t="n">
        <v>160332</v>
      </c>
      <c r="J6433" s="0" t="n">
        <v>81739</v>
      </c>
      <c r="K6433" s="0" t="n">
        <v>7891253285749</v>
      </c>
      <c r="L6433" s="0" t="s">
        <v>4925</v>
      </c>
      <c r="N6433" s="0" t="n">
        <v>3</v>
      </c>
      <c r="O6433" s="0" t="n">
        <v>44.99</v>
      </c>
      <c r="P6433" s="0" t="s">
        <v>2444</v>
      </c>
    </row>
    <row r="6434" customFormat="false" ht="15" hidden="false" customHeight="true" outlineLevel="0" collapsed="false">
      <c r="A6434" s="0" t="n">
        <v>2</v>
      </c>
      <c r="B6434" s="71" t="n">
        <v>46252</v>
      </c>
      <c r="C6434" s="0" t="n">
        <v>11</v>
      </c>
      <c r="D6434" s="0" t="s">
        <v>2471</v>
      </c>
      <c r="E6434" s="0" t="n">
        <v>1711</v>
      </c>
      <c r="F6434" s="0" t="s">
        <v>1537</v>
      </c>
      <c r="I6434" s="0" t="n">
        <v>160332</v>
      </c>
      <c r="J6434" s="0" t="n">
        <v>82117</v>
      </c>
      <c r="K6434" s="0" t="n">
        <v>7894494789670</v>
      </c>
      <c r="L6434" s="0" t="s">
        <v>4926</v>
      </c>
      <c r="N6434" s="0" t="n">
        <v>5</v>
      </c>
      <c r="O6434" s="0" t="n">
        <v>32.99</v>
      </c>
      <c r="P6434" s="0" t="s">
        <v>2444</v>
      </c>
    </row>
    <row r="6435" customFormat="false" ht="15" hidden="false" customHeight="true" outlineLevel="0" collapsed="false">
      <c r="A6435" s="0" t="n">
        <v>2</v>
      </c>
      <c r="B6435" s="71" t="n">
        <v>46252</v>
      </c>
      <c r="C6435" s="0" t="n">
        <v>11</v>
      </c>
      <c r="D6435" s="0" t="s">
        <v>2471</v>
      </c>
      <c r="E6435" s="0" t="n">
        <v>1711</v>
      </c>
      <c r="F6435" s="0" t="s">
        <v>1537</v>
      </c>
      <c r="I6435" s="0" t="n">
        <v>160332</v>
      </c>
      <c r="J6435" s="0" t="n">
        <v>82118</v>
      </c>
      <c r="K6435" s="0" t="n">
        <v>7891253285862</v>
      </c>
      <c r="L6435" s="0" t="s">
        <v>4927</v>
      </c>
      <c r="N6435" s="0" t="n">
        <v>5</v>
      </c>
      <c r="O6435" s="0" t="n">
        <v>62.26</v>
      </c>
      <c r="P6435" s="0" t="s">
        <v>2444</v>
      </c>
    </row>
    <row r="6436" customFormat="false" ht="15" hidden="false" customHeight="true" outlineLevel="0" collapsed="false">
      <c r="A6436" s="0" t="n">
        <v>2</v>
      </c>
      <c r="B6436" s="71" t="n">
        <v>46252</v>
      </c>
      <c r="C6436" s="0" t="n">
        <v>11</v>
      </c>
      <c r="D6436" s="0" t="s">
        <v>2471</v>
      </c>
      <c r="E6436" s="0" t="n">
        <v>1711</v>
      </c>
      <c r="F6436" s="0" t="s">
        <v>1537</v>
      </c>
      <c r="I6436" s="0" t="n">
        <v>160332</v>
      </c>
      <c r="J6436" s="0" t="n">
        <v>82119</v>
      </c>
      <c r="K6436" s="0" t="n">
        <v>7891253285732</v>
      </c>
      <c r="L6436" s="0" t="s">
        <v>4928</v>
      </c>
      <c r="N6436" s="0" t="n">
        <v>5</v>
      </c>
      <c r="O6436" s="0" t="n">
        <v>62.26</v>
      </c>
      <c r="P6436" s="0" t="s">
        <v>2444</v>
      </c>
    </row>
    <row r="6437" customFormat="false" ht="15" hidden="false" customHeight="true" outlineLevel="0" collapsed="false">
      <c r="A6437" s="0" t="n">
        <v>2</v>
      </c>
      <c r="B6437" s="71" t="n">
        <v>46252</v>
      </c>
      <c r="C6437" s="0" t="n">
        <v>11</v>
      </c>
      <c r="D6437" s="0" t="s">
        <v>2471</v>
      </c>
      <c r="E6437" s="0" t="n">
        <v>1711</v>
      </c>
      <c r="F6437" s="0" t="s">
        <v>1537</v>
      </c>
      <c r="I6437" s="0" t="n">
        <v>160332</v>
      </c>
      <c r="J6437" s="0" t="n">
        <v>82120</v>
      </c>
      <c r="K6437" s="0" t="n">
        <v>7891253285879</v>
      </c>
      <c r="L6437" s="0" t="s">
        <v>4929</v>
      </c>
      <c r="N6437" s="0" t="n">
        <v>3</v>
      </c>
      <c r="O6437" s="0" t="n">
        <v>44.99</v>
      </c>
      <c r="P6437" s="0" t="s">
        <v>2444</v>
      </c>
    </row>
    <row r="6438" customFormat="false" ht="15" hidden="false" customHeight="true" outlineLevel="0" collapsed="false">
      <c r="A6438" s="0" t="n">
        <v>2</v>
      </c>
      <c r="B6438" s="71" t="n">
        <v>46252</v>
      </c>
      <c r="C6438" s="0" t="n">
        <v>11</v>
      </c>
      <c r="D6438" s="0" t="s">
        <v>2471</v>
      </c>
      <c r="E6438" s="0" t="n">
        <v>1697</v>
      </c>
      <c r="F6438" s="0" t="s">
        <v>787</v>
      </c>
      <c r="I6438" s="0" t="n">
        <v>211355</v>
      </c>
      <c r="J6438" s="0" t="n">
        <v>14127</v>
      </c>
      <c r="K6438" s="0" t="n">
        <v>7898080640635</v>
      </c>
      <c r="L6438" s="0" t="s">
        <v>3483</v>
      </c>
      <c r="N6438" s="0" t="n">
        <v>12</v>
      </c>
      <c r="O6438" s="0" t="n">
        <v>83.52</v>
      </c>
      <c r="P6438" s="0" t="s">
        <v>2444</v>
      </c>
    </row>
    <row r="6439" customFormat="false" ht="15" hidden="false" customHeight="true" outlineLevel="0" collapsed="false">
      <c r="A6439" s="0" t="n">
        <v>2</v>
      </c>
      <c r="B6439" s="71" t="n">
        <v>46252</v>
      </c>
      <c r="C6439" s="0" t="n">
        <v>11</v>
      </c>
      <c r="D6439" s="0" t="s">
        <v>2471</v>
      </c>
      <c r="E6439" s="0" t="n">
        <v>1697</v>
      </c>
      <c r="F6439" s="0" t="s">
        <v>787</v>
      </c>
      <c r="I6439" s="0" t="n">
        <v>211355</v>
      </c>
      <c r="J6439" s="0" t="n">
        <v>14128</v>
      </c>
      <c r="K6439" s="0" t="n">
        <v>7898080640611</v>
      </c>
      <c r="L6439" s="0" t="s">
        <v>3460</v>
      </c>
      <c r="N6439" s="0" t="n">
        <v>240</v>
      </c>
      <c r="O6439" s="0" t="n">
        <v>1670.4</v>
      </c>
      <c r="P6439" s="0" t="s">
        <v>2444</v>
      </c>
    </row>
    <row r="6440" customFormat="false" ht="15" hidden="false" customHeight="true" outlineLevel="0" collapsed="false">
      <c r="A6440" s="0" t="n">
        <v>2</v>
      </c>
      <c r="B6440" s="71" t="n">
        <v>46252</v>
      </c>
      <c r="C6440" s="0" t="n">
        <v>11</v>
      </c>
      <c r="D6440" s="0" t="s">
        <v>2471</v>
      </c>
      <c r="E6440" s="0" t="n">
        <v>1699</v>
      </c>
      <c r="F6440" s="0" t="s">
        <v>248</v>
      </c>
      <c r="I6440" s="0" t="n">
        <v>311351</v>
      </c>
      <c r="J6440" s="0" t="n">
        <v>100073</v>
      </c>
      <c r="K6440" s="0" t="n">
        <v>74</v>
      </c>
      <c r="L6440" s="0" t="s">
        <v>2626</v>
      </c>
      <c r="N6440" s="0" t="n">
        <v>50</v>
      </c>
      <c r="O6440" s="0" t="n">
        <v>949.5</v>
      </c>
      <c r="P6440" s="0" t="s">
        <v>2444</v>
      </c>
    </row>
    <row r="6441" customFormat="false" ht="15" hidden="false" customHeight="true" outlineLevel="0" collapsed="false">
      <c r="A6441" s="0" t="n">
        <v>2</v>
      </c>
      <c r="B6441" s="71" t="n">
        <v>46252</v>
      </c>
      <c r="C6441" s="0" t="n">
        <v>11</v>
      </c>
      <c r="D6441" s="0" t="s">
        <v>2471</v>
      </c>
      <c r="E6441" s="0" t="n">
        <v>1675</v>
      </c>
      <c r="F6441" s="0" t="s">
        <v>289</v>
      </c>
      <c r="I6441" s="0" t="n">
        <v>508442</v>
      </c>
      <c r="J6441" s="0" t="n">
        <v>102148</v>
      </c>
      <c r="K6441" s="0" t="n">
        <v>7896005272046</v>
      </c>
      <c r="L6441" s="0" t="s">
        <v>4930</v>
      </c>
      <c r="N6441" s="0" t="n">
        <v>12</v>
      </c>
      <c r="O6441" s="0" t="n">
        <v>64.2</v>
      </c>
      <c r="P6441" s="0" t="s">
        <v>2444</v>
      </c>
    </row>
    <row r="6442" customFormat="false" ht="15" hidden="false" customHeight="true" outlineLevel="0" collapsed="false">
      <c r="A6442" s="0" t="n">
        <v>2</v>
      </c>
      <c r="B6442" s="71" t="n">
        <v>46252</v>
      </c>
      <c r="C6442" s="0" t="n">
        <v>11</v>
      </c>
      <c r="D6442" s="0" t="s">
        <v>2471</v>
      </c>
      <c r="E6442" s="0" t="n">
        <v>1675</v>
      </c>
      <c r="F6442" s="0" t="s">
        <v>289</v>
      </c>
      <c r="I6442" s="0" t="n">
        <v>508442</v>
      </c>
      <c r="J6442" s="0" t="n">
        <v>102434</v>
      </c>
      <c r="K6442" s="0" t="n">
        <v>7898366930344</v>
      </c>
      <c r="L6442" s="0" t="s">
        <v>3101</v>
      </c>
      <c r="N6442" s="0" t="n">
        <v>24</v>
      </c>
      <c r="O6442" s="0" t="n">
        <v>62.16</v>
      </c>
      <c r="P6442" s="0" t="s">
        <v>2444</v>
      </c>
    </row>
    <row r="6443" customFormat="false" ht="15" hidden="false" customHeight="true" outlineLevel="0" collapsed="false">
      <c r="A6443" s="0" t="n">
        <v>2</v>
      </c>
      <c r="B6443" s="71" t="n">
        <v>46252</v>
      </c>
      <c r="C6443" s="0" t="n">
        <v>11</v>
      </c>
      <c r="D6443" s="0" t="s">
        <v>2471</v>
      </c>
      <c r="E6443" s="0" t="n">
        <v>1675</v>
      </c>
      <c r="F6443" s="0" t="s">
        <v>289</v>
      </c>
      <c r="I6443" s="0" t="n">
        <v>508442</v>
      </c>
      <c r="J6443" s="0" t="n">
        <v>107754</v>
      </c>
      <c r="K6443" s="0" t="n">
        <v>7898366930351</v>
      </c>
      <c r="L6443" s="0" t="s">
        <v>3104</v>
      </c>
      <c r="N6443" s="0" t="n">
        <v>20</v>
      </c>
      <c r="O6443" s="0" t="n">
        <v>97.8</v>
      </c>
      <c r="P6443" s="0" t="s">
        <v>2444</v>
      </c>
    </row>
    <row r="6444" customFormat="false" ht="15" hidden="false" customHeight="true" outlineLevel="0" collapsed="false">
      <c r="A6444" s="0" t="n">
        <v>2</v>
      </c>
      <c r="B6444" s="71" t="n">
        <v>46252</v>
      </c>
      <c r="C6444" s="0" t="n">
        <v>11</v>
      </c>
      <c r="D6444" s="0" t="s">
        <v>2471</v>
      </c>
      <c r="E6444" s="0" t="n">
        <v>1675</v>
      </c>
      <c r="F6444" s="0" t="s">
        <v>289</v>
      </c>
      <c r="I6444" s="0" t="n">
        <v>508442</v>
      </c>
      <c r="J6444" s="0" t="n">
        <v>15284</v>
      </c>
      <c r="K6444" s="0" t="n">
        <v>70330717565</v>
      </c>
      <c r="L6444" s="0" t="s">
        <v>2745</v>
      </c>
      <c r="N6444" s="0" t="n">
        <v>24</v>
      </c>
      <c r="O6444" s="0" t="n">
        <v>94.02</v>
      </c>
      <c r="P6444" s="0" t="s">
        <v>2444</v>
      </c>
    </row>
    <row r="6445" customFormat="false" ht="15" hidden="false" customHeight="true" outlineLevel="0" collapsed="false">
      <c r="A6445" s="0" t="n">
        <v>2</v>
      </c>
      <c r="B6445" s="71" t="n">
        <v>46252</v>
      </c>
      <c r="C6445" s="0" t="n">
        <v>11</v>
      </c>
      <c r="D6445" s="0" t="s">
        <v>2471</v>
      </c>
      <c r="E6445" s="0" t="n">
        <v>1675</v>
      </c>
      <c r="F6445" s="0" t="s">
        <v>289</v>
      </c>
      <c r="I6445" s="0" t="n">
        <v>508442</v>
      </c>
      <c r="J6445" s="0" t="n">
        <v>25487</v>
      </c>
      <c r="K6445" s="0" t="n">
        <v>7896005217023</v>
      </c>
      <c r="L6445" s="0" t="s">
        <v>4931</v>
      </c>
      <c r="N6445" s="0" t="n">
        <v>12</v>
      </c>
      <c r="O6445" s="0" t="n">
        <v>76.08</v>
      </c>
      <c r="P6445" s="0" t="s">
        <v>2444</v>
      </c>
    </row>
    <row r="6446" customFormat="false" ht="15" hidden="false" customHeight="true" outlineLevel="0" collapsed="false">
      <c r="A6446" s="0" t="n">
        <v>2</v>
      </c>
      <c r="B6446" s="71" t="n">
        <v>46252</v>
      </c>
      <c r="C6446" s="0" t="n">
        <v>11</v>
      </c>
      <c r="D6446" s="0" t="s">
        <v>2471</v>
      </c>
      <c r="E6446" s="0" t="n">
        <v>1675</v>
      </c>
      <c r="F6446" s="0" t="s">
        <v>289</v>
      </c>
      <c r="I6446" s="0" t="n">
        <v>508442</v>
      </c>
      <c r="J6446" s="0" t="n">
        <v>26162</v>
      </c>
      <c r="K6446" s="0" t="n">
        <v>7896005216927</v>
      </c>
      <c r="L6446" s="0" t="s">
        <v>4932</v>
      </c>
      <c r="N6446" s="0" t="n">
        <v>12</v>
      </c>
      <c r="O6446" s="0" t="n">
        <v>76.08</v>
      </c>
      <c r="P6446" s="0" t="s">
        <v>2444</v>
      </c>
    </row>
    <row r="6447" customFormat="false" ht="15" hidden="false" customHeight="true" outlineLevel="0" collapsed="false">
      <c r="A6447" s="0" t="n">
        <v>2</v>
      </c>
      <c r="B6447" s="71" t="n">
        <v>46252</v>
      </c>
      <c r="C6447" s="0" t="n">
        <v>11</v>
      </c>
      <c r="D6447" s="0" t="s">
        <v>2471</v>
      </c>
      <c r="E6447" s="0" t="n">
        <v>1671</v>
      </c>
      <c r="F6447" s="0" t="s">
        <v>119</v>
      </c>
      <c r="I6447" s="0" t="n">
        <v>586415</v>
      </c>
      <c r="J6447" s="0" t="n">
        <v>100169</v>
      </c>
      <c r="K6447" s="0" t="n">
        <v>7891024115107</v>
      </c>
      <c r="L6447" s="0" t="s">
        <v>4477</v>
      </c>
      <c r="N6447" s="0" t="n">
        <v>1</v>
      </c>
      <c r="O6447" s="0" t="n">
        <v>12.94</v>
      </c>
      <c r="P6447" s="0" t="s">
        <v>2444</v>
      </c>
    </row>
    <row r="6448" customFormat="false" ht="15" hidden="false" customHeight="true" outlineLevel="0" collapsed="false">
      <c r="A6448" s="0" t="n">
        <v>2</v>
      </c>
      <c r="B6448" s="71" t="n">
        <v>46252</v>
      </c>
      <c r="C6448" s="0" t="n">
        <v>11</v>
      </c>
      <c r="D6448" s="0" t="s">
        <v>2471</v>
      </c>
      <c r="E6448" s="0" t="n">
        <v>1671</v>
      </c>
      <c r="F6448" s="0" t="s">
        <v>119</v>
      </c>
      <c r="I6448" s="0" t="n">
        <v>586415</v>
      </c>
      <c r="J6448" s="0" t="n">
        <v>30195</v>
      </c>
      <c r="K6448" s="0" t="n">
        <v>7891024035078</v>
      </c>
      <c r="L6448" s="0" t="s">
        <v>3781</v>
      </c>
      <c r="N6448" s="0" t="n">
        <v>1</v>
      </c>
      <c r="O6448" s="0" t="n">
        <v>3.23</v>
      </c>
      <c r="P6448" s="0" t="s">
        <v>2444</v>
      </c>
    </row>
    <row r="6449" customFormat="false" ht="15" hidden="false" customHeight="true" outlineLevel="0" collapsed="false">
      <c r="A6449" s="0" t="n">
        <v>2</v>
      </c>
      <c r="B6449" s="71" t="n">
        <v>46252</v>
      </c>
      <c r="C6449" s="0" t="n">
        <v>11</v>
      </c>
      <c r="D6449" s="0" t="s">
        <v>2471</v>
      </c>
      <c r="E6449" s="0" t="n">
        <v>1671</v>
      </c>
      <c r="F6449" s="0" t="s">
        <v>119</v>
      </c>
      <c r="I6449" s="0" t="n">
        <v>586415</v>
      </c>
      <c r="J6449" s="0" t="n">
        <v>40080</v>
      </c>
      <c r="K6449" s="0" t="n">
        <v>7509546675121</v>
      </c>
      <c r="L6449" s="0" t="s">
        <v>4478</v>
      </c>
      <c r="N6449" s="0" t="n">
        <v>12</v>
      </c>
      <c r="O6449" s="0" t="n">
        <v>57</v>
      </c>
      <c r="P6449" s="0" t="s">
        <v>2444</v>
      </c>
    </row>
    <row r="6450" customFormat="false" ht="15" hidden="false" customHeight="true" outlineLevel="0" collapsed="false">
      <c r="A6450" s="0" t="n">
        <v>2</v>
      </c>
      <c r="B6450" s="71" t="n">
        <v>46252</v>
      </c>
      <c r="C6450" s="0" t="n">
        <v>11</v>
      </c>
      <c r="D6450" s="0" t="s">
        <v>2471</v>
      </c>
      <c r="E6450" s="0" t="n">
        <v>1671</v>
      </c>
      <c r="F6450" s="0" t="s">
        <v>119</v>
      </c>
      <c r="I6450" s="0" t="n">
        <v>586415</v>
      </c>
      <c r="J6450" s="0" t="n">
        <v>101151</v>
      </c>
      <c r="K6450" s="0" t="n">
        <v>7891024182970</v>
      </c>
      <c r="L6450" s="0" t="s">
        <v>4933</v>
      </c>
      <c r="N6450" s="0" t="n">
        <v>2</v>
      </c>
      <c r="O6450" s="0" t="n">
        <v>12.5</v>
      </c>
      <c r="P6450" s="0" t="s">
        <v>2444</v>
      </c>
    </row>
    <row r="6451" customFormat="false" ht="15" hidden="false" customHeight="true" outlineLevel="0" collapsed="false">
      <c r="A6451" s="0" t="n">
        <v>2</v>
      </c>
      <c r="B6451" s="71" t="n">
        <v>46252</v>
      </c>
      <c r="C6451" s="0" t="n">
        <v>11</v>
      </c>
      <c r="D6451" s="0" t="s">
        <v>2471</v>
      </c>
      <c r="E6451" s="0" t="n">
        <v>1671</v>
      </c>
      <c r="F6451" s="0" t="s">
        <v>119</v>
      </c>
      <c r="I6451" s="0" t="n">
        <v>586415</v>
      </c>
      <c r="J6451" s="0" t="n">
        <v>101300</v>
      </c>
      <c r="K6451" s="0" t="n">
        <v>7891024134610</v>
      </c>
      <c r="L6451" s="0" t="s">
        <v>4480</v>
      </c>
      <c r="N6451" s="0" t="n">
        <v>12</v>
      </c>
      <c r="O6451" s="0" t="n">
        <v>87</v>
      </c>
      <c r="P6451" s="0" t="s">
        <v>2444</v>
      </c>
    </row>
    <row r="6452" customFormat="false" ht="15" hidden="false" customHeight="true" outlineLevel="0" collapsed="false">
      <c r="A6452" s="0" t="n">
        <v>2</v>
      </c>
      <c r="B6452" s="71" t="n">
        <v>46252</v>
      </c>
      <c r="C6452" s="0" t="n">
        <v>11</v>
      </c>
      <c r="D6452" s="0" t="s">
        <v>2471</v>
      </c>
      <c r="E6452" s="0" t="n">
        <v>1671</v>
      </c>
      <c r="F6452" s="0" t="s">
        <v>119</v>
      </c>
      <c r="I6452" s="0" t="n">
        <v>586415</v>
      </c>
      <c r="J6452" s="0" t="n">
        <v>101302</v>
      </c>
      <c r="K6452" s="0" t="n">
        <v>7891024132128</v>
      </c>
      <c r="L6452" s="0" t="s">
        <v>4481</v>
      </c>
      <c r="N6452" s="0" t="n">
        <v>12</v>
      </c>
      <c r="O6452" s="0" t="n">
        <v>62.28</v>
      </c>
      <c r="P6452" s="0" t="s">
        <v>2444</v>
      </c>
    </row>
    <row r="6453" customFormat="false" ht="15" hidden="false" customHeight="true" outlineLevel="0" collapsed="false">
      <c r="A6453" s="0" t="n">
        <v>2</v>
      </c>
      <c r="B6453" s="71" t="n">
        <v>46252</v>
      </c>
      <c r="C6453" s="0" t="n">
        <v>11</v>
      </c>
      <c r="D6453" s="0" t="s">
        <v>2471</v>
      </c>
      <c r="E6453" s="0" t="n">
        <v>1671</v>
      </c>
      <c r="F6453" s="0" t="s">
        <v>119</v>
      </c>
      <c r="I6453" s="0" t="n">
        <v>586415</v>
      </c>
      <c r="J6453" s="0" t="n">
        <v>101303</v>
      </c>
      <c r="K6453" s="0" t="n">
        <v>7891024132005</v>
      </c>
      <c r="L6453" s="0" t="s">
        <v>3784</v>
      </c>
      <c r="N6453" s="0" t="n">
        <v>36</v>
      </c>
      <c r="O6453" s="0" t="n">
        <v>186.84</v>
      </c>
      <c r="P6453" s="0" t="s">
        <v>2444</v>
      </c>
    </row>
    <row r="6454" customFormat="false" ht="15" hidden="false" customHeight="true" outlineLevel="0" collapsed="false">
      <c r="A6454" s="0" t="n">
        <v>2</v>
      </c>
      <c r="B6454" s="71" t="n">
        <v>46252</v>
      </c>
      <c r="C6454" s="0" t="n">
        <v>11</v>
      </c>
      <c r="D6454" s="0" t="s">
        <v>2471</v>
      </c>
      <c r="E6454" s="0" t="n">
        <v>1671</v>
      </c>
      <c r="F6454" s="0" t="s">
        <v>119</v>
      </c>
      <c r="I6454" s="0" t="n">
        <v>586415</v>
      </c>
      <c r="J6454" s="0" t="n">
        <v>101338</v>
      </c>
      <c r="K6454" s="0" t="n">
        <v>7891528038025</v>
      </c>
      <c r="L6454" s="0" t="s">
        <v>4482</v>
      </c>
      <c r="N6454" s="0" t="n">
        <v>24</v>
      </c>
      <c r="O6454" s="0" t="n">
        <v>64.8</v>
      </c>
      <c r="P6454" s="0" t="s">
        <v>2444</v>
      </c>
    </row>
    <row r="6455" customFormat="false" ht="15" hidden="false" customHeight="true" outlineLevel="0" collapsed="false">
      <c r="A6455" s="0" t="n">
        <v>2</v>
      </c>
      <c r="B6455" s="71" t="n">
        <v>46252</v>
      </c>
      <c r="C6455" s="0" t="n">
        <v>11</v>
      </c>
      <c r="D6455" s="0" t="s">
        <v>2471</v>
      </c>
      <c r="E6455" s="0" t="n">
        <v>1671</v>
      </c>
      <c r="F6455" s="0" t="s">
        <v>119</v>
      </c>
      <c r="I6455" s="0" t="n">
        <v>586415</v>
      </c>
      <c r="J6455" s="0" t="n">
        <v>101339</v>
      </c>
      <c r="K6455" s="0" t="n">
        <v>7891528030142</v>
      </c>
      <c r="L6455" s="0" t="s">
        <v>3785</v>
      </c>
      <c r="N6455" s="0" t="n">
        <v>1</v>
      </c>
      <c r="O6455" s="0" t="n">
        <v>3.94</v>
      </c>
      <c r="P6455" s="0" t="s">
        <v>2444</v>
      </c>
    </row>
    <row r="6456" customFormat="false" ht="15" hidden="false" customHeight="true" outlineLevel="0" collapsed="false">
      <c r="A6456" s="0" t="n">
        <v>2</v>
      </c>
      <c r="B6456" s="71" t="n">
        <v>46252</v>
      </c>
      <c r="C6456" s="0" t="n">
        <v>11</v>
      </c>
      <c r="D6456" s="0" t="s">
        <v>2471</v>
      </c>
      <c r="E6456" s="0" t="n">
        <v>1671</v>
      </c>
      <c r="F6456" s="0" t="s">
        <v>119</v>
      </c>
      <c r="I6456" s="0" t="n">
        <v>586415</v>
      </c>
      <c r="J6456" s="0" t="n">
        <v>101340</v>
      </c>
      <c r="K6456" s="0" t="n">
        <v>7891528038001</v>
      </c>
      <c r="L6456" s="0" t="s">
        <v>4934</v>
      </c>
      <c r="N6456" s="0" t="n">
        <v>36</v>
      </c>
      <c r="O6456" s="0" t="n">
        <v>203.4</v>
      </c>
      <c r="P6456" s="0" t="s">
        <v>2444</v>
      </c>
    </row>
    <row r="6457" customFormat="false" ht="15" hidden="false" customHeight="true" outlineLevel="0" collapsed="false">
      <c r="A6457" s="0" t="n">
        <v>2</v>
      </c>
      <c r="B6457" s="71" t="n">
        <v>46252</v>
      </c>
      <c r="C6457" s="0" t="n">
        <v>11</v>
      </c>
      <c r="D6457" s="0" t="s">
        <v>2471</v>
      </c>
      <c r="E6457" s="0" t="n">
        <v>1671</v>
      </c>
      <c r="F6457" s="0" t="s">
        <v>119</v>
      </c>
      <c r="I6457" s="0" t="n">
        <v>586415</v>
      </c>
      <c r="J6457" s="0" t="n">
        <v>103241</v>
      </c>
      <c r="K6457" s="0" t="n">
        <v>7891024158609</v>
      </c>
      <c r="L6457" s="0" t="s">
        <v>4935</v>
      </c>
      <c r="N6457" s="0" t="n">
        <v>6</v>
      </c>
      <c r="O6457" s="0" t="n">
        <v>42.96</v>
      </c>
      <c r="P6457" s="0" t="s">
        <v>2444</v>
      </c>
    </row>
    <row r="6458" customFormat="false" ht="15" hidden="false" customHeight="true" outlineLevel="0" collapsed="false">
      <c r="A6458" s="0" t="n">
        <v>2</v>
      </c>
      <c r="B6458" s="71" t="n">
        <v>46252</v>
      </c>
      <c r="C6458" s="0" t="n">
        <v>11</v>
      </c>
      <c r="D6458" s="0" t="s">
        <v>2471</v>
      </c>
      <c r="E6458" s="0" t="n">
        <v>1671</v>
      </c>
      <c r="F6458" s="0" t="s">
        <v>119</v>
      </c>
      <c r="I6458" s="0" t="n">
        <v>586415</v>
      </c>
      <c r="J6458" s="0" t="n">
        <v>103813</v>
      </c>
      <c r="K6458" s="0" t="n">
        <v>7891024180877</v>
      </c>
      <c r="L6458" s="0" t="s">
        <v>4936</v>
      </c>
      <c r="N6458" s="0" t="n">
        <v>6</v>
      </c>
      <c r="O6458" s="0" t="n">
        <v>37.38</v>
      </c>
      <c r="P6458" s="0" t="s">
        <v>2444</v>
      </c>
    </row>
    <row r="6459" customFormat="false" ht="15" hidden="false" customHeight="true" outlineLevel="0" collapsed="false">
      <c r="A6459" s="0" t="n">
        <v>2</v>
      </c>
      <c r="B6459" s="71" t="n">
        <v>46252</v>
      </c>
      <c r="C6459" s="0" t="n">
        <v>11</v>
      </c>
      <c r="D6459" s="0" t="s">
        <v>2471</v>
      </c>
      <c r="E6459" s="0" t="n">
        <v>1671</v>
      </c>
      <c r="F6459" s="0" t="s">
        <v>119</v>
      </c>
      <c r="I6459" s="0" t="n">
        <v>586415</v>
      </c>
      <c r="J6459" s="0" t="n">
        <v>104031</v>
      </c>
      <c r="K6459" s="0" t="n">
        <v>7891024134702</v>
      </c>
      <c r="L6459" s="0" t="s">
        <v>3786</v>
      </c>
      <c r="N6459" s="0" t="n">
        <v>12</v>
      </c>
      <c r="O6459" s="0" t="n">
        <v>57</v>
      </c>
      <c r="P6459" s="0" t="s">
        <v>2444</v>
      </c>
    </row>
    <row r="6460" customFormat="false" ht="15" hidden="false" customHeight="true" outlineLevel="0" collapsed="false">
      <c r="A6460" s="0" t="n">
        <v>2</v>
      </c>
      <c r="B6460" s="71" t="n">
        <v>46252</v>
      </c>
      <c r="C6460" s="0" t="n">
        <v>11</v>
      </c>
      <c r="D6460" s="0" t="s">
        <v>2471</v>
      </c>
      <c r="E6460" s="0" t="n">
        <v>1671</v>
      </c>
      <c r="F6460" s="0" t="s">
        <v>119</v>
      </c>
      <c r="I6460" s="0" t="n">
        <v>586415</v>
      </c>
      <c r="J6460" s="0" t="n">
        <v>104213</v>
      </c>
      <c r="K6460" s="0" t="n">
        <v>7891024174036</v>
      </c>
      <c r="L6460" s="0" t="s">
        <v>3787</v>
      </c>
      <c r="N6460" s="0" t="n">
        <v>2</v>
      </c>
      <c r="O6460" s="0" t="n">
        <v>14.32</v>
      </c>
      <c r="P6460" s="0" t="s">
        <v>2444</v>
      </c>
    </row>
    <row r="6461" customFormat="false" ht="15" hidden="false" customHeight="true" outlineLevel="0" collapsed="false">
      <c r="A6461" s="0" t="n">
        <v>2</v>
      </c>
      <c r="B6461" s="71" t="n">
        <v>46252</v>
      </c>
      <c r="C6461" s="0" t="n">
        <v>11</v>
      </c>
      <c r="D6461" s="0" t="s">
        <v>2471</v>
      </c>
      <c r="E6461" s="0" t="n">
        <v>1671</v>
      </c>
      <c r="F6461" s="0" t="s">
        <v>119</v>
      </c>
      <c r="I6461" s="0" t="n">
        <v>586415</v>
      </c>
      <c r="J6461" s="0" t="n">
        <v>104345</v>
      </c>
      <c r="K6461" s="0" t="n">
        <v>7891024132906</v>
      </c>
      <c r="L6461" s="0" t="s">
        <v>4488</v>
      </c>
      <c r="N6461" s="0" t="n">
        <v>12</v>
      </c>
      <c r="O6461" s="0" t="n">
        <v>37.32</v>
      </c>
      <c r="P6461" s="0" t="s">
        <v>2444</v>
      </c>
    </row>
    <row r="6462" customFormat="false" ht="15" hidden="false" customHeight="true" outlineLevel="0" collapsed="false">
      <c r="A6462" s="0" t="n">
        <v>2</v>
      </c>
      <c r="B6462" s="71" t="n">
        <v>46252</v>
      </c>
      <c r="C6462" s="0" t="n">
        <v>11</v>
      </c>
      <c r="D6462" s="0" t="s">
        <v>2471</v>
      </c>
      <c r="E6462" s="0" t="n">
        <v>1671</v>
      </c>
      <c r="F6462" s="0" t="s">
        <v>119</v>
      </c>
      <c r="I6462" s="0" t="n">
        <v>586415</v>
      </c>
      <c r="J6462" s="0" t="n">
        <v>106013</v>
      </c>
      <c r="K6462" s="0" t="n">
        <v>7891024194102</v>
      </c>
      <c r="L6462" s="0" t="s">
        <v>3788</v>
      </c>
      <c r="N6462" s="0" t="n">
        <v>1</v>
      </c>
      <c r="O6462" s="0" t="n">
        <v>6.23</v>
      </c>
      <c r="P6462" s="0" t="s">
        <v>2444</v>
      </c>
    </row>
    <row r="6463" customFormat="false" ht="15" hidden="false" customHeight="true" outlineLevel="0" collapsed="false">
      <c r="A6463" s="0" t="n">
        <v>2</v>
      </c>
      <c r="B6463" s="71" t="n">
        <v>46252</v>
      </c>
      <c r="C6463" s="0" t="n">
        <v>11</v>
      </c>
      <c r="D6463" s="0" t="s">
        <v>2471</v>
      </c>
      <c r="E6463" s="0" t="n">
        <v>1671</v>
      </c>
      <c r="F6463" s="0" t="s">
        <v>119</v>
      </c>
      <c r="I6463" s="0" t="n">
        <v>586415</v>
      </c>
      <c r="J6463" s="0" t="n">
        <v>106308</v>
      </c>
      <c r="K6463" s="0" t="n">
        <v>7891024110508</v>
      </c>
      <c r="L6463" s="0" t="s">
        <v>4937</v>
      </c>
      <c r="N6463" s="0" t="n">
        <v>24</v>
      </c>
      <c r="O6463" s="0" t="n">
        <v>79.92</v>
      </c>
      <c r="P6463" s="0" t="s">
        <v>2444</v>
      </c>
    </row>
    <row r="6464" customFormat="false" ht="15" hidden="false" customHeight="true" outlineLevel="0" collapsed="false">
      <c r="A6464" s="0" t="n">
        <v>2</v>
      </c>
      <c r="B6464" s="71" t="n">
        <v>46252</v>
      </c>
      <c r="C6464" s="0" t="n">
        <v>11</v>
      </c>
      <c r="D6464" s="0" t="s">
        <v>2471</v>
      </c>
      <c r="E6464" s="0" t="n">
        <v>1671</v>
      </c>
      <c r="F6464" s="0" t="s">
        <v>119</v>
      </c>
      <c r="I6464" s="0" t="n">
        <v>586415</v>
      </c>
      <c r="J6464" s="0" t="n">
        <v>12480</v>
      </c>
      <c r="K6464" s="0" t="n">
        <v>7891024132371</v>
      </c>
      <c r="L6464" s="0" t="s">
        <v>4496</v>
      </c>
      <c r="N6464" s="0" t="n">
        <v>60</v>
      </c>
      <c r="O6464" s="0" t="n">
        <v>450.68</v>
      </c>
      <c r="P6464" s="0" t="s">
        <v>2444</v>
      </c>
    </row>
    <row r="6465" customFormat="false" ht="15" hidden="false" customHeight="true" outlineLevel="0" collapsed="false">
      <c r="A6465" s="0" t="n">
        <v>2</v>
      </c>
      <c r="B6465" s="71" t="n">
        <v>46252</v>
      </c>
      <c r="C6465" s="0" t="n">
        <v>11</v>
      </c>
      <c r="D6465" s="0" t="s">
        <v>2471</v>
      </c>
      <c r="E6465" s="0" t="n">
        <v>1671</v>
      </c>
      <c r="F6465" s="0" t="s">
        <v>119</v>
      </c>
      <c r="I6465" s="0" t="n">
        <v>586415</v>
      </c>
      <c r="J6465" s="0" t="n">
        <v>16573</v>
      </c>
      <c r="K6465" s="0" t="n">
        <v>7891024160718</v>
      </c>
      <c r="L6465" s="0" t="s">
        <v>4938</v>
      </c>
      <c r="N6465" s="0" t="n">
        <v>3</v>
      </c>
      <c r="O6465" s="0" t="n">
        <v>36.57</v>
      </c>
      <c r="P6465" s="0" t="s">
        <v>2444</v>
      </c>
    </row>
    <row r="6466" customFormat="false" ht="15" hidden="false" customHeight="true" outlineLevel="0" collapsed="false">
      <c r="A6466" s="0" t="n">
        <v>2</v>
      </c>
      <c r="B6466" s="71" t="n">
        <v>46252</v>
      </c>
      <c r="C6466" s="0" t="n">
        <v>11</v>
      </c>
      <c r="D6466" s="0" t="s">
        <v>2471</v>
      </c>
      <c r="E6466" s="0" t="n">
        <v>1671</v>
      </c>
      <c r="F6466" s="0" t="s">
        <v>119</v>
      </c>
      <c r="I6466" s="0" t="n">
        <v>586415</v>
      </c>
      <c r="J6466" s="0" t="n">
        <v>17581</v>
      </c>
      <c r="K6466" s="0" t="n">
        <v>7891528112534</v>
      </c>
      <c r="L6466" s="0" t="s">
        <v>3790</v>
      </c>
      <c r="N6466" s="0" t="n">
        <v>1</v>
      </c>
      <c r="O6466" s="0" t="n">
        <v>6.88</v>
      </c>
      <c r="P6466" s="0" t="s">
        <v>2444</v>
      </c>
    </row>
    <row r="6467" customFormat="false" ht="15" hidden="false" customHeight="true" outlineLevel="0" collapsed="false">
      <c r="A6467" s="0" t="n">
        <v>2</v>
      </c>
      <c r="B6467" s="71" t="n">
        <v>46252</v>
      </c>
      <c r="C6467" s="0" t="n">
        <v>11</v>
      </c>
      <c r="D6467" s="0" t="s">
        <v>2471</v>
      </c>
      <c r="E6467" s="0" t="n">
        <v>1671</v>
      </c>
      <c r="F6467" s="0" t="s">
        <v>119</v>
      </c>
      <c r="I6467" s="0" t="n">
        <v>586415</v>
      </c>
      <c r="J6467" s="0" t="n">
        <v>19802</v>
      </c>
      <c r="K6467" s="0" t="n">
        <v>7891024110355</v>
      </c>
      <c r="L6467" s="0" t="s">
        <v>3791</v>
      </c>
      <c r="N6467" s="0" t="n">
        <v>1</v>
      </c>
      <c r="O6467" s="0" t="n">
        <v>3.33</v>
      </c>
      <c r="P6467" s="0" t="s">
        <v>2444</v>
      </c>
    </row>
    <row r="6468" customFormat="false" ht="15" hidden="false" customHeight="true" outlineLevel="0" collapsed="false">
      <c r="A6468" s="0" t="n">
        <v>2</v>
      </c>
      <c r="B6468" s="71" t="n">
        <v>46252</v>
      </c>
      <c r="C6468" s="0" t="n">
        <v>11</v>
      </c>
      <c r="D6468" s="0" t="s">
        <v>2471</v>
      </c>
      <c r="E6468" s="0" t="n">
        <v>1671</v>
      </c>
      <c r="F6468" s="0" t="s">
        <v>119</v>
      </c>
      <c r="I6468" s="0" t="n">
        <v>586415</v>
      </c>
      <c r="J6468" s="0" t="n">
        <v>20697</v>
      </c>
      <c r="K6468" s="0" t="n">
        <v>7891024026458</v>
      </c>
      <c r="L6468" s="0" t="s">
        <v>4939</v>
      </c>
      <c r="N6468" s="0" t="n">
        <v>24</v>
      </c>
      <c r="O6468" s="0" t="n">
        <v>79.92</v>
      </c>
      <c r="P6468" s="0" t="s">
        <v>2444</v>
      </c>
    </row>
    <row r="6469" customFormat="false" ht="15" hidden="false" customHeight="true" outlineLevel="0" collapsed="false">
      <c r="A6469" s="0" t="n">
        <v>2</v>
      </c>
      <c r="B6469" s="71" t="n">
        <v>46252</v>
      </c>
      <c r="C6469" s="0" t="n">
        <v>11</v>
      </c>
      <c r="D6469" s="0" t="s">
        <v>2471</v>
      </c>
      <c r="E6469" s="0" t="n">
        <v>1671</v>
      </c>
      <c r="F6469" s="0" t="s">
        <v>119</v>
      </c>
      <c r="I6469" s="0" t="n">
        <v>586415</v>
      </c>
      <c r="J6469" s="0" t="n">
        <v>23269</v>
      </c>
      <c r="K6469" s="0" t="n">
        <v>7891528038308</v>
      </c>
      <c r="L6469" s="0" t="s">
        <v>4940</v>
      </c>
      <c r="N6469" s="0" t="n">
        <v>12</v>
      </c>
      <c r="O6469" s="0" t="n">
        <v>59.52</v>
      </c>
      <c r="P6469" s="0" t="s">
        <v>2444</v>
      </c>
    </row>
    <row r="6470" customFormat="false" ht="15" hidden="false" customHeight="true" outlineLevel="0" collapsed="false">
      <c r="A6470" s="0" t="n">
        <v>2</v>
      </c>
      <c r="B6470" s="71" t="n">
        <v>46252</v>
      </c>
      <c r="C6470" s="0" t="n">
        <v>11</v>
      </c>
      <c r="D6470" s="0" t="s">
        <v>2471</v>
      </c>
      <c r="E6470" s="0" t="n">
        <v>1671</v>
      </c>
      <c r="F6470" s="0" t="s">
        <v>119</v>
      </c>
      <c r="I6470" s="0" t="n">
        <v>586415</v>
      </c>
      <c r="J6470" s="0" t="n">
        <v>23272</v>
      </c>
      <c r="K6470" s="0" t="n">
        <v>7898279790400</v>
      </c>
      <c r="L6470" s="0" t="s">
        <v>4402</v>
      </c>
      <c r="N6470" s="0" t="n">
        <v>24</v>
      </c>
      <c r="O6470" s="0" t="n">
        <v>141.6</v>
      </c>
      <c r="P6470" s="0" t="s">
        <v>2444</v>
      </c>
    </row>
    <row r="6471" customFormat="false" ht="15" hidden="false" customHeight="true" outlineLevel="0" collapsed="false">
      <c r="A6471" s="0" t="n">
        <v>2</v>
      </c>
      <c r="B6471" s="71" t="n">
        <v>46252</v>
      </c>
      <c r="C6471" s="0" t="n">
        <v>11</v>
      </c>
      <c r="D6471" s="0" t="s">
        <v>2471</v>
      </c>
      <c r="E6471" s="0" t="n">
        <v>1671</v>
      </c>
      <c r="F6471" s="0" t="s">
        <v>119</v>
      </c>
      <c r="I6471" s="0" t="n">
        <v>586415</v>
      </c>
      <c r="J6471" s="0" t="n">
        <v>23279</v>
      </c>
      <c r="K6471" s="0" t="n">
        <v>7898279790417</v>
      </c>
      <c r="L6471" s="0" t="s">
        <v>4403</v>
      </c>
      <c r="N6471" s="0" t="n">
        <v>24</v>
      </c>
      <c r="O6471" s="0" t="n">
        <v>141.6</v>
      </c>
      <c r="P6471" s="0" t="s">
        <v>2444</v>
      </c>
    </row>
    <row r="6472" customFormat="false" ht="15" hidden="false" customHeight="true" outlineLevel="0" collapsed="false">
      <c r="A6472" s="0" t="n">
        <v>2</v>
      </c>
      <c r="B6472" s="71" t="n">
        <v>46252</v>
      </c>
      <c r="C6472" s="0" t="n">
        <v>11</v>
      </c>
      <c r="D6472" s="0" t="s">
        <v>2471</v>
      </c>
      <c r="E6472" s="0" t="n">
        <v>1671</v>
      </c>
      <c r="F6472" s="0" t="s">
        <v>119</v>
      </c>
      <c r="I6472" s="0" t="n">
        <v>586415</v>
      </c>
      <c r="J6472" s="0" t="n">
        <v>23280</v>
      </c>
      <c r="K6472" s="0" t="n">
        <v>7898279790394</v>
      </c>
      <c r="L6472" s="0" t="s">
        <v>4404</v>
      </c>
      <c r="N6472" s="0" t="n">
        <v>24</v>
      </c>
      <c r="O6472" s="0" t="n">
        <v>141.6</v>
      </c>
      <c r="P6472" s="0" t="s">
        <v>2444</v>
      </c>
    </row>
    <row r="6473" customFormat="false" ht="15" hidden="false" customHeight="true" outlineLevel="0" collapsed="false">
      <c r="A6473" s="0" t="n">
        <v>2</v>
      </c>
      <c r="B6473" s="71" t="n">
        <v>46252</v>
      </c>
      <c r="C6473" s="0" t="n">
        <v>11</v>
      </c>
      <c r="D6473" s="0" t="s">
        <v>2471</v>
      </c>
      <c r="E6473" s="0" t="n">
        <v>1671</v>
      </c>
      <c r="F6473" s="0" t="s">
        <v>119</v>
      </c>
      <c r="I6473" s="0" t="n">
        <v>586415</v>
      </c>
      <c r="J6473" s="0" t="n">
        <v>23468</v>
      </c>
      <c r="K6473" s="0" t="n">
        <v>7898279792039</v>
      </c>
      <c r="L6473" s="0" t="s">
        <v>4405</v>
      </c>
      <c r="N6473" s="0" t="n">
        <v>12</v>
      </c>
      <c r="O6473" s="0" t="n">
        <v>70.8</v>
      </c>
      <c r="P6473" s="0" t="s">
        <v>2444</v>
      </c>
    </row>
    <row r="6474" customFormat="false" ht="15" hidden="false" customHeight="true" outlineLevel="0" collapsed="false">
      <c r="A6474" s="0" t="n">
        <v>2</v>
      </c>
      <c r="B6474" s="71" t="n">
        <v>46252</v>
      </c>
      <c r="C6474" s="0" t="n">
        <v>11</v>
      </c>
      <c r="D6474" s="0" t="s">
        <v>2471</v>
      </c>
      <c r="E6474" s="0" t="n">
        <v>1671</v>
      </c>
      <c r="F6474" s="0" t="s">
        <v>119</v>
      </c>
      <c r="I6474" s="0" t="n">
        <v>586415</v>
      </c>
      <c r="J6474" s="0" t="n">
        <v>24311</v>
      </c>
      <c r="K6474" s="0" t="n">
        <v>8410525159619</v>
      </c>
      <c r="L6474" s="0" t="s">
        <v>4941</v>
      </c>
      <c r="N6474" s="0" t="n">
        <v>12</v>
      </c>
      <c r="O6474" s="0" t="n">
        <v>70.8</v>
      </c>
      <c r="P6474" s="0" t="s">
        <v>2444</v>
      </c>
    </row>
    <row r="6475" customFormat="false" ht="15" hidden="false" customHeight="true" outlineLevel="0" collapsed="false">
      <c r="A6475" s="0" t="n">
        <v>2</v>
      </c>
      <c r="B6475" s="71" t="n">
        <v>46252</v>
      </c>
      <c r="C6475" s="0" t="n">
        <v>11</v>
      </c>
      <c r="D6475" s="0" t="s">
        <v>2471</v>
      </c>
      <c r="E6475" s="0" t="n">
        <v>1671</v>
      </c>
      <c r="F6475" s="0" t="s">
        <v>119</v>
      </c>
      <c r="I6475" s="0" t="n">
        <v>586415</v>
      </c>
      <c r="J6475" s="0" t="n">
        <v>24966</v>
      </c>
      <c r="K6475" s="0" t="n">
        <v>7898279797911</v>
      </c>
      <c r="L6475" s="0" t="s">
        <v>4942</v>
      </c>
      <c r="N6475" s="0" t="n">
        <v>12</v>
      </c>
      <c r="O6475" s="0" t="n">
        <v>70.8</v>
      </c>
      <c r="P6475" s="0" t="s">
        <v>2444</v>
      </c>
    </row>
    <row r="6476" customFormat="false" ht="15" hidden="false" customHeight="true" outlineLevel="0" collapsed="false">
      <c r="A6476" s="0" t="n">
        <v>2</v>
      </c>
      <c r="B6476" s="71" t="n">
        <v>46252</v>
      </c>
      <c r="C6476" s="0" t="n">
        <v>11</v>
      </c>
      <c r="D6476" s="0" t="s">
        <v>2471</v>
      </c>
      <c r="E6476" s="0" t="n">
        <v>1671</v>
      </c>
      <c r="F6476" s="0" t="s">
        <v>119</v>
      </c>
      <c r="I6476" s="0" t="n">
        <v>586415</v>
      </c>
      <c r="J6476" s="0" t="n">
        <v>25038</v>
      </c>
      <c r="K6476" s="0" t="n">
        <v>8410525146435</v>
      </c>
      <c r="L6476" s="0" t="s">
        <v>4943</v>
      </c>
      <c r="N6476" s="0" t="n">
        <v>12</v>
      </c>
      <c r="O6476" s="0" t="n">
        <v>70.8</v>
      </c>
      <c r="P6476" s="0" t="s">
        <v>2444</v>
      </c>
    </row>
    <row r="6477" customFormat="false" ht="15" hidden="false" customHeight="true" outlineLevel="0" collapsed="false">
      <c r="A6477" s="0" t="n">
        <v>2</v>
      </c>
      <c r="B6477" s="71" t="n">
        <v>46252</v>
      </c>
      <c r="C6477" s="0" t="n">
        <v>11</v>
      </c>
      <c r="D6477" s="0" t="s">
        <v>2471</v>
      </c>
      <c r="E6477" s="0" t="n">
        <v>1671</v>
      </c>
      <c r="F6477" s="0" t="s">
        <v>119</v>
      </c>
      <c r="I6477" s="0" t="n">
        <v>586415</v>
      </c>
      <c r="J6477" s="0" t="n">
        <v>25323</v>
      </c>
      <c r="K6477" s="0" t="n">
        <v>7898279790776</v>
      </c>
      <c r="L6477" s="0" t="s">
        <v>4410</v>
      </c>
      <c r="N6477" s="0" t="n">
        <v>12</v>
      </c>
      <c r="O6477" s="0" t="n">
        <v>70.8</v>
      </c>
      <c r="P6477" s="0" t="s">
        <v>2444</v>
      </c>
    </row>
    <row r="6478" customFormat="false" ht="15" hidden="false" customHeight="true" outlineLevel="0" collapsed="false">
      <c r="A6478" s="0" t="n">
        <v>2</v>
      </c>
      <c r="B6478" s="71" t="n">
        <v>46252</v>
      </c>
      <c r="C6478" s="0" t="n">
        <v>11</v>
      </c>
      <c r="D6478" s="0" t="s">
        <v>2471</v>
      </c>
      <c r="E6478" s="0" t="n">
        <v>1671</v>
      </c>
      <c r="F6478" s="0" t="s">
        <v>119</v>
      </c>
      <c r="I6478" s="0" t="n">
        <v>586415</v>
      </c>
      <c r="J6478" s="0" t="n">
        <v>25325</v>
      </c>
      <c r="K6478" s="0" t="n">
        <v>7898279792077</v>
      </c>
      <c r="L6478" s="0" t="s">
        <v>4411</v>
      </c>
      <c r="N6478" s="0" t="n">
        <v>12</v>
      </c>
      <c r="O6478" s="0" t="n">
        <v>70.8</v>
      </c>
      <c r="P6478" s="0" t="s">
        <v>2444</v>
      </c>
    </row>
    <row r="6479" customFormat="false" ht="15" hidden="false" customHeight="true" outlineLevel="0" collapsed="false">
      <c r="A6479" s="0" t="n">
        <v>2</v>
      </c>
      <c r="B6479" s="71" t="n">
        <v>46252</v>
      </c>
      <c r="C6479" s="0" t="n">
        <v>11</v>
      </c>
      <c r="D6479" s="0" t="s">
        <v>2471</v>
      </c>
      <c r="E6479" s="0" t="n">
        <v>1671</v>
      </c>
      <c r="F6479" s="0" t="s">
        <v>119</v>
      </c>
      <c r="I6479" s="0" t="n">
        <v>586415</v>
      </c>
      <c r="J6479" s="0" t="n">
        <v>25326</v>
      </c>
      <c r="K6479" s="0" t="n">
        <v>7898591451591</v>
      </c>
      <c r="L6479" s="0" t="s">
        <v>4412</v>
      </c>
      <c r="N6479" s="0" t="n">
        <v>12</v>
      </c>
      <c r="O6479" s="0" t="n">
        <v>70.8</v>
      </c>
      <c r="P6479" s="0" t="s">
        <v>2444</v>
      </c>
    </row>
    <row r="6480" customFormat="false" ht="15" hidden="false" customHeight="true" outlineLevel="0" collapsed="false">
      <c r="A6480" s="0" t="n">
        <v>2</v>
      </c>
      <c r="B6480" s="71" t="n">
        <v>46252</v>
      </c>
      <c r="C6480" s="0" t="n">
        <v>11</v>
      </c>
      <c r="D6480" s="0" t="s">
        <v>2471</v>
      </c>
      <c r="E6480" s="0" t="n">
        <v>1671</v>
      </c>
      <c r="F6480" s="0" t="s">
        <v>119</v>
      </c>
      <c r="I6480" s="0" t="n">
        <v>586415</v>
      </c>
      <c r="J6480" s="0" t="n">
        <v>25434</v>
      </c>
      <c r="K6480" s="0" t="n">
        <v>7898279798307</v>
      </c>
      <c r="L6480" s="0" t="s">
        <v>4413</v>
      </c>
      <c r="N6480" s="0" t="n">
        <v>12</v>
      </c>
      <c r="O6480" s="0" t="n">
        <v>70.8</v>
      </c>
      <c r="P6480" s="0" t="s">
        <v>2444</v>
      </c>
    </row>
    <row r="6481" customFormat="false" ht="15" hidden="false" customHeight="true" outlineLevel="0" collapsed="false">
      <c r="A6481" s="0" t="n">
        <v>2</v>
      </c>
      <c r="B6481" s="71" t="n">
        <v>46252</v>
      </c>
      <c r="C6481" s="0" t="n">
        <v>11</v>
      </c>
      <c r="D6481" s="0" t="s">
        <v>2471</v>
      </c>
      <c r="E6481" s="0" t="n">
        <v>1671</v>
      </c>
      <c r="F6481" s="0" t="s">
        <v>119</v>
      </c>
      <c r="I6481" s="0" t="n">
        <v>586415</v>
      </c>
      <c r="J6481" s="0" t="n">
        <v>25435</v>
      </c>
      <c r="K6481" s="0" t="n">
        <v>7898279794859</v>
      </c>
      <c r="L6481" s="0" t="s">
        <v>4944</v>
      </c>
      <c r="N6481" s="0" t="n">
        <v>12</v>
      </c>
      <c r="O6481" s="0" t="n">
        <v>70.8</v>
      </c>
      <c r="P6481" s="0" t="s">
        <v>2444</v>
      </c>
    </row>
    <row r="6482" customFormat="false" ht="15" hidden="false" customHeight="true" outlineLevel="0" collapsed="false">
      <c r="A6482" s="0" t="n">
        <v>2</v>
      </c>
      <c r="B6482" s="71" t="n">
        <v>46252</v>
      </c>
      <c r="C6482" s="0" t="n">
        <v>11</v>
      </c>
      <c r="D6482" s="0" t="s">
        <v>2471</v>
      </c>
      <c r="E6482" s="0" t="n">
        <v>1671</v>
      </c>
      <c r="F6482" s="0" t="s">
        <v>119</v>
      </c>
      <c r="I6482" s="0" t="n">
        <v>586415</v>
      </c>
      <c r="J6482" s="0" t="n">
        <v>25537</v>
      </c>
      <c r="K6482" s="0" t="n">
        <v>7891024026434</v>
      </c>
      <c r="L6482" s="0" t="s">
        <v>3792</v>
      </c>
      <c r="N6482" s="0" t="n">
        <v>1</v>
      </c>
      <c r="O6482" s="0" t="n">
        <v>10.19</v>
      </c>
      <c r="P6482" s="0" t="s">
        <v>2444</v>
      </c>
    </row>
    <row r="6483" customFormat="false" ht="15" hidden="false" customHeight="true" outlineLevel="0" collapsed="false">
      <c r="A6483" s="0" t="n">
        <v>2</v>
      </c>
      <c r="B6483" s="71" t="n">
        <v>46252</v>
      </c>
      <c r="C6483" s="0" t="n">
        <v>11</v>
      </c>
      <c r="D6483" s="0" t="s">
        <v>2471</v>
      </c>
      <c r="E6483" s="0" t="n">
        <v>1671</v>
      </c>
      <c r="F6483" s="0" t="s">
        <v>119</v>
      </c>
      <c r="I6483" s="0" t="n">
        <v>586415</v>
      </c>
      <c r="J6483" s="0" t="n">
        <v>26085</v>
      </c>
      <c r="K6483" s="0" t="n">
        <v>7891528029498</v>
      </c>
      <c r="L6483" s="0" t="s">
        <v>3793</v>
      </c>
      <c r="N6483" s="0" t="n">
        <v>1</v>
      </c>
      <c r="O6483" s="0" t="n">
        <v>2.92</v>
      </c>
      <c r="P6483" s="0" t="s">
        <v>2444</v>
      </c>
    </row>
    <row r="6484" customFormat="false" ht="15" hidden="false" customHeight="true" outlineLevel="0" collapsed="false">
      <c r="A6484" s="0" t="n">
        <v>2</v>
      </c>
      <c r="B6484" s="71" t="n">
        <v>46252</v>
      </c>
      <c r="C6484" s="0" t="n">
        <v>11</v>
      </c>
      <c r="D6484" s="0" t="s">
        <v>2471</v>
      </c>
      <c r="E6484" s="0" t="n">
        <v>1671</v>
      </c>
      <c r="F6484" s="0" t="s">
        <v>119</v>
      </c>
      <c r="I6484" s="0" t="n">
        <v>586415</v>
      </c>
      <c r="J6484" s="0" t="n">
        <v>27687</v>
      </c>
      <c r="K6484" s="0" t="n">
        <v>7891024034828</v>
      </c>
      <c r="L6484" s="0" t="s">
        <v>4945</v>
      </c>
      <c r="N6484" s="0" t="n">
        <v>24</v>
      </c>
      <c r="O6484" s="0" t="n">
        <v>47.52</v>
      </c>
      <c r="P6484" s="0" t="s">
        <v>2444</v>
      </c>
    </row>
    <row r="6485" customFormat="false" ht="15" hidden="false" customHeight="true" outlineLevel="0" collapsed="false">
      <c r="A6485" s="0" t="n">
        <v>2</v>
      </c>
      <c r="B6485" s="71" t="n">
        <v>46252</v>
      </c>
      <c r="C6485" s="0" t="n">
        <v>11</v>
      </c>
      <c r="D6485" s="0" t="s">
        <v>2471</v>
      </c>
      <c r="E6485" s="0" t="n">
        <v>1671</v>
      </c>
      <c r="F6485" s="0" t="s">
        <v>119</v>
      </c>
      <c r="I6485" s="0" t="n">
        <v>586415</v>
      </c>
      <c r="J6485" s="0" t="n">
        <v>27764</v>
      </c>
      <c r="K6485" s="0" t="n">
        <v>7891024034781</v>
      </c>
      <c r="L6485" s="0" t="s">
        <v>3794</v>
      </c>
      <c r="N6485" s="0" t="n">
        <v>24</v>
      </c>
      <c r="O6485" s="0" t="n">
        <v>47.52</v>
      </c>
      <c r="P6485" s="0" t="s">
        <v>2444</v>
      </c>
    </row>
    <row r="6486" customFormat="false" ht="15" hidden="false" customHeight="true" outlineLevel="0" collapsed="false">
      <c r="A6486" s="0" t="n">
        <v>2</v>
      </c>
      <c r="B6486" s="71" t="n">
        <v>46252</v>
      </c>
      <c r="C6486" s="0" t="n">
        <v>11</v>
      </c>
      <c r="D6486" s="0" t="s">
        <v>2471</v>
      </c>
      <c r="E6486" s="0" t="n">
        <v>1671</v>
      </c>
      <c r="F6486" s="0" t="s">
        <v>119</v>
      </c>
      <c r="I6486" s="0" t="n">
        <v>586415</v>
      </c>
      <c r="J6486" s="0" t="n">
        <v>29255</v>
      </c>
      <c r="K6486" s="0" t="n">
        <v>7891024034804</v>
      </c>
      <c r="L6486" s="0" t="s">
        <v>4946</v>
      </c>
      <c r="N6486" s="0" t="n">
        <v>24</v>
      </c>
      <c r="O6486" s="0" t="n">
        <v>47.52</v>
      </c>
      <c r="P6486" s="0" t="s">
        <v>2444</v>
      </c>
    </row>
    <row r="6487" customFormat="false" ht="15" hidden="false" customHeight="true" outlineLevel="0" collapsed="false">
      <c r="A6487" s="0" t="n">
        <v>2</v>
      </c>
      <c r="B6487" s="71" t="n">
        <v>46252</v>
      </c>
      <c r="C6487" s="0" t="n">
        <v>11</v>
      </c>
      <c r="D6487" s="0" t="s">
        <v>2471</v>
      </c>
      <c r="E6487" s="0" t="n">
        <v>1671</v>
      </c>
      <c r="F6487" s="0" t="s">
        <v>119</v>
      </c>
      <c r="I6487" s="0" t="n">
        <v>586415</v>
      </c>
      <c r="J6487" s="0" t="n">
        <v>56915</v>
      </c>
      <c r="K6487" s="0" t="n">
        <v>7509546679525</v>
      </c>
      <c r="L6487" s="0" t="s">
        <v>4509</v>
      </c>
      <c r="N6487" s="0" t="n">
        <v>2</v>
      </c>
      <c r="O6487" s="0" t="n">
        <v>19.36</v>
      </c>
      <c r="P6487" s="0" t="s">
        <v>2444</v>
      </c>
    </row>
    <row r="6488" customFormat="false" ht="15" hidden="false" customHeight="true" outlineLevel="0" collapsed="false">
      <c r="A6488" s="0" t="n">
        <v>2</v>
      </c>
      <c r="B6488" s="71" t="n">
        <v>46252</v>
      </c>
      <c r="C6488" s="0" t="n">
        <v>11</v>
      </c>
      <c r="D6488" s="0" t="s">
        <v>2471</v>
      </c>
      <c r="E6488" s="0" t="n">
        <v>1671</v>
      </c>
      <c r="F6488" s="0" t="s">
        <v>119</v>
      </c>
      <c r="I6488" s="0" t="n">
        <v>586415</v>
      </c>
      <c r="J6488" s="0" t="n">
        <v>57369</v>
      </c>
      <c r="K6488" s="0" t="n">
        <v>7509546687537</v>
      </c>
      <c r="L6488" s="0" t="s">
        <v>3796</v>
      </c>
      <c r="N6488" s="0" t="n">
        <v>3</v>
      </c>
      <c r="O6488" s="0" t="n">
        <v>18.69</v>
      </c>
      <c r="P6488" s="0" t="s">
        <v>2444</v>
      </c>
    </row>
    <row r="6489" customFormat="false" ht="15" hidden="false" customHeight="true" outlineLevel="0" collapsed="false">
      <c r="A6489" s="0" t="n">
        <v>2</v>
      </c>
      <c r="B6489" s="71" t="n">
        <v>46252</v>
      </c>
      <c r="C6489" s="0" t="n">
        <v>11</v>
      </c>
      <c r="D6489" s="0" t="s">
        <v>2471</v>
      </c>
      <c r="E6489" s="0" t="n">
        <v>1671</v>
      </c>
      <c r="F6489" s="0" t="s">
        <v>119</v>
      </c>
      <c r="I6489" s="0" t="n">
        <v>586415</v>
      </c>
      <c r="J6489" s="0" t="n">
        <v>60540</v>
      </c>
      <c r="K6489" s="0" t="n">
        <v>7509546669687</v>
      </c>
      <c r="L6489" s="0" t="s">
        <v>4947</v>
      </c>
      <c r="N6489" s="0" t="n">
        <v>24</v>
      </c>
      <c r="O6489" s="0" t="n">
        <v>79.92</v>
      </c>
      <c r="P6489" s="0" t="s">
        <v>2444</v>
      </c>
    </row>
    <row r="6490" customFormat="false" ht="15" hidden="false" customHeight="true" outlineLevel="0" collapsed="false">
      <c r="A6490" s="0" t="n">
        <v>2</v>
      </c>
      <c r="B6490" s="71" t="n">
        <v>46252</v>
      </c>
      <c r="C6490" s="0" t="n">
        <v>11</v>
      </c>
      <c r="D6490" s="0" t="s">
        <v>2471</v>
      </c>
      <c r="E6490" s="0" t="n">
        <v>1671</v>
      </c>
      <c r="F6490" s="0" t="s">
        <v>119</v>
      </c>
      <c r="I6490" s="0" t="n">
        <v>586415</v>
      </c>
      <c r="J6490" s="0" t="n">
        <v>62033</v>
      </c>
      <c r="K6490" s="0" t="n">
        <v>7509546669670</v>
      </c>
      <c r="L6490" s="0" t="s">
        <v>4948</v>
      </c>
      <c r="N6490" s="0" t="n">
        <v>24</v>
      </c>
      <c r="O6490" s="0" t="n">
        <v>47.52</v>
      </c>
      <c r="P6490" s="0" t="s">
        <v>2444</v>
      </c>
    </row>
    <row r="6491" customFormat="false" ht="15" hidden="false" customHeight="true" outlineLevel="0" collapsed="false">
      <c r="A6491" s="0" t="n">
        <v>2</v>
      </c>
      <c r="B6491" s="71" t="n">
        <v>46252</v>
      </c>
      <c r="C6491" s="0" t="n">
        <v>11</v>
      </c>
      <c r="D6491" s="0" t="s">
        <v>2471</v>
      </c>
      <c r="E6491" s="0" t="n">
        <v>1671</v>
      </c>
      <c r="F6491" s="0" t="s">
        <v>119</v>
      </c>
      <c r="I6491" s="0" t="n">
        <v>586415</v>
      </c>
      <c r="J6491" s="0" t="n">
        <v>64801</v>
      </c>
      <c r="K6491" s="0" t="n">
        <v>7509546691251</v>
      </c>
      <c r="L6491" s="0" t="s">
        <v>4511</v>
      </c>
      <c r="N6491" s="0" t="n">
        <v>1</v>
      </c>
      <c r="O6491" s="0" t="n">
        <v>4.39</v>
      </c>
      <c r="P6491" s="0" t="s">
        <v>2444</v>
      </c>
    </row>
    <row r="6492" customFormat="false" ht="15" hidden="false" customHeight="true" outlineLevel="0" collapsed="false">
      <c r="A6492" s="0" t="n">
        <v>2</v>
      </c>
      <c r="B6492" s="71" t="n">
        <v>46252</v>
      </c>
      <c r="C6492" s="0" t="n">
        <v>11</v>
      </c>
      <c r="D6492" s="0" t="s">
        <v>2471</v>
      </c>
      <c r="E6492" s="0" t="n">
        <v>1671</v>
      </c>
      <c r="F6492" s="0" t="s">
        <v>119</v>
      </c>
      <c r="I6492" s="0" t="n">
        <v>586415</v>
      </c>
      <c r="J6492" s="0" t="n">
        <v>77865</v>
      </c>
      <c r="K6492" s="0" t="n">
        <v>7891024028995</v>
      </c>
      <c r="L6492" s="0" t="s">
        <v>3797</v>
      </c>
      <c r="N6492" s="0" t="n">
        <v>1</v>
      </c>
      <c r="O6492" s="0" t="n">
        <v>6.15</v>
      </c>
      <c r="P6492" s="0" t="s">
        <v>2444</v>
      </c>
    </row>
    <row r="6493" customFormat="false" ht="15" hidden="false" customHeight="true" outlineLevel="0" collapsed="false">
      <c r="A6493" s="0" t="n">
        <v>2</v>
      </c>
      <c r="B6493" s="71" t="n">
        <v>46252</v>
      </c>
      <c r="C6493" s="0" t="n">
        <v>11</v>
      </c>
      <c r="D6493" s="0" t="s">
        <v>2471</v>
      </c>
      <c r="E6493" s="0" t="n">
        <v>1671</v>
      </c>
      <c r="F6493" s="0" t="s">
        <v>119</v>
      </c>
      <c r="I6493" s="0" t="n">
        <v>586415</v>
      </c>
      <c r="J6493" s="0" t="n">
        <v>78129</v>
      </c>
      <c r="K6493" s="0" t="n">
        <v>7891528038810</v>
      </c>
      <c r="L6493" s="0" t="s">
        <v>4513</v>
      </c>
      <c r="N6493" s="0" t="n">
        <v>12</v>
      </c>
      <c r="O6493" s="0" t="n">
        <v>93.96</v>
      </c>
      <c r="P6493" s="0" t="s">
        <v>2444</v>
      </c>
    </row>
    <row r="6494" customFormat="false" ht="15" hidden="false" customHeight="true" outlineLevel="0" collapsed="false">
      <c r="A6494" s="0" t="n">
        <v>2</v>
      </c>
      <c r="B6494" s="71" t="n">
        <v>46252</v>
      </c>
      <c r="C6494" s="0" t="n">
        <v>11</v>
      </c>
      <c r="D6494" s="0" t="s">
        <v>2471</v>
      </c>
      <c r="E6494" s="0" t="n">
        <v>1671</v>
      </c>
      <c r="F6494" s="0" t="s">
        <v>119</v>
      </c>
      <c r="I6494" s="0" t="n">
        <v>586415</v>
      </c>
      <c r="J6494" s="0" t="n">
        <v>78213</v>
      </c>
      <c r="K6494" s="0" t="n">
        <v>7509546702605</v>
      </c>
      <c r="L6494" s="0" t="s">
        <v>3798</v>
      </c>
      <c r="N6494" s="0" t="n">
        <v>1</v>
      </c>
      <c r="O6494" s="0" t="n">
        <v>10.83</v>
      </c>
      <c r="P6494" s="0" t="s">
        <v>2444</v>
      </c>
    </row>
    <row r="6495" customFormat="false" ht="15" hidden="false" customHeight="true" outlineLevel="0" collapsed="false">
      <c r="A6495" s="0" t="n">
        <v>2</v>
      </c>
      <c r="B6495" s="71" t="n">
        <v>46252</v>
      </c>
      <c r="C6495" s="0" t="n">
        <v>11</v>
      </c>
      <c r="D6495" s="0" t="s">
        <v>2471</v>
      </c>
      <c r="E6495" s="0" t="n">
        <v>1671</v>
      </c>
      <c r="F6495" s="0" t="s">
        <v>119</v>
      </c>
      <c r="I6495" s="0" t="n">
        <v>586415</v>
      </c>
      <c r="J6495" s="0" t="n">
        <v>82097</v>
      </c>
      <c r="K6495" s="0" t="n">
        <v>7908228809463</v>
      </c>
      <c r="L6495" s="0" t="s">
        <v>4949</v>
      </c>
      <c r="N6495" s="0" t="n">
        <v>12</v>
      </c>
      <c r="O6495" s="0" t="n">
        <v>70.8</v>
      </c>
      <c r="P6495" s="0" t="s">
        <v>2444</v>
      </c>
    </row>
    <row r="6496" customFormat="false" ht="15" hidden="false" customHeight="true" outlineLevel="0" collapsed="false">
      <c r="A6496" s="0" t="n">
        <v>2</v>
      </c>
      <c r="B6496" s="71" t="n">
        <v>46252</v>
      </c>
      <c r="C6496" s="0" t="n">
        <v>11</v>
      </c>
      <c r="D6496" s="0" t="s">
        <v>2471</v>
      </c>
      <c r="E6496" s="0" t="n">
        <v>1642</v>
      </c>
      <c r="F6496" s="0" t="s">
        <v>228</v>
      </c>
      <c r="I6496" s="0" t="n">
        <v>1037278</v>
      </c>
      <c r="J6496" s="0" t="n">
        <v>104335</v>
      </c>
      <c r="K6496" s="0" t="n">
        <v>7896289210512</v>
      </c>
      <c r="L6496" s="0" t="s">
        <v>4216</v>
      </c>
      <c r="N6496" s="0" t="n">
        <v>10</v>
      </c>
      <c r="O6496" s="0" t="n">
        <v>86</v>
      </c>
      <c r="P6496" s="0" t="s">
        <v>2444</v>
      </c>
    </row>
    <row r="6497" customFormat="false" ht="15" hidden="false" customHeight="true" outlineLevel="0" collapsed="false">
      <c r="A6497" s="0" t="n">
        <v>2</v>
      </c>
      <c r="B6497" s="71" t="n">
        <v>46252</v>
      </c>
      <c r="C6497" s="0" t="n">
        <v>11</v>
      </c>
      <c r="D6497" s="0" t="s">
        <v>2471</v>
      </c>
      <c r="E6497" s="0" t="n">
        <v>1642</v>
      </c>
      <c r="F6497" s="0" t="s">
        <v>228</v>
      </c>
      <c r="I6497" s="0" t="n">
        <v>1037278</v>
      </c>
      <c r="J6497" s="0" t="n">
        <v>105780</v>
      </c>
      <c r="K6497" s="0" t="n">
        <v>7896289210017</v>
      </c>
      <c r="L6497" s="0" t="s">
        <v>2511</v>
      </c>
      <c r="N6497" s="0" t="n">
        <v>10</v>
      </c>
      <c r="O6497" s="0" t="n">
        <v>106.7</v>
      </c>
      <c r="P6497" s="0" t="s">
        <v>2444</v>
      </c>
    </row>
    <row r="6498" customFormat="false" ht="15" hidden="false" customHeight="true" outlineLevel="0" collapsed="false">
      <c r="A6498" s="0" t="n">
        <v>2</v>
      </c>
      <c r="B6498" s="71" t="n">
        <v>46252</v>
      </c>
      <c r="C6498" s="0" t="n">
        <v>11</v>
      </c>
      <c r="D6498" s="0" t="s">
        <v>2471</v>
      </c>
      <c r="E6498" s="0" t="n">
        <v>1642</v>
      </c>
      <c r="F6498" s="0" t="s">
        <v>228</v>
      </c>
      <c r="I6498" s="0" t="n">
        <v>1037278</v>
      </c>
      <c r="J6498" s="0" t="n">
        <v>105782</v>
      </c>
      <c r="K6498" s="0" t="n">
        <v>7896289210352</v>
      </c>
      <c r="L6498" s="0" t="s">
        <v>2512</v>
      </c>
      <c r="N6498" s="0" t="n">
        <v>5</v>
      </c>
      <c r="O6498" s="0" t="n">
        <v>34.3</v>
      </c>
      <c r="P6498" s="0" t="s">
        <v>2444</v>
      </c>
    </row>
    <row r="6499" customFormat="false" ht="15" hidden="false" customHeight="true" outlineLevel="0" collapsed="false">
      <c r="A6499" s="0" t="n">
        <v>2</v>
      </c>
      <c r="B6499" s="71" t="n">
        <v>46252</v>
      </c>
      <c r="C6499" s="0" t="n">
        <v>11</v>
      </c>
      <c r="D6499" s="0" t="s">
        <v>2471</v>
      </c>
      <c r="E6499" s="0" t="n">
        <v>1642</v>
      </c>
      <c r="F6499" s="0" t="s">
        <v>228</v>
      </c>
      <c r="I6499" s="0" t="n">
        <v>1037278</v>
      </c>
      <c r="J6499" s="0" t="n">
        <v>106079</v>
      </c>
      <c r="K6499" s="0" t="n">
        <v>7896289210130</v>
      </c>
      <c r="L6499" s="0" t="s">
        <v>2513</v>
      </c>
      <c r="N6499" s="0" t="n">
        <v>5</v>
      </c>
      <c r="O6499" s="0" t="n">
        <v>68.5</v>
      </c>
      <c r="P6499" s="0" t="s">
        <v>2444</v>
      </c>
    </row>
    <row r="6500" customFormat="false" ht="15" hidden="false" customHeight="true" outlineLevel="0" collapsed="false">
      <c r="A6500" s="0" t="n">
        <v>2</v>
      </c>
      <c r="B6500" s="71" t="n">
        <v>46252</v>
      </c>
      <c r="C6500" s="0" t="n">
        <v>11</v>
      </c>
      <c r="D6500" s="0" t="s">
        <v>2471</v>
      </c>
      <c r="E6500" s="0" t="n">
        <v>1642</v>
      </c>
      <c r="F6500" s="0" t="s">
        <v>228</v>
      </c>
      <c r="I6500" s="0" t="n">
        <v>1037278</v>
      </c>
      <c r="J6500" s="0" t="n">
        <v>106274</v>
      </c>
      <c r="K6500" s="0" t="n">
        <v>7896289210086</v>
      </c>
      <c r="L6500" s="0" t="s">
        <v>2514</v>
      </c>
      <c r="N6500" s="0" t="n">
        <v>4</v>
      </c>
      <c r="O6500" s="0" t="n">
        <v>50.24</v>
      </c>
      <c r="P6500" s="0" t="s">
        <v>2444</v>
      </c>
    </row>
    <row r="6501" customFormat="false" ht="15" hidden="false" customHeight="true" outlineLevel="0" collapsed="false">
      <c r="A6501" s="0" t="n">
        <v>2</v>
      </c>
      <c r="B6501" s="71" t="n">
        <v>46252</v>
      </c>
      <c r="C6501" s="0" t="n">
        <v>11</v>
      </c>
      <c r="D6501" s="0" t="s">
        <v>2471</v>
      </c>
      <c r="E6501" s="0" t="n">
        <v>1642</v>
      </c>
      <c r="F6501" s="0" t="s">
        <v>228</v>
      </c>
      <c r="I6501" s="0" t="n">
        <v>1037278</v>
      </c>
      <c r="J6501" s="0" t="n">
        <v>106280</v>
      </c>
      <c r="K6501" s="0" t="n">
        <v>7896289210062</v>
      </c>
      <c r="L6501" s="0" t="s">
        <v>2515</v>
      </c>
      <c r="N6501" s="0" t="n">
        <v>4</v>
      </c>
      <c r="O6501" s="0" t="n">
        <v>50.24</v>
      </c>
      <c r="P6501" s="0" t="s">
        <v>2444</v>
      </c>
    </row>
    <row r="6502" customFormat="false" ht="15" hidden="false" customHeight="true" outlineLevel="0" collapsed="false">
      <c r="A6502" s="0" t="n">
        <v>2</v>
      </c>
      <c r="B6502" s="71" t="n">
        <v>46252</v>
      </c>
      <c r="C6502" s="0" t="n">
        <v>11</v>
      </c>
      <c r="D6502" s="0" t="s">
        <v>2471</v>
      </c>
      <c r="E6502" s="0" t="n">
        <v>1642</v>
      </c>
      <c r="F6502" s="0" t="s">
        <v>228</v>
      </c>
      <c r="I6502" s="0" t="n">
        <v>1037278</v>
      </c>
      <c r="J6502" s="0" t="n">
        <v>106407</v>
      </c>
      <c r="K6502" s="0" t="n">
        <v>7896289210031</v>
      </c>
      <c r="L6502" s="0" t="s">
        <v>2516</v>
      </c>
      <c r="N6502" s="0" t="n">
        <v>10</v>
      </c>
      <c r="O6502" s="0" t="n">
        <v>116.4</v>
      </c>
      <c r="P6502" s="0" t="s">
        <v>2444</v>
      </c>
    </row>
    <row r="6503" customFormat="false" ht="15" hidden="false" customHeight="true" outlineLevel="0" collapsed="false">
      <c r="A6503" s="0" t="n">
        <v>2</v>
      </c>
      <c r="B6503" s="71" t="n">
        <v>46252</v>
      </c>
      <c r="C6503" s="0" t="n">
        <v>11</v>
      </c>
      <c r="D6503" s="0" t="s">
        <v>2471</v>
      </c>
      <c r="E6503" s="0" t="n">
        <v>1683</v>
      </c>
      <c r="F6503" s="0" t="s">
        <v>406</v>
      </c>
      <c r="I6503" s="0" t="n">
        <v>1665386</v>
      </c>
      <c r="J6503" s="0" t="n">
        <v>109791</v>
      </c>
      <c r="K6503" s="0" t="n">
        <v>9667</v>
      </c>
      <c r="L6503" s="0" t="s">
        <v>2465</v>
      </c>
      <c r="N6503" s="0" t="n">
        <v>5</v>
      </c>
      <c r="O6503" s="0" t="n">
        <v>7.5</v>
      </c>
      <c r="P6503" s="0" t="s">
        <v>2444</v>
      </c>
    </row>
    <row r="6504" customFormat="false" ht="15" hidden="false" customHeight="true" outlineLevel="0" collapsed="false">
      <c r="A6504" s="0" t="n">
        <v>2</v>
      </c>
      <c r="B6504" s="71" t="n">
        <v>46252</v>
      </c>
      <c r="C6504" s="0" t="n">
        <v>11</v>
      </c>
      <c r="D6504" s="0" t="s">
        <v>2471</v>
      </c>
      <c r="E6504" s="0" t="n">
        <v>1683</v>
      </c>
      <c r="F6504" s="0" t="s">
        <v>406</v>
      </c>
      <c r="I6504" s="0" t="n">
        <v>1665386</v>
      </c>
      <c r="J6504" s="0" t="n">
        <v>37359</v>
      </c>
      <c r="K6504" s="0" t="n">
        <v>55526</v>
      </c>
      <c r="L6504" s="0" t="s">
        <v>2466</v>
      </c>
      <c r="N6504" s="0" t="n">
        <v>5</v>
      </c>
      <c r="O6504" s="0" t="n">
        <v>17.5</v>
      </c>
      <c r="P6504" s="0" t="s">
        <v>2444</v>
      </c>
    </row>
    <row r="6505" customFormat="false" ht="15" hidden="false" customHeight="true" outlineLevel="0" collapsed="false">
      <c r="A6505" s="0" t="n">
        <v>2</v>
      </c>
      <c r="B6505" s="71" t="n">
        <v>46252</v>
      </c>
      <c r="C6505" s="0" t="n">
        <v>11</v>
      </c>
      <c r="D6505" s="0" t="s">
        <v>2471</v>
      </c>
      <c r="E6505" s="0" t="n">
        <v>1683</v>
      </c>
      <c r="F6505" s="0" t="s">
        <v>406</v>
      </c>
      <c r="I6505" s="0" t="n">
        <v>1665386</v>
      </c>
      <c r="J6505" s="0" t="n">
        <v>37361</v>
      </c>
      <c r="K6505" s="0" t="n">
        <v>2240817</v>
      </c>
      <c r="L6505" s="0" t="s">
        <v>2467</v>
      </c>
      <c r="N6505" s="0" t="n">
        <v>70</v>
      </c>
      <c r="O6505" s="0" t="n">
        <v>126</v>
      </c>
      <c r="P6505" s="0" t="s">
        <v>2444</v>
      </c>
    </row>
    <row r="6506" customFormat="false" ht="15" hidden="false" customHeight="true" outlineLevel="0" collapsed="false">
      <c r="A6506" s="0" t="n">
        <v>2</v>
      </c>
      <c r="B6506" s="71" t="n">
        <v>46252</v>
      </c>
      <c r="C6506" s="0" t="n">
        <v>11</v>
      </c>
      <c r="D6506" s="0" t="s">
        <v>2471</v>
      </c>
      <c r="E6506" s="0" t="n">
        <v>1705</v>
      </c>
      <c r="F6506" s="0" t="s">
        <v>130</v>
      </c>
      <c r="I6506" s="0" t="n">
        <v>1993231</v>
      </c>
      <c r="J6506" s="0" t="n">
        <v>30188</v>
      </c>
      <c r="K6506" s="0" t="n">
        <v>78908901</v>
      </c>
      <c r="L6506" s="0" t="s">
        <v>2477</v>
      </c>
      <c r="N6506" s="0" t="n">
        <v>30</v>
      </c>
      <c r="O6506" s="0" t="n">
        <v>58.91</v>
      </c>
      <c r="P6506" s="0" t="s">
        <v>2444</v>
      </c>
    </row>
    <row r="6507" customFormat="false" ht="15" hidden="false" customHeight="true" outlineLevel="0" collapsed="false">
      <c r="A6507" s="0" t="n">
        <v>2</v>
      </c>
      <c r="B6507" s="71" t="n">
        <v>46252</v>
      </c>
      <c r="C6507" s="0" t="n">
        <v>11</v>
      </c>
      <c r="D6507" s="0" t="s">
        <v>2471</v>
      </c>
      <c r="E6507" s="0" t="n">
        <v>1705</v>
      </c>
      <c r="F6507" s="0" t="s">
        <v>130</v>
      </c>
      <c r="I6507" s="0" t="n">
        <v>1993231</v>
      </c>
      <c r="J6507" s="0" t="n">
        <v>103139</v>
      </c>
      <c r="K6507" s="0" t="n">
        <v>7894900051759</v>
      </c>
      <c r="L6507" s="0" t="s">
        <v>2654</v>
      </c>
      <c r="N6507" s="0" t="n">
        <v>24</v>
      </c>
      <c r="O6507" s="0" t="n">
        <v>135.78</v>
      </c>
      <c r="P6507" s="0" t="s">
        <v>2444</v>
      </c>
    </row>
    <row r="6508" customFormat="false" ht="15" hidden="false" customHeight="true" outlineLevel="0" collapsed="false">
      <c r="A6508" s="0" t="n">
        <v>2</v>
      </c>
      <c r="B6508" s="71" t="n">
        <v>46252</v>
      </c>
      <c r="C6508" s="0" t="n">
        <v>11</v>
      </c>
      <c r="D6508" s="0" t="s">
        <v>2471</v>
      </c>
      <c r="E6508" s="0" t="n">
        <v>1705</v>
      </c>
      <c r="F6508" s="0" t="s">
        <v>130</v>
      </c>
      <c r="I6508" s="0" t="n">
        <v>1993231</v>
      </c>
      <c r="J6508" s="0" t="n">
        <v>103140</v>
      </c>
      <c r="K6508" s="0" t="n">
        <v>7894900031751</v>
      </c>
      <c r="L6508" s="0" t="s">
        <v>2655</v>
      </c>
      <c r="N6508" s="0" t="n">
        <v>18</v>
      </c>
      <c r="O6508" s="0" t="n">
        <v>101.83</v>
      </c>
      <c r="P6508" s="0" t="s">
        <v>2444</v>
      </c>
    </row>
    <row r="6509" customFormat="false" ht="15" hidden="false" customHeight="true" outlineLevel="0" collapsed="false">
      <c r="A6509" s="0" t="n">
        <v>2</v>
      </c>
      <c r="B6509" s="71" t="n">
        <v>46252</v>
      </c>
      <c r="C6509" s="0" t="n">
        <v>11</v>
      </c>
      <c r="D6509" s="0" t="s">
        <v>2471</v>
      </c>
      <c r="E6509" s="0" t="n">
        <v>1705</v>
      </c>
      <c r="F6509" s="0" t="s">
        <v>130</v>
      </c>
      <c r="I6509" s="0" t="n">
        <v>1993231</v>
      </c>
      <c r="J6509" s="0" t="n">
        <v>103142</v>
      </c>
      <c r="K6509" s="0" t="n">
        <v>7894900011753</v>
      </c>
      <c r="L6509" s="0" t="s">
        <v>2581</v>
      </c>
      <c r="N6509" s="0" t="n">
        <v>60</v>
      </c>
      <c r="O6509" s="0" t="n">
        <v>381.56</v>
      </c>
      <c r="P6509" s="0" t="s">
        <v>2444</v>
      </c>
    </row>
    <row r="6510" customFormat="false" ht="15" hidden="false" customHeight="true" outlineLevel="0" collapsed="false">
      <c r="A6510" s="0" t="n">
        <v>2</v>
      </c>
      <c r="B6510" s="71" t="n">
        <v>46252</v>
      </c>
      <c r="C6510" s="0" t="n">
        <v>11</v>
      </c>
      <c r="D6510" s="0" t="s">
        <v>2471</v>
      </c>
      <c r="E6510" s="0" t="n">
        <v>1705</v>
      </c>
      <c r="F6510" s="0" t="s">
        <v>130</v>
      </c>
      <c r="I6510" s="0" t="n">
        <v>1993231</v>
      </c>
      <c r="J6510" s="0" t="n">
        <v>103145</v>
      </c>
      <c r="K6510" s="0" t="n">
        <v>7894900051513</v>
      </c>
      <c r="L6510" s="0" t="s">
        <v>2995</v>
      </c>
      <c r="N6510" s="0" t="n">
        <v>12</v>
      </c>
      <c r="O6510" s="0" t="n">
        <v>89.99</v>
      </c>
      <c r="P6510" s="0" t="s">
        <v>2444</v>
      </c>
    </row>
    <row r="6511" customFormat="false" ht="15" hidden="false" customHeight="true" outlineLevel="0" collapsed="false">
      <c r="A6511" s="0" t="n">
        <v>2</v>
      </c>
      <c r="B6511" s="71" t="n">
        <v>46252</v>
      </c>
      <c r="C6511" s="0" t="n">
        <v>11</v>
      </c>
      <c r="D6511" s="0" t="s">
        <v>2471</v>
      </c>
      <c r="E6511" s="0" t="n">
        <v>1705</v>
      </c>
      <c r="F6511" s="0" t="s">
        <v>130</v>
      </c>
      <c r="I6511" s="0" t="n">
        <v>1993231</v>
      </c>
      <c r="J6511" s="0" t="n">
        <v>103146</v>
      </c>
      <c r="K6511" s="0" t="n">
        <v>7894900031515</v>
      </c>
      <c r="L6511" s="0" t="s">
        <v>2567</v>
      </c>
      <c r="N6511" s="0" t="n">
        <v>12</v>
      </c>
      <c r="O6511" s="0" t="n">
        <v>89.99</v>
      </c>
      <c r="P6511" s="0" t="s">
        <v>2444</v>
      </c>
    </row>
    <row r="6512" customFormat="false" ht="15" hidden="false" customHeight="true" outlineLevel="0" collapsed="false">
      <c r="A6512" s="0" t="n">
        <v>2</v>
      </c>
      <c r="B6512" s="71" t="n">
        <v>46252</v>
      </c>
      <c r="C6512" s="0" t="n">
        <v>11</v>
      </c>
      <c r="D6512" s="0" t="s">
        <v>2471</v>
      </c>
      <c r="E6512" s="0" t="n">
        <v>1705</v>
      </c>
      <c r="F6512" s="0" t="s">
        <v>130</v>
      </c>
      <c r="I6512" s="0" t="n">
        <v>1993231</v>
      </c>
      <c r="J6512" s="0" t="n">
        <v>103159</v>
      </c>
      <c r="K6512" s="0" t="n">
        <v>7894900050011</v>
      </c>
      <c r="L6512" s="0" t="s">
        <v>2656</v>
      </c>
      <c r="N6512" s="0" t="n">
        <v>12</v>
      </c>
      <c r="O6512" s="0" t="n">
        <v>34.31</v>
      </c>
      <c r="P6512" s="0" t="s">
        <v>2444</v>
      </c>
    </row>
    <row r="6513" customFormat="false" ht="15" hidden="false" customHeight="true" outlineLevel="0" collapsed="false">
      <c r="A6513" s="0" t="n">
        <v>2</v>
      </c>
      <c r="B6513" s="71" t="n">
        <v>46252</v>
      </c>
      <c r="C6513" s="0" t="n">
        <v>11</v>
      </c>
      <c r="D6513" s="0" t="s">
        <v>2471</v>
      </c>
      <c r="E6513" s="0" t="n">
        <v>1705</v>
      </c>
      <c r="F6513" s="0" t="s">
        <v>130</v>
      </c>
      <c r="I6513" s="0" t="n">
        <v>1993231</v>
      </c>
      <c r="J6513" s="0" t="n">
        <v>103161</v>
      </c>
      <c r="K6513" s="0" t="n">
        <v>7894900010015</v>
      </c>
      <c r="L6513" s="0" t="s">
        <v>2569</v>
      </c>
      <c r="N6513" s="0" t="n">
        <v>120</v>
      </c>
      <c r="O6513" s="0" t="n">
        <v>384.62</v>
      </c>
      <c r="P6513" s="0" t="s">
        <v>2444</v>
      </c>
    </row>
    <row r="6514" customFormat="false" ht="15" hidden="false" customHeight="true" outlineLevel="0" collapsed="false">
      <c r="A6514" s="0" t="n">
        <v>2</v>
      </c>
      <c r="B6514" s="71" t="n">
        <v>46252</v>
      </c>
      <c r="C6514" s="0" t="n">
        <v>11</v>
      </c>
      <c r="D6514" s="0" t="s">
        <v>2471</v>
      </c>
      <c r="E6514" s="0" t="n">
        <v>1705</v>
      </c>
      <c r="F6514" s="0" t="s">
        <v>130</v>
      </c>
      <c r="I6514" s="0" t="n">
        <v>1993231</v>
      </c>
      <c r="J6514" s="0" t="n">
        <v>104472</v>
      </c>
      <c r="K6514" s="0" t="n">
        <v>7897105200038</v>
      </c>
      <c r="L6514" s="0" t="s">
        <v>2657</v>
      </c>
      <c r="N6514" s="0" t="n">
        <v>18</v>
      </c>
      <c r="O6514" s="0" t="n">
        <v>81.68</v>
      </c>
      <c r="P6514" s="0" t="s">
        <v>2444</v>
      </c>
    </row>
    <row r="6515" customFormat="false" ht="15" hidden="false" customHeight="true" outlineLevel="0" collapsed="false">
      <c r="A6515" s="0" t="n">
        <v>2</v>
      </c>
      <c r="B6515" s="71" t="n">
        <v>46252</v>
      </c>
      <c r="C6515" s="0" t="n">
        <v>11</v>
      </c>
      <c r="D6515" s="0" t="s">
        <v>2471</v>
      </c>
      <c r="E6515" s="0" t="n">
        <v>1705</v>
      </c>
      <c r="F6515" s="0" t="s">
        <v>130</v>
      </c>
      <c r="I6515" s="0" t="n">
        <v>1993231</v>
      </c>
      <c r="J6515" s="0" t="n">
        <v>107100</v>
      </c>
      <c r="K6515" s="0" t="n">
        <v>7894900700015</v>
      </c>
      <c r="L6515" s="0" t="s">
        <v>2572</v>
      </c>
      <c r="N6515" s="0" t="n">
        <v>48</v>
      </c>
      <c r="O6515" s="0" t="n">
        <v>149.94</v>
      </c>
      <c r="P6515" s="0" t="s">
        <v>2444</v>
      </c>
    </row>
    <row r="6516" customFormat="false" ht="15" hidden="false" customHeight="true" outlineLevel="0" collapsed="false">
      <c r="A6516" s="0" t="n">
        <v>2</v>
      </c>
      <c r="B6516" s="71" t="n">
        <v>46252</v>
      </c>
      <c r="C6516" s="0" t="n">
        <v>11</v>
      </c>
      <c r="D6516" s="0" t="s">
        <v>2471</v>
      </c>
      <c r="E6516" s="0" t="n">
        <v>1705</v>
      </c>
      <c r="F6516" s="0" t="s">
        <v>130</v>
      </c>
      <c r="I6516" s="0" t="n">
        <v>1993231</v>
      </c>
      <c r="J6516" s="0" t="n">
        <v>21426</v>
      </c>
      <c r="K6516" s="0" t="n">
        <v>7894900014211</v>
      </c>
      <c r="L6516" s="0" t="s">
        <v>2470</v>
      </c>
      <c r="N6516" s="0" t="n">
        <v>18</v>
      </c>
      <c r="O6516" s="0" t="n">
        <v>120.7</v>
      </c>
      <c r="P6516" s="0" t="s">
        <v>2444</v>
      </c>
    </row>
    <row r="6517" customFormat="false" ht="15" hidden="false" customHeight="true" outlineLevel="0" collapsed="false">
      <c r="A6517" s="0" t="n">
        <v>2</v>
      </c>
      <c r="B6517" s="71" t="n">
        <v>46252</v>
      </c>
      <c r="C6517" s="0" t="n">
        <v>11</v>
      </c>
      <c r="D6517" s="0" t="s">
        <v>2471</v>
      </c>
      <c r="E6517" s="0" t="n">
        <v>1705</v>
      </c>
      <c r="F6517" s="0" t="s">
        <v>130</v>
      </c>
      <c r="I6517" s="0" t="n">
        <v>1993231</v>
      </c>
      <c r="J6517" s="0" t="n">
        <v>27643</v>
      </c>
      <c r="K6517" s="0" t="n">
        <v>7894900031713</v>
      </c>
      <c r="L6517" s="0" t="s">
        <v>4351</v>
      </c>
      <c r="N6517" s="0" t="n">
        <v>18</v>
      </c>
      <c r="O6517" s="0" t="n">
        <v>86.08</v>
      </c>
      <c r="P6517" s="0" t="s">
        <v>2444</v>
      </c>
    </row>
    <row r="6518" customFormat="false" ht="15" hidden="false" customHeight="true" outlineLevel="0" collapsed="false">
      <c r="A6518" s="0" t="n">
        <v>2</v>
      </c>
      <c r="B6518" s="71" t="n">
        <v>46252</v>
      </c>
      <c r="C6518" s="0" t="n">
        <v>11</v>
      </c>
      <c r="D6518" s="0" t="s">
        <v>2471</v>
      </c>
      <c r="E6518" s="0" t="n">
        <v>1705</v>
      </c>
      <c r="F6518" s="0" t="s">
        <v>130</v>
      </c>
      <c r="I6518" s="0" t="n">
        <v>1993231</v>
      </c>
      <c r="J6518" s="0" t="n">
        <v>29509</v>
      </c>
      <c r="K6518" s="0" t="n">
        <v>78933873</v>
      </c>
      <c r="L6518" s="0" t="s">
        <v>3258</v>
      </c>
      <c r="N6518" s="0" t="n">
        <v>6</v>
      </c>
      <c r="O6518" s="0" t="n">
        <v>11.29</v>
      </c>
      <c r="P6518" s="0" t="s">
        <v>2444</v>
      </c>
    </row>
    <row r="6519" customFormat="false" ht="15" hidden="false" customHeight="true" outlineLevel="0" collapsed="false">
      <c r="A6519" s="0" t="n">
        <v>2</v>
      </c>
      <c r="B6519" s="71" t="n">
        <v>46252</v>
      </c>
      <c r="C6519" s="0" t="n">
        <v>11</v>
      </c>
      <c r="D6519" s="0" t="s">
        <v>2471</v>
      </c>
      <c r="E6519" s="0" t="n">
        <v>1705</v>
      </c>
      <c r="F6519" s="0" t="s">
        <v>130</v>
      </c>
      <c r="I6519" s="0" t="n">
        <v>1993231</v>
      </c>
      <c r="J6519" s="0" t="n">
        <v>35357</v>
      </c>
      <c r="K6519" s="0" t="n">
        <v>7894900681017</v>
      </c>
      <c r="L6519" s="0" t="s">
        <v>2564</v>
      </c>
      <c r="N6519" s="0" t="n">
        <v>12</v>
      </c>
      <c r="O6519" s="0" t="n">
        <v>34.31</v>
      </c>
      <c r="P6519" s="0" t="s">
        <v>2444</v>
      </c>
    </row>
    <row r="6520" customFormat="false" ht="15" hidden="false" customHeight="true" outlineLevel="0" collapsed="false">
      <c r="A6520" s="0" t="n">
        <v>2</v>
      </c>
      <c r="B6520" s="71" t="n">
        <v>46252</v>
      </c>
      <c r="C6520" s="0" t="n">
        <v>11</v>
      </c>
      <c r="D6520" s="0" t="s">
        <v>2471</v>
      </c>
      <c r="E6520" s="0" t="n">
        <v>1705</v>
      </c>
      <c r="F6520" s="0" t="s">
        <v>130</v>
      </c>
      <c r="I6520" s="0" t="n">
        <v>1993231</v>
      </c>
      <c r="J6520" s="0" t="n">
        <v>37279</v>
      </c>
      <c r="K6520" s="0" t="n">
        <v>7894900027013</v>
      </c>
      <c r="L6520" s="0" t="s">
        <v>2575</v>
      </c>
      <c r="N6520" s="0" t="n">
        <v>60</v>
      </c>
      <c r="O6520" s="0" t="n">
        <v>529.3</v>
      </c>
      <c r="P6520" s="0" t="s">
        <v>2444</v>
      </c>
    </row>
    <row r="6521" customFormat="false" ht="15" hidden="false" customHeight="true" outlineLevel="0" collapsed="false">
      <c r="A6521" s="0" t="n">
        <v>2</v>
      </c>
      <c r="B6521" s="71" t="n">
        <v>46252</v>
      </c>
      <c r="C6521" s="0" t="n">
        <v>11</v>
      </c>
      <c r="D6521" s="0" t="s">
        <v>2471</v>
      </c>
      <c r="E6521" s="0" t="n">
        <v>1705</v>
      </c>
      <c r="F6521" s="0" t="s">
        <v>130</v>
      </c>
      <c r="I6521" s="0" t="n">
        <v>1993231</v>
      </c>
      <c r="J6521" s="0" t="n">
        <v>41322</v>
      </c>
      <c r="K6521" s="0" t="n">
        <v>7897105200076</v>
      </c>
      <c r="L6521" s="0" t="s">
        <v>2661</v>
      </c>
      <c r="N6521" s="0" t="n">
        <v>18</v>
      </c>
      <c r="O6521" s="0" t="n">
        <v>61.36</v>
      </c>
      <c r="P6521" s="0" t="s">
        <v>2444</v>
      </c>
    </row>
    <row r="6522" customFormat="false" ht="15" hidden="false" customHeight="true" outlineLevel="0" collapsed="false">
      <c r="A6522" s="0" t="n">
        <v>2</v>
      </c>
      <c r="B6522" s="71" t="n">
        <v>46252</v>
      </c>
      <c r="C6522" s="0" t="n">
        <v>11</v>
      </c>
      <c r="D6522" s="0" t="s">
        <v>2471</v>
      </c>
      <c r="E6522" s="0" t="n">
        <v>1612</v>
      </c>
      <c r="F6522" s="0" t="s">
        <v>74</v>
      </c>
      <c r="I6522" s="0" t="n">
        <v>2310769</v>
      </c>
      <c r="J6522" s="0" t="n">
        <v>100820</v>
      </c>
      <c r="K6522" s="0" t="n">
        <v>7896013100386</v>
      </c>
      <c r="L6522" s="0" t="s">
        <v>3456</v>
      </c>
      <c r="N6522" s="0" t="n">
        <v>60</v>
      </c>
      <c r="O6522" s="0" t="n">
        <v>146.71</v>
      </c>
      <c r="P6522" s="0" t="s">
        <v>2444</v>
      </c>
    </row>
    <row r="6523" customFormat="false" ht="15" hidden="false" customHeight="true" outlineLevel="0" collapsed="false">
      <c r="A6523" s="0" t="n">
        <v>2</v>
      </c>
      <c r="B6523" s="71" t="n">
        <v>46252</v>
      </c>
      <c r="C6523" s="0" t="n">
        <v>11</v>
      </c>
      <c r="D6523" s="0" t="s">
        <v>2471</v>
      </c>
      <c r="E6523" s="0" t="n">
        <v>1612</v>
      </c>
      <c r="F6523" s="0" t="s">
        <v>74</v>
      </c>
      <c r="I6523" s="0" t="n">
        <v>2310769</v>
      </c>
      <c r="J6523" s="0" t="n">
        <v>12866</v>
      </c>
      <c r="K6523" s="0" t="n">
        <v>9002490209346</v>
      </c>
      <c r="L6523" s="0" t="s">
        <v>4950</v>
      </c>
      <c r="N6523" s="0" t="n">
        <v>24</v>
      </c>
      <c r="O6523" s="0" t="n">
        <v>270.96</v>
      </c>
      <c r="P6523" s="0" t="s">
        <v>2444</v>
      </c>
    </row>
    <row r="6524" customFormat="false" ht="15" hidden="false" customHeight="true" outlineLevel="0" collapsed="false">
      <c r="A6524" s="0" t="n">
        <v>2</v>
      </c>
      <c r="B6524" s="71" t="n">
        <v>46252</v>
      </c>
      <c r="C6524" s="0" t="n">
        <v>11</v>
      </c>
      <c r="D6524" s="0" t="s">
        <v>2471</v>
      </c>
      <c r="E6524" s="0" t="n">
        <v>1612</v>
      </c>
      <c r="F6524" s="0" t="s">
        <v>74</v>
      </c>
      <c r="I6524" s="0" t="n">
        <v>2310769</v>
      </c>
      <c r="J6524" s="0" t="n">
        <v>14610</v>
      </c>
      <c r="K6524" s="0" t="n">
        <v>7896098903612</v>
      </c>
      <c r="L6524" s="0" t="s">
        <v>4951</v>
      </c>
      <c r="N6524" s="0" t="n">
        <v>12</v>
      </c>
      <c r="O6524" s="0" t="n">
        <v>34.68</v>
      </c>
      <c r="P6524" s="0" t="s">
        <v>2444</v>
      </c>
    </row>
    <row r="6525" customFormat="false" ht="15" hidden="false" customHeight="true" outlineLevel="0" collapsed="false">
      <c r="A6525" s="0" t="n">
        <v>2</v>
      </c>
      <c r="B6525" s="71" t="n">
        <v>46252</v>
      </c>
      <c r="C6525" s="0" t="n">
        <v>11</v>
      </c>
      <c r="D6525" s="0" t="s">
        <v>2471</v>
      </c>
      <c r="E6525" s="0" t="n">
        <v>1612</v>
      </c>
      <c r="F6525" s="0" t="s">
        <v>74</v>
      </c>
      <c r="I6525" s="0" t="n">
        <v>2310769</v>
      </c>
      <c r="J6525" s="0" t="n">
        <v>14611</v>
      </c>
      <c r="K6525" s="0" t="n">
        <v>7896098900628</v>
      </c>
      <c r="L6525" s="0" t="s">
        <v>4952</v>
      </c>
      <c r="N6525" s="0" t="n">
        <v>12</v>
      </c>
      <c r="O6525" s="0" t="n">
        <v>52.5</v>
      </c>
      <c r="P6525" s="0" t="s">
        <v>2444</v>
      </c>
    </row>
    <row r="6526" customFormat="false" ht="15" hidden="false" customHeight="true" outlineLevel="0" collapsed="false">
      <c r="A6526" s="0" t="n">
        <v>2</v>
      </c>
      <c r="B6526" s="71" t="n">
        <v>46252</v>
      </c>
      <c r="C6526" s="0" t="n">
        <v>11</v>
      </c>
      <c r="D6526" s="0" t="s">
        <v>2471</v>
      </c>
      <c r="E6526" s="0" t="n">
        <v>1612</v>
      </c>
      <c r="F6526" s="0" t="s">
        <v>74</v>
      </c>
      <c r="I6526" s="0" t="n">
        <v>2310769</v>
      </c>
      <c r="J6526" s="0" t="n">
        <v>17726</v>
      </c>
      <c r="K6526" s="0" t="n">
        <v>9002490214166</v>
      </c>
      <c r="L6526" s="0" t="s">
        <v>4953</v>
      </c>
      <c r="N6526" s="0" t="n">
        <v>24</v>
      </c>
      <c r="O6526" s="0" t="n">
        <v>345.6</v>
      </c>
      <c r="P6526" s="0" t="s">
        <v>2444</v>
      </c>
    </row>
    <row r="6527" customFormat="false" ht="15" hidden="false" customHeight="true" outlineLevel="0" collapsed="false">
      <c r="A6527" s="0" t="n">
        <v>2</v>
      </c>
      <c r="B6527" s="71" t="n">
        <v>46252</v>
      </c>
      <c r="C6527" s="0" t="n">
        <v>11</v>
      </c>
      <c r="D6527" s="0" t="s">
        <v>2471</v>
      </c>
      <c r="E6527" s="0" t="n">
        <v>1612</v>
      </c>
      <c r="F6527" s="0" t="s">
        <v>74</v>
      </c>
      <c r="I6527" s="0" t="n">
        <v>2310769</v>
      </c>
      <c r="J6527" s="0" t="n">
        <v>21805</v>
      </c>
      <c r="K6527" s="0" t="n">
        <v>7896098900222</v>
      </c>
      <c r="L6527" s="0" t="s">
        <v>4235</v>
      </c>
      <c r="N6527" s="0" t="n">
        <v>48</v>
      </c>
      <c r="O6527" s="0" t="n">
        <v>123.16</v>
      </c>
      <c r="P6527" s="0" t="s">
        <v>2444</v>
      </c>
    </row>
    <row r="6528" customFormat="false" ht="15" hidden="false" customHeight="true" outlineLevel="0" collapsed="false">
      <c r="A6528" s="0" t="n">
        <v>2</v>
      </c>
      <c r="B6528" s="71" t="n">
        <v>46252</v>
      </c>
      <c r="C6528" s="0" t="n">
        <v>11</v>
      </c>
      <c r="D6528" s="0" t="s">
        <v>2471</v>
      </c>
      <c r="E6528" s="0" t="n">
        <v>1612</v>
      </c>
      <c r="F6528" s="0" t="s">
        <v>74</v>
      </c>
      <c r="I6528" s="0" t="n">
        <v>2310769</v>
      </c>
      <c r="J6528" s="0" t="n">
        <v>28960</v>
      </c>
      <c r="K6528" s="0" t="n">
        <v>7898024397915</v>
      </c>
      <c r="L6528" s="0" t="s">
        <v>3954</v>
      </c>
      <c r="N6528" s="0" t="n">
        <v>36</v>
      </c>
      <c r="O6528" s="0" t="n">
        <v>134.51</v>
      </c>
      <c r="P6528" s="0" t="s">
        <v>2444</v>
      </c>
    </row>
    <row r="6529" customFormat="false" ht="15" hidden="false" customHeight="true" outlineLevel="0" collapsed="false">
      <c r="A6529" s="0" t="n">
        <v>2</v>
      </c>
      <c r="B6529" s="71" t="n">
        <v>46252</v>
      </c>
      <c r="C6529" s="0" t="n">
        <v>11</v>
      </c>
      <c r="D6529" s="0" t="s">
        <v>2471</v>
      </c>
      <c r="E6529" s="0" t="n">
        <v>1612</v>
      </c>
      <c r="F6529" s="0" t="s">
        <v>74</v>
      </c>
      <c r="I6529" s="0" t="n">
        <v>2310769</v>
      </c>
      <c r="J6529" s="0" t="n">
        <v>28989</v>
      </c>
      <c r="K6529" s="0" t="n">
        <v>7896003738629</v>
      </c>
      <c r="L6529" s="0" t="s">
        <v>4954</v>
      </c>
      <c r="N6529" s="0" t="n">
        <v>1</v>
      </c>
      <c r="O6529" s="0" t="n">
        <v>5.25</v>
      </c>
      <c r="P6529" s="0" t="s">
        <v>2444</v>
      </c>
    </row>
    <row r="6530" customFormat="false" ht="15" hidden="false" customHeight="true" outlineLevel="0" collapsed="false">
      <c r="A6530" s="0" t="n">
        <v>2</v>
      </c>
      <c r="B6530" s="71" t="n">
        <v>46252</v>
      </c>
      <c r="C6530" s="0" t="n">
        <v>11</v>
      </c>
      <c r="D6530" s="0" t="s">
        <v>2471</v>
      </c>
      <c r="E6530" s="0" t="n">
        <v>1612</v>
      </c>
      <c r="F6530" s="0" t="s">
        <v>74</v>
      </c>
      <c r="I6530" s="0" t="n">
        <v>2310769</v>
      </c>
      <c r="J6530" s="0" t="n">
        <v>29068</v>
      </c>
      <c r="K6530" s="0" t="n">
        <v>78940741</v>
      </c>
      <c r="L6530" s="0" t="s">
        <v>3956</v>
      </c>
      <c r="N6530" s="0" t="n">
        <v>24</v>
      </c>
      <c r="O6530" s="0" t="n">
        <v>188.69</v>
      </c>
      <c r="P6530" s="0" t="s">
        <v>2444</v>
      </c>
    </row>
    <row r="6531" customFormat="false" ht="15" hidden="false" customHeight="true" outlineLevel="0" collapsed="false">
      <c r="A6531" s="0" t="n">
        <v>2</v>
      </c>
      <c r="B6531" s="71" t="n">
        <v>46252</v>
      </c>
      <c r="C6531" s="0" t="n">
        <v>11</v>
      </c>
      <c r="D6531" s="0" t="s">
        <v>2471</v>
      </c>
      <c r="E6531" s="0" t="n">
        <v>1612</v>
      </c>
      <c r="F6531" s="0" t="s">
        <v>74</v>
      </c>
      <c r="I6531" s="0" t="n">
        <v>2310769</v>
      </c>
      <c r="J6531" s="0" t="n">
        <v>29893</v>
      </c>
      <c r="K6531" s="0" t="n">
        <v>80761761</v>
      </c>
      <c r="L6531" s="0" t="s">
        <v>4955</v>
      </c>
      <c r="N6531" s="0" t="n">
        <v>15</v>
      </c>
      <c r="O6531" s="0" t="n">
        <v>98.31</v>
      </c>
      <c r="P6531" s="0" t="s">
        <v>2444</v>
      </c>
    </row>
    <row r="6532" customFormat="false" ht="15" hidden="false" customHeight="true" outlineLevel="0" collapsed="false">
      <c r="A6532" s="0" t="n">
        <v>2</v>
      </c>
      <c r="B6532" s="71" t="n">
        <v>46252</v>
      </c>
      <c r="C6532" s="0" t="n">
        <v>11</v>
      </c>
      <c r="D6532" s="0" t="s">
        <v>2471</v>
      </c>
      <c r="E6532" s="0" t="n">
        <v>1612</v>
      </c>
      <c r="F6532" s="0" t="s">
        <v>74</v>
      </c>
      <c r="I6532" s="0" t="n">
        <v>2310769</v>
      </c>
      <c r="J6532" s="0" t="n">
        <v>31857</v>
      </c>
      <c r="K6532" s="0" t="n">
        <v>7897309408575</v>
      </c>
      <c r="L6532" s="0" t="s">
        <v>4956</v>
      </c>
      <c r="N6532" s="0" t="n">
        <v>20</v>
      </c>
      <c r="O6532" s="0" t="n">
        <v>169</v>
      </c>
      <c r="P6532" s="0" t="s">
        <v>2444</v>
      </c>
    </row>
    <row r="6533" customFormat="false" ht="15" hidden="false" customHeight="true" outlineLevel="0" collapsed="false">
      <c r="A6533" s="0" t="n">
        <v>2</v>
      </c>
      <c r="B6533" s="71" t="n">
        <v>46252</v>
      </c>
      <c r="C6533" s="0" t="n">
        <v>11</v>
      </c>
      <c r="D6533" s="0" t="s">
        <v>2471</v>
      </c>
      <c r="E6533" s="0" t="n">
        <v>1612</v>
      </c>
      <c r="F6533" s="0" t="s">
        <v>74</v>
      </c>
      <c r="I6533" s="0" t="n">
        <v>2310769</v>
      </c>
      <c r="J6533" s="0" t="n">
        <v>33988</v>
      </c>
      <c r="K6533" s="0" t="n">
        <v>7896003711912</v>
      </c>
      <c r="L6533" s="0" t="s">
        <v>4957</v>
      </c>
      <c r="N6533" s="0" t="n">
        <v>32</v>
      </c>
      <c r="O6533" s="0" t="n">
        <v>52</v>
      </c>
      <c r="P6533" s="0" t="s">
        <v>2444</v>
      </c>
    </row>
    <row r="6534" customFormat="false" ht="15" hidden="false" customHeight="true" outlineLevel="0" collapsed="false">
      <c r="A6534" s="0" t="n">
        <v>2</v>
      </c>
      <c r="B6534" s="71" t="n">
        <v>46252</v>
      </c>
      <c r="C6534" s="0" t="n">
        <v>11</v>
      </c>
      <c r="D6534" s="0" t="s">
        <v>2471</v>
      </c>
      <c r="E6534" s="0" t="n">
        <v>1612</v>
      </c>
      <c r="F6534" s="0" t="s">
        <v>74</v>
      </c>
      <c r="I6534" s="0" t="n">
        <v>2310769</v>
      </c>
      <c r="J6534" s="0" t="n">
        <v>34037</v>
      </c>
      <c r="K6534" s="0" t="n">
        <v>7896003737417</v>
      </c>
      <c r="L6534" s="0" t="s">
        <v>3949</v>
      </c>
      <c r="N6534" s="0" t="n">
        <v>16</v>
      </c>
      <c r="O6534" s="0" t="n">
        <v>59.2</v>
      </c>
      <c r="P6534" s="0" t="s">
        <v>2444</v>
      </c>
    </row>
    <row r="6535" customFormat="false" ht="15" hidden="false" customHeight="true" outlineLevel="0" collapsed="false">
      <c r="A6535" s="0" t="n">
        <v>2</v>
      </c>
      <c r="B6535" s="71" t="n">
        <v>46252</v>
      </c>
      <c r="C6535" s="0" t="n">
        <v>11</v>
      </c>
      <c r="D6535" s="0" t="s">
        <v>2471</v>
      </c>
      <c r="E6535" s="0" t="n">
        <v>1612</v>
      </c>
      <c r="F6535" s="0" t="s">
        <v>74</v>
      </c>
      <c r="I6535" s="0" t="n">
        <v>2310769</v>
      </c>
      <c r="J6535" s="0" t="n">
        <v>34896</v>
      </c>
      <c r="K6535" s="0" t="n">
        <v>9002490247379</v>
      </c>
      <c r="L6535" s="0" t="s">
        <v>4958</v>
      </c>
      <c r="N6535" s="0" t="n">
        <v>24</v>
      </c>
      <c r="O6535" s="0" t="n">
        <v>200.64</v>
      </c>
      <c r="P6535" s="0" t="s">
        <v>2444</v>
      </c>
    </row>
    <row r="6536" customFormat="false" ht="15" hidden="false" customHeight="true" outlineLevel="0" collapsed="false">
      <c r="A6536" s="0" t="n">
        <v>2</v>
      </c>
      <c r="B6536" s="71" t="n">
        <v>46252</v>
      </c>
      <c r="C6536" s="0" t="n">
        <v>11</v>
      </c>
      <c r="D6536" s="0" t="s">
        <v>2471</v>
      </c>
      <c r="E6536" s="0" t="n">
        <v>1612</v>
      </c>
      <c r="F6536" s="0" t="s">
        <v>74</v>
      </c>
      <c r="I6536" s="0" t="n">
        <v>2310769</v>
      </c>
      <c r="J6536" s="0" t="n">
        <v>37046</v>
      </c>
      <c r="K6536" s="0" t="n">
        <v>7896098903636</v>
      </c>
      <c r="L6536" s="0" t="s">
        <v>4959</v>
      </c>
      <c r="N6536" s="0" t="n">
        <v>12</v>
      </c>
      <c r="O6536" s="0" t="n">
        <v>34.68</v>
      </c>
      <c r="P6536" s="0" t="s">
        <v>2444</v>
      </c>
    </row>
    <row r="6537" customFormat="false" ht="15" hidden="false" customHeight="true" outlineLevel="0" collapsed="false">
      <c r="A6537" s="0" t="n">
        <v>2</v>
      </c>
      <c r="B6537" s="71" t="n">
        <v>46252</v>
      </c>
      <c r="C6537" s="0" t="n">
        <v>11</v>
      </c>
      <c r="D6537" s="0" t="s">
        <v>2471</v>
      </c>
      <c r="E6537" s="0" t="n">
        <v>1612</v>
      </c>
      <c r="F6537" s="0" t="s">
        <v>74</v>
      </c>
      <c r="I6537" s="0" t="n">
        <v>2310769</v>
      </c>
      <c r="J6537" s="0" t="n">
        <v>41610</v>
      </c>
      <c r="K6537" s="0" t="n">
        <v>7896098903049</v>
      </c>
      <c r="L6537" s="0" t="s">
        <v>4960</v>
      </c>
      <c r="N6537" s="0" t="n">
        <v>12</v>
      </c>
      <c r="O6537" s="0" t="n">
        <v>70.38</v>
      </c>
      <c r="P6537" s="0" t="s">
        <v>2444</v>
      </c>
    </row>
    <row r="6538" customFormat="false" ht="15" hidden="false" customHeight="true" outlineLevel="0" collapsed="false">
      <c r="A6538" s="0" t="n">
        <v>2</v>
      </c>
      <c r="B6538" s="71" t="n">
        <v>46252</v>
      </c>
      <c r="C6538" s="0" t="n">
        <v>11</v>
      </c>
      <c r="D6538" s="0" t="s">
        <v>2471</v>
      </c>
      <c r="E6538" s="0" t="n">
        <v>1612</v>
      </c>
      <c r="F6538" s="0" t="s">
        <v>74</v>
      </c>
      <c r="I6538" s="0" t="n">
        <v>2310769</v>
      </c>
      <c r="J6538" s="0" t="n">
        <v>46521</v>
      </c>
      <c r="K6538" s="0" t="n">
        <v>7898331012761</v>
      </c>
      <c r="L6538" s="0" t="s">
        <v>4961</v>
      </c>
      <c r="N6538" s="0" t="n">
        <v>20</v>
      </c>
      <c r="O6538" s="0" t="n">
        <v>169</v>
      </c>
      <c r="P6538" s="0" t="s">
        <v>2444</v>
      </c>
    </row>
    <row r="6539" customFormat="false" ht="15" hidden="false" customHeight="true" outlineLevel="0" collapsed="false">
      <c r="A6539" s="0" t="n">
        <v>2</v>
      </c>
      <c r="B6539" s="71" t="n">
        <v>46252</v>
      </c>
      <c r="C6539" s="0" t="n">
        <v>11</v>
      </c>
      <c r="D6539" s="0" t="s">
        <v>2471</v>
      </c>
      <c r="E6539" s="0" t="n">
        <v>1612</v>
      </c>
      <c r="F6539" s="0" t="s">
        <v>74</v>
      </c>
      <c r="I6539" s="0" t="n">
        <v>2310769</v>
      </c>
      <c r="J6539" s="0" t="n">
        <v>46785</v>
      </c>
      <c r="K6539" s="0" t="n">
        <v>7898331012969</v>
      </c>
      <c r="L6539" s="0" t="s">
        <v>4962</v>
      </c>
      <c r="N6539" s="0" t="n">
        <v>20</v>
      </c>
      <c r="O6539" s="0" t="n">
        <v>169</v>
      </c>
      <c r="P6539" s="0" t="s">
        <v>2444</v>
      </c>
    </row>
    <row r="6540" customFormat="false" ht="15" hidden="false" customHeight="true" outlineLevel="0" collapsed="false">
      <c r="A6540" s="0" t="n">
        <v>2</v>
      </c>
      <c r="B6540" s="71" t="n">
        <v>46252</v>
      </c>
      <c r="C6540" s="0" t="n">
        <v>11</v>
      </c>
      <c r="D6540" s="0" t="s">
        <v>2471</v>
      </c>
      <c r="E6540" s="0" t="n">
        <v>1612</v>
      </c>
      <c r="F6540" s="0" t="s">
        <v>74</v>
      </c>
      <c r="I6540" s="0" t="n">
        <v>2310769</v>
      </c>
      <c r="J6540" s="0" t="n">
        <v>50266</v>
      </c>
      <c r="K6540" s="0" t="n">
        <v>7898024397625</v>
      </c>
      <c r="L6540" s="0" t="s">
        <v>4963</v>
      </c>
      <c r="N6540" s="0" t="n">
        <v>6</v>
      </c>
      <c r="O6540" s="0" t="n">
        <v>91.53</v>
      </c>
      <c r="P6540" s="0" t="s">
        <v>2444</v>
      </c>
    </row>
    <row r="6541" customFormat="false" ht="15" hidden="false" customHeight="true" outlineLevel="0" collapsed="false">
      <c r="A6541" s="0" t="n">
        <v>2</v>
      </c>
      <c r="B6541" s="71" t="n">
        <v>46252</v>
      </c>
      <c r="C6541" s="0" t="n">
        <v>11</v>
      </c>
      <c r="D6541" s="0" t="s">
        <v>2471</v>
      </c>
      <c r="E6541" s="0" t="n">
        <v>1612</v>
      </c>
      <c r="F6541" s="0" t="s">
        <v>74</v>
      </c>
      <c r="I6541" s="0" t="n">
        <v>2310769</v>
      </c>
      <c r="J6541" s="0" t="n">
        <v>51492</v>
      </c>
      <c r="K6541" s="0" t="n">
        <v>9002490258825</v>
      </c>
      <c r="L6541" s="0" t="s">
        <v>4964</v>
      </c>
      <c r="N6541" s="0" t="n">
        <v>24</v>
      </c>
      <c r="O6541" s="0" t="n">
        <v>200.64</v>
      </c>
      <c r="P6541" s="0" t="s">
        <v>2444</v>
      </c>
    </row>
    <row r="6542" customFormat="false" ht="15" hidden="false" customHeight="true" outlineLevel="0" collapsed="false">
      <c r="A6542" s="0" t="n">
        <v>2</v>
      </c>
      <c r="B6542" s="71" t="n">
        <v>46252</v>
      </c>
      <c r="C6542" s="0" t="n">
        <v>11</v>
      </c>
      <c r="D6542" s="0" t="s">
        <v>2471</v>
      </c>
      <c r="E6542" s="0" t="n">
        <v>1612</v>
      </c>
      <c r="F6542" s="0" t="s">
        <v>74</v>
      </c>
      <c r="I6542" s="0" t="n">
        <v>2310769</v>
      </c>
      <c r="J6542" s="0" t="n">
        <v>56744</v>
      </c>
      <c r="K6542" s="0" t="n">
        <v>7898331012655</v>
      </c>
      <c r="L6542" s="0" t="s">
        <v>4965</v>
      </c>
      <c r="N6542" s="0" t="n">
        <v>12</v>
      </c>
      <c r="O6542" s="0" t="n">
        <v>74.16</v>
      </c>
      <c r="P6542" s="0" t="s">
        <v>2444</v>
      </c>
    </row>
    <row r="6543" customFormat="false" ht="15" hidden="false" customHeight="true" outlineLevel="0" collapsed="false">
      <c r="A6543" s="0" t="n">
        <v>2</v>
      </c>
      <c r="B6543" s="71" t="n">
        <v>46252</v>
      </c>
      <c r="C6543" s="0" t="n">
        <v>11</v>
      </c>
      <c r="D6543" s="0" t="s">
        <v>2471</v>
      </c>
      <c r="E6543" s="0" t="n">
        <v>1612</v>
      </c>
      <c r="F6543" s="0" t="s">
        <v>74</v>
      </c>
      <c r="I6543" s="0" t="n">
        <v>2310769</v>
      </c>
      <c r="J6543" s="0" t="n">
        <v>61652</v>
      </c>
      <c r="K6543" s="0" t="n">
        <v>7896003739671</v>
      </c>
      <c r="L6543" s="0" t="s">
        <v>4966</v>
      </c>
      <c r="N6543" s="0" t="n">
        <v>12</v>
      </c>
      <c r="O6543" s="0" t="n">
        <v>44.4</v>
      </c>
      <c r="P6543" s="0" t="s">
        <v>2444</v>
      </c>
    </row>
    <row r="6544" customFormat="false" ht="15" hidden="false" customHeight="true" outlineLevel="0" collapsed="false">
      <c r="A6544" s="0" t="n">
        <v>2</v>
      </c>
      <c r="B6544" s="71" t="n">
        <v>46252</v>
      </c>
      <c r="C6544" s="0" t="n">
        <v>11</v>
      </c>
      <c r="D6544" s="0" t="s">
        <v>2471</v>
      </c>
      <c r="E6544" s="0" t="n">
        <v>1612</v>
      </c>
      <c r="F6544" s="0" t="s">
        <v>74</v>
      </c>
      <c r="I6544" s="0" t="n">
        <v>2310769</v>
      </c>
      <c r="J6544" s="0" t="n">
        <v>61992</v>
      </c>
      <c r="K6544" s="0" t="n">
        <v>7896003739466</v>
      </c>
      <c r="L6544" s="0" t="s">
        <v>4967</v>
      </c>
      <c r="N6544" s="0" t="n">
        <v>12</v>
      </c>
      <c r="O6544" s="0" t="n">
        <v>46.62</v>
      </c>
      <c r="P6544" s="0" t="s">
        <v>2444</v>
      </c>
    </row>
    <row r="6545" customFormat="false" ht="15" hidden="false" customHeight="true" outlineLevel="0" collapsed="false">
      <c r="A6545" s="0" t="n">
        <v>2</v>
      </c>
      <c r="B6545" s="71" t="n">
        <v>46252</v>
      </c>
      <c r="C6545" s="0" t="n">
        <v>11</v>
      </c>
      <c r="D6545" s="0" t="s">
        <v>2471</v>
      </c>
      <c r="E6545" s="0" t="n">
        <v>1612</v>
      </c>
      <c r="F6545" s="0" t="s">
        <v>74</v>
      </c>
      <c r="I6545" s="0" t="n">
        <v>2310769</v>
      </c>
      <c r="J6545" s="0" t="n">
        <v>63125</v>
      </c>
      <c r="K6545" s="0" t="n">
        <v>7896003739459</v>
      </c>
      <c r="L6545" s="0" t="s">
        <v>4968</v>
      </c>
      <c r="N6545" s="0" t="n">
        <v>12</v>
      </c>
      <c r="O6545" s="0" t="n">
        <v>44.4</v>
      </c>
      <c r="P6545" s="0" t="s">
        <v>2444</v>
      </c>
    </row>
    <row r="6546" customFormat="false" ht="15" hidden="false" customHeight="true" outlineLevel="0" collapsed="false">
      <c r="A6546" s="0" t="n">
        <v>2</v>
      </c>
      <c r="B6546" s="71" t="n">
        <v>46252</v>
      </c>
      <c r="C6546" s="0" t="n">
        <v>11</v>
      </c>
      <c r="D6546" s="0" t="s">
        <v>2471</v>
      </c>
      <c r="E6546" s="0" t="n">
        <v>1612</v>
      </c>
      <c r="F6546" s="0" t="s">
        <v>74</v>
      </c>
      <c r="I6546" s="0" t="n">
        <v>2310769</v>
      </c>
      <c r="J6546" s="0" t="n">
        <v>63787</v>
      </c>
      <c r="K6546" s="0" t="n">
        <v>7896003739428</v>
      </c>
      <c r="L6546" s="0" t="s">
        <v>4969</v>
      </c>
      <c r="N6546" s="0" t="n">
        <v>12</v>
      </c>
      <c r="O6546" s="0" t="n">
        <v>44.4</v>
      </c>
      <c r="P6546" s="0" t="s">
        <v>2444</v>
      </c>
    </row>
    <row r="6547" customFormat="false" ht="15" hidden="false" customHeight="true" outlineLevel="0" collapsed="false">
      <c r="A6547" s="0" t="n">
        <v>2</v>
      </c>
      <c r="B6547" s="71" t="n">
        <v>46252</v>
      </c>
      <c r="C6547" s="0" t="n">
        <v>11</v>
      </c>
      <c r="D6547" s="0" t="s">
        <v>2471</v>
      </c>
      <c r="E6547" s="0" t="n">
        <v>1612</v>
      </c>
      <c r="F6547" s="0" t="s">
        <v>74</v>
      </c>
      <c r="I6547" s="0" t="n">
        <v>2310769</v>
      </c>
      <c r="J6547" s="0" t="n">
        <v>63798</v>
      </c>
      <c r="K6547" s="0" t="n">
        <v>7896003739664</v>
      </c>
      <c r="L6547" s="0" t="s">
        <v>4970</v>
      </c>
      <c r="N6547" s="0" t="n">
        <v>12</v>
      </c>
      <c r="O6547" s="0" t="n">
        <v>44.4</v>
      </c>
      <c r="P6547" s="0" t="s">
        <v>2444</v>
      </c>
    </row>
    <row r="6548" customFormat="false" ht="15" hidden="false" customHeight="true" outlineLevel="0" collapsed="false">
      <c r="A6548" s="0" t="n">
        <v>2</v>
      </c>
      <c r="B6548" s="71" t="n">
        <v>46252</v>
      </c>
      <c r="C6548" s="0" t="n">
        <v>11</v>
      </c>
      <c r="D6548" s="0" t="s">
        <v>2471</v>
      </c>
      <c r="E6548" s="0" t="n">
        <v>1612</v>
      </c>
      <c r="F6548" s="0" t="s">
        <v>74</v>
      </c>
      <c r="I6548" s="0" t="n">
        <v>2310769</v>
      </c>
      <c r="J6548" s="0" t="n">
        <v>64200</v>
      </c>
      <c r="K6548" s="0" t="n">
        <v>7896003739367</v>
      </c>
      <c r="L6548" s="0" t="s">
        <v>3951</v>
      </c>
      <c r="N6548" s="0" t="n">
        <v>12</v>
      </c>
      <c r="O6548" s="0" t="n">
        <v>60</v>
      </c>
      <c r="P6548" s="0" t="s">
        <v>2444</v>
      </c>
    </row>
    <row r="6549" customFormat="false" ht="15" hidden="false" customHeight="true" outlineLevel="0" collapsed="false">
      <c r="A6549" s="0" t="n">
        <v>2</v>
      </c>
      <c r="B6549" s="71" t="n">
        <v>46252</v>
      </c>
      <c r="C6549" s="0" t="n">
        <v>11</v>
      </c>
      <c r="D6549" s="0" t="s">
        <v>2471</v>
      </c>
      <c r="E6549" s="0" t="n">
        <v>1612</v>
      </c>
      <c r="F6549" s="0" t="s">
        <v>74</v>
      </c>
      <c r="I6549" s="0" t="n">
        <v>2310769</v>
      </c>
      <c r="J6549" s="0" t="n">
        <v>69781</v>
      </c>
      <c r="K6549" s="0" t="n">
        <v>9002490275013</v>
      </c>
      <c r="L6549" s="0" t="s">
        <v>4971</v>
      </c>
      <c r="N6549" s="0" t="n">
        <v>24</v>
      </c>
      <c r="O6549" s="0" t="n">
        <v>200.64</v>
      </c>
      <c r="P6549" s="0" t="s">
        <v>2444</v>
      </c>
    </row>
    <row r="6550" customFormat="false" ht="15" hidden="false" customHeight="true" outlineLevel="0" collapsed="false">
      <c r="A6550" s="0" t="n">
        <v>2</v>
      </c>
      <c r="B6550" s="71" t="n">
        <v>46252</v>
      </c>
      <c r="C6550" s="0" t="n">
        <v>11</v>
      </c>
      <c r="D6550" s="0" t="s">
        <v>2471</v>
      </c>
      <c r="E6550" s="0" t="n">
        <v>1612</v>
      </c>
      <c r="F6550" s="0" t="s">
        <v>74</v>
      </c>
      <c r="I6550" s="0" t="n">
        <v>2310769</v>
      </c>
      <c r="J6550" s="0" t="n">
        <v>78209</v>
      </c>
      <c r="K6550" s="0" t="n">
        <v>611269991000</v>
      </c>
      <c r="L6550" s="0" t="s">
        <v>3959</v>
      </c>
      <c r="N6550" s="0" t="n">
        <v>24</v>
      </c>
      <c r="O6550" s="0" t="n">
        <v>200.64</v>
      </c>
      <c r="P6550" s="0" t="s">
        <v>2444</v>
      </c>
    </row>
    <row r="6551" customFormat="false" ht="15" hidden="false" customHeight="true" outlineLevel="0" collapsed="false">
      <c r="A6551" s="0" t="n">
        <v>2</v>
      </c>
      <c r="B6551" s="71" t="n">
        <v>46252</v>
      </c>
      <c r="C6551" s="0" t="n">
        <v>11</v>
      </c>
      <c r="D6551" s="0" t="s">
        <v>2471</v>
      </c>
      <c r="E6551" s="0" t="n">
        <v>1612</v>
      </c>
      <c r="F6551" s="0" t="s">
        <v>74</v>
      </c>
      <c r="I6551" s="0" t="n">
        <v>2310769</v>
      </c>
      <c r="J6551" s="0" t="n">
        <v>82075</v>
      </c>
      <c r="K6551" s="0" t="n">
        <v>7896003739589</v>
      </c>
      <c r="L6551" s="0" t="s">
        <v>4972</v>
      </c>
      <c r="N6551" s="0" t="n">
        <v>12</v>
      </c>
      <c r="O6551" s="0" t="n">
        <v>87.84</v>
      </c>
      <c r="P6551" s="0" t="s">
        <v>2444</v>
      </c>
    </row>
    <row r="6552" customFormat="false" ht="15" hidden="false" customHeight="true" outlineLevel="0" collapsed="false">
      <c r="A6552" s="0" t="n">
        <v>2</v>
      </c>
      <c r="B6552" s="71" t="n">
        <v>46252</v>
      </c>
      <c r="C6552" s="0" t="n">
        <v>171</v>
      </c>
      <c r="D6552" s="0" t="s">
        <v>3017</v>
      </c>
      <c r="E6552" s="0" t="n">
        <v>1671</v>
      </c>
      <c r="F6552" s="0" t="s">
        <v>119</v>
      </c>
      <c r="I6552" s="0" t="n">
        <v>586414</v>
      </c>
      <c r="J6552" s="0" t="n">
        <v>70986</v>
      </c>
      <c r="K6552" s="0" t="n">
        <v>7908228804383</v>
      </c>
      <c r="L6552" s="0" t="s">
        <v>4973</v>
      </c>
      <c r="N6552" s="0" t="n">
        <v>10</v>
      </c>
      <c r="O6552" s="0" t="n">
        <v>27.4</v>
      </c>
      <c r="P6552" s="0" t="s">
        <v>3019</v>
      </c>
    </row>
    <row r="6553" customFormat="false" ht="15" hidden="false" customHeight="true" outlineLevel="0" collapsed="false">
      <c r="A6553" s="0" t="n">
        <v>2</v>
      </c>
      <c r="B6553" s="71" t="n">
        <v>46253</v>
      </c>
      <c r="C6553" s="0" t="n">
        <v>6</v>
      </c>
      <c r="D6553" s="0" t="s">
        <v>2553</v>
      </c>
      <c r="E6553" s="0" t="n">
        <v>48</v>
      </c>
      <c r="F6553" s="0" t="s">
        <v>153</v>
      </c>
      <c r="I6553" s="0" t="n">
        <v>2612</v>
      </c>
      <c r="J6553" s="0" t="n">
        <v>42564</v>
      </c>
      <c r="K6553" s="0" t="n">
        <v>574</v>
      </c>
      <c r="L6553" s="0" t="s">
        <v>2534</v>
      </c>
      <c r="N6553" s="0" t="n">
        <v>15</v>
      </c>
      <c r="O6553" s="0" t="n">
        <v>225</v>
      </c>
      <c r="P6553" s="0" t="s">
        <v>2444</v>
      </c>
    </row>
    <row r="6554" customFormat="false" ht="15" hidden="false" customHeight="true" outlineLevel="0" collapsed="false">
      <c r="A6554" s="0" t="n">
        <v>2</v>
      </c>
      <c r="B6554" s="71" t="n">
        <v>46253</v>
      </c>
      <c r="C6554" s="0" t="n">
        <v>11</v>
      </c>
      <c r="D6554" s="0" t="s">
        <v>2471</v>
      </c>
      <c r="E6554" s="0" t="n">
        <v>1635</v>
      </c>
      <c r="F6554" s="0" t="s">
        <v>128</v>
      </c>
      <c r="I6554" s="0" t="n">
        <v>3745</v>
      </c>
      <c r="J6554" s="0" t="n">
        <v>100035</v>
      </c>
      <c r="K6554" s="0" t="n">
        <v>36</v>
      </c>
      <c r="L6554" s="0" t="s">
        <v>2717</v>
      </c>
      <c r="N6554" s="0" t="n">
        <v>180</v>
      </c>
      <c r="O6554" s="0" t="n">
        <v>1276.2</v>
      </c>
      <c r="P6554" s="0" t="s">
        <v>2444</v>
      </c>
    </row>
    <row r="6555" customFormat="false" ht="15" hidden="false" customHeight="true" outlineLevel="0" collapsed="false">
      <c r="A6555" s="0" t="n">
        <v>2</v>
      </c>
      <c r="B6555" s="71" t="n">
        <v>46253</v>
      </c>
      <c r="C6555" s="0" t="n">
        <v>11</v>
      </c>
      <c r="D6555" s="0" t="s">
        <v>2471</v>
      </c>
      <c r="E6555" s="0" t="n">
        <v>1723</v>
      </c>
      <c r="F6555" s="0" t="s">
        <v>371</v>
      </c>
      <c r="I6555" s="0" t="n">
        <v>175038</v>
      </c>
      <c r="J6555" s="0" t="n">
        <v>29079</v>
      </c>
      <c r="K6555" s="0" t="n">
        <v>55515</v>
      </c>
      <c r="L6555" s="0" t="s">
        <v>2449</v>
      </c>
      <c r="N6555" s="0" t="n">
        <v>70.75</v>
      </c>
      <c r="O6555" s="0" t="n">
        <v>2334.75</v>
      </c>
      <c r="P6555" s="0" t="s">
        <v>2444</v>
      </c>
    </row>
    <row r="6556" customFormat="false" ht="15" hidden="false" customHeight="true" outlineLevel="0" collapsed="false">
      <c r="A6556" s="0" t="n">
        <v>2</v>
      </c>
      <c r="B6556" s="71" t="n">
        <v>46253</v>
      </c>
      <c r="C6556" s="0" t="n">
        <v>11</v>
      </c>
      <c r="D6556" s="0" t="s">
        <v>2471</v>
      </c>
      <c r="E6556" s="0" t="n">
        <v>1708</v>
      </c>
      <c r="F6556" s="0" t="s">
        <v>275</v>
      </c>
      <c r="I6556" s="0" t="n">
        <v>265359</v>
      </c>
      <c r="J6556" s="0" t="n">
        <v>109310</v>
      </c>
      <c r="K6556" s="0" t="n">
        <v>7896058500189</v>
      </c>
      <c r="L6556" s="0" t="s">
        <v>4974</v>
      </c>
      <c r="N6556" s="0" t="n">
        <v>48</v>
      </c>
      <c r="O6556" s="0" t="n">
        <v>85.74</v>
      </c>
      <c r="P6556" s="0" t="s">
        <v>2444</v>
      </c>
    </row>
    <row r="6557" customFormat="false" ht="15" hidden="false" customHeight="true" outlineLevel="0" collapsed="false">
      <c r="A6557" s="0" t="n">
        <v>2</v>
      </c>
      <c r="B6557" s="71" t="n">
        <v>46253</v>
      </c>
      <c r="C6557" s="0" t="n">
        <v>11</v>
      </c>
      <c r="D6557" s="0" t="s">
        <v>2471</v>
      </c>
      <c r="E6557" s="0" t="n">
        <v>1708</v>
      </c>
      <c r="F6557" s="0" t="s">
        <v>275</v>
      </c>
      <c r="I6557" s="0" t="n">
        <v>265359</v>
      </c>
      <c r="J6557" s="0" t="n">
        <v>109491</v>
      </c>
      <c r="K6557" s="0" t="n">
        <v>7896058500110</v>
      </c>
      <c r="L6557" s="0" t="s">
        <v>3998</v>
      </c>
      <c r="N6557" s="0" t="n">
        <v>72</v>
      </c>
      <c r="O6557" s="0" t="n">
        <v>73.86</v>
      </c>
      <c r="P6557" s="0" t="s">
        <v>2444</v>
      </c>
    </row>
    <row r="6558" customFormat="false" ht="15" hidden="false" customHeight="true" outlineLevel="0" collapsed="false">
      <c r="A6558" s="0" t="n">
        <v>2</v>
      </c>
      <c r="B6558" s="71" t="n">
        <v>46253</v>
      </c>
      <c r="C6558" s="0" t="n">
        <v>11</v>
      </c>
      <c r="D6558" s="0" t="s">
        <v>2471</v>
      </c>
      <c r="E6558" s="0" t="n">
        <v>1708</v>
      </c>
      <c r="F6558" s="0" t="s">
        <v>275</v>
      </c>
      <c r="I6558" s="0" t="n">
        <v>265359</v>
      </c>
      <c r="J6558" s="0" t="n">
        <v>20666</v>
      </c>
      <c r="K6558" s="0" t="n">
        <v>7896321000552</v>
      </c>
      <c r="L6558" s="0" t="s">
        <v>3242</v>
      </c>
      <c r="N6558" s="0" t="n">
        <v>10</v>
      </c>
      <c r="O6558" s="0" t="n">
        <v>108.5</v>
      </c>
      <c r="P6558" s="0" t="s">
        <v>2444</v>
      </c>
    </row>
    <row r="6559" customFormat="false" ht="15" hidden="false" customHeight="true" outlineLevel="0" collapsed="false">
      <c r="A6559" s="0" t="n">
        <v>2</v>
      </c>
      <c r="B6559" s="71" t="n">
        <v>46253</v>
      </c>
      <c r="C6559" s="0" t="n">
        <v>11</v>
      </c>
      <c r="D6559" s="0" t="s">
        <v>2471</v>
      </c>
      <c r="E6559" s="0" t="n">
        <v>1708</v>
      </c>
      <c r="F6559" s="0" t="s">
        <v>275</v>
      </c>
      <c r="I6559" s="0" t="n">
        <v>265359</v>
      </c>
      <c r="J6559" s="0" t="n">
        <v>20667</v>
      </c>
      <c r="K6559" s="0" t="n">
        <v>7896321000057</v>
      </c>
      <c r="L6559" s="0" t="s">
        <v>4975</v>
      </c>
      <c r="N6559" s="0" t="n">
        <v>5</v>
      </c>
      <c r="O6559" s="0" t="n">
        <v>54.25</v>
      </c>
      <c r="P6559" s="0" t="s">
        <v>2444</v>
      </c>
    </row>
    <row r="6560" customFormat="false" ht="15" hidden="false" customHeight="true" outlineLevel="0" collapsed="false">
      <c r="A6560" s="0" t="n">
        <v>2</v>
      </c>
      <c r="B6560" s="71" t="n">
        <v>46253</v>
      </c>
      <c r="C6560" s="0" t="n">
        <v>11</v>
      </c>
      <c r="D6560" s="0" t="s">
        <v>2471</v>
      </c>
      <c r="E6560" s="0" t="n">
        <v>1708</v>
      </c>
      <c r="F6560" s="0" t="s">
        <v>275</v>
      </c>
      <c r="I6560" s="0" t="n">
        <v>265359</v>
      </c>
      <c r="J6560" s="0" t="n">
        <v>32577</v>
      </c>
      <c r="K6560" s="0" t="n">
        <v>7896043351314</v>
      </c>
      <c r="L6560" s="0" t="s">
        <v>3246</v>
      </c>
      <c r="N6560" s="0" t="n">
        <v>24</v>
      </c>
      <c r="O6560" s="0" t="n">
        <v>204</v>
      </c>
      <c r="P6560" s="0" t="s">
        <v>2444</v>
      </c>
    </row>
    <row r="6561" customFormat="false" ht="15" hidden="false" customHeight="true" outlineLevel="0" collapsed="false">
      <c r="A6561" s="0" t="n">
        <v>2</v>
      </c>
      <c r="B6561" s="71" t="n">
        <v>46253</v>
      </c>
      <c r="C6561" s="0" t="n">
        <v>11</v>
      </c>
      <c r="D6561" s="0" t="s">
        <v>2471</v>
      </c>
      <c r="E6561" s="0" t="n">
        <v>1708</v>
      </c>
      <c r="F6561" s="0" t="s">
        <v>275</v>
      </c>
      <c r="I6561" s="0" t="n">
        <v>265359</v>
      </c>
      <c r="J6561" s="0" t="n">
        <v>36892</v>
      </c>
      <c r="K6561" s="0" t="n">
        <v>7896058506099</v>
      </c>
      <c r="L6561" s="0" t="s">
        <v>4976</v>
      </c>
      <c r="N6561" s="0" t="n">
        <v>60</v>
      </c>
      <c r="O6561" s="0" t="n">
        <v>45.33</v>
      </c>
      <c r="P6561" s="0" t="s">
        <v>2444</v>
      </c>
    </row>
    <row r="6562" customFormat="false" ht="15" hidden="false" customHeight="true" outlineLevel="0" collapsed="false">
      <c r="A6562" s="0" t="n">
        <v>2</v>
      </c>
      <c r="B6562" s="71" t="n">
        <v>46253</v>
      </c>
      <c r="C6562" s="0" t="n">
        <v>11</v>
      </c>
      <c r="D6562" s="0" t="s">
        <v>2471</v>
      </c>
      <c r="E6562" s="0" t="n">
        <v>1708</v>
      </c>
      <c r="F6562" s="0" t="s">
        <v>275</v>
      </c>
      <c r="I6562" s="0" t="n">
        <v>265359</v>
      </c>
      <c r="J6562" s="0" t="n">
        <v>37867</v>
      </c>
      <c r="K6562" s="0" t="n">
        <v>7896383000590</v>
      </c>
      <c r="L6562" s="0" t="s">
        <v>3247</v>
      </c>
      <c r="N6562" s="0" t="n">
        <v>300</v>
      </c>
      <c r="O6562" s="0" t="n">
        <v>136.43</v>
      </c>
      <c r="P6562" s="0" t="s">
        <v>2444</v>
      </c>
    </row>
    <row r="6563" customFormat="false" ht="15" hidden="false" customHeight="true" outlineLevel="0" collapsed="false">
      <c r="A6563" s="0" t="n">
        <v>2</v>
      </c>
      <c r="B6563" s="71" t="n">
        <v>46253</v>
      </c>
      <c r="C6563" s="0" t="n">
        <v>11</v>
      </c>
      <c r="D6563" s="0" t="s">
        <v>2471</v>
      </c>
      <c r="E6563" s="0" t="n">
        <v>1708</v>
      </c>
      <c r="F6563" s="0" t="s">
        <v>275</v>
      </c>
      <c r="I6563" s="0" t="n">
        <v>265359</v>
      </c>
      <c r="J6563" s="0" t="n">
        <v>38518</v>
      </c>
      <c r="K6563" s="0" t="n">
        <v>7896306610998</v>
      </c>
      <c r="L6563" s="0" t="s">
        <v>4977</v>
      </c>
      <c r="N6563" s="0" t="n">
        <v>2</v>
      </c>
      <c r="O6563" s="0" t="n">
        <v>30.13</v>
      </c>
      <c r="P6563" s="0" t="s">
        <v>2444</v>
      </c>
    </row>
    <row r="6564" customFormat="false" ht="15" hidden="false" customHeight="true" outlineLevel="0" collapsed="false">
      <c r="A6564" s="0" t="n">
        <v>2</v>
      </c>
      <c r="B6564" s="71" t="n">
        <v>46253</v>
      </c>
      <c r="C6564" s="0" t="n">
        <v>11</v>
      </c>
      <c r="D6564" s="0" t="s">
        <v>2471</v>
      </c>
      <c r="E6564" s="0" t="n">
        <v>1708</v>
      </c>
      <c r="F6564" s="0" t="s">
        <v>275</v>
      </c>
      <c r="I6564" s="0" t="n">
        <v>265359</v>
      </c>
      <c r="J6564" s="0" t="n">
        <v>38694</v>
      </c>
      <c r="K6564" s="0" t="n">
        <v>7896306610981</v>
      </c>
      <c r="L6564" s="0" t="s">
        <v>4978</v>
      </c>
      <c r="N6564" s="0" t="n">
        <v>2</v>
      </c>
      <c r="O6564" s="0" t="n">
        <v>30.13</v>
      </c>
      <c r="P6564" s="0" t="s">
        <v>2444</v>
      </c>
    </row>
    <row r="6565" customFormat="false" ht="15" hidden="false" customHeight="true" outlineLevel="0" collapsed="false">
      <c r="A6565" s="0" t="n">
        <v>2</v>
      </c>
      <c r="B6565" s="71" t="n">
        <v>46253</v>
      </c>
      <c r="C6565" s="0" t="n">
        <v>11</v>
      </c>
      <c r="D6565" s="0" t="s">
        <v>2471</v>
      </c>
      <c r="E6565" s="0" t="n">
        <v>1708</v>
      </c>
      <c r="F6565" s="0" t="s">
        <v>275</v>
      </c>
      <c r="I6565" s="0" t="n">
        <v>265359</v>
      </c>
      <c r="J6565" s="0" t="n">
        <v>38696</v>
      </c>
      <c r="K6565" s="0" t="n">
        <v>7896306610974</v>
      </c>
      <c r="L6565" s="0" t="s">
        <v>4979</v>
      </c>
      <c r="N6565" s="0" t="n">
        <v>2</v>
      </c>
      <c r="O6565" s="0" t="n">
        <v>30.13</v>
      </c>
      <c r="P6565" s="0" t="s">
        <v>2444</v>
      </c>
    </row>
    <row r="6566" customFormat="false" ht="15" hidden="false" customHeight="true" outlineLevel="0" collapsed="false">
      <c r="A6566" s="0" t="n">
        <v>2</v>
      </c>
      <c r="B6566" s="71" t="n">
        <v>46253</v>
      </c>
      <c r="C6566" s="0" t="n">
        <v>11</v>
      </c>
      <c r="D6566" s="0" t="s">
        <v>2471</v>
      </c>
      <c r="E6566" s="0" t="n">
        <v>1708</v>
      </c>
      <c r="F6566" s="0" t="s">
        <v>275</v>
      </c>
      <c r="I6566" s="0" t="n">
        <v>265359</v>
      </c>
      <c r="J6566" s="0" t="n">
        <v>45045</v>
      </c>
      <c r="K6566" s="0" t="n">
        <v>7896306615313</v>
      </c>
      <c r="L6566" s="0" t="s">
        <v>4007</v>
      </c>
      <c r="N6566" s="0" t="n">
        <v>2</v>
      </c>
      <c r="O6566" s="0" t="n">
        <v>30.13</v>
      </c>
      <c r="P6566" s="0" t="s">
        <v>2444</v>
      </c>
    </row>
    <row r="6567" customFormat="false" ht="15" hidden="false" customHeight="true" outlineLevel="0" collapsed="false">
      <c r="A6567" s="0" t="n">
        <v>2</v>
      </c>
      <c r="B6567" s="71" t="n">
        <v>46253</v>
      </c>
      <c r="C6567" s="0" t="n">
        <v>11</v>
      </c>
      <c r="D6567" s="0" t="s">
        <v>2471</v>
      </c>
      <c r="E6567" s="0" t="n">
        <v>1708</v>
      </c>
      <c r="F6567" s="0" t="s">
        <v>275</v>
      </c>
      <c r="I6567" s="0" t="n">
        <v>265359</v>
      </c>
      <c r="J6567" s="0" t="n">
        <v>45059</v>
      </c>
      <c r="K6567" s="0" t="n">
        <v>7896202891866</v>
      </c>
      <c r="L6567" s="0" t="s">
        <v>4980</v>
      </c>
      <c r="N6567" s="0" t="n">
        <v>250</v>
      </c>
      <c r="O6567" s="0" t="n">
        <v>111.38</v>
      </c>
      <c r="P6567" s="0" t="s">
        <v>2444</v>
      </c>
    </row>
    <row r="6568" customFormat="false" ht="15" hidden="false" customHeight="true" outlineLevel="0" collapsed="false">
      <c r="A6568" s="0" t="n">
        <v>2</v>
      </c>
      <c r="B6568" s="71" t="n">
        <v>46253</v>
      </c>
      <c r="C6568" s="0" t="n">
        <v>11</v>
      </c>
      <c r="D6568" s="0" t="s">
        <v>2471</v>
      </c>
      <c r="E6568" s="0" t="n">
        <v>1708</v>
      </c>
      <c r="F6568" s="0" t="s">
        <v>275</v>
      </c>
      <c r="I6568" s="0" t="n">
        <v>265359</v>
      </c>
      <c r="J6568" s="0" t="n">
        <v>47249</v>
      </c>
      <c r="K6568" s="0" t="n">
        <v>7896306623943</v>
      </c>
      <c r="L6568" s="0" t="s">
        <v>4981</v>
      </c>
      <c r="N6568" s="0" t="n">
        <v>3</v>
      </c>
      <c r="O6568" s="0" t="n">
        <v>36.83</v>
      </c>
      <c r="P6568" s="0" t="s">
        <v>2444</v>
      </c>
    </row>
    <row r="6569" customFormat="false" ht="15" hidden="false" customHeight="true" outlineLevel="0" collapsed="false">
      <c r="A6569" s="0" t="n">
        <v>2</v>
      </c>
      <c r="B6569" s="71" t="n">
        <v>46253</v>
      </c>
      <c r="C6569" s="0" t="n">
        <v>11</v>
      </c>
      <c r="D6569" s="0" t="s">
        <v>2471</v>
      </c>
      <c r="E6569" s="0" t="n">
        <v>1708</v>
      </c>
      <c r="F6569" s="0" t="s">
        <v>275</v>
      </c>
      <c r="I6569" s="0" t="n">
        <v>265359</v>
      </c>
      <c r="J6569" s="0" t="n">
        <v>48945</v>
      </c>
      <c r="K6569" s="0" t="n">
        <v>7896306620041</v>
      </c>
      <c r="L6569" s="0" t="s">
        <v>4982</v>
      </c>
      <c r="N6569" s="0" t="n">
        <v>3</v>
      </c>
      <c r="O6569" s="0" t="n">
        <v>38.41</v>
      </c>
      <c r="P6569" s="0" t="s">
        <v>2444</v>
      </c>
    </row>
    <row r="6570" customFormat="false" ht="15" hidden="false" customHeight="true" outlineLevel="0" collapsed="false">
      <c r="A6570" s="0" t="n">
        <v>2</v>
      </c>
      <c r="B6570" s="71" t="n">
        <v>46253</v>
      </c>
      <c r="C6570" s="0" t="n">
        <v>11</v>
      </c>
      <c r="D6570" s="0" t="s">
        <v>2471</v>
      </c>
      <c r="E6570" s="0" t="n">
        <v>1708</v>
      </c>
      <c r="F6570" s="0" t="s">
        <v>275</v>
      </c>
      <c r="I6570" s="0" t="n">
        <v>265359</v>
      </c>
      <c r="J6570" s="0" t="n">
        <v>59556</v>
      </c>
      <c r="K6570" s="0" t="n">
        <v>7896058507423</v>
      </c>
      <c r="L6570" s="0" t="s">
        <v>4010</v>
      </c>
      <c r="N6570" s="0" t="n">
        <v>60</v>
      </c>
      <c r="O6570" s="0" t="n">
        <v>45.33</v>
      </c>
      <c r="P6570" s="0" t="s">
        <v>2444</v>
      </c>
    </row>
    <row r="6571" customFormat="false" ht="15" hidden="false" customHeight="true" outlineLevel="0" collapsed="false">
      <c r="A6571" s="0" t="n">
        <v>2</v>
      </c>
      <c r="B6571" s="71" t="n">
        <v>46253</v>
      </c>
      <c r="C6571" s="0" t="n">
        <v>11</v>
      </c>
      <c r="D6571" s="0" t="s">
        <v>2471</v>
      </c>
      <c r="E6571" s="0" t="n">
        <v>1708</v>
      </c>
      <c r="F6571" s="0" t="s">
        <v>275</v>
      </c>
      <c r="I6571" s="0" t="n">
        <v>265359</v>
      </c>
      <c r="J6571" s="0" t="n">
        <v>82122</v>
      </c>
      <c r="K6571" s="0" t="n">
        <v>7892721840347</v>
      </c>
      <c r="L6571" s="0" t="s">
        <v>4983</v>
      </c>
      <c r="N6571" s="0" t="n">
        <v>3</v>
      </c>
      <c r="O6571" s="0" t="n">
        <v>24.57</v>
      </c>
      <c r="P6571" s="0" t="s">
        <v>2444</v>
      </c>
    </row>
    <row r="6572" customFormat="false" ht="15" hidden="false" customHeight="true" outlineLevel="0" collapsed="false">
      <c r="A6572" s="0" t="n">
        <v>2</v>
      </c>
      <c r="B6572" s="71" t="n">
        <v>46253</v>
      </c>
      <c r="C6572" s="0" t="n">
        <v>11</v>
      </c>
      <c r="D6572" s="0" t="s">
        <v>2471</v>
      </c>
      <c r="E6572" s="0" t="n">
        <v>1708</v>
      </c>
      <c r="F6572" s="0" t="s">
        <v>275</v>
      </c>
      <c r="I6572" s="0" t="n">
        <v>265359</v>
      </c>
      <c r="J6572" s="0" t="n">
        <v>82123</v>
      </c>
      <c r="K6572" s="0" t="n">
        <v>7892721840323</v>
      </c>
      <c r="L6572" s="0" t="s">
        <v>4984</v>
      </c>
      <c r="N6572" s="0" t="n">
        <v>3</v>
      </c>
      <c r="O6572" s="0" t="n">
        <v>17.97</v>
      </c>
      <c r="P6572" s="0" t="s">
        <v>2444</v>
      </c>
    </row>
    <row r="6573" customFormat="false" ht="15" hidden="false" customHeight="true" outlineLevel="0" collapsed="false">
      <c r="A6573" s="0" t="n">
        <v>2</v>
      </c>
      <c r="B6573" s="71" t="n">
        <v>46253</v>
      </c>
      <c r="C6573" s="0" t="n">
        <v>11</v>
      </c>
      <c r="D6573" s="0" t="s">
        <v>2471</v>
      </c>
      <c r="E6573" s="0" t="n">
        <v>1708</v>
      </c>
      <c r="F6573" s="0" t="s">
        <v>275</v>
      </c>
      <c r="I6573" s="0" t="n">
        <v>265359</v>
      </c>
      <c r="J6573" s="0" t="n">
        <v>82124</v>
      </c>
      <c r="K6573" s="0" t="n">
        <v>7892721840330</v>
      </c>
      <c r="L6573" s="0" t="s">
        <v>4985</v>
      </c>
      <c r="N6573" s="0" t="n">
        <v>3</v>
      </c>
      <c r="O6573" s="0" t="n">
        <v>8.97</v>
      </c>
      <c r="P6573" s="0" t="s">
        <v>2444</v>
      </c>
    </row>
    <row r="6574" customFormat="false" ht="15" hidden="false" customHeight="true" outlineLevel="0" collapsed="false">
      <c r="A6574" s="0" t="n">
        <v>2</v>
      </c>
      <c r="B6574" s="71" t="n">
        <v>46253</v>
      </c>
      <c r="C6574" s="0" t="n">
        <v>11</v>
      </c>
      <c r="D6574" s="0" t="s">
        <v>2471</v>
      </c>
      <c r="E6574" s="0" t="n">
        <v>1708</v>
      </c>
      <c r="F6574" s="0" t="s">
        <v>275</v>
      </c>
      <c r="I6574" s="0" t="n">
        <v>265359</v>
      </c>
      <c r="J6574" s="0" t="n">
        <v>82125</v>
      </c>
      <c r="K6574" s="0" t="n">
        <v>7892721841702</v>
      </c>
      <c r="L6574" s="0" t="s">
        <v>4986</v>
      </c>
      <c r="N6574" s="0" t="n">
        <v>3</v>
      </c>
      <c r="O6574" s="0" t="n">
        <v>26.7</v>
      </c>
      <c r="P6574" s="0" t="s">
        <v>2444</v>
      </c>
    </row>
    <row r="6575" customFormat="false" ht="15" hidden="false" customHeight="true" outlineLevel="0" collapsed="false">
      <c r="A6575" s="0" t="n">
        <v>2</v>
      </c>
      <c r="B6575" s="71" t="n">
        <v>46253</v>
      </c>
      <c r="C6575" s="0" t="n">
        <v>11</v>
      </c>
      <c r="D6575" s="0" t="s">
        <v>2471</v>
      </c>
      <c r="E6575" s="0" t="n">
        <v>1708</v>
      </c>
      <c r="F6575" s="0" t="s">
        <v>275</v>
      </c>
      <c r="I6575" s="0" t="n">
        <v>265359</v>
      </c>
      <c r="J6575" s="0" t="n">
        <v>82126</v>
      </c>
      <c r="K6575" s="0" t="n">
        <v>7892721814157</v>
      </c>
      <c r="L6575" s="0" t="s">
        <v>4987</v>
      </c>
      <c r="N6575" s="0" t="n">
        <v>3</v>
      </c>
      <c r="O6575" s="0" t="n">
        <v>14.97</v>
      </c>
      <c r="P6575" s="0" t="s">
        <v>2444</v>
      </c>
    </row>
    <row r="6576" customFormat="false" ht="15" hidden="false" customHeight="true" outlineLevel="0" collapsed="false">
      <c r="A6576" s="0" t="n">
        <v>2</v>
      </c>
      <c r="B6576" s="71" t="n">
        <v>46253</v>
      </c>
      <c r="C6576" s="0" t="n">
        <v>11</v>
      </c>
      <c r="D6576" s="0" t="s">
        <v>2471</v>
      </c>
      <c r="E6576" s="0" t="n">
        <v>1708</v>
      </c>
      <c r="F6576" s="0" t="s">
        <v>275</v>
      </c>
      <c r="I6576" s="0" t="n">
        <v>265359</v>
      </c>
      <c r="J6576" s="0" t="n">
        <v>82127</v>
      </c>
      <c r="K6576" s="0" t="n">
        <v>7892721849937</v>
      </c>
      <c r="L6576" s="0" t="s">
        <v>4988</v>
      </c>
      <c r="N6576" s="0" t="n">
        <v>18</v>
      </c>
      <c r="O6576" s="0" t="n">
        <v>59.7</v>
      </c>
      <c r="P6576" s="0" t="s">
        <v>2444</v>
      </c>
    </row>
    <row r="6577" customFormat="false" ht="15" hidden="false" customHeight="true" outlineLevel="0" collapsed="false">
      <c r="A6577" s="0" t="n">
        <v>2</v>
      </c>
      <c r="B6577" s="71" t="n">
        <v>46253</v>
      </c>
      <c r="C6577" s="0" t="n">
        <v>11</v>
      </c>
      <c r="D6577" s="0" t="s">
        <v>2471</v>
      </c>
      <c r="E6577" s="0" t="n">
        <v>1708</v>
      </c>
      <c r="F6577" s="0" t="s">
        <v>275</v>
      </c>
      <c r="I6577" s="0" t="n">
        <v>265359</v>
      </c>
      <c r="J6577" s="0" t="n">
        <v>82128</v>
      </c>
      <c r="K6577" s="0" t="n">
        <v>7892721837972</v>
      </c>
      <c r="L6577" s="0" t="s">
        <v>4989</v>
      </c>
      <c r="N6577" s="0" t="n">
        <v>18</v>
      </c>
      <c r="O6577" s="0" t="n">
        <v>134.7</v>
      </c>
      <c r="P6577" s="0" t="s">
        <v>2444</v>
      </c>
    </row>
    <row r="6578" customFormat="false" ht="15" hidden="false" customHeight="true" outlineLevel="0" collapsed="false">
      <c r="A6578" s="0" t="n">
        <v>2</v>
      </c>
      <c r="B6578" s="71" t="n">
        <v>46253</v>
      </c>
      <c r="C6578" s="0" t="n">
        <v>11</v>
      </c>
      <c r="D6578" s="0" t="s">
        <v>2471</v>
      </c>
      <c r="E6578" s="0" t="n">
        <v>1708</v>
      </c>
      <c r="F6578" s="0" t="s">
        <v>275</v>
      </c>
      <c r="I6578" s="0" t="n">
        <v>265359</v>
      </c>
      <c r="J6578" s="0" t="n">
        <v>82129</v>
      </c>
      <c r="K6578" s="0" t="n">
        <v>7892721849869</v>
      </c>
      <c r="L6578" s="0" t="s">
        <v>4990</v>
      </c>
      <c r="N6578" s="0" t="n">
        <v>18</v>
      </c>
      <c r="O6578" s="0" t="n">
        <v>56.7</v>
      </c>
      <c r="P6578" s="0" t="s">
        <v>2444</v>
      </c>
    </row>
    <row r="6579" customFormat="false" ht="15" hidden="false" customHeight="true" outlineLevel="0" collapsed="false">
      <c r="A6579" s="0" t="n">
        <v>2</v>
      </c>
      <c r="B6579" s="71" t="n">
        <v>46253</v>
      </c>
      <c r="C6579" s="0" t="n">
        <v>11</v>
      </c>
      <c r="D6579" s="0" t="s">
        <v>2471</v>
      </c>
      <c r="E6579" s="0" t="n">
        <v>1708</v>
      </c>
      <c r="F6579" s="0" t="s">
        <v>275</v>
      </c>
      <c r="I6579" s="0" t="n">
        <v>265359</v>
      </c>
      <c r="J6579" s="0" t="n">
        <v>82130</v>
      </c>
      <c r="K6579" s="0" t="n">
        <v>7892721849852</v>
      </c>
      <c r="L6579" s="0" t="s">
        <v>4991</v>
      </c>
      <c r="N6579" s="0" t="n">
        <v>18</v>
      </c>
      <c r="O6579" s="0" t="n">
        <v>106.5</v>
      </c>
      <c r="P6579" s="0" t="s">
        <v>2444</v>
      </c>
    </row>
    <row r="6580" customFormat="false" ht="15" hidden="false" customHeight="true" outlineLevel="0" collapsed="false">
      <c r="A6580" s="0" t="n">
        <v>2</v>
      </c>
      <c r="B6580" s="71" t="n">
        <v>46253</v>
      </c>
      <c r="C6580" s="0" t="n">
        <v>11</v>
      </c>
      <c r="D6580" s="0" t="s">
        <v>2471</v>
      </c>
      <c r="E6580" s="0" t="n">
        <v>1708</v>
      </c>
      <c r="F6580" s="0" t="s">
        <v>275</v>
      </c>
      <c r="I6580" s="0" t="n">
        <v>265359</v>
      </c>
      <c r="J6580" s="0" t="n">
        <v>82131</v>
      </c>
      <c r="K6580" s="0" t="n">
        <v>7892721700306</v>
      </c>
      <c r="L6580" s="0" t="s">
        <v>4992</v>
      </c>
      <c r="N6580" s="0" t="n">
        <v>3</v>
      </c>
      <c r="O6580" s="0" t="n">
        <v>29.97</v>
      </c>
      <c r="P6580" s="0" t="s">
        <v>2444</v>
      </c>
    </row>
    <row r="6581" customFormat="false" ht="15" hidden="false" customHeight="true" outlineLevel="0" collapsed="false">
      <c r="A6581" s="0" t="n">
        <v>2</v>
      </c>
      <c r="B6581" s="71" t="n">
        <v>46253</v>
      </c>
      <c r="C6581" s="0" t="n">
        <v>11</v>
      </c>
      <c r="D6581" s="0" t="s">
        <v>2471</v>
      </c>
      <c r="E6581" s="0" t="n">
        <v>1708</v>
      </c>
      <c r="F6581" s="0" t="s">
        <v>275</v>
      </c>
      <c r="I6581" s="0" t="n">
        <v>265359</v>
      </c>
      <c r="J6581" s="0" t="n">
        <v>82132</v>
      </c>
      <c r="K6581" s="0" t="n">
        <v>7892721700313</v>
      </c>
      <c r="L6581" s="0" t="s">
        <v>4993</v>
      </c>
      <c r="N6581" s="0" t="n">
        <v>3</v>
      </c>
      <c r="O6581" s="0" t="n">
        <v>35.7</v>
      </c>
      <c r="P6581" s="0" t="s">
        <v>2444</v>
      </c>
    </row>
    <row r="6582" customFormat="false" ht="15" hidden="false" customHeight="true" outlineLevel="0" collapsed="false">
      <c r="A6582" s="0" t="n">
        <v>2</v>
      </c>
      <c r="B6582" s="71" t="n">
        <v>46253</v>
      </c>
      <c r="C6582" s="0" t="n">
        <v>11</v>
      </c>
      <c r="D6582" s="0" t="s">
        <v>2471</v>
      </c>
      <c r="E6582" s="0" t="n">
        <v>1708</v>
      </c>
      <c r="F6582" s="0" t="s">
        <v>275</v>
      </c>
      <c r="I6582" s="0" t="n">
        <v>265359</v>
      </c>
      <c r="J6582" s="0" t="n">
        <v>82133</v>
      </c>
      <c r="K6582" s="0" t="n">
        <v>7892721770293</v>
      </c>
      <c r="L6582" s="0" t="s">
        <v>4994</v>
      </c>
      <c r="N6582" s="0" t="n">
        <v>3</v>
      </c>
      <c r="O6582" s="0" t="n">
        <v>25.47</v>
      </c>
      <c r="P6582" s="0" t="s">
        <v>2444</v>
      </c>
    </row>
    <row r="6583" customFormat="false" ht="15" hidden="false" customHeight="true" outlineLevel="0" collapsed="false">
      <c r="A6583" s="0" t="n">
        <v>2</v>
      </c>
      <c r="B6583" s="71" t="n">
        <v>46253</v>
      </c>
      <c r="C6583" s="0" t="n">
        <v>11</v>
      </c>
      <c r="D6583" s="0" t="s">
        <v>2471</v>
      </c>
      <c r="E6583" s="0" t="n">
        <v>1708</v>
      </c>
      <c r="F6583" s="0" t="s">
        <v>275</v>
      </c>
      <c r="I6583" s="0" t="n">
        <v>265359</v>
      </c>
      <c r="J6583" s="0" t="n">
        <v>82134</v>
      </c>
      <c r="K6583" s="0" t="n">
        <v>7892721807043</v>
      </c>
      <c r="L6583" s="0" t="s">
        <v>4995</v>
      </c>
      <c r="N6583" s="0" t="n">
        <v>2</v>
      </c>
      <c r="O6583" s="0" t="n">
        <v>42.04</v>
      </c>
      <c r="P6583" s="0" t="s">
        <v>2444</v>
      </c>
    </row>
    <row r="6584" customFormat="false" ht="15" hidden="false" customHeight="true" outlineLevel="0" collapsed="false">
      <c r="A6584" s="0" t="n">
        <v>2</v>
      </c>
      <c r="B6584" s="71" t="n">
        <v>46253</v>
      </c>
      <c r="C6584" s="0" t="n">
        <v>11</v>
      </c>
      <c r="D6584" s="0" t="s">
        <v>2471</v>
      </c>
      <c r="E6584" s="0" t="n">
        <v>616</v>
      </c>
      <c r="F6584" s="0" t="s">
        <v>941</v>
      </c>
      <c r="I6584" s="0" t="n">
        <v>319296</v>
      </c>
      <c r="J6584" s="0" t="n">
        <v>22156</v>
      </c>
      <c r="K6584" s="0" t="n">
        <v>7897027203070</v>
      </c>
      <c r="L6584" s="0" t="s">
        <v>4996</v>
      </c>
      <c r="N6584" s="0" t="n">
        <v>10</v>
      </c>
      <c r="O6584" s="0" t="n">
        <v>24</v>
      </c>
      <c r="P6584" s="0" t="s">
        <v>2444</v>
      </c>
    </row>
    <row r="6585" customFormat="false" ht="15" hidden="false" customHeight="true" outlineLevel="0" collapsed="false">
      <c r="A6585" s="0" t="n">
        <v>2</v>
      </c>
      <c r="B6585" s="71" t="n">
        <v>46253</v>
      </c>
      <c r="C6585" s="0" t="n">
        <v>11</v>
      </c>
      <c r="D6585" s="0" t="s">
        <v>2471</v>
      </c>
      <c r="E6585" s="0" t="n">
        <v>616</v>
      </c>
      <c r="F6585" s="0" t="s">
        <v>941</v>
      </c>
      <c r="I6585" s="0" t="n">
        <v>319296</v>
      </c>
      <c r="J6585" s="0" t="n">
        <v>25389</v>
      </c>
      <c r="K6585" s="0" t="n">
        <v>7897027202127</v>
      </c>
      <c r="L6585" s="0" t="s">
        <v>4997</v>
      </c>
      <c r="N6585" s="0" t="n">
        <v>10</v>
      </c>
      <c r="O6585" s="0" t="n">
        <v>24</v>
      </c>
      <c r="P6585" s="0" t="s">
        <v>2444</v>
      </c>
    </row>
    <row r="6586" customFormat="false" ht="15" hidden="false" customHeight="true" outlineLevel="0" collapsed="false">
      <c r="A6586" s="0" t="n">
        <v>2</v>
      </c>
      <c r="B6586" s="71" t="n">
        <v>46253</v>
      </c>
      <c r="C6586" s="0" t="n">
        <v>11</v>
      </c>
      <c r="D6586" s="0" t="s">
        <v>2471</v>
      </c>
      <c r="E6586" s="0" t="n">
        <v>616</v>
      </c>
      <c r="F6586" s="0" t="s">
        <v>941</v>
      </c>
      <c r="I6586" s="0" t="n">
        <v>319296</v>
      </c>
      <c r="J6586" s="0" t="n">
        <v>28031</v>
      </c>
      <c r="K6586" s="0" t="n">
        <v>7897027202110</v>
      </c>
      <c r="L6586" s="0" t="s">
        <v>4998</v>
      </c>
      <c r="N6586" s="0" t="n">
        <v>10</v>
      </c>
      <c r="O6586" s="0" t="n">
        <v>24</v>
      </c>
      <c r="P6586" s="0" t="s">
        <v>2444</v>
      </c>
    </row>
    <row r="6587" customFormat="false" ht="15" hidden="false" customHeight="true" outlineLevel="0" collapsed="false">
      <c r="A6587" s="0" t="n">
        <v>2</v>
      </c>
      <c r="B6587" s="71" t="n">
        <v>46253</v>
      </c>
      <c r="C6587" s="0" t="n">
        <v>11</v>
      </c>
      <c r="D6587" s="0" t="s">
        <v>2471</v>
      </c>
      <c r="E6587" s="0" t="n">
        <v>616</v>
      </c>
      <c r="F6587" s="0" t="s">
        <v>941</v>
      </c>
      <c r="I6587" s="0" t="n">
        <v>319296</v>
      </c>
      <c r="J6587" s="0" t="n">
        <v>40294</v>
      </c>
      <c r="K6587" s="0" t="n">
        <v>7898573160268</v>
      </c>
      <c r="L6587" s="0" t="s">
        <v>3635</v>
      </c>
      <c r="N6587" s="0" t="n">
        <v>50</v>
      </c>
      <c r="O6587" s="0" t="n">
        <v>165</v>
      </c>
      <c r="P6587" s="0" t="s">
        <v>2444</v>
      </c>
    </row>
    <row r="6588" customFormat="false" ht="15" hidden="false" customHeight="true" outlineLevel="0" collapsed="false">
      <c r="A6588" s="0" t="n">
        <v>2</v>
      </c>
      <c r="B6588" s="71" t="n">
        <v>46253</v>
      </c>
      <c r="C6588" s="0" t="n">
        <v>11</v>
      </c>
      <c r="D6588" s="0" t="s">
        <v>2471</v>
      </c>
      <c r="E6588" s="0" t="n">
        <v>616</v>
      </c>
      <c r="F6588" s="0" t="s">
        <v>941</v>
      </c>
      <c r="I6588" s="0" t="n">
        <v>319296</v>
      </c>
      <c r="J6588" s="0" t="n">
        <v>42769</v>
      </c>
      <c r="K6588" s="0" t="n">
        <v>7897256248590</v>
      </c>
      <c r="L6588" s="0" t="s">
        <v>4999</v>
      </c>
      <c r="N6588" s="0" t="n">
        <v>10</v>
      </c>
      <c r="O6588" s="0" t="n">
        <v>16</v>
      </c>
      <c r="P6588" s="0" t="s">
        <v>2444</v>
      </c>
    </row>
    <row r="6589" customFormat="false" ht="15" hidden="false" customHeight="true" outlineLevel="0" collapsed="false">
      <c r="A6589" s="0" t="n">
        <v>2</v>
      </c>
      <c r="B6589" s="71" t="n">
        <v>46253</v>
      </c>
      <c r="C6589" s="0" t="n">
        <v>11</v>
      </c>
      <c r="D6589" s="0" t="s">
        <v>2471</v>
      </c>
      <c r="E6589" s="0" t="n">
        <v>616</v>
      </c>
      <c r="F6589" s="0" t="s">
        <v>941</v>
      </c>
      <c r="I6589" s="0" t="n">
        <v>319296</v>
      </c>
      <c r="J6589" s="0" t="n">
        <v>43459</v>
      </c>
      <c r="K6589" s="0" t="n">
        <v>7897256210016</v>
      </c>
      <c r="L6589" s="0" t="s">
        <v>5000</v>
      </c>
      <c r="N6589" s="0" t="n">
        <v>12</v>
      </c>
      <c r="O6589" s="0" t="n">
        <v>27.6</v>
      </c>
      <c r="P6589" s="0" t="s">
        <v>2444</v>
      </c>
    </row>
    <row r="6590" customFormat="false" ht="15" hidden="false" customHeight="true" outlineLevel="0" collapsed="false">
      <c r="A6590" s="0" t="n">
        <v>2</v>
      </c>
      <c r="B6590" s="71" t="n">
        <v>46253</v>
      </c>
      <c r="C6590" s="0" t="n">
        <v>11</v>
      </c>
      <c r="D6590" s="0" t="s">
        <v>2471</v>
      </c>
      <c r="E6590" s="0" t="n">
        <v>616</v>
      </c>
      <c r="F6590" s="0" t="s">
        <v>941</v>
      </c>
      <c r="I6590" s="0" t="n">
        <v>319296</v>
      </c>
      <c r="J6590" s="0" t="n">
        <v>44071</v>
      </c>
      <c r="K6590" s="0" t="n">
        <v>7890541070913</v>
      </c>
      <c r="L6590" s="0" t="s">
        <v>5001</v>
      </c>
      <c r="N6590" s="0" t="n">
        <v>10</v>
      </c>
      <c r="O6590" s="0" t="n">
        <v>16</v>
      </c>
      <c r="P6590" s="0" t="s">
        <v>2444</v>
      </c>
    </row>
    <row r="6591" customFormat="false" ht="15" hidden="false" customHeight="true" outlineLevel="0" collapsed="false">
      <c r="A6591" s="0" t="n">
        <v>2</v>
      </c>
      <c r="B6591" s="71" t="n">
        <v>46253</v>
      </c>
      <c r="C6591" s="0" t="n">
        <v>11</v>
      </c>
      <c r="D6591" s="0" t="s">
        <v>2471</v>
      </c>
      <c r="E6591" s="0" t="n">
        <v>616</v>
      </c>
      <c r="F6591" s="0" t="s">
        <v>941</v>
      </c>
      <c r="I6591" s="0" t="n">
        <v>319296</v>
      </c>
      <c r="J6591" s="0" t="n">
        <v>44656</v>
      </c>
      <c r="K6591" s="0" t="n">
        <v>7897256248767</v>
      </c>
      <c r="L6591" s="0" t="s">
        <v>5002</v>
      </c>
      <c r="N6591" s="0" t="n">
        <v>10</v>
      </c>
      <c r="O6591" s="0" t="n">
        <v>16</v>
      </c>
      <c r="P6591" s="0" t="s">
        <v>2444</v>
      </c>
    </row>
    <row r="6592" customFormat="false" ht="15" hidden="false" customHeight="true" outlineLevel="0" collapsed="false">
      <c r="A6592" s="0" t="n">
        <v>2</v>
      </c>
      <c r="B6592" s="71" t="n">
        <v>46253</v>
      </c>
      <c r="C6592" s="0" t="n">
        <v>11</v>
      </c>
      <c r="D6592" s="0" t="s">
        <v>2471</v>
      </c>
      <c r="E6592" s="0" t="n">
        <v>616</v>
      </c>
      <c r="F6592" s="0" t="s">
        <v>941</v>
      </c>
      <c r="I6592" s="0" t="n">
        <v>319296</v>
      </c>
      <c r="J6592" s="0" t="n">
        <v>44659</v>
      </c>
      <c r="K6592" s="0" t="n">
        <v>7897256248545</v>
      </c>
      <c r="L6592" s="0" t="s">
        <v>5003</v>
      </c>
      <c r="N6592" s="0" t="n">
        <v>10</v>
      </c>
      <c r="O6592" s="0" t="n">
        <v>16</v>
      </c>
      <c r="P6592" s="0" t="s">
        <v>2444</v>
      </c>
    </row>
    <row r="6593" customFormat="false" ht="15" hidden="false" customHeight="true" outlineLevel="0" collapsed="false">
      <c r="A6593" s="0" t="n">
        <v>2</v>
      </c>
      <c r="B6593" s="71" t="n">
        <v>46253</v>
      </c>
      <c r="C6593" s="0" t="n">
        <v>11</v>
      </c>
      <c r="D6593" s="0" t="s">
        <v>2471</v>
      </c>
      <c r="E6593" s="0" t="n">
        <v>616</v>
      </c>
      <c r="F6593" s="0" t="s">
        <v>941</v>
      </c>
      <c r="I6593" s="0" t="n">
        <v>319296</v>
      </c>
      <c r="J6593" s="0" t="n">
        <v>45956</v>
      </c>
      <c r="K6593" s="0" t="n">
        <v>7897027202141</v>
      </c>
      <c r="L6593" s="0" t="s">
        <v>5004</v>
      </c>
      <c r="N6593" s="0" t="n">
        <v>10</v>
      </c>
      <c r="O6593" s="0" t="n">
        <v>24</v>
      </c>
      <c r="P6593" s="0" t="s">
        <v>2444</v>
      </c>
    </row>
    <row r="6594" customFormat="false" ht="15" hidden="false" customHeight="true" outlineLevel="0" collapsed="false">
      <c r="A6594" s="0" t="n">
        <v>2</v>
      </c>
      <c r="B6594" s="71" t="n">
        <v>46253</v>
      </c>
      <c r="C6594" s="0" t="n">
        <v>11</v>
      </c>
      <c r="D6594" s="0" t="s">
        <v>2471</v>
      </c>
      <c r="E6594" s="0" t="n">
        <v>616</v>
      </c>
      <c r="F6594" s="0" t="s">
        <v>941</v>
      </c>
      <c r="I6594" s="0" t="n">
        <v>319296</v>
      </c>
      <c r="J6594" s="0" t="n">
        <v>46846</v>
      </c>
      <c r="K6594" s="0" t="n">
        <v>7897256248705</v>
      </c>
      <c r="L6594" s="0" t="s">
        <v>5005</v>
      </c>
      <c r="N6594" s="0" t="n">
        <v>10</v>
      </c>
      <c r="O6594" s="0" t="n">
        <v>16</v>
      </c>
      <c r="P6594" s="0" t="s">
        <v>2444</v>
      </c>
    </row>
    <row r="6595" customFormat="false" ht="15" hidden="false" customHeight="true" outlineLevel="0" collapsed="false">
      <c r="A6595" s="0" t="n">
        <v>2</v>
      </c>
      <c r="B6595" s="71" t="n">
        <v>46253</v>
      </c>
      <c r="C6595" s="0" t="n">
        <v>11</v>
      </c>
      <c r="D6595" s="0" t="s">
        <v>2471</v>
      </c>
      <c r="E6595" s="0" t="n">
        <v>616</v>
      </c>
      <c r="F6595" s="0" t="s">
        <v>941</v>
      </c>
      <c r="I6595" s="0" t="n">
        <v>319296</v>
      </c>
      <c r="J6595" s="0" t="n">
        <v>48282</v>
      </c>
      <c r="K6595" s="0" t="n">
        <v>7897256247173</v>
      </c>
      <c r="L6595" s="0" t="s">
        <v>5006</v>
      </c>
      <c r="N6595" s="0" t="n">
        <v>10</v>
      </c>
      <c r="O6595" s="0" t="n">
        <v>16</v>
      </c>
      <c r="P6595" s="0" t="s">
        <v>2444</v>
      </c>
    </row>
    <row r="6596" customFormat="false" ht="15" hidden="false" customHeight="true" outlineLevel="0" collapsed="false">
      <c r="A6596" s="0" t="n">
        <v>2</v>
      </c>
      <c r="B6596" s="71" t="n">
        <v>46253</v>
      </c>
      <c r="C6596" s="0" t="n">
        <v>11</v>
      </c>
      <c r="D6596" s="0" t="s">
        <v>2471</v>
      </c>
      <c r="E6596" s="0" t="n">
        <v>616</v>
      </c>
      <c r="F6596" s="0" t="s">
        <v>941</v>
      </c>
      <c r="I6596" s="0" t="n">
        <v>319296</v>
      </c>
      <c r="J6596" s="0" t="n">
        <v>52338</v>
      </c>
      <c r="K6596" s="0" t="n">
        <v>7897256247135</v>
      </c>
      <c r="L6596" s="0" t="s">
        <v>5006</v>
      </c>
      <c r="N6596" s="0" t="n">
        <v>10</v>
      </c>
      <c r="O6596" s="0" t="n">
        <v>16</v>
      </c>
      <c r="P6596" s="0" t="s">
        <v>2444</v>
      </c>
    </row>
    <row r="6597" customFormat="false" ht="15" hidden="false" customHeight="true" outlineLevel="0" collapsed="false">
      <c r="A6597" s="0" t="n">
        <v>2</v>
      </c>
      <c r="B6597" s="71" t="n">
        <v>46253</v>
      </c>
      <c r="C6597" s="0" t="n">
        <v>11</v>
      </c>
      <c r="D6597" s="0" t="s">
        <v>2471</v>
      </c>
      <c r="E6597" s="0" t="n">
        <v>616</v>
      </c>
      <c r="F6597" s="0" t="s">
        <v>941</v>
      </c>
      <c r="I6597" s="0" t="n">
        <v>319296</v>
      </c>
      <c r="J6597" s="0" t="n">
        <v>56934</v>
      </c>
      <c r="K6597" s="0" t="n">
        <v>7891153087634</v>
      </c>
      <c r="L6597" s="0" t="s">
        <v>5007</v>
      </c>
      <c r="N6597" s="0" t="n">
        <v>6</v>
      </c>
      <c r="O6597" s="0" t="n">
        <v>44.4</v>
      </c>
      <c r="P6597" s="0" t="s">
        <v>2444</v>
      </c>
    </row>
    <row r="6598" customFormat="false" ht="15" hidden="false" customHeight="true" outlineLevel="0" collapsed="false">
      <c r="A6598" s="0" t="n">
        <v>2</v>
      </c>
      <c r="B6598" s="71" t="n">
        <v>46253</v>
      </c>
      <c r="C6598" s="0" t="n">
        <v>11</v>
      </c>
      <c r="D6598" s="0" t="s">
        <v>2471</v>
      </c>
      <c r="E6598" s="0" t="n">
        <v>616</v>
      </c>
      <c r="F6598" s="0" t="s">
        <v>941</v>
      </c>
      <c r="I6598" s="0" t="n">
        <v>319296</v>
      </c>
      <c r="J6598" s="0" t="n">
        <v>56935</v>
      </c>
      <c r="K6598" s="0" t="n">
        <v>7891153087610</v>
      </c>
      <c r="L6598" s="0" t="s">
        <v>5008</v>
      </c>
      <c r="N6598" s="0" t="n">
        <v>6</v>
      </c>
      <c r="O6598" s="0" t="n">
        <v>44.4</v>
      </c>
      <c r="P6598" s="0" t="s">
        <v>2444</v>
      </c>
    </row>
    <row r="6599" customFormat="false" ht="15" hidden="false" customHeight="true" outlineLevel="0" collapsed="false">
      <c r="A6599" s="0" t="n">
        <v>2</v>
      </c>
      <c r="B6599" s="71" t="n">
        <v>46253</v>
      </c>
      <c r="C6599" s="0" t="n">
        <v>11</v>
      </c>
      <c r="D6599" s="0" t="s">
        <v>2471</v>
      </c>
      <c r="E6599" s="0" t="n">
        <v>616</v>
      </c>
      <c r="F6599" s="0" t="s">
        <v>941</v>
      </c>
      <c r="I6599" s="0" t="n">
        <v>319296</v>
      </c>
      <c r="J6599" s="0" t="n">
        <v>61750</v>
      </c>
      <c r="K6599" s="0" t="n">
        <v>7895110044005</v>
      </c>
      <c r="L6599" s="0" t="s">
        <v>5009</v>
      </c>
      <c r="N6599" s="0" t="n">
        <v>100</v>
      </c>
      <c r="O6599" s="0" t="n">
        <v>99</v>
      </c>
      <c r="P6599" s="0" t="s">
        <v>2444</v>
      </c>
    </row>
    <row r="6600" customFormat="false" ht="15" hidden="false" customHeight="true" outlineLevel="0" collapsed="false">
      <c r="A6600" s="0" t="n">
        <v>2</v>
      </c>
      <c r="B6600" s="71" t="n">
        <v>46253</v>
      </c>
      <c r="C6600" s="0" t="n">
        <v>11</v>
      </c>
      <c r="D6600" s="0" t="s">
        <v>2471</v>
      </c>
      <c r="E6600" s="0" t="n">
        <v>616</v>
      </c>
      <c r="F6600" s="0" t="s">
        <v>941</v>
      </c>
      <c r="I6600" s="0" t="n">
        <v>319296</v>
      </c>
      <c r="J6600" s="0" t="n">
        <v>63026</v>
      </c>
      <c r="K6600" s="0" t="n">
        <v>7891153087573</v>
      </c>
      <c r="L6600" s="0" t="s">
        <v>5010</v>
      </c>
      <c r="N6600" s="0" t="n">
        <v>6</v>
      </c>
      <c r="O6600" s="0" t="n">
        <v>44.4</v>
      </c>
      <c r="P6600" s="0" t="s">
        <v>2444</v>
      </c>
    </row>
    <row r="6601" customFormat="false" ht="15" hidden="false" customHeight="true" outlineLevel="0" collapsed="false">
      <c r="A6601" s="0" t="n">
        <v>2</v>
      </c>
      <c r="B6601" s="71" t="n">
        <v>46253</v>
      </c>
      <c r="C6601" s="0" t="n">
        <v>11</v>
      </c>
      <c r="D6601" s="0" t="s">
        <v>2471</v>
      </c>
      <c r="E6601" s="0" t="n">
        <v>616</v>
      </c>
      <c r="F6601" s="0" t="s">
        <v>941</v>
      </c>
      <c r="I6601" s="0" t="n">
        <v>319296</v>
      </c>
      <c r="J6601" s="0" t="n">
        <v>71397</v>
      </c>
      <c r="K6601" s="0" t="n">
        <v>7898937975538</v>
      </c>
      <c r="L6601" s="0" t="s">
        <v>5011</v>
      </c>
      <c r="N6601" s="0" t="n">
        <v>12</v>
      </c>
      <c r="O6601" s="0" t="n">
        <v>46.8</v>
      </c>
      <c r="P6601" s="0" t="s">
        <v>2444</v>
      </c>
    </row>
    <row r="6602" customFormat="false" ht="15" hidden="false" customHeight="true" outlineLevel="0" collapsed="false">
      <c r="A6602" s="0" t="n">
        <v>2</v>
      </c>
      <c r="B6602" s="71" t="n">
        <v>46253</v>
      </c>
      <c r="C6602" s="0" t="n">
        <v>11</v>
      </c>
      <c r="D6602" s="0" t="s">
        <v>2471</v>
      </c>
      <c r="E6602" s="0" t="n">
        <v>616</v>
      </c>
      <c r="F6602" s="0" t="s">
        <v>941</v>
      </c>
      <c r="I6602" s="0" t="n">
        <v>319296</v>
      </c>
      <c r="J6602" s="0" t="n">
        <v>73677</v>
      </c>
      <c r="K6602" s="0" t="n">
        <v>7891153116150</v>
      </c>
      <c r="L6602" s="0" t="s">
        <v>5012</v>
      </c>
      <c r="N6602" s="0" t="n">
        <v>6</v>
      </c>
      <c r="O6602" s="0" t="n">
        <v>66.6</v>
      </c>
      <c r="P6602" s="0" t="s">
        <v>2444</v>
      </c>
    </row>
    <row r="6603" customFormat="false" ht="15" hidden="false" customHeight="true" outlineLevel="0" collapsed="false">
      <c r="A6603" s="0" t="n">
        <v>2</v>
      </c>
      <c r="B6603" s="71" t="n">
        <v>46253</v>
      </c>
      <c r="C6603" s="0" t="n">
        <v>11</v>
      </c>
      <c r="D6603" s="0" t="s">
        <v>2471</v>
      </c>
      <c r="E6603" s="0" t="n">
        <v>616</v>
      </c>
      <c r="F6603" s="0" t="s">
        <v>941</v>
      </c>
      <c r="I6603" s="0" t="n">
        <v>319296</v>
      </c>
      <c r="J6603" s="0" t="n">
        <v>82139</v>
      </c>
      <c r="K6603" s="0" t="n">
        <v>7891153119496</v>
      </c>
      <c r="L6603" s="0" t="s">
        <v>5013</v>
      </c>
      <c r="N6603" s="0" t="n">
        <v>6</v>
      </c>
      <c r="O6603" s="0" t="n">
        <v>66.6</v>
      </c>
      <c r="P6603" s="0" t="s">
        <v>2444</v>
      </c>
    </row>
    <row r="6604" customFormat="false" ht="15" hidden="false" customHeight="true" outlineLevel="0" collapsed="false">
      <c r="A6604" s="0" t="n">
        <v>2</v>
      </c>
      <c r="B6604" s="71" t="n">
        <v>46253</v>
      </c>
      <c r="C6604" s="0" t="n">
        <v>11</v>
      </c>
      <c r="D6604" s="0" t="s">
        <v>2471</v>
      </c>
      <c r="E6604" s="0" t="n">
        <v>616</v>
      </c>
      <c r="F6604" s="0" t="s">
        <v>941</v>
      </c>
      <c r="I6604" s="0" t="n">
        <v>319297</v>
      </c>
      <c r="J6604" s="0" t="n">
        <v>10209</v>
      </c>
      <c r="K6604" s="0" t="n">
        <v>7891153020327</v>
      </c>
      <c r="L6604" s="0" t="s">
        <v>3621</v>
      </c>
      <c r="N6604" s="0" t="n">
        <v>6</v>
      </c>
      <c r="O6604" s="0" t="n">
        <v>51</v>
      </c>
      <c r="P6604" s="0" t="s">
        <v>2444</v>
      </c>
    </row>
    <row r="6605" customFormat="false" ht="15" hidden="false" customHeight="true" outlineLevel="0" collapsed="false">
      <c r="A6605" s="0" t="n">
        <v>2</v>
      </c>
      <c r="B6605" s="71" t="n">
        <v>46253</v>
      </c>
      <c r="C6605" s="0" t="n">
        <v>11</v>
      </c>
      <c r="D6605" s="0" t="s">
        <v>2471</v>
      </c>
      <c r="E6605" s="0" t="n">
        <v>616</v>
      </c>
      <c r="F6605" s="0" t="s">
        <v>941</v>
      </c>
      <c r="I6605" s="0" t="n">
        <v>319297</v>
      </c>
      <c r="J6605" s="0" t="n">
        <v>50191</v>
      </c>
      <c r="K6605" s="0" t="n">
        <v>7897256233152</v>
      </c>
      <c r="L6605" s="0" t="s">
        <v>5014</v>
      </c>
      <c r="N6605" s="0" t="n">
        <v>20</v>
      </c>
      <c r="O6605" s="0" t="n">
        <v>15</v>
      </c>
      <c r="P6605" s="0" t="s">
        <v>2444</v>
      </c>
    </row>
    <row r="6606" customFormat="false" ht="15" hidden="false" customHeight="true" outlineLevel="0" collapsed="false">
      <c r="A6606" s="0" t="n">
        <v>2</v>
      </c>
      <c r="B6606" s="71" t="n">
        <v>46253</v>
      </c>
      <c r="C6606" s="0" t="n">
        <v>11</v>
      </c>
      <c r="D6606" s="0" t="s">
        <v>2471</v>
      </c>
      <c r="E6606" s="0" t="n">
        <v>616</v>
      </c>
      <c r="F6606" s="0" t="s">
        <v>941</v>
      </c>
      <c r="I6606" s="0" t="n">
        <v>319297</v>
      </c>
      <c r="J6606" s="0" t="n">
        <v>101345</v>
      </c>
      <c r="K6606" s="0" t="n">
        <v>78913639</v>
      </c>
      <c r="L6606" s="0" t="s">
        <v>5015</v>
      </c>
      <c r="N6606" s="0" t="n">
        <v>36</v>
      </c>
      <c r="O6606" s="0" t="n">
        <v>72</v>
      </c>
      <c r="P6606" s="0" t="s">
        <v>2444</v>
      </c>
    </row>
    <row r="6607" customFormat="false" ht="15" hidden="false" customHeight="true" outlineLevel="0" collapsed="false">
      <c r="A6607" s="0" t="n">
        <v>2</v>
      </c>
      <c r="B6607" s="71" t="n">
        <v>46253</v>
      </c>
      <c r="C6607" s="0" t="n">
        <v>11</v>
      </c>
      <c r="D6607" s="0" t="s">
        <v>2471</v>
      </c>
      <c r="E6607" s="0" t="n">
        <v>616</v>
      </c>
      <c r="F6607" s="0" t="s">
        <v>941</v>
      </c>
      <c r="I6607" s="0" t="n">
        <v>319297</v>
      </c>
      <c r="J6607" s="0" t="n">
        <v>103198</v>
      </c>
      <c r="K6607" s="0" t="n">
        <v>7891253104811</v>
      </c>
      <c r="L6607" s="0" t="s">
        <v>4887</v>
      </c>
      <c r="N6607" s="0" t="n">
        <v>10</v>
      </c>
      <c r="O6607" s="0" t="n">
        <v>74</v>
      </c>
      <c r="P6607" s="0" t="s">
        <v>2444</v>
      </c>
    </row>
    <row r="6608" customFormat="false" ht="15" hidden="false" customHeight="true" outlineLevel="0" collapsed="false">
      <c r="A6608" s="0" t="n">
        <v>2</v>
      </c>
      <c r="B6608" s="71" t="n">
        <v>46253</v>
      </c>
      <c r="C6608" s="0" t="n">
        <v>11</v>
      </c>
      <c r="D6608" s="0" t="s">
        <v>2471</v>
      </c>
      <c r="E6608" s="0" t="n">
        <v>616</v>
      </c>
      <c r="F6608" s="0" t="s">
        <v>941</v>
      </c>
      <c r="I6608" s="0" t="n">
        <v>319297</v>
      </c>
      <c r="J6608" s="0" t="n">
        <v>103454</v>
      </c>
      <c r="K6608" s="0" t="n">
        <v>7894494081095</v>
      </c>
      <c r="L6608" s="0" t="s">
        <v>5016</v>
      </c>
      <c r="N6608" s="0" t="n">
        <v>20</v>
      </c>
      <c r="O6608" s="0" t="n">
        <v>56</v>
      </c>
      <c r="P6608" s="0" t="s">
        <v>2444</v>
      </c>
    </row>
    <row r="6609" customFormat="false" ht="15" hidden="false" customHeight="true" outlineLevel="0" collapsed="false">
      <c r="A6609" s="0" t="n">
        <v>2</v>
      </c>
      <c r="B6609" s="71" t="n">
        <v>46253</v>
      </c>
      <c r="C6609" s="0" t="n">
        <v>11</v>
      </c>
      <c r="D6609" s="0" t="s">
        <v>2471</v>
      </c>
      <c r="E6609" s="0" t="n">
        <v>616</v>
      </c>
      <c r="F6609" s="0" t="s">
        <v>941</v>
      </c>
      <c r="I6609" s="0" t="n">
        <v>319297</v>
      </c>
      <c r="J6609" s="0" t="n">
        <v>103455</v>
      </c>
      <c r="K6609" s="0" t="n">
        <v>7894494081125</v>
      </c>
      <c r="L6609" s="0" t="s">
        <v>5017</v>
      </c>
      <c r="N6609" s="0" t="n">
        <v>10</v>
      </c>
      <c r="O6609" s="0" t="n">
        <v>49</v>
      </c>
      <c r="P6609" s="0" t="s">
        <v>2444</v>
      </c>
    </row>
    <row r="6610" customFormat="false" ht="15" hidden="false" customHeight="true" outlineLevel="0" collapsed="false">
      <c r="A6610" s="0" t="n">
        <v>2</v>
      </c>
      <c r="B6610" s="71" t="n">
        <v>46253</v>
      </c>
      <c r="C6610" s="0" t="n">
        <v>11</v>
      </c>
      <c r="D6610" s="0" t="s">
        <v>2471</v>
      </c>
      <c r="E6610" s="0" t="n">
        <v>616</v>
      </c>
      <c r="F6610" s="0" t="s">
        <v>941</v>
      </c>
      <c r="I6610" s="0" t="n">
        <v>319297</v>
      </c>
      <c r="J6610" s="0" t="n">
        <v>105758</v>
      </c>
      <c r="K6610" s="0" t="n">
        <v>7897424081943</v>
      </c>
      <c r="L6610" s="0" t="s">
        <v>5018</v>
      </c>
      <c r="N6610" s="0" t="n">
        <v>12</v>
      </c>
      <c r="O6610" s="0" t="n">
        <v>46.8</v>
      </c>
      <c r="P6610" s="0" t="s">
        <v>2444</v>
      </c>
    </row>
    <row r="6611" customFormat="false" ht="15" hidden="false" customHeight="true" outlineLevel="0" collapsed="false">
      <c r="A6611" s="0" t="n">
        <v>2</v>
      </c>
      <c r="B6611" s="71" t="n">
        <v>46253</v>
      </c>
      <c r="C6611" s="0" t="n">
        <v>11</v>
      </c>
      <c r="D6611" s="0" t="s">
        <v>2471</v>
      </c>
      <c r="E6611" s="0" t="n">
        <v>616</v>
      </c>
      <c r="F6611" s="0" t="s">
        <v>941</v>
      </c>
      <c r="I6611" s="0" t="n">
        <v>319297</v>
      </c>
      <c r="J6611" s="0" t="n">
        <v>106321</v>
      </c>
      <c r="K6611" s="0" t="n">
        <v>7891153020310</v>
      </c>
      <c r="L6611" s="0" t="s">
        <v>3621</v>
      </c>
      <c r="N6611" s="0" t="n">
        <v>12</v>
      </c>
      <c r="O6611" s="0" t="n">
        <v>54</v>
      </c>
      <c r="P6611" s="0" t="s">
        <v>2444</v>
      </c>
    </row>
    <row r="6612" customFormat="false" ht="15" hidden="false" customHeight="true" outlineLevel="0" collapsed="false">
      <c r="A6612" s="0" t="n">
        <v>2</v>
      </c>
      <c r="B6612" s="71" t="n">
        <v>46253</v>
      </c>
      <c r="C6612" s="0" t="n">
        <v>11</v>
      </c>
      <c r="D6612" s="0" t="s">
        <v>2471</v>
      </c>
      <c r="E6612" s="0" t="n">
        <v>616</v>
      </c>
      <c r="F6612" s="0" t="s">
        <v>941</v>
      </c>
      <c r="I6612" s="0" t="n">
        <v>319297</v>
      </c>
      <c r="J6612" s="0" t="n">
        <v>107420</v>
      </c>
      <c r="K6612" s="0" t="n">
        <v>7891173021793</v>
      </c>
      <c r="L6612" s="0" t="s">
        <v>5019</v>
      </c>
      <c r="N6612" s="0" t="n">
        <v>30</v>
      </c>
      <c r="O6612" s="0" t="n">
        <v>209.7</v>
      </c>
      <c r="P6612" s="0" t="s">
        <v>2444</v>
      </c>
    </row>
    <row r="6613" customFormat="false" ht="15" hidden="false" customHeight="true" outlineLevel="0" collapsed="false">
      <c r="A6613" s="0" t="n">
        <v>2</v>
      </c>
      <c r="B6613" s="71" t="n">
        <v>46253</v>
      </c>
      <c r="C6613" s="0" t="n">
        <v>11</v>
      </c>
      <c r="D6613" s="0" t="s">
        <v>2471</v>
      </c>
      <c r="E6613" s="0" t="n">
        <v>616</v>
      </c>
      <c r="F6613" s="0" t="s">
        <v>941</v>
      </c>
      <c r="I6613" s="0" t="n">
        <v>319297</v>
      </c>
      <c r="J6613" s="0" t="n">
        <v>108107</v>
      </c>
      <c r="K6613" s="0" t="n">
        <v>7896454300024</v>
      </c>
      <c r="L6613" s="0" t="s">
        <v>3622</v>
      </c>
      <c r="N6613" s="0" t="n">
        <v>12</v>
      </c>
      <c r="O6613" s="0" t="n">
        <v>70.8</v>
      </c>
      <c r="P6613" s="0" t="s">
        <v>2444</v>
      </c>
    </row>
    <row r="6614" customFormat="false" ht="15" hidden="false" customHeight="true" outlineLevel="0" collapsed="false">
      <c r="A6614" s="0" t="n">
        <v>2</v>
      </c>
      <c r="B6614" s="71" t="n">
        <v>46253</v>
      </c>
      <c r="C6614" s="0" t="n">
        <v>11</v>
      </c>
      <c r="D6614" s="0" t="s">
        <v>2471</v>
      </c>
      <c r="E6614" s="0" t="n">
        <v>616</v>
      </c>
      <c r="F6614" s="0" t="s">
        <v>941</v>
      </c>
      <c r="I6614" s="0" t="n">
        <v>319297</v>
      </c>
      <c r="J6614" s="0" t="n">
        <v>109413</v>
      </c>
      <c r="K6614" s="0" t="n">
        <v>7897562200473</v>
      </c>
      <c r="L6614" s="0" t="s">
        <v>5020</v>
      </c>
      <c r="N6614" s="0" t="n">
        <v>12</v>
      </c>
      <c r="O6614" s="0" t="n">
        <v>14.4</v>
      </c>
      <c r="P6614" s="0" t="s">
        <v>2444</v>
      </c>
    </row>
    <row r="6615" customFormat="false" ht="15" hidden="false" customHeight="true" outlineLevel="0" collapsed="false">
      <c r="A6615" s="0" t="n">
        <v>2</v>
      </c>
      <c r="B6615" s="71" t="n">
        <v>46253</v>
      </c>
      <c r="C6615" s="0" t="n">
        <v>11</v>
      </c>
      <c r="D6615" s="0" t="s">
        <v>2471</v>
      </c>
      <c r="E6615" s="0" t="n">
        <v>616</v>
      </c>
      <c r="F6615" s="0" t="s">
        <v>941</v>
      </c>
      <c r="I6615" s="0" t="n">
        <v>319297</v>
      </c>
      <c r="J6615" s="0" t="n">
        <v>109414</v>
      </c>
      <c r="K6615" s="0" t="n">
        <v>7897562200480</v>
      </c>
      <c r="L6615" s="0" t="s">
        <v>5021</v>
      </c>
      <c r="N6615" s="0" t="n">
        <v>12</v>
      </c>
      <c r="O6615" s="0" t="n">
        <v>24</v>
      </c>
      <c r="P6615" s="0" t="s">
        <v>2444</v>
      </c>
    </row>
    <row r="6616" customFormat="false" ht="15" hidden="false" customHeight="true" outlineLevel="0" collapsed="false">
      <c r="A6616" s="0" t="n">
        <v>2</v>
      </c>
      <c r="B6616" s="71" t="n">
        <v>46253</v>
      </c>
      <c r="C6616" s="0" t="n">
        <v>11</v>
      </c>
      <c r="D6616" s="0" t="s">
        <v>2471</v>
      </c>
      <c r="E6616" s="0" t="n">
        <v>616</v>
      </c>
      <c r="F6616" s="0" t="s">
        <v>941</v>
      </c>
      <c r="I6616" s="0" t="n">
        <v>319297</v>
      </c>
      <c r="J6616" s="0" t="n">
        <v>15662</v>
      </c>
      <c r="K6616" s="0" t="n">
        <v>7896454300017</v>
      </c>
      <c r="L6616" s="0" t="s">
        <v>3625</v>
      </c>
      <c r="N6616" s="0" t="n">
        <v>12</v>
      </c>
      <c r="O6616" s="0" t="n">
        <v>126</v>
      </c>
      <c r="P6616" s="0" t="s">
        <v>2444</v>
      </c>
    </row>
    <row r="6617" customFormat="false" ht="15" hidden="false" customHeight="true" outlineLevel="0" collapsed="false">
      <c r="A6617" s="0" t="n">
        <v>2</v>
      </c>
      <c r="B6617" s="71" t="n">
        <v>46253</v>
      </c>
      <c r="C6617" s="0" t="n">
        <v>11</v>
      </c>
      <c r="D6617" s="0" t="s">
        <v>2471</v>
      </c>
      <c r="E6617" s="0" t="n">
        <v>616</v>
      </c>
      <c r="F6617" s="0" t="s">
        <v>941</v>
      </c>
      <c r="I6617" s="0" t="n">
        <v>319297</v>
      </c>
      <c r="J6617" s="0" t="n">
        <v>22499</v>
      </c>
      <c r="K6617" s="0" t="n">
        <v>7896454300086</v>
      </c>
      <c r="L6617" s="0" t="s">
        <v>5022</v>
      </c>
      <c r="N6617" s="0" t="n">
        <v>12</v>
      </c>
      <c r="O6617" s="0" t="n">
        <v>57.6</v>
      </c>
      <c r="P6617" s="0" t="s">
        <v>2444</v>
      </c>
    </row>
    <row r="6618" customFormat="false" ht="15" hidden="false" customHeight="true" outlineLevel="0" collapsed="false">
      <c r="A6618" s="0" t="n">
        <v>2</v>
      </c>
      <c r="B6618" s="71" t="n">
        <v>46253</v>
      </c>
      <c r="C6618" s="0" t="n">
        <v>11</v>
      </c>
      <c r="D6618" s="0" t="s">
        <v>2471</v>
      </c>
      <c r="E6618" s="0" t="n">
        <v>616</v>
      </c>
      <c r="F6618" s="0" t="s">
        <v>941</v>
      </c>
      <c r="I6618" s="0" t="n">
        <v>319297</v>
      </c>
      <c r="J6618" s="0" t="n">
        <v>24042</v>
      </c>
      <c r="K6618" s="0" t="n">
        <v>7891153073217</v>
      </c>
      <c r="L6618" s="0" t="s">
        <v>3626</v>
      </c>
      <c r="N6618" s="0" t="n">
        <v>12</v>
      </c>
      <c r="O6618" s="0" t="n">
        <v>28.8</v>
      </c>
      <c r="P6618" s="0" t="s">
        <v>2444</v>
      </c>
    </row>
    <row r="6619" customFormat="false" ht="15" hidden="false" customHeight="true" outlineLevel="0" collapsed="false">
      <c r="A6619" s="0" t="n">
        <v>2</v>
      </c>
      <c r="B6619" s="71" t="n">
        <v>46253</v>
      </c>
      <c r="C6619" s="0" t="n">
        <v>11</v>
      </c>
      <c r="D6619" s="0" t="s">
        <v>2471</v>
      </c>
      <c r="E6619" s="0" t="n">
        <v>616</v>
      </c>
      <c r="F6619" s="0" t="s">
        <v>941</v>
      </c>
      <c r="I6619" s="0" t="n">
        <v>319297</v>
      </c>
      <c r="J6619" s="0" t="n">
        <v>30532</v>
      </c>
      <c r="K6619" s="0" t="n">
        <v>7897256241843</v>
      </c>
      <c r="L6619" s="0" t="s">
        <v>5023</v>
      </c>
      <c r="N6619" s="0" t="n">
        <v>24</v>
      </c>
      <c r="O6619" s="0" t="n">
        <v>22.8</v>
      </c>
      <c r="P6619" s="0" t="s">
        <v>2444</v>
      </c>
    </row>
    <row r="6620" customFormat="false" ht="15" hidden="false" customHeight="true" outlineLevel="0" collapsed="false">
      <c r="A6620" s="0" t="n">
        <v>2</v>
      </c>
      <c r="B6620" s="71" t="n">
        <v>46253</v>
      </c>
      <c r="C6620" s="0" t="n">
        <v>11</v>
      </c>
      <c r="D6620" s="0" t="s">
        <v>2471</v>
      </c>
      <c r="E6620" s="0" t="n">
        <v>616</v>
      </c>
      <c r="F6620" s="0" t="s">
        <v>941</v>
      </c>
      <c r="I6620" s="0" t="n">
        <v>319297</v>
      </c>
      <c r="J6620" s="0" t="n">
        <v>30597</v>
      </c>
      <c r="K6620" s="0" t="n">
        <v>70330129627</v>
      </c>
      <c r="L6620" s="0" t="s">
        <v>5024</v>
      </c>
      <c r="N6620" s="0" t="n">
        <v>50</v>
      </c>
      <c r="O6620" s="0" t="n">
        <v>47.5</v>
      </c>
      <c r="P6620" s="0" t="s">
        <v>2444</v>
      </c>
    </row>
    <row r="6621" customFormat="false" ht="15" hidden="false" customHeight="true" outlineLevel="0" collapsed="false">
      <c r="A6621" s="0" t="n">
        <v>2</v>
      </c>
      <c r="B6621" s="71" t="n">
        <v>46253</v>
      </c>
      <c r="C6621" s="0" t="n">
        <v>11</v>
      </c>
      <c r="D6621" s="0" t="s">
        <v>2471</v>
      </c>
      <c r="E6621" s="0" t="n">
        <v>616</v>
      </c>
      <c r="F6621" s="0" t="s">
        <v>941</v>
      </c>
      <c r="I6621" s="0" t="n">
        <v>319297</v>
      </c>
      <c r="J6621" s="0" t="n">
        <v>30600</v>
      </c>
      <c r="K6621" s="0" t="n">
        <v>70330183575</v>
      </c>
      <c r="L6621" s="0" t="s">
        <v>5025</v>
      </c>
      <c r="N6621" s="0" t="n">
        <v>50</v>
      </c>
      <c r="O6621" s="0" t="n">
        <v>47.5</v>
      </c>
      <c r="P6621" s="0" t="s">
        <v>2444</v>
      </c>
    </row>
    <row r="6622" customFormat="false" ht="15" hidden="false" customHeight="true" outlineLevel="0" collapsed="false">
      <c r="A6622" s="0" t="n">
        <v>2</v>
      </c>
      <c r="B6622" s="71" t="n">
        <v>46253</v>
      </c>
      <c r="C6622" s="0" t="n">
        <v>11</v>
      </c>
      <c r="D6622" s="0" t="s">
        <v>2471</v>
      </c>
      <c r="E6622" s="0" t="n">
        <v>616</v>
      </c>
      <c r="F6622" s="0" t="s">
        <v>941</v>
      </c>
      <c r="I6622" s="0" t="n">
        <v>319297</v>
      </c>
      <c r="J6622" s="0" t="n">
        <v>30614</v>
      </c>
      <c r="K6622" s="0" t="n">
        <v>7898590650025</v>
      </c>
      <c r="L6622" s="0" t="s">
        <v>5026</v>
      </c>
      <c r="N6622" s="0" t="n">
        <v>80</v>
      </c>
      <c r="O6622" s="0" t="n">
        <v>40</v>
      </c>
      <c r="P6622" s="0" t="s">
        <v>2444</v>
      </c>
    </row>
    <row r="6623" customFormat="false" ht="15" hidden="false" customHeight="true" outlineLevel="0" collapsed="false">
      <c r="A6623" s="0" t="n">
        <v>2</v>
      </c>
      <c r="B6623" s="71" t="n">
        <v>46253</v>
      </c>
      <c r="C6623" s="0" t="n">
        <v>11</v>
      </c>
      <c r="D6623" s="0" t="s">
        <v>2471</v>
      </c>
      <c r="E6623" s="0" t="n">
        <v>616</v>
      </c>
      <c r="F6623" s="0" t="s">
        <v>941</v>
      </c>
      <c r="I6623" s="0" t="n">
        <v>319297</v>
      </c>
      <c r="J6623" s="0" t="n">
        <v>30832</v>
      </c>
      <c r="K6623" s="0" t="n">
        <v>7896572010065</v>
      </c>
      <c r="L6623" s="0" t="s">
        <v>5027</v>
      </c>
      <c r="N6623" s="0" t="n">
        <v>10</v>
      </c>
      <c r="O6623" s="0" t="n">
        <v>80</v>
      </c>
      <c r="P6623" s="0" t="s">
        <v>2444</v>
      </c>
    </row>
    <row r="6624" customFormat="false" ht="15" hidden="false" customHeight="true" outlineLevel="0" collapsed="false">
      <c r="A6624" s="0" t="n">
        <v>2</v>
      </c>
      <c r="B6624" s="71" t="n">
        <v>46253</v>
      </c>
      <c r="C6624" s="0" t="n">
        <v>11</v>
      </c>
      <c r="D6624" s="0" t="s">
        <v>2471</v>
      </c>
      <c r="E6624" s="0" t="n">
        <v>616</v>
      </c>
      <c r="F6624" s="0" t="s">
        <v>941</v>
      </c>
      <c r="I6624" s="0" t="n">
        <v>319297</v>
      </c>
      <c r="J6624" s="0" t="n">
        <v>36465</v>
      </c>
      <c r="K6624" s="0" t="n">
        <v>7894494423871</v>
      </c>
      <c r="L6624" s="0" t="s">
        <v>5028</v>
      </c>
      <c r="N6624" s="0" t="n">
        <v>5</v>
      </c>
      <c r="O6624" s="0" t="n">
        <v>36</v>
      </c>
      <c r="P6624" s="0" t="s">
        <v>2444</v>
      </c>
    </row>
    <row r="6625" customFormat="false" ht="15" hidden="false" customHeight="true" outlineLevel="0" collapsed="false">
      <c r="A6625" s="0" t="n">
        <v>2</v>
      </c>
      <c r="B6625" s="71" t="n">
        <v>46253</v>
      </c>
      <c r="C6625" s="0" t="n">
        <v>11</v>
      </c>
      <c r="D6625" s="0" t="s">
        <v>2471</v>
      </c>
      <c r="E6625" s="0" t="n">
        <v>616</v>
      </c>
      <c r="F6625" s="0" t="s">
        <v>941</v>
      </c>
      <c r="I6625" s="0" t="n">
        <v>319297</v>
      </c>
      <c r="J6625" s="0" t="n">
        <v>37122</v>
      </c>
      <c r="K6625" s="0" t="n">
        <v>7896454300031</v>
      </c>
      <c r="L6625" s="0" t="s">
        <v>3628</v>
      </c>
      <c r="N6625" s="0" t="n">
        <v>24</v>
      </c>
      <c r="O6625" s="0" t="n">
        <v>201.6</v>
      </c>
      <c r="P6625" s="0" t="s">
        <v>2444</v>
      </c>
    </row>
    <row r="6626" customFormat="false" ht="15" hidden="false" customHeight="true" outlineLevel="0" collapsed="false">
      <c r="A6626" s="0" t="n">
        <v>2</v>
      </c>
      <c r="B6626" s="71" t="n">
        <v>46253</v>
      </c>
      <c r="C6626" s="0" t="n">
        <v>11</v>
      </c>
      <c r="D6626" s="0" t="s">
        <v>2471</v>
      </c>
      <c r="E6626" s="0" t="n">
        <v>616</v>
      </c>
      <c r="F6626" s="0" t="s">
        <v>941</v>
      </c>
      <c r="I6626" s="0" t="n">
        <v>319297</v>
      </c>
      <c r="J6626" s="0" t="n">
        <v>37123</v>
      </c>
      <c r="K6626" s="0" t="n">
        <v>7896454300048</v>
      </c>
      <c r="L6626" s="0" t="s">
        <v>3629</v>
      </c>
      <c r="N6626" s="0" t="n">
        <v>24</v>
      </c>
      <c r="O6626" s="0" t="n">
        <v>127.2</v>
      </c>
      <c r="P6626" s="0" t="s">
        <v>2444</v>
      </c>
    </row>
    <row r="6627" customFormat="false" ht="15" hidden="false" customHeight="true" outlineLevel="0" collapsed="false">
      <c r="A6627" s="0" t="n">
        <v>2</v>
      </c>
      <c r="B6627" s="71" t="n">
        <v>46253</v>
      </c>
      <c r="C6627" s="0" t="n">
        <v>11</v>
      </c>
      <c r="D6627" s="0" t="s">
        <v>2471</v>
      </c>
      <c r="E6627" s="0" t="n">
        <v>616</v>
      </c>
      <c r="F6627" s="0" t="s">
        <v>941</v>
      </c>
      <c r="I6627" s="0" t="n">
        <v>319297</v>
      </c>
      <c r="J6627" s="0" t="n">
        <v>38847</v>
      </c>
      <c r="K6627" s="0" t="n">
        <v>7891153073224</v>
      </c>
      <c r="L6627" s="0" t="s">
        <v>3630</v>
      </c>
      <c r="N6627" s="0" t="n">
        <v>12</v>
      </c>
      <c r="O6627" s="0" t="n">
        <v>51.6</v>
      </c>
      <c r="P6627" s="0" t="s">
        <v>2444</v>
      </c>
    </row>
    <row r="6628" customFormat="false" ht="15" hidden="false" customHeight="true" outlineLevel="0" collapsed="false">
      <c r="A6628" s="0" t="n">
        <v>2</v>
      </c>
      <c r="B6628" s="71" t="n">
        <v>46253</v>
      </c>
      <c r="C6628" s="0" t="n">
        <v>11</v>
      </c>
      <c r="D6628" s="0" t="s">
        <v>2471</v>
      </c>
      <c r="E6628" s="0" t="n">
        <v>616</v>
      </c>
      <c r="F6628" s="0" t="s">
        <v>941</v>
      </c>
      <c r="I6628" s="0" t="n">
        <v>319297</v>
      </c>
      <c r="J6628" s="0" t="n">
        <v>39542</v>
      </c>
      <c r="K6628" s="0" t="n">
        <v>7754111532037</v>
      </c>
      <c r="L6628" s="0" t="s">
        <v>5029</v>
      </c>
      <c r="N6628" s="0" t="n">
        <v>50</v>
      </c>
      <c r="O6628" s="0" t="n">
        <v>50</v>
      </c>
      <c r="P6628" s="0" t="s">
        <v>2444</v>
      </c>
    </row>
    <row r="6629" customFormat="false" ht="15" hidden="false" customHeight="true" outlineLevel="0" collapsed="false">
      <c r="A6629" s="0" t="n">
        <v>2</v>
      </c>
      <c r="B6629" s="71" t="n">
        <v>46253</v>
      </c>
      <c r="C6629" s="0" t="n">
        <v>11</v>
      </c>
      <c r="D6629" s="0" t="s">
        <v>2471</v>
      </c>
      <c r="E6629" s="0" t="n">
        <v>616</v>
      </c>
      <c r="F6629" s="0" t="s">
        <v>941</v>
      </c>
      <c r="I6629" s="0" t="n">
        <v>319297</v>
      </c>
      <c r="J6629" s="0" t="n">
        <v>41770</v>
      </c>
      <c r="K6629" s="0" t="n">
        <v>7898904869815</v>
      </c>
      <c r="L6629" s="0" t="s">
        <v>3637</v>
      </c>
      <c r="N6629" s="0" t="n">
        <v>10</v>
      </c>
      <c r="O6629" s="0" t="n">
        <v>87</v>
      </c>
      <c r="P6629" s="0" t="s">
        <v>2444</v>
      </c>
    </row>
    <row r="6630" customFormat="false" ht="15" hidden="false" customHeight="true" outlineLevel="0" collapsed="false">
      <c r="A6630" s="0" t="n">
        <v>2</v>
      </c>
      <c r="B6630" s="71" t="n">
        <v>46253</v>
      </c>
      <c r="C6630" s="0" t="n">
        <v>11</v>
      </c>
      <c r="D6630" s="0" t="s">
        <v>2471</v>
      </c>
      <c r="E6630" s="0" t="n">
        <v>616</v>
      </c>
      <c r="F6630" s="0" t="s">
        <v>941</v>
      </c>
      <c r="I6630" s="0" t="n">
        <v>319297</v>
      </c>
      <c r="J6630" s="0" t="n">
        <v>44447</v>
      </c>
      <c r="K6630" s="0" t="n">
        <v>7894494666056</v>
      </c>
      <c r="L6630" s="0" t="s">
        <v>3638</v>
      </c>
      <c r="N6630" s="0" t="n">
        <v>30</v>
      </c>
      <c r="O6630" s="0" t="n">
        <v>81</v>
      </c>
      <c r="P6630" s="0" t="s">
        <v>2444</v>
      </c>
    </row>
    <row r="6631" customFormat="false" ht="15" hidden="false" customHeight="true" outlineLevel="0" collapsed="false">
      <c r="A6631" s="0" t="n">
        <v>2</v>
      </c>
      <c r="B6631" s="71" t="n">
        <v>46253</v>
      </c>
      <c r="C6631" s="0" t="n">
        <v>11</v>
      </c>
      <c r="D6631" s="0" t="s">
        <v>2471</v>
      </c>
      <c r="E6631" s="0" t="n">
        <v>616</v>
      </c>
      <c r="F6631" s="0" t="s">
        <v>941</v>
      </c>
      <c r="I6631" s="0" t="n">
        <v>319297</v>
      </c>
      <c r="J6631" s="0" t="n">
        <v>53167</v>
      </c>
      <c r="K6631" s="0" t="n">
        <v>4902505482052</v>
      </c>
      <c r="L6631" s="0" t="s">
        <v>5030</v>
      </c>
      <c r="N6631" s="0" t="n">
        <v>12</v>
      </c>
      <c r="O6631" s="0" t="n">
        <v>24</v>
      </c>
      <c r="P6631" s="0" t="s">
        <v>2444</v>
      </c>
    </row>
    <row r="6632" customFormat="false" ht="15" hidden="false" customHeight="true" outlineLevel="0" collapsed="false">
      <c r="A6632" s="0" t="n">
        <v>2</v>
      </c>
      <c r="B6632" s="71" t="n">
        <v>46253</v>
      </c>
      <c r="C6632" s="0" t="n">
        <v>11</v>
      </c>
      <c r="D6632" s="0" t="s">
        <v>2471</v>
      </c>
      <c r="E6632" s="0" t="n">
        <v>616</v>
      </c>
      <c r="F6632" s="0" t="s">
        <v>941</v>
      </c>
      <c r="I6632" s="0" t="n">
        <v>319297</v>
      </c>
      <c r="J6632" s="0" t="n">
        <v>53466</v>
      </c>
      <c r="K6632" s="0" t="n">
        <v>7896454300079</v>
      </c>
      <c r="L6632" s="0" t="s">
        <v>5031</v>
      </c>
      <c r="N6632" s="0" t="n">
        <v>12</v>
      </c>
      <c r="O6632" s="0" t="n">
        <v>92.4</v>
      </c>
      <c r="P6632" s="0" t="s">
        <v>2444</v>
      </c>
    </row>
    <row r="6633" customFormat="false" ht="15" hidden="false" customHeight="true" outlineLevel="0" collapsed="false">
      <c r="A6633" s="0" t="n">
        <v>2</v>
      </c>
      <c r="B6633" s="71" t="n">
        <v>46253</v>
      </c>
      <c r="C6633" s="0" t="n">
        <v>11</v>
      </c>
      <c r="D6633" s="0" t="s">
        <v>2471</v>
      </c>
      <c r="E6633" s="0" t="n">
        <v>616</v>
      </c>
      <c r="F6633" s="0" t="s">
        <v>941</v>
      </c>
      <c r="I6633" s="0" t="n">
        <v>319297</v>
      </c>
      <c r="J6633" s="0" t="n">
        <v>58910</v>
      </c>
      <c r="K6633" s="0" t="n">
        <v>4902505482021</v>
      </c>
      <c r="L6633" s="0" t="s">
        <v>5032</v>
      </c>
      <c r="N6633" s="0" t="n">
        <v>12</v>
      </c>
      <c r="O6633" s="0" t="n">
        <v>24</v>
      </c>
      <c r="P6633" s="0" t="s">
        <v>2444</v>
      </c>
    </row>
    <row r="6634" customFormat="false" ht="15" hidden="false" customHeight="true" outlineLevel="0" collapsed="false">
      <c r="A6634" s="0" t="n">
        <v>2</v>
      </c>
      <c r="B6634" s="71" t="n">
        <v>46253</v>
      </c>
      <c r="C6634" s="0" t="n">
        <v>11</v>
      </c>
      <c r="D6634" s="0" t="s">
        <v>2471</v>
      </c>
      <c r="E6634" s="0" t="n">
        <v>616</v>
      </c>
      <c r="F6634" s="0" t="s">
        <v>941</v>
      </c>
      <c r="I6634" s="0" t="n">
        <v>319297</v>
      </c>
      <c r="J6634" s="0" t="n">
        <v>59660</v>
      </c>
      <c r="K6634" s="0" t="n">
        <v>7897424080786</v>
      </c>
      <c r="L6634" s="0" t="s">
        <v>5033</v>
      </c>
      <c r="N6634" s="0" t="n">
        <v>12</v>
      </c>
      <c r="O6634" s="0" t="n">
        <v>42</v>
      </c>
      <c r="P6634" s="0" t="s">
        <v>2444</v>
      </c>
    </row>
    <row r="6635" customFormat="false" ht="15" hidden="false" customHeight="true" outlineLevel="0" collapsed="false">
      <c r="A6635" s="0" t="n">
        <v>2</v>
      </c>
      <c r="B6635" s="71" t="n">
        <v>46253</v>
      </c>
      <c r="C6635" s="0" t="n">
        <v>11</v>
      </c>
      <c r="D6635" s="0" t="s">
        <v>2471</v>
      </c>
      <c r="E6635" s="0" t="n">
        <v>616</v>
      </c>
      <c r="F6635" s="0" t="s">
        <v>941</v>
      </c>
      <c r="I6635" s="0" t="n">
        <v>319297</v>
      </c>
      <c r="J6635" s="0" t="n">
        <v>62489</v>
      </c>
      <c r="K6635" s="0" t="n">
        <v>7894494081163</v>
      </c>
      <c r="L6635" s="0" t="s">
        <v>5034</v>
      </c>
      <c r="N6635" s="0" t="n">
        <v>5</v>
      </c>
      <c r="O6635" s="0" t="n">
        <v>52</v>
      </c>
      <c r="P6635" s="0" t="s">
        <v>2444</v>
      </c>
    </row>
    <row r="6636" customFormat="false" ht="15" hidden="false" customHeight="true" outlineLevel="0" collapsed="false">
      <c r="A6636" s="0" t="n">
        <v>2</v>
      </c>
      <c r="B6636" s="71" t="n">
        <v>46253</v>
      </c>
      <c r="C6636" s="0" t="n">
        <v>11</v>
      </c>
      <c r="D6636" s="0" t="s">
        <v>2471</v>
      </c>
      <c r="E6636" s="0" t="n">
        <v>616</v>
      </c>
      <c r="F6636" s="0" t="s">
        <v>941</v>
      </c>
      <c r="I6636" s="0" t="n">
        <v>319297</v>
      </c>
      <c r="J6636" s="0" t="n">
        <v>82137</v>
      </c>
      <c r="K6636" s="0" t="n">
        <v>7898573161227</v>
      </c>
      <c r="L6636" s="0" t="s">
        <v>5035</v>
      </c>
      <c r="N6636" s="0" t="n">
        <v>12</v>
      </c>
      <c r="O6636" s="0" t="n">
        <v>52.8</v>
      </c>
      <c r="P6636" s="0" t="s">
        <v>2444</v>
      </c>
    </row>
    <row r="6637" customFormat="false" ht="15" hidden="false" customHeight="true" outlineLevel="0" collapsed="false">
      <c r="A6637" s="0" t="n">
        <v>2</v>
      </c>
      <c r="B6637" s="71" t="n">
        <v>46253</v>
      </c>
      <c r="C6637" s="0" t="n">
        <v>11</v>
      </c>
      <c r="D6637" s="0" t="s">
        <v>2471</v>
      </c>
      <c r="E6637" s="0" t="n">
        <v>616</v>
      </c>
      <c r="F6637" s="0" t="s">
        <v>941</v>
      </c>
      <c r="I6637" s="0" t="n">
        <v>319297</v>
      </c>
      <c r="J6637" s="0" t="n">
        <v>82138</v>
      </c>
      <c r="K6637" s="0" t="n">
        <v>7898457740296</v>
      </c>
      <c r="L6637" s="0" t="s">
        <v>5036</v>
      </c>
      <c r="N6637" s="0" t="n">
        <v>12</v>
      </c>
      <c r="O6637" s="0" t="n">
        <v>30</v>
      </c>
      <c r="P6637" s="0" t="s">
        <v>2444</v>
      </c>
    </row>
    <row r="6638" customFormat="false" ht="15" hidden="false" customHeight="true" outlineLevel="0" collapsed="false">
      <c r="A6638" s="0" t="n">
        <v>2</v>
      </c>
      <c r="B6638" s="71" t="n">
        <v>46253</v>
      </c>
      <c r="C6638" s="0" t="n">
        <v>11</v>
      </c>
      <c r="D6638" s="0" t="s">
        <v>2471</v>
      </c>
      <c r="E6638" s="0" t="n">
        <v>1616</v>
      </c>
      <c r="F6638" s="0" t="s">
        <v>64</v>
      </c>
      <c r="I6638" s="0" t="n">
        <v>654907</v>
      </c>
      <c r="J6638" s="0" t="n">
        <v>100842</v>
      </c>
      <c r="K6638" s="0" t="n">
        <v>7891022639001</v>
      </c>
      <c r="L6638" s="0" t="s">
        <v>2764</v>
      </c>
      <c r="N6638" s="0" t="n">
        <v>48</v>
      </c>
      <c r="O6638" s="0" t="n">
        <v>119.52</v>
      </c>
      <c r="P6638" s="0" t="s">
        <v>2444</v>
      </c>
    </row>
    <row r="6639" customFormat="false" ht="15" hidden="false" customHeight="true" outlineLevel="0" collapsed="false">
      <c r="A6639" s="0" t="n">
        <v>2</v>
      </c>
      <c r="B6639" s="71" t="n">
        <v>46253</v>
      </c>
      <c r="C6639" s="0" t="n">
        <v>11</v>
      </c>
      <c r="D6639" s="0" t="s">
        <v>2471</v>
      </c>
      <c r="E6639" s="0" t="n">
        <v>1616</v>
      </c>
      <c r="F6639" s="0" t="s">
        <v>64</v>
      </c>
      <c r="I6639" s="0" t="n">
        <v>654907</v>
      </c>
      <c r="J6639" s="0" t="n">
        <v>100843</v>
      </c>
      <c r="K6639" s="0" t="n">
        <v>7891022637007</v>
      </c>
      <c r="L6639" s="0" t="s">
        <v>2765</v>
      </c>
      <c r="N6639" s="0" t="n">
        <v>48</v>
      </c>
      <c r="O6639" s="0" t="n">
        <v>119.52</v>
      </c>
      <c r="P6639" s="0" t="s">
        <v>2444</v>
      </c>
    </row>
    <row r="6640" customFormat="false" ht="15" hidden="false" customHeight="true" outlineLevel="0" collapsed="false">
      <c r="A6640" s="0" t="n">
        <v>2</v>
      </c>
      <c r="B6640" s="71" t="n">
        <v>46253</v>
      </c>
      <c r="C6640" s="0" t="n">
        <v>11</v>
      </c>
      <c r="D6640" s="0" t="s">
        <v>2471</v>
      </c>
      <c r="E6640" s="0" t="n">
        <v>1616</v>
      </c>
      <c r="F6640" s="0" t="s">
        <v>64</v>
      </c>
      <c r="I6640" s="0" t="n">
        <v>654907</v>
      </c>
      <c r="J6640" s="0" t="n">
        <v>100844</v>
      </c>
      <c r="K6640" s="0" t="n">
        <v>7891022638004</v>
      </c>
      <c r="L6640" s="0" t="s">
        <v>2766</v>
      </c>
      <c r="N6640" s="0" t="n">
        <v>48</v>
      </c>
      <c r="O6640" s="0" t="n">
        <v>119.52</v>
      </c>
      <c r="P6640" s="0" t="s">
        <v>2444</v>
      </c>
    </row>
    <row r="6641" customFormat="false" ht="15" hidden="false" customHeight="true" outlineLevel="0" collapsed="false">
      <c r="A6641" s="0" t="n">
        <v>2</v>
      </c>
      <c r="B6641" s="71" t="n">
        <v>46253</v>
      </c>
      <c r="C6641" s="0" t="n">
        <v>11</v>
      </c>
      <c r="D6641" s="0" t="s">
        <v>2471</v>
      </c>
      <c r="E6641" s="0" t="n">
        <v>1616</v>
      </c>
      <c r="F6641" s="0" t="s">
        <v>64</v>
      </c>
      <c r="I6641" s="0" t="n">
        <v>654907</v>
      </c>
      <c r="J6641" s="0" t="n">
        <v>100845</v>
      </c>
      <c r="K6641" s="0" t="n">
        <v>7891022100372</v>
      </c>
      <c r="L6641" s="0" t="s">
        <v>5037</v>
      </c>
      <c r="N6641" s="0" t="n">
        <v>24</v>
      </c>
      <c r="O6641" s="0" t="n">
        <v>59.76</v>
      </c>
      <c r="P6641" s="0" t="s">
        <v>2444</v>
      </c>
    </row>
    <row r="6642" customFormat="false" ht="15" hidden="false" customHeight="true" outlineLevel="0" collapsed="false">
      <c r="A6642" s="0" t="n">
        <v>2</v>
      </c>
      <c r="B6642" s="71" t="n">
        <v>46253</v>
      </c>
      <c r="C6642" s="0" t="n">
        <v>11</v>
      </c>
      <c r="D6642" s="0" t="s">
        <v>2471</v>
      </c>
      <c r="E6642" s="0" t="n">
        <v>1616</v>
      </c>
      <c r="F6642" s="0" t="s">
        <v>64</v>
      </c>
      <c r="I6642" s="0" t="n">
        <v>654907</v>
      </c>
      <c r="J6642" s="0" t="n">
        <v>100846</v>
      </c>
      <c r="K6642" s="0" t="n">
        <v>7891022640007</v>
      </c>
      <c r="L6642" s="0" t="s">
        <v>2767</v>
      </c>
      <c r="N6642" s="0" t="n">
        <v>48</v>
      </c>
      <c r="O6642" s="0" t="n">
        <v>119.52</v>
      </c>
      <c r="P6642" s="0" t="s">
        <v>2444</v>
      </c>
    </row>
    <row r="6643" customFormat="false" ht="15" hidden="false" customHeight="true" outlineLevel="0" collapsed="false">
      <c r="A6643" s="0" t="n">
        <v>2</v>
      </c>
      <c r="B6643" s="71" t="n">
        <v>46253</v>
      </c>
      <c r="C6643" s="0" t="n">
        <v>11</v>
      </c>
      <c r="D6643" s="0" t="s">
        <v>2471</v>
      </c>
      <c r="E6643" s="0" t="n">
        <v>1616</v>
      </c>
      <c r="F6643" s="0" t="s">
        <v>64</v>
      </c>
      <c r="I6643" s="0" t="n">
        <v>654907</v>
      </c>
      <c r="J6643" s="0" t="n">
        <v>26648</v>
      </c>
      <c r="K6643" s="0" t="n">
        <v>7896058257670</v>
      </c>
      <c r="L6643" s="0" t="s">
        <v>3590</v>
      </c>
      <c r="N6643" s="0" t="n">
        <v>65</v>
      </c>
      <c r="O6643" s="0" t="n">
        <v>110.5</v>
      </c>
      <c r="P6643" s="0" t="s">
        <v>2444</v>
      </c>
    </row>
    <row r="6644" customFormat="false" ht="15" hidden="false" customHeight="true" outlineLevel="0" collapsed="false">
      <c r="A6644" s="0" t="n">
        <v>2</v>
      </c>
      <c r="B6644" s="71" t="n">
        <v>46253</v>
      </c>
      <c r="C6644" s="0" t="n">
        <v>11</v>
      </c>
      <c r="D6644" s="0" t="s">
        <v>2471</v>
      </c>
      <c r="E6644" s="0" t="n">
        <v>1616</v>
      </c>
      <c r="F6644" s="0" t="s">
        <v>64</v>
      </c>
      <c r="I6644" s="0" t="n">
        <v>654907</v>
      </c>
      <c r="J6644" s="0" t="n">
        <v>26649</v>
      </c>
      <c r="K6644" s="0" t="n">
        <v>7896058257656</v>
      </c>
      <c r="L6644" s="0" t="s">
        <v>3591</v>
      </c>
      <c r="N6644" s="0" t="n">
        <v>65</v>
      </c>
      <c r="O6644" s="0" t="n">
        <v>110.5</v>
      </c>
      <c r="P6644" s="0" t="s">
        <v>2444</v>
      </c>
    </row>
    <row r="6645" customFormat="false" ht="15" hidden="false" customHeight="true" outlineLevel="0" collapsed="false">
      <c r="A6645" s="0" t="n">
        <v>2</v>
      </c>
      <c r="B6645" s="71" t="n">
        <v>46253</v>
      </c>
      <c r="C6645" s="0" t="n">
        <v>11</v>
      </c>
      <c r="D6645" s="0" t="s">
        <v>2471</v>
      </c>
      <c r="E6645" s="0" t="n">
        <v>1616</v>
      </c>
      <c r="F6645" s="0" t="s">
        <v>64</v>
      </c>
      <c r="I6645" s="0" t="n">
        <v>654907</v>
      </c>
      <c r="J6645" s="0" t="n">
        <v>27322</v>
      </c>
      <c r="K6645" s="0" t="n">
        <v>7896058257663</v>
      </c>
      <c r="L6645" s="0" t="s">
        <v>3592</v>
      </c>
      <c r="N6645" s="0" t="n">
        <v>65</v>
      </c>
      <c r="O6645" s="0" t="n">
        <v>110.5</v>
      </c>
      <c r="P6645" s="0" t="s">
        <v>2444</v>
      </c>
    </row>
    <row r="6646" customFormat="false" ht="15" hidden="false" customHeight="true" outlineLevel="0" collapsed="false">
      <c r="A6646" s="0" t="n">
        <v>2</v>
      </c>
      <c r="B6646" s="71" t="n">
        <v>46253</v>
      </c>
      <c r="C6646" s="0" t="n">
        <v>11</v>
      </c>
      <c r="D6646" s="0" t="s">
        <v>2471</v>
      </c>
      <c r="E6646" s="0" t="n">
        <v>1616</v>
      </c>
      <c r="F6646" s="0" t="s">
        <v>64</v>
      </c>
      <c r="I6646" s="0" t="n">
        <v>654907</v>
      </c>
      <c r="J6646" s="0" t="n">
        <v>27779</v>
      </c>
      <c r="K6646" s="0" t="n">
        <v>7891022860955</v>
      </c>
      <c r="L6646" s="0" t="s">
        <v>5038</v>
      </c>
      <c r="N6646" s="0" t="n">
        <v>24</v>
      </c>
      <c r="O6646" s="0" t="n">
        <v>59.76</v>
      </c>
      <c r="P6646" s="0" t="s">
        <v>2444</v>
      </c>
    </row>
    <row r="6647" customFormat="false" ht="15" hidden="false" customHeight="true" outlineLevel="0" collapsed="false">
      <c r="A6647" s="0" t="n">
        <v>2</v>
      </c>
      <c r="B6647" s="71" t="n">
        <v>46253</v>
      </c>
      <c r="C6647" s="0" t="n">
        <v>11</v>
      </c>
      <c r="D6647" s="0" t="s">
        <v>2471</v>
      </c>
      <c r="E6647" s="0" t="n">
        <v>1616</v>
      </c>
      <c r="F6647" s="0" t="s">
        <v>64</v>
      </c>
      <c r="I6647" s="0" t="n">
        <v>654907</v>
      </c>
      <c r="J6647" s="0" t="n">
        <v>29289</v>
      </c>
      <c r="K6647" s="0" t="n">
        <v>7896058256406</v>
      </c>
      <c r="L6647" s="0" t="s">
        <v>4602</v>
      </c>
      <c r="N6647" s="0" t="n">
        <v>42</v>
      </c>
      <c r="O6647" s="0" t="n">
        <v>92.4</v>
      </c>
      <c r="P6647" s="0" t="s">
        <v>2444</v>
      </c>
    </row>
    <row r="6648" customFormat="false" ht="15" hidden="false" customHeight="true" outlineLevel="0" collapsed="false">
      <c r="A6648" s="0" t="n">
        <v>2</v>
      </c>
      <c r="B6648" s="71" t="n">
        <v>46253</v>
      </c>
      <c r="C6648" s="0" t="n">
        <v>11</v>
      </c>
      <c r="D6648" s="0" t="s">
        <v>2471</v>
      </c>
      <c r="E6648" s="0" t="n">
        <v>1616</v>
      </c>
      <c r="F6648" s="0" t="s">
        <v>64</v>
      </c>
      <c r="I6648" s="0" t="n">
        <v>654907</v>
      </c>
      <c r="J6648" s="0" t="n">
        <v>31628</v>
      </c>
      <c r="K6648" s="0" t="n">
        <v>7898142863774</v>
      </c>
      <c r="L6648" s="0" t="s">
        <v>3596</v>
      </c>
      <c r="N6648" s="0" t="n">
        <v>15</v>
      </c>
      <c r="O6648" s="0" t="n">
        <v>119.85</v>
      </c>
      <c r="P6648" s="0" t="s">
        <v>2444</v>
      </c>
    </row>
    <row r="6649" customFormat="false" ht="15" hidden="false" customHeight="true" outlineLevel="0" collapsed="false">
      <c r="A6649" s="0" t="n">
        <v>2</v>
      </c>
      <c r="B6649" s="71" t="n">
        <v>46253</v>
      </c>
      <c r="C6649" s="0" t="n">
        <v>11</v>
      </c>
      <c r="D6649" s="0" t="s">
        <v>2471</v>
      </c>
      <c r="E6649" s="0" t="n">
        <v>1616</v>
      </c>
      <c r="F6649" s="0" t="s">
        <v>64</v>
      </c>
      <c r="I6649" s="0" t="n">
        <v>654907</v>
      </c>
      <c r="J6649" s="0" t="n">
        <v>53016</v>
      </c>
      <c r="K6649" s="0" t="n">
        <v>7891022100433</v>
      </c>
      <c r="L6649" s="0" t="s">
        <v>5039</v>
      </c>
      <c r="N6649" s="0" t="n">
        <v>24</v>
      </c>
      <c r="O6649" s="0" t="n">
        <v>71.76</v>
      </c>
      <c r="P6649" s="0" t="s">
        <v>2444</v>
      </c>
    </row>
    <row r="6650" customFormat="false" ht="15" hidden="false" customHeight="true" outlineLevel="0" collapsed="false">
      <c r="A6650" s="0" t="n">
        <v>2</v>
      </c>
      <c r="B6650" s="71" t="n">
        <v>46253</v>
      </c>
      <c r="C6650" s="0" t="n">
        <v>11</v>
      </c>
      <c r="D6650" s="0" t="s">
        <v>2471</v>
      </c>
      <c r="E6650" s="0" t="n">
        <v>1616</v>
      </c>
      <c r="F6650" s="0" t="s">
        <v>64</v>
      </c>
      <c r="I6650" s="0" t="n">
        <v>654908</v>
      </c>
      <c r="J6650" s="0" t="n">
        <v>81559</v>
      </c>
      <c r="K6650" s="0" t="n">
        <v>7896022208202</v>
      </c>
      <c r="L6650" s="0" t="s">
        <v>5040</v>
      </c>
      <c r="N6650" s="0" t="n">
        <v>120</v>
      </c>
      <c r="O6650" s="0" t="n">
        <v>184.85</v>
      </c>
      <c r="P6650" s="0" t="s">
        <v>2444</v>
      </c>
    </row>
    <row r="6651" customFormat="false" ht="15" hidden="false" customHeight="true" outlineLevel="0" collapsed="false">
      <c r="A6651" s="0" t="n">
        <v>2</v>
      </c>
      <c r="B6651" s="71" t="n">
        <v>46253</v>
      </c>
      <c r="C6651" s="0" t="n">
        <v>11</v>
      </c>
      <c r="D6651" s="0" t="s">
        <v>2471</v>
      </c>
      <c r="E6651" s="0" t="n">
        <v>1616</v>
      </c>
      <c r="F6651" s="0" t="s">
        <v>64</v>
      </c>
      <c r="I6651" s="0" t="n">
        <v>654908</v>
      </c>
      <c r="J6651" s="0" t="n">
        <v>81846</v>
      </c>
      <c r="K6651" s="0" t="n">
        <v>7896022208035</v>
      </c>
      <c r="L6651" s="0" t="s">
        <v>5041</v>
      </c>
      <c r="N6651" s="0" t="n">
        <v>160</v>
      </c>
      <c r="O6651" s="0" t="n">
        <v>246.45</v>
      </c>
      <c r="P6651" s="0" t="s">
        <v>2444</v>
      </c>
    </row>
    <row r="6652" customFormat="false" ht="15" hidden="false" customHeight="true" outlineLevel="0" collapsed="false">
      <c r="A6652" s="0" t="n">
        <v>2</v>
      </c>
      <c r="B6652" s="71" t="n">
        <v>46253</v>
      </c>
      <c r="C6652" s="0" t="n">
        <v>22</v>
      </c>
      <c r="D6652" s="0" t="s">
        <v>2479</v>
      </c>
      <c r="E6652" s="0" t="n">
        <v>48</v>
      </c>
      <c r="F6652" s="0" t="s">
        <v>153</v>
      </c>
      <c r="I6652" s="0" t="n">
        <v>2614</v>
      </c>
      <c r="J6652" s="0" t="n">
        <v>100000</v>
      </c>
      <c r="K6652" s="0" t="n">
        <v>1</v>
      </c>
      <c r="L6652" s="0" t="s">
        <v>2480</v>
      </c>
      <c r="N6652" s="0" t="n">
        <v>3.016</v>
      </c>
      <c r="O6652" s="0" t="n">
        <v>61.29</v>
      </c>
      <c r="P6652" s="0" t="s">
        <v>2444</v>
      </c>
    </row>
    <row r="6653" customFormat="false" ht="15" hidden="false" customHeight="true" outlineLevel="0" collapsed="false">
      <c r="A6653" s="0" t="n">
        <v>2</v>
      </c>
      <c r="B6653" s="71" t="n">
        <v>46253</v>
      </c>
      <c r="C6653" s="0" t="n">
        <v>22</v>
      </c>
      <c r="D6653" s="0" t="s">
        <v>2479</v>
      </c>
      <c r="E6653" s="0" t="n">
        <v>48</v>
      </c>
      <c r="F6653" s="0" t="s">
        <v>153</v>
      </c>
      <c r="I6653" s="0" t="n">
        <v>2614</v>
      </c>
      <c r="J6653" s="0" t="n">
        <v>100006</v>
      </c>
      <c r="K6653" s="0" t="n">
        <v>7</v>
      </c>
      <c r="L6653" s="0" t="s">
        <v>2485</v>
      </c>
      <c r="N6653" s="0" t="n">
        <v>2.346</v>
      </c>
      <c r="O6653" s="0" t="n">
        <v>67.54</v>
      </c>
      <c r="P6653" s="0" t="s">
        <v>2444</v>
      </c>
    </row>
    <row r="6654" customFormat="false" ht="15" hidden="false" customHeight="true" outlineLevel="0" collapsed="false">
      <c r="A6654" s="0" t="n">
        <v>2</v>
      </c>
      <c r="B6654" s="71" t="n">
        <v>46253</v>
      </c>
      <c r="C6654" s="0" t="n">
        <v>22</v>
      </c>
      <c r="D6654" s="0" t="s">
        <v>2479</v>
      </c>
      <c r="E6654" s="0" t="n">
        <v>48</v>
      </c>
      <c r="F6654" s="0" t="s">
        <v>153</v>
      </c>
      <c r="I6654" s="0" t="n">
        <v>2614</v>
      </c>
      <c r="J6654" s="0" t="n">
        <v>100007</v>
      </c>
      <c r="K6654" s="0" t="n">
        <v>8</v>
      </c>
      <c r="L6654" s="0" t="s">
        <v>2486</v>
      </c>
      <c r="N6654" s="0" t="n">
        <v>1.942</v>
      </c>
      <c r="O6654" s="0" t="n">
        <v>49.33</v>
      </c>
      <c r="P6654" s="0" t="s">
        <v>2444</v>
      </c>
    </row>
    <row r="6655" customFormat="false" ht="15" hidden="false" customHeight="true" outlineLevel="0" collapsed="false">
      <c r="A6655" s="0" t="n">
        <v>2</v>
      </c>
      <c r="B6655" s="71" t="n">
        <v>46253</v>
      </c>
      <c r="C6655" s="0" t="n">
        <v>22</v>
      </c>
      <c r="D6655" s="0" t="s">
        <v>2479</v>
      </c>
      <c r="E6655" s="0" t="n">
        <v>48</v>
      </c>
      <c r="F6655" s="0" t="s">
        <v>153</v>
      </c>
      <c r="I6655" s="0" t="n">
        <v>2614</v>
      </c>
      <c r="J6655" s="0" t="n">
        <v>100008</v>
      </c>
      <c r="K6655" s="0" t="n">
        <v>9</v>
      </c>
      <c r="L6655" s="0" t="s">
        <v>2487</v>
      </c>
      <c r="N6655" s="0" t="n">
        <v>14.42</v>
      </c>
      <c r="O6655" s="0" t="n">
        <v>476.24</v>
      </c>
      <c r="P6655" s="0" t="s">
        <v>2444</v>
      </c>
    </row>
    <row r="6656" customFormat="false" ht="15" hidden="false" customHeight="true" outlineLevel="0" collapsed="false">
      <c r="A6656" s="0" t="n">
        <v>2</v>
      </c>
      <c r="B6656" s="71" t="n">
        <v>46253</v>
      </c>
      <c r="C6656" s="0" t="n">
        <v>22</v>
      </c>
      <c r="D6656" s="0" t="s">
        <v>2479</v>
      </c>
      <c r="E6656" s="0" t="n">
        <v>48</v>
      </c>
      <c r="F6656" s="0" t="s">
        <v>153</v>
      </c>
      <c r="I6656" s="0" t="n">
        <v>2614</v>
      </c>
      <c r="J6656" s="0" t="n">
        <v>100011</v>
      </c>
      <c r="K6656" s="0" t="n">
        <v>12</v>
      </c>
      <c r="L6656" s="0" t="s">
        <v>2488</v>
      </c>
      <c r="N6656" s="0" t="n">
        <v>10.525</v>
      </c>
      <c r="O6656" s="0" t="n">
        <v>401.09</v>
      </c>
      <c r="P6656" s="0" t="s">
        <v>2444</v>
      </c>
    </row>
    <row r="6657" customFormat="false" ht="15" hidden="false" customHeight="true" outlineLevel="0" collapsed="false">
      <c r="A6657" s="0" t="n">
        <v>2</v>
      </c>
      <c r="B6657" s="71" t="n">
        <v>46253</v>
      </c>
      <c r="C6657" s="0" t="n">
        <v>22</v>
      </c>
      <c r="D6657" s="0" t="s">
        <v>2479</v>
      </c>
      <c r="E6657" s="0" t="n">
        <v>48</v>
      </c>
      <c r="F6657" s="0" t="s">
        <v>153</v>
      </c>
      <c r="I6657" s="0" t="n">
        <v>2614</v>
      </c>
      <c r="J6657" s="0" t="n">
        <v>100012</v>
      </c>
      <c r="K6657" s="0" t="n">
        <v>13</v>
      </c>
      <c r="L6657" s="0" t="s">
        <v>2489</v>
      </c>
      <c r="N6657" s="0" t="n">
        <v>5.414</v>
      </c>
      <c r="O6657" s="0" t="n">
        <v>229.25</v>
      </c>
      <c r="P6657" s="0" t="s">
        <v>2444</v>
      </c>
    </row>
    <row r="6658" customFormat="false" ht="15" hidden="false" customHeight="true" outlineLevel="0" collapsed="false">
      <c r="A6658" s="0" t="n">
        <v>2</v>
      </c>
      <c r="B6658" s="71" t="n">
        <v>46253</v>
      </c>
      <c r="C6658" s="0" t="n">
        <v>22</v>
      </c>
      <c r="D6658" s="0" t="s">
        <v>2479</v>
      </c>
      <c r="E6658" s="0" t="n">
        <v>48</v>
      </c>
      <c r="F6658" s="0" t="s">
        <v>153</v>
      </c>
      <c r="I6658" s="0" t="n">
        <v>2614</v>
      </c>
      <c r="J6658" s="0" t="n">
        <v>100013</v>
      </c>
      <c r="K6658" s="0" t="n">
        <v>14</v>
      </c>
      <c r="L6658" s="0" t="s">
        <v>2490</v>
      </c>
      <c r="N6658" s="0" t="n">
        <v>10.285</v>
      </c>
      <c r="O6658" s="0" t="n">
        <v>461.64</v>
      </c>
      <c r="P6658" s="0" t="s">
        <v>2444</v>
      </c>
    </row>
    <row r="6659" customFormat="false" ht="15" hidden="false" customHeight="true" outlineLevel="0" collapsed="false">
      <c r="A6659" s="0" t="n">
        <v>2</v>
      </c>
      <c r="B6659" s="71" t="n">
        <v>46253</v>
      </c>
      <c r="C6659" s="0" t="n">
        <v>22</v>
      </c>
      <c r="D6659" s="0" t="s">
        <v>2479</v>
      </c>
      <c r="E6659" s="0" t="n">
        <v>48</v>
      </c>
      <c r="F6659" s="0" t="s">
        <v>153</v>
      </c>
      <c r="I6659" s="0" t="n">
        <v>2614</v>
      </c>
      <c r="J6659" s="0" t="n">
        <v>100014</v>
      </c>
      <c r="K6659" s="0" t="n">
        <v>15</v>
      </c>
      <c r="L6659" s="0" t="s">
        <v>2491</v>
      </c>
      <c r="N6659" s="0" t="n">
        <v>3.99</v>
      </c>
      <c r="O6659" s="0" t="n">
        <v>182.47</v>
      </c>
      <c r="P6659" s="0" t="s">
        <v>2444</v>
      </c>
    </row>
    <row r="6660" customFormat="false" ht="15" hidden="false" customHeight="true" outlineLevel="0" collapsed="false">
      <c r="A6660" s="0" t="n">
        <v>2</v>
      </c>
      <c r="B6660" s="71" t="n">
        <v>46253</v>
      </c>
      <c r="C6660" s="0" t="n">
        <v>22</v>
      </c>
      <c r="D6660" s="0" t="s">
        <v>2479</v>
      </c>
      <c r="E6660" s="0" t="n">
        <v>48</v>
      </c>
      <c r="F6660" s="0" t="s">
        <v>153</v>
      </c>
      <c r="I6660" s="0" t="n">
        <v>2614</v>
      </c>
      <c r="J6660" s="0" t="n">
        <v>100015</v>
      </c>
      <c r="K6660" s="0" t="n">
        <v>16</v>
      </c>
      <c r="L6660" s="0" t="s">
        <v>2492</v>
      </c>
      <c r="N6660" s="0" t="n">
        <v>1.898</v>
      </c>
      <c r="O6660" s="0" t="n">
        <v>77.15</v>
      </c>
      <c r="P6660" s="0" t="s">
        <v>2444</v>
      </c>
    </row>
    <row r="6661" customFormat="false" ht="15" hidden="false" customHeight="true" outlineLevel="0" collapsed="false">
      <c r="A6661" s="0" t="n">
        <v>2</v>
      </c>
      <c r="B6661" s="71" t="n">
        <v>46253</v>
      </c>
      <c r="C6661" s="0" t="n">
        <v>22</v>
      </c>
      <c r="D6661" s="0" t="s">
        <v>2479</v>
      </c>
      <c r="E6661" s="0" t="n">
        <v>48</v>
      </c>
      <c r="F6661" s="0" t="s">
        <v>153</v>
      </c>
      <c r="I6661" s="0" t="n">
        <v>2614</v>
      </c>
      <c r="J6661" s="0" t="n">
        <v>100016</v>
      </c>
      <c r="K6661" s="0" t="n">
        <v>17</v>
      </c>
      <c r="L6661" s="0" t="s">
        <v>2493</v>
      </c>
      <c r="N6661" s="0" t="n">
        <v>2.714</v>
      </c>
      <c r="O6661" s="0" t="n">
        <v>137.91</v>
      </c>
      <c r="P6661" s="0" t="s">
        <v>2444</v>
      </c>
    </row>
    <row r="6662" customFormat="false" ht="15" hidden="false" customHeight="true" outlineLevel="0" collapsed="false">
      <c r="A6662" s="0" t="n">
        <v>2</v>
      </c>
      <c r="B6662" s="71" t="n">
        <v>46253</v>
      </c>
      <c r="C6662" s="0" t="n">
        <v>22</v>
      </c>
      <c r="D6662" s="0" t="s">
        <v>2479</v>
      </c>
      <c r="E6662" s="0" t="n">
        <v>48</v>
      </c>
      <c r="F6662" s="0" t="s">
        <v>153</v>
      </c>
      <c r="I6662" s="0" t="n">
        <v>2614</v>
      </c>
      <c r="J6662" s="0" t="n">
        <v>100017</v>
      </c>
      <c r="K6662" s="0" t="n">
        <v>18</v>
      </c>
      <c r="L6662" s="0" t="s">
        <v>2494</v>
      </c>
      <c r="N6662" s="0" t="n">
        <v>1.632</v>
      </c>
      <c r="O6662" s="0" t="n">
        <v>96.75</v>
      </c>
      <c r="P6662" s="0" t="s">
        <v>2444</v>
      </c>
    </row>
    <row r="6663" customFormat="false" ht="15" hidden="false" customHeight="true" outlineLevel="0" collapsed="false">
      <c r="A6663" s="0" t="n">
        <v>2</v>
      </c>
      <c r="B6663" s="71" t="n">
        <v>46253</v>
      </c>
      <c r="C6663" s="0" t="n">
        <v>22</v>
      </c>
      <c r="D6663" s="0" t="s">
        <v>2479</v>
      </c>
      <c r="E6663" s="0" t="n">
        <v>48</v>
      </c>
      <c r="F6663" s="0" t="s">
        <v>153</v>
      </c>
      <c r="I6663" s="0" t="n">
        <v>2614</v>
      </c>
      <c r="J6663" s="0" t="n">
        <v>100053</v>
      </c>
      <c r="K6663" s="0" t="n">
        <v>54</v>
      </c>
      <c r="L6663" s="0" t="s">
        <v>2495</v>
      </c>
      <c r="N6663" s="0" t="n">
        <v>1.854</v>
      </c>
      <c r="O6663" s="0" t="n">
        <v>69.08</v>
      </c>
      <c r="P6663" s="0" t="s">
        <v>2444</v>
      </c>
    </row>
    <row r="6664" customFormat="false" ht="15" hidden="false" customHeight="true" outlineLevel="0" collapsed="false">
      <c r="A6664" s="0" t="n">
        <v>2</v>
      </c>
      <c r="B6664" s="71" t="n">
        <v>46253</v>
      </c>
      <c r="C6664" s="0" t="n">
        <v>22</v>
      </c>
      <c r="D6664" s="0" t="s">
        <v>2479</v>
      </c>
      <c r="E6664" s="0" t="n">
        <v>48</v>
      </c>
      <c r="F6664" s="0" t="s">
        <v>153</v>
      </c>
      <c r="I6664" s="0" t="n">
        <v>2614</v>
      </c>
      <c r="J6664" s="0" t="n">
        <v>100638</v>
      </c>
      <c r="K6664" s="0" t="n">
        <v>508</v>
      </c>
      <c r="L6664" s="0" t="s">
        <v>2496</v>
      </c>
      <c r="N6664" s="0" t="n">
        <v>1.094</v>
      </c>
      <c r="O6664" s="0" t="n">
        <v>2.77</v>
      </c>
      <c r="P6664" s="0" t="s">
        <v>2444</v>
      </c>
    </row>
    <row r="6665" customFormat="false" ht="15" hidden="false" customHeight="true" outlineLevel="0" collapsed="false">
      <c r="A6665" s="0" t="n">
        <v>2</v>
      </c>
      <c r="B6665" s="71" t="n">
        <v>46253</v>
      </c>
      <c r="C6665" s="0" t="n">
        <v>22</v>
      </c>
      <c r="D6665" s="0" t="s">
        <v>2479</v>
      </c>
      <c r="E6665" s="0" t="n">
        <v>48</v>
      </c>
      <c r="F6665" s="0" t="s">
        <v>153</v>
      </c>
      <c r="I6665" s="0" t="n">
        <v>2614</v>
      </c>
      <c r="J6665" s="0" t="n">
        <v>100520</v>
      </c>
      <c r="K6665" s="0" t="n">
        <v>507</v>
      </c>
      <c r="L6665" s="0" t="s">
        <v>2497</v>
      </c>
      <c r="N6665" s="0" t="n">
        <v>8.77</v>
      </c>
      <c r="O6665" s="0" t="n">
        <v>22.21</v>
      </c>
      <c r="P6665" s="0" t="s">
        <v>2444</v>
      </c>
    </row>
    <row r="6666" customFormat="false" ht="15" hidden="false" customHeight="true" outlineLevel="0" collapsed="false">
      <c r="A6666" s="0" t="n">
        <v>2</v>
      </c>
      <c r="B6666" s="71" t="n">
        <v>46253</v>
      </c>
      <c r="C6666" s="0" t="n">
        <v>22</v>
      </c>
      <c r="D6666" s="0" t="s">
        <v>2479</v>
      </c>
      <c r="E6666" s="0" t="n">
        <v>48</v>
      </c>
      <c r="F6666" s="0" t="s">
        <v>153</v>
      </c>
      <c r="I6666" s="0" t="n">
        <v>2614</v>
      </c>
      <c r="J6666" s="0" t="n">
        <v>110455</v>
      </c>
      <c r="K6666" s="0" t="n">
        <v>53212</v>
      </c>
      <c r="L6666" s="0" t="s">
        <v>2498</v>
      </c>
      <c r="N6666" s="0" t="n">
        <v>0.85</v>
      </c>
      <c r="O6666" s="0" t="n">
        <v>0.03</v>
      </c>
      <c r="P6666" s="0" t="s">
        <v>2444</v>
      </c>
    </row>
    <row r="6667" customFormat="false" ht="15" hidden="false" customHeight="true" outlineLevel="0" collapsed="false">
      <c r="A6667" s="0" t="n">
        <v>2</v>
      </c>
      <c r="B6667" s="71" t="n">
        <v>46253</v>
      </c>
      <c r="C6667" s="0" t="n">
        <v>100</v>
      </c>
      <c r="D6667" s="0" t="s">
        <v>2499</v>
      </c>
      <c r="E6667" s="0" t="n">
        <v>48</v>
      </c>
      <c r="F6667" s="0" t="s">
        <v>153</v>
      </c>
      <c r="I6667" s="0" t="n">
        <v>1572390</v>
      </c>
      <c r="J6667" s="0" t="n">
        <v>100000</v>
      </c>
      <c r="K6667" s="0" t="n">
        <v>1</v>
      </c>
      <c r="L6667" s="0" t="s">
        <v>2480</v>
      </c>
      <c r="N6667" s="0" t="n">
        <v>3.016</v>
      </c>
      <c r="O6667" s="0" t="n">
        <v>61.29</v>
      </c>
      <c r="P6667" s="0" t="s">
        <v>2444</v>
      </c>
    </row>
    <row r="6668" customFormat="false" ht="15" hidden="false" customHeight="true" outlineLevel="0" collapsed="false">
      <c r="A6668" s="0" t="n">
        <v>2</v>
      </c>
      <c r="B6668" s="71" t="n">
        <v>46253</v>
      </c>
      <c r="C6668" s="0" t="n">
        <v>100</v>
      </c>
      <c r="D6668" s="0" t="s">
        <v>2499</v>
      </c>
      <c r="E6668" s="0" t="n">
        <v>48</v>
      </c>
      <c r="F6668" s="0" t="s">
        <v>153</v>
      </c>
      <c r="I6668" s="0" t="n">
        <v>1572390</v>
      </c>
      <c r="J6668" s="0" t="n">
        <v>100006</v>
      </c>
      <c r="K6668" s="0" t="n">
        <v>7</v>
      </c>
      <c r="L6668" s="0" t="s">
        <v>2485</v>
      </c>
      <c r="N6668" s="0" t="n">
        <v>2.346</v>
      </c>
      <c r="O6668" s="0" t="n">
        <v>67.54</v>
      </c>
      <c r="P6668" s="0" t="s">
        <v>2444</v>
      </c>
    </row>
    <row r="6669" customFormat="false" ht="15" hidden="false" customHeight="true" outlineLevel="0" collapsed="false">
      <c r="A6669" s="0" t="n">
        <v>2</v>
      </c>
      <c r="B6669" s="71" t="n">
        <v>46253</v>
      </c>
      <c r="C6669" s="0" t="n">
        <v>100</v>
      </c>
      <c r="D6669" s="0" t="s">
        <v>2499</v>
      </c>
      <c r="E6669" s="0" t="n">
        <v>48</v>
      </c>
      <c r="F6669" s="0" t="s">
        <v>153</v>
      </c>
      <c r="I6669" s="0" t="n">
        <v>1572390</v>
      </c>
      <c r="J6669" s="0" t="n">
        <v>100007</v>
      </c>
      <c r="K6669" s="0" t="n">
        <v>8</v>
      </c>
      <c r="L6669" s="0" t="s">
        <v>2486</v>
      </c>
      <c r="N6669" s="0" t="n">
        <v>1.942</v>
      </c>
      <c r="O6669" s="0" t="n">
        <v>49.33</v>
      </c>
      <c r="P6669" s="0" t="s">
        <v>2444</v>
      </c>
    </row>
    <row r="6670" customFormat="false" ht="15" hidden="false" customHeight="true" outlineLevel="0" collapsed="false">
      <c r="A6670" s="0" t="n">
        <v>2</v>
      </c>
      <c r="B6670" s="71" t="n">
        <v>46253</v>
      </c>
      <c r="C6670" s="0" t="n">
        <v>100</v>
      </c>
      <c r="D6670" s="0" t="s">
        <v>2499</v>
      </c>
      <c r="E6670" s="0" t="n">
        <v>48</v>
      </c>
      <c r="F6670" s="0" t="s">
        <v>153</v>
      </c>
      <c r="I6670" s="0" t="n">
        <v>1572390</v>
      </c>
      <c r="J6670" s="0" t="n">
        <v>100008</v>
      </c>
      <c r="K6670" s="0" t="n">
        <v>9</v>
      </c>
      <c r="L6670" s="0" t="s">
        <v>2487</v>
      </c>
      <c r="N6670" s="0" t="n">
        <v>14.42</v>
      </c>
      <c r="O6670" s="0" t="n">
        <v>476.24</v>
      </c>
      <c r="P6670" s="0" t="s">
        <v>2444</v>
      </c>
    </row>
    <row r="6671" customFormat="false" ht="15" hidden="false" customHeight="true" outlineLevel="0" collapsed="false">
      <c r="A6671" s="0" t="n">
        <v>2</v>
      </c>
      <c r="B6671" s="71" t="n">
        <v>46253</v>
      </c>
      <c r="C6671" s="0" t="n">
        <v>100</v>
      </c>
      <c r="D6671" s="0" t="s">
        <v>2499</v>
      </c>
      <c r="E6671" s="0" t="n">
        <v>48</v>
      </c>
      <c r="F6671" s="0" t="s">
        <v>153</v>
      </c>
      <c r="I6671" s="0" t="n">
        <v>1572390</v>
      </c>
      <c r="J6671" s="0" t="n">
        <v>100011</v>
      </c>
      <c r="K6671" s="0" t="n">
        <v>12</v>
      </c>
      <c r="L6671" s="0" t="s">
        <v>2488</v>
      </c>
      <c r="N6671" s="0" t="n">
        <v>10.525</v>
      </c>
      <c r="O6671" s="0" t="n">
        <v>401.09</v>
      </c>
      <c r="P6671" s="0" t="s">
        <v>2444</v>
      </c>
    </row>
    <row r="6672" customFormat="false" ht="15" hidden="false" customHeight="true" outlineLevel="0" collapsed="false">
      <c r="A6672" s="0" t="n">
        <v>2</v>
      </c>
      <c r="B6672" s="71" t="n">
        <v>46253</v>
      </c>
      <c r="C6672" s="0" t="n">
        <v>100</v>
      </c>
      <c r="D6672" s="0" t="s">
        <v>2499</v>
      </c>
      <c r="E6672" s="0" t="n">
        <v>48</v>
      </c>
      <c r="F6672" s="0" t="s">
        <v>153</v>
      </c>
      <c r="I6672" s="0" t="n">
        <v>1572390</v>
      </c>
      <c r="J6672" s="0" t="n">
        <v>100012</v>
      </c>
      <c r="K6672" s="0" t="n">
        <v>13</v>
      </c>
      <c r="L6672" s="0" t="s">
        <v>2489</v>
      </c>
      <c r="N6672" s="0" t="n">
        <v>5.414</v>
      </c>
      <c r="O6672" s="0" t="n">
        <v>229.25</v>
      </c>
      <c r="P6672" s="0" t="s">
        <v>2444</v>
      </c>
    </row>
    <row r="6673" customFormat="false" ht="15" hidden="false" customHeight="true" outlineLevel="0" collapsed="false">
      <c r="A6673" s="0" t="n">
        <v>2</v>
      </c>
      <c r="B6673" s="71" t="n">
        <v>46253</v>
      </c>
      <c r="C6673" s="0" t="n">
        <v>100</v>
      </c>
      <c r="D6673" s="0" t="s">
        <v>2499</v>
      </c>
      <c r="E6673" s="0" t="n">
        <v>48</v>
      </c>
      <c r="F6673" s="0" t="s">
        <v>153</v>
      </c>
      <c r="I6673" s="0" t="n">
        <v>1572390</v>
      </c>
      <c r="J6673" s="0" t="n">
        <v>100013</v>
      </c>
      <c r="K6673" s="0" t="n">
        <v>14</v>
      </c>
      <c r="L6673" s="0" t="s">
        <v>2490</v>
      </c>
      <c r="N6673" s="0" t="n">
        <v>10.285</v>
      </c>
      <c r="O6673" s="0" t="n">
        <v>461.64</v>
      </c>
      <c r="P6673" s="0" t="s">
        <v>2444</v>
      </c>
    </row>
    <row r="6674" customFormat="false" ht="15" hidden="false" customHeight="true" outlineLevel="0" collapsed="false">
      <c r="A6674" s="0" t="n">
        <v>2</v>
      </c>
      <c r="B6674" s="71" t="n">
        <v>46253</v>
      </c>
      <c r="C6674" s="0" t="n">
        <v>100</v>
      </c>
      <c r="D6674" s="0" t="s">
        <v>2499</v>
      </c>
      <c r="E6674" s="0" t="n">
        <v>48</v>
      </c>
      <c r="F6674" s="0" t="s">
        <v>153</v>
      </c>
      <c r="I6674" s="0" t="n">
        <v>1572390</v>
      </c>
      <c r="J6674" s="0" t="n">
        <v>100014</v>
      </c>
      <c r="K6674" s="0" t="n">
        <v>15</v>
      </c>
      <c r="L6674" s="0" t="s">
        <v>2491</v>
      </c>
      <c r="N6674" s="0" t="n">
        <v>3.99</v>
      </c>
      <c r="O6674" s="0" t="n">
        <v>182.47</v>
      </c>
      <c r="P6674" s="0" t="s">
        <v>2444</v>
      </c>
    </row>
    <row r="6675" customFormat="false" ht="15" hidden="false" customHeight="true" outlineLevel="0" collapsed="false">
      <c r="A6675" s="0" t="n">
        <v>2</v>
      </c>
      <c r="B6675" s="71" t="n">
        <v>46253</v>
      </c>
      <c r="C6675" s="0" t="n">
        <v>100</v>
      </c>
      <c r="D6675" s="0" t="s">
        <v>2499</v>
      </c>
      <c r="E6675" s="0" t="n">
        <v>48</v>
      </c>
      <c r="F6675" s="0" t="s">
        <v>153</v>
      </c>
      <c r="I6675" s="0" t="n">
        <v>1572390</v>
      </c>
      <c r="J6675" s="0" t="n">
        <v>100015</v>
      </c>
      <c r="K6675" s="0" t="n">
        <v>16</v>
      </c>
      <c r="L6675" s="0" t="s">
        <v>2492</v>
      </c>
      <c r="N6675" s="0" t="n">
        <v>1.898</v>
      </c>
      <c r="O6675" s="0" t="n">
        <v>77.15</v>
      </c>
      <c r="P6675" s="0" t="s">
        <v>2444</v>
      </c>
    </row>
    <row r="6676" customFormat="false" ht="15" hidden="false" customHeight="true" outlineLevel="0" collapsed="false">
      <c r="A6676" s="0" t="n">
        <v>2</v>
      </c>
      <c r="B6676" s="71" t="n">
        <v>46253</v>
      </c>
      <c r="C6676" s="0" t="n">
        <v>100</v>
      </c>
      <c r="D6676" s="0" t="s">
        <v>2499</v>
      </c>
      <c r="E6676" s="0" t="n">
        <v>48</v>
      </c>
      <c r="F6676" s="0" t="s">
        <v>153</v>
      </c>
      <c r="I6676" s="0" t="n">
        <v>1572390</v>
      </c>
      <c r="J6676" s="0" t="n">
        <v>100016</v>
      </c>
      <c r="K6676" s="0" t="n">
        <v>17</v>
      </c>
      <c r="L6676" s="0" t="s">
        <v>2493</v>
      </c>
      <c r="N6676" s="0" t="n">
        <v>2.714</v>
      </c>
      <c r="O6676" s="0" t="n">
        <v>137.91</v>
      </c>
      <c r="P6676" s="0" t="s">
        <v>2444</v>
      </c>
    </row>
    <row r="6677" customFormat="false" ht="15" hidden="false" customHeight="true" outlineLevel="0" collapsed="false">
      <c r="A6677" s="0" t="n">
        <v>2</v>
      </c>
      <c r="B6677" s="71" t="n">
        <v>46253</v>
      </c>
      <c r="C6677" s="0" t="n">
        <v>100</v>
      </c>
      <c r="D6677" s="0" t="s">
        <v>2499</v>
      </c>
      <c r="E6677" s="0" t="n">
        <v>48</v>
      </c>
      <c r="F6677" s="0" t="s">
        <v>153</v>
      </c>
      <c r="I6677" s="0" t="n">
        <v>1572390</v>
      </c>
      <c r="J6677" s="0" t="n">
        <v>100017</v>
      </c>
      <c r="K6677" s="0" t="n">
        <v>18</v>
      </c>
      <c r="L6677" s="0" t="s">
        <v>2494</v>
      </c>
      <c r="N6677" s="0" t="n">
        <v>1.632</v>
      </c>
      <c r="O6677" s="0" t="n">
        <v>96.75</v>
      </c>
      <c r="P6677" s="0" t="s">
        <v>2444</v>
      </c>
    </row>
    <row r="6678" customFormat="false" ht="15" hidden="false" customHeight="true" outlineLevel="0" collapsed="false">
      <c r="A6678" s="0" t="n">
        <v>2</v>
      </c>
      <c r="B6678" s="71" t="n">
        <v>46253</v>
      </c>
      <c r="C6678" s="0" t="n">
        <v>100</v>
      </c>
      <c r="D6678" s="0" t="s">
        <v>2499</v>
      </c>
      <c r="E6678" s="0" t="n">
        <v>48</v>
      </c>
      <c r="F6678" s="0" t="s">
        <v>153</v>
      </c>
      <c r="I6678" s="0" t="n">
        <v>1572390</v>
      </c>
      <c r="J6678" s="0" t="n">
        <v>100053</v>
      </c>
      <c r="K6678" s="0" t="n">
        <v>54</v>
      </c>
      <c r="L6678" s="0" t="s">
        <v>2495</v>
      </c>
      <c r="N6678" s="0" t="n">
        <v>1.854</v>
      </c>
      <c r="O6678" s="0" t="n">
        <v>69.08</v>
      </c>
      <c r="P6678" s="0" t="s">
        <v>2444</v>
      </c>
    </row>
    <row r="6679" customFormat="false" ht="15" hidden="false" customHeight="true" outlineLevel="0" collapsed="false">
      <c r="A6679" s="0" t="n">
        <v>2</v>
      </c>
      <c r="B6679" s="71" t="n">
        <v>46253</v>
      </c>
      <c r="C6679" s="0" t="n">
        <v>100</v>
      </c>
      <c r="D6679" s="0" t="s">
        <v>2499</v>
      </c>
      <c r="E6679" s="0" t="n">
        <v>48</v>
      </c>
      <c r="F6679" s="0" t="s">
        <v>153</v>
      </c>
      <c r="I6679" s="0" t="n">
        <v>1572390</v>
      </c>
      <c r="J6679" s="0" t="n">
        <v>100638</v>
      </c>
      <c r="K6679" s="0" t="n">
        <v>508</v>
      </c>
      <c r="L6679" s="0" t="s">
        <v>2496</v>
      </c>
      <c r="N6679" s="0" t="n">
        <v>1.094</v>
      </c>
      <c r="O6679" s="0" t="n">
        <v>2.77</v>
      </c>
      <c r="P6679" s="0" t="s">
        <v>2444</v>
      </c>
    </row>
    <row r="6680" customFormat="false" ht="15" hidden="false" customHeight="true" outlineLevel="0" collapsed="false">
      <c r="A6680" s="0" t="n">
        <v>2</v>
      </c>
      <c r="B6680" s="71" t="n">
        <v>46253</v>
      </c>
      <c r="C6680" s="0" t="n">
        <v>100</v>
      </c>
      <c r="D6680" s="0" t="s">
        <v>2499</v>
      </c>
      <c r="E6680" s="0" t="n">
        <v>48</v>
      </c>
      <c r="F6680" s="0" t="s">
        <v>153</v>
      </c>
      <c r="I6680" s="0" t="n">
        <v>1572390</v>
      </c>
      <c r="J6680" s="0" t="n">
        <v>100520</v>
      </c>
      <c r="K6680" s="0" t="n">
        <v>507</v>
      </c>
      <c r="L6680" s="0" t="s">
        <v>2497</v>
      </c>
      <c r="N6680" s="0" t="n">
        <v>8.77</v>
      </c>
      <c r="O6680" s="0" t="n">
        <v>22.21</v>
      </c>
      <c r="P6680" s="0" t="s">
        <v>2444</v>
      </c>
    </row>
    <row r="6681" customFormat="false" ht="15" hidden="false" customHeight="true" outlineLevel="0" collapsed="false">
      <c r="A6681" s="0" t="n">
        <v>2</v>
      </c>
      <c r="B6681" s="71" t="n">
        <v>46253</v>
      </c>
      <c r="C6681" s="0" t="n">
        <v>100</v>
      </c>
      <c r="D6681" s="0" t="s">
        <v>2499</v>
      </c>
      <c r="E6681" s="0" t="n">
        <v>48</v>
      </c>
      <c r="F6681" s="0" t="s">
        <v>153</v>
      </c>
      <c r="I6681" s="0" t="n">
        <v>1572390</v>
      </c>
      <c r="J6681" s="0" t="n">
        <v>110455</v>
      </c>
      <c r="K6681" s="0" t="n">
        <v>53212</v>
      </c>
      <c r="L6681" s="0" t="s">
        <v>2498</v>
      </c>
      <c r="N6681" s="0" t="n">
        <v>0.85</v>
      </c>
      <c r="O6681" s="0" t="n">
        <v>0.03</v>
      </c>
      <c r="P6681" s="0" t="s">
        <v>2444</v>
      </c>
    </row>
    <row r="6682" customFormat="false" ht="15" hidden="false" customHeight="true" outlineLevel="0" collapsed="false">
      <c r="A6682" s="0" t="n">
        <v>2</v>
      </c>
      <c r="B6682" s="71" t="n">
        <v>46254</v>
      </c>
      <c r="C6682" s="0" t="n">
        <v>6</v>
      </c>
      <c r="D6682" s="0" t="s">
        <v>2553</v>
      </c>
      <c r="E6682" s="0" t="n">
        <v>48</v>
      </c>
      <c r="F6682" s="0" t="s">
        <v>153</v>
      </c>
      <c r="I6682" s="0" t="n">
        <v>2617</v>
      </c>
      <c r="J6682" s="0" t="n">
        <v>100024</v>
      </c>
      <c r="K6682" s="0" t="n">
        <v>25</v>
      </c>
      <c r="L6682" s="0" t="s">
        <v>3345</v>
      </c>
      <c r="N6682" s="0" t="n">
        <v>8.3</v>
      </c>
      <c r="O6682" s="0" t="n">
        <v>51.743</v>
      </c>
      <c r="P6682" s="0" t="s">
        <v>2444</v>
      </c>
    </row>
    <row r="6683" customFormat="false" ht="15" hidden="false" customHeight="true" outlineLevel="0" collapsed="false">
      <c r="A6683" s="0" t="n">
        <v>2</v>
      </c>
      <c r="B6683" s="71" t="n">
        <v>46254</v>
      </c>
      <c r="C6683" s="0" t="n">
        <v>6</v>
      </c>
      <c r="D6683" s="0" t="s">
        <v>2553</v>
      </c>
      <c r="E6683" s="0" t="n">
        <v>48</v>
      </c>
      <c r="F6683" s="0" t="s">
        <v>153</v>
      </c>
      <c r="I6683" s="0" t="n">
        <v>2617</v>
      </c>
      <c r="J6683" s="0" t="n">
        <v>100025</v>
      </c>
      <c r="K6683" s="0" t="n">
        <v>26</v>
      </c>
      <c r="L6683" s="0" t="s">
        <v>3962</v>
      </c>
      <c r="N6683" s="0" t="n">
        <v>2.226</v>
      </c>
      <c r="O6683" s="0" t="n">
        <v>12.71</v>
      </c>
      <c r="P6683" s="0" t="s">
        <v>2444</v>
      </c>
    </row>
    <row r="6684" customFormat="false" ht="15" hidden="false" customHeight="true" outlineLevel="0" collapsed="false">
      <c r="A6684" s="0" t="n">
        <v>2</v>
      </c>
      <c r="B6684" s="71" t="n">
        <v>46254</v>
      </c>
      <c r="C6684" s="0" t="n">
        <v>6</v>
      </c>
      <c r="D6684" s="0" t="s">
        <v>2553</v>
      </c>
      <c r="E6684" s="0" t="n">
        <v>48</v>
      </c>
      <c r="F6684" s="0" t="s">
        <v>153</v>
      </c>
      <c r="I6684" s="0" t="n">
        <v>2617</v>
      </c>
      <c r="J6684" s="0" t="n">
        <v>100026</v>
      </c>
      <c r="K6684" s="0" t="n">
        <v>27</v>
      </c>
      <c r="L6684" s="0" t="s">
        <v>3963</v>
      </c>
      <c r="N6684" s="0" t="n">
        <v>1.95</v>
      </c>
      <c r="O6684" s="0" t="n">
        <v>11.135</v>
      </c>
      <c r="P6684" s="0" t="s">
        <v>2444</v>
      </c>
    </row>
    <row r="6685" customFormat="false" ht="15" hidden="false" customHeight="true" outlineLevel="0" collapsed="false">
      <c r="A6685" s="0" t="n">
        <v>2</v>
      </c>
      <c r="B6685" s="71" t="n">
        <v>46254</v>
      </c>
      <c r="C6685" s="0" t="n">
        <v>6</v>
      </c>
      <c r="D6685" s="0" t="s">
        <v>2553</v>
      </c>
      <c r="E6685" s="0" t="n">
        <v>48</v>
      </c>
      <c r="F6685" s="0" t="s">
        <v>153</v>
      </c>
      <c r="I6685" s="0" t="n">
        <v>2617</v>
      </c>
      <c r="J6685" s="0" t="n">
        <v>100027</v>
      </c>
      <c r="K6685" s="0" t="n">
        <v>28</v>
      </c>
      <c r="L6685" s="0" t="s">
        <v>3964</v>
      </c>
      <c r="N6685" s="0" t="n">
        <v>16.84</v>
      </c>
      <c r="O6685" s="0" t="n">
        <v>96.156</v>
      </c>
      <c r="P6685" s="0" t="s">
        <v>2444</v>
      </c>
    </row>
    <row r="6686" customFormat="false" ht="15" hidden="false" customHeight="true" outlineLevel="0" collapsed="false">
      <c r="A6686" s="0" t="n">
        <v>2</v>
      </c>
      <c r="B6686" s="71" t="n">
        <v>46254</v>
      </c>
      <c r="C6686" s="0" t="n">
        <v>6</v>
      </c>
      <c r="D6686" s="0" t="s">
        <v>2553</v>
      </c>
      <c r="E6686" s="0" t="n">
        <v>48</v>
      </c>
      <c r="F6686" s="0" t="s">
        <v>153</v>
      </c>
      <c r="I6686" s="0" t="n">
        <v>2617</v>
      </c>
      <c r="J6686" s="0" t="n">
        <v>100028</v>
      </c>
      <c r="K6686" s="0" t="n">
        <v>29</v>
      </c>
      <c r="L6686" s="0" t="s">
        <v>3965</v>
      </c>
      <c r="N6686" s="0" t="n">
        <v>16.79</v>
      </c>
      <c r="O6686" s="0" t="n">
        <v>95.871</v>
      </c>
      <c r="P6686" s="0" t="s">
        <v>2444</v>
      </c>
    </row>
    <row r="6687" customFormat="false" ht="15" hidden="false" customHeight="true" outlineLevel="0" collapsed="false">
      <c r="A6687" s="0" t="n">
        <v>2</v>
      </c>
      <c r="B6687" s="71" t="n">
        <v>46254</v>
      </c>
      <c r="C6687" s="0" t="n">
        <v>6</v>
      </c>
      <c r="D6687" s="0" t="s">
        <v>2553</v>
      </c>
      <c r="E6687" s="0" t="n">
        <v>48</v>
      </c>
      <c r="F6687" s="0" t="s">
        <v>153</v>
      </c>
      <c r="I6687" s="0" t="n">
        <v>2617</v>
      </c>
      <c r="J6687" s="0" t="n">
        <v>110175</v>
      </c>
      <c r="K6687" s="0" t="n">
        <v>37383</v>
      </c>
      <c r="L6687" s="0" t="s">
        <v>5042</v>
      </c>
      <c r="N6687" s="0" t="n">
        <v>1.43</v>
      </c>
      <c r="O6687" s="0" t="n">
        <v>7.865</v>
      </c>
      <c r="P6687" s="0" t="s">
        <v>2444</v>
      </c>
    </row>
    <row r="6688" customFormat="false" ht="15" hidden="false" customHeight="true" outlineLevel="0" collapsed="false">
      <c r="A6688" s="0" t="n">
        <v>2</v>
      </c>
      <c r="B6688" s="71" t="n">
        <v>46254</v>
      </c>
      <c r="C6688" s="0" t="n">
        <v>6</v>
      </c>
      <c r="D6688" s="0" t="s">
        <v>2553</v>
      </c>
      <c r="E6688" s="0" t="n">
        <v>48</v>
      </c>
      <c r="F6688" s="0" t="s">
        <v>153</v>
      </c>
      <c r="I6688" s="0" t="n">
        <v>2617</v>
      </c>
      <c r="J6688" s="0" t="n">
        <v>110515</v>
      </c>
      <c r="K6688" s="0" t="n">
        <v>56821</v>
      </c>
      <c r="L6688" s="0" t="s">
        <v>3966</v>
      </c>
      <c r="N6688" s="0" t="n">
        <v>4.914</v>
      </c>
      <c r="O6688" s="0" t="n">
        <v>24.521</v>
      </c>
      <c r="P6688" s="0" t="s">
        <v>2444</v>
      </c>
    </row>
    <row r="6689" customFormat="false" ht="15" hidden="false" customHeight="true" outlineLevel="0" collapsed="false">
      <c r="A6689" s="0" t="n">
        <v>2</v>
      </c>
      <c r="B6689" s="71" t="n">
        <v>46254</v>
      </c>
      <c r="C6689" s="0" t="n">
        <v>11</v>
      </c>
      <c r="D6689" s="0" t="s">
        <v>2471</v>
      </c>
      <c r="E6689" s="0" t="n">
        <v>10018</v>
      </c>
      <c r="F6689" s="0" t="s">
        <v>216</v>
      </c>
      <c r="I6689" s="0" t="n">
        <v>368</v>
      </c>
      <c r="J6689" s="0" t="n">
        <v>100933</v>
      </c>
      <c r="K6689" s="0" t="n">
        <v>7896982100059</v>
      </c>
      <c r="L6689" s="0" t="s">
        <v>2500</v>
      </c>
      <c r="N6689" s="0" t="n">
        <v>1800</v>
      </c>
      <c r="O6689" s="0" t="n">
        <v>895</v>
      </c>
      <c r="P6689" s="0" t="s">
        <v>2444</v>
      </c>
    </row>
    <row r="6690" customFormat="false" ht="15" hidden="false" customHeight="true" outlineLevel="0" collapsed="false">
      <c r="A6690" s="0" t="n">
        <v>2</v>
      </c>
      <c r="B6690" s="71" t="n">
        <v>46254</v>
      </c>
      <c r="C6690" s="0" t="n">
        <v>11</v>
      </c>
      <c r="D6690" s="0" t="s">
        <v>2471</v>
      </c>
      <c r="E6690" s="0" t="n">
        <v>10018</v>
      </c>
      <c r="F6690" s="0" t="s">
        <v>216</v>
      </c>
      <c r="I6690" s="0" t="n">
        <v>368</v>
      </c>
      <c r="J6690" s="0" t="n">
        <v>74674</v>
      </c>
      <c r="K6690" s="0" t="n">
        <v>741</v>
      </c>
      <c r="L6690" s="0" t="s">
        <v>2738</v>
      </c>
      <c r="N6690" s="0" t="n">
        <v>58</v>
      </c>
      <c r="O6690" s="0" t="n">
        <v>580</v>
      </c>
      <c r="P6690" s="0" t="s">
        <v>2444</v>
      </c>
    </row>
    <row r="6691" customFormat="false" ht="15" hidden="false" customHeight="true" outlineLevel="0" collapsed="false">
      <c r="A6691" s="0" t="n">
        <v>2</v>
      </c>
      <c r="B6691" s="71" t="n">
        <v>46254</v>
      </c>
      <c r="C6691" s="0" t="n">
        <v>11</v>
      </c>
      <c r="D6691" s="0" t="s">
        <v>2471</v>
      </c>
      <c r="E6691" s="0" t="n">
        <v>10018</v>
      </c>
      <c r="F6691" s="0" t="s">
        <v>216</v>
      </c>
      <c r="I6691" s="0" t="n">
        <v>368</v>
      </c>
      <c r="J6691" s="0" t="n">
        <v>81830</v>
      </c>
      <c r="K6691" s="0" t="n">
        <v>1588</v>
      </c>
      <c r="L6691" s="0" t="s">
        <v>4637</v>
      </c>
      <c r="N6691" s="0" t="n">
        <v>20</v>
      </c>
      <c r="O6691" s="0" t="n">
        <v>259.8</v>
      </c>
      <c r="P6691" s="0" t="s">
        <v>2444</v>
      </c>
    </row>
    <row r="6692" customFormat="false" ht="15" hidden="false" customHeight="true" outlineLevel="0" collapsed="false">
      <c r="A6692" s="0" t="n">
        <v>2</v>
      </c>
      <c r="B6692" s="71" t="n">
        <v>46254</v>
      </c>
      <c r="C6692" s="0" t="n">
        <v>11</v>
      </c>
      <c r="D6692" s="0" t="s">
        <v>2471</v>
      </c>
      <c r="E6692" s="0" t="n">
        <v>754</v>
      </c>
      <c r="F6692" s="0" t="s">
        <v>162</v>
      </c>
      <c r="I6692" s="0" t="n">
        <v>32564</v>
      </c>
      <c r="J6692" s="0" t="n">
        <v>29080</v>
      </c>
      <c r="K6692" s="0" t="n">
        <v>55516</v>
      </c>
      <c r="L6692" s="0" t="s">
        <v>2450</v>
      </c>
      <c r="N6692" s="0" t="n">
        <v>58.8</v>
      </c>
      <c r="O6692" s="0" t="n">
        <v>1293.6</v>
      </c>
      <c r="P6692" s="0" t="s">
        <v>2444</v>
      </c>
    </row>
    <row r="6693" customFormat="false" ht="15" hidden="false" customHeight="true" outlineLevel="0" collapsed="false">
      <c r="A6693" s="0" t="n">
        <v>2</v>
      </c>
      <c r="B6693" s="71" t="n">
        <v>46254</v>
      </c>
      <c r="C6693" s="0" t="n">
        <v>11</v>
      </c>
      <c r="D6693" s="0" t="s">
        <v>2471</v>
      </c>
      <c r="E6693" s="0" t="n">
        <v>967</v>
      </c>
      <c r="F6693" s="0" t="s">
        <v>1540</v>
      </c>
      <c r="I6693" s="0" t="n">
        <v>37213</v>
      </c>
      <c r="J6693" s="0" t="n">
        <v>22589</v>
      </c>
      <c r="K6693" s="0" t="n">
        <v>7896547501178</v>
      </c>
      <c r="L6693" s="0" t="s">
        <v>5043</v>
      </c>
      <c r="N6693" s="0" t="n">
        <v>24</v>
      </c>
      <c r="O6693" s="0" t="n">
        <v>96</v>
      </c>
      <c r="P6693" s="0" t="s">
        <v>2444</v>
      </c>
    </row>
    <row r="6694" customFormat="false" ht="15" hidden="false" customHeight="true" outlineLevel="0" collapsed="false">
      <c r="A6694" s="0" t="n">
        <v>2</v>
      </c>
      <c r="B6694" s="71" t="n">
        <v>46254</v>
      </c>
      <c r="C6694" s="0" t="n">
        <v>11</v>
      </c>
      <c r="D6694" s="0" t="s">
        <v>2471</v>
      </c>
      <c r="E6694" s="0" t="n">
        <v>967</v>
      </c>
      <c r="F6694" s="0" t="s">
        <v>1540</v>
      </c>
      <c r="I6694" s="0" t="n">
        <v>37213</v>
      </c>
      <c r="J6694" s="0" t="n">
        <v>22591</v>
      </c>
      <c r="K6694" s="0" t="n">
        <v>7896547501154</v>
      </c>
      <c r="L6694" s="0" t="s">
        <v>5044</v>
      </c>
      <c r="N6694" s="0" t="n">
        <v>24</v>
      </c>
      <c r="O6694" s="0" t="n">
        <v>96</v>
      </c>
      <c r="P6694" s="0" t="s">
        <v>2444</v>
      </c>
    </row>
    <row r="6695" customFormat="false" ht="15" hidden="false" customHeight="true" outlineLevel="0" collapsed="false">
      <c r="A6695" s="0" t="n">
        <v>2</v>
      </c>
      <c r="B6695" s="71" t="n">
        <v>46254</v>
      </c>
      <c r="C6695" s="0" t="n">
        <v>11</v>
      </c>
      <c r="D6695" s="0" t="s">
        <v>2471</v>
      </c>
      <c r="E6695" s="0" t="n">
        <v>967</v>
      </c>
      <c r="F6695" s="0" t="s">
        <v>1540</v>
      </c>
      <c r="I6695" s="0" t="n">
        <v>37213</v>
      </c>
      <c r="J6695" s="0" t="n">
        <v>28363</v>
      </c>
      <c r="K6695" s="0" t="n">
        <v>7896855901417</v>
      </c>
      <c r="L6695" s="0" t="s">
        <v>5045</v>
      </c>
      <c r="N6695" s="0" t="n">
        <v>12</v>
      </c>
      <c r="O6695" s="0" t="n">
        <v>250</v>
      </c>
      <c r="P6695" s="0" t="s">
        <v>2444</v>
      </c>
    </row>
    <row r="6696" customFormat="false" ht="15" hidden="false" customHeight="true" outlineLevel="0" collapsed="false">
      <c r="A6696" s="0" t="n">
        <v>2</v>
      </c>
      <c r="B6696" s="71" t="n">
        <v>46254</v>
      </c>
      <c r="C6696" s="0" t="n">
        <v>11</v>
      </c>
      <c r="D6696" s="0" t="s">
        <v>2471</v>
      </c>
      <c r="E6696" s="0" t="n">
        <v>967</v>
      </c>
      <c r="F6696" s="0" t="s">
        <v>1540</v>
      </c>
      <c r="I6696" s="0" t="n">
        <v>37213</v>
      </c>
      <c r="J6696" s="0" t="n">
        <v>31436</v>
      </c>
      <c r="K6696" s="0" t="n">
        <v>7896547501277</v>
      </c>
      <c r="L6696" s="0" t="s">
        <v>5046</v>
      </c>
      <c r="N6696" s="0" t="n">
        <v>24</v>
      </c>
      <c r="O6696" s="0" t="n">
        <v>96</v>
      </c>
      <c r="P6696" s="0" t="s">
        <v>2444</v>
      </c>
    </row>
    <row r="6697" customFormat="false" ht="15" hidden="false" customHeight="true" outlineLevel="0" collapsed="false">
      <c r="A6697" s="0" t="n">
        <v>2</v>
      </c>
      <c r="B6697" s="71" t="n">
        <v>46254</v>
      </c>
      <c r="C6697" s="0" t="n">
        <v>11</v>
      </c>
      <c r="D6697" s="0" t="s">
        <v>2471</v>
      </c>
      <c r="E6697" s="0" t="n">
        <v>967</v>
      </c>
      <c r="F6697" s="0" t="s">
        <v>1540</v>
      </c>
      <c r="I6697" s="0" t="n">
        <v>37213</v>
      </c>
      <c r="J6697" s="0" t="n">
        <v>31437</v>
      </c>
      <c r="K6697" s="0" t="n">
        <v>7896547501390</v>
      </c>
      <c r="L6697" s="0" t="s">
        <v>5047</v>
      </c>
      <c r="N6697" s="0" t="n">
        <v>24</v>
      </c>
      <c r="O6697" s="0" t="n">
        <v>96</v>
      </c>
      <c r="P6697" s="0" t="s">
        <v>2444</v>
      </c>
    </row>
    <row r="6698" customFormat="false" ht="15" hidden="false" customHeight="true" outlineLevel="0" collapsed="false">
      <c r="A6698" s="0" t="n">
        <v>2</v>
      </c>
      <c r="B6698" s="71" t="n">
        <v>46254</v>
      </c>
      <c r="C6698" s="0" t="n">
        <v>11</v>
      </c>
      <c r="D6698" s="0" t="s">
        <v>2471</v>
      </c>
      <c r="E6698" s="0" t="n">
        <v>967</v>
      </c>
      <c r="F6698" s="0" t="s">
        <v>1540</v>
      </c>
      <c r="I6698" s="0" t="n">
        <v>37213</v>
      </c>
      <c r="J6698" s="0" t="n">
        <v>48720</v>
      </c>
      <c r="K6698" s="0" t="n">
        <v>7896855903022</v>
      </c>
      <c r="L6698" s="0" t="s">
        <v>5048</v>
      </c>
      <c r="N6698" s="0" t="n">
        <v>12</v>
      </c>
      <c r="O6698" s="0" t="n">
        <v>208</v>
      </c>
      <c r="P6698" s="0" t="s">
        <v>2444</v>
      </c>
    </row>
    <row r="6699" customFormat="false" ht="15" hidden="false" customHeight="true" outlineLevel="0" collapsed="false">
      <c r="A6699" s="0" t="n">
        <v>2</v>
      </c>
      <c r="B6699" s="71" t="n">
        <v>46254</v>
      </c>
      <c r="C6699" s="0" t="n">
        <v>11</v>
      </c>
      <c r="D6699" s="0" t="s">
        <v>2471</v>
      </c>
      <c r="E6699" s="0" t="n">
        <v>1683</v>
      </c>
      <c r="F6699" s="0" t="s">
        <v>406</v>
      </c>
      <c r="I6699" s="0" t="n">
        <v>1666696</v>
      </c>
      <c r="J6699" s="0" t="n">
        <v>37359</v>
      </c>
      <c r="K6699" s="0" t="n">
        <v>55526</v>
      </c>
      <c r="L6699" s="0" t="s">
        <v>2466</v>
      </c>
      <c r="N6699" s="0" t="n">
        <v>3</v>
      </c>
      <c r="O6699" s="0" t="n">
        <v>12</v>
      </c>
      <c r="P6699" s="0" t="s">
        <v>2444</v>
      </c>
    </row>
    <row r="6700" customFormat="false" ht="15" hidden="false" customHeight="true" outlineLevel="0" collapsed="false">
      <c r="A6700" s="0" t="n">
        <v>2</v>
      </c>
      <c r="B6700" s="71" t="n">
        <v>46254</v>
      </c>
      <c r="C6700" s="0" t="n">
        <v>11</v>
      </c>
      <c r="D6700" s="0" t="s">
        <v>2471</v>
      </c>
      <c r="E6700" s="0" t="n">
        <v>1683</v>
      </c>
      <c r="F6700" s="0" t="s">
        <v>406</v>
      </c>
      <c r="I6700" s="0" t="n">
        <v>1666696</v>
      </c>
      <c r="J6700" s="0" t="n">
        <v>37361</v>
      </c>
      <c r="K6700" s="0" t="n">
        <v>2240817</v>
      </c>
      <c r="L6700" s="0" t="s">
        <v>2467</v>
      </c>
      <c r="N6700" s="0" t="n">
        <v>80</v>
      </c>
      <c r="O6700" s="0" t="n">
        <v>144</v>
      </c>
      <c r="P6700" s="0" t="s">
        <v>2444</v>
      </c>
    </row>
    <row r="6701" customFormat="false" ht="15" hidden="false" customHeight="true" outlineLevel="0" collapsed="false">
      <c r="A6701" s="0" t="n">
        <v>2</v>
      </c>
      <c r="B6701" s="71" t="n">
        <v>46254</v>
      </c>
      <c r="C6701" s="0" t="n">
        <v>11</v>
      </c>
      <c r="D6701" s="0" t="s">
        <v>2471</v>
      </c>
      <c r="E6701" s="0" t="n">
        <v>10012</v>
      </c>
      <c r="F6701" s="0" t="s">
        <v>185</v>
      </c>
      <c r="I6701" s="0" t="n">
        <v>1966312</v>
      </c>
      <c r="J6701" s="0" t="n">
        <v>100093</v>
      </c>
      <c r="K6701" s="0" t="n">
        <v>145138</v>
      </c>
      <c r="L6701" s="0" t="s">
        <v>5049</v>
      </c>
      <c r="N6701" s="0" t="n">
        <v>36</v>
      </c>
      <c r="O6701" s="0" t="n">
        <v>145.08</v>
      </c>
      <c r="P6701" s="0" t="s">
        <v>2444</v>
      </c>
    </row>
    <row r="6702" customFormat="false" ht="15" hidden="false" customHeight="true" outlineLevel="0" collapsed="false">
      <c r="A6702" s="0" t="n">
        <v>2</v>
      </c>
      <c r="B6702" s="71" t="n">
        <v>46254</v>
      </c>
      <c r="C6702" s="0" t="n">
        <v>11</v>
      </c>
      <c r="D6702" s="0" t="s">
        <v>2471</v>
      </c>
      <c r="E6702" s="0" t="n">
        <v>10012</v>
      </c>
      <c r="F6702" s="0" t="s">
        <v>185</v>
      </c>
      <c r="I6702" s="0" t="n">
        <v>1966312</v>
      </c>
      <c r="J6702" s="0" t="n">
        <v>100407</v>
      </c>
      <c r="K6702" s="0" t="n">
        <v>7897161360059</v>
      </c>
      <c r="L6702" s="0" t="s">
        <v>4126</v>
      </c>
      <c r="N6702" s="0" t="n">
        <v>48</v>
      </c>
      <c r="O6702" s="0" t="n">
        <v>145.44</v>
      </c>
      <c r="P6702" s="0" t="s">
        <v>2444</v>
      </c>
    </row>
    <row r="6703" customFormat="false" ht="15" hidden="false" customHeight="true" outlineLevel="0" collapsed="false">
      <c r="A6703" s="0" t="n">
        <v>2</v>
      </c>
      <c r="B6703" s="71" t="n">
        <v>46254</v>
      </c>
      <c r="C6703" s="0" t="n">
        <v>11</v>
      </c>
      <c r="D6703" s="0" t="s">
        <v>2471</v>
      </c>
      <c r="E6703" s="0" t="n">
        <v>10012</v>
      </c>
      <c r="F6703" s="0" t="s">
        <v>185</v>
      </c>
      <c r="I6703" s="0" t="n">
        <v>1966312</v>
      </c>
      <c r="J6703" s="0" t="n">
        <v>102196</v>
      </c>
      <c r="K6703" s="0" t="n">
        <v>7891032015505</v>
      </c>
      <c r="L6703" s="0" t="s">
        <v>5050</v>
      </c>
      <c r="N6703" s="0" t="n">
        <v>12</v>
      </c>
      <c r="O6703" s="0" t="n">
        <v>33</v>
      </c>
      <c r="P6703" s="0" t="s">
        <v>2444</v>
      </c>
    </row>
    <row r="6704" customFormat="false" ht="15" hidden="false" customHeight="true" outlineLevel="0" collapsed="false">
      <c r="A6704" s="0" t="n">
        <v>2</v>
      </c>
      <c r="B6704" s="71" t="n">
        <v>46254</v>
      </c>
      <c r="C6704" s="0" t="n">
        <v>11</v>
      </c>
      <c r="D6704" s="0" t="s">
        <v>2471</v>
      </c>
      <c r="E6704" s="0" t="n">
        <v>10012</v>
      </c>
      <c r="F6704" s="0" t="s">
        <v>185</v>
      </c>
      <c r="I6704" s="0" t="n">
        <v>1966312</v>
      </c>
      <c r="J6704" s="0" t="n">
        <v>102496</v>
      </c>
      <c r="K6704" s="0" t="n">
        <v>7891032012658</v>
      </c>
      <c r="L6704" s="0" t="s">
        <v>3559</v>
      </c>
      <c r="N6704" s="0" t="n">
        <v>12</v>
      </c>
      <c r="O6704" s="0" t="n">
        <v>47.64</v>
      </c>
      <c r="P6704" s="0" t="s">
        <v>2444</v>
      </c>
    </row>
    <row r="6705" customFormat="false" ht="15" hidden="false" customHeight="true" outlineLevel="0" collapsed="false">
      <c r="A6705" s="0" t="n">
        <v>2</v>
      </c>
      <c r="B6705" s="71" t="n">
        <v>46254</v>
      </c>
      <c r="C6705" s="0" t="n">
        <v>11</v>
      </c>
      <c r="D6705" s="0" t="s">
        <v>2471</v>
      </c>
      <c r="E6705" s="0" t="n">
        <v>10012</v>
      </c>
      <c r="F6705" s="0" t="s">
        <v>185</v>
      </c>
      <c r="I6705" s="0" t="n">
        <v>1966312</v>
      </c>
      <c r="J6705" s="0" t="n">
        <v>102497</v>
      </c>
      <c r="K6705" s="0" t="n">
        <v>7891032013259</v>
      </c>
      <c r="L6705" s="0" t="s">
        <v>3560</v>
      </c>
      <c r="N6705" s="0" t="n">
        <v>12</v>
      </c>
      <c r="O6705" s="0" t="n">
        <v>43.32</v>
      </c>
      <c r="P6705" s="0" t="s">
        <v>2444</v>
      </c>
    </row>
    <row r="6706" customFormat="false" ht="15" hidden="false" customHeight="true" outlineLevel="0" collapsed="false">
      <c r="A6706" s="0" t="n">
        <v>2</v>
      </c>
      <c r="B6706" s="71" t="n">
        <v>46254</v>
      </c>
      <c r="C6706" s="0" t="n">
        <v>11</v>
      </c>
      <c r="D6706" s="0" t="s">
        <v>2471</v>
      </c>
      <c r="E6706" s="0" t="n">
        <v>10012</v>
      </c>
      <c r="F6706" s="0" t="s">
        <v>185</v>
      </c>
      <c r="I6706" s="0" t="n">
        <v>1966312</v>
      </c>
      <c r="J6706" s="0" t="n">
        <v>10988</v>
      </c>
      <c r="K6706" s="0" t="n">
        <v>7891010010577</v>
      </c>
      <c r="L6706" s="0" t="s">
        <v>5051</v>
      </c>
      <c r="N6706" s="0" t="n">
        <v>6</v>
      </c>
      <c r="O6706" s="0" t="n">
        <v>52.62</v>
      </c>
      <c r="P6706" s="0" t="s">
        <v>2444</v>
      </c>
    </row>
    <row r="6707" customFormat="false" ht="15" hidden="false" customHeight="true" outlineLevel="0" collapsed="false">
      <c r="A6707" s="0" t="n">
        <v>2</v>
      </c>
      <c r="B6707" s="71" t="n">
        <v>46254</v>
      </c>
      <c r="C6707" s="0" t="n">
        <v>11</v>
      </c>
      <c r="D6707" s="0" t="s">
        <v>2471</v>
      </c>
      <c r="E6707" s="0" t="n">
        <v>10012</v>
      </c>
      <c r="F6707" s="0" t="s">
        <v>185</v>
      </c>
      <c r="I6707" s="0" t="n">
        <v>1966312</v>
      </c>
      <c r="J6707" s="0" t="n">
        <v>13265</v>
      </c>
      <c r="K6707" s="0" t="n">
        <v>7891032015918</v>
      </c>
      <c r="L6707" s="0" t="s">
        <v>5052</v>
      </c>
      <c r="N6707" s="0" t="n">
        <v>24</v>
      </c>
      <c r="O6707" s="0" t="n">
        <v>52.32</v>
      </c>
      <c r="P6707" s="0" t="s">
        <v>2444</v>
      </c>
    </row>
    <row r="6708" customFormat="false" ht="15" hidden="false" customHeight="true" outlineLevel="0" collapsed="false">
      <c r="A6708" s="0" t="n">
        <v>2</v>
      </c>
      <c r="B6708" s="71" t="n">
        <v>46254</v>
      </c>
      <c r="C6708" s="0" t="n">
        <v>11</v>
      </c>
      <c r="D6708" s="0" t="s">
        <v>2471</v>
      </c>
      <c r="E6708" s="0" t="n">
        <v>10012</v>
      </c>
      <c r="F6708" s="0" t="s">
        <v>185</v>
      </c>
      <c r="I6708" s="0" t="n">
        <v>1966312</v>
      </c>
      <c r="J6708" s="0" t="n">
        <v>14369</v>
      </c>
      <c r="K6708" s="0" t="n">
        <v>7891032013891</v>
      </c>
      <c r="L6708" s="0" t="s">
        <v>5053</v>
      </c>
      <c r="N6708" s="0" t="n">
        <v>24</v>
      </c>
      <c r="O6708" s="0" t="n">
        <v>50.16</v>
      </c>
      <c r="P6708" s="0" t="s">
        <v>2444</v>
      </c>
    </row>
    <row r="6709" customFormat="false" ht="15" hidden="false" customHeight="true" outlineLevel="0" collapsed="false">
      <c r="A6709" s="0" t="n">
        <v>2</v>
      </c>
      <c r="B6709" s="71" t="n">
        <v>46254</v>
      </c>
      <c r="C6709" s="0" t="n">
        <v>11</v>
      </c>
      <c r="D6709" s="0" t="s">
        <v>2471</v>
      </c>
      <c r="E6709" s="0" t="n">
        <v>10012</v>
      </c>
      <c r="F6709" s="0" t="s">
        <v>185</v>
      </c>
      <c r="I6709" s="0" t="n">
        <v>1966312</v>
      </c>
      <c r="J6709" s="0" t="n">
        <v>14554</v>
      </c>
      <c r="K6709" s="0" t="n">
        <v>7891032015949</v>
      </c>
      <c r="L6709" s="0" t="s">
        <v>5054</v>
      </c>
      <c r="N6709" s="0" t="n">
        <v>24</v>
      </c>
      <c r="O6709" s="0" t="n">
        <v>118.08</v>
      </c>
      <c r="P6709" s="0" t="s">
        <v>2444</v>
      </c>
    </row>
    <row r="6710" customFormat="false" ht="15" hidden="false" customHeight="true" outlineLevel="0" collapsed="false">
      <c r="A6710" s="0" t="n">
        <v>2</v>
      </c>
      <c r="B6710" s="71" t="n">
        <v>46254</v>
      </c>
      <c r="C6710" s="0" t="n">
        <v>11</v>
      </c>
      <c r="D6710" s="0" t="s">
        <v>2471</v>
      </c>
      <c r="E6710" s="0" t="n">
        <v>10012</v>
      </c>
      <c r="F6710" s="0" t="s">
        <v>185</v>
      </c>
      <c r="I6710" s="0" t="n">
        <v>1966312</v>
      </c>
      <c r="J6710" s="0" t="n">
        <v>14634</v>
      </c>
      <c r="K6710" s="0" t="n">
        <v>7891032015932</v>
      </c>
      <c r="L6710" s="0" t="s">
        <v>5055</v>
      </c>
      <c r="N6710" s="0" t="n">
        <v>24</v>
      </c>
      <c r="O6710" s="0" t="n">
        <v>118.08</v>
      </c>
      <c r="P6710" s="0" t="s">
        <v>2444</v>
      </c>
    </row>
    <row r="6711" customFormat="false" ht="15" hidden="false" customHeight="true" outlineLevel="0" collapsed="false">
      <c r="A6711" s="0" t="n">
        <v>2</v>
      </c>
      <c r="B6711" s="71" t="n">
        <v>46254</v>
      </c>
      <c r="C6711" s="0" t="n">
        <v>11</v>
      </c>
      <c r="D6711" s="0" t="s">
        <v>2471</v>
      </c>
      <c r="E6711" s="0" t="n">
        <v>10012</v>
      </c>
      <c r="F6711" s="0" t="s">
        <v>185</v>
      </c>
      <c r="I6711" s="0" t="n">
        <v>1966312</v>
      </c>
      <c r="J6711" s="0" t="n">
        <v>15713</v>
      </c>
      <c r="K6711" s="0" t="n">
        <v>7891010886547</v>
      </c>
      <c r="L6711" s="0" t="s">
        <v>5056</v>
      </c>
      <c r="N6711" s="0" t="n">
        <v>6</v>
      </c>
      <c r="O6711" s="0" t="n">
        <v>52.62</v>
      </c>
      <c r="P6711" s="0" t="s">
        <v>2444</v>
      </c>
    </row>
    <row r="6712" customFormat="false" ht="15" hidden="false" customHeight="true" outlineLevel="0" collapsed="false">
      <c r="A6712" s="0" t="n">
        <v>2</v>
      </c>
      <c r="B6712" s="71" t="n">
        <v>46254</v>
      </c>
      <c r="C6712" s="0" t="n">
        <v>11</v>
      </c>
      <c r="D6712" s="0" t="s">
        <v>2471</v>
      </c>
      <c r="E6712" s="0" t="n">
        <v>10012</v>
      </c>
      <c r="F6712" s="0" t="s">
        <v>185</v>
      </c>
      <c r="I6712" s="0" t="n">
        <v>1966312</v>
      </c>
      <c r="J6712" s="0" t="n">
        <v>16057</v>
      </c>
      <c r="K6712" s="0" t="n">
        <v>7891032013303</v>
      </c>
      <c r="L6712" s="0" t="s">
        <v>5057</v>
      </c>
      <c r="N6712" s="0" t="n">
        <v>12</v>
      </c>
      <c r="O6712" s="0" t="n">
        <v>35.52</v>
      </c>
      <c r="P6712" s="0" t="s">
        <v>2444</v>
      </c>
    </row>
    <row r="6713" customFormat="false" ht="15" hidden="false" customHeight="true" outlineLevel="0" collapsed="false">
      <c r="A6713" s="0" t="n">
        <v>2</v>
      </c>
      <c r="B6713" s="71" t="n">
        <v>46254</v>
      </c>
      <c r="C6713" s="0" t="n">
        <v>11</v>
      </c>
      <c r="D6713" s="0" t="s">
        <v>2471</v>
      </c>
      <c r="E6713" s="0" t="n">
        <v>10012</v>
      </c>
      <c r="F6713" s="0" t="s">
        <v>185</v>
      </c>
      <c r="I6713" s="0" t="n">
        <v>1966312</v>
      </c>
      <c r="J6713" s="0" t="n">
        <v>23254</v>
      </c>
      <c r="K6713" s="0" t="n">
        <v>7897161371017</v>
      </c>
      <c r="L6713" s="0" t="s">
        <v>4164</v>
      </c>
      <c r="N6713" s="0" t="n">
        <v>24</v>
      </c>
      <c r="O6713" s="0" t="n">
        <v>43.2</v>
      </c>
      <c r="P6713" s="0" t="s">
        <v>2444</v>
      </c>
    </row>
    <row r="6714" customFormat="false" ht="15" hidden="false" customHeight="true" outlineLevel="0" collapsed="false">
      <c r="A6714" s="0" t="n">
        <v>2</v>
      </c>
      <c r="B6714" s="71" t="n">
        <v>46254</v>
      </c>
      <c r="C6714" s="0" t="n">
        <v>11</v>
      </c>
      <c r="D6714" s="0" t="s">
        <v>2471</v>
      </c>
      <c r="E6714" s="0" t="n">
        <v>10012</v>
      </c>
      <c r="F6714" s="0" t="s">
        <v>185</v>
      </c>
      <c r="I6714" s="0" t="n">
        <v>1966312</v>
      </c>
      <c r="J6714" s="0" t="n">
        <v>23706</v>
      </c>
      <c r="K6714" s="0" t="n">
        <v>7896902210561</v>
      </c>
      <c r="L6714" s="0" t="s">
        <v>5058</v>
      </c>
      <c r="N6714" s="0" t="n">
        <v>12</v>
      </c>
      <c r="O6714" s="0" t="n">
        <v>20.16</v>
      </c>
      <c r="P6714" s="0" t="s">
        <v>2444</v>
      </c>
    </row>
    <row r="6715" customFormat="false" ht="15" hidden="false" customHeight="true" outlineLevel="0" collapsed="false">
      <c r="A6715" s="0" t="n">
        <v>2</v>
      </c>
      <c r="B6715" s="71" t="n">
        <v>46254</v>
      </c>
      <c r="C6715" s="0" t="n">
        <v>11</v>
      </c>
      <c r="D6715" s="0" t="s">
        <v>2471</v>
      </c>
      <c r="E6715" s="0" t="n">
        <v>10012</v>
      </c>
      <c r="F6715" s="0" t="s">
        <v>185</v>
      </c>
      <c r="I6715" s="0" t="n">
        <v>1966312</v>
      </c>
      <c r="J6715" s="0" t="n">
        <v>23708</v>
      </c>
      <c r="K6715" s="0" t="n">
        <v>7896902210646</v>
      </c>
      <c r="L6715" s="0" t="s">
        <v>4166</v>
      </c>
      <c r="N6715" s="0" t="n">
        <v>36</v>
      </c>
      <c r="O6715" s="0" t="n">
        <v>60.48</v>
      </c>
      <c r="P6715" s="0" t="s">
        <v>2444</v>
      </c>
    </row>
    <row r="6716" customFormat="false" ht="15" hidden="false" customHeight="true" outlineLevel="0" collapsed="false">
      <c r="A6716" s="0" t="n">
        <v>2</v>
      </c>
      <c r="B6716" s="71" t="n">
        <v>46254</v>
      </c>
      <c r="C6716" s="0" t="n">
        <v>11</v>
      </c>
      <c r="D6716" s="0" t="s">
        <v>2471</v>
      </c>
      <c r="E6716" s="0" t="n">
        <v>10012</v>
      </c>
      <c r="F6716" s="0" t="s">
        <v>185</v>
      </c>
      <c r="I6716" s="0" t="n">
        <v>1966312</v>
      </c>
      <c r="J6716" s="0" t="n">
        <v>24604</v>
      </c>
      <c r="K6716" s="0" t="n">
        <v>7896902210530</v>
      </c>
      <c r="L6716" s="0" t="s">
        <v>5059</v>
      </c>
      <c r="N6716" s="0" t="n">
        <v>12</v>
      </c>
      <c r="O6716" s="0" t="n">
        <v>20.16</v>
      </c>
      <c r="P6716" s="0" t="s">
        <v>2444</v>
      </c>
    </row>
    <row r="6717" customFormat="false" ht="15" hidden="false" customHeight="true" outlineLevel="0" collapsed="false">
      <c r="A6717" s="0" t="n">
        <v>2</v>
      </c>
      <c r="B6717" s="71" t="n">
        <v>46254</v>
      </c>
      <c r="C6717" s="0" t="n">
        <v>11</v>
      </c>
      <c r="D6717" s="0" t="s">
        <v>2471</v>
      </c>
      <c r="E6717" s="0" t="n">
        <v>10012</v>
      </c>
      <c r="F6717" s="0" t="s">
        <v>185</v>
      </c>
      <c r="I6717" s="0" t="n">
        <v>1966312</v>
      </c>
      <c r="J6717" s="0" t="n">
        <v>25697</v>
      </c>
      <c r="K6717" s="0" t="n">
        <v>7897161371000</v>
      </c>
      <c r="L6717" s="0" t="s">
        <v>5060</v>
      </c>
      <c r="N6717" s="0" t="n">
        <v>24</v>
      </c>
      <c r="O6717" s="0" t="n">
        <v>43.2</v>
      </c>
      <c r="P6717" s="0" t="s">
        <v>2444</v>
      </c>
    </row>
    <row r="6718" customFormat="false" ht="15" hidden="false" customHeight="true" outlineLevel="0" collapsed="false">
      <c r="A6718" s="0" t="n">
        <v>2</v>
      </c>
      <c r="B6718" s="71" t="n">
        <v>46254</v>
      </c>
      <c r="C6718" s="0" t="n">
        <v>11</v>
      </c>
      <c r="D6718" s="0" t="s">
        <v>2471</v>
      </c>
      <c r="E6718" s="0" t="n">
        <v>10012</v>
      </c>
      <c r="F6718" s="0" t="s">
        <v>185</v>
      </c>
      <c r="I6718" s="0" t="n">
        <v>1966312</v>
      </c>
      <c r="J6718" s="0" t="n">
        <v>29502</v>
      </c>
      <c r="K6718" s="0" t="n">
        <v>7891010245597</v>
      </c>
      <c r="L6718" s="0" t="s">
        <v>5061</v>
      </c>
      <c r="N6718" s="0" t="n">
        <v>6</v>
      </c>
      <c r="O6718" s="0" t="n">
        <v>52.62</v>
      </c>
      <c r="P6718" s="0" t="s">
        <v>2444</v>
      </c>
    </row>
    <row r="6719" customFormat="false" ht="15" hidden="false" customHeight="true" outlineLevel="0" collapsed="false">
      <c r="A6719" s="0" t="n">
        <v>2</v>
      </c>
      <c r="B6719" s="71" t="n">
        <v>46254</v>
      </c>
      <c r="C6719" s="0" t="n">
        <v>11</v>
      </c>
      <c r="D6719" s="0" t="s">
        <v>2471</v>
      </c>
      <c r="E6719" s="0" t="n">
        <v>10012</v>
      </c>
      <c r="F6719" s="0" t="s">
        <v>185</v>
      </c>
      <c r="I6719" s="0" t="n">
        <v>1966312</v>
      </c>
      <c r="J6719" s="0" t="n">
        <v>45210</v>
      </c>
      <c r="K6719" s="0" t="n">
        <v>7891032014621</v>
      </c>
      <c r="L6719" s="0" t="s">
        <v>5062</v>
      </c>
      <c r="N6719" s="0" t="n">
        <v>32</v>
      </c>
      <c r="O6719" s="0" t="n">
        <v>57.28</v>
      </c>
      <c r="P6719" s="0" t="s">
        <v>2444</v>
      </c>
    </row>
    <row r="6720" customFormat="false" ht="15" hidden="false" customHeight="true" outlineLevel="0" collapsed="false">
      <c r="A6720" s="0" t="n">
        <v>2</v>
      </c>
      <c r="B6720" s="71" t="n">
        <v>46254</v>
      </c>
      <c r="C6720" s="0" t="n">
        <v>11</v>
      </c>
      <c r="D6720" s="0" t="s">
        <v>2471</v>
      </c>
      <c r="E6720" s="0" t="n">
        <v>10012</v>
      </c>
      <c r="F6720" s="0" t="s">
        <v>185</v>
      </c>
      <c r="I6720" s="0" t="n">
        <v>1966312</v>
      </c>
      <c r="J6720" s="0" t="n">
        <v>46225</v>
      </c>
      <c r="K6720" s="0" t="n">
        <v>7891032014706</v>
      </c>
      <c r="L6720" s="0" t="s">
        <v>3573</v>
      </c>
      <c r="N6720" s="0" t="n">
        <v>32</v>
      </c>
      <c r="O6720" s="0" t="n">
        <v>88.96</v>
      </c>
      <c r="P6720" s="0" t="s">
        <v>2444</v>
      </c>
    </row>
    <row r="6721" customFormat="false" ht="15" hidden="false" customHeight="true" outlineLevel="0" collapsed="false">
      <c r="A6721" s="0" t="n">
        <v>2</v>
      </c>
      <c r="B6721" s="71" t="n">
        <v>46254</v>
      </c>
      <c r="C6721" s="0" t="n">
        <v>11</v>
      </c>
      <c r="D6721" s="0" t="s">
        <v>2471</v>
      </c>
      <c r="E6721" s="0" t="n">
        <v>10012</v>
      </c>
      <c r="F6721" s="0" t="s">
        <v>185</v>
      </c>
      <c r="I6721" s="0" t="n">
        <v>1966312</v>
      </c>
      <c r="J6721" s="0" t="n">
        <v>54803</v>
      </c>
      <c r="K6721" s="0" t="n">
        <v>7891032011224</v>
      </c>
      <c r="L6721" s="0" t="s">
        <v>5063</v>
      </c>
      <c r="N6721" s="0" t="n">
        <v>12</v>
      </c>
      <c r="O6721" s="0" t="n">
        <v>132</v>
      </c>
      <c r="P6721" s="0" t="s">
        <v>2444</v>
      </c>
    </row>
    <row r="6722" customFormat="false" ht="15" hidden="false" customHeight="true" outlineLevel="0" collapsed="false">
      <c r="A6722" s="0" t="n">
        <v>2</v>
      </c>
      <c r="B6722" s="71" t="n">
        <v>46254</v>
      </c>
      <c r="C6722" s="0" t="n">
        <v>11</v>
      </c>
      <c r="D6722" s="0" t="s">
        <v>2471</v>
      </c>
      <c r="E6722" s="0" t="n">
        <v>10012</v>
      </c>
      <c r="F6722" s="0" t="s">
        <v>185</v>
      </c>
      <c r="I6722" s="0" t="n">
        <v>1966312</v>
      </c>
      <c r="J6722" s="0" t="n">
        <v>59789</v>
      </c>
      <c r="K6722" s="0" t="n">
        <v>7891032015970</v>
      </c>
      <c r="L6722" s="0" t="s">
        <v>5064</v>
      </c>
      <c r="N6722" s="0" t="n">
        <v>24</v>
      </c>
      <c r="O6722" s="0" t="n">
        <v>79.68</v>
      </c>
      <c r="P6722" s="0" t="s">
        <v>2444</v>
      </c>
    </row>
    <row r="6723" customFormat="false" ht="15" hidden="false" customHeight="true" outlineLevel="0" collapsed="false">
      <c r="A6723" s="0" t="n">
        <v>2</v>
      </c>
      <c r="B6723" s="71" t="n">
        <v>46254</v>
      </c>
      <c r="C6723" s="0" t="n">
        <v>11</v>
      </c>
      <c r="D6723" s="0" t="s">
        <v>2471</v>
      </c>
      <c r="E6723" s="0" t="n">
        <v>10012</v>
      </c>
      <c r="F6723" s="0" t="s">
        <v>185</v>
      </c>
      <c r="I6723" s="0" t="n">
        <v>1966312</v>
      </c>
      <c r="J6723" s="0" t="n">
        <v>80284</v>
      </c>
      <c r="K6723" s="0" t="n">
        <v>7891032014690</v>
      </c>
      <c r="L6723" s="0" t="s">
        <v>5065</v>
      </c>
      <c r="N6723" s="0" t="n">
        <v>32</v>
      </c>
      <c r="O6723" s="0" t="n">
        <v>73.28</v>
      </c>
      <c r="P6723" s="0" t="s">
        <v>2444</v>
      </c>
    </row>
    <row r="6724" customFormat="false" ht="15" hidden="false" customHeight="true" outlineLevel="0" collapsed="false">
      <c r="A6724" s="0" t="n">
        <v>2</v>
      </c>
      <c r="B6724" s="71" t="n">
        <v>46254</v>
      </c>
      <c r="C6724" s="0" t="n">
        <v>22</v>
      </c>
      <c r="D6724" s="0" t="s">
        <v>2479</v>
      </c>
      <c r="E6724" s="0" t="n">
        <v>48</v>
      </c>
      <c r="F6724" s="0" t="s">
        <v>153</v>
      </c>
      <c r="I6724" s="0" t="n">
        <v>2616</v>
      </c>
      <c r="J6724" s="0" t="n">
        <v>100000</v>
      </c>
      <c r="K6724" s="0" t="n">
        <v>1</v>
      </c>
      <c r="L6724" s="0" t="s">
        <v>2480</v>
      </c>
      <c r="N6724" s="0" t="n">
        <v>4.016</v>
      </c>
      <c r="O6724" s="0" t="n">
        <v>73.53</v>
      </c>
      <c r="P6724" s="0" t="s">
        <v>2444</v>
      </c>
    </row>
    <row r="6725" customFormat="false" ht="15" hidden="false" customHeight="true" outlineLevel="0" collapsed="false">
      <c r="A6725" s="0" t="n">
        <v>2</v>
      </c>
      <c r="B6725" s="71" t="n">
        <v>46254</v>
      </c>
      <c r="C6725" s="0" t="n">
        <v>22</v>
      </c>
      <c r="D6725" s="0" t="s">
        <v>2479</v>
      </c>
      <c r="E6725" s="0" t="n">
        <v>48</v>
      </c>
      <c r="F6725" s="0" t="s">
        <v>153</v>
      </c>
      <c r="I6725" s="0" t="n">
        <v>2616</v>
      </c>
      <c r="J6725" s="0" t="n">
        <v>100001</v>
      </c>
      <c r="K6725" s="0" t="n">
        <v>2</v>
      </c>
      <c r="L6725" s="0" t="s">
        <v>2481</v>
      </c>
      <c r="N6725" s="0" t="n">
        <v>9.655</v>
      </c>
      <c r="O6725" s="0" t="n">
        <v>191.5</v>
      </c>
      <c r="P6725" s="0" t="s">
        <v>2444</v>
      </c>
    </row>
    <row r="6726" customFormat="false" ht="15" hidden="false" customHeight="true" outlineLevel="0" collapsed="false">
      <c r="A6726" s="0" t="n">
        <v>2</v>
      </c>
      <c r="B6726" s="71" t="n">
        <v>46254</v>
      </c>
      <c r="C6726" s="0" t="n">
        <v>22</v>
      </c>
      <c r="D6726" s="0" t="s">
        <v>2479</v>
      </c>
      <c r="E6726" s="0" t="n">
        <v>48</v>
      </c>
      <c r="F6726" s="0" t="s">
        <v>153</v>
      </c>
      <c r="I6726" s="0" t="n">
        <v>2616</v>
      </c>
      <c r="J6726" s="0" t="n">
        <v>100002</v>
      </c>
      <c r="K6726" s="0" t="n">
        <v>3</v>
      </c>
      <c r="L6726" s="0" t="s">
        <v>2482</v>
      </c>
      <c r="N6726" s="0" t="n">
        <v>21.61</v>
      </c>
      <c r="O6726" s="0" t="n">
        <v>494.59</v>
      </c>
      <c r="P6726" s="0" t="s">
        <v>2444</v>
      </c>
    </row>
    <row r="6727" customFormat="false" ht="15" hidden="false" customHeight="true" outlineLevel="0" collapsed="false">
      <c r="A6727" s="0" t="n">
        <v>2</v>
      </c>
      <c r="B6727" s="71" t="n">
        <v>46254</v>
      </c>
      <c r="C6727" s="0" t="n">
        <v>22</v>
      </c>
      <c r="D6727" s="0" t="s">
        <v>2479</v>
      </c>
      <c r="E6727" s="0" t="n">
        <v>48</v>
      </c>
      <c r="F6727" s="0" t="s">
        <v>153</v>
      </c>
      <c r="I6727" s="0" t="n">
        <v>2616</v>
      </c>
      <c r="J6727" s="0" t="n">
        <v>100003</v>
      </c>
      <c r="K6727" s="0" t="n">
        <v>4</v>
      </c>
      <c r="L6727" s="0" t="s">
        <v>2483</v>
      </c>
      <c r="N6727" s="0" t="n">
        <v>19.24</v>
      </c>
      <c r="O6727" s="0" t="n">
        <v>469.72</v>
      </c>
      <c r="P6727" s="0" t="s">
        <v>2444</v>
      </c>
    </row>
    <row r="6728" customFormat="false" ht="15" hidden="false" customHeight="true" outlineLevel="0" collapsed="false">
      <c r="A6728" s="0" t="n">
        <v>2</v>
      </c>
      <c r="B6728" s="71" t="n">
        <v>46254</v>
      </c>
      <c r="C6728" s="0" t="n">
        <v>22</v>
      </c>
      <c r="D6728" s="0" t="s">
        <v>2479</v>
      </c>
      <c r="E6728" s="0" t="n">
        <v>48</v>
      </c>
      <c r="F6728" s="0" t="s">
        <v>153</v>
      </c>
      <c r="I6728" s="0" t="n">
        <v>2616</v>
      </c>
      <c r="J6728" s="0" t="n">
        <v>100004</v>
      </c>
      <c r="K6728" s="0" t="n">
        <v>5</v>
      </c>
      <c r="L6728" s="0" t="s">
        <v>2484</v>
      </c>
      <c r="N6728" s="0" t="n">
        <v>0.79</v>
      </c>
      <c r="O6728" s="0" t="n">
        <v>16.88</v>
      </c>
      <c r="P6728" s="0" t="s">
        <v>2444</v>
      </c>
    </row>
    <row r="6729" customFormat="false" ht="15" hidden="false" customHeight="true" outlineLevel="0" collapsed="false">
      <c r="A6729" s="0" t="n">
        <v>2</v>
      </c>
      <c r="B6729" s="71" t="n">
        <v>46254</v>
      </c>
      <c r="C6729" s="0" t="n">
        <v>22</v>
      </c>
      <c r="D6729" s="0" t="s">
        <v>2479</v>
      </c>
      <c r="E6729" s="0" t="n">
        <v>48</v>
      </c>
      <c r="F6729" s="0" t="s">
        <v>153</v>
      </c>
      <c r="I6729" s="0" t="n">
        <v>2616</v>
      </c>
      <c r="J6729" s="0" t="n">
        <v>100007</v>
      </c>
      <c r="K6729" s="0" t="n">
        <v>8</v>
      </c>
      <c r="L6729" s="0" t="s">
        <v>2486</v>
      </c>
      <c r="N6729" s="0" t="n">
        <v>0.7</v>
      </c>
      <c r="O6729" s="0" t="n">
        <v>16.02</v>
      </c>
      <c r="P6729" s="0" t="s">
        <v>2444</v>
      </c>
    </row>
    <row r="6730" customFormat="false" ht="15" hidden="false" customHeight="true" outlineLevel="0" collapsed="false">
      <c r="A6730" s="0" t="n">
        <v>2</v>
      </c>
      <c r="B6730" s="71" t="n">
        <v>46254</v>
      </c>
      <c r="C6730" s="0" t="n">
        <v>22</v>
      </c>
      <c r="D6730" s="0" t="s">
        <v>2479</v>
      </c>
      <c r="E6730" s="0" t="n">
        <v>48</v>
      </c>
      <c r="F6730" s="0" t="s">
        <v>153</v>
      </c>
      <c r="I6730" s="0" t="n">
        <v>2616</v>
      </c>
      <c r="J6730" s="0" t="n">
        <v>100040</v>
      </c>
      <c r="K6730" s="0" t="n">
        <v>41</v>
      </c>
      <c r="L6730" s="0" t="s">
        <v>2583</v>
      </c>
      <c r="N6730" s="0" t="n">
        <v>1.032</v>
      </c>
      <c r="O6730" s="0" t="n">
        <v>25.19</v>
      </c>
      <c r="P6730" s="0" t="s">
        <v>2444</v>
      </c>
    </row>
    <row r="6731" customFormat="false" ht="15" hidden="false" customHeight="true" outlineLevel="0" collapsed="false">
      <c r="A6731" s="0" t="n">
        <v>2</v>
      </c>
      <c r="B6731" s="71" t="n">
        <v>46254</v>
      </c>
      <c r="C6731" s="0" t="n">
        <v>22</v>
      </c>
      <c r="D6731" s="0" t="s">
        <v>2479</v>
      </c>
      <c r="E6731" s="0" t="n">
        <v>48</v>
      </c>
      <c r="F6731" s="0" t="s">
        <v>153</v>
      </c>
      <c r="I6731" s="0" t="n">
        <v>2616</v>
      </c>
      <c r="J6731" s="0" t="n">
        <v>100638</v>
      </c>
      <c r="K6731" s="0" t="n">
        <v>508</v>
      </c>
      <c r="L6731" s="0" t="s">
        <v>2496</v>
      </c>
      <c r="N6731" s="0" t="n">
        <v>0.341</v>
      </c>
      <c r="O6731" s="0" t="n">
        <v>0.78</v>
      </c>
      <c r="P6731" s="0" t="s">
        <v>2444</v>
      </c>
    </row>
    <row r="6732" customFormat="false" ht="15" hidden="false" customHeight="true" outlineLevel="0" collapsed="false">
      <c r="A6732" s="0" t="n">
        <v>2</v>
      </c>
      <c r="B6732" s="71" t="n">
        <v>46254</v>
      </c>
      <c r="C6732" s="0" t="n">
        <v>22</v>
      </c>
      <c r="D6732" s="0" t="s">
        <v>2479</v>
      </c>
      <c r="E6732" s="0" t="n">
        <v>48</v>
      </c>
      <c r="F6732" s="0" t="s">
        <v>153</v>
      </c>
      <c r="I6732" s="0" t="n">
        <v>2616</v>
      </c>
      <c r="J6732" s="0" t="n">
        <v>110137</v>
      </c>
      <c r="K6732" s="0" t="n">
        <v>13899</v>
      </c>
      <c r="L6732" s="0" t="s">
        <v>3780</v>
      </c>
      <c r="N6732" s="0" t="n">
        <v>1.416</v>
      </c>
      <c r="O6732" s="0" t="n">
        <v>5.39</v>
      </c>
      <c r="P6732" s="0" t="s">
        <v>2444</v>
      </c>
    </row>
    <row r="6733" customFormat="false" ht="15" hidden="false" customHeight="true" outlineLevel="0" collapsed="false">
      <c r="A6733" s="0" t="n">
        <v>2</v>
      </c>
      <c r="B6733" s="71" t="n">
        <v>46254</v>
      </c>
      <c r="C6733" s="0" t="n">
        <v>100</v>
      </c>
      <c r="D6733" s="0" t="s">
        <v>2499</v>
      </c>
      <c r="E6733" s="0" t="n">
        <v>48</v>
      </c>
      <c r="F6733" s="0" t="s">
        <v>153</v>
      </c>
      <c r="I6733" s="0" t="n">
        <v>1576235</v>
      </c>
      <c r="J6733" s="0" t="n">
        <v>100000</v>
      </c>
      <c r="K6733" s="0" t="n">
        <v>1</v>
      </c>
      <c r="L6733" s="0" t="s">
        <v>2480</v>
      </c>
      <c r="N6733" s="0" t="n">
        <v>4.016</v>
      </c>
      <c r="O6733" s="0" t="n">
        <v>73.53</v>
      </c>
      <c r="P6733" s="0" t="s">
        <v>2444</v>
      </c>
    </row>
    <row r="6734" customFormat="false" ht="15" hidden="false" customHeight="true" outlineLevel="0" collapsed="false">
      <c r="A6734" s="0" t="n">
        <v>2</v>
      </c>
      <c r="B6734" s="71" t="n">
        <v>46254</v>
      </c>
      <c r="C6734" s="0" t="n">
        <v>100</v>
      </c>
      <c r="D6734" s="0" t="s">
        <v>2499</v>
      </c>
      <c r="E6734" s="0" t="n">
        <v>48</v>
      </c>
      <c r="F6734" s="0" t="s">
        <v>153</v>
      </c>
      <c r="I6734" s="0" t="n">
        <v>1576235</v>
      </c>
      <c r="J6734" s="0" t="n">
        <v>100001</v>
      </c>
      <c r="K6734" s="0" t="n">
        <v>2</v>
      </c>
      <c r="L6734" s="0" t="s">
        <v>2481</v>
      </c>
      <c r="N6734" s="0" t="n">
        <v>9.655</v>
      </c>
      <c r="O6734" s="0" t="n">
        <v>191.5</v>
      </c>
      <c r="P6734" s="0" t="s">
        <v>2444</v>
      </c>
    </row>
    <row r="6735" customFormat="false" ht="15" hidden="false" customHeight="true" outlineLevel="0" collapsed="false">
      <c r="A6735" s="0" t="n">
        <v>2</v>
      </c>
      <c r="B6735" s="71" t="n">
        <v>46254</v>
      </c>
      <c r="C6735" s="0" t="n">
        <v>100</v>
      </c>
      <c r="D6735" s="0" t="s">
        <v>2499</v>
      </c>
      <c r="E6735" s="0" t="n">
        <v>48</v>
      </c>
      <c r="F6735" s="0" t="s">
        <v>153</v>
      </c>
      <c r="I6735" s="0" t="n">
        <v>1576235</v>
      </c>
      <c r="J6735" s="0" t="n">
        <v>100002</v>
      </c>
      <c r="K6735" s="0" t="n">
        <v>3</v>
      </c>
      <c r="L6735" s="0" t="s">
        <v>2482</v>
      </c>
      <c r="N6735" s="0" t="n">
        <v>21.61</v>
      </c>
      <c r="O6735" s="0" t="n">
        <v>494.59</v>
      </c>
      <c r="P6735" s="0" t="s">
        <v>2444</v>
      </c>
    </row>
    <row r="6736" customFormat="false" ht="15" hidden="false" customHeight="true" outlineLevel="0" collapsed="false">
      <c r="A6736" s="0" t="n">
        <v>2</v>
      </c>
      <c r="B6736" s="71" t="n">
        <v>46254</v>
      </c>
      <c r="C6736" s="0" t="n">
        <v>100</v>
      </c>
      <c r="D6736" s="0" t="s">
        <v>2499</v>
      </c>
      <c r="E6736" s="0" t="n">
        <v>48</v>
      </c>
      <c r="F6736" s="0" t="s">
        <v>153</v>
      </c>
      <c r="I6736" s="0" t="n">
        <v>1576235</v>
      </c>
      <c r="J6736" s="0" t="n">
        <v>100003</v>
      </c>
      <c r="K6736" s="0" t="n">
        <v>4</v>
      </c>
      <c r="L6736" s="0" t="s">
        <v>2483</v>
      </c>
      <c r="N6736" s="0" t="n">
        <v>19.24</v>
      </c>
      <c r="O6736" s="0" t="n">
        <v>469.72</v>
      </c>
      <c r="P6736" s="0" t="s">
        <v>2444</v>
      </c>
    </row>
    <row r="6737" customFormat="false" ht="15" hidden="false" customHeight="true" outlineLevel="0" collapsed="false">
      <c r="A6737" s="0" t="n">
        <v>2</v>
      </c>
      <c r="B6737" s="71" t="n">
        <v>46254</v>
      </c>
      <c r="C6737" s="0" t="n">
        <v>100</v>
      </c>
      <c r="D6737" s="0" t="s">
        <v>2499</v>
      </c>
      <c r="E6737" s="0" t="n">
        <v>48</v>
      </c>
      <c r="F6737" s="0" t="s">
        <v>153</v>
      </c>
      <c r="I6737" s="0" t="n">
        <v>1576235</v>
      </c>
      <c r="J6737" s="0" t="n">
        <v>100004</v>
      </c>
      <c r="K6737" s="0" t="n">
        <v>5</v>
      </c>
      <c r="L6737" s="0" t="s">
        <v>2484</v>
      </c>
      <c r="N6737" s="0" t="n">
        <v>0.79</v>
      </c>
      <c r="O6737" s="0" t="n">
        <v>16.88</v>
      </c>
      <c r="P6737" s="0" t="s">
        <v>2444</v>
      </c>
    </row>
    <row r="6738" customFormat="false" ht="15" hidden="false" customHeight="true" outlineLevel="0" collapsed="false">
      <c r="A6738" s="0" t="n">
        <v>2</v>
      </c>
      <c r="B6738" s="71" t="n">
        <v>46254</v>
      </c>
      <c r="C6738" s="0" t="n">
        <v>100</v>
      </c>
      <c r="D6738" s="0" t="s">
        <v>2499</v>
      </c>
      <c r="E6738" s="0" t="n">
        <v>48</v>
      </c>
      <c r="F6738" s="0" t="s">
        <v>153</v>
      </c>
      <c r="I6738" s="0" t="n">
        <v>1576235</v>
      </c>
      <c r="J6738" s="0" t="n">
        <v>100007</v>
      </c>
      <c r="K6738" s="0" t="n">
        <v>8</v>
      </c>
      <c r="L6738" s="0" t="s">
        <v>2486</v>
      </c>
      <c r="N6738" s="0" t="n">
        <v>0.7</v>
      </c>
      <c r="O6738" s="0" t="n">
        <v>16.02</v>
      </c>
      <c r="P6738" s="0" t="s">
        <v>2444</v>
      </c>
    </row>
    <row r="6739" customFormat="false" ht="15" hidden="false" customHeight="true" outlineLevel="0" collapsed="false">
      <c r="A6739" s="0" t="n">
        <v>2</v>
      </c>
      <c r="B6739" s="71" t="n">
        <v>46254</v>
      </c>
      <c r="C6739" s="0" t="n">
        <v>100</v>
      </c>
      <c r="D6739" s="0" t="s">
        <v>2499</v>
      </c>
      <c r="E6739" s="0" t="n">
        <v>48</v>
      </c>
      <c r="F6739" s="0" t="s">
        <v>153</v>
      </c>
      <c r="I6739" s="0" t="n">
        <v>1576235</v>
      </c>
      <c r="J6739" s="0" t="n">
        <v>100040</v>
      </c>
      <c r="K6739" s="0" t="n">
        <v>41</v>
      </c>
      <c r="L6739" s="0" t="s">
        <v>2583</v>
      </c>
      <c r="N6739" s="0" t="n">
        <v>1.032</v>
      </c>
      <c r="O6739" s="0" t="n">
        <v>25.19</v>
      </c>
      <c r="P6739" s="0" t="s">
        <v>2444</v>
      </c>
    </row>
    <row r="6740" customFormat="false" ht="15" hidden="false" customHeight="true" outlineLevel="0" collapsed="false">
      <c r="A6740" s="0" t="n">
        <v>2</v>
      </c>
      <c r="B6740" s="71" t="n">
        <v>46254</v>
      </c>
      <c r="C6740" s="0" t="n">
        <v>100</v>
      </c>
      <c r="D6740" s="0" t="s">
        <v>2499</v>
      </c>
      <c r="E6740" s="0" t="n">
        <v>48</v>
      </c>
      <c r="F6740" s="0" t="s">
        <v>153</v>
      </c>
      <c r="I6740" s="0" t="n">
        <v>1576235</v>
      </c>
      <c r="J6740" s="0" t="n">
        <v>100638</v>
      </c>
      <c r="K6740" s="0" t="n">
        <v>508</v>
      </c>
      <c r="L6740" s="0" t="s">
        <v>2496</v>
      </c>
      <c r="N6740" s="0" t="n">
        <v>0.341</v>
      </c>
      <c r="O6740" s="0" t="n">
        <v>0.78</v>
      </c>
      <c r="P6740" s="0" t="s">
        <v>2444</v>
      </c>
    </row>
    <row r="6741" customFormat="false" ht="15" hidden="false" customHeight="true" outlineLevel="0" collapsed="false">
      <c r="A6741" s="0" t="n">
        <v>2</v>
      </c>
      <c r="B6741" s="71" t="n">
        <v>46254</v>
      </c>
      <c r="C6741" s="0" t="n">
        <v>100</v>
      </c>
      <c r="D6741" s="0" t="s">
        <v>2499</v>
      </c>
      <c r="E6741" s="0" t="n">
        <v>48</v>
      </c>
      <c r="F6741" s="0" t="s">
        <v>153</v>
      </c>
      <c r="I6741" s="0" t="n">
        <v>1576235</v>
      </c>
      <c r="J6741" s="0" t="n">
        <v>110137</v>
      </c>
      <c r="K6741" s="0" t="n">
        <v>13899</v>
      </c>
      <c r="L6741" s="0" t="s">
        <v>3780</v>
      </c>
      <c r="N6741" s="0" t="n">
        <v>1.416</v>
      </c>
      <c r="O6741" s="0" t="n">
        <v>5.39</v>
      </c>
      <c r="P6741" s="0" t="s">
        <v>2444</v>
      </c>
    </row>
    <row r="6742" customFormat="false" ht="15" hidden="false" customHeight="true" outlineLevel="0" collapsed="false">
      <c r="A6742" s="0" t="n">
        <v>2</v>
      </c>
      <c r="B6742" s="71" t="n">
        <v>46255</v>
      </c>
      <c r="C6742" s="0" t="n">
        <v>6</v>
      </c>
      <c r="D6742" s="0" t="s">
        <v>2553</v>
      </c>
      <c r="E6742" s="0" t="n">
        <v>48</v>
      </c>
      <c r="F6742" s="0" t="s">
        <v>153</v>
      </c>
      <c r="I6742" s="0" t="n">
        <v>2619</v>
      </c>
      <c r="J6742" s="0" t="n">
        <v>42564</v>
      </c>
      <c r="K6742" s="0" t="n">
        <v>574</v>
      </c>
      <c r="L6742" s="0" t="s">
        <v>2534</v>
      </c>
      <c r="N6742" s="0" t="n">
        <v>20</v>
      </c>
      <c r="O6742" s="0" t="n">
        <v>300</v>
      </c>
      <c r="P6742" s="0" t="s">
        <v>2444</v>
      </c>
    </row>
    <row r="6743" customFormat="false" ht="15" hidden="false" customHeight="true" outlineLevel="0" collapsed="false">
      <c r="A6743" s="0" t="n">
        <v>2</v>
      </c>
      <c r="B6743" s="71" t="n">
        <v>46255</v>
      </c>
      <c r="C6743" s="0" t="n">
        <v>6</v>
      </c>
      <c r="D6743" s="0" t="s">
        <v>2553</v>
      </c>
      <c r="E6743" s="0" t="n">
        <v>48</v>
      </c>
      <c r="F6743" s="0" t="s">
        <v>153</v>
      </c>
      <c r="I6743" s="0" t="n">
        <v>2622</v>
      </c>
      <c r="J6743" s="0" t="n">
        <v>100113</v>
      </c>
      <c r="K6743" s="0" t="n">
        <v>114</v>
      </c>
      <c r="L6743" s="0" t="s">
        <v>2539</v>
      </c>
      <c r="N6743" s="0" t="n">
        <v>20</v>
      </c>
      <c r="O6743" s="0" t="n">
        <v>85</v>
      </c>
      <c r="P6743" s="0" t="s">
        <v>2444</v>
      </c>
    </row>
    <row r="6744" customFormat="false" ht="15" hidden="false" customHeight="true" outlineLevel="0" collapsed="false">
      <c r="A6744" s="0" t="n">
        <v>2</v>
      </c>
      <c r="B6744" s="71" t="n">
        <v>46255</v>
      </c>
      <c r="C6744" s="0" t="n">
        <v>6</v>
      </c>
      <c r="D6744" s="0" t="s">
        <v>2553</v>
      </c>
      <c r="E6744" s="0" t="n">
        <v>48</v>
      </c>
      <c r="F6744" s="0" t="s">
        <v>153</v>
      </c>
      <c r="I6744" s="0" t="n">
        <v>2622</v>
      </c>
      <c r="J6744" s="0" t="n">
        <v>110142</v>
      </c>
      <c r="K6744" s="0" t="n">
        <v>16699</v>
      </c>
      <c r="L6744" s="0" t="s">
        <v>2549</v>
      </c>
      <c r="N6744" s="0" t="n">
        <v>20</v>
      </c>
      <c r="O6744" s="0" t="n">
        <v>115</v>
      </c>
      <c r="P6744" s="0" t="s">
        <v>2444</v>
      </c>
    </row>
    <row r="6745" customFormat="false" ht="15" hidden="false" customHeight="true" outlineLevel="0" collapsed="false">
      <c r="A6745" s="0" t="n">
        <v>2</v>
      </c>
      <c r="B6745" s="71" t="n">
        <v>46255</v>
      </c>
      <c r="C6745" s="0" t="n">
        <v>6</v>
      </c>
      <c r="D6745" s="0" t="s">
        <v>2553</v>
      </c>
      <c r="E6745" s="0" t="n">
        <v>48</v>
      </c>
      <c r="F6745" s="0" t="s">
        <v>153</v>
      </c>
      <c r="I6745" s="0" t="n">
        <v>2623</v>
      </c>
      <c r="J6745" s="0" t="n">
        <v>100105</v>
      </c>
      <c r="K6745" s="0" t="n">
        <v>106</v>
      </c>
      <c r="L6745" s="0" t="s">
        <v>2536</v>
      </c>
      <c r="N6745" s="0" t="n">
        <v>24</v>
      </c>
      <c r="O6745" s="0" t="n">
        <v>130</v>
      </c>
      <c r="P6745" s="0" t="s">
        <v>2444</v>
      </c>
    </row>
    <row r="6746" customFormat="false" ht="15" hidden="false" customHeight="true" outlineLevel="0" collapsed="false">
      <c r="A6746" s="0" t="n">
        <v>2</v>
      </c>
      <c r="B6746" s="71" t="n">
        <v>46255</v>
      </c>
      <c r="C6746" s="0" t="n">
        <v>6</v>
      </c>
      <c r="D6746" s="0" t="s">
        <v>2553</v>
      </c>
      <c r="E6746" s="0" t="n">
        <v>48</v>
      </c>
      <c r="F6746" s="0" t="s">
        <v>153</v>
      </c>
      <c r="I6746" s="0" t="n">
        <v>2623</v>
      </c>
      <c r="J6746" s="0" t="n">
        <v>100109</v>
      </c>
      <c r="K6746" s="0" t="n">
        <v>110</v>
      </c>
      <c r="L6746" s="0" t="s">
        <v>2537</v>
      </c>
      <c r="N6746" s="0" t="n">
        <v>20</v>
      </c>
      <c r="O6746" s="0" t="n">
        <v>100</v>
      </c>
      <c r="P6746" s="0" t="s">
        <v>2444</v>
      </c>
    </row>
    <row r="6747" customFormat="false" ht="15" hidden="false" customHeight="true" outlineLevel="0" collapsed="false">
      <c r="A6747" s="0" t="n">
        <v>2</v>
      </c>
      <c r="B6747" s="71" t="n">
        <v>46255</v>
      </c>
      <c r="C6747" s="0" t="n">
        <v>6</v>
      </c>
      <c r="D6747" s="0" t="s">
        <v>2553</v>
      </c>
      <c r="E6747" s="0" t="n">
        <v>48</v>
      </c>
      <c r="F6747" s="0" t="s">
        <v>153</v>
      </c>
      <c r="I6747" s="0" t="n">
        <v>2623</v>
      </c>
      <c r="J6747" s="0" t="n">
        <v>100110</v>
      </c>
      <c r="K6747" s="0" t="n">
        <v>111</v>
      </c>
      <c r="L6747" s="0" t="s">
        <v>2997</v>
      </c>
      <c r="N6747" s="0" t="n">
        <v>20</v>
      </c>
      <c r="O6747" s="0" t="n">
        <v>150</v>
      </c>
      <c r="P6747" s="0" t="s">
        <v>2444</v>
      </c>
    </row>
    <row r="6748" customFormat="false" ht="15" hidden="false" customHeight="true" outlineLevel="0" collapsed="false">
      <c r="A6748" s="0" t="n">
        <v>2</v>
      </c>
      <c r="B6748" s="71" t="n">
        <v>46255</v>
      </c>
      <c r="C6748" s="0" t="n">
        <v>6</v>
      </c>
      <c r="D6748" s="0" t="s">
        <v>2553</v>
      </c>
      <c r="E6748" s="0" t="n">
        <v>48</v>
      </c>
      <c r="F6748" s="0" t="s">
        <v>153</v>
      </c>
      <c r="I6748" s="0" t="n">
        <v>2623</v>
      </c>
      <c r="J6748" s="0" t="n">
        <v>100116</v>
      </c>
      <c r="K6748" s="0" t="n">
        <v>117</v>
      </c>
      <c r="L6748" s="0" t="s">
        <v>2540</v>
      </c>
      <c r="N6748" s="0" t="n">
        <v>2</v>
      </c>
      <c r="O6748" s="0" t="n">
        <v>36</v>
      </c>
      <c r="P6748" s="0" t="s">
        <v>2444</v>
      </c>
    </row>
    <row r="6749" customFormat="false" ht="15" hidden="false" customHeight="true" outlineLevel="0" collapsed="false">
      <c r="A6749" s="0" t="n">
        <v>2</v>
      </c>
      <c r="B6749" s="71" t="n">
        <v>46255</v>
      </c>
      <c r="C6749" s="0" t="n">
        <v>6</v>
      </c>
      <c r="D6749" s="0" t="s">
        <v>2553</v>
      </c>
      <c r="E6749" s="0" t="n">
        <v>48</v>
      </c>
      <c r="F6749" s="0" t="s">
        <v>153</v>
      </c>
      <c r="I6749" s="0" t="n">
        <v>2623</v>
      </c>
      <c r="J6749" s="0" t="n">
        <v>100118</v>
      </c>
      <c r="K6749" s="0" t="n">
        <v>119</v>
      </c>
      <c r="L6749" s="0" t="s">
        <v>2541</v>
      </c>
      <c r="N6749" s="0" t="n">
        <v>15</v>
      </c>
      <c r="O6749" s="0" t="n">
        <v>90</v>
      </c>
      <c r="P6749" s="0" t="s">
        <v>2444</v>
      </c>
    </row>
    <row r="6750" customFormat="false" ht="15" hidden="false" customHeight="true" outlineLevel="0" collapsed="false">
      <c r="A6750" s="0" t="n">
        <v>2</v>
      </c>
      <c r="B6750" s="71" t="n">
        <v>46255</v>
      </c>
      <c r="C6750" s="0" t="n">
        <v>6</v>
      </c>
      <c r="D6750" s="0" t="s">
        <v>2553</v>
      </c>
      <c r="E6750" s="0" t="n">
        <v>48</v>
      </c>
      <c r="F6750" s="0" t="s">
        <v>153</v>
      </c>
      <c r="I6750" s="0" t="n">
        <v>2623</v>
      </c>
      <c r="J6750" s="0" t="n">
        <v>100123</v>
      </c>
      <c r="K6750" s="0" t="n">
        <v>124</v>
      </c>
      <c r="L6750" s="0" t="s">
        <v>2544</v>
      </c>
      <c r="N6750" s="0" t="n">
        <v>2</v>
      </c>
      <c r="O6750" s="0" t="n">
        <v>40</v>
      </c>
      <c r="P6750" s="0" t="s">
        <v>2444</v>
      </c>
    </row>
    <row r="6751" customFormat="false" ht="15" hidden="false" customHeight="true" outlineLevel="0" collapsed="false">
      <c r="A6751" s="0" t="n">
        <v>2</v>
      </c>
      <c r="B6751" s="71" t="n">
        <v>46255</v>
      </c>
      <c r="C6751" s="0" t="n">
        <v>6</v>
      </c>
      <c r="D6751" s="0" t="s">
        <v>2553</v>
      </c>
      <c r="E6751" s="0" t="n">
        <v>48</v>
      </c>
      <c r="F6751" s="0" t="s">
        <v>153</v>
      </c>
      <c r="I6751" s="0" t="n">
        <v>2623</v>
      </c>
      <c r="J6751" s="0" t="n">
        <v>100125</v>
      </c>
      <c r="K6751" s="0" t="n">
        <v>126</v>
      </c>
      <c r="L6751" s="0" t="s">
        <v>2597</v>
      </c>
      <c r="N6751" s="0" t="n">
        <v>20</v>
      </c>
      <c r="O6751" s="0" t="n">
        <v>120</v>
      </c>
      <c r="P6751" s="0" t="s">
        <v>2444</v>
      </c>
    </row>
    <row r="6752" customFormat="false" ht="15" hidden="false" customHeight="true" outlineLevel="0" collapsed="false">
      <c r="A6752" s="0" t="n">
        <v>2</v>
      </c>
      <c r="B6752" s="71" t="n">
        <v>46255</v>
      </c>
      <c r="C6752" s="0" t="n">
        <v>6</v>
      </c>
      <c r="D6752" s="0" t="s">
        <v>2553</v>
      </c>
      <c r="E6752" s="0" t="n">
        <v>48</v>
      </c>
      <c r="F6752" s="0" t="s">
        <v>153</v>
      </c>
      <c r="I6752" s="0" t="n">
        <v>2623</v>
      </c>
      <c r="J6752" s="0" t="n">
        <v>100130</v>
      </c>
      <c r="K6752" s="0" t="n">
        <v>131</v>
      </c>
      <c r="L6752" s="0" t="s">
        <v>2545</v>
      </c>
      <c r="N6752" s="0" t="n">
        <v>30</v>
      </c>
      <c r="O6752" s="0" t="n">
        <v>240</v>
      </c>
      <c r="P6752" s="0" t="s">
        <v>2444</v>
      </c>
    </row>
    <row r="6753" customFormat="false" ht="15" hidden="false" customHeight="true" outlineLevel="0" collapsed="false">
      <c r="A6753" s="0" t="n">
        <v>2</v>
      </c>
      <c r="B6753" s="71" t="n">
        <v>46255</v>
      </c>
      <c r="C6753" s="0" t="n">
        <v>6</v>
      </c>
      <c r="D6753" s="0" t="s">
        <v>2553</v>
      </c>
      <c r="E6753" s="0" t="n">
        <v>48</v>
      </c>
      <c r="F6753" s="0" t="s">
        <v>153</v>
      </c>
      <c r="I6753" s="0" t="n">
        <v>2623</v>
      </c>
      <c r="J6753" s="0" t="n">
        <v>100132</v>
      </c>
      <c r="K6753" s="0" t="n">
        <v>133</v>
      </c>
      <c r="L6753" s="0" t="s">
        <v>2546</v>
      </c>
      <c r="N6753" s="0" t="n">
        <v>54.225</v>
      </c>
      <c r="O6753" s="0" t="n">
        <v>200</v>
      </c>
      <c r="P6753" s="0" t="s">
        <v>2444</v>
      </c>
    </row>
    <row r="6754" customFormat="false" ht="15" hidden="false" customHeight="true" outlineLevel="0" collapsed="false">
      <c r="A6754" s="0" t="n">
        <v>2</v>
      </c>
      <c r="B6754" s="71" t="n">
        <v>46255</v>
      </c>
      <c r="C6754" s="0" t="n">
        <v>6</v>
      </c>
      <c r="D6754" s="0" t="s">
        <v>2553</v>
      </c>
      <c r="E6754" s="0" t="n">
        <v>48</v>
      </c>
      <c r="F6754" s="0" t="s">
        <v>153</v>
      </c>
      <c r="I6754" s="0" t="n">
        <v>2623</v>
      </c>
      <c r="J6754" s="0" t="n">
        <v>100133</v>
      </c>
      <c r="K6754" s="0" t="n">
        <v>134</v>
      </c>
      <c r="L6754" s="0" t="s">
        <v>2547</v>
      </c>
      <c r="N6754" s="0" t="n">
        <v>20</v>
      </c>
      <c r="O6754" s="0" t="n">
        <v>120</v>
      </c>
      <c r="P6754" s="0" t="s">
        <v>2444</v>
      </c>
    </row>
    <row r="6755" customFormat="false" ht="15" hidden="false" customHeight="true" outlineLevel="0" collapsed="false">
      <c r="A6755" s="0" t="n">
        <v>2</v>
      </c>
      <c r="B6755" s="71" t="n">
        <v>46255</v>
      </c>
      <c r="C6755" s="0" t="n">
        <v>6</v>
      </c>
      <c r="D6755" s="0" t="s">
        <v>2553</v>
      </c>
      <c r="E6755" s="0" t="n">
        <v>48</v>
      </c>
      <c r="F6755" s="0" t="s">
        <v>153</v>
      </c>
      <c r="I6755" s="0" t="n">
        <v>2623</v>
      </c>
      <c r="J6755" s="0" t="n">
        <v>100148</v>
      </c>
      <c r="K6755" s="0" t="n">
        <v>149</v>
      </c>
      <c r="L6755" s="0" t="s">
        <v>2600</v>
      </c>
      <c r="N6755" s="0" t="n">
        <v>18</v>
      </c>
      <c r="O6755" s="0" t="n">
        <v>150</v>
      </c>
      <c r="P6755" s="0" t="s">
        <v>2444</v>
      </c>
    </row>
    <row r="6756" customFormat="false" ht="15" hidden="false" customHeight="true" outlineLevel="0" collapsed="false">
      <c r="A6756" s="0" t="n">
        <v>2</v>
      </c>
      <c r="B6756" s="71" t="n">
        <v>46255</v>
      </c>
      <c r="C6756" s="0" t="n">
        <v>6</v>
      </c>
      <c r="D6756" s="0" t="s">
        <v>2553</v>
      </c>
      <c r="E6756" s="0" t="n">
        <v>48</v>
      </c>
      <c r="F6756" s="0" t="s">
        <v>153</v>
      </c>
      <c r="I6756" s="0" t="n">
        <v>2623</v>
      </c>
      <c r="J6756" s="0" t="n">
        <v>110489</v>
      </c>
      <c r="K6756" s="0" t="n">
        <v>54743</v>
      </c>
      <c r="L6756" s="0" t="s">
        <v>2550</v>
      </c>
      <c r="N6756" s="0" t="n">
        <v>60</v>
      </c>
      <c r="O6756" s="0" t="n">
        <v>405</v>
      </c>
      <c r="P6756" s="0" t="s">
        <v>2444</v>
      </c>
    </row>
    <row r="6757" customFormat="false" ht="15" hidden="false" customHeight="true" outlineLevel="0" collapsed="false">
      <c r="A6757" s="0" t="n">
        <v>2</v>
      </c>
      <c r="B6757" s="71" t="n">
        <v>46255</v>
      </c>
      <c r="C6757" s="0" t="n">
        <v>6</v>
      </c>
      <c r="D6757" s="0" t="s">
        <v>2553</v>
      </c>
      <c r="E6757" s="0" t="n">
        <v>48</v>
      </c>
      <c r="F6757" s="0" t="s">
        <v>153</v>
      </c>
      <c r="I6757" s="0" t="n">
        <v>2623</v>
      </c>
      <c r="J6757" s="0" t="n">
        <v>80078</v>
      </c>
      <c r="K6757" s="0" t="n">
        <v>710</v>
      </c>
      <c r="L6757" s="0" t="s">
        <v>2551</v>
      </c>
      <c r="N6757" s="0" t="n">
        <v>10</v>
      </c>
      <c r="O6757" s="0" t="n">
        <v>30</v>
      </c>
      <c r="P6757" s="0" t="s">
        <v>2444</v>
      </c>
    </row>
    <row r="6758" customFormat="false" ht="15" hidden="false" customHeight="true" outlineLevel="0" collapsed="false">
      <c r="A6758" s="0" t="n">
        <v>2</v>
      </c>
      <c r="B6758" s="71" t="n">
        <v>46255</v>
      </c>
      <c r="C6758" s="0" t="n">
        <v>6</v>
      </c>
      <c r="D6758" s="0" t="s">
        <v>2553</v>
      </c>
      <c r="E6758" s="0" t="n">
        <v>48</v>
      </c>
      <c r="F6758" s="0" t="s">
        <v>153</v>
      </c>
      <c r="I6758" s="0" t="n">
        <v>2623</v>
      </c>
      <c r="J6758" s="0" t="n">
        <v>80308</v>
      </c>
      <c r="K6758" s="0" t="n">
        <v>1250</v>
      </c>
      <c r="L6758" s="0" t="s">
        <v>2552</v>
      </c>
      <c r="N6758" s="0" t="n">
        <v>15</v>
      </c>
      <c r="O6758" s="0" t="n">
        <v>52.5</v>
      </c>
      <c r="P6758" s="0" t="s">
        <v>2444</v>
      </c>
    </row>
    <row r="6759" customFormat="false" ht="15" hidden="false" customHeight="true" outlineLevel="0" collapsed="false">
      <c r="A6759" s="0" t="n">
        <v>2</v>
      </c>
      <c r="B6759" s="71" t="n">
        <v>46255</v>
      </c>
      <c r="C6759" s="0" t="n">
        <v>6</v>
      </c>
      <c r="D6759" s="0" t="s">
        <v>2553</v>
      </c>
      <c r="E6759" s="0" t="n">
        <v>48</v>
      </c>
      <c r="F6759" s="0" t="s">
        <v>153</v>
      </c>
      <c r="I6759" s="0" t="n">
        <v>2624</v>
      </c>
      <c r="J6759" s="0" t="n">
        <v>11683</v>
      </c>
      <c r="K6759" s="0" t="n">
        <v>7898934529048</v>
      </c>
      <c r="L6759" s="0" t="s">
        <v>2735</v>
      </c>
      <c r="N6759" s="0" t="n">
        <v>25</v>
      </c>
      <c r="O6759" s="0" t="n">
        <v>115</v>
      </c>
      <c r="P6759" s="0" t="s">
        <v>2444</v>
      </c>
    </row>
    <row r="6760" customFormat="false" ht="15" hidden="false" customHeight="true" outlineLevel="0" collapsed="false">
      <c r="A6760" s="0" t="n">
        <v>2</v>
      </c>
      <c r="B6760" s="71" t="n">
        <v>46255</v>
      </c>
      <c r="C6760" s="0" t="n">
        <v>6</v>
      </c>
      <c r="D6760" s="0" t="s">
        <v>2553</v>
      </c>
      <c r="E6760" s="0" t="n">
        <v>48</v>
      </c>
      <c r="F6760" s="0" t="s">
        <v>153</v>
      </c>
      <c r="I6760" s="0" t="n">
        <v>2624</v>
      </c>
      <c r="J6760" s="0" t="n">
        <v>20452</v>
      </c>
      <c r="K6760" s="0" t="n">
        <v>7898934529086</v>
      </c>
      <c r="L6760" s="0" t="s">
        <v>2736</v>
      </c>
      <c r="N6760" s="0" t="n">
        <v>100</v>
      </c>
      <c r="O6760" s="0" t="n">
        <v>1032</v>
      </c>
      <c r="P6760" s="0" t="s">
        <v>2444</v>
      </c>
    </row>
    <row r="6761" customFormat="false" ht="15" hidden="false" customHeight="true" outlineLevel="0" collapsed="false">
      <c r="A6761" s="0" t="n">
        <v>2</v>
      </c>
      <c r="B6761" s="71" t="n">
        <v>46255</v>
      </c>
      <c r="C6761" s="0" t="n">
        <v>6</v>
      </c>
      <c r="D6761" s="0" t="s">
        <v>2553</v>
      </c>
      <c r="E6761" s="0" t="n">
        <v>48</v>
      </c>
      <c r="F6761" s="0" t="s">
        <v>153</v>
      </c>
      <c r="I6761" s="0" t="n">
        <v>2624</v>
      </c>
      <c r="J6761" s="0" t="n">
        <v>26175</v>
      </c>
      <c r="K6761" s="0" t="n">
        <v>7898934529024</v>
      </c>
      <c r="L6761" s="0" t="s">
        <v>2737</v>
      </c>
      <c r="N6761" s="0" t="n">
        <v>50</v>
      </c>
      <c r="O6761" s="0" t="n">
        <v>236</v>
      </c>
      <c r="P6761" s="0" t="s">
        <v>2444</v>
      </c>
    </row>
    <row r="6762" customFormat="false" ht="15" hidden="false" customHeight="true" outlineLevel="0" collapsed="false">
      <c r="A6762" s="0" t="n">
        <v>2</v>
      </c>
      <c r="B6762" s="71" t="n">
        <v>46255</v>
      </c>
      <c r="C6762" s="0" t="n">
        <v>11</v>
      </c>
      <c r="D6762" s="0" t="s">
        <v>2471</v>
      </c>
      <c r="E6762" s="0" t="n">
        <v>10096</v>
      </c>
      <c r="F6762" s="0" t="s">
        <v>622</v>
      </c>
      <c r="I6762" s="0" t="n">
        <v>189</v>
      </c>
      <c r="J6762" s="0" t="n">
        <v>61580</v>
      </c>
      <c r="K6762" s="0" t="n">
        <v>2258157</v>
      </c>
      <c r="L6762" s="0" t="s">
        <v>2509</v>
      </c>
      <c r="N6762" s="0" t="n">
        <v>15</v>
      </c>
      <c r="O6762" s="0" t="n">
        <v>180</v>
      </c>
      <c r="P6762" s="0" t="s">
        <v>2444</v>
      </c>
    </row>
    <row r="6763" customFormat="false" ht="15" hidden="false" customHeight="true" outlineLevel="0" collapsed="false">
      <c r="A6763" s="0" t="n">
        <v>2</v>
      </c>
      <c r="B6763" s="71" t="n">
        <v>46255</v>
      </c>
      <c r="C6763" s="0" t="n">
        <v>11</v>
      </c>
      <c r="D6763" s="0" t="s">
        <v>2471</v>
      </c>
      <c r="E6763" s="0" t="n">
        <v>10096</v>
      </c>
      <c r="F6763" s="0" t="s">
        <v>622</v>
      </c>
      <c r="I6763" s="0" t="n">
        <v>189</v>
      </c>
      <c r="J6763" s="0" t="n">
        <v>61597</v>
      </c>
      <c r="K6763" s="0" t="n">
        <v>2258188</v>
      </c>
      <c r="L6763" s="0" t="s">
        <v>2510</v>
      </c>
      <c r="N6763" s="0" t="n">
        <v>5</v>
      </c>
      <c r="O6763" s="0" t="n">
        <v>20</v>
      </c>
      <c r="P6763" s="0" t="s">
        <v>2444</v>
      </c>
    </row>
    <row r="6764" customFormat="false" ht="15" hidden="false" customHeight="true" outlineLevel="0" collapsed="false">
      <c r="A6764" s="0" t="n">
        <v>2</v>
      </c>
      <c r="B6764" s="71" t="n">
        <v>46255</v>
      </c>
      <c r="C6764" s="0" t="n">
        <v>11</v>
      </c>
      <c r="D6764" s="0" t="s">
        <v>2471</v>
      </c>
      <c r="E6764" s="0" t="n">
        <v>10035</v>
      </c>
      <c r="F6764" s="0" t="s">
        <v>86</v>
      </c>
      <c r="I6764" s="0" t="n">
        <v>398</v>
      </c>
      <c r="J6764" s="0" t="n">
        <v>38652</v>
      </c>
      <c r="K6764" s="0" t="n">
        <v>7898994684220</v>
      </c>
      <c r="L6764" s="0" t="s">
        <v>2711</v>
      </c>
      <c r="N6764" s="0" t="n">
        <v>15</v>
      </c>
      <c r="O6764" s="0" t="n">
        <v>135</v>
      </c>
      <c r="P6764" s="0" t="s">
        <v>2444</v>
      </c>
    </row>
    <row r="6765" customFormat="false" ht="15" hidden="false" customHeight="true" outlineLevel="0" collapsed="false">
      <c r="A6765" s="0" t="n">
        <v>2</v>
      </c>
      <c r="B6765" s="71" t="n">
        <v>46255</v>
      </c>
      <c r="C6765" s="0" t="n">
        <v>11</v>
      </c>
      <c r="D6765" s="0" t="s">
        <v>2471</v>
      </c>
      <c r="E6765" s="0" t="n">
        <v>10035</v>
      </c>
      <c r="F6765" s="0" t="s">
        <v>86</v>
      </c>
      <c r="I6765" s="0" t="n">
        <v>398</v>
      </c>
      <c r="J6765" s="0" t="n">
        <v>38653</v>
      </c>
      <c r="K6765" s="0" t="n">
        <v>7898994684275</v>
      </c>
      <c r="L6765" s="0" t="s">
        <v>2712</v>
      </c>
      <c r="N6765" s="0" t="n">
        <v>10</v>
      </c>
      <c r="O6765" s="0" t="n">
        <v>48</v>
      </c>
      <c r="P6765" s="0" t="s">
        <v>2444</v>
      </c>
    </row>
    <row r="6766" customFormat="false" ht="15" hidden="false" customHeight="true" outlineLevel="0" collapsed="false">
      <c r="A6766" s="0" t="n">
        <v>2</v>
      </c>
      <c r="B6766" s="71" t="n">
        <v>46255</v>
      </c>
      <c r="C6766" s="0" t="n">
        <v>11</v>
      </c>
      <c r="D6766" s="0" t="s">
        <v>2471</v>
      </c>
      <c r="E6766" s="0" t="n">
        <v>10035</v>
      </c>
      <c r="F6766" s="0" t="s">
        <v>86</v>
      </c>
      <c r="I6766" s="0" t="n">
        <v>408</v>
      </c>
      <c r="J6766" s="0" t="n">
        <v>38652</v>
      </c>
      <c r="K6766" s="0" t="n">
        <v>7898994684220</v>
      </c>
      <c r="L6766" s="0" t="s">
        <v>2711</v>
      </c>
      <c r="N6766" s="0" t="n">
        <v>15</v>
      </c>
      <c r="O6766" s="0" t="n">
        <v>135</v>
      </c>
      <c r="P6766" s="0" t="s">
        <v>2444</v>
      </c>
    </row>
    <row r="6767" customFormat="false" ht="15" hidden="false" customHeight="true" outlineLevel="0" collapsed="false">
      <c r="A6767" s="0" t="n">
        <v>2</v>
      </c>
      <c r="B6767" s="71" t="n">
        <v>46255</v>
      </c>
      <c r="C6767" s="0" t="n">
        <v>11</v>
      </c>
      <c r="D6767" s="0" t="s">
        <v>2471</v>
      </c>
      <c r="E6767" s="0" t="n">
        <v>10035</v>
      </c>
      <c r="F6767" s="0" t="s">
        <v>86</v>
      </c>
      <c r="I6767" s="0" t="n">
        <v>408</v>
      </c>
      <c r="J6767" s="0" t="n">
        <v>38653</v>
      </c>
      <c r="K6767" s="0" t="n">
        <v>7898994684275</v>
      </c>
      <c r="L6767" s="0" t="s">
        <v>2712</v>
      </c>
      <c r="N6767" s="0" t="n">
        <v>10</v>
      </c>
      <c r="O6767" s="0" t="n">
        <v>48</v>
      </c>
      <c r="P6767" s="0" t="s">
        <v>2444</v>
      </c>
    </row>
    <row r="6768" customFormat="false" ht="15" hidden="false" customHeight="true" outlineLevel="0" collapsed="false">
      <c r="A6768" s="0" t="n">
        <v>2</v>
      </c>
      <c r="B6768" s="71" t="n">
        <v>46255</v>
      </c>
      <c r="C6768" s="0" t="n">
        <v>11</v>
      </c>
      <c r="D6768" s="0" t="s">
        <v>2471</v>
      </c>
      <c r="E6768" s="0" t="n">
        <v>1292</v>
      </c>
      <c r="F6768" s="0" t="s">
        <v>209</v>
      </c>
      <c r="I6768" s="0" t="n">
        <v>3877</v>
      </c>
      <c r="J6768" s="0" t="n">
        <v>58633</v>
      </c>
      <c r="K6768" s="0" t="n">
        <v>7891164025250</v>
      </c>
      <c r="L6768" s="0" t="s">
        <v>2448</v>
      </c>
      <c r="N6768" s="0" t="n">
        <v>75</v>
      </c>
      <c r="O6768" s="0" t="n">
        <v>674.25</v>
      </c>
      <c r="P6768" s="0" t="s">
        <v>2444</v>
      </c>
    </row>
    <row r="6769" customFormat="false" ht="15" hidden="false" customHeight="true" outlineLevel="0" collapsed="false">
      <c r="A6769" s="0" t="n">
        <v>2</v>
      </c>
      <c r="B6769" s="71" t="n">
        <v>46255</v>
      </c>
      <c r="C6769" s="0" t="n">
        <v>11</v>
      </c>
      <c r="D6769" s="0" t="s">
        <v>2471</v>
      </c>
      <c r="E6769" s="0" t="n">
        <v>1292</v>
      </c>
      <c r="F6769" s="0" t="s">
        <v>209</v>
      </c>
      <c r="I6769" s="0" t="n">
        <v>3877</v>
      </c>
      <c r="J6769" s="0" t="n">
        <v>82078</v>
      </c>
      <c r="K6769" s="0" t="n">
        <v>87946594534</v>
      </c>
      <c r="L6769" s="0" t="s">
        <v>4681</v>
      </c>
      <c r="N6769" s="0" t="n">
        <v>25</v>
      </c>
      <c r="O6769" s="0" t="n">
        <v>140</v>
      </c>
      <c r="P6769" s="0" t="s">
        <v>2444</v>
      </c>
    </row>
    <row r="6770" customFormat="false" ht="15" hidden="false" customHeight="true" outlineLevel="0" collapsed="false">
      <c r="A6770" s="0" t="n">
        <v>2</v>
      </c>
      <c r="B6770" s="71" t="n">
        <v>46255</v>
      </c>
      <c r="C6770" s="0" t="n">
        <v>11</v>
      </c>
      <c r="D6770" s="0" t="s">
        <v>2471</v>
      </c>
      <c r="E6770" s="0" t="n">
        <v>1681</v>
      </c>
      <c r="F6770" s="0" t="s">
        <v>1583</v>
      </c>
      <c r="I6770" s="0" t="n">
        <v>39521</v>
      </c>
      <c r="J6770" s="0" t="n">
        <v>102134</v>
      </c>
      <c r="K6770" s="0" t="n">
        <v>7894000010021</v>
      </c>
      <c r="L6770" s="0" t="s">
        <v>5066</v>
      </c>
      <c r="N6770" s="0" t="n">
        <v>20</v>
      </c>
      <c r="O6770" s="0" t="n">
        <v>162.2</v>
      </c>
      <c r="P6770" s="0" t="s">
        <v>2444</v>
      </c>
    </row>
    <row r="6771" customFormat="false" ht="15" hidden="false" customHeight="true" outlineLevel="0" collapsed="false">
      <c r="A6771" s="0" t="n">
        <v>2</v>
      </c>
      <c r="B6771" s="71" t="n">
        <v>46255</v>
      </c>
      <c r="C6771" s="0" t="n">
        <v>11</v>
      </c>
      <c r="D6771" s="0" t="s">
        <v>2471</v>
      </c>
      <c r="E6771" s="0" t="n">
        <v>1681</v>
      </c>
      <c r="F6771" s="0" t="s">
        <v>1583</v>
      </c>
      <c r="I6771" s="0" t="n">
        <v>39521</v>
      </c>
      <c r="J6771" s="0" t="n">
        <v>110184</v>
      </c>
      <c r="K6771" s="0" t="n">
        <v>37393</v>
      </c>
      <c r="L6771" s="0" t="s">
        <v>3467</v>
      </c>
      <c r="N6771" s="0" t="n">
        <v>40</v>
      </c>
      <c r="O6771" s="0" t="n">
        <v>355.6</v>
      </c>
      <c r="P6771" s="0" t="s">
        <v>2444</v>
      </c>
    </row>
    <row r="6772" customFormat="false" ht="15" hidden="false" customHeight="true" outlineLevel="0" collapsed="false">
      <c r="A6772" s="0" t="n">
        <v>2</v>
      </c>
      <c r="B6772" s="71" t="n">
        <v>46255</v>
      </c>
      <c r="C6772" s="0" t="n">
        <v>11</v>
      </c>
      <c r="D6772" s="0" t="s">
        <v>2471</v>
      </c>
      <c r="E6772" s="0" t="n">
        <v>1681</v>
      </c>
      <c r="F6772" s="0" t="s">
        <v>1583</v>
      </c>
      <c r="I6772" s="0" t="n">
        <v>39521</v>
      </c>
      <c r="J6772" s="0" t="n">
        <v>57639</v>
      </c>
      <c r="K6772" s="0" t="n">
        <v>7896004006277</v>
      </c>
      <c r="L6772" s="0" t="s">
        <v>5067</v>
      </c>
      <c r="N6772" s="0" t="n">
        <v>18</v>
      </c>
      <c r="O6772" s="0" t="n">
        <v>152.82</v>
      </c>
      <c r="P6772" s="0" t="s">
        <v>2444</v>
      </c>
    </row>
    <row r="6773" customFormat="false" ht="15" hidden="false" customHeight="true" outlineLevel="0" collapsed="false">
      <c r="A6773" s="0" t="n">
        <v>2</v>
      </c>
      <c r="B6773" s="71" t="n">
        <v>46255</v>
      </c>
      <c r="C6773" s="0" t="n">
        <v>11</v>
      </c>
      <c r="D6773" s="0" t="s">
        <v>2471</v>
      </c>
      <c r="E6773" s="0" t="n">
        <v>1681</v>
      </c>
      <c r="F6773" s="0" t="s">
        <v>1583</v>
      </c>
      <c r="I6773" s="0" t="n">
        <v>39521</v>
      </c>
      <c r="J6773" s="0" t="n">
        <v>62378</v>
      </c>
      <c r="K6773" s="0" t="n">
        <v>7896045506934</v>
      </c>
      <c r="L6773" s="0" t="s">
        <v>2964</v>
      </c>
      <c r="N6773" s="0" t="n">
        <v>120</v>
      </c>
      <c r="O6773" s="0" t="n">
        <v>402</v>
      </c>
      <c r="P6773" s="0" t="s">
        <v>2444</v>
      </c>
    </row>
    <row r="6774" customFormat="false" ht="15" hidden="false" customHeight="true" outlineLevel="0" collapsed="false">
      <c r="A6774" s="0" t="n">
        <v>2</v>
      </c>
      <c r="B6774" s="71" t="n">
        <v>46255</v>
      </c>
      <c r="C6774" s="0" t="n">
        <v>11</v>
      </c>
      <c r="D6774" s="0" t="s">
        <v>2471</v>
      </c>
      <c r="E6774" s="0" t="n">
        <v>1681</v>
      </c>
      <c r="F6774" s="0" t="s">
        <v>1583</v>
      </c>
      <c r="I6774" s="0" t="n">
        <v>39521</v>
      </c>
      <c r="J6774" s="0" t="n">
        <v>70942</v>
      </c>
      <c r="K6774" s="0" t="n">
        <v>7891000412855</v>
      </c>
      <c r="L6774" s="0" t="s">
        <v>3466</v>
      </c>
      <c r="N6774" s="0" t="n">
        <v>36</v>
      </c>
      <c r="O6774" s="0" t="n">
        <v>305.64</v>
      </c>
      <c r="P6774" s="0" t="s">
        <v>2444</v>
      </c>
    </row>
    <row r="6775" customFormat="false" ht="15" hidden="false" customHeight="true" outlineLevel="0" collapsed="false">
      <c r="A6775" s="0" t="n">
        <v>2</v>
      </c>
      <c r="B6775" s="71" t="n">
        <v>46255</v>
      </c>
      <c r="C6775" s="0" t="n">
        <v>11</v>
      </c>
      <c r="D6775" s="0" t="s">
        <v>2471</v>
      </c>
      <c r="E6775" s="0" t="n">
        <v>1681</v>
      </c>
      <c r="F6775" s="0" t="s">
        <v>1583</v>
      </c>
      <c r="I6775" s="0" t="n">
        <v>39521</v>
      </c>
      <c r="J6775" s="0" t="n">
        <v>80005</v>
      </c>
      <c r="K6775" s="0" t="n">
        <v>7891000457092</v>
      </c>
      <c r="L6775" s="0" t="s">
        <v>3862</v>
      </c>
      <c r="N6775" s="0" t="n">
        <v>60</v>
      </c>
      <c r="O6775" s="0" t="n">
        <v>677.4</v>
      </c>
      <c r="P6775" s="0" t="s">
        <v>2444</v>
      </c>
    </row>
    <row r="6776" customFormat="false" ht="15" hidden="false" customHeight="true" outlineLevel="0" collapsed="false">
      <c r="A6776" s="0" t="n">
        <v>2</v>
      </c>
      <c r="B6776" s="71" t="n">
        <v>46255</v>
      </c>
      <c r="C6776" s="0" t="n">
        <v>11</v>
      </c>
      <c r="D6776" s="0" t="s">
        <v>2471</v>
      </c>
      <c r="E6776" s="0" t="n">
        <v>1723</v>
      </c>
      <c r="F6776" s="0" t="s">
        <v>371</v>
      </c>
      <c r="I6776" s="0" t="n">
        <v>175169</v>
      </c>
      <c r="J6776" s="0" t="n">
        <v>29079</v>
      </c>
      <c r="K6776" s="0" t="n">
        <v>55515</v>
      </c>
      <c r="L6776" s="0" t="s">
        <v>2449</v>
      </c>
      <c r="N6776" s="0" t="n">
        <v>81.5</v>
      </c>
      <c r="O6776" s="0" t="n">
        <v>2689.5</v>
      </c>
      <c r="P6776" s="0" t="s">
        <v>2444</v>
      </c>
    </row>
    <row r="6777" customFormat="false" ht="15" hidden="false" customHeight="true" outlineLevel="0" collapsed="false">
      <c r="A6777" s="0" t="n">
        <v>2</v>
      </c>
      <c r="B6777" s="71" t="n">
        <v>46255</v>
      </c>
      <c r="C6777" s="0" t="n">
        <v>11</v>
      </c>
      <c r="D6777" s="0" t="s">
        <v>2471</v>
      </c>
      <c r="E6777" s="0" t="n">
        <v>1723</v>
      </c>
      <c r="F6777" s="0" t="s">
        <v>371</v>
      </c>
      <c r="I6777" s="0" t="n">
        <v>175169</v>
      </c>
      <c r="J6777" s="0" t="n">
        <v>77455</v>
      </c>
      <c r="K6777" s="0" t="n">
        <v>774567</v>
      </c>
      <c r="L6777" s="0" t="s">
        <v>2624</v>
      </c>
      <c r="N6777" s="0" t="n">
        <v>35</v>
      </c>
      <c r="O6777" s="0" t="n">
        <v>1120</v>
      </c>
      <c r="P6777" s="0" t="s">
        <v>2444</v>
      </c>
    </row>
    <row r="6778" customFormat="false" ht="15" hidden="false" customHeight="true" outlineLevel="0" collapsed="false">
      <c r="A6778" s="0" t="n">
        <v>2</v>
      </c>
      <c r="B6778" s="71" t="n">
        <v>46255</v>
      </c>
      <c r="C6778" s="0" t="n">
        <v>11</v>
      </c>
      <c r="D6778" s="0" t="s">
        <v>2471</v>
      </c>
      <c r="E6778" s="0" t="n">
        <v>1683</v>
      </c>
      <c r="F6778" s="0" t="s">
        <v>406</v>
      </c>
      <c r="I6778" s="0" t="n">
        <v>1668090</v>
      </c>
      <c r="J6778" s="0" t="n">
        <v>109791</v>
      </c>
      <c r="K6778" s="0" t="n">
        <v>9667</v>
      </c>
      <c r="L6778" s="0" t="s">
        <v>2465</v>
      </c>
      <c r="N6778" s="0" t="n">
        <v>15</v>
      </c>
      <c r="O6778" s="0" t="n">
        <v>22.5</v>
      </c>
      <c r="P6778" s="0" t="s">
        <v>2444</v>
      </c>
    </row>
    <row r="6779" customFormat="false" ht="15" hidden="false" customHeight="true" outlineLevel="0" collapsed="false">
      <c r="A6779" s="0" t="n">
        <v>2</v>
      </c>
      <c r="B6779" s="71" t="n">
        <v>46255</v>
      </c>
      <c r="C6779" s="0" t="n">
        <v>11</v>
      </c>
      <c r="D6779" s="0" t="s">
        <v>2471</v>
      </c>
      <c r="E6779" s="0" t="n">
        <v>1683</v>
      </c>
      <c r="F6779" s="0" t="s">
        <v>406</v>
      </c>
      <c r="I6779" s="0" t="n">
        <v>1668090</v>
      </c>
      <c r="J6779" s="0" t="n">
        <v>37359</v>
      </c>
      <c r="K6779" s="0" t="n">
        <v>55526</v>
      </c>
      <c r="L6779" s="0" t="s">
        <v>2466</v>
      </c>
      <c r="N6779" s="0" t="n">
        <v>6</v>
      </c>
      <c r="O6779" s="0" t="n">
        <v>24</v>
      </c>
      <c r="P6779" s="0" t="s">
        <v>2444</v>
      </c>
    </row>
    <row r="6780" customFormat="false" ht="15" hidden="false" customHeight="true" outlineLevel="0" collapsed="false">
      <c r="A6780" s="0" t="n">
        <v>2</v>
      </c>
      <c r="B6780" s="71" t="n">
        <v>46255</v>
      </c>
      <c r="C6780" s="0" t="n">
        <v>11</v>
      </c>
      <c r="D6780" s="0" t="s">
        <v>2471</v>
      </c>
      <c r="E6780" s="0" t="n">
        <v>1683</v>
      </c>
      <c r="F6780" s="0" t="s">
        <v>406</v>
      </c>
      <c r="I6780" s="0" t="n">
        <v>1668090</v>
      </c>
      <c r="J6780" s="0" t="n">
        <v>37361</v>
      </c>
      <c r="K6780" s="0" t="n">
        <v>2240817</v>
      </c>
      <c r="L6780" s="0" t="s">
        <v>2467</v>
      </c>
      <c r="N6780" s="0" t="n">
        <v>30</v>
      </c>
      <c r="O6780" s="0" t="n">
        <v>54</v>
      </c>
      <c r="P6780" s="0" t="s">
        <v>2444</v>
      </c>
    </row>
    <row r="6781" customFormat="false" ht="15" hidden="false" customHeight="true" outlineLevel="0" collapsed="false">
      <c r="A6781" s="0" t="n">
        <v>2</v>
      </c>
      <c r="B6781" s="71" t="n">
        <v>46255</v>
      </c>
      <c r="C6781" s="0" t="n">
        <v>22</v>
      </c>
      <c r="D6781" s="0" t="s">
        <v>2479</v>
      </c>
      <c r="E6781" s="0" t="n">
        <v>48</v>
      </c>
      <c r="F6781" s="0" t="s">
        <v>153</v>
      </c>
      <c r="I6781" s="0" t="n">
        <v>2621</v>
      </c>
      <c r="J6781" s="0" t="n">
        <v>100000</v>
      </c>
      <c r="K6781" s="0" t="n">
        <v>1</v>
      </c>
      <c r="L6781" s="0" t="s">
        <v>2480</v>
      </c>
      <c r="N6781" s="0" t="n">
        <v>3.256</v>
      </c>
      <c r="O6781" s="0" t="n">
        <v>65.94</v>
      </c>
      <c r="P6781" s="0" t="s">
        <v>2444</v>
      </c>
    </row>
    <row r="6782" customFormat="false" ht="15" hidden="false" customHeight="true" outlineLevel="0" collapsed="false">
      <c r="A6782" s="0" t="n">
        <v>2</v>
      </c>
      <c r="B6782" s="71" t="n">
        <v>46255</v>
      </c>
      <c r="C6782" s="0" t="n">
        <v>22</v>
      </c>
      <c r="D6782" s="0" t="s">
        <v>2479</v>
      </c>
      <c r="E6782" s="0" t="n">
        <v>48</v>
      </c>
      <c r="F6782" s="0" t="s">
        <v>153</v>
      </c>
      <c r="I6782" s="0" t="n">
        <v>2621</v>
      </c>
      <c r="J6782" s="0" t="n">
        <v>100006</v>
      </c>
      <c r="K6782" s="0" t="n">
        <v>7</v>
      </c>
      <c r="L6782" s="0" t="s">
        <v>2485</v>
      </c>
      <c r="N6782" s="0" t="n">
        <v>2.69</v>
      </c>
      <c r="O6782" s="0" t="n">
        <v>77.19</v>
      </c>
      <c r="P6782" s="0" t="s">
        <v>2444</v>
      </c>
    </row>
    <row r="6783" customFormat="false" ht="15" hidden="false" customHeight="true" outlineLevel="0" collapsed="false">
      <c r="A6783" s="0" t="n">
        <v>2</v>
      </c>
      <c r="B6783" s="71" t="n">
        <v>46255</v>
      </c>
      <c r="C6783" s="0" t="n">
        <v>22</v>
      </c>
      <c r="D6783" s="0" t="s">
        <v>2479</v>
      </c>
      <c r="E6783" s="0" t="n">
        <v>48</v>
      </c>
      <c r="F6783" s="0" t="s">
        <v>153</v>
      </c>
      <c r="I6783" s="0" t="n">
        <v>2621</v>
      </c>
      <c r="J6783" s="0" t="n">
        <v>100007</v>
      </c>
      <c r="K6783" s="0" t="n">
        <v>8</v>
      </c>
      <c r="L6783" s="0" t="s">
        <v>2486</v>
      </c>
      <c r="N6783" s="0" t="n">
        <v>2.668</v>
      </c>
      <c r="O6783" s="0" t="n">
        <v>67.55</v>
      </c>
      <c r="P6783" s="0" t="s">
        <v>2444</v>
      </c>
    </row>
    <row r="6784" customFormat="false" ht="15" hidden="false" customHeight="true" outlineLevel="0" collapsed="false">
      <c r="A6784" s="0" t="n">
        <v>2</v>
      </c>
      <c r="B6784" s="71" t="n">
        <v>46255</v>
      </c>
      <c r="C6784" s="0" t="n">
        <v>22</v>
      </c>
      <c r="D6784" s="0" t="s">
        <v>2479</v>
      </c>
      <c r="E6784" s="0" t="n">
        <v>48</v>
      </c>
      <c r="F6784" s="0" t="s">
        <v>153</v>
      </c>
      <c r="I6784" s="0" t="n">
        <v>2621</v>
      </c>
      <c r="J6784" s="0" t="n">
        <v>100008</v>
      </c>
      <c r="K6784" s="0" t="n">
        <v>9</v>
      </c>
      <c r="L6784" s="0" t="s">
        <v>2487</v>
      </c>
      <c r="N6784" s="0" t="n">
        <v>17.83</v>
      </c>
      <c r="O6784" s="0" t="n">
        <v>586.89</v>
      </c>
      <c r="P6784" s="0" t="s">
        <v>2444</v>
      </c>
    </row>
    <row r="6785" customFormat="false" ht="15" hidden="false" customHeight="true" outlineLevel="0" collapsed="false">
      <c r="A6785" s="0" t="n">
        <v>2</v>
      </c>
      <c r="B6785" s="71" t="n">
        <v>46255</v>
      </c>
      <c r="C6785" s="0" t="n">
        <v>22</v>
      </c>
      <c r="D6785" s="0" t="s">
        <v>2479</v>
      </c>
      <c r="E6785" s="0" t="n">
        <v>48</v>
      </c>
      <c r="F6785" s="0" t="s">
        <v>153</v>
      </c>
      <c r="I6785" s="0" t="n">
        <v>2621</v>
      </c>
      <c r="J6785" s="0" t="n">
        <v>100008</v>
      </c>
      <c r="K6785" s="0" t="n">
        <v>9</v>
      </c>
      <c r="L6785" s="0" t="s">
        <v>2487</v>
      </c>
      <c r="N6785" s="0" t="n">
        <v>30.935</v>
      </c>
      <c r="O6785" s="0" t="n">
        <v>984.57</v>
      </c>
      <c r="P6785" s="0" t="s">
        <v>2444</v>
      </c>
    </row>
    <row r="6786" customFormat="false" ht="15" hidden="false" customHeight="true" outlineLevel="0" collapsed="false">
      <c r="A6786" s="0" t="n">
        <v>2</v>
      </c>
      <c r="B6786" s="71" t="n">
        <v>46255</v>
      </c>
      <c r="C6786" s="0" t="n">
        <v>22</v>
      </c>
      <c r="D6786" s="0" t="s">
        <v>2479</v>
      </c>
      <c r="E6786" s="0" t="n">
        <v>48</v>
      </c>
      <c r="F6786" s="0" t="s">
        <v>153</v>
      </c>
      <c r="I6786" s="0" t="n">
        <v>2621</v>
      </c>
      <c r="J6786" s="0" t="n">
        <v>100011</v>
      </c>
      <c r="K6786" s="0" t="n">
        <v>12</v>
      </c>
      <c r="L6786" s="0" t="s">
        <v>2488</v>
      </c>
      <c r="N6786" s="0" t="n">
        <v>12.185</v>
      </c>
      <c r="O6786" s="0" t="n">
        <v>462.8</v>
      </c>
      <c r="P6786" s="0" t="s">
        <v>2444</v>
      </c>
    </row>
    <row r="6787" customFormat="false" ht="15" hidden="false" customHeight="true" outlineLevel="0" collapsed="false">
      <c r="A6787" s="0" t="n">
        <v>2</v>
      </c>
      <c r="B6787" s="71" t="n">
        <v>46255</v>
      </c>
      <c r="C6787" s="0" t="n">
        <v>22</v>
      </c>
      <c r="D6787" s="0" t="s">
        <v>2479</v>
      </c>
      <c r="E6787" s="0" t="n">
        <v>48</v>
      </c>
      <c r="F6787" s="0" t="s">
        <v>153</v>
      </c>
      <c r="I6787" s="0" t="n">
        <v>2621</v>
      </c>
      <c r="J6787" s="0" t="n">
        <v>100012</v>
      </c>
      <c r="K6787" s="0" t="n">
        <v>13</v>
      </c>
      <c r="L6787" s="0" t="s">
        <v>2489</v>
      </c>
      <c r="N6787" s="0" t="n">
        <v>5.768</v>
      </c>
      <c r="O6787" s="0" t="n">
        <v>243.42</v>
      </c>
      <c r="P6787" s="0" t="s">
        <v>2444</v>
      </c>
    </row>
    <row r="6788" customFormat="false" ht="15" hidden="false" customHeight="true" outlineLevel="0" collapsed="false">
      <c r="A6788" s="0" t="n">
        <v>2</v>
      </c>
      <c r="B6788" s="71" t="n">
        <v>46255</v>
      </c>
      <c r="C6788" s="0" t="n">
        <v>22</v>
      </c>
      <c r="D6788" s="0" t="s">
        <v>2479</v>
      </c>
      <c r="E6788" s="0" t="n">
        <v>48</v>
      </c>
      <c r="F6788" s="0" t="s">
        <v>153</v>
      </c>
      <c r="I6788" s="0" t="n">
        <v>2621</v>
      </c>
      <c r="J6788" s="0" t="n">
        <v>100013</v>
      </c>
      <c r="K6788" s="0" t="n">
        <v>14</v>
      </c>
      <c r="L6788" s="0" t="s">
        <v>2490</v>
      </c>
      <c r="N6788" s="0" t="n">
        <v>12.195</v>
      </c>
      <c r="O6788" s="0" t="n">
        <v>545.54</v>
      </c>
      <c r="P6788" s="0" t="s">
        <v>2444</v>
      </c>
    </row>
    <row r="6789" customFormat="false" ht="15" hidden="false" customHeight="true" outlineLevel="0" collapsed="false">
      <c r="A6789" s="0" t="n">
        <v>2</v>
      </c>
      <c r="B6789" s="71" t="n">
        <v>46255</v>
      </c>
      <c r="C6789" s="0" t="n">
        <v>22</v>
      </c>
      <c r="D6789" s="0" t="s">
        <v>2479</v>
      </c>
      <c r="E6789" s="0" t="n">
        <v>48</v>
      </c>
      <c r="F6789" s="0" t="s">
        <v>153</v>
      </c>
      <c r="I6789" s="0" t="n">
        <v>2621</v>
      </c>
      <c r="J6789" s="0" t="n">
        <v>100014</v>
      </c>
      <c r="K6789" s="0" t="n">
        <v>15</v>
      </c>
      <c r="L6789" s="0" t="s">
        <v>2491</v>
      </c>
      <c r="N6789" s="0" t="n">
        <v>4.792</v>
      </c>
      <c r="O6789" s="0" t="n">
        <v>218.42</v>
      </c>
      <c r="P6789" s="0" t="s">
        <v>2444</v>
      </c>
    </row>
    <row r="6790" customFormat="false" ht="15" hidden="false" customHeight="true" outlineLevel="0" collapsed="false">
      <c r="A6790" s="0" t="n">
        <v>2</v>
      </c>
      <c r="B6790" s="71" t="n">
        <v>46255</v>
      </c>
      <c r="C6790" s="0" t="n">
        <v>22</v>
      </c>
      <c r="D6790" s="0" t="s">
        <v>2479</v>
      </c>
      <c r="E6790" s="0" t="n">
        <v>48</v>
      </c>
      <c r="F6790" s="0" t="s">
        <v>153</v>
      </c>
      <c r="I6790" s="0" t="n">
        <v>2621</v>
      </c>
      <c r="J6790" s="0" t="n">
        <v>100015</v>
      </c>
      <c r="K6790" s="0" t="n">
        <v>16</v>
      </c>
      <c r="L6790" s="0" t="s">
        <v>2492</v>
      </c>
      <c r="N6790" s="0" t="n">
        <v>1.806</v>
      </c>
      <c r="O6790" s="0" t="n">
        <v>73.17</v>
      </c>
      <c r="P6790" s="0" t="s">
        <v>2444</v>
      </c>
    </row>
    <row r="6791" customFormat="false" ht="15" hidden="false" customHeight="true" outlineLevel="0" collapsed="false">
      <c r="A6791" s="0" t="n">
        <v>2</v>
      </c>
      <c r="B6791" s="71" t="n">
        <v>46255</v>
      </c>
      <c r="C6791" s="0" t="n">
        <v>22</v>
      </c>
      <c r="D6791" s="0" t="s">
        <v>2479</v>
      </c>
      <c r="E6791" s="0" t="n">
        <v>48</v>
      </c>
      <c r="F6791" s="0" t="s">
        <v>153</v>
      </c>
      <c r="I6791" s="0" t="n">
        <v>2621</v>
      </c>
      <c r="J6791" s="0" t="n">
        <v>100016</v>
      </c>
      <c r="K6791" s="0" t="n">
        <v>17</v>
      </c>
      <c r="L6791" s="0" t="s">
        <v>2493</v>
      </c>
      <c r="N6791" s="0" t="n">
        <v>2.584</v>
      </c>
      <c r="O6791" s="0" t="n">
        <v>130.87</v>
      </c>
      <c r="P6791" s="0" t="s">
        <v>2444</v>
      </c>
    </row>
    <row r="6792" customFormat="false" ht="15" hidden="false" customHeight="true" outlineLevel="0" collapsed="false">
      <c r="A6792" s="0" t="n">
        <v>2</v>
      </c>
      <c r="B6792" s="71" t="n">
        <v>46255</v>
      </c>
      <c r="C6792" s="0" t="n">
        <v>22</v>
      </c>
      <c r="D6792" s="0" t="s">
        <v>2479</v>
      </c>
      <c r="E6792" s="0" t="n">
        <v>48</v>
      </c>
      <c r="F6792" s="0" t="s">
        <v>153</v>
      </c>
      <c r="I6792" s="0" t="n">
        <v>2621</v>
      </c>
      <c r="J6792" s="0" t="n">
        <v>100017</v>
      </c>
      <c r="K6792" s="0" t="n">
        <v>18</v>
      </c>
      <c r="L6792" s="0" t="s">
        <v>2494</v>
      </c>
      <c r="N6792" s="0" t="n">
        <v>1.624</v>
      </c>
      <c r="O6792" s="0" t="n">
        <v>95.96</v>
      </c>
      <c r="P6792" s="0" t="s">
        <v>2444</v>
      </c>
    </row>
    <row r="6793" customFormat="false" ht="15" hidden="false" customHeight="true" outlineLevel="0" collapsed="false">
      <c r="A6793" s="0" t="n">
        <v>2</v>
      </c>
      <c r="B6793" s="71" t="n">
        <v>46255</v>
      </c>
      <c r="C6793" s="0" t="n">
        <v>22</v>
      </c>
      <c r="D6793" s="0" t="s">
        <v>2479</v>
      </c>
      <c r="E6793" s="0" t="n">
        <v>48</v>
      </c>
      <c r="F6793" s="0" t="s">
        <v>153</v>
      </c>
      <c r="I6793" s="0" t="n">
        <v>2621</v>
      </c>
      <c r="J6793" s="0" t="n">
        <v>100053</v>
      </c>
      <c r="K6793" s="0" t="n">
        <v>54</v>
      </c>
      <c r="L6793" s="0" t="s">
        <v>2495</v>
      </c>
      <c r="N6793" s="0" t="n">
        <v>2.558</v>
      </c>
      <c r="O6793" s="0" t="n">
        <v>95</v>
      </c>
      <c r="P6793" s="0" t="s">
        <v>2444</v>
      </c>
    </row>
    <row r="6794" customFormat="false" ht="15" hidden="false" customHeight="true" outlineLevel="0" collapsed="false">
      <c r="A6794" s="0" t="n">
        <v>2</v>
      </c>
      <c r="B6794" s="71" t="n">
        <v>46255</v>
      </c>
      <c r="C6794" s="0" t="n">
        <v>22</v>
      </c>
      <c r="D6794" s="0" t="s">
        <v>2479</v>
      </c>
      <c r="E6794" s="0" t="n">
        <v>48</v>
      </c>
      <c r="F6794" s="0" t="s">
        <v>153</v>
      </c>
      <c r="I6794" s="0" t="n">
        <v>2621</v>
      </c>
      <c r="J6794" s="0" t="n">
        <v>100053</v>
      </c>
      <c r="K6794" s="0" t="n">
        <v>54</v>
      </c>
      <c r="L6794" s="0" t="s">
        <v>2495</v>
      </c>
      <c r="N6794" s="0" t="n">
        <v>3.75</v>
      </c>
      <c r="O6794" s="0" t="n">
        <v>134.66</v>
      </c>
      <c r="P6794" s="0" t="s">
        <v>2444</v>
      </c>
    </row>
    <row r="6795" customFormat="false" ht="15" hidden="false" customHeight="true" outlineLevel="0" collapsed="false">
      <c r="A6795" s="0" t="n">
        <v>2</v>
      </c>
      <c r="B6795" s="71" t="n">
        <v>46255</v>
      </c>
      <c r="C6795" s="0" t="n">
        <v>22</v>
      </c>
      <c r="D6795" s="0" t="s">
        <v>2479</v>
      </c>
      <c r="E6795" s="0" t="n">
        <v>48</v>
      </c>
      <c r="F6795" s="0" t="s">
        <v>153</v>
      </c>
      <c r="I6795" s="0" t="n">
        <v>2621</v>
      </c>
      <c r="J6795" s="0" t="n">
        <v>100638</v>
      </c>
      <c r="K6795" s="0" t="n">
        <v>508</v>
      </c>
      <c r="L6795" s="0" t="s">
        <v>2496</v>
      </c>
      <c r="N6795" s="0" t="n">
        <v>1.15</v>
      </c>
      <c r="O6795" s="0" t="n">
        <v>2.9</v>
      </c>
      <c r="P6795" s="0" t="s">
        <v>2444</v>
      </c>
    </row>
    <row r="6796" customFormat="false" ht="15" hidden="false" customHeight="true" outlineLevel="0" collapsed="false">
      <c r="A6796" s="0" t="n">
        <v>2</v>
      </c>
      <c r="B6796" s="71" t="n">
        <v>46255</v>
      </c>
      <c r="C6796" s="0" t="n">
        <v>22</v>
      </c>
      <c r="D6796" s="0" t="s">
        <v>2479</v>
      </c>
      <c r="E6796" s="0" t="n">
        <v>48</v>
      </c>
      <c r="F6796" s="0" t="s">
        <v>153</v>
      </c>
      <c r="I6796" s="0" t="n">
        <v>2621</v>
      </c>
      <c r="J6796" s="0" t="n">
        <v>100638</v>
      </c>
      <c r="K6796" s="0" t="n">
        <v>508</v>
      </c>
      <c r="L6796" s="0" t="s">
        <v>2496</v>
      </c>
      <c r="N6796" s="0" t="n">
        <v>0.315</v>
      </c>
      <c r="O6796" s="0" t="n">
        <v>0.77</v>
      </c>
      <c r="P6796" s="0" t="s">
        <v>2444</v>
      </c>
    </row>
    <row r="6797" customFormat="false" ht="15" hidden="false" customHeight="true" outlineLevel="0" collapsed="false">
      <c r="A6797" s="0" t="n">
        <v>2</v>
      </c>
      <c r="B6797" s="71" t="n">
        <v>46255</v>
      </c>
      <c r="C6797" s="0" t="n">
        <v>22</v>
      </c>
      <c r="D6797" s="0" t="s">
        <v>2479</v>
      </c>
      <c r="E6797" s="0" t="n">
        <v>48</v>
      </c>
      <c r="F6797" s="0" t="s">
        <v>153</v>
      </c>
      <c r="I6797" s="0" t="n">
        <v>2621</v>
      </c>
      <c r="J6797" s="0" t="n">
        <v>100520</v>
      </c>
      <c r="K6797" s="0" t="n">
        <v>507</v>
      </c>
      <c r="L6797" s="0" t="s">
        <v>2497</v>
      </c>
      <c r="N6797" s="0" t="n">
        <v>9.45</v>
      </c>
      <c r="O6797" s="0" t="n">
        <v>23.85</v>
      </c>
      <c r="P6797" s="0" t="s">
        <v>2444</v>
      </c>
    </row>
    <row r="6798" customFormat="false" ht="15" hidden="false" customHeight="true" outlineLevel="0" collapsed="false">
      <c r="A6798" s="0" t="n">
        <v>2</v>
      </c>
      <c r="B6798" s="71" t="n">
        <v>46255</v>
      </c>
      <c r="C6798" s="0" t="n">
        <v>22</v>
      </c>
      <c r="D6798" s="0" t="s">
        <v>2479</v>
      </c>
      <c r="E6798" s="0" t="n">
        <v>48</v>
      </c>
      <c r="F6798" s="0" t="s">
        <v>153</v>
      </c>
      <c r="I6798" s="0" t="n">
        <v>2621</v>
      </c>
      <c r="J6798" s="0" t="n">
        <v>110455</v>
      </c>
      <c r="K6798" s="0" t="n">
        <v>53212</v>
      </c>
      <c r="L6798" s="0" t="s">
        <v>2498</v>
      </c>
      <c r="N6798" s="0" t="n">
        <v>0.944</v>
      </c>
      <c r="O6798" s="0" t="n">
        <v>0</v>
      </c>
      <c r="P6798" s="0" t="s">
        <v>2444</v>
      </c>
    </row>
    <row r="6799" customFormat="false" ht="15" hidden="false" customHeight="true" outlineLevel="0" collapsed="false">
      <c r="A6799" s="0" t="n">
        <v>2</v>
      </c>
      <c r="B6799" s="71" t="n">
        <v>46255</v>
      </c>
      <c r="C6799" s="0" t="n">
        <v>31</v>
      </c>
      <c r="D6799" s="0" t="s">
        <v>5068</v>
      </c>
      <c r="E6799" s="0" t="n">
        <v>48</v>
      </c>
      <c r="F6799" s="0" t="s">
        <v>153</v>
      </c>
      <c r="I6799" s="0" t="n">
        <v>2618</v>
      </c>
      <c r="J6799" s="0" t="n">
        <v>100013</v>
      </c>
      <c r="K6799" s="0" t="n">
        <v>14</v>
      </c>
      <c r="L6799" s="0" t="s">
        <v>2490</v>
      </c>
      <c r="N6799" s="0" t="n">
        <v>0.766</v>
      </c>
      <c r="O6799" s="0" t="n">
        <v>40.59</v>
      </c>
      <c r="P6799" s="0" t="s">
        <v>2444</v>
      </c>
    </row>
    <row r="6800" customFormat="false" ht="15" hidden="false" customHeight="true" outlineLevel="0" collapsed="false">
      <c r="A6800" s="0" t="n">
        <v>2</v>
      </c>
      <c r="B6800" s="71" t="n">
        <v>46255</v>
      </c>
      <c r="C6800" s="0" t="n">
        <v>31</v>
      </c>
      <c r="D6800" s="0" t="s">
        <v>5068</v>
      </c>
      <c r="E6800" s="0" t="n">
        <v>48</v>
      </c>
      <c r="F6800" s="0" t="s">
        <v>153</v>
      </c>
      <c r="I6800" s="0" t="n">
        <v>2618</v>
      </c>
      <c r="J6800" s="0" t="n">
        <v>100019</v>
      </c>
      <c r="K6800" s="0" t="n">
        <v>20</v>
      </c>
      <c r="L6800" s="0" t="s">
        <v>3779</v>
      </c>
      <c r="N6800" s="0" t="n">
        <v>0.478</v>
      </c>
      <c r="O6800" s="0" t="n">
        <v>20.07</v>
      </c>
      <c r="P6800" s="0" t="s">
        <v>2444</v>
      </c>
    </row>
    <row r="6801" customFormat="false" ht="15" hidden="false" customHeight="true" outlineLevel="0" collapsed="false">
      <c r="A6801" s="0" t="n">
        <v>2</v>
      </c>
      <c r="B6801" s="71" t="n">
        <v>46255</v>
      </c>
      <c r="C6801" s="0" t="n">
        <v>31</v>
      </c>
      <c r="D6801" s="0" t="s">
        <v>5068</v>
      </c>
      <c r="E6801" s="0" t="n">
        <v>48</v>
      </c>
      <c r="F6801" s="0" t="s">
        <v>153</v>
      </c>
      <c r="I6801" s="0" t="n">
        <v>2618</v>
      </c>
      <c r="J6801" s="0" t="n">
        <v>100036</v>
      </c>
      <c r="K6801" s="0" t="n">
        <v>37</v>
      </c>
      <c r="L6801" s="0" t="s">
        <v>3395</v>
      </c>
      <c r="N6801" s="0" t="n">
        <v>0.724</v>
      </c>
      <c r="O6801" s="0" t="n">
        <v>20.26</v>
      </c>
      <c r="P6801" s="0" t="s">
        <v>2444</v>
      </c>
    </row>
    <row r="6802" customFormat="false" ht="15" hidden="false" customHeight="true" outlineLevel="0" collapsed="false">
      <c r="A6802" s="0" t="n">
        <v>2</v>
      </c>
      <c r="B6802" s="71" t="n">
        <v>46255</v>
      </c>
      <c r="C6802" s="0" t="n">
        <v>31</v>
      </c>
      <c r="D6802" s="0" t="s">
        <v>5068</v>
      </c>
      <c r="E6802" s="0" t="n">
        <v>48</v>
      </c>
      <c r="F6802" s="0" t="s">
        <v>153</v>
      </c>
      <c r="I6802" s="0" t="n">
        <v>2618</v>
      </c>
      <c r="J6802" s="0" t="n">
        <v>100101</v>
      </c>
      <c r="K6802" s="0" t="n">
        <v>102</v>
      </c>
      <c r="L6802" s="0" t="s">
        <v>5069</v>
      </c>
      <c r="N6802" s="0" t="n">
        <v>0.08</v>
      </c>
      <c r="O6802" s="0" t="n">
        <v>3.2</v>
      </c>
      <c r="P6802" s="0" t="s">
        <v>2444</v>
      </c>
    </row>
    <row r="6803" customFormat="false" ht="15" hidden="false" customHeight="true" outlineLevel="0" collapsed="false">
      <c r="A6803" s="0" t="n">
        <v>2</v>
      </c>
      <c r="B6803" s="71" t="n">
        <v>46255</v>
      </c>
      <c r="C6803" s="0" t="n">
        <v>31</v>
      </c>
      <c r="D6803" s="0" t="s">
        <v>5068</v>
      </c>
      <c r="E6803" s="0" t="n">
        <v>48</v>
      </c>
      <c r="F6803" s="0" t="s">
        <v>153</v>
      </c>
      <c r="I6803" s="0" t="n">
        <v>2618</v>
      </c>
      <c r="J6803" s="0" t="n">
        <v>100105</v>
      </c>
      <c r="K6803" s="0" t="n">
        <v>106</v>
      </c>
      <c r="L6803" s="0" t="s">
        <v>2536</v>
      </c>
      <c r="N6803" s="0" t="n">
        <v>0.465</v>
      </c>
      <c r="O6803" s="0" t="n">
        <v>4.88</v>
      </c>
      <c r="P6803" s="0" t="s">
        <v>2444</v>
      </c>
    </row>
    <row r="6804" customFormat="false" ht="15" hidden="false" customHeight="true" outlineLevel="0" collapsed="false">
      <c r="A6804" s="0" t="n">
        <v>2</v>
      </c>
      <c r="B6804" s="71" t="n">
        <v>46255</v>
      </c>
      <c r="C6804" s="0" t="n">
        <v>31</v>
      </c>
      <c r="D6804" s="0" t="s">
        <v>5068</v>
      </c>
      <c r="E6804" s="0" t="n">
        <v>48</v>
      </c>
      <c r="F6804" s="0" t="s">
        <v>153</v>
      </c>
      <c r="I6804" s="0" t="n">
        <v>2618</v>
      </c>
      <c r="J6804" s="0" t="n">
        <v>100109</v>
      </c>
      <c r="K6804" s="0" t="n">
        <v>110</v>
      </c>
      <c r="L6804" s="0" t="s">
        <v>2537</v>
      </c>
      <c r="N6804" s="0" t="n">
        <v>0.255</v>
      </c>
      <c r="O6804" s="0" t="n">
        <v>2.55</v>
      </c>
      <c r="P6804" s="0" t="s">
        <v>2444</v>
      </c>
    </row>
    <row r="6805" customFormat="false" ht="15" hidden="false" customHeight="true" outlineLevel="0" collapsed="false">
      <c r="A6805" s="0" t="n">
        <v>2</v>
      </c>
      <c r="B6805" s="71" t="n">
        <v>46255</v>
      </c>
      <c r="C6805" s="0" t="n">
        <v>31</v>
      </c>
      <c r="D6805" s="0" t="s">
        <v>5068</v>
      </c>
      <c r="E6805" s="0" t="n">
        <v>48</v>
      </c>
      <c r="F6805" s="0" t="s">
        <v>153</v>
      </c>
      <c r="I6805" s="0" t="n">
        <v>2618</v>
      </c>
      <c r="J6805" s="0" t="n">
        <v>100132</v>
      </c>
      <c r="K6805" s="0" t="n">
        <v>133</v>
      </c>
      <c r="L6805" s="0" t="s">
        <v>2546</v>
      </c>
      <c r="N6805" s="0" t="n">
        <v>1.545</v>
      </c>
      <c r="O6805" s="0" t="n">
        <v>7.71</v>
      </c>
      <c r="P6805" s="0" t="s">
        <v>2444</v>
      </c>
    </row>
    <row r="6806" customFormat="false" ht="15" hidden="false" customHeight="true" outlineLevel="0" collapsed="false">
      <c r="A6806" s="0" t="n">
        <v>2</v>
      </c>
      <c r="B6806" s="71" t="n">
        <v>46255</v>
      </c>
      <c r="C6806" s="0" t="n">
        <v>31</v>
      </c>
      <c r="D6806" s="0" t="s">
        <v>5068</v>
      </c>
      <c r="E6806" s="0" t="n">
        <v>48</v>
      </c>
      <c r="F6806" s="0" t="s">
        <v>153</v>
      </c>
      <c r="I6806" s="0" t="n">
        <v>2618</v>
      </c>
      <c r="J6806" s="0" t="n">
        <v>103940</v>
      </c>
      <c r="K6806" s="0" t="n">
        <v>7896579330081</v>
      </c>
      <c r="L6806" s="0" t="s">
        <v>2719</v>
      </c>
      <c r="N6806" s="0" t="n">
        <v>1</v>
      </c>
      <c r="O6806" s="0" t="n">
        <v>1.5</v>
      </c>
      <c r="P6806" s="0" t="s">
        <v>2444</v>
      </c>
    </row>
    <row r="6807" customFormat="false" ht="15" hidden="false" customHeight="true" outlineLevel="0" collapsed="false">
      <c r="A6807" s="0" t="n">
        <v>2</v>
      </c>
      <c r="B6807" s="71" t="n">
        <v>46255</v>
      </c>
      <c r="C6807" s="0" t="n">
        <v>31</v>
      </c>
      <c r="D6807" s="0" t="s">
        <v>5068</v>
      </c>
      <c r="E6807" s="0" t="n">
        <v>48</v>
      </c>
      <c r="F6807" s="0" t="s">
        <v>153</v>
      </c>
      <c r="I6807" s="0" t="n">
        <v>2618</v>
      </c>
      <c r="J6807" s="0" t="n">
        <v>104429</v>
      </c>
      <c r="K6807" s="0" t="n">
        <v>7896792350064</v>
      </c>
      <c r="L6807" s="0" t="s">
        <v>2788</v>
      </c>
      <c r="N6807" s="0" t="n">
        <v>1</v>
      </c>
      <c r="O6807" s="0" t="n">
        <v>1.99</v>
      </c>
      <c r="P6807" s="0" t="s">
        <v>2444</v>
      </c>
    </row>
    <row r="6808" customFormat="false" ht="15" hidden="false" customHeight="true" outlineLevel="0" collapsed="false">
      <c r="A6808" s="0" t="n">
        <v>2</v>
      </c>
      <c r="B6808" s="71" t="n">
        <v>46255</v>
      </c>
      <c r="C6808" s="0" t="n">
        <v>31</v>
      </c>
      <c r="D6808" s="0" t="s">
        <v>5068</v>
      </c>
      <c r="E6808" s="0" t="n">
        <v>48</v>
      </c>
      <c r="F6808" s="0" t="s">
        <v>153</v>
      </c>
      <c r="I6808" s="0" t="n">
        <v>2618</v>
      </c>
      <c r="J6808" s="0" t="n">
        <v>104678</v>
      </c>
      <c r="K6808" s="0" t="n">
        <v>7898247780075</v>
      </c>
      <c r="L6808" s="0" t="s">
        <v>3306</v>
      </c>
      <c r="N6808" s="0" t="n">
        <v>1</v>
      </c>
      <c r="O6808" s="0" t="n">
        <v>9.99</v>
      </c>
      <c r="P6808" s="0" t="s">
        <v>2444</v>
      </c>
    </row>
    <row r="6809" customFormat="false" ht="15" hidden="false" customHeight="true" outlineLevel="0" collapsed="false">
      <c r="A6809" s="0" t="n">
        <v>2</v>
      </c>
      <c r="B6809" s="71" t="n">
        <v>46255</v>
      </c>
      <c r="C6809" s="0" t="n">
        <v>31</v>
      </c>
      <c r="D6809" s="0" t="s">
        <v>5068</v>
      </c>
      <c r="E6809" s="0" t="n">
        <v>48</v>
      </c>
      <c r="F6809" s="0" t="s">
        <v>153</v>
      </c>
      <c r="I6809" s="0" t="n">
        <v>2618</v>
      </c>
      <c r="J6809" s="0" t="n">
        <v>16172</v>
      </c>
      <c r="K6809" s="0" t="n">
        <v>7898055452188</v>
      </c>
      <c r="L6809" s="0" t="s">
        <v>2685</v>
      </c>
      <c r="N6809" s="0" t="n">
        <v>1</v>
      </c>
      <c r="O6809" s="0" t="n">
        <v>4.5</v>
      </c>
      <c r="P6809" s="0" t="s">
        <v>2444</v>
      </c>
    </row>
    <row r="6810" customFormat="false" ht="15" hidden="false" customHeight="true" outlineLevel="0" collapsed="false">
      <c r="A6810" s="0" t="n">
        <v>2</v>
      </c>
      <c r="B6810" s="71" t="n">
        <v>46255</v>
      </c>
      <c r="C6810" s="0" t="n">
        <v>31</v>
      </c>
      <c r="D6810" s="0" t="s">
        <v>5068</v>
      </c>
      <c r="E6810" s="0" t="n">
        <v>48</v>
      </c>
      <c r="F6810" s="0" t="s">
        <v>153</v>
      </c>
      <c r="I6810" s="0" t="n">
        <v>2618</v>
      </c>
      <c r="J6810" s="0" t="n">
        <v>25964</v>
      </c>
      <c r="K6810" s="0" t="n">
        <v>7896763621858</v>
      </c>
      <c r="L6810" s="0" t="s">
        <v>4662</v>
      </c>
      <c r="N6810" s="0" t="n">
        <v>2</v>
      </c>
      <c r="O6810" s="0" t="n">
        <v>5.98</v>
      </c>
      <c r="P6810" s="0" t="s">
        <v>2444</v>
      </c>
    </row>
    <row r="6811" customFormat="false" ht="15" hidden="false" customHeight="true" outlineLevel="0" collapsed="false">
      <c r="A6811" s="0" t="n">
        <v>2</v>
      </c>
      <c r="B6811" s="71" t="n">
        <v>46255</v>
      </c>
      <c r="C6811" s="0" t="n">
        <v>31</v>
      </c>
      <c r="D6811" s="0" t="s">
        <v>5068</v>
      </c>
      <c r="E6811" s="0" t="n">
        <v>48</v>
      </c>
      <c r="F6811" s="0" t="s">
        <v>153</v>
      </c>
      <c r="I6811" s="0" t="n">
        <v>2618</v>
      </c>
      <c r="J6811" s="0" t="n">
        <v>26175</v>
      </c>
      <c r="K6811" s="0" t="n">
        <v>7898934529024</v>
      </c>
      <c r="L6811" s="0" t="s">
        <v>2737</v>
      </c>
      <c r="N6811" s="0" t="n">
        <v>2</v>
      </c>
      <c r="O6811" s="0" t="n">
        <v>11.5</v>
      </c>
      <c r="P6811" s="0" t="s">
        <v>2444</v>
      </c>
    </row>
    <row r="6812" customFormat="false" ht="15" hidden="false" customHeight="true" outlineLevel="0" collapsed="false">
      <c r="A6812" s="0" t="n">
        <v>2</v>
      </c>
      <c r="B6812" s="71" t="n">
        <v>46255</v>
      </c>
      <c r="C6812" s="0" t="n">
        <v>31</v>
      </c>
      <c r="D6812" s="0" t="s">
        <v>5068</v>
      </c>
      <c r="E6812" s="0" t="n">
        <v>48</v>
      </c>
      <c r="F6812" s="0" t="s">
        <v>153</v>
      </c>
      <c r="I6812" s="0" t="n">
        <v>2618</v>
      </c>
      <c r="J6812" s="0" t="n">
        <v>35556</v>
      </c>
      <c r="K6812" s="0" t="n">
        <v>7500435154420</v>
      </c>
      <c r="L6812" s="0" t="s">
        <v>2748</v>
      </c>
      <c r="N6812" s="0" t="n">
        <v>2</v>
      </c>
      <c r="O6812" s="0" t="n">
        <v>7.98</v>
      </c>
      <c r="P6812" s="0" t="s">
        <v>2444</v>
      </c>
    </row>
    <row r="6813" customFormat="false" ht="15" hidden="false" customHeight="true" outlineLevel="0" collapsed="false">
      <c r="A6813" s="0" t="n">
        <v>2</v>
      </c>
      <c r="B6813" s="71" t="n">
        <v>46255</v>
      </c>
      <c r="C6813" s="0" t="n">
        <v>31</v>
      </c>
      <c r="D6813" s="0" t="s">
        <v>5068</v>
      </c>
      <c r="E6813" s="0" t="n">
        <v>48</v>
      </c>
      <c r="F6813" s="0" t="s">
        <v>153</v>
      </c>
      <c r="I6813" s="0" t="n">
        <v>2618</v>
      </c>
      <c r="J6813" s="0" t="n">
        <v>53225</v>
      </c>
      <c r="K6813" s="0" t="n">
        <v>7897312404083</v>
      </c>
      <c r="L6813" s="0" t="s">
        <v>3238</v>
      </c>
      <c r="N6813" s="0" t="n">
        <v>3</v>
      </c>
      <c r="O6813" s="0" t="n">
        <v>7.47</v>
      </c>
      <c r="P6813" s="0" t="s">
        <v>2444</v>
      </c>
    </row>
    <row r="6814" customFormat="false" ht="15" hidden="false" customHeight="true" outlineLevel="0" collapsed="false">
      <c r="A6814" s="0" t="n">
        <v>2</v>
      </c>
      <c r="B6814" s="71" t="n">
        <v>46255</v>
      </c>
      <c r="C6814" s="0" t="n">
        <v>100</v>
      </c>
      <c r="D6814" s="0" t="s">
        <v>2499</v>
      </c>
      <c r="E6814" s="0" t="n">
        <v>48</v>
      </c>
      <c r="F6814" s="0" t="s">
        <v>153</v>
      </c>
      <c r="I6814" s="0" t="n">
        <v>1581788</v>
      </c>
      <c r="J6814" s="0" t="n">
        <v>100008</v>
      </c>
      <c r="K6814" s="0" t="n">
        <v>9</v>
      </c>
      <c r="L6814" s="0" t="s">
        <v>2487</v>
      </c>
      <c r="N6814" s="0" t="n">
        <v>30.935</v>
      </c>
      <c r="O6814" s="0" t="n">
        <v>984.57</v>
      </c>
      <c r="P6814" s="0" t="s">
        <v>2444</v>
      </c>
    </row>
    <row r="6815" customFormat="false" ht="15" hidden="false" customHeight="true" outlineLevel="0" collapsed="false">
      <c r="A6815" s="0" t="n">
        <v>2</v>
      </c>
      <c r="B6815" s="71" t="n">
        <v>46255</v>
      </c>
      <c r="C6815" s="0" t="n">
        <v>100</v>
      </c>
      <c r="D6815" s="0" t="s">
        <v>2499</v>
      </c>
      <c r="E6815" s="0" t="n">
        <v>48</v>
      </c>
      <c r="F6815" s="0" t="s">
        <v>153</v>
      </c>
      <c r="I6815" s="0" t="n">
        <v>1581788</v>
      </c>
      <c r="J6815" s="0" t="n">
        <v>100053</v>
      </c>
      <c r="K6815" s="0" t="n">
        <v>54</v>
      </c>
      <c r="L6815" s="0" t="s">
        <v>2495</v>
      </c>
      <c r="N6815" s="0" t="n">
        <v>3.75</v>
      </c>
      <c r="O6815" s="0" t="n">
        <v>134.66</v>
      </c>
      <c r="P6815" s="0" t="s">
        <v>2444</v>
      </c>
    </row>
    <row r="6816" customFormat="false" ht="15" hidden="false" customHeight="true" outlineLevel="0" collapsed="false">
      <c r="A6816" s="0" t="n">
        <v>2</v>
      </c>
      <c r="B6816" s="71" t="n">
        <v>46255</v>
      </c>
      <c r="C6816" s="0" t="n">
        <v>100</v>
      </c>
      <c r="D6816" s="0" t="s">
        <v>2499</v>
      </c>
      <c r="E6816" s="0" t="n">
        <v>48</v>
      </c>
      <c r="F6816" s="0" t="s">
        <v>153</v>
      </c>
      <c r="I6816" s="0" t="n">
        <v>1581788</v>
      </c>
      <c r="J6816" s="0" t="n">
        <v>100638</v>
      </c>
      <c r="K6816" s="0" t="n">
        <v>508</v>
      </c>
      <c r="L6816" s="0" t="s">
        <v>2496</v>
      </c>
      <c r="N6816" s="0" t="n">
        <v>0.315</v>
      </c>
      <c r="O6816" s="0" t="n">
        <v>0.77</v>
      </c>
      <c r="P6816" s="0" t="s">
        <v>2444</v>
      </c>
    </row>
    <row r="6817" customFormat="false" ht="15" hidden="false" customHeight="true" outlineLevel="0" collapsed="false">
      <c r="A6817" s="0" t="n">
        <v>2</v>
      </c>
      <c r="B6817" s="71" t="n">
        <v>46255</v>
      </c>
      <c r="C6817" s="0" t="n">
        <v>100</v>
      </c>
      <c r="D6817" s="0" t="s">
        <v>2499</v>
      </c>
      <c r="E6817" s="0" t="n">
        <v>48</v>
      </c>
      <c r="F6817" s="0" t="s">
        <v>153</v>
      </c>
      <c r="I6817" s="0" t="n">
        <v>1581793</v>
      </c>
      <c r="J6817" s="0" t="n">
        <v>100000</v>
      </c>
      <c r="K6817" s="0" t="n">
        <v>1</v>
      </c>
      <c r="L6817" s="0" t="s">
        <v>2480</v>
      </c>
      <c r="N6817" s="0" t="n">
        <v>3.256</v>
      </c>
      <c r="O6817" s="0" t="n">
        <v>65.94</v>
      </c>
      <c r="P6817" s="0" t="s">
        <v>2444</v>
      </c>
    </row>
    <row r="6818" customFormat="false" ht="15" hidden="false" customHeight="true" outlineLevel="0" collapsed="false">
      <c r="A6818" s="0" t="n">
        <v>2</v>
      </c>
      <c r="B6818" s="71" t="n">
        <v>46255</v>
      </c>
      <c r="C6818" s="0" t="n">
        <v>100</v>
      </c>
      <c r="D6818" s="0" t="s">
        <v>2499</v>
      </c>
      <c r="E6818" s="0" t="n">
        <v>48</v>
      </c>
      <c r="F6818" s="0" t="s">
        <v>153</v>
      </c>
      <c r="I6818" s="0" t="n">
        <v>1581793</v>
      </c>
      <c r="J6818" s="0" t="n">
        <v>100006</v>
      </c>
      <c r="K6818" s="0" t="n">
        <v>7</v>
      </c>
      <c r="L6818" s="0" t="s">
        <v>2485</v>
      </c>
      <c r="N6818" s="0" t="n">
        <v>2.69</v>
      </c>
      <c r="O6818" s="0" t="n">
        <v>77.19</v>
      </c>
      <c r="P6818" s="0" t="s">
        <v>2444</v>
      </c>
    </row>
    <row r="6819" customFormat="false" ht="15" hidden="false" customHeight="true" outlineLevel="0" collapsed="false">
      <c r="A6819" s="0" t="n">
        <v>2</v>
      </c>
      <c r="B6819" s="71" t="n">
        <v>46255</v>
      </c>
      <c r="C6819" s="0" t="n">
        <v>100</v>
      </c>
      <c r="D6819" s="0" t="s">
        <v>2499</v>
      </c>
      <c r="E6819" s="0" t="n">
        <v>48</v>
      </c>
      <c r="F6819" s="0" t="s">
        <v>153</v>
      </c>
      <c r="I6819" s="0" t="n">
        <v>1581793</v>
      </c>
      <c r="J6819" s="0" t="n">
        <v>100007</v>
      </c>
      <c r="K6819" s="0" t="n">
        <v>8</v>
      </c>
      <c r="L6819" s="0" t="s">
        <v>2486</v>
      </c>
      <c r="N6819" s="0" t="n">
        <v>2.668</v>
      </c>
      <c r="O6819" s="0" t="n">
        <v>67.55</v>
      </c>
      <c r="P6819" s="0" t="s">
        <v>2444</v>
      </c>
    </row>
    <row r="6820" customFormat="false" ht="15" hidden="false" customHeight="true" outlineLevel="0" collapsed="false">
      <c r="A6820" s="0" t="n">
        <v>2</v>
      </c>
      <c r="B6820" s="71" t="n">
        <v>46255</v>
      </c>
      <c r="C6820" s="0" t="n">
        <v>100</v>
      </c>
      <c r="D6820" s="0" t="s">
        <v>2499</v>
      </c>
      <c r="E6820" s="0" t="n">
        <v>48</v>
      </c>
      <c r="F6820" s="0" t="s">
        <v>153</v>
      </c>
      <c r="I6820" s="0" t="n">
        <v>1581793</v>
      </c>
      <c r="J6820" s="0" t="n">
        <v>100008</v>
      </c>
      <c r="K6820" s="0" t="n">
        <v>9</v>
      </c>
      <c r="L6820" s="0" t="s">
        <v>2487</v>
      </c>
      <c r="N6820" s="0" t="n">
        <v>17.83</v>
      </c>
      <c r="O6820" s="0" t="n">
        <v>586.89</v>
      </c>
      <c r="P6820" s="0" t="s">
        <v>2444</v>
      </c>
    </row>
    <row r="6821" customFormat="false" ht="15" hidden="false" customHeight="true" outlineLevel="0" collapsed="false">
      <c r="A6821" s="0" t="n">
        <v>2</v>
      </c>
      <c r="B6821" s="71" t="n">
        <v>46255</v>
      </c>
      <c r="C6821" s="0" t="n">
        <v>100</v>
      </c>
      <c r="D6821" s="0" t="s">
        <v>2499</v>
      </c>
      <c r="E6821" s="0" t="n">
        <v>48</v>
      </c>
      <c r="F6821" s="0" t="s">
        <v>153</v>
      </c>
      <c r="I6821" s="0" t="n">
        <v>1581793</v>
      </c>
      <c r="J6821" s="0" t="n">
        <v>100011</v>
      </c>
      <c r="K6821" s="0" t="n">
        <v>12</v>
      </c>
      <c r="L6821" s="0" t="s">
        <v>2488</v>
      </c>
      <c r="N6821" s="0" t="n">
        <v>12.185</v>
      </c>
      <c r="O6821" s="0" t="n">
        <v>462.8</v>
      </c>
      <c r="P6821" s="0" t="s">
        <v>2444</v>
      </c>
    </row>
    <row r="6822" customFormat="false" ht="15" hidden="false" customHeight="true" outlineLevel="0" collapsed="false">
      <c r="A6822" s="0" t="n">
        <v>2</v>
      </c>
      <c r="B6822" s="71" t="n">
        <v>46255</v>
      </c>
      <c r="C6822" s="0" t="n">
        <v>100</v>
      </c>
      <c r="D6822" s="0" t="s">
        <v>2499</v>
      </c>
      <c r="E6822" s="0" t="n">
        <v>48</v>
      </c>
      <c r="F6822" s="0" t="s">
        <v>153</v>
      </c>
      <c r="I6822" s="0" t="n">
        <v>1581793</v>
      </c>
      <c r="J6822" s="0" t="n">
        <v>100012</v>
      </c>
      <c r="K6822" s="0" t="n">
        <v>13</v>
      </c>
      <c r="L6822" s="0" t="s">
        <v>2489</v>
      </c>
      <c r="N6822" s="0" t="n">
        <v>5.768</v>
      </c>
      <c r="O6822" s="0" t="n">
        <v>243.42</v>
      </c>
      <c r="P6822" s="0" t="s">
        <v>2444</v>
      </c>
    </row>
    <row r="6823" customFormat="false" ht="15" hidden="false" customHeight="true" outlineLevel="0" collapsed="false">
      <c r="A6823" s="0" t="n">
        <v>2</v>
      </c>
      <c r="B6823" s="71" t="n">
        <v>46255</v>
      </c>
      <c r="C6823" s="0" t="n">
        <v>100</v>
      </c>
      <c r="D6823" s="0" t="s">
        <v>2499</v>
      </c>
      <c r="E6823" s="0" t="n">
        <v>48</v>
      </c>
      <c r="F6823" s="0" t="s">
        <v>153</v>
      </c>
      <c r="I6823" s="0" t="n">
        <v>1581793</v>
      </c>
      <c r="J6823" s="0" t="n">
        <v>100013</v>
      </c>
      <c r="K6823" s="0" t="n">
        <v>14</v>
      </c>
      <c r="L6823" s="0" t="s">
        <v>2490</v>
      </c>
      <c r="N6823" s="0" t="n">
        <v>12.195</v>
      </c>
      <c r="O6823" s="0" t="n">
        <v>545.54</v>
      </c>
      <c r="P6823" s="0" t="s">
        <v>2444</v>
      </c>
    </row>
    <row r="6824" customFormat="false" ht="15" hidden="false" customHeight="true" outlineLevel="0" collapsed="false">
      <c r="A6824" s="0" t="n">
        <v>2</v>
      </c>
      <c r="B6824" s="71" t="n">
        <v>46255</v>
      </c>
      <c r="C6824" s="0" t="n">
        <v>100</v>
      </c>
      <c r="D6824" s="0" t="s">
        <v>2499</v>
      </c>
      <c r="E6824" s="0" t="n">
        <v>48</v>
      </c>
      <c r="F6824" s="0" t="s">
        <v>153</v>
      </c>
      <c r="I6824" s="0" t="n">
        <v>1581793</v>
      </c>
      <c r="J6824" s="0" t="n">
        <v>100014</v>
      </c>
      <c r="K6824" s="0" t="n">
        <v>15</v>
      </c>
      <c r="L6824" s="0" t="s">
        <v>2491</v>
      </c>
      <c r="N6824" s="0" t="n">
        <v>4.792</v>
      </c>
      <c r="O6824" s="0" t="n">
        <v>218.42</v>
      </c>
      <c r="P6824" s="0" t="s">
        <v>2444</v>
      </c>
    </row>
    <row r="6825" customFormat="false" ht="15" hidden="false" customHeight="true" outlineLevel="0" collapsed="false">
      <c r="A6825" s="0" t="n">
        <v>2</v>
      </c>
      <c r="B6825" s="71" t="n">
        <v>46255</v>
      </c>
      <c r="C6825" s="0" t="n">
        <v>100</v>
      </c>
      <c r="D6825" s="0" t="s">
        <v>2499</v>
      </c>
      <c r="E6825" s="0" t="n">
        <v>48</v>
      </c>
      <c r="F6825" s="0" t="s">
        <v>153</v>
      </c>
      <c r="I6825" s="0" t="n">
        <v>1581793</v>
      </c>
      <c r="J6825" s="0" t="n">
        <v>100015</v>
      </c>
      <c r="K6825" s="0" t="n">
        <v>16</v>
      </c>
      <c r="L6825" s="0" t="s">
        <v>2492</v>
      </c>
      <c r="N6825" s="0" t="n">
        <v>1.806</v>
      </c>
      <c r="O6825" s="0" t="n">
        <v>73.17</v>
      </c>
      <c r="P6825" s="0" t="s">
        <v>2444</v>
      </c>
    </row>
    <row r="6826" customFormat="false" ht="15" hidden="false" customHeight="true" outlineLevel="0" collapsed="false">
      <c r="A6826" s="0" t="n">
        <v>2</v>
      </c>
      <c r="B6826" s="71" t="n">
        <v>46255</v>
      </c>
      <c r="C6826" s="0" t="n">
        <v>100</v>
      </c>
      <c r="D6826" s="0" t="s">
        <v>2499</v>
      </c>
      <c r="E6826" s="0" t="n">
        <v>48</v>
      </c>
      <c r="F6826" s="0" t="s">
        <v>153</v>
      </c>
      <c r="I6826" s="0" t="n">
        <v>1581793</v>
      </c>
      <c r="J6826" s="0" t="n">
        <v>100016</v>
      </c>
      <c r="K6826" s="0" t="n">
        <v>17</v>
      </c>
      <c r="L6826" s="0" t="s">
        <v>2493</v>
      </c>
      <c r="N6826" s="0" t="n">
        <v>2.584</v>
      </c>
      <c r="O6826" s="0" t="n">
        <v>130.87</v>
      </c>
      <c r="P6826" s="0" t="s">
        <v>2444</v>
      </c>
    </row>
    <row r="6827" customFormat="false" ht="15" hidden="false" customHeight="true" outlineLevel="0" collapsed="false">
      <c r="A6827" s="0" t="n">
        <v>2</v>
      </c>
      <c r="B6827" s="71" t="n">
        <v>46255</v>
      </c>
      <c r="C6827" s="0" t="n">
        <v>100</v>
      </c>
      <c r="D6827" s="0" t="s">
        <v>2499</v>
      </c>
      <c r="E6827" s="0" t="n">
        <v>48</v>
      </c>
      <c r="F6827" s="0" t="s">
        <v>153</v>
      </c>
      <c r="I6827" s="0" t="n">
        <v>1581793</v>
      </c>
      <c r="J6827" s="0" t="n">
        <v>100017</v>
      </c>
      <c r="K6827" s="0" t="n">
        <v>18</v>
      </c>
      <c r="L6827" s="0" t="s">
        <v>2494</v>
      </c>
      <c r="N6827" s="0" t="n">
        <v>1.624</v>
      </c>
      <c r="O6827" s="0" t="n">
        <v>95.96</v>
      </c>
      <c r="P6827" s="0" t="s">
        <v>2444</v>
      </c>
    </row>
    <row r="6828" customFormat="false" ht="15" hidden="false" customHeight="true" outlineLevel="0" collapsed="false">
      <c r="A6828" s="0" t="n">
        <v>2</v>
      </c>
      <c r="B6828" s="71" t="n">
        <v>46255</v>
      </c>
      <c r="C6828" s="0" t="n">
        <v>100</v>
      </c>
      <c r="D6828" s="0" t="s">
        <v>2499</v>
      </c>
      <c r="E6828" s="0" t="n">
        <v>48</v>
      </c>
      <c r="F6828" s="0" t="s">
        <v>153</v>
      </c>
      <c r="I6828" s="0" t="n">
        <v>1581793</v>
      </c>
      <c r="J6828" s="0" t="n">
        <v>100053</v>
      </c>
      <c r="K6828" s="0" t="n">
        <v>54</v>
      </c>
      <c r="L6828" s="0" t="s">
        <v>2495</v>
      </c>
      <c r="N6828" s="0" t="n">
        <v>2.558</v>
      </c>
      <c r="O6828" s="0" t="n">
        <v>95</v>
      </c>
      <c r="P6828" s="0" t="s">
        <v>2444</v>
      </c>
    </row>
    <row r="6829" customFormat="false" ht="15" hidden="false" customHeight="true" outlineLevel="0" collapsed="false">
      <c r="A6829" s="0" t="n">
        <v>2</v>
      </c>
      <c r="B6829" s="71" t="n">
        <v>46255</v>
      </c>
      <c r="C6829" s="0" t="n">
        <v>100</v>
      </c>
      <c r="D6829" s="0" t="s">
        <v>2499</v>
      </c>
      <c r="E6829" s="0" t="n">
        <v>48</v>
      </c>
      <c r="F6829" s="0" t="s">
        <v>153</v>
      </c>
      <c r="I6829" s="0" t="n">
        <v>1581793</v>
      </c>
      <c r="J6829" s="0" t="n">
        <v>100638</v>
      </c>
      <c r="K6829" s="0" t="n">
        <v>508</v>
      </c>
      <c r="L6829" s="0" t="s">
        <v>2496</v>
      </c>
      <c r="N6829" s="0" t="n">
        <v>1.15</v>
      </c>
      <c r="O6829" s="0" t="n">
        <v>2.9</v>
      </c>
      <c r="P6829" s="0" t="s">
        <v>2444</v>
      </c>
    </row>
    <row r="6830" customFormat="false" ht="15" hidden="false" customHeight="true" outlineLevel="0" collapsed="false">
      <c r="A6830" s="0" t="n">
        <v>2</v>
      </c>
      <c r="B6830" s="71" t="n">
        <v>46255</v>
      </c>
      <c r="C6830" s="0" t="n">
        <v>100</v>
      </c>
      <c r="D6830" s="0" t="s">
        <v>2499</v>
      </c>
      <c r="E6830" s="0" t="n">
        <v>48</v>
      </c>
      <c r="F6830" s="0" t="s">
        <v>153</v>
      </c>
      <c r="I6830" s="0" t="n">
        <v>1581793</v>
      </c>
      <c r="J6830" s="0" t="n">
        <v>100520</v>
      </c>
      <c r="K6830" s="0" t="n">
        <v>507</v>
      </c>
      <c r="L6830" s="0" t="s">
        <v>2497</v>
      </c>
      <c r="N6830" s="0" t="n">
        <v>9.45</v>
      </c>
      <c r="O6830" s="0" t="n">
        <v>23.85</v>
      </c>
      <c r="P6830" s="0" t="s">
        <v>2444</v>
      </c>
    </row>
    <row r="6831" customFormat="false" ht="15" hidden="false" customHeight="true" outlineLevel="0" collapsed="false">
      <c r="A6831" s="0" t="n">
        <v>2</v>
      </c>
      <c r="B6831" s="71" t="n">
        <v>46255</v>
      </c>
      <c r="C6831" s="0" t="n">
        <v>100</v>
      </c>
      <c r="D6831" s="0" t="s">
        <v>2499</v>
      </c>
      <c r="E6831" s="0" t="n">
        <v>48</v>
      </c>
      <c r="F6831" s="0" t="s">
        <v>153</v>
      </c>
      <c r="I6831" s="0" t="n">
        <v>1581793</v>
      </c>
      <c r="J6831" s="0" t="n">
        <v>110455</v>
      </c>
      <c r="K6831" s="0" t="n">
        <v>53212</v>
      </c>
      <c r="L6831" s="0" t="s">
        <v>2498</v>
      </c>
      <c r="N6831" s="0" t="n">
        <v>0.944</v>
      </c>
      <c r="O6831" s="0" t="n">
        <v>0</v>
      </c>
      <c r="P6831" s="0" t="s">
        <v>2444</v>
      </c>
    </row>
    <row r="6832" customFormat="false" ht="15" hidden="false" customHeight="true" outlineLevel="0" collapsed="false">
      <c r="A6832" s="0" t="n">
        <v>2</v>
      </c>
      <c r="B6832" s="71" t="n">
        <v>46256</v>
      </c>
      <c r="C6832" s="0" t="n">
        <v>11</v>
      </c>
      <c r="D6832" s="0" t="s">
        <v>2471</v>
      </c>
      <c r="E6832" s="0" t="n">
        <v>642</v>
      </c>
      <c r="F6832" s="0" t="s">
        <v>123</v>
      </c>
      <c r="I6832" s="0" t="n">
        <v>613</v>
      </c>
      <c r="J6832" s="0" t="n">
        <v>71766</v>
      </c>
      <c r="K6832" s="0" t="n">
        <v>779180</v>
      </c>
      <c r="L6832" s="0" t="s">
        <v>2501</v>
      </c>
      <c r="N6832" s="0" t="n">
        <v>20</v>
      </c>
      <c r="O6832" s="0" t="n">
        <v>240</v>
      </c>
      <c r="P6832" s="0" t="s">
        <v>2444</v>
      </c>
    </row>
    <row r="6833" customFormat="false" ht="15" hidden="false" customHeight="true" outlineLevel="0" collapsed="false">
      <c r="A6833" s="0" t="n">
        <v>2</v>
      </c>
      <c r="B6833" s="71" t="n">
        <v>46256</v>
      </c>
      <c r="C6833" s="0" t="n">
        <v>11</v>
      </c>
      <c r="D6833" s="0" t="s">
        <v>2471</v>
      </c>
      <c r="E6833" s="0" t="n">
        <v>1745</v>
      </c>
      <c r="F6833" s="0" t="s">
        <v>189</v>
      </c>
      <c r="I6833" s="0" t="n">
        <v>357892</v>
      </c>
      <c r="J6833" s="0" t="n">
        <v>70215</v>
      </c>
      <c r="K6833" s="0" t="n">
        <v>7896045114290</v>
      </c>
      <c r="L6833" s="0" t="s">
        <v>5070</v>
      </c>
      <c r="N6833" s="0" t="n">
        <v>30</v>
      </c>
      <c r="O6833" s="0" t="n">
        <v>103.62</v>
      </c>
      <c r="P6833" s="0" t="s">
        <v>2444</v>
      </c>
    </row>
    <row r="6834" customFormat="false" ht="15" hidden="false" customHeight="true" outlineLevel="0" collapsed="false">
      <c r="A6834" s="0" t="n">
        <v>2</v>
      </c>
      <c r="B6834" s="71" t="n">
        <v>46256</v>
      </c>
      <c r="C6834" s="0" t="n">
        <v>11</v>
      </c>
      <c r="D6834" s="0" t="s">
        <v>2471</v>
      </c>
      <c r="E6834" s="0" t="n">
        <v>1745</v>
      </c>
      <c r="F6834" s="0" t="s">
        <v>189</v>
      </c>
      <c r="I6834" s="0" t="n">
        <v>357892</v>
      </c>
      <c r="J6834" s="0" t="n">
        <v>70216</v>
      </c>
      <c r="K6834" s="0" t="n">
        <v>7896045114306</v>
      </c>
      <c r="L6834" s="0" t="s">
        <v>5071</v>
      </c>
      <c r="N6834" s="0" t="n">
        <v>30</v>
      </c>
      <c r="O6834" s="0" t="n">
        <v>101.31</v>
      </c>
      <c r="P6834" s="0" t="s">
        <v>2444</v>
      </c>
    </row>
    <row r="6835" customFormat="false" ht="15" hidden="false" customHeight="true" outlineLevel="0" collapsed="false">
      <c r="A6835" s="0" t="n">
        <v>2</v>
      </c>
      <c r="B6835" s="71" t="n">
        <v>46256</v>
      </c>
      <c r="C6835" s="0" t="n">
        <v>11</v>
      </c>
      <c r="D6835" s="0" t="s">
        <v>2471</v>
      </c>
      <c r="E6835" s="0" t="n">
        <v>1745</v>
      </c>
      <c r="F6835" s="0" t="s">
        <v>189</v>
      </c>
      <c r="I6835" s="0" t="n">
        <v>357892</v>
      </c>
      <c r="J6835" s="0" t="n">
        <v>102135</v>
      </c>
      <c r="K6835" s="0" t="n">
        <v>7896490288812</v>
      </c>
      <c r="L6835" s="0" t="s">
        <v>5072</v>
      </c>
      <c r="N6835" s="0" t="n">
        <v>25</v>
      </c>
      <c r="O6835" s="0" t="n">
        <v>86.35</v>
      </c>
      <c r="P6835" s="0" t="s">
        <v>2444</v>
      </c>
    </row>
    <row r="6836" customFormat="false" ht="15" hidden="false" customHeight="true" outlineLevel="0" collapsed="false">
      <c r="A6836" s="0" t="n">
        <v>2</v>
      </c>
      <c r="B6836" s="71" t="n">
        <v>46256</v>
      </c>
      <c r="C6836" s="0" t="n">
        <v>11</v>
      </c>
      <c r="D6836" s="0" t="s">
        <v>2471</v>
      </c>
      <c r="E6836" s="0" t="n">
        <v>1745</v>
      </c>
      <c r="F6836" s="0" t="s">
        <v>189</v>
      </c>
      <c r="I6836" s="0" t="n">
        <v>357892</v>
      </c>
      <c r="J6836" s="0" t="n">
        <v>102221</v>
      </c>
      <c r="K6836" s="0" t="n">
        <v>7896224803106</v>
      </c>
      <c r="L6836" s="0" t="s">
        <v>5073</v>
      </c>
      <c r="N6836" s="0" t="n">
        <v>12</v>
      </c>
      <c r="O6836" s="0" t="n">
        <v>62.21</v>
      </c>
      <c r="P6836" s="0" t="s">
        <v>2444</v>
      </c>
    </row>
    <row r="6837" customFormat="false" ht="15" hidden="false" customHeight="true" outlineLevel="0" collapsed="false">
      <c r="A6837" s="0" t="n">
        <v>2</v>
      </c>
      <c r="B6837" s="71" t="n">
        <v>46256</v>
      </c>
      <c r="C6837" s="0" t="n">
        <v>11</v>
      </c>
      <c r="D6837" s="0" t="s">
        <v>2471</v>
      </c>
      <c r="E6837" s="0" t="n">
        <v>1745</v>
      </c>
      <c r="F6837" s="0" t="s">
        <v>189</v>
      </c>
      <c r="I6837" s="0" t="n">
        <v>357892</v>
      </c>
      <c r="J6837" s="0" t="n">
        <v>38570</v>
      </c>
      <c r="K6837" s="0" t="n">
        <v>7896005809501</v>
      </c>
      <c r="L6837" s="0" t="s">
        <v>5074</v>
      </c>
      <c r="N6837" s="0" t="n">
        <v>6</v>
      </c>
      <c r="O6837" s="0" t="n">
        <v>35.04</v>
      </c>
      <c r="P6837" s="0" t="s">
        <v>2444</v>
      </c>
    </row>
    <row r="6838" customFormat="false" ht="15" hidden="false" customHeight="true" outlineLevel="0" collapsed="false">
      <c r="A6838" s="0" t="n">
        <v>2</v>
      </c>
      <c r="B6838" s="71" t="n">
        <v>46256</v>
      </c>
      <c r="C6838" s="0" t="n">
        <v>11</v>
      </c>
      <c r="D6838" s="0" t="s">
        <v>2471</v>
      </c>
      <c r="E6838" s="0" t="n">
        <v>1745</v>
      </c>
      <c r="F6838" s="0" t="s">
        <v>189</v>
      </c>
      <c r="I6838" s="0" t="n">
        <v>357892</v>
      </c>
      <c r="J6838" s="0" t="n">
        <v>38571</v>
      </c>
      <c r="K6838" s="0" t="n">
        <v>7896005809518</v>
      </c>
      <c r="L6838" s="0" t="s">
        <v>5075</v>
      </c>
      <c r="N6838" s="0" t="n">
        <v>6</v>
      </c>
      <c r="O6838" s="0" t="n">
        <v>35.04</v>
      </c>
      <c r="P6838" s="0" t="s">
        <v>2444</v>
      </c>
    </row>
    <row r="6839" customFormat="false" ht="15" hidden="false" customHeight="true" outlineLevel="0" collapsed="false">
      <c r="A6839" s="0" t="n">
        <v>2</v>
      </c>
      <c r="B6839" s="71" t="n">
        <v>46256</v>
      </c>
      <c r="C6839" s="0" t="n">
        <v>11</v>
      </c>
      <c r="D6839" s="0" t="s">
        <v>2471</v>
      </c>
      <c r="E6839" s="0" t="n">
        <v>1745</v>
      </c>
      <c r="F6839" s="0" t="s">
        <v>189</v>
      </c>
      <c r="I6839" s="0" t="n">
        <v>357892</v>
      </c>
      <c r="J6839" s="0" t="n">
        <v>60545</v>
      </c>
      <c r="K6839" s="0" t="n">
        <v>7896045112142</v>
      </c>
      <c r="L6839" s="0" t="s">
        <v>3330</v>
      </c>
      <c r="N6839" s="0" t="n">
        <v>18</v>
      </c>
      <c r="O6839" s="0" t="n">
        <v>13.55</v>
      </c>
      <c r="P6839" s="0" t="s">
        <v>2444</v>
      </c>
    </row>
    <row r="6840" customFormat="false" ht="15" hidden="false" customHeight="true" outlineLevel="0" collapsed="false">
      <c r="A6840" s="0" t="n">
        <v>2</v>
      </c>
      <c r="B6840" s="71" t="n">
        <v>46256</v>
      </c>
      <c r="C6840" s="0" t="n">
        <v>11</v>
      </c>
      <c r="D6840" s="0" t="s">
        <v>2471</v>
      </c>
      <c r="E6840" s="0" t="n">
        <v>1745</v>
      </c>
      <c r="F6840" s="0" t="s">
        <v>189</v>
      </c>
      <c r="I6840" s="0" t="n">
        <v>357892</v>
      </c>
      <c r="J6840" s="0" t="n">
        <v>61571</v>
      </c>
      <c r="K6840" s="0" t="n">
        <v>7896045112425</v>
      </c>
      <c r="L6840" s="0" t="s">
        <v>3333</v>
      </c>
      <c r="N6840" s="0" t="n">
        <v>18</v>
      </c>
      <c r="O6840" s="0" t="n">
        <v>13.55</v>
      </c>
      <c r="P6840" s="0" t="s">
        <v>2444</v>
      </c>
    </row>
    <row r="6841" customFormat="false" ht="15" hidden="false" customHeight="true" outlineLevel="0" collapsed="false">
      <c r="A6841" s="0" t="n">
        <v>2</v>
      </c>
      <c r="B6841" s="71" t="n">
        <v>46256</v>
      </c>
      <c r="C6841" s="0" t="n">
        <v>11</v>
      </c>
      <c r="D6841" s="0" t="s">
        <v>2471</v>
      </c>
      <c r="E6841" s="0" t="n">
        <v>1745</v>
      </c>
      <c r="F6841" s="0" t="s">
        <v>189</v>
      </c>
      <c r="I6841" s="0" t="n">
        <v>357892</v>
      </c>
      <c r="J6841" s="0" t="n">
        <v>76461</v>
      </c>
      <c r="K6841" s="0" t="n">
        <v>7896045115365</v>
      </c>
      <c r="L6841" s="0" t="s">
        <v>3337</v>
      </c>
      <c r="N6841" s="0" t="n">
        <v>12</v>
      </c>
      <c r="O6841" s="0" t="n">
        <v>97.75</v>
      </c>
      <c r="P6841" s="0" t="s">
        <v>2444</v>
      </c>
    </row>
    <row r="6842" customFormat="false" ht="15" hidden="false" customHeight="true" outlineLevel="0" collapsed="false">
      <c r="A6842" s="0" t="n">
        <v>2</v>
      </c>
      <c r="B6842" s="71" t="n">
        <v>46256</v>
      </c>
      <c r="C6842" s="0" t="n">
        <v>11</v>
      </c>
      <c r="D6842" s="0" t="s">
        <v>2471</v>
      </c>
      <c r="E6842" s="0" t="n">
        <v>1666</v>
      </c>
      <c r="F6842" s="0" t="s">
        <v>266</v>
      </c>
      <c r="I6842" s="0" t="n">
        <v>570907</v>
      </c>
      <c r="J6842" s="0" t="n">
        <v>24990</v>
      </c>
      <c r="K6842" s="0" t="n">
        <v>78935761</v>
      </c>
      <c r="L6842" s="0" t="s">
        <v>2746</v>
      </c>
      <c r="N6842" s="0" t="n">
        <v>200</v>
      </c>
      <c r="O6842" s="0" t="n">
        <v>3388.05</v>
      </c>
      <c r="P6842" s="0" t="s">
        <v>2444</v>
      </c>
    </row>
    <row r="6843" customFormat="false" ht="15" hidden="false" customHeight="true" outlineLevel="0" collapsed="false">
      <c r="A6843" s="0" t="n">
        <v>2</v>
      </c>
      <c r="B6843" s="71" t="n">
        <v>46256</v>
      </c>
      <c r="C6843" s="0" t="n">
        <v>11</v>
      </c>
      <c r="D6843" s="0" t="s">
        <v>2471</v>
      </c>
      <c r="E6843" s="0" t="n">
        <v>1666</v>
      </c>
      <c r="F6843" s="0" t="s">
        <v>266</v>
      </c>
      <c r="I6843" s="0" t="n">
        <v>570907</v>
      </c>
      <c r="J6843" s="0" t="n">
        <v>37535</v>
      </c>
      <c r="K6843" s="0" t="n">
        <v>78942073</v>
      </c>
      <c r="L6843" s="0" t="s">
        <v>2749</v>
      </c>
      <c r="N6843" s="0" t="n">
        <v>20</v>
      </c>
      <c r="O6843" s="0" t="n">
        <v>319.98</v>
      </c>
      <c r="P6843" s="0" t="s">
        <v>2444</v>
      </c>
    </row>
    <row r="6844" customFormat="false" ht="15" hidden="false" customHeight="true" outlineLevel="0" collapsed="false">
      <c r="A6844" s="0" t="n">
        <v>2</v>
      </c>
      <c r="B6844" s="71" t="n">
        <v>46256</v>
      </c>
      <c r="C6844" s="0" t="n">
        <v>11</v>
      </c>
      <c r="D6844" s="0" t="s">
        <v>2471</v>
      </c>
      <c r="E6844" s="0" t="n">
        <v>1666</v>
      </c>
      <c r="F6844" s="0" t="s">
        <v>266</v>
      </c>
      <c r="I6844" s="0" t="n">
        <v>570907</v>
      </c>
      <c r="J6844" s="0" t="n">
        <v>37536</v>
      </c>
      <c r="K6844" s="0" t="n">
        <v>78942066</v>
      </c>
      <c r="L6844" s="0" t="s">
        <v>2750</v>
      </c>
      <c r="N6844" s="0" t="n">
        <v>50</v>
      </c>
      <c r="O6844" s="0" t="n">
        <v>823.49</v>
      </c>
      <c r="P6844" s="0" t="s">
        <v>2444</v>
      </c>
    </row>
    <row r="6845" customFormat="false" ht="15" hidden="false" customHeight="true" outlineLevel="0" collapsed="false">
      <c r="A6845" s="0" t="n">
        <v>2</v>
      </c>
      <c r="B6845" s="71" t="n">
        <v>46256</v>
      </c>
      <c r="C6845" s="0" t="n">
        <v>11</v>
      </c>
      <c r="D6845" s="0" t="s">
        <v>2471</v>
      </c>
      <c r="E6845" s="0" t="n">
        <v>1666</v>
      </c>
      <c r="F6845" s="0" t="s">
        <v>266</v>
      </c>
      <c r="I6845" s="0" t="n">
        <v>570907</v>
      </c>
      <c r="J6845" s="0" t="n">
        <v>40750</v>
      </c>
      <c r="K6845" s="0" t="n">
        <v>78943032</v>
      </c>
      <c r="L6845" s="0" t="s">
        <v>2751</v>
      </c>
      <c r="N6845" s="0" t="n">
        <v>20</v>
      </c>
      <c r="O6845" s="0" t="n">
        <v>319.98</v>
      </c>
      <c r="P6845" s="0" t="s">
        <v>2444</v>
      </c>
    </row>
    <row r="6846" customFormat="false" ht="15" hidden="false" customHeight="true" outlineLevel="0" collapsed="false">
      <c r="A6846" s="0" t="n">
        <v>2</v>
      </c>
      <c r="B6846" s="71" t="n">
        <v>46256</v>
      </c>
      <c r="C6846" s="0" t="n">
        <v>11</v>
      </c>
      <c r="D6846" s="0" t="s">
        <v>2471</v>
      </c>
      <c r="E6846" s="0" t="n">
        <v>1666</v>
      </c>
      <c r="F6846" s="0" t="s">
        <v>266</v>
      </c>
      <c r="I6846" s="0" t="n">
        <v>570907</v>
      </c>
      <c r="J6846" s="0" t="n">
        <v>50760</v>
      </c>
      <c r="K6846" s="0" t="n">
        <v>78943087</v>
      </c>
      <c r="L6846" s="0" t="s">
        <v>2753</v>
      </c>
      <c r="N6846" s="0" t="n">
        <v>60</v>
      </c>
      <c r="O6846" s="0" t="n">
        <v>875.24</v>
      </c>
      <c r="P6846" s="0" t="s">
        <v>2444</v>
      </c>
    </row>
    <row r="6847" customFormat="false" ht="15" hidden="false" customHeight="true" outlineLevel="0" collapsed="false">
      <c r="A6847" s="0" t="n">
        <v>2</v>
      </c>
      <c r="B6847" s="71" t="n">
        <v>46256</v>
      </c>
      <c r="C6847" s="0" t="n">
        <v>11</v>
      </c>
      <c r="D6847" s="0" t="s">
        <v>2471</v>
      </c>
      <c r="E6847" s="0" t="n">
        <v>1666</v>
      </c>
      <c r="F6847" s="0" t="s">
        <v>266</v>
      </c>
      <c r="I6847" s="0" t="n">
        <v>570907</v>
      </c>
      <c r="J6847" s="0" t="n">
        <v>57287</v>
      </c>
      <c r="K6847" s="0" t="n">
        <v>78944251</v>
      </c>
      <c r="L6847" s="0" t="s">
        <v>2755</v>
      </c>
      <c r="N6847" s="0" t="n">
        <v>30</v>
      </c>
      <c r="O6847" s="0" t="n">
        <v>479.98</v>
      </c>
      <c r="P6847" s="0" t="s">
        <v>2444</v>
      </c>
    </row>
    <row r="6848" customFormat="false" ht="15" hidden="false" customHeight="true" outlineLevel="0" collapsed="false">
      <c r="A6848" s="0" t="n">
        <v>2</v>
      </c>
      <c r="B6848" s="71" t="n">
        <v>46256</v>
      </c>
      <c r="C6848" s="0" t="n">
        <v>11</v>
      </c>
      <c r="D6848" s="0" t="s">
        <v>2471</v>
      </c>
      <c r="E6848" s="0" t="n">
        <v>1666</v>
      </c>
      <c r="F6848" s="0" t="s">
        <v>266</v>
      </c>
      <c r="I6848" s="0" t="n">
        <v>570907</v>
      </c>
      <c r="J6848" s="0" t="n">
        <v>67177</v>
      </c>
      <c r="K6848" s="0" t="n">
        <v>78944466</v>
      </c>
      <c r="L6848" s="0" t="s">
        <v>2757</v>
      </c>
      <c r="N6848" s="0" t="n">
        <v>400</v>
      </c>
      <c r="O6848" s="0" t="n">
        <v>5270.33</v>
      </c>
      <c r="P6848" s="0" t="s">
        <v>2444</v>
      </c>
    </row>
    <row r="6849" customFormat="false" ht="15" hidden="false" customHeight="true" outlineLevel="0" collapsed="false">
      <c r="A6849" s="0" t="n">
        <v>2</v>
      </c>
      <c r="B6849" s="71" t="n">
        <v>46256</v>
      </c>
      <c r="C6849" s="0" t="n">
        <v>11</v>
      </c>
      <c r="D6849" s="0" t="s">
        <v>2471</v>
      </c>
      <c r="E6849" s="0" t="n">
        <v>1666</v>
      </c>
      <c r="F6849" s="0" t="s">
        <v>266</v>
      </c>
      <c r="I6849" s="0" t="n">
        <v>570907</v>
      </c>
      <c r="J6849" s="0" t="n">
        <v>68903</v>
      </c>
      <c r="K6849" s="0" t="n">
        <v>78944473</v>
      </c>
      <c r="L6849" s="0" t="s">
        <v>4698</v>
      </c>
      <c r="N6849" s="0" t="n">
        <v>20</v>
      </c>
      <c r="O6849" s="0" t="n">
        <v>263.52</v>
      </c>
      <c r="P6849" s="0" t="s">
        <v>2444</v>
      </c>
    </row>
    <row r="6850" customFormat="false" ht="15" hidden="false" customHeight="true" outlineLevel="0" collapsed="false">
      <c r="A6850" s="0" t="n">
        <v>2</v>
      </c>
      <c r="B6850" s="71" t="n">
        <v>46256</v>
      </c>
      <c r="C6850" s="0" t="n">
        <v>11</v>
      </c>
      <c r="D6850" s="0" t="s">
        <v>2471</v>
      </c>
      <c r="E6850" s="0" t="n">
        <v>1666</v>
      </c>
      <c r="F6850" s="0" t="s">
        <v>266</v>
      </c>
      <c r="I6850" s="0" t="n">
        <v>570907</v>
      </c>
      <c r="J6850" s="0" t="n">
        <v>71518</v>
      </c>
      <c r="K6850" s="0" t="n">
        <v>78946200</v>
      </c>
      <c r="L6850" s="0" t="s">
        <v>2759</v>
      </c>
      <c r="N6850" s="0" t="n">
        <v>40</v>
      </c>
      <c r="O6850" s="0" t="n">
        <v>414.1</v>
      </c>
      <c r="P6850" s="0" t="s">
        <v>2444</v>
      </c>
    </row>
    <row r="6851" customFormat="false" ht="15" hidden="false" customHeight="true" outlineLevel="0" collapsed="false">
      <c r="A6851" s="0" t="n">
        <v>2</v>
      </c>
      <c r="B6851" s="71" t="n">
        <v>46256</v>
      </c>
      <c r="C6851" s="0" t="n">
        <v>11</v>
      </c>
      <c r="D6851" s="0" t="s">
        <v>2471</v>
      </c>
      <c r="E6851" s="0" t="n">
        <v>1666</v>
      </c>
      <c r="F6851" s="0" t="s">
        <v>266</v>
      </c>
      <c r="I6851" s="0" t="n">
        <v>570907</v>
      </c>
      <c r="J6851" s="0" t="n">
        <v>77084</v>
      </c>
      <c r="K6851" s="0" t="n">
        <v>78947535</v>
      </c>
      <c r="L6851" s="0" t="s">
        <v>2760</v>
      </c>
      <c r="N6851" s="0" t="n">
        <v>50</v>
      </c>
      <c r="O6851" s="0" t="n">
        <v>870.54</v>
      </c>
      <c r="P6851" s="0" t="s">
        <v>2444</v>
      </c>
    </row>
    <row r="6852" customFormat="false" ht="15" hidden="false" customHeight="true" outlineLevel="0" collapsed="false">
      <c r="A6852" s="0" t="n">
        <v>2</v>
      </c>
      <c r="B6852" s="71" t="n">
        <v>46256</v>
      </c>
      <c r="C6852" s="0" t="n">
        <v>11</v>
      </c>
      <c r="D6852" s="0" t="s">
        <v>2471</v>
      </c>
      <c r="E6852" s="0" t="n">
        <v>1666</v>
      </c>
      <c r="F6852" s="0" t="s">
        <v>266</v>
      </c>
      <c r="I6852" s="0" t="n">
        <v>570907</v>
      </c>
      <c r="J6852" s="0" t="n">
        <v>78026</v>
      </c>
      <c r="K6852" s="0" t="n">
        <v>78947504</v>
      </c>
      <c r="L6852" s="0" t="s">
        <v>2761</v>
      </c>
      <c r="N6852" s="0" t="n">
        <v>80</v>
      </c>
      <c r="O6852" s="0" t="n">
        <v>1204.64</v>
      </c>
      <c r="P6852" s="0" t="s">
        <v>2444</v>
      </c>
    </row>
    <row r="6853" customFormat="false" ht="15" hidden="false" customHeight="true" outlineLevel="0" collapsed="false">
      <c r="A6853" s="0" t="n">
        <v>2</v>
      </c>
      <c r="B6853" s="71" t="n">
        <v>46256</v>
      </c>
      <c r="C6853" s="0" t="n">
        <v>11</v>
      </c>
      <c r="D6853" s="0" t="s">
        <v>2471</v>
      </c>
      <c r="E6853" s="0" t="n">
        <v>1666</v>
      </c>
      <c r="F6853" s="0" t="s">
        <v>266</v>
      </c>
      <c r="I6853" s="0" t="n">
        <v>570907</v>
      </c>
      <c r="J6853" s="0" t="n">
        <v>78629</v>
      </c>
      <c r="K6853" s="0" t="n">
        <v>786300</v>
      </c>
      <c r="L6853" s="0" t="s">
        <v>2763</v>
      </c>
      <c r="N6853" s="0" t="n">
        <v>340</v>
      </c>
      <c r="O6853" s="0" t="n">
        <v>4159.78</v>
      </c>
      <c r="P6853" s="0" t="s">
        <v>2444</v>
      </c>
    </row>
    <row r="6854" customFormat="false" ht="15" hidden="false" customHeight="true" outlineLevel="0" collapsed="false">
      <c r="A6854" s="0" t="n">
        <v>2</v>
      </c>
      <c r="B6854" s="71" t="n">
        <v>46256</v>
      </c>
      <c r="C6854" s="0" t="n">
        <v>11</v>
      </c>
      <c r="D6854" s="0" t="s">
        <v>2471</v>
      </c>
      <c r="E6854" s="0" t="n">
        <v>1666</v>
      </c>
      <c r="F6854" s="0" t="s">
        <v>266</v>
      </c>
      <c r="I6854" s="0" t="n">
        <v>570907</v>
      </c>
      <c r="J6854" s="0" t="n">
        <v>81691</v>
      </c>
      <c r="K6854" s="0" t="n">
        <v>78947610</v>
      </c>
      <c r="L6854" s="0" t="s">
        <v>4053</v>
      </c>
      <c r="N6854" s="0" t="n">
        <v>300</v>
      </c>
      <c r="O6854" s="0" t="n">
        <v>3105.73</v>
      </c>
      <c r="P6854" s="0" t="s">
        <v>2444</v>
      </c>
    </row>
    <row r="6855" customFormat="false" ht="15" hidden="false" customHeight="true" outlineLevel="0" collapsed="false">
      <c r="A6855" s="0" t="n">
        <v>2</v>
      </c>
      <c r="B6855" s="71" t="n">
        <v>46256</v>
      </c>
      <c r="C6855" s="0" t="n">
        <v>39</v>
      </c>
      <c r="D6855" s="0" t="s">
        <v>3298</v>
      </c>
      <c r="E6855" s="0" t="n">
        <v>1713</v>
      </c>
      <c r="F6855" s="0" t="s">
        <v>104</v>
      </c>
      <c r="I6855" s="0" t="n">
        <v>13976</v>
      </c>
      <c r="J6855" s="0" t="n">
        <v>66302</v>
      </c>
      <c r="K6855" s="0" t="n">
        <v>7892183109679</v>
      </c>
      <c r="L6855" s="0" t="s">
        <v>5076</v>
      </c>
      <c r="N6855" s="0" t="n">
        <v>3</v>
      </c>
      <c r="O6855" s="0" t="n">
        <v>51</v>
      </c>
      <c r="P6855" s="0" t="s">
        <v>2444</v>
      </c>
    </row>
    <row r="6856" customFormat="false" ht="15" hidden="false" customHeight="true" outlineLevel="0" collapsed="false">
      <c r="A6856" s="0" t="n">
        <v>2</v>
      </c>
      <c r="B6856" s="71" t="n">
        <v>46256</v>
      </c>
      <c r="C6856" s="0" t="n">
        <v>39</v>
      </c>
      <c r="D6856" s="0" t="s">
        <v>3298</v>
      </c>
      <c r="E6856" s="0" t="n">
        <v>1713</v>
      </c>
      <c r="F6856" s="0" t="s">
        <v>104</v>
      </c>
      <c r="I6856" s="0" t="n">
        <v>13976</v>
      </c>
      <c r="J6856" s="0" t="n">
        <v>78229</v>
      </c>
      <c r="K6856" s="0" t="n">
        <v>7892183674986</v>
      </c>
      <c r="L6856" s="0" t="s">
        <v>5077</v>
      </c>
      <c r="N6856" s="0" t="n">
        <v>48</v>
      </c>
      <c r="O6856" s="0" t="n">
        <v>12</v>
      </c>
      <c r="P6856" s="0" t="s">
        <v>2444</v>
      </c>
    </row>
    <row r="6857" customFormat="false" ht="15" hidden="false" customHeight="true" outlineLevel="0" collapsed="false">
      <c r="A6857" s="0" t="n">
        <v>2</v>
      </c>
      <c r="B6857" s="71" t="n">
        <v>46256</v>
      </c>
      <c r="C6857" s="0" t="n">
        <v>39</v>
      </c>
      <c r="D6857" s="0" t="s">
        <v>3298</v>
      </c>
      <c r="E6857" s="0" t="n">
        <v>1713</v>
      </c>
      <c r="F6857" s="0" t="s">
        <v>104</v>
      </c>
      <c r="I6857" s="0" t="n">
        <v>13976</v>
      </c>
      <c r="J6857" s="0" t="n">
        <v>78230</v>
      </c>
      <c r="K6857" s="0" t="n">
        <v>7892183315186</v>
      </c>
      <c r="L6857" s="0" t="s">
        <v>5078</v>
      </c>
      <c r="N6857" s="0" t="n">
        <v>48</v>
      </c>
      <c r="O6857" s="0" t="n">
        <v>16.8</v>
      </c>
      <c r="P6857" s="0" t="s">
        <v>2444</v>
      </c>
    </row>
    <row r="6858" customFormat="false" ht="15" hidden="false" customHeight="true" outlineLevel="0" collapsed="false">
      <c r="A6858" s="0" t="n">
        <v>2</v>
      </c>
      <c r="B6858" s="71" t="n">
        <v>46258</v>
      </c>
      <c r="C6858" s="0" t="n">
        <v>6</v>
      </c>
      <c r="D6858" s="0" t="s">
        <v>2553</v>
      </c>
      <c r="E6858" s="0" t="n">
        <v>48</v>
      </c>
      <c r="F6858" s="0" t="s">
        <v>153</v>
      </c>
      <c r="I6858" s="0" t="n">
        <v>2625</v>
      </c>
      <c r="J6858" s="0" t="n">
        <v>42564</v>
      </c>
      <c r="K6858" s="0" t="n">
        <v>574</v>
      </c>
      <c r="L6858" s="0" t="s">
        <v>2534</v>
      </c>
      <c r="N6858" s="0" t="n">
        <v>15</v>
      </c>
      <c r="O6858" s="0" t="n">
        <v>225</v>
      </c>
      <c r="P6858" s="0" t="s">
        <v>2444</v>
      </c>
    </row>
    <row r="6859" customFormat="false" ht="15" hidden="false" customHeight="true" outlineLevel="0" collapsed="false">
      <c r="A6859" s="0" t="n">
        <v>2</v>
      </c>
      <c r="B6859" s="71" t="n">
        <v>46258</v>
      </c>
      <c r="C6859" s="0" t="n">
        <v>11</v>
      </c>
      <c r="D6859" s="0" t="s">
        <v>2471</v>
      </c>
      <c r="E6859" s="0" t="n">
        <v>10096</v>
      </c>
      <c r="F6859" s="0" t="s">
        <v>622</v>
      </c>
      <c r="I6859" s="0" t="n">
        <v>201</v>
      </c>
      <c r="J6859" s="0" t="n">
        <v>61580</v>
      </c>
      <c r="K6859" s="0" t="n">
        <v>2258157</v>
      </c>
      <c r="L6859" s="0" t="s">
        <v>2509</v>
      </c>
      <c r="N6859" s="0" t="n">
        <v>10</v>
      </c>
      <c r="O6859" s="0" t="n">
        <v>120</v>
      </c>
      <c r="P6859" s="0" t="s">
        <v>2444</v>
      </c>
    </row>
    <row r="6860" customFormat="false" ht="15" hidden="false" customHeight="true" outlineLevel="0" collapsed="false">
      <c r="A6860" s="0" t="n">
        <v>2</v>
      </c>
      <c r="B6860" s="71" t="n">
        <v>46258</v>
      </c>
      <c r="C6860" s="0" t="n">
        <v>11</v>
      </c>
      <c r="D6860" s="0" t="s">
        <v>2471</v>
      </c>
      <c r="E6860" s="0" t="n">
        <v>10096</v>
      </c>
      <c r="F6860" s="0" t="s">
        <v>622</v>
      </c>
      <c r="I6860" s="0" t="n">
        <v>201</v>
      </c>
      <c r="J6860" s="0" t="n">
        <v>61597</v>
      </c>
      <c r="K6860" s="0" t="n">
        <v>2258188</v>
      </c>
      <c r="L6860" s="0" t="s">
        <v>2510</v>
      </c>
      <c r="N6860" s="0" t="n">
        <v>5</v>
      </c>
      <c r="O6860" s="0" t="n">
        <v>20</v>
      </c>
      <c r="P6860" s="0" t="s">
        <v>2444</v>
      </c>
    </row>
    <row r="6861" customFormat="false" ht="15" hidden="false" customHeight="true" outlineLevel="0" collapsed="false">
      <c r="A6861" s="0" t="n">
        <v>2</v>
      </c>
      <c r="B6861" s="71" t="n">
        <v>46258</v>
      </c>
      <c r="C6861" s="0" t="n">
        <v>11</v>
      </c>
      <c r="D6861" s="0" t="s">
        <v>2471</v>
      </c>
      <c r="E6861" s="0" t="n">
        <v>1899</v>
      </c>
      <c r="F6861" s="0" t="s">
        <v>204</v>
      </c>
      <c r="I6861" s="0" t="n">
        <v>772</v>
      </c>
      <c r="J6861" s="0" t="n">
        <v>44588</v>
      </c>
      <c r="K6861" s="0" t="n">
        <v>7898904331091</v>
      </c>
      <c r="L6861" s="0" t="s">
        <v>2443</v>
      </c>
      <c r="N6861" s="0" t="n">
        <v>11</v>
      </c>
      <c r="O6861" s="0" t="n">
        <v>54.89</v>
      </c>
      <c r="P6861" s="0" t="s">
        <v>2444</v>
      </c>
    </row>
    <row r="6862" customFormat="false" ht="15" hidden="false" customHeight="true" outlineLevel="0" collapsed="false">
      <c r="A6862" s="0" t="n">
        <v>2</v>
      </c>
      <c r="B6862" s="71" t="n">
        <v>46258</v>
      </c>
      <c r="C6862" s="0" t="n">
        <v>11</v>
      </c>
      <c r="D6862" s="0" t="s">
        <v>2471</v>
      </c>
      <c r="E6862" s="0" t="n">
        <v>1899</v>
      </c>
      <c r="F6862" s="0" t="s">
        <v>204</v>
      </c>
      <c r="I6862" s="0" t="n">
        <v>772</v>
      </c>
      <c r="J6862" s="0" t="n">
        <v>77463</v>
      </c>
      <c r="K6862" s="0" t="n">
        <v>774642</v>
      </c>
      <c r="L6862" s="0" t="s">
        <v>2445</v>
      </c>
      <c r="N6862" s="0" t="n">
        <v>30</v>
      </c>
      <c r="O6862" s="0" t="n">
        <v>135</v>
      </c>
      <c r="P6862" s="0" t="s">
        <v>2444</v>
      </c>
    </row>
    <row r="6863" customFormat="false" ht="15" hidden="false" customHeight="true" outlineLevel="0" collapsed="false">
      <c r="A6863" s="0" t="n">
        <v>2</v>
      </c>
      <c r="B6863" s="71" t="n">
        <v>46258</v>
      </c>
      <c r="C6863" s="0" t="n">
        <v>11</v>
      </c>
      <c r="D6863" s="0" t="s">
        <v>2471</v>
      </c>
      <c r="E6863" s="0" t="n">
        <v>1899</v>
      </c>
      <c r="F6863" s="0" t="s">
        <v>204</v>
      </c>
      <c r="I6863" s="0" t="n">
        <v>772</v>
      </c>
      <c r="J6863" s="0" t="n">
        <v>77465</v>
      </c>
      <c r="K6863" s="0" t="n">
        <v>774666</v>
      </c>
      <c r="L6863" s="0" t="s">
        <v>2446</v>
      </c>
      <c r="N6863" s="0" t="n">
        <v>8</v>
      </c>
      <c r="O6863" s="0" t="n">
        <v>39.92</v>
      </c>
      <c r="P6863" s="0" t="s">
        <v>2444</v>
      </c>
    </row>
    <row r="6864" customFormat="false" ht="15" hidden="false" customHeight="true" outlineLevel="0" collapsed="false">
      <c r="A6864" s="0" t="n">
        <v>2</v>
      </c>
      <c r="B6864" s="71" t="n">
        <v>46258</v>
      </c>
      <c r="C6864" s="0" t="n">
        <v>11</v>
      </c>
      <c r="D6864" s="0" t="s">
        <v>2471</v>
      </c>
      <c r="E6864" s="0" t="n">
        <v>1899</v>
      </c>
      <c r="F6864" s="0" t="s">
        <v>204</v>
      </c>
      <c r="I6864" s="0" t="n">
        <v>772</v>
      </c>
      <c r="J6864" s="0" t="n">
        <v>77903</v>
      </c>
      <c r="K6864" s="0" t="n">
        <v>779043</v>
      </c>
      <c r="L6864" s="0" t="s">
        <v>2945</v>
      </c>
      <c r="N6864" s="0" t="n">
        <v>5</v>
      </c>
      <c r="O6864" s="0" t="n">
        <v>22.5</v>
      </c>
      <c r="P6864" s="0" t="s">
        <v>2444</v>
      </c>
    </row>
    <row r="6865" customFormat="false" ht="15" hidden="false" customHeight="true" outlineLevel="0" collapsed="false">
      <c r="A6865" s="0" t="n">
        <v>2</v>
      </c>
      <c r="B6865" s="71" t="n">
        <v>46258</v>
      </c>
      <c r="C6865" s="0" t="n">
        <v>11</v>
      </c>
      <c r="D6865" s="0" t="s">
        <v>2471</v>
      </c>
      <c r="E6865" s="0" t="n">
        <v>1899</v>
      </c>
      <c r="F6865" s="0" t="s">
        <v>204</v>
      </c>
      <c r="I6865" s="0" t="n">
        <v>772</v>
      </c>
      <c r="J6865" s="0" t="n">
        <v>78013</v>
      </c>
      <c r="K6865" s="0" t="n">
        <v>780148</v>
      </c>
      <c r="L6865" s="0" t="s">
        <v>2584</v>
      </c>
      <c r="N6865" s="0" t="n">
        <v>3</v>
      </c>
      <c r="O6865" s="0" t="n">
        <v>13.5</v>
      </c>
      <c r="P6865" s="0" t="s">
        <v>2444</v>
      </c>
    </row>
    <row r="6866" customFormat="false" ht="15" hidden="false" customHeight="true" outlineLevel="0" collapsed="false">
      <c r="A6866" s="0" t="n">
        <v>2</v>
      </c>
      <c r="B6866" s="71" t="n">
        <v>46258</v>
      </c>
      <c r="C6866" s="0" t="n">
        <v>11</v>
      </c>
      <c r="D6866" s="0" t="s">
        <v>2471</v>
      </c>
      <c r="E6866" s="0" t="n">
        <v>1625</v>
      </c>
      <c r="F6866" s="0" t="s">
        <v>270</v>
      </c>
      <c r="I6866" s="0" t="n">
        <v>15127</v>
      </c>
      <c r="J6866" s="0" t="n">
        <v>29079</v>
      </c>
      <c r="K6866" s="0" t="n">
        <v>55515</v>
      </c>
      <c r="L6866" s="0" t="s">
        <v>2449</v>
      </c>
      <c r="N6866" s="0" t="n">
        <v>78.6</v>
      </c>
      <c r="O6866" s="0" t="n">
        <v>2554.5</v>
      </c>
      <c r="P6866" s="0" t="s">
        <v>2444</v>
      </c>
    </row>
    <row r="6867" customFormat="false" ht="15" hidden="false" customHeight="true" outlineLevel="0" collapsed="false">
      <c r="A6867" s="0" t="n">
        <v>2</v>
      </c>
      <c r="B6867" s="71" t="n">
        <v>46258</v>
      </c>
      <c r="C6867" s="0" t="n">
        <v>11</v>
      </c>
      <c r="D6867" s="0" t="s">
        <v>2471</v>
      </c>
      <c r="E6867" s="0" t="n">
        <v>1625</v>
      </c>
      <c r="F6867" s="0" t="s">
        <v>270</v>
      </c>
      <c r="I6867" s="0" t="n">
        <v>15127</v>
      </c>
      <c r="J6867" s="0" t="n">
        <v>29080</v>
      </c>
      <c r="K6867" s="0" t="n">
        <v>55516</v>
      </c>
      <c r="L6867" s="0" t="s">
        <v>2450</v>
      </c>
      <c r="N6867" s="0" t="n">
        <v>70.6</v>
      </c>
      <c r="O6867" s="0" t="n">
        <v>1609.68</v>
      </c>
      <c r="P6867" s="0" t="s">
        <v>2444</v>
      </c>
    </row>
    <row r="6868" customFormat="false" ht="15" hidden="false" customHeight="true" outlineLevel="0" collapsed="false">
      <c r="A6868" s="0" t="n">
        <v>2</v>
      </c>
      <c r="B6868" s="71" t="n">
        <v>46258</v>
      </c>
      <c r="C6868" s="0" t="n">
        <v>11</v>
      </c>
      <c r="D6868" s="0" t="s">
        <v>2471</v>
      </c>
      <c r="E6868" s="0" t="n">
        <v>1123</v>
      </c>
      <c r="F6868" s="0" t="s">
        <v>443</v>
      </c>
      <c r="I6868" s="0" t="n">
        <v>46622</v>
      </c>
      <c r="J6868" s="0" t="n">
        <v>72629</v>
      </c>
      <c r="K6868" s="0" t="n">
        <v>7898055455356</v>
      </c>
      <c r="L6868" s="0" t="s">
        <v>2684</v>
      </c>
      <c r="N6868" s="0" t="n">
        <v>64</v>
      </c>
      <c r="O6868" s="0" t="n">
        <v>460</v>
      </c>
      <c r="P6868" s="0" t="s">
        <v>2444</v>
      </c>
    </row>
    <row r="6869" customFormat="false" ht="15" hidden="false" customHeight="true" outlineLevel="0" collapsed="false">
      <c r="A6869" s="0" t="n">
        <v>2</v>
      </c>
      <c r="B6869" s="71" t="n">
        <v>46258</v>
      </c>
      <c r="C6869" s="0" t="n">
        <v>11</v>
      </c>
      <c r="D6869" s="0" t="s">
        <v>2471</v>
      </c>
      <c r="E6869" s="0" t="n">
        <v>1628</v>
      </c>
      <c r="F6869" s="0" t="s">
        <v>217</v>
      </c>
      <c r="I6869" s="0" t="n">
        <v>91661</v>
      </c>
      <c r="J6869" s="0" t="n">
        <v>10618</v>
      </c>
      <c r="K6869" s="0" t="n">
        <v>78900134</v>
      </c>
      <c r="L6869" s="0" t="s">
        <v>2472</v>
      </c>
      <c r="N6869" s="0" t="n">
        <v>10</v>
      </c>
      <c r="O6869" s="0" t="n">
        <v>166.21</v>
      </c>
      <c r="P6869" s="0" t="s">
        <v>2444</v>
      </c>
    </row>
    <row r="6870" customFormat="false" ht="15" hidden="false" customHeight="true" outlineLevel="0" collapsed="false">
      <c r="A6870" s="0" t="n">
        <v>2</v>
      </c>
      <c r="B6870" s="71" t="n">
        <v>46258</v>
      </c>
      <c r="C6870" s="0" t="n">
        <v>11</v>
      </c>
      <c r="D6870" s="0" t="s">
        <v>2471</v>
      </c>
      <c r="E6870" s="0" t="n">
        <v>1628</v>
      </c>
      <c r="F6870" s="0" t="s">
        <v>217</v>
      </c>
      <c r="I6870" s="0" t="n">
        <v>91661</v>
      </c>
      <c r="J6870" s="0" t="n">
        <v>20859</v>
      </c>
      <c r="K6870" s="0" t="n">
        <v>78903418</v>
      </c>
      <c r="L6870" s="0" t="s">
        <v>2473</v>
      </c>
      <c r="N6870" s="0" t="n">
        <v>10</v>
      </c>
      <c r="O6870" s="0" t="n">
        <v>166.21</v>
      </c>
      <c r="P6870" s="0" t="s">
        <v>2444</v>
      </c>
    </row>
    <row r="6871" customFormat="false" ht="15" hidden="false" customHeight="true" outlineLevel="0" collapsed="false">
      <c r="A6871" s="0" t="n">
        <v>2</v>
      </c>
      <c r="B6871" s="71" t="n">
        <v>46258</v>
      </c>
      <c r="C6871" s="0" t="n">
        <v>11</v>
      </c>
      <c r="D6871" s="0" t="s">
        <v>2471</v>
      </c>
      <c r="E6871" s="0" t="n">
        <v>1628</v>
      </c>
      <c r="F6871" s="0" t="s">
        <v>217</v>
      </c>
      <c r="I6871" s="0" t="n">
        <v>91661</v>
      </c>
      <c r="J6871" s="0" t="n">
        <v>81100</v>
      </c>
      <c r="K6871" s="0" t="n">
        <v>78948884</v>
      </c>
      <c r="L6871" s="0" t="s">
        <v>2476</v>
      </c>
      <c r="N6871" s="0" t="n">
        <v>10</v>
      </c>
      <c r="O6871" s="0" t="n">
        <v>129.26</v>
      </c>
      <c r="P6871" s="0" t="s">
        <v>2444</v>
      </c>
    </row>
    <row r="6872" customFormat="false" ht="15" hidden="false" customHeight="true" outlineLevel="0" collapsed="false">
      <c r="A6872" s="0" t="n">
        <v>2</v>
      </c>
      <c r="B6872" s="71" t="n">
        <v>46258</v>
      </c>
      <c r="C6872" s="0" t="n">
        <v>11</v>
      </c>
      <c r="D6872" s="0" t="s">
        <v>2471</v>
      </c>
      <c r="E6872" s="0" t="n">
        <v>1628</v>
      </c>
      <c r="F6872" s="0" t="s">
        <v>217</v>
      </c>
      <c r="I6872" s="0" t="n">
        <v>91661</v>
      </c>
      <c r="J6872" s="0" t="n">
        <v>81646</v>
      </c>
      <c r="K6872" s="0" t="n">
        <v>78943438</v>
      </c>
      <c r="L6872" s="0" t="s">
        <v>5079</v>
      </c>
      <c r="N6872" s="0" t="n">
        <v>10</v>
      </c>
      <c r="O6872" s="0" t="n">
        <v>156.97</v>
      </c>
      <c r="P6872" s="0" t="s">
        <v>2444</v>
      </c>
    </row>
    <row r="6873" customFormat="false" ht="15" hidden="false" customHeight="true" outlineLevel="0" collapsed="false">
      <c r="A6873" s="0" t="n">
        <v>2</v>
      </c>
      <c r="B6873" s="71" t="n">
        <v>46258</v>
      </c>
      <c r="C6873" s="0" t="n">
        <v>11</v>
      </c>
      <c r="D6873" s="0" t="s">
        <v>2471</v>
      </c>
      <c r="E6873" s="0" t="n">
        <v>1683</v>
      </c>
      <c r="F6873" s="0" t="s">
        <v>406</v>
      </c>
      <c r="I6873" s="0" t="n">
        <v>1668483</v>
      </c>
      <c r="J6873" s="0" t="n">
        <v>109791</v>
      </c>
      <c r="K6873" s="0" t="n">
        <v>9667</v>
      </c>
      <c r="L6873" s="0" t="s">
        <v>2465</v>
      </c>
      <c r="N6873" s="0" t="n">
        <v>20</v>
      </c>
      <c r="O6873" s="0" t="n">
        <v>30</v>
      </c>
      <c r="P6873" s="0" t="s">
        <v>2444</v>
      </c>
    </row>
    <row r="6874" customFormat="false" ht="15" hidden="false" customHeight="true" outlineLevel="0" collapsed="false">
      <c r="A6874" s="0" t="n">
        <v>2</v>
      </c>
      <c r="B6874" s="71" t="n">
        <v>46258</v>
      </c>
      <c r="C6874" s="0" t="n">
        <v>11</v>
      </c>
      <c r="D6874" s="0" t="s">
        <v>2471</v>
      </c>
      <c r="E6874" s="0" t="n">
        <v>1683</v>
      </c>
      <c r="F6874" s="0" t="s">
        <v>406</v>
      </c>
      <c r="I6874" s="0" t="n">
        <v>1668483</v>
      </c>
      <c r="J6874" s="0" t="n">
        <v>37359</v>
      </c>
      <c r="K6874" s="0" t="n">
        <v>55526</v>
      </c>
      <c r="L6874" s="0" t="s">
        <v>2466</v>
      </c>
      <c r="N6874" s="0" t="n">
        <v>5</v>
      </c>
      <c r="O6874" s="0" t="n">
        <v>20</v>
      </c>
      <c r="P6874" s="0" t="s">
        <v>2444</v>
      </c>
    </row>
    <row r="6875" customFormat="false" ht="15" hidden="false" customHeight="true" outlineLevel="0" collapsed="false">
      <c r="A6875" s="0" t="n">
        <v>2</v>
      </c>
      <c r="B6875" s="71" t="n">
        <v>46258</v>
      </c>
      <c r="C6875" s="0" t="n">
        <v>11</v>
      </c>
      <c r="D6875" s="0" t="s">
        <v>2471</v>
      </c>
      <c r="E6875" s="0" t="n">
        <v>1683</v>
      </c>
      <c r="F6875" s="0" t="s">
        <v>406</v>
      </c>
      <c r="I6875" s="0" t="n">
        <v>1668483</v>
      </c>
      <c r="J6875" s="0" t="n">
        <v>37361</v>
      </c>
      <c r="K6875" s="0" t="n">
        <v>2240817</v>
      </c>
      <c r="L6875" s="0" t="s">
        <v>2467</v>
      </c>
      <c r="N6875" s="0" t="n">
        <v>50</v>
      </c>
      <c r="O6875" s="0" t="n">
        <v>90</v>
      </c>
      <c r="P6875" s="0" t="s">
        <v>2444</v>
      </c>
    </row>
    <row r="6876" customFormat="false" ht="15" hidden="false" customHeight="true" outlineLevel="0" collapsed="false">
      <c r="A6876" s="0" t="n">
        <v>2</v>
      </c>
      <c r="B6876" s="71" t="n">
        <v>46258</v>
      </c>
      <c r="C6876" s="0" t="n">
        <v>22</v>
      </c>
      <c r="D6876" s="0" t="s">
        <v>2479</v>
      </c>
      <c r="E6876" s="0" t="n">
        <v>48</v>
      </c>
      <c r="F6876" s="0" t="s">
        <v>153</v>
      </c>
      <c r="I6876" s="0" t="n">
        <v>2627</v>
      </c>
      <c r="J6876" s="0" t="n">
        <v>100000</v>
      </c>
      <c r="K6876" s="0" t="n">
        <v>1</v>
      </c>
      <c r="L6876" s="0" t="s">
        <v>2480</v>
      </c>
      <c r="N6876" s="0" t="n">
        <v>3.5</v>
      </c>
      <c r="O6876" s="0" t="n">
        <v>68.23</v>
      </c>
      <c r="P6876" s="0" t="s">
        <v>2444</v>
      </c>
    </row>
    <row r="6877" customFormat="false" ht="15" hidden="false" customHeight="true" outlineLevel="0" collapsed="false">
      <c r="A6877" s="0" t="n">
        <v>2</v>
      </c>
      <c r="B6877" s="71" t="n">
        <v>46258</v>
      </c>
      <c r="C6877" s="0" t="n">
        <v>22</v>
      </c>
      <c r="D6877" s="0" t="s">
        <v>2479</v>
      </c>
      <c r="E6877" s="0" t="n">
        <v>48</v>
      </c>
      <c r="F6877" s="0" t="s">
        <v>153</v>
      </c>
      <c r="I6877" s="0" t="n">
        <v>2627</v>
      </c>
      <c r="J6877" s="0" t="n">
        <v>100000</v>
      </c>
      <c r="K6877" s="0" t="n">
        <v>1</v>
      </c>
      <c r="L6877" s="0" t="s">
        <v>2480</v>
      </c>
      <c r="N6877" s="0" t="n">
        <v>3.2</v>
      </c>
      <c r="O6877" s="0" t="n">
        <v>63.09</v>
      </c>
      <c r="P6877" s="0" t="s">
        <v>2444</v>
      </c>
    </row>
    <row r="6878" customFormat="false" ht="15" hidden="false" customHeight="true" outlineLevel="0" collapsed="false">
      <c r="A6878" s="0" t="n">
        <v>2</v>
      </c>
      <c r="B6878" s="71" t="n">
        <v>46258</v>
      </c>
      <c r="C6878" s="0" t="n">
        <v>22</v>
      </c>
      <c r="D6878" s="0" t="s">
        <v>2479</v>
      </c>
      <c r="E6878" s="0" t="n">
        <v>48</v>
      </c>
      <c r="F6878" s="0" t="s">
        <v>153</v>
      </c>
      <c r="I6878" s="0" t="n">
        <v>2627</v>
      </c>
      <c r="J6878" s="0" t="n">
        <v>100001</v>
      </c>
      <c r="K6878" s="0" t="n">
        <v>2</v>
      </c>
      <c r="L6878" s="0" t="s">
        <v>2481</v>
      </c>
      <c r="N6878" s="0" t="n">
        <v>10.45</v>
      </c>
      <c r="O6878" s="0" t="n">
        <v>220.71</v>
      </c>
      <c r="P6878" s="0" t="s">
        <v>2444</v>
      </c>
    </row>
    <row r="6879" customFormat="false" ht="15" hidden="false" customHeight="true" outlineLevel="0" collapsed="false">
      <c r="A6879" s="0" t="n">
        <v>2</v>
      </c>
      <c r="B6879" s="71" t="n">
        <v>46258</v>
      </c>
      <c r="C6879" s="0" t="n">
        <v>22</v>
      </c>
      <c r="D6879" s="0" t="s">
        <v>2479</v>
      </c>
      <c r="E6879" s="0" t="n">
        <v>48</v>
      </c>
      <c r="F6879" s="0" t="s">
        <v>153</v>
      </c>
      <c r="I6879" s="0" t="n">
        <v>2627</v>
      </c>
      <c r="J6879" s="0" t="n">
        <v>100002</v>
      </c>
      <c r="K6879" s="0" t="n">
        <v>3</v>
      </c>
      <c r="L6879" s="0" t="s">
        <v>2482</v>
      </c>
      <c r="N6879" s="0" t="n">
        <v>27.44</v>
      </c>
      <c r="O6879" s="0" t="n">
        <v>668.74</v>
      </c>
      <c r="P6879" s="0" t="s">
        <v>2444</v>
      </c>
    </row>
    <row r="6880" customFormat="false" ht="15" hidden="false" customHeight="true" outlineLevel="0" collapsed="false">
      <c r="A6880" s="0" t="n">
        <v>2</v>
      </c>
      <c r="B6880" s="71" t="n">
        <v>46258</v>
      </c>
      <c r="C6880" s="0" t="n">
        <v>22</v>
      </c>
      <c r="D6880" s="0" t="s">
        <v>2479</v>
      </c>
      <c r="E6880" s="0" t="n">
        <v>48</v>
      </c>
      <c r="F6880" s="0" t="s">
        <v>153</v>
      </c>
      <c r="I6880" s="0" t="n">
        <v>2627</v>
      </c>
      <c r="J6880" s="0" t="n">
        <v>100003</v>
      </c>
      <c r="K6880" s="0" t="n">
        <v>4</v>
      </c>
      <c r="L6880" s="0" t="s">
        <v>2483</v>
      </c>
      <c r="N6880" s="0" t="n">
        <v>13.922</v>
      </c>
      <c r="O6880" s="0" t="n">
        <v>361.92</v>
      </c>
      <c r="P6880" s="0" t="s">
        <v>2444</v>
      </c>
    </row>
    <row r="6881" customFormat="false" ht="15" hidden="false" customHeight="true" outlineLevel="0" collapsed="false">
      <c r="A6881" s="0" t="n">
        <v>2</v>
      </c>
      <c r="B6881" s="71" t="n">
        <v>46258</v>
      </c>
      <c r="C6881" s="0" t="n">
        <v>22</v>
      </c>
      <c r="D6881" s="0" t="s">
        <v>2479</v>
      </c>
      <c r="E6881" s="0" t="n">
        <v>48</v>
      </c>
      <c r="F6881" s="0" t="s">
        <v>153</v>
      </c>
      <c r="I6881" s="0" t="n">
        <v>2627</v>
      </c>
      <c r="J6881" s="0" t="n">
        <v>100004</v>
      </c>
      <c r="K6881" s="0" t="n">
        <v>5</v>
      </c>
      <c r="L6881" s="0" t="s">
        <v>2484</v>
      </c>
      <c r="N6881" s="0" t="n">
        <v>1.622</v>
      </c>
      <c r="O6881" s="0" t="n">
        <v>36.89</v>
      </c>
      <c r="P6881" s="0" t="s">
        <v>2444</v>
      </c>
    </row>
    <row r="6882" customFormat="false" ht="15" hidden="false" customHeight="true" outlineLevel="0" collapsed="false">
      <c r="A6882" s="0" t="n">
        <v>2</v>
      </c>
      <c r="B6882" s="71" t="n">
        <v>46258</v>
      </c>
      <c r="C6882" s="0" t="n">
        <v>22</v>
      </c>
      <c r="D6882" s="0" t="s">
        <v>2479</v>
      </c>
      <c r="E6882" s="0" t="n">
        <v>48</v>
      </c>
      <c r="F6882" s="0" t="s">
        <v>153</v>
      </c>
      <c r="I6882" s="0" t="n">
        <v>2627</v>
      </c>
      <c r="J6882" s="0" t="n">
        <v>100005</v>
      </c>
      <c r="K6882" s="0" t="n">
        <v>6</v>
      </c>
      <c r="L6882" s="0" t="s">
        <v>2582</v>
      </c>
      <c r="N6882" s="0" t="n">
        <v>3.154</v>
      </c>
      <c r="O6882" s="0" t="n">
        <v>76.87</v>
      </c>
      <c r="P6882" s="0" t="s">
        <v>2444</v>
      </c>
    </row>
    <row r="6883" customFormat="false" ht="15" hidden="false" customHeight="true" outlineLevel="0" collapsed="false">
      <c r="A6883" s="0" t="n">
        <v>2</v>
      </c>
      <c r="B6883" s="71" t="n">
        <v>46258</v>
      </c>
      <c r="C6883" s="0" t="n">
        <v>22</v>
      </c>
      <c r="D6883" s="0" t="s">
        <v>2479</v>
      </c>
      <c r="E6883" s="0" t="n">
        <v>48</v>
      </c>
      <c r="F6883" s="0" t="s">
        <v>153</v>
      </c>
      <c r="I6883" s="0" t="n">
        <v>2627</v>
      </c>
      <c r="J6883" s="0" t="n">
        <v>100006</v>
      </c>
      <c r="K6883" s="0" t="n">
        <v>7</v>
      </c>
      <c r="L6883" s="0" t="s">
        <v>2485</v>
      </c>
      <c r="N6883" s="0" t="n">
        <v>2.386</v>
      </c>
      <c r="O6883" s="0" t="n">
        <v>66.65</v>
      </c>
      <c r="P6883" s="0" t="s">
        <v>2444</v>
      </c>
    </row>
    <row r="6884" customFormat="false" ht="15" hidden="false" customHeight="true" outlineLevel="0" collapsed="false">
      <c r="A6884" s="0" t="n">
        <v>2</v>
      </c>
      <c r="B6884" s="71" t="n">
        <v>46258</v>
      </c>
      <c r="C6884" s="0" t="n">
        <v>22</v>
      </c>
      <c r="D6884" s="0" t="s">
        <v>2479</v>
      </c>
      <c r="E6884" s="0" t="n">
        <v>48</v>
      </c>
      <c r="F6884" s="0" t="s">
        <v>153</v>
      </c>
      <c r="I6884" s="0" t="n">
        <v>2627</v>
      </c>
      <c r="J6884" s="0" t="n">
        <v>100007</v>
      </c>
      <c r="K6884" s="0" t="n">
        <v>8</v>
      </c>
      <c r="L6884" s="0" t="s">
        <v>2486</v>
      </c>
      <c r="N6884" s="0" t="n">
        <v>3.724</v>
      </c>
      <c r="O6884" s="0" t="n">
        <v>90.76</v>
      </c>
      <c r="P6884" s="0" t="s">
        <v>2444</v>
      </c>
    </row>
    <row r="6885" customFormat="false" ht="15" hidden="false" customHeight="true" outlineLevel="0" collapsed="false">
      <c r="A6885" s="0" t="n">
        <v>2</v>
      </c>
      <c r="B6885" s="71" t="n">
        <v>46258</v>
      </c>
      <c r="C6885" s="0" t="n">
        <v>22</v>
      </c>
      <c r="D6885" s="0" t="s">
        <v>2479</v>
      </c>
      <c r="E6885" s="0" t="n">
        <v>48</v>
      </c>
      <c r="F6885" s="0" t="s">
        <v>153</v>
      </c>
      <c r="I6885" s="0" t="n">
        <v>2627</v>
      </c>
      <c r="J6885" s="0" t="n">
        <v>100007</v>
      </c>
      <c r="K6885" s="0" t="n">
        <v>8</v>
      </c>
      <c r="L6885" s="0" t="s">
        <v>2486</v>
      </c>
      <c r="N6885" s="0" t="n">
        <v>2.336</v>
      </c>
      <c r="O6885" s="0" t="n">
        <v>57.57</v>
      </c>
      <c r="P6885" s="0" t="s">
        <v>2444</v>
      </c>
    </row>
    <row r="6886" customFormat="false" ht="15" hidden="false" customHeight="true" outlineLevel="0" collapsed="false">
      <c r="A6886" s="0" t="n">
        <v>2</v>
      </c>
      <c r="B6886" s="71" t="n">
        <v>46258</v>
      </c>
      <c r="C6886" s="0" t="n">
        <v>22</v>
      </c>
      <c r="D6886" s="0" t="s">
        <v>2479</v>
      </c>
      <c r="E6886" s="0" t="n">
        <v>48</v>
      </c>
      <c r="F6886" s="0" t="s">
        <v>153</v>
      </c>
      <c r="I6886" s="0" t="n">
        <v>2627</v>
      </c>
      <c r="J6886" s="0" t="n">
        <v>100008</v>
      </c>
      <c r="K6886" s="0" t="n">
        <v>9</v>
      </c>
      <c r="L6886" s="0" t="s">
        <v>2487</v>
      </c>
      <c r="N6886" s="0" t="n">
        <v>18</v>
      </c>
      <c r="O6886" s="0" t="n">
        <v>576.74</v>
      </c>
      <c r="P6886" s="0" t="s">
        <v>2444</v>
      </c>
    </row>
    <row r="6887" customFormat="false" ht="15" hidden="false" customHeight="true" outlineLevel="0" collapsed="false">
      <c r="A6887" s="0" t="n">
        <v>2</v>
      </c>
      <c r="B6887" s="71" t="n">
        <v>46258</v>
      </c>
      <c r="C6887" s="0" t="n">
        <v>22</v>
      </c>
      <c r="D6887" s="0" t="s">
        <v>2479</v>
      </c>
      <c r="E6887" s="0" t="n">
        <v>48</v>
      </c>
      <c r="F6887" s="0" t="s">
        <v>153</v>
      </c>
      <c r="I6887" s="0" t="n">
        <v>2627</v>
      </c>
      <c r="J6887" s="0" t="n">
        <v>100011</v>
      </c>
      <c r="K6887" s="0" t="n">
        <v>12</v>
      </c>
      <c r="L6887" s="0" t="s">
        <v>2488</v>
      </c>
      <c r="N6887" s="0" t="n">
        <v>9.685</v>
      </c>
      <c r="O6887" s="0" t="n">
        <v>358.07</v>
      </c>
      <c r="P6887" s="0" t="s">
        <v>2444</v>
      </c>
    </row>
    <row r="6888" customFormat="false" ht="15" hidden="false" customHeight="true" outlineLevel="0" collapsed="false">
      <c r="A6888" s="0" t="n">
        <v>2</v>
      </c>
      <c r="B6888" s="71" t="n">
        <v>46258</v>
      </c>
      <c r="C6888" s="0" t="n">
        <v>22</v>
      </c>
      <c r="D6888" s="0" t="s">
        <v>2479</v>
      </c>
      <c r="E6888" s="0" t="n">
        <v>48</v>
      </c>
      <c r="F6888" s="0" t="s">
        <v>153</v>
      </c>
      <c r="I6888" s="0" t="n">
        <v>2627</v>
      </c>
      <c r="J6888" s="0" t="n">
        <v>100012</v>
      </c>
      <c r="K6888" s="0" t="n">
        <v>13</v>
      </c>
      <c r="L6888" s="0" t="s">
        <v>2489</v>
      </c>
      <c r="N6888" s="0" t="n">
        <v>7.21</v>
      </c>
      <c r="O6888" s="0" t="n">
        <v>296.19</v>
      </c>
      <c r="P6888" s="0" t="s">
        <v>2444</v>
      </c>
    </row>
    <row r="6889" customFormat="false" ht="15" hidden="false" customHeight="true" outlineLevel="0" collapsed="false">
      <c r="A6889" s="0" t="n">
        <v>2</v>
      </c>
      <c r="B6889" s="71" t="n">
        <v>46258</v>
      </c>
      <c r="C6889" s="0" t="n">
        <v>22</v>
      </c>
      <c r="D6889" s="0" t="s">
        <v>2479</v>
      </c>
      <c r="E6889" s="0" t="n">
        <v>48</v>
      </c>
      <c r="F6889" s="0" t="s">
        <v>153</v>
      </c>
      <c r="I6889" s="0" t="n">
        <v>2627</v>
      </c>
      <c r="J6889" s="0" t="n">
        <v>100013</v>
      </c>
      <c r="K6889" s="0" t="n">
        <v>14</v>
      </c>
      <c r="L6889" s="0" t="s">
        <v>2490</v>
      </c>
      <c r="N6889" s="0" t="n">
        <v>11.375</v>
      </c>
      <c r="O6889" s="0" t="n">
        <v>495.34</v>
      </c>
      <c r="P6889" s="0" t="s">
        <v>2444</v>
      </c>
    </row>
    <row r="6890" customFormat="false" ht="15" hidden="false" customHeight="true" outlineLevel="0" collapsed="false">
      <c r="A6890" s="0" t="n">
        <v>2</v>
      </c>
      <c r="B6890" s="71" t="n">
        <v>46258</v>
      </c>
      <c r="C6890" s="0" t="n">
        <v>22</v>
      </c>
      <c r="D6890" s="0" t="s">
        <v>2479</v>
      </c>
      <c r="E6890" s="0" t="n">
        <v>48</v>
      </c>
      <c r="F6890" s="0" t="s">
        <v>153</v>
      </c>
      <c r="I6890" s="0" t="n">
        <v>2627</v>
      </c>
      <c r="J6890" s="0" t="n">
        <v>100014</v>
      </c>
      <c r="K6890" s="0" t="n">
        <v>15</v>
      </c>
      <c r="L6890" s="0" t="s">
        <v>2491</v>
      </c>
      <c r="N6890" s="0" t="n">
        <v>4.94</v>
      </c>
      <c r="O6890" s="0" t="n">
        <v>219.18</v>
      </c>
      <c r="P6890" s="0" t="s">
        <v>2444</v>
      </c>
    </row>
    <row r="6891" customFormat="false" ht="15" hidden="false" customHeight="true" outlineLevel="0" collapsed="false">
      <c r="A6891" s="0" t="n">
        <v>2</v>
      </c>
      <c r="B6891" s="71" t="n">
        <v>46258</v>
      </c>
      <c r="C6891" s="0" t="n">
        <v>22</v>
      </c>
      <c r="D6891" s="0" t="s">
        <v>2479</v>
      </c>
      <c r="E6891" s="0" t="n">
        <v>48</v>
      </c>
      <c r="F6891" s="0" t="s">
        <v>153</v>
      </c>
      <c r="I6891" s="0" t="n">
        <v>2627</v>
      </c>
      <c r="J6891" s="0" t="n">
        <v>100015</v>
      </c>
      <c r="K6891" s="0" t="n">
        <v>16</v>
      </c>
      <c r="L6891" s="0" t="s">
        <v>2492</v>
      </c>
      <c r="N6891" s="0" t="n">
        <v>2.2</v>
      </c>
      <c r="O6891" s="0" t="n">
        <v>86.76</v>
      </c>
      <c r="P6891" s="0" t="s">
        <v>2444</v>
      </c>
    </row>
    <row r="6892" customFormat="false" ht="15" hidden="false" customHeight="true" outlineLevel="0" collapsed="false">
      <c r="A6892" s="0" t="n">
        <v>2</v>
      </c>
      <c r="B6892" s="71" t="n">
        <v>46258</v>
      </c>
      <c r="C6892" s="0" t="n">
        <v>22</v>
      </c>
      <c r="D6892" s="0" t="s">
        <v>2479</v>
      </c>
      <c r="E6892" s="0" t="n">
        <v>48</v>
      </c>
      <c r="F6892" s="0" t="s">
        <v>153</v>
      </c>
      <c r="I6892" s="0" t="n">
        <v>2627</v>
      </c>
      <c r="J6892" s="0" t="n">
        <v>100016</v>
      </c>
      <c r="K6892" s="0" t="n">
        <v>17</v>
      </c>
      <c r="L6892" s="0" t="s">
        <v>2493</v>
      </c>
      <c r="N6892" s="0" t="n">
        <v>1.972</v>
      </c>
      <c r="O6892" s="0" t="n">
        <v>97.22</v>
      </c>
      <c r="P6892" s="0" t="s">
        <v>2444</v>
      </c>
    </row>
    <row r="6893" customFormat="false" ht="15" hidden="false" customHeight="true" outlineLevel="0" collapsed="false">
      <c r="A6893" s="0" t="n">
        <v>2</v>
      </c>
      <c r="B6893" s="71" t="n">
        <v>46258</v>
      </c>
      <c r="C6893" s="0" t="n">
        <v>22</v>
      </c>
      <c r="D6893" s="0" t="s">
        <v>2479</v>
      </c>
      <c r="E6893" s="0" t="n">
        <v>48</v>
      </c>
      <c r="F6893" s="0" t="s">
        <v>153</v>
      </c>
      <c r="I6893" s="0" t="n">
        <v>2627</v>
      </c>
      <c r="J6893" s="0" t="n">
        <v>100017</v>
      </c>
      <c r="K6893" s="0" t="n">
        <v>18</v>
      </c>
      <c r="L6893" s="0" t="s">
        <v>2494</v>
      </c>
      <c r="N6893" s="0" t="n">
        <v>1.882</v>
      </c>
      <c r="O6893" s="0" t="n">
        <v>108.25</v>
      </c>
      <c r="P6893" s="0" t="s">
        <v>2444</v>
      </c>
    </row>
    <row r="6894" customFormat="false" ht="15" hidden="false" customHeight="true" outlineLevel="0" collapsed="false">
      <c r="A6894" s="0" t="n">
        <v>2</v>
      </c>
      <c r="B6894" s="71" t="n">
        <v>46258</v>
      </c>
      <c r="C6894" s="0" t="n">
        <v>22</v>
      </c>
      <c r="D6894" s="0" t="s">
        <v>2479</v>
      </c>
      <c r="E6894" s="0" t="n">
        <v>48</v>
      </c>
      <c r="F6894" s="0" t="s">
        <v>153</v>
      </c>
      <c r="I6894" s="0" t="n">
        <v>2627</v>
      </c>
      <c r="J6894" s="0" t="n">
        <v>100019</v>
      </c>
      <c r="K6894" s="0" t="n">
        <v>20</v>
      </c>
      <c r="L6894" s="0" t="s">
        <v>3779</v>
      </c>
      <c r="N6894" s="0" t="n">
        <v>2.202</v>
      </c>
      <c r="O6894" s="0" t="n">
        <v>75.14</v>
      </c>
      <c r="P6894" s="0" t="s">
        <v>2444</v>
      </c>
    </row>
    <row r="6895" customFormat="false" ht="15" hidden="false" customHeight="true" outlineLevel="0" collapsed="false">
      <c r="A6895" s="0" t="n">
        <v>2</v>
      </c>
      <c r="B6895" s="71" t="n">
        <v>46258</v>
      </c>
      <c r="C6895" s="0" t="n">
        <v>22</v>
      </c>
      <c r="D6895" s="0" t="s">
        <v>2479</v>
      </c>
      <c r="E6895" s="0" t="n">
        <v>48</v>
      </c>
      <c r="F6895" s="0" t="s">
        <v>153</v>
      </c>
      <c r="I6895" s="0" t="n">
        <v>2627</v>
      </c>
      <c r="J6895" s="0" t="n">
        <v>100053</v>
      </c>
      <c r="K6895" s="0" t="n">
        <v>54</v>
      </c>
      <c r="L6895" s="0" t="s">
        <v>2495</v>
      </c>
      <c r="N6895" s="0" t="n">
        <v>2.9</v>
      </c>
      <c r="O6895" s="0" t="n">
        <v>104.84</v>
      </c>
      <c r="P6895" s="0" t="s">
        <v>2444</v>
      </c>
    </row>
    <row r="6896" customFormat="false" ht="15" hidden="false" customHeight="true" outlineLevel="0" collapsed="false">
      <c r="A6896" s="0" t="n">
        <v>2</v>
      </c>
      <c r="B6896" s="71" t="n">
        <v>46258</v>
      </c>
      <c r="C6896" s="0" t="n">
        <v>22</v>
      </c>
      <c r="D6896" s="0" t="s">
        <v>2479</v>
      </c>
      <c r="E6896" s="0" t="n">
        <v>48</v>
      </c>
      <c r="F6896" s="0" t="s">
        <v>153</v>
      </c>
      <c r="I6896" s="0" t="n">
        <v>2627</v>
      </c>
      <c r="J6896" s="0" t="n">
        <v>100638</v>
      </c>
      <c r="K6896" s="0" t="n">
        <v>508</v>
      </c>
      <c r="L6896" s="0" t="s">
        <v>2496</v>
      </c>
      <c r="N6896" s="0" t="n">
        <v>1</v>
      </c>
      <c r="O6896" s="0" t="n">
        <v>2.46</v>
      </c>
      <c r="P6896" s="0" t="s">
        <v>2444</v>
      </c>
    </row>
    <row r="6897" customFormat="false" ht="15" hidden="false" customHeight="true" outlineLevel="0" collapsed="false">
      <c r="A6897" s="0" t="n">
        <v>2</v>
      </c>
      <c r="B6897" s="71" t="n">
        <v>46258</v>
      </c>
      <c r="C6897" s="0" t="n">
        <v>22</v>
      </c>
      <c r="D6897" s="0" t="s">
        <v>2479</v>
      </c>
      <c r="E6897" s="0" t="n">
        <v>48</v>
      </c>
      <c r="F6897" s="0" t="s">
        <v>153</v>
      </c>
      <c r="I6897" s="0" t="n">
        <v>2627</v>
      </c>
      <c r="J6897" s="0" t="n">
        <v>100638</v>
      </c>
      <c r="K6897" s="0" t="n">
        <v>508</v>
      </c>
      <c r="L6897" s="0" t="s">
        <v>2496</v>
      </c>
      <c r="N6897" s="0" t="n">
        <v>1.828</v>
      </c>
      <c r="O6897" s="0" t="n">
        <v>4.44</v>
      </c>
      <c r="P6897" s="0" t="s">
        <v>2444</v>
      </c>
    </row>
    <row r="6898" customFormat="false" ht="15" hidden="false" customHeight="true" outlineLevel="0" collapsed="false">
      <c r="A6898" s="0" t="n">
        <v>2</v>
      </c>
      <c r="B6898" s="71" t="n">
        <v>46258</v>
      </c>
      <c r="C6898" s="0" t="n">
        <v>22</v>
      </c>
      <c r="D6898" s="0" t="s">
        <v>2479</v>
      </c>
      <c r="E6898" s="0" t="n">
        <v>48</v>
      </c>
      <c r="F6898" s="0" t="s">
        <v>153</v>
      </c>
      <c r="I6898" s="0" t="n">
        <v>2627</v>
      </c>
      <c r="J6898" s="0" t="n">
        <v>100520</v>
      </c>
      <c r="K6898" s="0" t="n">
        <v>507</v>
      </c>
      <c r="L6898" s="0" t="s">
        <v>2497</v>
      </c>
      <c r="N6898" s="0" t="n">
        <v>9.012</v>
      </c>
      <c r="O6898" s="0" t="n">
        <v>22.14</v>
      </c>
      <c r="P6898" s="0" t="s">
        <v>2444</v>
      </c>
    </row>
    <row r="6899" customFormat="false" ht="15" hidden="false" customHeight="true" outlineLevel="0" collapsed="false">
      <c r="A6899" s="0" t="n">
        <v>2</v>
      </c>
      <c r="B6899" s="71" t="n">
        <v>46258</v>
      </c>
      <c r="C6899" s="0" t="n">
        <v>22</v>
      </c>
      <c r="D6899" s="0" t="s">
        <v>2479</v>
      </c>
      <c r="E6899" s="0" t="n">
        <v>48</v>
      </c>
      <c r="F6899" s="0" t="s">
        <v>153</v>
      </c>
      <c r="I6899" s="0" t="n">
        <v>2627</v>
      </c>
      <c r="J6899" s="0" t="n">
        <v>100520</v>
      </c>
      <c r="K6899" s="0" t="n">
        <v>507</v>
      </c>
      <c r="L6899" s="0" t="s">
        <v>2497</v>
      </c>
      <c r="N6899" s="0" t="n">
        <v>2.462</v>
      </c>
      <c r="O6899" s="0" t="n">
        <v>5.98</v>
      </c>
      <c r="P6899" s="0" t="s">
        <v>2444</v>
      </c>
    </row>
    <row r="6900" customFormat="false" ht="15" hidden="false" customHeight="true" outlineLevel="0" collapsed="false">
      <c r="A6900" s="0" t="n">
        <v>2</v>
      </c>
      <c r="B6900" s="71" t="n">
        <v>46258</v>
      </c>
      <c r="C6900" s="0" t="n">
        <v>22</v>
      </c>
      <c r="D6900" s="0" t="s">
        <v>2479</v>
      </c>
      <c r="E6900" s="0" t="n">
        <v>48</v>
      </c>
      <c r="F6900" s="0" t="s">
        <v>153</v>
      </c>
      <c r="I6900" s="0" t="n">
        <v>2627</v>
      </c>
      <c r="J6900" s="0" t="n">
        <v>110455</v>
      </c>
      <c r="K6900" s="0" t="n">
        <v>53212</v>
      </c>
      <c r="L6900" s="0" t="s">
        <v>2498</v>
      </c>
      <c r="N6900" s="0" t="n">
        <v>0.296</v>
      </c>
      <c r="O6900" s="0" t="n">
        <v>0</v>
      </c>
      <c r="P6900" s="0" t="s">
        <v>2444</v>
      </c>
    </row>
    <row r="6901" customFormat="false" ht="15" hidden="false" customHeight="true" outlineLevel="0" collapsed="false">
      <c r="A6901" s="0" t="n">
        <v>2</v>
      </c>
      <c r="B6901" s="71" t="n">
        <v>46258</v>
      </c>
      <c r="C6901" s="0" t="n">
        <v>22</v>
      </c>
      <c r="D6901" s="0" t="s">
        <v>2479</v>
      </c>
      <c r="E6901" s="0" t="n">
        <v>48</v>
      </c>
      <c r="F6901" s="0" t="s">
        <v>153</v>
      </c>
      <c r="I6901" s="0" t="n">
        <v>2627</v>
      </c>
      <c r="J6901" s="0" t="n">
        <v>110455</v>
      </c>
      <c r="K6901" s="0" t="n">
        <v>53212</v>
      </c>
      <c r="L6901" s="0" t="s">
        <v>2498</v>
      </c>
      <c r="N6901" s="0" t="n">
        <v>0.502</v>
      </c>
      <c r="O6901" s="0" t="n">
        <v>0</v>
      </c>
      <c r="P6901" s="0" t="s">
        <v>2444</v>
      </c>
    </row>
    <row r="6902" customFormat="false" ht="15" hidden="false" customHeight="true" outlineLevel="0" collapsed="false">
      <c r="A6902" s="0" t="n">
        <v>2</v>
      </c>
      <c r="B6902" s="71" t="n">
        <v>46258</v>
      </c>
      <c r="C6902" s="0" t="n">
        <v>100</v>
      </c>
      <c r="D6902" s="0" t="s">
        <v>2499</v>
      </c>
      <c r="E6902" s="0" t="n">
        <v>48</v>
      </c>
      <c r="F6902" s="0" t="s">
        <v>153</v>
      </c>
      <c r="I6902" s="0" t="n">
        <v>1595552</v>
      </c>
      <c r="J6902" s="0" t="n">
        <v>100000</v>
      </c>
      <c r="K6902" s="0" t="n">
        <v>1</v>
      </c>
      <c r="L6902" s="0" t="s">
        <v>2480</v>
      </c>
      <c r="N6902" s="0" t="n">
        <v>3.2</v>
      </c>
      <c r="O6902" s="0" t="n">
        <v>63.09</v>
      </c>
      <c r="P6902" s="0" t="s">
        <v>2444</v>
      </c>
    </row>
    <row r="6903" customFormat="false" ht="15" hidden="false" customHeight="true" outlineLevel="0" collapsed="false">
      <c r="A6903" s="0" t="n">
        <v>2</v>
      </c>
      <c r="B6903" s="71" t="n">
        <v>46258</v>
      </c>
      <c r="C6903" s="0" t="n">
        <v>100</v>
      </c>
      <c r="D6903" s="0" t="s">
        <v>2499</v>
      </c>
      <c r="E6903" s="0" t="n">
        <v>48</v>
      </c>
      <c r="F6903" s="0" t="s">
        <v>153</v>
      </c>
      <c r="I6903" s="0" t="n">
        <v>1595552</v>
      </c>
      <c r="J6903" s="0" t="n">
        <v>100006</v>
      </c>
      <c r="K6903" s="0" t="n">
        <v>7</v>
      </c>
      <c r="L6903" s="0" t="s">
        <v>2485</v>
      </c>
      <c r="N6903" s="0" t="n">
        <v>2.386</v>
      </c>
      <c r="O6903" s="0" t="n">
        <v>66.65</v>
      </c>
      <c r="P6903" s="0" t="s">
        <v>2444</v>
      </c>
    </row>
    <row r="6904" customFormat="false" ht="15" hidden="false" customHeight="true" outlineLevel="0" collapsed="false">
      <c r="A6904" s="0" t="n">
        <v>2</v>
      </c>
      <c r="B6904" s="71" t="n">
        <v>46258</v>
      </c>
      <c r="C6904" s="0" t="n">
        <v>100</v>
      </c>
      <c r="D6904" s="0" t="s">
        <v>2499</v>
      </c>
      <c r="E6904" s="0" t="n">
        <v>48</v>
      </c>
      <c r="F6904" s="0" t="s">
        <v>153</v>
      </c>
      <c r="I6904" s="0" t="n">
        <v>1595552</v>
      </c>
      <c r="J6904" s="0" t="n">
        <v>100007</v>
      </c>
      <c r="K6904" s="0" t="n">
        <v>8</v>
      </c>
      <c r="L6904" s="0" t="s">
        <v>2486</v>
      </c>
      <c r="N6904" s="0" t="n">
        <v>2.336</v>
      </c>
      <c r="O6904" s="0" t="n">
        <v>57.57</v>
      </c>
      <c r="P6904" s="0" t="s">
        <v>2444</v>
      </c>
    </row>
    <row r="6905" customFormat="false" ht="15" hidden="false" customHeight="true" outlineLevel="0" collapsed="false">
      <c r="A6905" s="0" t="n">
        <v>2</v>
      </c>
      <c r="B6905" s="71" t="n">
        <v>46258</v>
      </c>
      <c r="C6905" s="0" t="n">
        <v>100</v>
      </c>
      <c r="D6905" s="0" t="s">
        <v>2499</v>
      </c>
      <c r="E6905" s="0" t="n">
        <v>48</v>
      </c>
      <c r="F6905" s="0" t="s">
        <v>153</v>
      </c>
      <c r="I6905" s="0" t="n">
        <v>1595552</v>
      </c>
      <c r="J6905" s="0" t="n">
        <v>100008</v>
      </c>
      <c r="K6905" s="0" t="n">
        <v>9</v>
      </c>
      <c r="L6905" s="0" t="s">
        <v>2487</v>
      </c>
      <c r="N6905" s="0" t="n">
        <v>18</v>
      </c>
      <c r="O6905" s="0" t="n">
        <v>576.74</v>
      </c>
      <c r="P6905" s="0" t="s">
        <v>2444</v>
      </c>
    </row>
    <row r="6906" customFormat="false" ht="15" hidden="false" customHeight="true" outlineLevel="0" collapsed="false">
      <c r="A6906" s="0" t="n">
        <v>2</v>
      </c>
      <c r="B6906" s="71" t="n">
        <v>46258</v>
      </c>
      <c r="C6906" s="0" t="n">
        <v>100</v>
      </c>
      <c r="D6906" s="0" t="s">
        <v>2499</v>
      </c>
      <c r="E6906" s="0" t="n">
        <v>48</v>
      </c>
      <c r="F6906" s="0" t="s">
        <v>153</v>
      </c>
      <c r="I6906" s="0" t="n">
        <v>1595552</v>
      </c>
      <c r="J6906" s="0" t="n">
        <v>100011</v>
      </c>
      <c r="K6906" s="0" t="n">
        <v>12</v>
      </c>
      <c r="L6906" s="0" t="s">
        <v>2488</v>
      </c>
      <c r="N6906" s="0" t="n">
        <v>9.685</v>
      </c>
      <c r="O6906" s="0" t="n">
        <v>358.07</v>
      </c>
      <c r="P6906" s="0" t="s">
        <v>2444</v>
      </c>
    </row>
    <row r="6907" customFormat="false" ht="15" hidden="false" customHeight="true" outlineLevel="0" collapsed="false">
      <c r="A6907" s="0" t="n">
        <v>2</v>
      </c>
      <c r="B6907" s="71" t="n">
        <v>46258</v>
      </c>
      <c r="C6907" s="0" t="n">
        <v>100</v>
      </c>
      <c r="D6907" s="0" t="s">
        <v>2499</v>
      </c>
      <c r="E6907" s="0" t="n">
        <v>48</v>
      </c>
      <c r="F6907" s="0" t="s">
        <v>153</v>
      </c>
      <c r="I6907" s="0" t="n">
        <v>1595552</v>
      </c>
      <c r="J6907" s="0" t="n">
        <v>100012</v>
      </c>
      <c r="K6907" s="0" t="n">
        <v>13</v>
      </c>
      <c r="L6907" s="0" t="s">
        <v>2489</v>
      </c>
      <c r="N6907" s="0" t="n">
        <v>7.21</v>
      </c>
      <c r="O6907" s="0" t="n">
        <v>296.19</v>
      </c>
      <c r="P6907" s="0" t="s">
        <v>2444</v>
      </c>
    </row>
    <row r="6908" customFormat="false" ht="15" hidden="false" customHeight="true" outlineLevel="0" collapsed="false">
      <c r="A6908" s="0" t="n">
        <v>2</v>
      </c>
      <c r="B6908" s="71" t="n">
        <v>46258</v>
      </c>
      <c r="C6908" s="0" t="n">
        <v>100</v>
      </c>
      <c r="D6908" s="0" t="s">
        <v>2499</v>
      </c>
      <c r="E6908" s="0" t="n">
        <v>48</v>
      </c>
      <c r="F6908" s="0" t="s">
        <v>153</v>
      </c>
      <c r="I6908" s="0" t="n">
        <v>1595552</v>
      </c>
      <c r="J6908" s="0" t="n">
        <v>100013</v>
      </c>
      <c r="K6908" s="0" t="n">
        <v>14</v>
      </c>
      <c r="L6908" s="0" t="s">
        <v>2490</v>
      </c>
      <c r="N6908" s="0" t="n">
        <v>11.375</v>
      </c>
      <c r="O6908" s="0" t="n">
        <v>495.34</v>
      </c>
      <c r="P6908" s="0" t="s">
        <v>2444</v>
      </c>
    </row>
    <row r="6909" customFormat="false" ht="15" hidden="false" customHeight="true" outlineLevel="0" collapsed="false">
      <c r="A6909" s="0" t="n">
        <v>2</v>
      </c>
      <c r="B6909" s="71" t="n">
        <v>46258</v>
      </c>
      <c r="C6909" s="0" t="n">
        <v>100</v>
      </c>
      <c r="D6909" s="0" t="s">
        <v>2499</v>
      </c>
      <c r="E6909" s="0" t="n">
        <v>48</v>
      </c>
      <c r="F6909" s="0" t="s">
        <v>153</v>
      </c>
      <c r="I6909" s="0" t="n">
        <v>1595552</v>
      </c>
      <c r="J6909" s="0" t="n">
        <v>100014</v>
      </c>
      <c r="K6909" s="0" t="n">
        <v>15</v>
      </c>
      <c r="L6909" s="0" t="s">
        <v>2491</v>
      </c>
      <c r="N6909" s="0" t="n">
        <v>4.94</v>
      </c>
      <c r="O6909" s="0" t="n">
        <v>219.18</v>
      </c>
      <c r="P6909" s="0" t="s">
        <v>2444</v>
      </c>
    </row>
    <row r="6910" customFormat="false" ht="15" hidden="false" customHeight="true" outlineLevel="0" collapsed="false">
      <c r="A6910" s="0" t="n">
        <v>2</v>
      </c>
      <c r="B6910" s="71" t="n">
        <v>46258</v>
      </c>
      <c r="C6910" s="0" t="n">
        <v>100</v>
      </c>
      <c r="D6910" s="0" t="s">
        <v>2499</v>
      </c>
      <c r="E6910" s="0" t="n">
        <v>48</v>
      </c>
      <c r="F6910" s="0" t="s">
        <v>153</v>
      </c>
      <c r="I6910" s="0" t="n">
        <v>1595552</v>
      </c>
      <c r="J6910" s="0" t="n">
        <v>100015</v>
      </c>
      <c r="K6910" s="0" t="n">
        <v>16</v>
      </c>
      <c r="L6910" s="0" t="s">
        <v>2492</v>
      </c>
      <c r="N6910" s="0" t="n">
        <v>2.2</v>
      </c>
      <c r="O6910" s="0" t="n">
        <v>86.76</v>
      </c>
      <c r="P6910" s="0" t="s">
        <v>2444</v>
      </c>
    </row>
    <row r="6911" customFormat="false" ht="15" hidden="false" customHeight="true" outlineLevel="0" collapsed="false">
      <c r="A6911" s="0" t="n">
        <v>2</v>
      </c>
      <c r="B6911" s="71" t="n">
        <v>46258</v>
      </c>
      <c r="C6911" s="0" t="n">
        <v>100</v>
      </c>
      <c r="D6911" s="0" t="s">
        <v>2499</v>
      </c>
      <c r="E6911" s="0" t="n">
        <v>48</v>
      </c>
      <c r="F6911" s="0" t="s">
        <v>153</v>
      </c>
      <c r="I6911" s="0" t="n">
        <v>1595552</v>
      </c>
      <c r="J6911" s="0" t="n">
        <v>100016</v>
      </c>
      <c r="K6911" s="0" t="n">
        <v>17</v>
      </c>
      <c r="L6911" s="0" t="s">
        <v>2493</v>
      </c>
      <c r="N6911" s="0" t="n">
        <v>1.972</v>
      </c>
      <c r="O6911" s="0" t="n">
        <v>97.22</v>
      </c>
      <c r="P6911" s="0" t="s">
        <v>2444</v>
      </c>
    </row>
    <row r="6912" customFormat="false" ht="15" hidden="false" customHeight="true" outlineLevel="0" collapsed="false">
      <c r="A6912" s="0" t="n">
        <v>2</v>
      </c>
      <c r="B6912" s="71" t="n">
        <v>46258</v>
      </c>
      <c r="C6912" s="0" t="n">
        <v>100</v>
      </c>
      <c r="D6912" s="0" t="s">
        <v>2499</v>
      </c>
      <c r="E6912" s="0" t="n">
        <v>48</v>
      </c>
      <c r="F6912" s="0" t="s">
        <v>153</v>
      </c>
      <c r="I6912" s="0" t="n">
        <v>1595552</v>
      </c>
      <c r="J6912" s="0" t="n">
        <v>100017</v>
      </c>
      <c r="K6912" s="0" t="n">
        <v>18</v>
      </c>
      <c r="L6912" s="0" t="s">
        <v>2494</v>
      </c>
      <c r="N6912" s="0" t="n">
        <v>1.882</v>
      </c>
      <c r="O6912" s="0" t="n">
        <v>108.25</v>
      </c>
      <c r="P6912" s="0" t="s">
        <v>2444</v>
      </c>
    </row>
    <row r="6913" customFormat="false" ht="15" hidden="false" customHeight="true" outlineLevel="0" collapsed="false">
      <c r="A6913" s="0" t="n">
        <v>2</v>
      </c>
      <c r="B6913" s="71" t="n">
        <v>46258</v>
      </c>
      <c r="C6913" s="0" t="n">
        <v>100</v>
      </c>
      <c r="D6913" s="0" t="s">
        <v>2499</v>
      </c>
      <c r="E6913" s="0" t="n">
        <v>48</v>
      </c>
      <c r="F6913" s="0" t="s">
        <v>153</v>
      </c>
      <c r="I6913" s="0" t="n">
        <v>1595552</v>
      </c>
      <c r="J6913" s="0" t="n">
        <v>100053</v>
      </c>
      <c r="K6913" s="0" t="n">
        <v>54</v>
      </c>
      <c r="L6913" s="0" t="s">
        <v>2495</v>
      </c>
      <c r="N6913" s="0" t="n">
        <v>2.9</v>
      </c>
      <c r="O6913" s="0" t="n">
        <v>104.84</v>
      </c>
      <c r="P6913" s="0" t="s">
        <v>2444</v>
      </c>
    </row>
    <row r="6914" customFormat="false" ht="15" hidden="false" customHeight="true" outlineLevel="0" collapsed="false">
      <c r="A6914" s="0" t="n">
        <v>2</v>
      </c>
      <c r="B6914" s="71" t="n">
        <v>46258</v>
      </c>
      <c r="C6914" s="0" t="n">
        <v>100</v>
      </c>
      <c r="D6914" s="0" t="s">
        <v>2499</v>
      </c>
      <c r="E6914" s="0" t="n">
        <v>48</v>
      </c>
      <c r="F6914" s="0" t="s">
        <v>153</v>
      </c>
      <c r="I6914" s="0" t="n">
        <v>1595552</v>
      </c>
      <c r="J6914" s="0" t="n">
        <v>100638</v>
      </c>
      <c r="K6914" s="0" t="n">
        <v>508</v>
      </c>
      <c r="L6914" s="0" t="s">
        <v>2496</v>
      </c>
      <c r="N6914" s="0" t="n">
        <v>1</v>
      </c>
      <c r="O6914" s="0" t="n">
        <v>2.46</v>
      </c>
      <c r="P6914" s="0" t="s">
        <v>2444</v>
      </c>
    </row>
    <row r="6915" customFormat="false" ht="15" hidden="false" customHeight="true" outlineLevel="0" collapsed="false">
      <c r="A6915" s="0" t="n">
        <v>2</v>
      </c>
      <c r="B6915" s="71" t="n">
        <v>46258</v>
      </c>
      <c r="C6915" s="0" t="n">
        <v>100</v>
      </c>
      <c r="D6915" s="0" t="s">
        <v>2499</v>
      </c>
      <c r="E6915" s="0" t="n">
        <v>48</v>
      </c>
      <c r="F6915" s="0" t="s">
        <v>153</v>
      </c>
      <c r="I6915" s="0" t="n">
        <v>1595552</v>
      </c>
      <c r="J6915" s="0" t="n">
        <v>100520</v>
      </c>
      <c r="K6915" s="0" t="n">
        <v>507</v>
      </c>
      <c r="L6915" s="0" t="s">
        <v>2497</v>
      </c>
      <c r="N6915" s="0" t="n">
        <v>9.012</v>
      </c>
      <c r="O6915" s="0" t="n">
        <v>22.14</v>
      </c>
      <c r="P6915" s="0" t="s">
        <v>2444</v>
      </c>
    </row>
    <row r="6916" customFormat="false" ht="15" hidden="false" customHeight="true" outlineLevel="0" collapsed="false">
      <c r="A6916" s="0" t="n">
        <v>2</v>
      </c>
      <c r="B6916" s="71" t="n">
        <v>46258</v>
      </c>
      <c r="C6916" s="0" t="n">
        <v>100</v>
      </c>
      <c r="D6916" s="0" t="s">
        <v>2499</v>
      </c>
      <c r="E6916" s="0" t="n">
        <v>48</v>
      </c>
      <c r="F6916" s="0" t="s">
        <v>153</v>
      </c>
      <c r="I6916" s="0" t="n">
        <v>1595552</v>
      </c>
      <c r="J6916" s="0" t="n">
        <v>110455</v>
      </c>
      <c r="K6916" s="0" t="n">
        <v>53212</v>
      </c>
      <c r="L6916" s="0" t="s">
        <v>2498</v>
      </c>
      <c r="N6916" s="0" t="n">
        <v>0.502</v>
      </c>
      <c r="O6916" s="0" t="n">
        <v>0</v>
      </c>
      <c r="P6916" s="0" t="s">
        <v>2444</v>
      </c>
    </row>
    <row r="6917" customFormat="false" ht="15" hidden="false" customHeight="true" outlineLevel="0" collapsed="false">
      <c r="A6917" s="0" t="n">
        <v>2</v>
      </c>
      <c r="B6917" s="71" t="n">
        <v>46258</v>
      </c>
      <c r="C6917" s="0" t="n">
        <v>100</v>
      </c>
      <c r="D6917" s="0" t="s">
        <v>2499</v>
      </c>
      <c r="E6917" s="0" t="n">
        <v>48</v>
      </c>
      <c r="F6917" s="0" t="s">
        <v>153</v>
      </c>
      <c r="I6917" s="0" t="n">
        <v>1595558</v>
      </c>
      <c r="J6917" s="0" t="n">
        <v>100000</v>
      </c>
      <c r="K6917" s="0" t="n">
        <v>1</v>
      </c>
      <c r="L6917" s="0" t="s">
        <v>2480</v>
      </c>
      <c r="N6917" s="0" t="n">
        <v>3.5</v>
      </c>
      <c r="O6917" s="0" t="n">
        <v>68.23</v>
      </c>
      <c r="P6917" s="0" t="s">
        <v>2444</v>
      </c>
    </row>
    <row r="6918" customFormat="false" ht="15" hidden="false" customHeight="true" outlineLevel="0" collapsed="false">
      <c r="A6918" s="0" t="n">
        <v>2</v>
      </c>
      <c r="B6918" s="71" t="n">
        <v>46258</v>
      </c>
      <c r="C6918" s="0" t="n">
        <v>100</v>
      </c>
      <c r="D6918" s="0" t="s">
        <v>2499</v>
      </c>
      <c r="E6918" s="0" t="n">
        <v>48</v>
      </c>
      <c r="F6918" s="0" t="s">
        <v>153</v>
      </c>
      <c r="I6918" s="0" t="n">
        <v>1595558</v>
      </c>
      <c r="J6918" s="0" t="n">
        <v>100001</v>
      </c>
      <c r="K6918" s="0" t="n">
        <v>2</v>
      </c>
      <c r="L6918" s="0" t="s">
        <v>2481</v>
      </c>
      <c r="N6918" s="0" t="n">
        <v>10.45</v>
      </c>
      <c r="O6918" s="0" t="n">
        <v>220.71</v>
      </c>
      <c r="P6918" s="0" t="s">
        <v>2444</v>
      </c>
    </row>
    <row r="6919" customFormat="false" ht="15" hidden="false" customHeight="true" outlineLevel="0" collapsed="false">
      <c r="A6919" s="0" t="n">
        <v>2</v>
      </c>
      <c r="B6919" s="71" t="n">
        <v>46258</v>
      </c>
      <c r="C6919" s="0" t="n">
        <v>100</v>
      </c>
      <c r="D6919" s="0" t="s">
        <v>2499</v>
      </c>
      <c r="E6919" s="0" t="n">
        <v>48</v>
      </c>
      <c r="F6919" s="0" t="s">
        <v>153</v>
      </c>
      <c r="I6919" s="0" t="n">
        <v>1595558</v>
      </c>
      <c r="J6919" s="0" t="n">
        <v>100002</v>
      </c>
      <c r="K6919" s="0" t="n">
        <v>3</v>
      </c>
      <c r="L6919" s="0" t="s">
        <v>2482</v>
      </c>
      <c r="N6919" s="0" t="n">
        <v>27.44</v>
      </c>
      <c r="O6919" s="0" t="n">
        <v>668.74</v>
      </c>
      <c r="P6919" s="0" t="s">
        <v>2444</v>
      </c>
    </row>
    <row r="6920" customFormat="false" ht="15" hidden="false" customHeight="true" outlineLevel="0" collapsed="false">
      <c r="A6920" s="0" t="n">
        <v>2</v>
      </c>
      <c r="B6920" s="71" t="n">
        <v>46258</v>
      </c>
      <c r="C6920" s="0" t="n">
        <v>100</v>
      </c>
      <c r="D6920" s="0" t="s">
        <v>2499</v>
      </c>
      <c r="E6920" s="0" t="n">
        <v>48</v>
      </c>
      <c r="F6920" s="0" t="s">
        <v>153</v>
      </c>
      <c r="I6920" s="0" t="n">
        <v>1595558</v>
      </c>
      <c r="J6920" s="0" t="n">
        <v>100003</v>
      </c>
      <c r="K6920" s="0" t="n">
        <v>4</v>
      </c>
      <c r="L6920" s="0" t="s">
        <v>2483</v>
      </c>
      <c r="N6920" s="0" t="n">
        <v>13.922</v>
      </c>
      <c r="O6920" s="0" t="n">
        <v>361.92</v>
      </c>
      <c r="P6920" s="0" t="s">
        <v>2444</v>
      </c>
    </row>
    <row r="6921" customFormat="false" ht="15" hidden="false" customHeight="true" outlineLevel="0" collapsed="false">
      <c r="A6921" s="0" t="n">
        <v>2</v>
      </c>
      <c r="B6921" s="71" t="n">
        <v>46258</v>
      </c>
      <c r="C6921" s="0" t="n">
        <v>100</v>
      </c>
      <c r="D6921" s="0" t="s">
        <v>2499</v>
      </c>
      <c r="E6921" s="0" t="n">
        <v>48</v>
      </c>
      <c r="F6921" s="0" t="s">
        <v>153</v>
      </c>
      <c r="I6921" s="0" t="n">
        <v>1595558</v>
      </c>
      <c r="J6921" s="0" t="n">
        <v>100004</v>
      </c>
      <c r="K6921" s="0" t="n">
        <v>5</v>
      </c>
      <c r="L6921" s="0" t="s">
        <v>2484</v>
      </c>
      <c r="N6921" s="0" t="n">
        <v>1.622</v>
      </c>
      <c r="O6921" s="0" t="n">
        <v>36.89</v>
      </c>
      <c r="P6921" s="0" t="s">
        <v>2444</v>
      </c>
    </row>
    <row r="6922" customFormat="false" ht="15" hidden="false" customHeight="true" outlineLevel="0" collapsed="false">
      <c r="A6922" s="0" t="n">
        <v>2</v>
      </c>
      <c r="B6922" s="71" t="n">
        <v>46258</v>
      </c>
      <c r="C6922" s="0" t="n">
        <v>100</v>
      </c>
      <c r="D6922" s="0" t="s">
        <v>2499</v>
      </c>
      <c r="E6922" s="0" t="n">
        <v>48</v>
      </c>
      <c r="F6922" s="0" t="s">
        <v>153</v>
      </c>
      <c r="I6922" s="0" t="n">
        <v>1595558</v>
      </c>
      <c r="J6922" s="0" t="n">
        <v>100005</v>
      </c>
      <c r="K6922" s="0" t="n">
        <v>6</v>
      </c>
      <c r="L6922" s="0" t="s">
        <v>2582</v>
      </c>
      <c r="N6922" s="0" t="n">
        <v>3.154</v>
      </c>
      <c r="O6922" s="0" t="n">
        <v>76.87</v>
      </c>
      <c r="P6922" s="0" t="s">
        <v>2444</v>
      </c>
    </row>
    <row r="6923" customFormat="false" ht="15" hidden="false" customHeight="true" outlineLevel="0" collapsed="false">
      <c r="A6923" s="0" t="n">
        <v>2</v>
      </c>
      <c r="B6923" s="71" t="n">
        <v>46258</v>
      </c>
      <c r="C6923" s="0" t="n">
        <v>100</v>
      </c>
      <c r="D6923" s="0" t="s">
        <v>2499</v>
      </c>
      <c r="E6923" s="0" t="n">
        <v>48</v>
      </c>
      <c r="F6923" s="0" t="s">
        <v>153</v>
      </c>
      <c r="I6923" s="0" t="n">
        <v>1595558</v>
      </c>
      <c r="J6923" s="0" t="n">
        <v>100007</v>
      </c>
      <c r="K6923" s="0" t="n">
        <v>8</v>
      </c>
      <c r="L6923" s="0" t="s">
        <v>2486</v>
      </c>
      <c r="N6923" s="0" t="n">
        <v>3.724</v>
      </c>
      <c r="O6923" s="0" t="n">
        <v>90.76</v>
      </c>
      <c r="P6923" s="0" t="s">
        <v>2444</v>
      </c>
    </row>
    <row r="6924" customFormat="false" ht="15" hidden="false" customHeight="true" outlineLevel="0" collapsed="false">
      <c r="A6924" s="0" t="n">
        <v>2</v>
      </c>
      <c r="B6924" s="71" t="n">
        <v>46258</v>
      </c>
      <c r="C6924" s="0" t="n">
        <v>100</v>
      </c>
      <c r="D6924" s="0" t="s">
        <v>2499</v>
      </c>
      <c r="E6924" s="0" t="n">
        <v>48</v>
      </c>
      <c r="F6924" s="0" t="s">
        <v>153</v>
      </c>
      <c r="I6924" s="0" t="n">
        <v>1595558</v>
      </c>
      <c r="J6924" s="0" t="n">
        <v>100019</v>
      </c>
      <c r="K6924" s="0" t="n">
        <v>20</v>
      </c>
      <c r="L6924" s="0" t="s">
        <v>3779</v>
      </c>
      <c r="N6924" s="0" t="n">
        <v>2.202</v>
      </c>
      <c r="O6924" s="0" t="n">
        <v>75.14</v>
      </c>
      <c r="P6924" s="0" t="s">
        <v>2444</v>
      </c>
    </row>
    <row r="6925" customFormat="false" ht="15" hidden="false" customHeight="true" outlineLevel="0" collapsed="false">
      <c r="A6925" s="0" t="n">
        <v>2</v>
      </c>
      <c r="B6925" s="71" t="n">
        <v>46258</v>
      </c>
      <c r="C6925" s="0" t="n">
        <v>100</v>
      </c>
      <c r="D6925" s="0" t="s">
        <v>2499</v>
      </c>
      <c r="E6925" s="0" t="n">
        <v>48</v>
      </c>
      <c r="F6925" s="0" t="s">
        <v>153</v>
      </c>
      <c r="I6925" s="0" t="n">
        <v>1595558</v>
      </c>
      <c r="J6925" s="0" t="n">
        <v>100638</v>
      </c>
      <c r="K6925" s="0" t="n">
        <v>508</v>
      </c>
      <c r="L6925" s="0" t="s">
        <v>2496</v>
      </c>
      <c r="N6925" s="0" t="n">
        <v>1.828</v>
      </c>
      <c r="O6925" s="0" t="n">
        <v>4.44</v>
      </c>
      <c r="P6925" s="0" t="s">
        <v>2444</v>
      </c>
    </row>
    <row r="6926" customFormat="false" ht="15" hidden="false" customHeight="true" outlineLevel="0" collapsed="false">
      <c r="A6926" s="0" t="n">
        <v>2</v>
      </c>
      <c r="B6926" s="71" t="n">
        <v>46258</v>
      </c>
      <c r="C6926" s="0" t="n">
        <v>100</v>
      </c>
      <c r="D6926" s="0" t="s">
        <v>2499</v>
      </c>
      <c r="E6926" s="0" t="n">
        <v>48</v>
      </c>
      <c r="F6926" s="0" t="s">
        <v>153</v>
      </c>
      <c r="I6926" s="0" t="n">
        <v>1595558</v>
      </c>
      <c r="J6926" s="0" t="n">
        <v>100520</v>
      </c>
      <c r="K6926" s="0" t="n">
        <v>507</v>
      </c>
      <c r="L6926" s="0" t="s">
        <v>2497</v>
      </c>
      <c r="N6926" s="0" t="n">
        <v>2.462</v>
      </c>
      <c r="O6926" s="0" t="n">
        <v>5.98</v>
      </c>
      <c r="P6926" s="0" t="s">
        <v>2444</v>
      </c>
    </row>
    <row r="6927" customFormat="false" ht="15" hidden="false" customHeight="true" outlineLevel="0" collapsed="false">
      <c r="A6927" s="0" t="n">
        <v>2</v>
      </c>
      <c r="B6927" s="71" t="n">
        <v>46258</v>
      </c>
      <c r="C6927" s="0" t="n">
        <v>100</v>
      </c>
      <c r="D6927" s="0" t="s">
        <v>2499</v>
      </c>
      <c r="E6927" s="0" t="n">
        <v>48</v>
      </c>
      <c r="F6927" s="0" t="s">
        <v>153</v>
      </c>
      <c r="I6927" s="0" t="n">
        <v>1595558</v>
      </c>
      <c r="J6927" s="0" t="n">
        <v>110455</v>
      </c>
      <c r="K6927" s="0" t="n">
        <v>53212</v>
      </c>
      <c r="L6927" s="0" t="s">
        <v>2498</v>
      </c>
      <c r="N6927" s="0" t="n">
        <v>0.296</v>
      </c>
      <c r="O6927" s="0" t="n">
        <v>0</v>
      </c>
      <c r="P6927" s="0" t="s">
        <v>2444</v>
      </c>
    </row>
    <row r="6928" customFormat="false" ht="15" hidden="false" customHeight="true" outlineLevel="0" collapsed="false">
      <c r="A6928" s="0" t="n">
        <v>2</v>
      </c>
      <c r="B6928" s="71" t="n">
        <v>46258</v>
      </c>
      <c r="C6928" s="0" t="n">
        <v>171</v>
      </c>
      <c r="D6928" s="0" t="s">
        <v>3017</v>
      </c>
      <c r="E6928" s="0" t="n">
        <v>1745</v>
      </c>
      <c r="F6928" s="0" t="s">
        <v>189</v>
      </c>
      <c r="I6928" s="0" t="n">
        <v>357946</v>
      </c>
      <c r="J6928" s="0" t="n">
        <v>103344</v>
      </c>
      <c r="K6928" s="0" t="n">
        <v>7896490288775</v>
      </c>
      <c r="L6928" s="0" t="s">
        <v>2771</v>
      </c>
      <c r="N6928" s="0" t="n">
        <v>30</v>
      </c>
      <c r="O6928" s="0" t="n">
        <v>52.5</v>
      </c>
      <c r="P6928" s="0" t="s">
        <v>3019</v>
      </c>
    </row>
    <row r="6929" customFormat="false" ht="15" hidden="false" customHeight="true" outlineLevel="0" collapsed="false">
      <c r="A6929" s="0" t="n">
        <v>2</v>
      </c>
      <c r="B6929" s="71" t="n">
        <v>46258</v>
      </c>
      <c r="C6929" s="0" t="n">
        <v>171</v>
      </c>
      <c r="D6929" s="0" t="s">
        <v>3017</v>
      </c>
      <c r="E6929" s="0" t="n">
        <v>1745</v>
      </c>
      <c r="F6929" s="0" t="s">
        <v>189</v>
      </c>
      <c r="I6929" s="0" t="n">
        <v>357946</v>
      </c>
      <c r="J6929" s="0" t="n">
        <v>61571</v>
      </c>
      <c r="K6929" s="0" t="n">
        <v>7896045112425</v>
      </c>
      <c r="L6929" s="0" t="s">
        <v>3333</v>
      </c>
      <c r="N6929" s="0" t="n">
        <v>36</v>
      </c>
      <c r="O6929" s="0" t="n">
        <v>27.1</v>
      </c>
      <c r="P6929" s="0" t="s">
        <v>3019</v>
      </c>
    </row>
    <row r="6930" customFormat="false" ht="15" hidden="false" customHeight="true" outlineLevel="0" collapsed="false">
      <c r="A6930" s="0" t="n">
        <v>2</v>
      </c>
      <c r="B6930" s="71" t="n">
        <v>46259</v>
      </c>
      <c r="C6930" s="0" t="n">
        <v>6</v>
      </c>
      <c r="D6930" s="0" t="s">
        <v>2553</v>
      </c>
      <c r="E6930" s="0" t="n">
        <v>48</v>
      </c>
      <c r="F6930" s="0" t="s">
        <v>153</v>
      </c>
      <c r="I6930" s="0" t="n">
        <v>2628</v>
      </c>
      <c r="J6930" s="0" t="n">
        <v>100113</v>
      </c>
      <c r="K6930" s="0" t="n">
        <v>114</v>
      </c>
      <c r="L6930" s="0" t="s">
        <v>2539</v>
      </c>
      <c r="N6930" s="0" t="n">
        <v>20</v>
      </c>
      <c r="O6930" s="0" t="n">
        <v>85</v>
      </c>
      <c r="P6930" s="0" t="s">
        <v>2444</v>
      </c>
    </row>
    <row r="6931" customFormat="false" ht="15" hidden="false" customHeight="true" outlineLevel="0" collapsed="false">
      <c r="A6931" s="0" t="n">
        <v>2</v>
      </c>
      <c r="B6931" s="71" t="n">
        <v>46259</v>
      </c>
      <c r="C6931" s="0" t="n">
        <v>6</v>
      </c>
      <c r="D6931" s="0" t="s">
        <v>2553</v>
      </c>
      <c r="E6931" s="0" t="n">
        <v>48</v>
      </c>
      <c r="F6931" s="0" t="s">
        <v>153</v>
      </c>
      <c r="I6931" s="0" t="n">
        <v>2628</v>
      </c>
      <c r="J6931" s="0" t="n">
        <v>110142</v>
      </c>
      <c r="K6931" s="0" t="n">
        <v>16699</v>
      </c>
      <c r="L6931" s="0" t="s">
        <v>2549</v>
      </c>
      <c r="N6931" s="0" t="n">
        <v>20</v>
      </c>
      <c r="O6931" s="0" t="n">
        <v>115</v>
      </c>
      <c r="P6931" s="0" t="s">
        <v>2444</v>
      </c>
    </row>
    <row r="6932" customFormat="false" ht="15" hidden="false" customHeight="true" outlineLevel="0" collapsed="false">
      <c r="A6932" s="0" t="n">
        <v>2</v>
      </c>
      <c r="B6932" s="71" t="n">
        <v>46259</v>
      </c>
      <c r="C6932" s="0" t="n">
        <v>6</v>
      </c>
      <c r="D6932" s="0" t="s">
        <v>2553</v>
      </c>
      <c r="E6932" s="0" t="n">
        <v>48</v>
      </c>
      <c r="F6932" s="0" t="s">
        <v>153</v>
      </c>
      <c r="I6932" s="0" t="n">
        <v>2629</v>
      </c>
      <c r="J6932" s="0" t="n">
        <v>100062</v>
      </c>
      <c r="K6932" s="0" t="n">
        <v>63</v>
      </c>
      <c r="L6932" s="0" t="s">
        <v>2535</v>
      </c>
      <c r="N6932" s="0" t="n">
        <v>18</v>
      </c>
      <c r="O6932" s="0" t="n">
        <v>130</v>
      </c>
      <c r="P6932" s="0" t="s">
        <v>2444</v>
      </c>
    </row>
    <row r="6933" customFormat="false" ht="15" hidden="false" customHeight="true" outlineLevel="0" collapsed="false">
      <c r="A6933" s="0" t="n">
        <v>2</v>
      </c>
      <c r="B6933" s="71" t="n">
        <v>46259</v>
      </c>
      <c r="C6933" s="0" t="n">
        <v>6</v>
      </c>
      <c r="D6933" s="0" t="s">
        <v>2553</v>
      </c>
      <c r="E6933" s="0" t="n">
        <v>48</v>
      </c>
      <c r="F6933" s="0" t="s">
        <v>153</v>
      </c>
      <c r="I6933" s="0" t="n">
        <v>2629</v>
      </c>
      <c r="J6933" s="0" t="n">
        <v>100105</v>
      </c>
      <c r="K6933" s="0" t="n">
        <v>106</v>
      </c>
      <c r="L6933" s="0" t="s">
        <v>2536</v>
      </c>
      <c r="N6933" s="0" t="n">
        <v>24</v>
      </c>
      <c r="O6933" s="0" t="n">
        <v>100</v>
      </c>
      <c r="P6933" s="0" t="s">
        <v>2444</v>
      </c>
    </row>
    <row r="6934" customFormat="false" ht="15" hidden="false" customHeight="true" outlineLevel="0" collapsed="false">
      <c r="A6934" s="0" t="n">
        <v>2</v>
      </c>
      <c r="B6934" s="71" t="n">
        <v>46259</v>
      </c>
      <c r="C6934" s="0" t="n">
        <v>6</v>
      </c>
      <c r="D6934" s="0" t="s">
        <v>2553</v>
      </c>
      <c r="E6934" s="0" t="n">
        <v>48</v>
      </c>
      <c r="F6934" s="0" t="s">
        <v>153</v>
      </c>
      <c r="I6934" s="0" t="n">
        <v>2629</v>
      </c>
      <c r="J6934" s="0" t="n">
        <v>100107</v>
      </c>
      <c r="K6934" s="0" t="n">
        <v>108</v>
      </c>
      <c r="L6934" s="0" t="s">
        <v>3259</v>
      </c>
      <c r="N6934" s="0" t="n">
        <v>3</v>
      </c>
      <c r="O6934" s="0" t="n">
        <v>36</v>
      </c>
      <c r="P6934" s="0" t="s">
        <v>2444</v>
      </c>
    </row>
    <row r="6935" customFormat="false" ht="15" hidden="false" customHeight="true" outlineLevel="0" collapsed="false">
      <c r="A6935" s="0" t="n">
        <v>2</v>
      </c>
      <c r="B6935" s="71" t="n">
        <v>46259</v>
      </c>
      <c r="C6935" s="0" t="n">
        <v>6</v>
      </c>
      <c r="D6935" s="0" t="s">
        <v>2553</v>
      </c>
      <c r="E6935" s="0" t="n">
        <v>48</v>
      </c>
      <c r="F6935" s="0" t="s">
        <v>153</v>
      </c>
      <c r="I6935" s="0" t="n">
        <v>2629</v>
      </c>
      <c r="J6935" s="0" t="n">
        <v>100109</v>
      </c>
      <c r="K6935" s="0" t="n">
        <v>110</v>
      </c>
      <c r="L6935" s="0" t="s">
        <v>2537</v>
      </c>
      <c r="N6935" s="0" t="n">
        <v>20</v>
      </c>
      <c r="O6935" s="0" t="n">
        <v>100</v>
      </c>
      <c r="P6935" s="0" t="s">
        <v>2444</v>
      </c>
    </row>
    <row r="6936" customFormat="false" ht="15" hidden="false" customHeight="true" outlineLevel="0" collapsed="false">
      <c r="A6936" s="0" t="n">
        <v>2</v>
      </c>
      <c r="B6936" s="71" t="n">
        <v>46259</v>
      </c>
      <c r="C6936" s="0" t="n">
        <v>6</v>
      </c>
      <c r="D6936" s="0" t="s">
        <v>2553</v>
      </c>
      <c r="E6936" s="0" t="n">
        <v>48</v>
      </c>
      <c r="F6936" s="0" t="s">
        <v>153</v>
      </c>
      <c r="I6936" s="0" t="n">
        <v>2629</v>
      </c>
      <c r="J6936" s="0" t="n">
        <v>100121</v>
      </c>
      <c r="K6936" s="0" t="n">
        <v>122</v>
      </c>
      <c r="L6936" s="0" t="s">
        <v>2542</v>
      </c>
      <c r="N6936" s="0" t="n">
        <v>3</v>
      </c>
      <c r="O6936" s="0" t="n">
        <v>54</v>
      </c>
      <c r="P6936" s="0" t="s">
        <v>2444</v>
      </c>
    </row>
    <row r="6937" customFormat="false" ht="15" hidden="false" customHeight="true" outlineLevel="0" collapsed="false">
      <c r="A6937" s="0" t="n">
        <v>2</v>
      </c>
      <c r="B6937" s="71" t="n">
        <v>46259</v>
      </c>
      <c r="C6937" s="0" t="n">
        <v>6</v>
      </c>
      <c r="D6937" s="0" t="s">
        <v>2553</v>
      </c>
      <c r="E6937" s="0" t="n">
        <v>48</v>
      </c>
      <c r="F6937" s="0" t="s">
        <v>153</v>
      </c>
      <c r="I6937" s="0" t="n">
        <v>2629</v>
      </c>
      <c r="J6937" s="0" t="n">
        <v>100122</v>
      </c>
      <c r="K6937" s="0" t="n">
        <v>123</v>
      </c>
      <c r="L6937" s="0" t="s">
        <v>2543</v>
      </c>
      <c r="N6937" s="0" t="n">
        <v>3</v>
      </c>
      <c r="O6937" s="0" t="n">
        <v>45</v>
      </c>
      <c r="P6937" s="0" t="s">
        <v>2444</v>
      </c>
    </row>
    <row r="6938" customFormat="false" ht="15" hidden="false" customHeight="true" outlineLevel="0" collapsed="false">
      <c r="A6938" s="0" t="n">
        <v>2</v>
      </c>
      <c r="B6938" s="71" t="n">
        <v>46259</v>
      </c>
      <c r="C6938" s="0" t="n">
        <v>6</v>
      </c>
      <c r="D6938" s="0" t="s">
        <v>2553</v>
      </c>
      <c r="E6938" s="0" t="n">
        <v>48</v>
      </c>
      <c r="F6938" s="0" t="s">
        <v>153</v>
      </c>
      <c r="I6938" s="0" t="n">
        <v>2629</v>
      </c>
      <c r="J6938" s="0" t="n">
        <v>100124</v>
      </c>
      <c r="K6938" s="0" t="n">
        <v>125</v>
      </c>
      <c r="L6938" s="0" t="s">
        <v>2695</v>
      </c>
      <c r="N6938" s="0" t="n">
        <v>3</v>
      </c>
      <c r="O6938" s="0" t="n">
        <v>33</v>
      </c>
      <c r="P6938" s="0" t="s">
        <v>2444</v>
      </c>
    </row>
    <row r="6939" customFormat="false" ht="15" hidden="false" customHeight="true" outlineLevel="0" collapsed="false">
      <c r="A6939" s="0" t="n">
        <v>2</v>
      </c>
      <c r="B6939" s="71" t="n">
        <v>46259</v>
      </c>
      <c r="C6939" s="0" t="n">
        <v>6</v>
      </c>
      <c r="D6939" s="0" t="s">
        <v>2553</v>
      </c>
      <c r="E6939" s="0" t="n">
        <v>48</v>
      </c>
      <c r="F6939" s="0" t="s">
        <v>153</v>
      </c>
      <c r="I6939" s="0" t="n">
        <v>2629</v>
      </c>
      <c r="J6939" s="0" t="n">
        <v>100129</v>
      </c>
      <c r="K6939" s="0" t="n">
        <v>130</v>
      </c>
      <c r="L6939" s="0" t="s">
        <v>2598</v>
      </c>
      <c r="N6939" s="0" t="n">
        <v>13</v>
      </c>
      <c r="O6939" s="0" t="n">
        <v>70</v>
      </c>
      <c r="P6939" s="0" t="s">
        <v>2444</v>
      </c>
    </row>
    <row r="6940" customFormat="false" ht="15" hidden="false" customHeight="true" outlineLevel="0" collapsed="false">
      <c r="A6940" s="0" t="n">
        <v>2</v>
      </c>
      <c r="B6940" s="71" t="n">
        <v>46259</v>
      </c>
      <c r="C6940" s="0" t="n">
        <v>6</v>
      </c>
      <c r="D6940" s="0" t="s">
        <v>2553</v>
      </c>
      <c r="E6940" s="0" t="n">
        <v>48</v>
      </c>
      <c r="F6940" s="0" t="s">
        <v>153</v>
      </c>
      <c r="I6940" s="0" t="n">
        <v>2629</v>
      </c>
      <c r="J6940" s="0" t="n">
        <v>100132</v>
      </c>
      <c r="K6940" s="0" t="n">
        <v>133</v>
      </c>
      <c r="L6940" s="0" t="s">
        <v>2546</v>
      </c>
      <c r="N6940" s="0" t="n">
        <v>57.58</v>
      </c>
      <c r="O6940" s="0" t="n">
        <v>190</v>
      </c>
      <c r="P6940" s="0" t="s">
        <v>2444</v>
      </c>
    </row>
    <row r="6941" customFormat="false" ht="15" hidden="false" customHeight="true" outlineLevel="0" collapsed="false">
      <c r="A6941" s="0" t="n">
        <v>2</v>
      </c>
      <c r="B6941" s="71" t="n">
        <v>46259</v>
      </c>
      <c r="C6941" s="0" t="n">
        <v>6</v>
      </c>
      <c r="D6941" s="0" t="s">
        <v>2553</v>
      </c>
      <c r="E6941" s="0" t="n">
        <v>48</v>
      </c>
      <c r="F6941" s="0" t="s">
        <v>153</v>
      </c>
      <c r="I6941" s="0" t="n">
        <v>2629</v>
      </c>
      <c r="J6941" s="0" t="n">
        <v>100133</v>
      </c>
      <c r="K6941" s="0" t="n">
        <v>134</v>
      </c>
      <c r="L6941" s="0" t="s">
        <v>2547</v>
      </c>
      <c r="N6941" s="0" t="n">
        <v>20</v>
      </c>
      <c r="O6941" s="0" t="n">
        <v>115</v>
      </c>
      <c r="P6941" s="0" t="s">
        <v>2444</v>
      </c>
    </row>
    <row r="6942" customFormat="false" ht="15" hidden="false" customHeight="true" outlineLevel="0" collapsed="false">
      <c r="A6942" s="0" t="n">
        <v>2</v>
      </c>
      <c r="B6942" s="71" t="n">
        <v>46259</v>
      </c>
      <c r="C6942" s="0" t="n">
        <v>6</v>
      </c>
      <c r="D6942" s="0" t="s">
        <v>2553</v>
      </c>
      <c r="E6942" s="0" t="n">
        <v>48</v>
      </c>
      <c r="F6942" s="0" t="s">
        <v>153</v>
      </c>
      <c r="I6942" s="0" t="n">
        <v>2629</v>
      </c>
      <c r="J6942" s="0" t="n">
        <v>100148</v>
      </c>
      <c r="K6942" s="0" t="n">
        <v>149</v>
      </c>
      <c r="L6942" s="0" t="s">
        <v>2600</v>
      </c>
      <c r="N6942" s="0" t="n">
        <v>11</v>
      </c>
      <c r="O6942" s="0" t="n">
        <v>79</v>
      </c>
      <c r="P6942" s="0" t="s">
        <v>2444</v>
      </c>
    </row>
    <row r="6943" customFormat="false" ht="15" hidden="false" customHeight="true" outlineLevel="0" collapsed="false">
      <c r="A6943" s="0" t="n">
        <v>2</v>
      </c>
      <c r="B6943" s="71" t="n">
        <v>46259</v>
      </c>
      <c r="C6943" s="0" t="n">
        <v>6</v>
      </c>
      <c r="D6943" s="0" t="s">
        <v>2553</v>
      </c>
      <c r="E6943" s="0" t="n">
        <v>48</v>
      </c>
      <c r="F6943" s="0" t="s">
        <v>153</v>
      </c>
      <c r="I6943" s="0" t="n">
        <v>2629</v>
      </c>
      <c r="J6943" s="0" t="n">
        <v>110489</v>
      </c>
      <c r="K6943" s="0" t="n">
        <v>54743</v>
      </c>
      <c r="L6943" s="0" t="s">
        <v>2550</v>
      </c>
      <c r="N6943" s="0" t="n">
        <v>40</v>
      </c>
      <c r="O6943" s="0" t="n">
        <v>270</v>
      </c>
      <c r="P6943" s="0" t="s">
        <v>2444</v>
      </c>
    </row>
    <row r="6944" customFormat="false" ht="15" hidden="false" customHeight="true" outlineLevel="0" collapsed="false">
      <c r="A6944" s="0" t="n">
        <v>2</v>
      </c>
      <c r="B6944" s="71" t="n">
        <v>46259</v>
      </c>
      <c r="C6944" s="0" t="n">
        <v>6</v>
      </c>
      <c r="D6944" s="0" t="s">
        <v>2553</v>
      </c>
      <c r="E6944" s="0" t="n">
        <v>48</v>
      </c>
      <c r="F6944" s="0" t="s">
        <v>153</v>
      </c>
      <c r="I6944" s="0" t="n">
        <v>2629</v>
      </c>
      <c r="J6944" s="0" t="n">
        <v>80078</v>
      </c>
      <c r="K6944" s="0" t="n">
        <v>710</v>
      </c>
      <c r="L6944" s="0" t="s">
        <v>2551</v>
      </c>
      <c r="N6944" s="0" t="n">
        <v>10</v>
      </c>
      <c r="O6944" s="0" t="n">
        <v>30</v>
      </c>
      <c r="P6944" s="0" t="s">
        <v>2444</v>
      </c>
    </row>
    <row r="6945" customFormat="false" ht="15" hidden="false" customHeight="true" outlineLevel="0" collapsed="false">
      <c r="A6945" s="0" t="n">
        <v>2</v>
      </c>
      <c r="B6945" s="71" t="n">
        <v>46259</v>
      </c>
      <c r="C6945" s="0" t="n">
        <v>6</v>
      </c>
      <c r="D6945" s="0" t="s">
        <v>2553</v>
      </c>
      <c r="E6945" s="0" t="n">
        <v>48</v>
      </c>
      <c r="F6945" s="0" t="s">
        <v>153</v>
      </c>
      <c r="I6945" s="0" t="n">
        <v>2629</v>
      </c>
      <c r="J6945" s="0" t="n">
        <v>81699</v>
      </c>
      <c r="K6945" s="0" t="n">
        <v>1311</v>
      </c>
      <c r="L6945" s="0" t="s">
        <v>4045</v>
      </c>
      <c r="N6945" s="0" t="n">
        <v>20</v>
      </c>
      <c r="O6945" s="0" t="n">
        <v>100</v>
      </c>
      <c r="P6945" s="0" t="s">
        <v>2444</v>
      </c>
    </row>
    <row r="6946" customFormat="false" ht="15" hidden="false" customHeight="true" outlineLevel="0" collapsed="false">
      <c r="A6946" s="0" t="n">
        <v>2</v>
      </c>
      <c r="B6946" s="71" t="n">
        <v>46259</v>
      </c>
      <c r="C6946" s="0" t="n">
        <v>11</v>
      </c>
      <c r="D6946" s="0" t="s">
        <v>2471</v>
      </c>
      <c r="E6946" s="0" t="n">
        <v>642</v>
      </c>
      <c r="F6946" s="0" t="s">
        <v>123</v>
      </c>
      <c r="I6946" s="0" t="n">
        <v>621</v>
      </c>
      <c r="J6946" s="0" t="n">
        <v>71766</v>
      </c>
      <c r="K6946" s="0" t="n">
        <v>779180</v>
      </c>
      <c r="L6946" s="0" t="s">
        <v>2501</v>
      </c>
      <c r="N6946" s="0" t="n">
        <v>20</v>
      </c>
      <c r="O6946" s="0" t="n">
        <v>240</v>
      </c>
      <c r="P6946" s="0" t="s">
        <v>2444</v>
      </c>
    </row>
    <row r="6947" customFormat="false" ht="15" hidden="false" customHeight="true" outlineLevel="0" collapsed="false">
      <c r="A6947" s="0" t="n">
        <v>2</v>
      </c>
      <c r="B6947" s="71" t="n">
        <v>46259</v>
      </c>
      <c r="C6947" s="0" t="n">
        <v>11</v>
      </c>
      <c r="D6947" s="0" t="s">
        <v>2471</v>
      </c>
      <c r="E6947" s="0" t="n">
        <v>1328</v>
      </c>
      <c r="F6947" s="0" t="s">
        <v>95</v>
      </c>
      <c r="I6947" s="0" t="n">
        <v>4446</v>
      </c>
      <c r="J6947" s="0" t="n">
        <v>21045</v>
      </c>
      <c r="K6947" s="0" t="n">
        <v>7898588380255</v>
      </c>
      <c r="L6947" s="0" t="s">
        <v>2503</v>
      </c>
      <c r="N6947" s="0" t="n">
        <v>3</v>
      </c>
      <c r="O6947" s="0" t="n">
        <v>16.5</v>
      </c>
      <c r="P6947" s="0" t="s">
        <v>2444</v>
      </c>
    </row>
    <row r="6948" customFormat="false" ht="15" hidden="false" customHeight="true" outlineLevel="0" collapsed="false">
      <c r="A6948" s="0" t="n">
        <v>2</v>
      </c>
      <c r="B6948" s="71" t="n">
        <v>46259</v>
      </c>
      <c r="C6948" s="0" t="n">
        <v>11</v>
      </c>
      <c r="D6948" s="0" t="s">
        <v>2471</v>
      </c>
      <c r="E6948" s="0" t="n">
        <v>1328</v>
      </c>
      <c r="F6948" s="0" t="s">
        <v>95</v>
      </c>
      <c r="I6948" s="0" t="n">
        <v>4446</v>
      </c>
      <c r="J6948" s="0" t="n">
        <v>21060</v>
      </c>
      <c r="K6948" s="0" t="n">
        <v>7898588380118</v>
      </c>
      <c r="L6948" s="0" t="s">
        <v>2504</v>
      </c>
      <c r="N6948" s="0" t="n">
        <v>15</v>
      </c>
      <c r="O6948" s="0" t="n">
        <v>97.5</v>
      </c>
      <c r="P6948" s="0" t="s">
        <v>2444</v>
      </c>
    </row>
    <row r="6949" customFormat="false" ht="15" hidden="false" customHeight="true" outlineLevel="0" collapsed="false">
      <c r="A6949" s="0" t="n">
        <v>2</v>
      </c>
      <c r="B6949" s="71" t="n">
        <v>46259</v>
      </c>
      <c r="C6949" s="0" t="n">
        <v>11</v>
      </c>
      <c r="D6949" s="0" t="s">
        <v>2471</v>
      </c>
      <c r="E6949" s="0" t="n">
        <v>1328</v>
      </c>
      <c r="F6949" s="0" t="s">
        <v>95</v>
      </c>
      <c r="I6949" s="0" t="n">
        <v>4446</v>
      </c>
      <c r="J6949" s="0" t="n">
        <v>31789</v>
      </c>
      <c r="K6949" s="0" t="n">
        <v>7898588380149</v>
      </c>
      <c r="L6949" s="0" t="s">
        <v>2446</v>
      </c>
      <c r="N6949" s="0" t="n">
        <v>3</v>
      </c>
      <c r="O6949" s="0" t="n">
        <v>16.5</v>
      </c>
      <c r="P6949" s="0" t="s">
        <v>2444</v>
      </c>
    </row>
    <row r="6950" customFormat="false" ht="15" hidden="false" customHeight="true" outlineLevel="0" collapsed="false">
      <c r="A6950" s="0" t="n">
        <v>2</v>
      </c>
      <c r="B6950" s="71" t="n">
        <v>46259</v>
      </c>
      <c r="C6950" s="0" t="n">
        <v>11</v>
      </c>
      <c r="D6950" s="0" t="s">
        <v>2471</v>
      </c>
      <c r="E6950" s="0" t="n">
        <v>1328</v>
      </c>
      <c r="F6950" s="0" t="s">
        <v>95</v>
      </c>
      <c r="I6950" s="0" t="n">
        <v>4446</v>
      </c>
      <c r="J6950" s="0" t="n">
        <v>31782</v>
      </c>
      <c r="K6950" s="0" t="n">
        <v>7898588380132</v>
      </c>
      <c r="L6950" s="0" t="s">
        <v>2505</v>
      </c>
      <c r="N6950" s="0" t="n">
        <v>5</v>
      </c>
      <c r="O6950" s="0" t="n">
        <v>27.5</v>
      </c>
      <c r="P6950" s="0" t="s">
        <v>2444</v>
      </c>
    </row>
    <row r="6951" customFormat="false" ht="15" hidden="false" customHeight="true" outlineLevel="0" collapsed="false">
      <c r="A6951" s="0" t="n">
        <v>2</v>
      </c>
      <c r="B6951" s="71" t="n">
        <v>46259</v>
      </c>
      <c r="C6951" s="0" t="n">
        <v>11</v>
      </c>
      <c r="D6951" s="0" t="s">
        <v>2471</v>
      </c>
      <c r="E6951" s="0" t="n">
        <v>1328</v>
      </c>
      <c r="F6951" s="0" t="s">
        <v>95</v>
      </c>
      <c r="I6951" s="0" t="n">
        <v>4446</v>
      </c>
      <c r="J6951" s="0" t="n">
        <v>31786</v>
      </c>
      <c r="K6951" s="0" t="n">
        <v>7898588380187</v>
      </c>
      <c r="L6951" s="0" t="s">
        <v>2506</v>
      </c>
      <c r="N6951" s="0" t="n">
        <v>5</v>
      </c>
      <c r="O6951" s="0" t="n">
        <v>27.5</v>
      </c>
      <c r="P6951" s="0" t="s">
        <v>2444</v>
      </c>
    </row>
    <row r="6952" customFormat="false" ht="15" hidden="false" customHeight="true" outlineLevel="0" collapsed="false">
      <c r="A6952" s="0" t="n">
        <v>2</v>
      </c>
      <c r="B6952" s="71" t="n">
        <v>46259</v>
      </c>
      <c r="C6952" s="0" t="n">
        <v>11</v>
      </c>
      <c r="D6952" s="0" t="s">
        <v>2471</v>
      </c>
      <c r="E6952" s="0" t="n">
        <v>1328</v>
      </c>
      <c r="F6952" s="0" t="s">
        <v>95</v>
      </c>
      <c r="I6952" s="0" t="n">
        <v>4446</v>
      </c>
      <c r="J6952" s="0" t="n">
        <v>31787</v>
      </c>
      <c r="K6952" s="0" t="n">
        <v>7898588380125</v>
      </c>
      <c r="L6952" s="0" t="s">
        <v>2507</v>
      </c>
      <c r="N6952" s="0" t="n">
        <v>1</v>
      </c>
      <c r="O6952" s="0" t="n">
        <v>8.4</v>
      </c>
      <c r="P6952" s="0" t="s">
        <v>2444</v>
      </c>
    </row>
    <row r="6953" customFormat="false" ht="15" hidden="false" customHeight="true" outlineLevel="0" collapsed="false">
      <c r="A6953" s="0" t="n">
        <v>2</v>
      </c>
      <c r="B6953" s="71" t="n">
        <v>46259</v>
      </c>
      <c r="C6953" s="0" t="n">
        <v>11</v>
      </c>
      <c r="D6953" s="0" t="s">
        <v>2471</v>
      </c>
      <c r="E6953" s="0" t="n">
        <v>1328</v>
      </c>
      <c r="F6953" s="0" t="s">
        <v>95</v>
      </c>
      <c r="I6953" s="0" t="n">
        <v>4446</v>
      </c>
      <c r="J6953" s="0" t="n">
        <v>31790</v>
      </c>
      <c r="K6953" s="0" t="n">
        <v>7898588380231</v>
      </c>
      <c r="L6953" s="0" t="s">
        <v>2508</v>
      </c>
      <c r="N6953" s="0" t="n">
        <v>4</v>
      </c>
      <c r="O6953" s="0" t="n">
        <v>22</v>
      </c>
      <c r="P6953" s="0" t="s">
        <v>2444</v>
      </c>
    </row>
    <row r="6954" customFormat="false" ht="15" hidden="false" customHeight="true" outlineLevel="0" collapsed="false">
      <c r="A6954" s="0" t="n">
        <v>2</v>
      </c>
      <c r="B6954" s="71" t="n">
        <v>46259</v>
      </c>
      <c r="C6954" s="0" t="n">
        <v>11</v>
      </c>
      <c r="D6954" s="0" t="s">
        <v>2471</v>
      </c>
      <c r="E6954" s="0" t="n">
        <v>1650</v>
      </c>
      <c r="F6954" s="0" t="s">
        <v>438</v>
      </c>
      <c r="I6954" s="0" t="n">
        <v>229698</v>
      </c>
      <c r="J6954" s="0" t="n">
        <v>16172</v>
      </c>
      <c r="K6954" s="0" t="n">
        <v>7898055452188</v>
      </c>
      <c r="L6954" s="0" t="s">
        <v>2685</v>
      </c>
      <c r="N6954" s="0" t="n">
        <v>35</v>
      </c>
      <c r="O6954" s="0" t="n">
        <v>126.78</v>
      </c>
      <c r="P6954" s="0" t="s">
        <v>2444</v>
      </c>
    </row>
    <row r="6955" customFormat="false" ht="15" hidden="false" customHeight="true" outlineLevel="0" collapsed="false">
      <c r="A6955" s="0" t="n">
        <v>2</v>
      </c>
      <c r="B6955" s="71" t="n">
        <v>46259</v>
      </c>
      <c r="C6955" s="0" t="n">
        <v>11</v>
      </c>
      <c r="D6955" s="0" t="s">
        <v>2471</v>
      </c>
      <c r="E6955" s="0" t="n">
        <v>1650</v>
      </c>
      <c r="F6955" s="0" t="s">
        <v>438</v>
      </c>
      <c r="I6955" s="0" t="n">
        <v>229698</v>
      </c>
      <c r="J6955" s="0" t="n">
        <v>16173</v>
      </c>
      <c r="K6955" s="0" t="n">
        <v>7898055452201</v>
      </c>
      <c r="L6955" s="0" t="s">
        <v>2686</v>
      </c>
      <c r="N6955" s="0" t="n">
        <v>12</v>
      </c>
      <c r="O6955" s="0" t="n">
        <v>53.41</v>
      </c>
      <c r="P6955" s="0" t="s">
        <v>2444</v>
      </c>
    </row>
    <row r="6956" customFormat="false" ht="15" hidden="false" customHeight="true" outlineLevel="0" collapsed="false">
      <c r="A6956" s="0" t="n">
        <v>2</v>
      </c>
      <c r="B6956" s="71" t="n">
        <v>46259</v>
      </c>
      <c r="C6956" s="0" t="n">
        <v>11</v>
      </c>
      <c r="D6956" s="0" t="s">
        <v>2471</v>
      </c>
      <c r="E6956" s="0" t="n">
        <v>1650</v>
      </c>
      <c r="F6956" s="0" t="s">
        <v>438</v>
      </c>
      <c r="I6956" s="0" t="n">
        <v>229698</v>
      </c>
      <c r="J6956" s="0" t="n">
        <v>16174</v>
      </c>
      <c r="K6956" s="0" t="n">
        <v>7898055452195</v>
      </c>
      <c r="L6956" s="0" t="s">
        <v>2687</v>
      </c>
      <c r="N6956" s="0" t="n">
        <v>12</v>
      </c>
      <c r="O6956" s="0" t="n">
        <v>44.72</v>
      </c>
      <c r="P6956" s="0" t="s">
        <v>2444</v>
      </c>
    </row>
    <row r="6957" customFormat="false" ht="15" hidden="false" customHeight="true" outlineLevel="0" collapsed="false">
      <c r="A6957" s="0" t="n">
        <v>2</v>
      </c>
      <c r="B6957" s="71" t="n">
        <v>46259</v>
      </c>
      <c r="C6957" s="0" t="n">
        <v>11</v>
      </c>
      <c r="D6957" s="0" t="s">
        <v>2471</v>
      </c>
      <c r="E6957" s="0" t="n">
        <v>1650</v>
      </c>
      <c r="F6957" s="0" t="s">
        <v>438</v>
      </c>
      <c r="I6957" s="0" t="n">
        <v>229698</v>
      </c>
      <c r="J6957" s="0" t="n">
        <v>16604</v>
      </c>
      <c r="K6957" s="0" t="n">
        <v>7898055453246</v>
      </c>
      <c r="L6957" s="0" t="s">
        <v>2688</v>
      </c>
      <c r="N6957" s="0" t="n">
        <v>12</v>
      </c>
      <c r="O6957" s="0" t="n">
        <v>23.59</v>
      </c>
      <c r="P6957" s="0" t="s">
        <v>2444</v>
      </c>
    </row>
    <row r="6958" customFormat="false" ht="15" hidden="false" customHeight="true" outlineLevel="0" collapsed="false">
      <c r="A6958" s="0" t="n">
        <v>2</v>
      </c>
      <c r="B6958" s="71" t="n">
        <v>46259</v>
      </c>
      <c r="C6958" s="0" t="n">
        <v>11</v>
      </c>
      <c r="D6958" s="0" t="s">
        <v>2471</v>
      </c>
      <c r="E6958" s="0" t="n">
        <v>1650</v>
      </c>
      <c r="F6958" s="0" t="s">
        <v>438</v>
      </c>
      <c r="I6958" s="0" t="n">
        <v>229698</v>
      </c>
      <c r="J6958" s="0" t="n">
        <v>21048</v>
      </c>
      <c r="K6958" s="0" t="n">
        <v>7898055451532</v>
      </c>
      <c r="L6958" s="0" t="s">
        <v>2691</v>
      </c>
      <c r="N6958" s="0" t="n">
        <v>6</v>
      </c>
      <c r="O6958" s="0" t="n">
        <v>41.61</v>
      </c>
      <c r="P6958" s="0" t="s">
        <v>2444</v>
      </c>
    </row>
    <row r="6959" customFormat="false" ht="15" hidden="false" customHeight="true" outlineLevel="0" collapsed="false">
      <c r="A6959" s="0" t="n">
        <v>2</v>
      </c>
      <c r="B6959" s="71" t="n">
        <v>46259</v>
      </c>
      <c r="C6959" s="0" t="n">
        <v>11</v>
      </c>
      <c r="D6959" s="0" t="s">
        <v>2471</v>
      </c>
      <c r="E6959" s="0" t="n">
        <v>1650</v>
      </c>
      <c r="F6959" s="0" t="s">
        <v>438</v>
      </c>
      <c r="I6959" s="0" t="n">
        <v>229698</v>
      </c>
      <c r="J6959" s="0" t="n">
        <v>21195</v>
      </c>
      <c r="K6959" s="0" t="n">
        <v>7898055452317</v>
      </c>
      <c r="L6959" s="0" t="s">
        <v>5080</v>
      </c>
      <c r="N6959" s="0" t="n">
        <v>12</v>
      </c>
      <c r="O6959" s="0" t="n">
        <v>73.86</v>
      </c>
      <c r="P6959" s="0" t="s">
        <v>2444</v>
      </c>
    </row>
    <row r="6960" customFormat="false" ht="15" hidden="false" customHeight="true" outlineLevel="0" collapsed="false">
      <c r="A6960" s="0" t="n">
        <v>2</v>
      </c>
      <c r="B6960" s="71" t="n">
        <v>46259</v>
      </c>
      <c r="C6960" s="0" t="n">
        <v>11</v>
      </c>
      <c r="D6960" s="0" t="s">
        <v>2471</v>
      </c>
      <c r="E6960" s="0" t="n">
        <v>1642</v>
      </c>
      <c r="F6960" s="0" t="s">
        <v>228</v>
      </c>
      <c r="I6960" s="0" t="n">
        <v>1038558</v>
      </c>
      <c r="J6960" s="0" t="n">
        <v>104335</v>
      </c>
      <c r="K6960" s="0" t="n">
        <v>7896289210512</v>
      </c>
      <c r="L6960" s="0" t="s">
        <v>4216</v>
      </c>
      <c r="N6960" s="0" t="n">
        <v>10</v>
      </c>
      <c r="O6960" s="0" t="n">
        <v>86</v>
      </c>
      <c r="P6960" s="0" t="s">
        <v>2444</v>
      </c>
    </row>
    <row r="6961" customFormat="false" ht="15" hidden="false" customHeight="true" outlineLevel="0" collapsed="false">
      <c r="A6961" s="0" t="n">
        <v>2</v>
      </c>
      <c r="B6961" s="71" t="n">
        <v>46259</v>
      </c>
      <c r="C6961" s="0" t="n">
        <v>11</v>
      </c>
      <c r="D6961" s="0" t="s">
        <v>2471</v>
      </c>
      <c r="E6961" s="0" t="n">
        <v>1642</v>
      </c>
      <c r="F6961" s="0" t="s">
        <v>228</v>
      </c>
      <c r="I6961" s="0" t="n">
        <v>1038558</v>
      </c>
      <c r="J6961" s="0" t="n">
        <v>105780</v>
      </c>
      <c r="K6961" s="0" t="n">
        <v>7896289210017</v>
      </c>
      <c r="L6961" s="0" t="s">
        <v>2511</v>
      </c>
      <c r="N6961" s="0" t="n">
        <v>10</v>
      </c>
      <c r="O6961" s="0" t="n">
        <v>106.7</v>
      </c>
      <c r="P6961" s="0" t="s">
        <v>2444</v>
      </c>
    </row>
    <row r="6962" customFormat="false" ht="15" hidden="false" customHeight="true" outlineLevel="0" collapsed="false">
      <c r="A6962" s="0" t="n">
        <v>2</v>
      </c>
      <c r="B6962" s="71" t="n">
        <v>46259</v>
      </c>
      <c r="C6962" s="0" t="n">
        <v>11</v>
      </c>
      <c r="D6962" s="0" t="s">
        <v>2471</v>
      </c>
      <c r="E6962" s="0" t="n">
        <v>1642</v>
      </c>
      <c r="F6962" s="0" t="s">
        <v>228</v>
      </c>
      <c r="I6962" s="0" t="n">
        <v>1038558</v>
      </c>
      <c r="J6962" s="0" t="n">
        <v>105782</v>
      </c>
      <c r="K6962" s="0" t="n">
        <v>7896289210352</v>
      </c>
      <c r="L6962" s="0" t="s">
        <v>2512</v>
      </c>
      <c r="N6962" s="0" t="n">
        <v>5</v>
      </c>
      <c r="O6962" s="0" t="n">
        <v>34.3</v>
      </c>
      <c r="P6962" s="0" t="s">
        <v>2444</v>
      </c>
    </row>
    <row r="6963" customFormat="false" ht="15" hidden="false" customHeight="true" outlineLevel="0" collapsed="false">
      <c r="A6963" s="0" t="n">
        <v>2</v>
      </c>
      <c r="B6963" s="71" t="n">
        <v>46259</v>
      </c>
      <c r="C6963" s="0" t="n">
        <v>11</v>
      </c>
      <c r="D6963" s="0" t="s">
        <v>2471</v>
      </c>
      <c r="E6963" s="0" t="n">
        <v>1642</v>
      </c>
      <c r="F6963" s="0" t="s">
        <v>228</v>
      </c>
      <c r="I6963" s="0" t="n">
        <v>1038558</v>
      </c>
      <c r="J6963" s="0" t="n">
        <v>105787</v>
      </c>
      <c r="K6963" s="0" t="n">
        <v>7896289210307</v>
      </c>
      <c r="L6963" s="0" t="s">
        <v>4689</v>
      </c>
      <c r="N6963" s="0" t="n">
        <v>3</v>
      </c>
      <c r="O6963" s="0" t="n">
        <v>20.92</v>
      </c>
      <c r="P6963" s="0" t="s">
        <v>2444</v>
      </c>
    </row>
    <row r="6964" customFormat="false" ht="15" hidden="false" customHeight="true" outlineLevel="0" collapsed="false">
      <c r="A6964" s="0" t="n">
        <v>2</v>
      </c>
      <c r="B6964" s="71" t="n">
        <v>46259</v>
      </c>
      <c r="C6964" s="0" t="n">
        <v>11</v>
      </c>
      <c r="D6964" s="0" t="s">
        <v>2471</v>
      </c>
      <c r="E6964" s="0" t="n">
        <v>1642</v>
      </c>
      <c r="F6964" s="0" t="s">
        <v>228</v>
      </c>
      <c r="I6964" s="0" t="n">
        <v>1038558</v>
      </c>
      <c r="J6964" s="0" t="n">
        <v>106079</v>
      </c>
      <c r="K6964" s="0" t="n">
        <v>7896289210130</v>
      </c>
      <c r="L6964" s="0" t="s">
        <v>2513</v>
      </c>
      <c r="N6964" s="0" t="n">
        <v>4</v>
      </c>
      <c r="O6964" s="0" t="n">
        <v>54.8</v>
      </c>
      <c r="P6964" s="0" t="s">
        <v>2444</v>
      </c>
    </row>
    <row r="6965" customFormat="false" ht="15" hidden="false" customHeight="true" outlineLevel="0" collapsed="false">
      <c r="A6965" s="0" t="n">
        <v>2</v>
      </c>
      <c r="B6965" s="71" t="n">
        <v>46259</v>
      </c>
      <c r="C6965" s="0" t="n">
        <v>11</v>
      </c>
      <c r="D6965" s="0" t="s">
        <v>2471</v>
      </c>
      <c r="E6965" s="0" t="n">
        <v>1642</v>
      </c>
      <c r="F6965" s="0" t="s">
        <v>228</v>
      </c>
      <c r="I6965" s="0" t="n">
        <v>1038558</v>
      </c>
      <c r="J6965" s="0" t="n">
        <v>106274</v>
      </c>
      <c r="K6965" s="0" t="n">
        <v>7896289210086</v>
      </c>
      <c r="L6965" s="0" t="s">
        <v>2514</v>
      </c>
      <c r="N6965" s="0" t="n">
        <v>4</v>
      </c>
      <c r="O6965" s="0" t="n">
        <v>50.24</v>
      </c>
      <c r="P6965" s="0" t="s">
        <v>2444</v>
      </c>
    </row>
    <row r="6966" customFormat="false" ht="15" hidden="false" customHeight="true" outlineLevel="0" collapsed="false">
      <c r="A6966" s="0" t="n">
        <v>2</v>
      </c>
      <c r="B6966" s="71" t="n">
        <v>46259</v>
      </c>
      <c r="C6966" s="0" t="n">
        <v>11</v>
      </c>
      <c r="D6966" s="0" t="s">
        <v>2471</v>
      </c>
      <c r="E6966" s="0" t="n">
        <v>1642</v>
      </c>
      <c r="F6966" s="0" t="s">
        <v>228</v>
      </c>
      <c r="I6966" s="0" t="n">
        <v>1038558</v>
      </c>
      <c r="J6966" s="0" t="n">
        <v>106280</v>
      </c>
      <c r="K6966" s="0" t="n">
        <v>7896289210062</v>
      </c>
      <c r="L6966" s="0" t="s">
        <v>2515</v>
      </c>
      <c r="N6966" s="0" t="n">
        <v>3</v>
      </c>
      <c r="O6966" s="0" t="n">
        <v>37.68</v>
      </c>
      <c r="P6966" s="0" t="s">
        <v>2444</v>
      </c>
    </row>
    <row r="6967" customFormat="false" ht="15" hidden="false" customHeight="true" outlineLevel="0" collapsed="false">
      <c r="A6967" s="0" t="n">
        <v>2</v>
      </c>
      <c r="B6967" s="71" t="n">
        <v>46259</v>
      </c>
      <c r="C6967" s="0" t="n">
        <v>11</v>
      </c>
      <c r="D6967" s="0" t="s">
        <v>2471</v>
      </c>
      <c r="E6967" s="0" t="n">
        <v>1642</v>
      </c>
      <c r="F6967" s="0" t="s">
        <v>228</v>
      </c>
      <c r="I6967" s="0" t="n">
        <v>1038558</v>
      </c>
      <c r="J6967" s="0" t="n">
        <v>106407</v>
      </c>
      <c r="K6967" s="0" t="n">
        <v>7896289210031</v>
      </c>
      <c r="L6967" s="0" t="s">
        <v>2516</v>
      </c>
      <c r="N6967" s="0" t="n">
        <v>4</v>
      </c>
      <c r="O6967" s="0" t="n">
        <v>46.56</v>
      </c>
      <c r="P6967" s="0" t="s">
        <v>2444</v>
      </c>
    </row>
    <row r="6968" customFormat="false" ht="15" hidden="false" customHeight="true" outlineLevel="0" collapsed="false">
      <c r="A6968" s="0" t="n">
        <v>2</v>
      </c>
      <c r="B6968" s="71" t="n">
        <v>46259</v>
      </c>
      <c r="C6968" s="0" t="n">
        <v>11</v>
      </c>
      <c r="D6968" s="0" t="s">
        <v>2471</v>
      </c>
      <c r="E6968" s="0" t="n">
        <v>1705</v>
      </c>
      <c r="F6968" s="0" t="s">
        <v>130</v>
      </c>
      <c r="I6968" s="0" t="n">
        <v>1262093</v>
      </c>
      <c r="J6968" s="0" t="n">
        <v>104029</v>
      </c>
      <c r="K6968" s="0" t="n">
        <v>7896045512317</v>
      </c>
      <c r="L6968" s="0" t="s">
        <v>3256</v>
      </c>
      <c r="N6968" s="0" t="n">
        <v>48</v>
      </c>
      <c r="O6968" s="0" t="n">
        <v>140.66</v>
      </c>
      <c r="P6968" s="0" t="s">
        <v>2444</v>
      </c>
    </row>
    <row r="6969" customFormat="false" ht="15" hidden="false" customHeight="true" outlineLevel="0" collapsed="false">
      <c r="A6969" s="0" t="n">
        <v>2</v>
      </c>
      <c r="B6969" s="71" t="n">
        <v>46259</v>
      </c>
      <c r="C6969" s="0" t="n">
        <v>11</v>
      </c>
      <c r="D6969" s="0" t="s">
        <v>2471</v>
      </c>
      <c r="E6969" s="0" t="n">
        <v>1705</v>
      </c>
      <c r="F6969" s="0" t="s">
        <v>130</v>
      </c>
      <c r="I6969" s="0" t="n">
        <v>1262093</v>
      </c>
      <c r="J6969" s="0" t="n">
        <v>14312</v>
      </c>
      <c r="K6969" s="0" t="n">
        <v>7894900504002</v>
      </c>
      <c r="L6969" s="0" t="s">
        <v>4349</v>
      </c>
      <c r="N6969" s="0" t="n">
        <v>6</v>
      </c>
      <c r="O6969" s="0" t="n">
        <v>29.3</v>
      </c>
      <c r="P6969" s="0" t="s">
        <v>2444</v>
      </c>
    </row>
    <row r="6970" customFormat="false" ht="15" hidden="false" customHeight="true" outlineLevel="0" collapsed="false">
      <c r="A6970" s="0" t="n">
        <v>2</v>
      </c>
      <c r="B6970" s="71" t="n">
        <v>46259</v>
      </c>
      <c r="C6970" s="0" t="n">
        <v>11</v>
      </c>
      <c r="D6970" s="0" t="s">
        <v>2471</v>
      </c>
      <c r="E6970" s="0" t="n">
        <v>1705</v>
      </c>
      <c r="F6970" s="0" t="s">
        <v>130</v>
      </c>
      <c r="I6970" s="0" t="n">
        <v>1262093</v>
      </c>
      <c r="J6970" s="0" t="n">
        <v>14356</v>
      </c>
      <c r="K6970" s="0" t="n">
        <v>7894900501001</v>
      </c>
      <c r="L6970" s="0" t="s">
        <v>4655</v>
      </c>
      <c r="N6970" s="0" t="n">
        <v>6</v>
      </c>
      <c r="O6970" s="0" t="n">
        <v>29.3</v>
      </c>
      <c r="P6970" s="0" t="s">
        <v>2444</v>
      </c>
    </row>
    <row r="6971" customFormat="false" ht="15" hidden="false" customHeight="true" outlineLevel="0" collapsed="false">
      <c r="A6971" s="0" t="n">
        <v>2</v>
      </c>
      <c r="B6971" s="71" t="n">
        <v>46259</v>
      </c>
      <c r="C6971" s="0" t="n">
        <v>11</v>
      </c>
      <c r="D6971" s="0" t="s">
        <v>2471</v>
      </c>
      <c r="E6971" s="0" t="n">
        <v>1705</v>
      </c>
      <c r="F6971" s="0" t="s">
        <v>130</v>
      </c>
      <c r="I6971" s="0" t="n">
        <v>1262093</v>
      </c>
      <c r="J6971" s="0" t="n">
        <v>21548</v>
      </c>
      <c r="K6971" s="0" t="n">
        <v>78934115</v>
      </c>
      <c r="L6971" s="0" t="s">
        <v>5081</v>
      </c>
      <c r="N6971" s="0" t="n">
        <v>6</v>
      </c>
      <c r="O6971" s="0" t="n">
        <v>32.84</v>
      </c>
      <c r="P6971" s="0" t="s">
        <v>2444</v>
      </c>
    </row>
    <row r="6972" customFormat="false" ht="15" hidden="false" customHeight="true" outlineLevel="0" collapsed="false">
      <c r="A6972" s="0" t="n">
        <v>2</v>
      </c>
      <c r="B6972" s="71" t="n">
        <v>46259</v>
      </c>
      <c r="C6972" s="0" t="n">
        <v>11</v>
      </c>
      <c r="D6972" s="0" t="s">
        <v>2471</v>
      </c>
      <c r="E6972" s="0" t="n">
        <v>1705</v>
      </c>
      <c r="F6972" s="0" t="s">
        <v>130</v>
      </c>
      <c r="I6972" s="0" t="n">
        <v>1262093</v>
      </c>
      <c r="J6972" s="0" t="n">
        <v>24324</v>
      </c>
      <c r="K6972" s="0" t="n">
        <v>70847022015</v>
      </c>
      <c r="L6972" s="0" t="s">
        <v>2462</v>
      </c>
      <c r="N6972" s="0" t="n">
        <v>24</v>
      </c>
      <c r="O6972" s="0" t="n">
        <v>203.42</v>
      </c>
      <c r="P6972" s="0" t="s">
        <v>2444</v>
      </c>
    </row>
    <row r="6973" customFormat="false" ht="15" hidden="false" customHeight="true" outlineLevel="0" collapsed="false">
      <c r="A6973" s="0" t="n">
        <v>2</v>
      </c>
      <c r="B6973" s="71" t="n">
        <v>46259</v>
      </c>
      <c r="C6973" s="0" t="n">
        <v>11</v>
      </c>
      <c r="D6973" s="0" t="s">
        <v>2471</v>
      </c>
      <c r="E6973" s="0" t="n">
        <v>1705</v>
      </c>
      <c r="F6973" s="0" t="s">
        <v>130</v>
      </c>
      <c r="I6973" s="0" t="n">
        <v>1262093</v>
      </c>
      <c r="J6973" s="0" t="n">
        <v>25136</v>
      </c>
      <c r="K6973" s="0" t="n">
        <v>70847022206</v>
      </c>
      <c r="L6973" s="0" t="s">
        <v>2463</v>
      </c>
      <c r="N6973" s="0" t="n">
        <v>6</v>
      </c>
      <c r="O6973" s="0" t="n">
        <v>50.85</v>
      </c>
      <c r="P6973" s="0" t="s">
        <v>2444</v>
      </c>
    </row>
    <row r="6974" customFormat="false" ht="15" hidden="false" customHeight="true" outlineLevel="0" collapsed="false">
      <c r="A6974" s="0" t="n">
        <v>2</v>
      </c>
      <c r="B6974" s="71" t="n">
        <v>46259</v>
      </c>
      <c r="C6974" s="0" t="n">
        <v>11</v>
      </c>
      <c r="D6974" s="0" t="s">
        <v>2471</v>
      </c>
      <c r="E6974" s="0" t="n">
        <v>1705</v>
      </c>
      <c r="F6974" s="0" t="s">
        <v>130</v>
      </c>
      <c r="I6974" s="0" t="n">
        <v>1262093</v>
      </c>
      <c r="J6974" s="0" t="n">
        <v>29748</v>
      </c>
      <c r="K6974" s="0" t="n">
        <v>70847033301</v>
      </c>
      <c r="L6974" s="0" t="s">
        <v>2562</v>
      </c>
      <c r="N6974" s="0" t="n">
        <v>6</v>
      </c>
      <c r="O6974" s="0" t="n">
        <v>50.85</v>
      </c>
      <c r="P6974" s="0" t="s">
        <v>2444</v>
      </c>
    </row>
    <row r="6975" customFormat="false" ht="15" hidden="false" customHeight="true" outlineLevel="0" collapsed="false">
      <c r="A6975" s="0" t="n">
        <v>2</v>
      </c>
      <c r="B6975" s="71" t="n">
        <v>46259</v>
      </c>
      <c r="C6975" s="0" t="n">
        <v>11</v>
      </c>
      <c r="D6975" s="0" t="s">
        <v>2471</v>
      </c>
      <c r="E6975" s="0" t="n">
        <v>1705</v>
      </c>
      <c r="F6975" s="0" t="s">
        <v>130</v>
      </c>
      <c r="I6975" s="0" t="n">
        <v>1262093</v>
      </c>
      <c r="J6975" s="0" t="n">
        <v>62624</v>
      </c>
      <c r="K6975" s="0" t="n">
        <v>7896045506873</v>
      </c>
      <c r="L6975" s="0" t="s">
        <v>2965</v>
      </c>
      <c r="N6975" s="0" t="n">
        <v>12</v>
      </c>
      <c r="O6975" s="0" t="n">
        <v>69.35</v>
      </c>
      <c r="P6975" s="0" t="s">
        <v>2444</v>
      </c>
    </row>
    <row r="6976" customFormat="false" ht="15" hidden="false" customHeight="true" outlineLevel="0" collapsed="false">
      <c r="A6976" s="0" t="n">
        <v>2</v>
      </c>
      <c r="B6976" s="71" t="n">
        <v>46259</v>
      </c>
      <c r="C6976" s="0" t="n">
        <v>11</v>
      </c>
      <c r="D6976" s="0" t="s">
        <v>2471</v>
      </c>
      <c r="E6976" s="0" t="n">
        <v>1705</v>
      </c>
      <c r="F6976" s="0" t="s">
        <v>130</v>
      </c>
      <c r="I6976" s="0" t="n">
        <v>1262093</v>
      </c>
      <c r="J6976" s="0" t="n">
        <v>77914</v>
      </c>
      <c r="K6976" s="0" t="n">
        <v>7894900530001</v>
      </c>
      <c r="L6976" s="0" t="s">
        <v>3257</v>
      </c>
      <c r="N6976" s="0" t="n">
        <v>12</v>
      </c>
      <c r="O6976" s="0" t="n">
        <v>15.14</v>
      </c>
      <c r="P6976" s="0" t="s">
        <v>2444</v>
      </c>
    </row>
    <row r="6977" customFormat="false" ht="15" hidden="false" customHeight="true" outlineLevel="0" collapsed="false">
      <c r="A6977" s="0" t="n">
        <v>2</v>
      </c>
      <c r="B6977" s="71" t="n">
        <v>46259</v>
      </c>
      <c r="C6977" s="0" t="n">
        <v>11</v>
      </c>
      <c r="D6977" s="0" t="s">
        <v>2471</v>
      </c>
      <c r="E6977" s="0" t="n">
        <v>1705</v>
      </c>
      <c r="F6977" s="0" t="s">
        <v>130</v>
      </c>
      <c r="I6977" s="0" t="n">
        <v>1262093</v>
      </c>
      <c r="J6977" s="0" t="n">
        <v>79334</v>
      </c>
      <c r="K6977" s="0" t="n">
        <v>7894900531305</v>
      </c>
      <c r="L6977" s="0" t="s">
        <v>4690</v>
      </c>
      <c r="N6977" s="0" t="n">
        <v>12</v>
      </c>
      <c r="O6977" s="0" t="n">
        <v>17.34</v>
      </c>
      <c r="P6977" s="0" t="s">
        <v>2444</v>
      </c>
    </row>
    <row r="6978" customFormat="false" ht="15" hidden="false" customHeight="true" outlineLevel="0" collapsed="false">
      <c r="A6978" s="0" t="n">
        <v>2</v>
      </c>
      <c r="B6978" s="71" t="n">
        <v>46259</v>
      </c>
      <c r="C6978" s="0" t="n">
        <v>11</v>
      </c>
      <c r="D6978" s="0" t="s">
        <v>2471</v>
      </c>
      <c r="E6978" s="0" t="n">
        <v>1740</v>
      </c>
      <c r="F6978" s="0" t="s">
        <v>468</v>
      </c>
      <c r="I6978" s="0" t="n">
        <v>1262474</v>
      </c>
      <c r="J6978" s="0" t="n">
        <v>100036</v>
      </c>
      <c r="K6978" s="0" t="n">
        <v>37</v>
      </c>
      <c r="L6978" s="0" t="s">
        <v>3395</v>
      </c>
      <c r="N6978" s="0" t="n">
        <v>125</v>
      </c>
      <c r="O6978" s="0" t="n">
        <v>2372.5</v>
      </c>
      <c r="P6978" s="0" t="s">
        <v>2444</v>
      </c>
    </row>
    <row r="6979" customFormat="false" ht="15" hidden="false" customHeight="true" outlineLevel="0" collapsed="false">
      <c r="A6979" s="0" t="n">
        <v>2</v>
      </c>
      <c r="B6979" s="71" t="n">
        <v>46259</v>
      </c>
      <c r="C6979" s="0" t="n">
        <v>11</v>
      </c>
      <c r="D6979" s="0" t="s">
        <v>2471</v>
      </c>
      <c r="E6979" s="0" t="n">
        <v>10009</v>
      </c>
      <c r="F6979" s="0" t="s">
        <v>464</v>
      </c>
      <c r="I6979" s="0" t="n">
        <v>1441731</v>
      </c>
      <c r="J6979" s="0" t="n">
        <v>40074</v>
      </c>
      <c r="K6979" s="0" t="n">
        <v>7891008121773</v>
      </c>
      <c r="L6979" s="0" t="s">
        <v>3039</v>
      </c>
      <c r="N6979" s="0" t="n">
        <v>12</v>
      </c>
      <c r="O6979" s="0" t="n">
        <v>95.52</v>
      </c>
      <c r="P6979" s="0" t="s">
        <v>2444</v>
      </c>
    </row>
    <row r="6980" customFormat="false" ht="15" hidden="false" customHeight="true" outlineLevel="0" collapsed="false">
      <c r="A6980" s="0" t="n">
        <v>2</v>
      </c>
      <c r="B6980" s="71" t="n">
        <v>46259</v>
      </c>
      <c r="C6980" s="0" t="n">
        <v>11</v>
      </c>
      <c r="D6980" s="0" t="s">
        <v>2471</v>
      </c>
      <c r="E6980" s="0" t="n">
        <v>10009</v>
      </c>
      <c r="F6980" s="0" t="s">
        <v>464</v>
      </c>
      <c r="I6980" s="0" t="n">
        <v>1441731</v>
      </c>
      <c r="J6980" s="0" t="n">
        <v>40081</v>
      </c>
      <c r="K6980" s="0" t="n">
        <v>7891008121728</v>
      </c>
      <c r="L6980" s="0" t="s">
        <v>3040</v>
      </c>
      <c r="N6980" s="0" t="n">
        <v>12</v>
      </c>
      <c r="O6980" s="0" t="n">
        <v>95.52</v>
      </c>
      <c r="P6980" s="0" t="s">
        <v>2444</v>
      </c>
    </row>
    <row r="6981" customFormat="false" ht="15" hidden="false" customHeight="true" outlineLevel="0" collapsed="false">
      <c r="A6981" s="0" t="n">
        <v>2</v>
      </c>
      <c r="B6981" s="71" t="n">
        <v>46259</v>
      </c>
      <c r="C6981" s="0" t="n">
        <v>11</v>
      </c>
      <c r="D6981" s="0" t="s">
        <v>2471</v>
      </c>
      <c r="E6981" s="0" t="n">
        <v>10009</v>
      </c>
      <c r="F6981" s="0" t="s">
        <v>464</v>
      </c>
      <c r="I6981" s="0" t="n">
        <v>1441731</v>
      </c>
      <c r="J6981" s="0" t="n">
        <v>40217</v>
      </c>
      <c r="K6981" s="0" t="n">
        <v>7891008121827</v>
      </c>
      <c r="L6981" s="0" t="s">
        <v>5082</v>
      </c>
      <c r="N6981" s="0" t="n">
        <v>12</v>
      </c>
      <c r="O6981" s="0" t="n">
        <v>95.52</v>
      </c>
      <c r="P6981" s="0" t="s">
        <v>2444</v>
      </c>
    </row>
    <row r="6982" customFormat="false" ht="15" hidden="false" customHeight="true" outlineLevel="0" collapsed="false">
      <c r="A6982" s="0" t="n">
        <v>2</v>
      </c>
      <c r="B6982" s="71" t="n">
        <v>46259</v>
      </c>
      <c r="C6982" s="0" t="n">
        <v>11</v>
      </c>
      <c r="D6982" s="0" t="s">
        <v>2471</v>
      </c>
      <c r="E6982" s="0" t="n">
        <v>10009</v>
      </c>
      <c r="F6982" s="0" t="s">
        <v>464</v>
      </c>
      <c r="I6982" s="0" t="n">
        <v>1441731</v>
      </c>
      <c r="J6982" s="0" t="n">
        <v>102412</v>
      </c>
      <c r="K6982" s="0" t="n">
        <v>78912359</v>
      </c>
      <c r="L6982" s="0" t="s">
        <v>3042</v>
      </c>
      <c r="N6982" s="0" t="n">
        <v>30</v>
      </c>
      <c r="O6982" s="0" t="n">
        <v>44.57</v>
      </c>
      <c r="P6982" s="0" t="s">
        <v>2444</v>
      </c>
    </row>
    <row r="6983" customFormat="false" ht="15" hidden="false" customHeight="true" outlineLevel="0" collapsed="false">
      <c r="A6983" s="0" t="n">
        <v>2</v>
      </c>
      <c r="B6983" s="71" t="n">
        <v>46259</v>
      </c>
      <c r="C6983" s="0" t="n">
        <v>11</v>
      </c>
      <c r="D6983" s="0" t="s">
        <v>2471</v>
      </c>
      <c r="E6983" s="0" t="n">
        <v>10009</v>
      </c>
      <c r="F6983" s="0" t="s">
        <v>464</v>
      </c>
      <c r="I6983" s="0" t="n">
        <v>1441731</v>
      </c>
      <c r="J6983" s="0" t="n">
        <v>103586</v>
      </c>
      <c r="K6983" s="0" t="n">
        <v>78907461</v>
      </c>
      <c r="L6983" s="0" t="s">
        <v>3043</v>
      </c>
      <c r="N6983" s="0" t="n">
        <v>15</v>
      </c>
      <c r="O6983" s="0" t="n">
        <v>44.01</v>
      </c>
      <c r="P6983" s="0" t="s">
        <v>2444</v>
      </c>
    </row>
    <row r="6984" customFormat="false" ht="15" hidden="false" customHeight="true" outlineLevel="0" collapsed="false">
      <c r="A6984" s="0" t="n">
        <v>2</v>
      </c>
      <c r="B6984" s="71" t="n">
        <v>46259</v>
      </c>
      <c r="C6984" s="0" t="n">
        <v>11</v>
      </c>
      <c r="D6984" s="0" t="s">
        <v>2471</v>
      </c>
      <c r="E6984" s="0" t="n">
        <v>10009</v>
      </c>
      <c r="F6984" s="0" t="s">
        <v>464</v>
      </c>
      <c r="I6984" s="0" t="n">
        <v>1441731</v>
      </c>
      <c r="J6984" s="0" t="n">
        <v>103587</v>
      </c>
      <c r="K6984" s="0" t="n">
        <v>78907492</v>
      </c>
      <c r="L6984" s="0" t="s">
        <v>3044</v>
      </c>
      <c r="N6984" s="0" t="n">
        <v>15</v>
      </c>
      <c r="O6984" s="0" t="n">
        <v>44.01</v>
      </c>
      <c r="P6984" s="0" t="s">
        <v>2444</v>
      </c>
    </row>
    <row r="6985" customFormat="false" ht="15" hidden="false" customHeight="true" outlineLevel="0" collapsed="false">
      <c r="A6985" s="0" t="n">
        <v>2</v>
      </c>
      <c r="B6985" s="71" t="n">
        <v>46259</v>
      </c>
      <c r="C6985" s="0" t="n">
        <v>11</v>
      </c>
      <c r="D6985" s="0" t="s">
        <v>2471</v>
      </c>
      <c r="E6985" s="0" t="n">
        <v>10009</v>
      </c>
      <c r="F6985" s="0" t="s">
        <v>464</v>
      </c>
      <c r="I6985" s="0" t="n">
        <v>1441731</v>
      </c>
      <c r="J6985" s="0" t="n">
        <v>104691</v>
      </c>
      <c r="K6985" s="0" t="n">
        <v>78907478</v>
      </c>
      <c r="L6985" s="0" t="s">
        <v>3045</v>
      </c>
      <c r="N6985" s="0" t="n">
        <v>15</v>
      </c>
      <c r="O6985" s="0" t="n">
        <v>44.01</v>
      </c>
      <c r="P6985" s="0" t="s">
        <v>2444</v>
      </c>
    </row>
    <row r="6986" customFormat="false" ht="15" hidden="false" customHeight="true" outlineLevel="0" collapsed="false">
      <c r="A6986" s="0" t="n">
        <v>2</v>
      </c>
      <c r="B6986" s="71" t="n">
        <v>46259</v>
      </c>
      <c r="C6986" s="0" t="n">
        <v>11</v>
      </c>
      <c r="D6986" s="0" t="s">
        <v>2471</v>
      </c>
      <c r="E6986" s="0" t="n">
        <v>10009</v>
      </c>
      <c r="F6986" s="0" t="s">
        <v>464</v>
      </c>
      <c r="I6986" s="0" t="n">
        <v>1441731</v>
      </c>
      <c r="J6986" s="0" t="n">
        <v>24768</v>
      </c>
      <c r="K6986" s="0" t="n">
        <v>78912366</v>
      </c>
      <c r="L6986" s="0" t="s">
        <v>3046</v>
      </c>
      <c r="N6986" s="0" t="n">
        <v>30</v>
      </c>
      <c r="O6986" s="0" t="n">
        <v>44.57</v>
      </c>
      <c r="P6986" s="0" t="s">
        <v>2444</v>
      </c>
    </row>
    <row r="6987" customFormat="false" ht="15" hidden="false" customHeight="true" outlineLevel="0" collapsed="false">
      <c r="A6987" s="0" t="n">
        <v>2</v>
      </c>
      <c r="B6987" s="71" t="n">
        <v>46259</v>
      </c>
      <c r="C6987" s="0" t="n">
        <v>11</v>
      </c>
      <c r="D6987" s="0" t="s">
        <v>2471</v>
      </c>
      <c r="E6987" s="0" t="n">
        <v>10009</v>
      </c>
      <c r="F6987" s="0" t="s">
        <v>464</v>
      </c>
      <c r="I6987" s="0" t="n">
        <v>1441731</v>
      </c>
      <c r="J6987" s="0" t="n">
        <v>38797</v>
      </c>
      <c r="K6987" s="0" t="n">
        <v>78930193</v>
      </c>
      <c r="L6987" s="0" t="s">
        <v>3049</v>
      </c>
      <c r="N6987" s="0" t="n">
        <v>30</v>
      </c>
      <c r="O6987" s="0" t="n">
        <v>44.57</v>
      </c>
      <c r="P6987" s="0" t="s">
        <v>2444</v>
      </c>
    </row>
    <row r="6988" customFormat="false" ht="15" hidden="false" customHeight="true" outlineLevel="0" collapsed="false">
      <c r="A6988" s="0" t="n">
        <v>2</v>
      </c>
      <c r="B6988" s="71" t="n">
        <v>46259</v>
      </c>
      <c r="C6988" s="0" t="n">
        <v>11</v>
      </c>
      <c r="D6988" s="0" t="s">
        <v>2471</v>
      </c>
      <c r="E6988" s="0" t="n">
        <v>10009</v>
      </c>
      <c r="F6988" s="0" t="s">
        <v>464</v>
      </c>
      <c r="I6988" s="0" t="n">
        <v>1441731</v>
      </c>
      <c r="J6988" s="0" t="n">
        <v>50658</v>
      </c>
      <c r="K6988" s="0" t="n">
        <v>7891008124583</v>
      </c>
      <c r="L6988" s="0" t="s">
        <v>5083</v>
      </c>
      <c r="N6988" s="0" t="n">
        <v>30</v>
      </c>
      <c r="O6988" s="0" t="n">
        <v>78.78</v>
      </c>
      <c r="P6988" s="0" t="s">
        <v>2444</v>
      </c>
    </row>
    <row r="6989" customFormat="false" ht="15" hidden="false" customHeight="true" outlineLevel="0" collapsed="false">
      <c r="A6989" s="0" t="n">
        <v>2</v>
      </c>
      <c r="B6989" s="71" t="n">
        <v>46259</v>
      </c>
      <c r="C6989" s="0" t="n">
        <v>11</v>
      </c>
      <c r="D6989" s="0" t="s">
        <v>2471</v>
      </c>
      <c r="E6989" s="0" t="n">
        <v>10009</v>
      </c>
      <c r="F6989" s="0" t="s">
        <v>464</v>
      </c>
      <c r="I6989" s="0" t="n">
        <v>1441731</v>
      </c>
      <c r="J6989" s="0" t="n">
        <v>50832</v>
      </c>
      <c r="K6989" s="0" t="n">
        <v>7891008124071</v>
      </c>
      <c r="L6989" s="0" t="s">
        <v>3050</v>
      </c>
      <c r="N6989" s="0" t="n">
        <v>16</v>
      </c>
      <c r="O6989" s="0" t="n">
        <v>102.37</v>
      </c>
      <c r="P6989" s="0" t="s">
        <v>2444</v>
      </c>
    </row>
    <row r="6990" customFormat="false" ht="15" hidden="false" customHeight="true" outlineLevel="0" collapsed="false">
      <c r="A6990" s="0" t="n">
        <v>2</v>
      </c>
      <c r="B6990" s="71" t="n">
        <v>46259</v>
      </c>
      <c r="C6990" s="0" t="n">
        <v>11</v>
      </c>
      <c r="D6990" s="0" t="s">
        <v>2471</v>
      </c>
      <c r="E6990" s="0" t="n">
        <v>10009</v>
      </c>
      <c r="F6990" s="0" t="s">
        <v>464</v>
      </c>
      <c r="I6990" s="0" t="n">
        <v>1441731</v>
      </c>
      <c r="J6990" s="0" t="n">
        <v>51146</v>
      </c>
      <c r="K6990" s="0" t="n">
        <v>7891008123975</v>
      </c>
      <c r="L6990" s="0" t="s">
        <v>3051</v>
      </c>
      <c r="N6990" s="0" t="n">
        <v>16</v>
      </c>
      <c r="O6990" s="0" t="n">
        <v>102.37</v>
      </c>
      <c r="P6990" s="0" t="s">
        <v>2444</v>
      </c>
    </row>
    <row r="6991" customFormat="false" ht="15" hidden="false" customHeight="true" outlineLevel="0" collapsed="false">
      <c r="A6991" s="0" t="n">
        <v>2</v>
      </c>
      <c r="B6991" s="71" t="n">
        <v>46259</v>
      </c>
      <c r="C6991" s="0" t="n">
        <v>11</v>
      </c>
      <c r="D6991" s="0" t="s">
        <v>2471</v>
      </c>
      <c r="E6991" s="0" t="n">
        <v>10009</v>
      </c>
      <c r="F6991" s="0" t="s">
        <v>464</v>
      </c>
      <c r="I6991" s="0" t="n">
        <v>1441731</v>
      </c>
      <c r="J6991" s="0" t="n">
        <v>51148</v>
      </c>
      <c r="K6991" s="0" t="n">
        <v>7891008124170</v>
      </c>
      <c r="L6991" s="0" t="s">
        <v>5084</v>
      </c>
      <c r="N6991" s="0" t="n">
        <v>16</v>
      </c>
      <c r="O6991" s="0" t="n">
        <v>102.37</v>
      </c>
      <c r="P6991" s="0" t="s">
        <v>2444</v>
      </c>
    </row>
    <row r="6992" customFormat="false" ht="15" hidden="false" customHeight="true" outlineLevel="0" collapsed="false">
      <c r="A6992" s="0" t="n">
        <v>2</v>
      </c>
      <c r="B6992" s="71" t="n">
        <v>46259</v>
      </c>
      <c r="C6992" s="0" t="n">
        <v>11</v>
      </c>
      <c r="D6992" s="0" t="s">
        <v>2471</v>
      </c>
      <c r="E6992" s="0" t="n">
        <v>10009</v>
      </c>
      <c r="F6992" s="0" t="s">
        <v>464</v>
      </c>
      <c r="I6992" s="0" t="n">
        <v>1441731</v>
      </c>
      <c r="J6992" s="0" t="n">
        <v>51705</v>
      </c>
      <c r="K6992" s="0" t="n">
        <v>7891008124026</v>
      </c>
      <c r="L6992" s="0" t="s">
        <v>3052</v>
      </c>
      <c r="N6992" s="0" t="n">
        <v>16</v>
      </c>
      <c r="O6992" s="0" t="n">
        <v>102.37</v>
      </c>
      <c r="P6992" s="0" t="s">
        <v>2444</v>
      </c>
    </row>
    <row r="6993" customFormat="false" ht="15" hidden="false" customHeight="true" outlineLevel="0" collapsed="false">
      <c r="A6993" s="0" t="n">
        <v>2</v>
      </c>
      <c r="B6993" s="71" t="n">
        <v>46259</v>
      </c>
      <c r="C6993" s="0" t="n">
        <v>11</v>
      </c>
      <c r="D6993" s="0" t="s">
        <v>2471</v>
      </c>
      <c r="E6993" s="0" t="n">
        <v>10009</v>
      </c>
      <c r="F6993" s="0" t="s">
        <v>464</v>
      </c>
      <c r="I6993" s="0" t="n">
        <v>1441731</v>
      </c>
      <c r="J6993" s="0" t="n">
        <v>53486</v>
      </c>
      <c r="K6993" s="0" t="n">
        <v>7891008125214</v>
      </c>
      <c r="L6993" s="0" t="s">
        <v>3053</v>
      </c>
      <c r="N6993" s="0" t="n">
        <v>16</v>
      </c>
      <c r="O6993" s="0" t="n">
        <v>102.38</v>
      </c>
      <c r="P6993" s="0" t="s">
        <v>2444</v>
      </c>
    </row>
    <row r="6994" customFormat="false" ht="15" hidden="false" customHeight="true" outlineLevel="0" collapsed="false">
      <c r="A6994" s="0" t="n">
        <v>2</v>
      </c>
      <c r="B6994" s="71" t="n">
        <v>46259</v>
      </c>
      <c r="C6994" s="0" t="n">
        <v>11</v>
      </c>
      <c r="D6994" s="0" t="s">
        <v>2471</v>
      </c>
      <c r="E6994" s="0" t="n">
        <v>10009</v>
      </c>
      <c r="F6994" s="0" t="s">
        <v>464</v>
      </c>
      <c r="I6994" s="0" t="n">
        <v>1441731</v>
      </c>
      <c r="J6994" s="0" t="n">
        <v>81382</v>
      </c>
      <c r="K6994" s="0" t="n">
        <v>7891000459041</v>
      </c>
      <c r="L6994" s="0" t="s">
        <v>3222</v>
      </c>
      <c r="N6994" s="0" t="n">
        <v>14</v>
      </c>
      <c r="O6994" s="0" t="n">
        <v>86.62</v>
      </c>
      <c r="P6994" s="0" t="s">
        <v>2444</v>
      </c>
    </row>
    <row r="6995" customFormat="false" ht="15" hidden="false" customHeight="true" outlineLevel="0" collapsed="false">
      <c r="A6995" s="0" t="n">
        <v>2</v>
      </c>
      <c r="B6995" s="71" t="n">
        <v>46259</v>
      </c>
      <c r="C6995" s="0" t="n">
        <v>11</v>
      </c>
      <c r="D6995" s="0" t="s">
        <v>2471</v>
      </c>
      <c r="E6995" s="0" t="n">
        <v>10009</v>
      </c>
      <c r="F6995" s="0" t="s">
        <v>464</v>
      </c>
      <c r="I6995" s="0" t="n">
        <v>1441731</v>
      </c>
      <c r="J6995" s="0" t="n">
        <v>82152</v>
      </c>
      <c r="K6995" s="0" t="n">
        <v>7891000476475</v>
      </c>
      <c r="L6995" s="0" t="s">
        <v>5085</v>
      </c>
      <c r="N6995" s="0" t="n">
        <v>12</v>
      </c>
      <c r="O6995" s="0" t="n">
        <v>26.14</v>
      </c>
      <c r="P6995" s="0" t="s">
        <v>2444</v>
      </c>
    </row>
    <row r="6996" customFormat="false" ht="15" hidden="false" customHeight="true" outlineLevel="0" collapsed="false">
      <c r="A6996" s="0" t="n">
        <v>2</v>
      </c>
      <c r="B6996" s="71" t="n">
        <v>46259</v>
      </c>
      <c r="C6996" s="0" t="n">
        <v>11</v>
      </c>
      <c r="D6996" s="0" t="s">
        <v>2471</v>
      </c>
      <c r="E6996" s="0" t="n">
        <v>10009</v>
      </c>
      <c r="F6996" s="0" t="s">
        <v>464</v>
      </c>
      <c r="I6996" s="0" t="n">
        <v>1441732</v>
      </c>
      <c r="J6996" s="0" t="n">
        <v>102504</v>
      </c>
      <c r="K6996" s="0" t="n">
        <v>7891000502105</v>
      </c>
      <c r="L6996" s="0" t="s">
        <v>5086</v>
      </c>
      <c r="N6996" s="0" t="n">
        <v>6</v>
      </c>
      <c r="O6996" s="0" t="n">
        <v>48.14</v>
      </c>
      <c r="P6996" s="0" t="s">
        <v>2444</v>
      </c>
    </row>
    <row r="6997" customFormat="false" ht="15" hidden="false" customHeight="true" outlineLevel="0" collapsed="false">
      <c r="A6997" s="0" t="n">
        <v>2</v>
      </c>
      <c r="B6997" s="71" t="n">
        <v>46259</v>
      </c>
      <c r="C6997" s="0" t="n">
        <v>11</v>
      </c>
      <c r="D6997" s="0" t="s">
        <v>2471</v>
      </c>
      <c r="E6997" s="0" t="n">
        <v>10009</v>
      </c>
      <c r="F6997" s="0" t="s">
        <v>464</v>
      </c>
      <c r="I6997" s="0" t="n">
        <v>1441732</v>
      </c>
      <c r="J6997" s="0" t="n">
        <v>16053</v>
      </c>
      <c r="K6997" s="0" t="n">
        <v>7891000037300</v>
      </c>
      <c r="L6997" s="0" t="s">
        <v>5087</v>
      </c>
      <c r="N6997" s="0" t="n">
        <v>10</v>
      </c>
      <c r="O6997" s="0" t="n">
        <v>32.26</v>
      </c>
      <c r="P6997" s="0" t="s">
        <v>2444</v>
      </c>
    </row>
    <row r="6998" customFormat="false" ht="15" hidden="false" customHeight="true" outlineLevel="0" collapsed="false">
      <c r="A6998" s="0" t="n">
        <v>2</v>
      </c>
      <c r="B6998" s="71" t="n">
        <v>46259</v>
      </c>
      <c r="C6998" s="0" t="n">
        <v>11</v>
      </c>
      <c r="D6998" s="0" t="s">
        <v>2471</v>
      </c>
      <c r="E6998" s="0" t="n">
        <v>10009</v>
      </c>
      <c r="F6998" s="0" t="s">
        <v>464</v>
      </c>
      <c r="I6998" s="0" t="n">
        <v>1441732</v>
      </c>
      <c r="J6998" s="0" t="n">
        <v>26644</v>
      </c>
      <c r="K6998" s="0" t="n">
        <v>7891000242452</v>
      </c>
      <c r="L6998" s="0" t="s">
        <v>3148</v>
      </c>
      <c r="N6998" s="0" t="n">
        <v>120</v>
      </c>
      <c r="O6998" s="0" t="n">
        <v>90.29</v>
      </c>
      <c r="P6998" s="0" t="s">
        <v>2444</v>
      </c>
    </row>
    <row r="6999" customFormat="false" ht="15" hidden="false" customHeight="true" outlineLevel="0" collapsed="false">
      <c r="A6999" s="0" t="n">
        <v>2</v>
      </c>
      <c r="B6999" s="71" t="n">
        <v>46259</v>
      </c>
      <c r="C6999" s="0" t="n">
        <v>11</v>
      </c>
      <c r="D6999" s="0" t="s">
        <v>2471</v>
      </c>
      <c r="E6999" s="0" t="n">
        <v>10009</v>
      </c>
      <c r="F6999" s="0" t="s">
        <v>464</v>
      </c>
      <c r="I6999" s="0" t="n">
        <v>1441732</v>
      </c>
      <c r="J6999" s="0" t="n">
        <v>81810</v>
      </c>
      <c r="K6999" s="0" t="n">
        <v>7891000396377</v>
      </c>
      <c r="L6999" s="0" t="s">
        <v>5088</v>
      </c>
      <c r="N6999" s="0" t="n">
        <v>10</v>
      </c>
      <c r="O6999" s="0" t="n">
        <v>32.26</v>
      </c>
      <c r="P6999" s="0" t="s">
        <v>2444</v>
      </c>
    </row>
    <row r="7000" customFormat="false" ht="15" hidden="false" customHeight="true" outlineLevel="0" collapsed="false">
      <c r="A7000" s="0" t="n">
        <v>2</v>
      </c>
      <c r="B7000" s="71" t="n">
        <v>46259</v>
      </c>
      <c r="C7000" s="0" t="n">
        <v>11</v>
      </c>
      <c r="D7000" s="0" t="s">
        <v>2471</v>
      </c>
      <c r="E7000" s="0" t="n">
        <v>10009</v>
      </c>
      <c r="F7000" s="0" t="s">
        <v>464</v>
      </c>
      <c r="I7000" s="0" t="n">
        <v>1442200</v>
      </c>
      <c r="J7000" s="0" t="n">
        <v>15573</v>
      </c>
      <c r="K7000" s="0" t="n">
        <v>7891000089194</v>
      </c>
      <c r="L7000" s="0" t="s">
        <v>3137</v>
      </c>
      <c r="N7000" s="0" t="n">
        <v>12</v>
      </c>
      <c r="O7000" s="0" t="n">
        <v>51.6</v>
      </c>
      <c r="P7000" s="0" t="s">
        <v>2444</v>
      </c>
    </row>
    <row r="7001" customFormat="false" ht="15" hidden="false" customHeight="true" outlineLevel="0" collapsed="false">
      <c r="A7001" s="0" t="n">
        <v>2</v>
      </c>
      <c r="B7001" s="71" t="n">
        <v>46259</v>
      </c>
      <c r="C7001" s="0" t="n">
        <v>11</v>
      </c>
      <c r="D7001" s="0" t="s">
        <v>2471</v>
      </c>
      <c r="E7001" s="0" t="n">
        <v>10009</v>
      </c>
      <c r="F7001" s="0" t="s">
        <v>464</v>
      </c>
      <c r="I7001" s="0" t="n">
        <v>1442200</v>
      </c>
      <c r="J7001" s="0" t="n">
        <v>15716</v>
      </c>
      <c r="K7001" s="0" t="n">
        <v>7891000089231</v>
      </c>
      <c r="L7001" s="0" t="s">
        <v>3138</v>
      </c>
      <c r="N7001" s="0" t="n">
        <v>12</v>
      </c>
      <c r="O7001" s="0" t="n">
        <v>51.6</v>
      </c>
      <c r="P7001" s="0" t="s">
        <v>2444</v>
      </c>
    </row>
    <row r="7002" customFormat="false" ht="15" hidden="false" customHeight="true" outlineLevel="0" collapsed="false">
      <c r="A7002" s="0" t="n">
        <v>2</v>
      </c>
      <c r="B7002" s="71" t="n">
        <v>46259</v>
      </c>
      <c r="C7002" s="0" t="n">
        <v>11</v>
      </c>
      <c r="D7002" s="0" t="s">
        <v>2471</v>
      </c>
      <c r="E7002" s="0" t="n">
        <v>10009</v>
      </c>
      <c r="F7002" s="0" t="s">
        <v>464</v>
      </c>
      <c r="I7002" s="0" t="n">
        <v>1442200</v>
      </c>
      <c r="J7002" s="0" t="n">
        <v>15717</v>
      </c>
      <c r="K7002" s="0" t="n">
        <v>7891000089255</v>
      </c>
      <c r="L7002" s="0" t="s">
        <v>3139</v>
      </c>
      <c r="N7002" s="0" t="n">
        <v>12</v>
      </c>
      <c r="O7002" s="0" t="n">
        <v>51.6</v>
      </c>
      <c r="P7002" s="0" t="s">
        <v>2444</v>
      </c>
    </row>
    <row r="7003" customFormat="false" ht="15" hidden="false" customHeight="true" outlineLevel="0" collapsed="false">
      <c r="A7003" s="0" t="n">
        <v>2</v>
      </c>
      <c r="B7003" s="71" t="n">
        <v>46259</v>
      </c>
      <c r="C7003" s="0" t="n">
        <v>11</v>
      </c>
      <c r="D7003" s="0" t="s">
        <v>2471</v>
      </c>
      <c r="E7003" s="0" t="n">
        <v>10009</v>
      </c>
      <c r="F7003" s="0" t="s">
        <v>464</v>
      </c>
      <c r="I7003" s="0" t="n">
        <v>1442200</v>
      </c>
      <c r="J7003" s="0" t="n">
        <v>17092</v>
      </c>
      <c r="K7003" s="0" t="n">
        <v>7891000051436</v>
      </c>
      <c r="L7003" s="0" t="s">
        <v>3142</v>
      </c>
      <c r="N7003" s="0" t="n">
        <v>36</v>
      </c>
      <c r="O7003" s="0" t="n">
        <v>127.51</v>
      </c>
      <c r="P7003" s="0" t="s">
        <v>2444</v>
      </c>
    </row>
    <row r="7004" customFormat="false" ht="15" hidden="false" customHeight="true" outlineLevel="0" collapsed="false">
      <c r="A7004" s="0" t="n">
        <v>2</v>
      </c>
      <c r="B7004" s="71" t="n">
        <v>46259</v>
      </c>
      <c r="C7004" s="0" t="n">
        <v>11</v>
      </c>
      <c r="D7004" s="0" t="s">
        <v>2471</v>
      </c>
      <c r="E7004" s="0" t="n">
        <v>10009</v>
      </c>
      <c r="F7004" s="0" t="s">
        <v>464</v>
      </c>
      <c r="I7004" s="0" t="n">
        <v>1442200</v>
      </c>
      <c r="J7004" s="0" t="n">
        <v>18833</v>
      </c>
      <c r="K7004" s="0" t="n">
        <v>7891000098950</v>
      </c>
      <c r="L7004" s="0" t="s">
        <v>3143</v>
      </c>
      <c r="N7004" s="0" t="n">
        <v>12</v>
      </c>
      <c r="O7004" s="0" t="n">
        <v>72.35</v>
      </c>
      <c r="P7004" s="0" t="s">
        <v>2444</v>
      </c>
    </row>
    <row r="7005" customFormat="false" ht="15" hidden="false" customHeight="true" outlineLevel="0" collapsed="false">
      <c r="A7005" s="0" t="n">
        <v>2</v>
      </c>
      <c r="B7005" s="71" t="n">
        <v>46259</v>
      </c>
      <c r="C7005" s="0" t="n">
        <v>11</v>
      </c>
      <c r="D7005" s="0" t="s">
        <v>2471</v>
      </c>
      <c r="E7005" s="0" t="n">
        <v>10009</v>
      </c>
      <c r="F7005" s="0" t="s">
        <v>464</v>
      </c>
      <c r="I7005" s="0" t="n">
        <v>1442200</v>
      </c>
      <c r="J7005" s="0" t="n">
        <v>24777</v>
      </c>
      <c r="K7005" s="0" t="n">
        <v>7891000241370</v>
      </c>
      <c r="L7005" s="0" t="s">
        <v>5089</v>
      </c>
      <c r="N7005" s="0" t="n">
        <v>35</v>
      </c>
      <c r="O7005" s="0" t="n">
        <v>85.9</v>
      </c>
      <c r="P7005" s="0" t="s">
        <v>2444</v>
      </c>
    </row>
    <row r="7006" customFormat="false" ht="15" hidden="false" customHeight="true" outlineLevel="0" collapsed="false">
      <c r="A7006" s="0" t="n">
        <v>2</v>
      </c>
      <c r="B7006" s="71" t="n">
        <v>46259</v>
      </c>
      <c r="C7006" s="0" t="n">
        <v>11</v>
      </c>
      <c r="D7006" s="0" t="s">
        <v>2471</v>
      </c>
      <c r="E7006" s="0" t="n">
        <v>10009</v>
      </c>
      <c r="F7006" s="0" t="s">
        <v>464</v>
      </c>
      <c r="I7006" s="0" t="n">
        <v>1442200</v>
      </c>
      <c r="J7006" s="0" t="n">
        <v>24989</v>
      </c>
      <c r="K7006" s="0" t="n">
        <v>7891000241356</v>
      </c>
      <c r="L7006" s="0" t="s">
        <v>3146</v>
      </c>
      <c r="N7006" s="0" t="n">
        <v>35</v>
      </c>
      <c r="O7006" s="0" t="n">
        <v>85.9</v>
      </c>
      <c r="P7006" s="0" t="s">
        <v>2444</v>
      </c>
    </row>
    <row r="7007" customFormat="false" ht="15" hidden="false" customHeight="true" outlineLevel="0" collapsed="false">
      <c r="A7007" s="0" t="n">
        <v>2</v>
      </c>
      <c r="B7007" s="71" t="n">
        <v>46259</v>
      </c>
      <c r="C7007" s="0" t="n">
        <v>11</v>
      </c>
      <c r="D7007" s="0" t="s">
        <v>2471</v>
      </c>
      <c r="E7007" s="0" t="n">
        <v>10009</v>
      </c>
      <c r="F7007" s="0" t="s">
        <v>464</v>
      </c>
      <c r="I7007" s="0" t="n">
        <v>1442200</v>
      </c>
      <c r="J7007" s="0" t="n">
        <v>30028</v>
      </c>
      <c r="K7007" s="0" t="n">
        <v>7891000241295</v>
      </c>
      <c r="L7007" s="0" t="s">
        <v>3152</v>
      </c>
      <c r="N7007" s="0" t="n">
        <v>35</v>
      </c>
      <c r="O7007" s="0" t="n">
        <v>85.9</v>
      </c>
      <c r="P7007" s="0" t="s">
        <v>2444</v>
      </c>
    </row>
    <row r="7008" customFormat="false" ht="15" hidden="false" customHeight="true" outlineLevel="0" collapsed="false">
      <c r="A7008" s="0" t="n">
        <v>2</v>
      </c>
      <c r="B7008" s="71" t="n">
        <v>46259</v>
      </c>
      <c r="C7008" s="0" t="n">
        <v>11</v>
      </c>
      <c r="D7008" s="0" t="s">
        <v>2471</v>
      </c>
      <c r="E7008" s="0" t="n">
        <v>10009</v>
      </c>
      <c r="F7008" s="0" t="s">
        <v>464</v>
      </c>
      <c r="I7008" s="0" t="n">
        <v>1442200</v>
      </c>
      <c r="J7008" s="0" t="n">
        <v>30029</v>
      </c>
      <c r="K7008" s="0" t="n">
        <v>7891000259405</v>
      </c>
      <c r="L7008" s="0" t="s">
        <v>5090</v>
      </c>
      <c r="N7008" s="0" t="n">
        <v>35</v>
      </c>
      <c r="O7008" s="0" t="n">
        <v>85.7</v>
      </c>
      <c r="P7008" s="0" t="s">
        <v>2444</v>
      </c>
    </row>
    <row r="7009" customFormat="false" ht="15" hidden="false" customHeight="true" outlineLevel="0" collapsed="false">
      <c r="A7009" s="0" t="n">
        <v>2</v>
      </c>
      <c r="B7009" s="71" t="n">
        <v>46259</v>
      </c>
      <c r="C7009" s="0" t="n">
        <v>11</v>
      </c>
      <c r="D7009" s="0" t="s">
        <v>2471</v>
      </c>
      <c r="E7009" s="0" t="n">
        <v>10009</v>
      </c>
      <c r="F7009" s="0" t="s">
        <v>464</v>
      </c>
      <c r="I7009" s="0" t="n">
        <v>1442200</v>
      </c>
      <c r="J7009" s="0" t="n">
        <v>36097</v>
      </c>
      <c r="K7009" s="0" t="n">
        <v>7891000305553</v>
      </c>
      <c r="L7009" s="0" t="s">
        <v>4360</v>
      </c>
      <c r="N7009" s="0" t="n">
        <v>27</v>
      </c>
      <c r="O7009" s="0" t="n">
        <v>165.16</v>
      </c>
      <c r="P7009" s="0" t="s">
        <v>2444</v>
      </c>
    </row>
    <row r="7010" customFormat="false" ht="15" hidden="false" customHeight="true" outlineLevel="0" collapsed="false">
      <c r="A7010" s="0" t="n">
        <v>2</v>
      </c>
      <c r="B7010" s="71" t="n">
        <v>46259</v>
      </c>
      <c r="C7010" s="0" t="n">
        <v>11</v>
      </c>
      <c r="D7010" s="0" t="s">
        <v>2471</v>
      </c>
      <c r="E7010" s="0" t="n">
        <v>10009</v>
      </c>
      <c r="F7010" s="0" t="s">
        <v>464</v>
      </c>
      <c r="I7010" s="0" t="n">
        <v>1442200</v>
      </c>
      <c r="J7010" s="0" t="n">
        <v>47560</v>
      </c>
      <c r="K7010" s="0" t="n">
        <v>7891000319505</v>
      </c>
      <c r="L7010" s="0" t="s">
        <v>3755</v>
      </c>
      <c r="N7010" s="0" t="n">
        <v>12</v>
      </c>
      <c r="O7010" s="0" t="n">
        <v>69.34</v>
      </c>
      <c r="P7010" s="0" t="s">
        <v>2444</v>
      </c>
    </row>
    <row r="7011" customFormat="false" ht="15" hidden="false" customHeight="true" outlineLevel="0" collapsed="false">
      <c r="A7011" s="0" t="n">
        <v>2</v>
      </c>
      <c r="B7011" s="71" t="n">
        <v>46259</v>
      </c>
      <c r="C7011" s="0" t="n">
        <v>11</v>
      </c>
      <c r="D7011" s="0" t="s">
        <v>2471</v>
      </c>
      <c r="E7011" s="0" t="n">
        <v>10009</v>
      </c>
      <c r="F7011" s="0" t="s">
        <v>464</v>
      </c>
      <c r="I7011" s="0" t="n">
        <v>1442200</v>
      </c>
      <c r="J7011" s="0" t="n">
        <v>47563</v>
      </c>
      <c r="K7011" s="0" t="n">
        <v>7891000319543</v>
      </c>
      <c r="L7011" s="0" t="s">
        <v>3756</v>
      </c>
      <c r="N7011" s="0" t="n">
        <v>12</v>
      </c>
      <c r="O7011" s="0" t="n">
        <v>69.34</v>
      </c>
      <c r="P7011" s="0" t="s">
        <v>2444</v>
      </c>
    </row>
    <row r="7012" customFormat="false" ht="15" hidden="false" customHeight="true" outlineLevel="0" collapsed="false">
      <c r="A7012" s="0" t="n">
        <v>2</v>
      </c>
      <c r="B7012" s="71" t="n">
        <v>46259</v>
      </c>
      <c r="C7012" s="0" t="n">
        <v>11</v>
      </c>
      <c r="D7012" s="0" t="s">
        <v>2471</v>
      </c>
      <c r="E7012" s="0" t="n">
        <v>10009</v>
      </c>
      <c r="F7012" s="0" t="s">
        <v>464</v>
      </c>
      <c r="I7012" s="0" t="n">
        <v>1442200</v>
      </c>
      <c r="J7012" s="0" t="n">
        <v>47564</v>
      </c>
      <c r="K7012" s="0" t="n">
        <v>7891000319628</v>
      </c>
      <c r="L7012" s="0" t="s">
        <v>3757</v>
      </c>
      <c r="N7012" s="0" t="n">
        <v>12</v>
      </c>
      <c r="O7012" s="0" t="n">
        <v>69.34</v>
      </c>
      <c r="P7012" s="0" t="s">
        <v>2444</v>
      </c>
    </row>
    <row r="7013" customFormat="false" ht="15" hidden="false" customHeight="true" outlineLevel="0" collapsed="false">
      <c r="A7013" s="0" t="n">
        <v>2</v>
      </c>
      <c r="B7013" s="71" t="n">
        <v>46259</v>
      </c>
      <c r="C7013" s="0" t="n">
        <v>11</v>
      </c>
      <c r="D7013" s="0" t="s">
        <v>2471</v>
      </c>
      <c r="E7013" s="0" t="n">
        <v>10009</v>
      </c>
      <c r="F7013" s="0" t="s">
        <v>464</v>
      </c>
      <c r="I7013" s="0" t="n">
        <v>1442200</v>
      </c>
      <c r="J7013" s="0" t="n">
        <v>50552</v>
      </c>
      <c r="K7013" s="0" t="n">
        <v>7891000369340</v>
      </c>
      <c r="L7013" s="0" t="s">
        <v>2774</v>
      </c>
      <c r="N7013" s="0" t="n">
        <v>24</v>
      </c>
      <c r="O7013" s="0" t="n">
        <v>125.38</v>
      </c>
      <c r="P7013" s="0" t="s">
        <v>2444</v>
      </c>
    </row>
    <row r="7014" customFormat="false" ht="15" hidden="false" customHeight="true" outlineLevel="0" collapsed="false">
      <c r="A7014" s="0" t="n">
        <v>2</v>
      </c>
      <c r="B7014" s="71" t="n">
        <v>46259</v>
      </c>
      <c r="C7014" s="0" t="n">
        <v>11</v>
      </c>
      <c r="D7014" s="0" t="s">
        <v>2471</v>
      </c>
      <c r="E7014" s="0" t="n">
        <v>10009</v>
      </c>
      <c r="F7014" s="0" t="s">
        <v>464</v>
      </c>
      <c r="I7014" s="0" t="n">
        <v>1442200</v>
      </c>
      <c r="J7014" s="0" t="n">
        <v>55164</v>
      </c>
      <c r="K7014" s="0" t="n">
        <v>7891000365335</v>
      </c>
      <c r="L7014" s="0" t="s">
        <v>3162</v>
      </c>
      <c r="N7014" s="0" t="n">
        <v>18</v>
      </c>
      <c r="O7014" s="0" t="n">
        <v>72.16</v>
      </c>
      <c r="P7014" s="0" t="s">
        <v>2444</v>
      </c>
    </row>
    <row r="7015" customFormat="false" ht="15" hidden="false" customHeight="true" outlineLevel="0" collapsed="false">
      <c r="A7015" s="0" t="n">
        <v>2</v>
      </c>
      <c r="B7015" s="71" t="n">
        <v>46259</v>
      </c>
      <c r="C7015" s="0" t="n">
        <v>11</v>
      </c>
      <c r="D7015" s="0" t="s">
        <v>2471</v>
      </c>
      <c r="E7015" s="0" t="n">
        <v>10009</v>
      </c>
      <c r="F7015" s="0" t="s">
        <v>464</v>
      </c>
      <c r="I7015" s="0" t="n">
        <v>1442202</v>
      </c>
      <c r="J7015" s="0" t="n">
        <v>102418</v>
      </c>
      <c r="K7015" s="0" t="n">
        <v>7891000460207</v>
      </c>
      <c r="L7015" s="0" t="s">
        <v>3169</v>
      </c>
      <c r="N7015" s="0" t="n">
        <v>30</v>
      </c>
      <c r="O7015" s="0" t="n">
        <v>72.33</v>
      </c>
      <c r="P7015" s="0" t="s">
        <v>2444</v>
      </c>
    </row>
    <row r="7016" customFormat="false" ht="15" hidden="false" customHeight="true" outlineLevel="0" collapsed="false">
      <c r="A7016" s="0" t="n">
        <v>2</v>
      </c>
      <c r="B7016" s="71" t="n">
        <v>46259</v>
      </c>
      <c r="C7016" s="0" t="n">
        <v>11</v>
      </c>
      <c r="D7016" s="0" t="s">
        <v>2471</v>
      </c>
      <c r="E7016" s="0" t="n">
        <v>10009</v>
      </c>
      <c r="F7016" s="0" t="s">
        <v>464</v>
      </c>
      <c r="I7016" s="0" t="n">
        <v>1442202</v>
      </c>
      <c r="J7016" s="0" t="n">
        <v>102419</v>
      </c>
      <c r="K7016" s="0" t="n">
        <v>7891000462300</v>
      </c>
      <c r="L7016" s="0" t="s">
        <v>3170</v>
      </c>
      <c r="N7016" s="0" t="n">
        <v>30</v>
      </c>
      <c r="O7016" s="0" t="n">
        <v>72.12</v>
      </c>
      <c r="P7016" s="0" t="s">
        <v>2444</v>
      </c>
    </row>
    <row r="7017" customFormat="false" ht="15" hidden="false" customHeight="true" outlineLevel="0" collapsed="false">
      <c r="A7017" s="0" t="n">
        <v>2</v>
      </c>
      <c r="B7017" s="71" t="n">
        <v>46259</v>
      </c>
      <c r="C7017" s="0" t="n">
        <v>11</v>
      </c>
      <c r="D7017" s="0" t="s">
        <v>2471</v>
      </c>
      <c r="E7017" s="0" t="n">
        <v>10009</v>
      </c>
      <c r="F7017" s="0" t="s">
        <v>464</v>
      </c>
      <c r="I7017" s="0" t="n">
        <v>1442202</v>
      </c>
      <c r="J7017" s="0" t="n">
        <v>103767</v>
      </c>
      <c r="K7017" s="0" t="n">
        <v>7891000464908</v>
      </c>
      <c r="L7017" s="0" t="s">
        <v>5091</v>
      </c>
      <c r="N7017" s="0" t="n">
        <v>30</v>
      </c>
      <c r="O7017" s="0" t="n">
        <v>72.12</v>
      </c>
      <c r="P7017" s="0" t="s">
        <v>2444</v>
      </c>
    </row>
    <row r="7018" customFormat="false" ht="15" hidden="false" customHeight="true" outlineLevel="0" collapsed="false">
      <c r="A7018" s="0" t="n">
        <v>2</v>
      </c>
      <c r="B7018" s="71" t="n">
        <v>46259</v>
      </c>
      <c r="C7018" s="0" t="n">
        <v>11</v>
      </c>
      <c r="D7018" s="0" t="s">
        <v>2471</v>
      </c>
      <c r="E7018" s="0" t="n">
        <v>10009</v>
      </c>
      <c r="F7018" s="0" t="s">
        <v>464</v>
      </c>
      <c r="I7018" s="0" t="n">
        <v>1442202</v>
      </c>
      <c r="J7018" s="0" t="n">
        <v>19680</v>
      </c>
      <c r="K7018" s="0" t="n">
        <v>7891000092606</v>
      </c>
      <c r="L7018" s="0" t="s">
        <v>5092</v>
      </c>
      <c r="N7018" s="0" t="n">
        <v>30</v>
      </c>
      <c r="O7018" s="0" t="n">
        <v>72.12</v>
      </c>
      <c r="P7018" s="0" t="s">
        <v>2444</v>
      </c>
    </row>
    <row r="7019" customFormat="false" ht="15" hidden="false" customHeight="true" outlineLevel="0" collapsed="false">
      <c r="A7019" s="0" t="n">
        <v>2</v>
      </c>
      <c r="B7019" s="71" t="n">
        <v>46259</v>
      </c>
      <c r="C7019" s="0" t="n">
        <v>11</v>
      </c>
      <c r="D7019" s="0" t="s">
        <v>2471</v>
      </c>
      <c r="E7019" s="0" t="n">
        <v>10009</v>
      </c>
      <c r="F7019" s="0" t="s">
        <v>464</v>
      </c>
      <c r="I7019" s="0" t="n">
        <v>1442202</v>
      </c>
      <c r="J7019" s="0" t="n">
        <v>29821</v>
      </c>
      <c r="K7019" s="0" t="n">
        <v>7891000249239</v>
      </c>
      <c r="L7019" s="0" t="s">
        <v>5093</v>
      </c>
      <c r="N7019" s="0" t="n">
        <v>24</v>
      </c>
      <c r="O7019" s="0" t="n">
        <v>89.45</v>
      </c>
      <c r="P7019" s="0" t="s">
        <v>2444</v>
      </c>
    </row>
    <row r="7020" customFormat="false" ht="15" hidden="false" customHeight="true" outlineLevel="0" collapsed="false">
      <c r="A7020" s="0" t="n">
        <v>2</v>
      </c>
      <c r="B7020" s="71" t="n">
        <v>46259</v>
      </c>
      <c r="C7020" s="0" t="n">
        <v>11</v>
      </c>
      <c r="D7020" s="0" t="s">
        <v>2471</v>
      </c>
      <c r="E7020" s="0" t="n">
        <v>10009</v>
      </c>
      <c r="F7020" s="0" t="s">
        <v>464</v>
      </c>
      <c r="I7020" s="0" t="n">
        <v>1442202</v>
      </c>
      <c r="J7020" s="0" t="n">
        <v>29822</v>
      </c>
      <c r="K7020" s="0" t="n">
        <v>7891000248829</v>
      </c>
      <c r="L7020" s="0" t="s">
        <v>3172</v>
      </c>
      <c r="N7020" s="0" t="n">
        <v>24</v>
      </c>
      <c r="O7020" s="0" t="n">
        <v>89.45</v>
      </c>
      <c r="P7020" s="0" t="s">
        <v>2444</v>
      </c>
    </row>
    <row r="7021" customFormat="false" ht="15" hidden="false" customHeight="true" outlineLevel="0" collapsed="false">
      <c r="A7021" s="0" t="n">
        <v>2</v>
      </c>
      <c r="B7021" s="71" t="n">
        <v>46259</v>
      </c>
      <c r="C7021" s="0" t="n">
        <v>11</v>
      </c>
      <c r="D7021" s="0" t="s">
        <v>2471</v>
      </c>
      <c r="E7021" s="0" t="n">
        <v>10009</v>
      </c>
      <c r="F7021" s="0" t="s">
        <v>464</v>
      </c>
      <c r="I7021" s="0" t="n">
        <v>1442202</v>
      </c>
      <c r="J7021" s="0" t="n">
        <v>51568</v>
      </c>
      <c r="K7021" s="0" t="n">
        <v>7891000368572</v>
      </c>
      <c r="L7021" s="0" t="s">
        <v>3173</v>
      </c>
      <c r="N7021" s="0" t="n">
        <v>16</v>
      </c>
      <c r="O7021" s="0" t="n">
        <v>120.88</v>
      </c>
      <c r="P7021" s="0" t="s">
        <v>2444</v>
      </c>
    </row>
    <row r="7022" customFormat="false" ht="15" hidden="false" customHeight="true" outlineLevel="0" collapsed="false">
      <c r="A7022" s="0" t="n">
        <v>2</v>
      </c>
      <c r="B7022" s="71" t="n">
        <v>46259</v>
      </c>
      <c r="C7022" s="0" t="n">
        <v>11</v>
      </c>
      <c r="D7022" s="0" t="s">
        <v>2471</v>
      </c>
      <c r="E7022" s="0" t="n">
        <v>10009</v>
      </c>
      <c r="F7022" s="0" t="s">
        <v>464</v>
      </c>
      <c r="I7022" s="0" t="n">
        <v>1442202</v>
      </c>
      <c r="J7022" s="0" t="n">
        <v>52037</v>
      </c>
      <c r="K7022" s="0" t="n">
        <v>7891000369371</v>
      </c>
      <c r="L7022" s="0" t="s">
        <v>3174</v>
      </c>
      <c r="N7022" s="0" t="n">
        <v>16</v>
      </c>
      <c r="O7022" s="0" t="n">
        <v>120.88</v>
      </c>
      <c r="P7022" s="0" t="s">
        <v>2444</v>
      </c>
    </row>
    <row r="7023" customFormat="false" ht="15" hidden="false" customHeight="true" outlineLevel="0" collapsed="false">
      <c r="A7023" s="0" t="n">
        <v>2</v>
      </c>
      <c r="B7023" s="71" t="n">
        <v>46259</v>
      </c>
      <c r="C7023" s="0" t="n">
        <v>11</v>
      </c>
      <c r="D7023" s="0" t="s">
        <v>2471</v>
      </c>
      <c r="E7023" s="0" t="n">
        <v>10009</v>
      </c>
      <c r="F7023" s="0" t="s">
        <v>464</v>
      </c>
      <c r="I7023" s="0" t="n">
        <v>1442202</v>
      </c>
      <c r="J7023" s="0" t="n">
        <v>52266</v>
      </c>
      <c r="K7023" s="0" t="n">
        <v>7891000369098</v>
      </c>
      <c r="L7023" s="0" t="s">
        <v>3175</v>
      </c>
      <c r="N7023" s="0" t="n">
        <v>16</v>
      </c>
      <c r="O7023" s="0" t="n">
        <v>120.88</v>
      </c>
      <c r="P7023" s="0" t="s">
        <v>2444</v>
      </c>
    </row>
    <row r="7024" customFormat="false" ht="15" hidden="false" customHeight="true" outlineLevel="0" collapsed="false">
      <c r="A7024" s="0" t="n">
        <v>2</v>
      </c>
      <c r="B7024" s="71" t="n">
        <v>46259</v>
      </c>
      <c r="C7024" s="0" t="n">
        <v>11</v>
      </c>
      <c r="D7024" s="0" t="s">
        <v>2471</v>
      </c>
      <c r="E7024" s="0" t="n">
        <v>10009</v>
      </c>
      <c r="F7024" s="0" t="s">
        <v>464</v>
      </c>
      <c r="I7024" s="0" t="n">
        <v>1442202</v>
      </c>
      <c r="J7024" s="0" t="n">
        <v>52453</v>
      </c>
      <c r="K7024" s="0" t="n">
        <v>7891000368626</v>
      </c>
      <c r="L7024" s="0" t="s">
        <v>3176</v>
      </c>
      <c r="N7024" s="0" t="n">
        <v>16</v>
      </c>
      <c r="O7024" s="0" t="n">
        <v>120.88</v>
      </c>
      <c r="P7024" s="0" t="s">
        <v>2444</v>
      </c>
    </row>
    <row r="7025" customFormat="false" ht="15" hidden="false" customHeight="true" outlineLevel="0" collapsed="false">
      <c r="A7025" s="0" t="n">
        <v>2</v>
      </c>
      <c r="B7025" s="71" t="n">
        <v>46259</v>
      </c>
      <c r="C7025" s="0" t="n">
        <v>11</v>
      </c>
      <c r="D7025" s="0" t="s">
        <v>2471</v>
      </c>
      <c r="E7025" s="0" t="n">
        <v>10009</v>
      </c>
      <c r="F7025" s="0" t="s">
        <v>464</v>
      </c>
      <c r="I7025" s="0" t="n">
        <v>1442202</v>
      </c>
      <c r="J7025" s="0" t="n">
        <v>53637</v>
      </c>
      <c r="K7025" s="0" t="n">
        <v>7891000368992</v>
      </c>
      <c r="L7025" s="0" t="s">
        <v>3177</v>
      </c>
      <c r="N7025" s="0" t="n">
        <v>16</v>
      </c>
      <c r="O7025" s="0" t="n">
        <v>120.88</v>
      </c>
      <c r="P7025" s="0" t="s">
        <v>2444</v>
      </c>
    </row>
    <row r="7026" customFormat="false" ht="15" hidden="false" customHeight="true" outlineLevel="0" collapsed="false">
      <c r="A7026" s="0" t="n">
        <v>2</v>
      </c>
      <c r="B7026" s="71" t="n">
        <v>46259</v>
      </c>
      <c r="C7026" s="0" t="n">
        <v>11</v>
      </c>
      <c r="D7026" s="0" t="s">
        <v>2471</v>
      </c>
      <c r="E7026" s="0" t="n">
        <v>10009</v>
      </c>
      <c r="F7026" s="0" t="s">
        <v>464</v>
      </c>
      <c r="I7026" s="0" t="n">
        <v>1442202</v>
      </c>
      <c r="J7026" s="0" t="n">
        <v>55007</v>
      </c>
      <c r="K7026" s="0" t="n">
        <v>7891000368947</v>
      </c>
      <c r="L7026" s="0" t="s">
        <v>4362</v>
      </c>
      <c r="N7026" s="0" t="n">
        <v>16</v>
      </c>
      <c r="O7026" s="0" t="n">
        <v>120.88</v>
      </c>
      <c r="P7026" s="0" t="s">
        <v>2444</v>
      </c>
    </row>
    <row r="7027" customFormat="false" ht="15" hidden="false" customHeight="true" outlineLevel="0" collapsed="false">
      <c r="A7027" s="0" t="n">
        <v>2</v>
      </c>
      <c r="B7027" s="71" t="n">
        <v>46259</v>
      </c>
      <c r="C7027" s="0" t="n">
        <v>11</v>
      </c>
      <c r="D7027" s="0" t="s">
        <v>2471</v>
      </c>
      <c r="E7027" s="0" t="n">
        <v>10009</v>
      </c>
      <c r="F7027" s="0" t="s">
        <v>464</v>
      </c>
      <c r="I7027" s="0" t="n">
        <v>1442202</v>
      </c>
      <c r="J7027" s="0" t="n">
        <v>67982</v>
      </c>
      <c r="K7027" s="0" t="n">
        <v>7891000377642</v>
      </c>
      <c r="L7027" s="0" t="s">
        <v>5094</v>
      </c>
      <c r="N7027" s="0" t="n">
        <v>12</v>
      </c>
      <c r="O7027" s="0" t="n">
        <v>91.75</v>
      </c>
      <c r="P7027" s="0" t="s">
        <v>2444</v>
      </c>
    </row>
    <row r="7028" customFormat="false" ht="15" hidden="false" customHeight="true" outlineLevel="0" collapsed="false">
      <c r="A7028" s="0" t="n">
        <v>2</v>
      </c>
      <c r="B7028" s="71" t="n">
        <v>46259</v>
      </c>
      <c r="C7028" s="0" t="n">
        <v>11</v>
      </c>
      <c r="D7028" s="0" t="s">
        <v>2471</v>
      </c>
      <c r="E7028" s="0" t="n">
        <v>10009</v>
      </c>
      <c r="F7028" s="0" t="s">
        <v>464</v>
      </c>
      <c r="I7028" s="0" t="n">
        <v>1442202</v>
      </c>
      <c r="J7028" s="0" t="n">
        <v>78699</v>
      </c>
      <c r="K7028" s="0" t="n">
        <v>7891000442265</v>
      </c>
      <c r="L7028" s="0" t="s">
        <v>5095</v>
      </c>
      <c r="N7028" s="0" t="n">
        <v>14</v>
      </c>
      <c r="O7028" s="0" t="n">
        <v>103.62</v>
      </c>
      <c r="P7028" s="0" t="s">
        <v>2444</v>
      </c>
    </row>
    <row r="7029" customFormat="false" ht="15" hidden="false" customHeight="true" outlineLevel="0" collapsed="false">
      <c r="A7029" s="0" t="n">
        <v>2</v>
      </c>
      <c r="B7029" s="71" t="n">
        <v>46259</v>
      </c>
      <c r="C7029" s="0" t="n">
        <v>11</v>
      </c>
      <c r="D7029" s="0" t="s">
        <v>2471</v>
      </c>
      <c r="E7029" s="0" t="n">
        <v>10009</v>
      </c>
      <c r="F7029" s="0" t="s">
        <v>464</v>
      </c>
      <c r="I7029" s="0" t="n">
        <v>1442202</v>
      </c>
      <c r="J7029" s="0" t="n">
        <v>79789</v>
      </c>
      <c r="K7029" s="0" t="n">
        <v>7891000410707</v>
      </c>
      <c r="L7029" s="0" t="s">
        <v>3180</v>
      </c>
      <c r="N7029" s="0" t="n">
        <v>16</v>
      </c>
      <c r="O7029" s="0" t="n">
        <v>120.88</v>
      </c>
      <c r="P7029" s="0" t="s">
        <v>2444</v>
      </c>
    </row>
    <row r="7030" customFormat="false" ht="15" hidden="false" customHeight="true" outlineLevel="0" collapsed="false">
      <c r="A7030" s="0" t="n">
        <v>2</v>
      </c>
      <c r="B7030" s="71" t="n">
        <v>46259</v>
      </c>
      <c r="C7030" s="0" t="n">
        <v>11</v>
      </c>
      <c r="D7030" s="0" t="s">
        <v>2471</v>
      </c>
      <c r="E7030" s="0" t="n">
        <v>10009</v>
      </c>
      <c r="F7030" s="0" t="s">
        <v>464</v>
      </c>
      <c r="I7030" s="0" t="n">
        <v>1442668</v>
      </c>
      <c r="J7030" s="0" t="n">
        <v>30257</v>
      </c>
      <c r="K7030" s="0" t="n">
        <v>7891000289709</v>
      </c>
      <c r="L7030" s="0" t="s">
        <v>5096</v>
      </c>
      <c r="N7030" s="0" t="n">
        <v>12</v>
      </c>
      <c r="O7030" s="0" t="n">
        <v>41.84</v>
      </c>
      <c r="P7030" s="0" t="s">
        <v>2444</v>
      </c>
    </row>
    <row r="7031" customFormat="false" ht="15" hidden="false" customHeight="true" outlineLevel="0" collapsed="false">
      <c r="A7031" s="0" t="n">
        <v>2</v>
      </c>
      <c r="B7031" s="71" t="n">
        <v>46259</v>
      </c>
      <c r="C7031" s="0" t="n">
        <v>11</v>
      </c>
      <c r="D7031" s="0" t="s">
        <v>2471</v>
      </c>
      <c r="E7031" s="0" t="n">
        <v>10009</v>
      </c>
      <c r="F7031" s="0" t="s">
        <v>464</v>
      </c>
      <c r="I7031" s="0" t="n">
        <v>1442668</v>
      </c>
      <c r="J7031" s="0" t="n">
        <v>101840</v>
      </c>
      <c r="K7031" s="0" t="n">
        <v>7891000300503</v>
      </c>
      <c r="L7031" s="0" t="s">
        <v>5097</v>
      </c>
      <c r="N7031" s="0" t="n">
        <v>6</v>
      </c>
      <c r="O7031" s="0" t="n">
        <v>117.21</v>
      </c>
      <c r="P7031" s="0" t="s">
        <v>2444</v>
      </c>
    </row>
    <row r="7032" customFormat="false" ht="15" hidden="false" customHeight="true" outlineLevel="0" collapsed="false">
      <c r="A7032" s="0" t="n">
        <v>2</v>
      </c>
      <c r="B7032" s="71" t="n">
        <v>46259</v>
      </c>
      <c r="C7032" s="0" t="n">
        <v>11</v>
      </c>
      <c r="D7032" s="0" t="s">
        <v>2471</v>
      </c>
      <c r="E7032" s="0" t="n">
        <v>10009</v>
      </c>
      <c r="F7032" s="0" t="s">
        <v>464</v>
      </c>
      <c r="I7032" s="0" t="n">
        <v>1442668</v>
      </c>
      <c r="J7032" s="0" t="n">
        <v>102162</v>
      </c>
      <c r="K7032" s="0" t="n">
        <v>7891000001080</v>
      </c>
      <c r="L7032" s="0" t="s">
        <v>3125</v>
      </c>
      <c r="N7032" s="0" t="n">
        <v>6</v>
      </c>
      <c r="O7032" s="0" t="n">
        <v>150.34</v>
      </c>
      <c r="P7032" s="0" t="s">
        <v>2444</v>
      </c>
    </row>
    <row r="7033" customFormat="false" ht="15" hidden="false" customHeight="true" outlineLevel="0" collapsed="false">
      <c r="A7033" s="0" t="n">
        <v>2</v>
      </c>
      <c r="B7033" s="71" t="n">
        <v>46259</v>
      </c>
      <c r="C7033" s="0" t="n">
        <v>11</v>
      </c>
      <c r="D7033" s="0" t="s">
        <v>2471</v>
      </c>
      <c r="E7033" s="0" t="n">
        <v>10009</v>
      </c>
      <c r="F7033" s="0" t="s">
        <v>464</v>
      </c>
      <c r="I7033" s="0" t="n">
        <v>1442668</v>
      </c>
      <c r="J7033" s="0" t="n">
        <v>102576</v>
      </c>
      <c r="K7033" s="0" t="n">
        <v>7891000126905</v>
      </c>
      <c r="L7033" s="0" t="s">
        <v>4357</v>
      </c>
      <c r="N7033" s="0" t="n">
        <v>27</v>
      </c>
      <c r="O7033" s="0" t="n">
        <v>120.01</v>
      </c>
      <c r="P7033" s="0" t="s">
        <v>2444</v>
      </c>
    </row>
    <row r="7034" customFormat="false" ht="15" hidden="false" customHeight="true" outlineLevel="0" collapsed="false">
      <c r="A7034" s="0" t="n">
        <v>2</v>
      </c>
      <c r="B7034" s="71" t="n">
        <v>46259</v>
      </c>
      <c r="C7034" s="0" t="n">
        <v>11</v>
      </c>
      <c r="D7034" s="0" t="s">
        <v>2471</v>
      </c>
      <c r="E7034" s="0" t="n">
        <v>10009</v>
      </c>
      <c r="F7034" s="0" t="s">
        <v>464</v>
      </c>
      <c r="I7034" s="0" t="n">
        <v>1442668</v>
      </c>
      <c r="J7034" s="0" t="n">
        <v>103642</v>
      </c>
      <c r="K7034" s="0" t="n">
        <v>7891000315507</v>
      </c>
      <c r="L7034" s="0" t="s">
        <v>5098</v>
      </c>
      <c r="N7034" s="0" t="n">
        <v>6</v>
      </c>
      <c r="O7034" s="0" t="n">
        <v>117.21</v>
      </c>
      <c r="P7034" s="0" t="s">
        <v>2444</v>
      </c>
    </row>
    <row r="7035" customFormat="false" ht="15" hidden="false" customHeight="true" outlineLevel="0" collapsed="false">
      <c r="A7035" s="0" t="n">
        <v>2</v>
      </c>
      <c r="B7035" s="71" t="n">
        <v>46259</v>
      </c>
      <c r="C7035" s="0" t="n">
        <v>11</v>
      </c>
      <c r="D7035" s="0" t="s">
        <v>2471</v>
      </c>
      <c r="E7035" s="0" t="n">
        <v>10009</v>
      </c>
      <c r="F7035" s="0" t="s">
        <v>464</v>
      </c>
      <c r="I7035" s="0" t="n">
        <v>1442668</v>
      </c>
      <c r="J7035" s="0" t="n">
        <v>105989</v>
      </c>
      <c r="K7035" s="0" t="n">
        <v>7891000029329</v>
      </c>
      <c r="L7035" s="0" t="s">
        <v>5099</v>
      </c>
      <c r="N7035" s="0" t="n">
        <v>6</v>
      </c>
      <c r="O7035" s="0" t="n">
        <v>117.21</v>
      </c>
      <c r="P7035" s="0" t="s">
        <v>2444</v>
      </c>
    </row>
    <row r="7036" customFormat="false" ht="15" hidden="false" customHeight="true" outlineLevel="0" collapsed="false">
      <c r="A7036" s="0" t="n">
        <v>2</v>
      </c>
      <c r="B7036" s="71" t="n">
        <v>46259</v>
      </c>
      <c r="C7036" s="0" t="n">
        <v>11</v>
      </c>
      <c r="D7036" s="0" t="s">
        <v>2471</v>
      </c>
      <c r="E7036" s="0" t="n">
        <v>10009</v>
      </c>
      <c r="F7036" s="0" t="s">
        <v>464</v>
      </c>
      <c r="I7036" s="0" t="n">
        <v>1442668</v>
      </c>
      <c r="J7036" s="0" t="n">
        <v>12575</v>
      </c>
      <c r="K7036" s="0" t="n">
        <v>7891000056615</v>
      </c>
      <c r="L7036" s="0" t="s">
        <v>3132</v>
      </c>
      <c r="N7036" s="0" t="n">
        <v>6</v>
      </c>
      <c r="O7036" s="0" t="n">
        <v>197.18</v>
      </c>
      <c r="P7036" s="0" t="s">
        <v>2444</v>
      </c>
    </row>
    <row r="7037" customFormat="false" ht="15" hidden="false" customHeight="true" outlineLevel="0" collapsed="false">
      <c r="A7037" s="0" t="n">
        <v>2</v>
      </c>
      <c r="B7037" s="71" t="n">
        <v>46259</v>
      </c>
      <c r="C7037" s="0" t="n">
        <v>11</v>
      </c>
      <c r="D7037" s="0" t="s">
        <v>2471</v>
      </c>
      <c r="E7037" s="0" t="n">
        <v>10009</v>
      </c>
      <c r="F7037" s="0" t="s">
        <v>464</v>
      </c>
      <c r="I7037" s="0" t="n">
        <v>1442668</v>
      </c>
      <c r="J7037" s="0" t="n">
        <v>12588</v>
      </c>
      <c r="K7037" s="0" t="n">
        <v>7891000067048</v>
      </c>
      <c r="L7037" s="0" t="s">
        <v>3133</v>
      </c>
      <c r="N7037" s="0" t="n">
        <v>6</v>
      </c>
      <c r="O7037" s="0" t="n">
        <v>36</v>
      </c>
      <c r="P7037" s="0" t="s">
        <v>2444</v>
      </c>
    </row>
    <row r="7038" customFormat="false" ht="15" hidden="false" customHeight="true" outlineLevel="0" collapsed="false">
      <c r="A7038" s="0" t="n">
        <v>2</v>
      </c>
      <c r="B7038" s="71" t="n">
        <v>46259</v>
      </c>
      <c r="C7038" s="0" t="n">
        <v>11</v>
      </c>
      <c r="D7038" s="0" t="s">
        <v>2471</v>
      </c>
      <c r="E7038" s="0" t="n">
        <v>10009</v>
      </c>
      <c r="F7038" s="0" t="s">
        <v>464</v>
      </c>
      <c r="I7038" s="0" t="n">
        <v>1442668</v>
      </c>
      <c r="J7038" s="0" t="n">
        <v>13105</v>
      </c>
      <c r="K7038" s="0" t="n">
        <v>7891000077924</v>
      </c>
      <c r="L7038" s="0" t="s">
        <v>5100</v>
      </c>
      <c r="N7038" s="0" t="n">
        <v>12</v>
      </c>
      <c r="O7038" s="0" t="n">
        <v>48.21</v>
      </c>
      <c r="P7038" s="0" t="s">
        <v>2444</v>
      </c>
    </row>
    <row r="7039" customFormat="false" ht="15" hidden="false" customHeight="true" outlineLevel="0" collapsed="false">
      <c r="A7039" s="0" t="n">
        <v>2</v>
      </c>
      <c r="B7039" s="71" t="n">
        <v>46259</v>
      </c>
      <c r="C7039" s="0" t="n">
        <v>11</v>
      </c>
      <c r="D7039" s="0" t="s">
        <v>2471</v>
      </c>
      <c r="E7039" s="0" t="n">
        <v>10009</v>
      </c>
      <c r="F7039" s="0" t="s">
        <v>464</v>
      </c>
      <c r="I7039" s="0" t="n">
        <v>1442668</v>
      </c>
      <c r="J7039" s="0" t="n">
        <v>13212</v>
      </c>
      <c r="K7039" s="0" t="n">
        <v>7891000077948</v>
      </c>
      <c r="L7039" s="0" t="s">
        <v>5101</v>
      </c>
      <c r="N7039" s="0" t="n">
        <v>12</v>
      </c>
      <c r="O7039" s="0" t="n">
        <v>48.21</v>
      </c>
      <c r="P7039" s="0" t="s">
        <v>2444</v>
      </c>
    </row>
    <row r="7040" customFormat="false" ht="15" hidden="false" customHeight="true" outlineLevel="0" collapsed="false">
      <c r="A7040" s="0" t="n">
        <v>2</v>
      </c>
      <c r="B7040" s="71" t="n">
        <v>46259</v>
      </c>
      <c r="C7040" s="0" t="n">
        <v>11</v>
      </c>
      <c r="D7040" s="0" t="s">
        <v>2471</v>
      </c>
      <c r="E7040" s="0" t="n">
        <v>10009</v>
      </c>
      <c r="F7040" s="0" t="s">
        <v>464</v>
      </c>
      <c r="I7040" s="0" t="n">
        <v>1442668</v>
      </c>
      <c r="J7040" s="0" t="n">
        <v>14234</v>
      </c>
      <c r="K7040" s="0" t="n">
        <v>7891000081501</v>
      </c>
      <c r="L7040" s="0" t="s">
        <v>3136</v>
      </c>
      <c r="N7040" s="0" t="n">
        <v>12</v>
      </c>
      <c r="O7040" s="0" t="n">
        <v>139.17</v>
      </c>
      <c r="P7040" s="0" t="s">
        <v>2444</v>
      </c>
    </row>
    <row r="7041" customFormat="false" ht="15" hidden="false" customHeight="true" outlineLevel="0" collapsed="false">
      <c r="A7041" s="0" t="n">
        <v>2</v>
      </c>
      <c r="B7041" s="71" t="n">
        <v>46259</v>
      </c>
      <c r="C7041" s="0" t="n">
        <v>11</v>
      </c>
      <c r="D7041" s="0" t="s">
        <v>2471</v>
      </c>
      <c r="E7041" s="0" t="n">
        <v>10009</v>
      </c>
      <c r="F7041" s="0" t="s">
        <v>464</v>
      </c>
      <c r="I7041" s="0" t="n">
        <v>1442668</v>
      </c>
      <c r="J7041" s="0" t="n">
        <v>16667</v>
      </c>
      <c r="K7041" s="0" t="n">
        <v>7891000090732</v>
      </c>
      <c r="L7041" s="0" t="s">
        <v>3141</v>
      </c>
      <c r="N7041" s="0" t="n">
        <v>6</v>
      </c>
      <c r="O7041" s="0" t="n">
        <v>36</v>
      </c>
      <c r="P7041" s="0" t="s">
        <v>2444</v>
      </c>
    </row>
    <row r="7042" customFormat="false" ht="15" hidden="false" customHeight="true" outlineLevel="0" collapsed="false">
      <c r="A7042" s="0" t="n">
        <v>2</v>
      </c>
      <c r="B7042" s="71" t="n">
        <v>46259</v>
      </c>
      <c r="C7042" s="0" t="n">
        <v>11</v>
      </c>
      <c r="D7042" s="0" t="s">
        <v>2471</v>
      </c>
      <c r="E7042" s="0" t="n">
        <v>10009</v>
      </c>
      <c r="F7042" s="0" t="s">
        <v>464</v>
      </c>
      <c r="I7042" s="0" t="n">
        <v>1442668</v>
      </c>
      <c r="J7042" s="0" t="n">
        <v>19811</v>
      </c>
      <c r="K7042" s="0" t="n">
        <v>7891000101506</v>
      </c>
      <c r="L7042" s="0" t="s">
        <v>3144</v>
      </c>
      <c r="N7042" s="0" t="n">
        <v>6</v>
      </c>
      <c r="O7042" s="0" t="n">
        <v>127.31</v>
      </c>
      <c r="P7042" s="0" t="s">
        <v>2444</v>
      </c>
    </row>
    <row r="7043" customFormat="false" ht="15" hidden="false" customHeight="true" outlineLevel="0" collapsed="false">
      <c r="A7043" s="0" t="n">
        <v>2</v>
      </c>
      <c r="B7043" s="71" t="n">
        <v>46259</v>
      </c>
      <c r="C7043" s="0" t="n">
        <v>11</v>
      </c>
      <c r="D7043" s="0" t="s">
        <v>2471</v>
      </c>
      <c r="E7043" s="0" t="n">
        <v>10009</v>
      </c>
      <c r="F7043" s="0" t="s">
        <v>464</v>
      </c>
      <c r="I7043" s="0" t="n">
        <v>1442668</v>
      </c>
      <c r="J7043" s="0" t="n">
        <v>19987</v>
      </c>
      <c r="K7043" s="0" t="n">
        <v>7891000101926</v>
      </c>
      <c r="L7043" s="0" t="s">
        <v>3145</v>
      </c>
      <c r="N7043" s="0" t="n">
        <v>6</v>
      </c>
      <c r="O7043" s="0" t="n">
        <v>36</v>
      </c>
      <c r="P7043" s="0" t="s">
        <v>2444</v>
      </c>
    </row>
    <row r="7044" customFormat="false" ht="15" hidden="false" customHeight="true" outlineLevel="0" collapsed="false">
      <c r="A7044" s="0" t="n">
        <v>2</v>
      </c>
      <c r="B7044" s="71" t="n">
        <v>46259</v>
      </c>
      <c r="C7044" s="0" t="n">
        <v>11</v>
      </c>
      <c r="D7044" s="0" t="s">
        <v>2471</v>
      </c>
      <c r="E7044" s="0" t="n">
        <v>10009</v>
      </c>
      <c r="F7044" s="0" t="s">
        <v>464</v>
      </c>
      <c r="I7044" s="0" t="n">
        <v>1442668</v>
      </c>
      <c r="J7044" s="0" t="n">
        <v>22082</v>
      </c>
      <c r="K7044" s="0" t="n">
        <v>7891000109908</v>
      </c>
      <c r="L7044" s="0" t="s">
        <v>4358</v>
      </c>
      <c r="N7044" s="0" t="n">
        <v>6</v>
      </c>
      <c r="O7044" s="0" t="n">
        <v>146.67</v>
      </c>
      <c r="P7044" s="0" t="s">
        <v>2444</v>
      </c>
    </row>
    <row r="7045" customFormat="false" ht="15" hidden="false" customHeight="true" outlineLevel="0" collapsed="false">
      <c r="A7045" s="0" t="n">
        <v>2</v>
      </c>
      <c r="B7045" s="71" t="n">
        <v>46259</v>
      </c>
      <c r="C7045" s="0" t="n">
        <v>11</v>
      </c>
      <c r="D7045" s="0" t="s">
        <v>2471</v>
      </c>
      <c r="E7045" s="0" t="n">
        <v>10009</v>
      </c>
      <c r="F7045" s="0" t="s">
        <v>464</v>
      </c>
      <c r="I7045" s="0" t="n">
        <v>1442668</v>
      </c>
      <c r="J7045" s="0" t="n">
        <v>31217</v>
      </c>
      <c r="K7045" s="0" t="n">
        <v>7891000251638</v>
      </c>
      <c r="L7045" s="0" t="s">
        <v>5102</v>
      </c>
      <c r="N7045" s="0" t="n">
        <v>6</v>
      </c>
      <c r="O7045" s="0" t="n">
        <v>154.18</v>
      </c>
      <c r="P7045" s="0" t="s">
        <v>2444</v>
      </c>
    </row>
    <row r="7046" customFormat="false" ht="15" hidden="false" customHeight="true" outlineLevel="0" collapsed="false">
      <c r="A7046" s="0" t="n">
        <v>2</v>
      </c>
      <c r="B7046" s="71" t="n">
        <v>46259</v>
      </c>
      <c r="C7046" s="0" t="n">
        <v>11</v>
      </c>
      <c r="D7046" s="0" t="s">
        <v>2471</v>
      </c>
      <c r="E7046" s="0" t="n">
        <v>10009</v>
      </c>
      <c r="F7046" s="0" t="s">
        <v>464</v>
      </c>
      <c r="I7046" s="0" t="n">
        <v>1442668</v>
      </c>
      <c r="J7046" s="0" t="n">
        <v>33810</v>
      </c>
      <c r="K7046" s="0" t="n">
        <v>7891000304556</v>
      </c>
      <c r="L7046" s="0" t="s">
        <v>5103</v>
      </c>
      <c r="N7046" s="0" t="n">
        <v>12</v>
      </c>
      <c r="O7046" s="0" t="n">
        <v>41.9</v>
      </c>
      <c r="P7046" s="0" t="s">
        <v>2444</v>
      </c>
    </row>
    <row r="7047" customFormat="false" ht="15" hidden="false" customHeight="true" outlineLevel="0" collapsed="false">
      <c r="A7047" s="0" t="n">
        <v>2</v>
      </c>
      <c r="B7047" s="71" t="n">
        <v>46259</v>
      </c>
      <c r="C7047" s="0" t="n">
        <v>11</v>
      </c>
      <c r="D7047" s="0" t="s">
        <v>2471</v>
      </c>
      <c r="E7047" s="0" t="n">
        <v>10009</v>
      </c>
      <c r="F7047" s="0" t="s">
        <v>464</v>
      </c>
      <c r="I7047" s="0" t="n">
        <v>1442668</v>
      </c>
      <c r="J7047" s="0" t="n">
        <v>33811</v>
      </c>
      <c r="K7047" s="0" t="n">
        <v>7891000304594</v>
      </c>
      <c r="L7047" s="0" t="s">
        <v>5104</v>
      </c>
      <c r="N7047" s="0" t="n">
        <v>12</v>
      </c>
      <c r="O7047" s="0" t="n">
        <v>41.89</v>
      </c>
      <c r="P7047" s="0" t="s">
        <v>2444</v>
      </c>
    </row>
    <row r="7048" customFormat="false" ht="15" hidden="false" customHeight="true" outlineLevel="0" collapsed="false">
      <c r="A7048" s="0" t="n">
        <v>2</v>
      </c>
      <c r="B7048" s="71" t="n">
        <v>46259</v>
      </c>
      <c r="C7048" s="0" t="n">
        <v>11</v>
      </c>
      <c r="D7048" s="0" t="s">
        <v>2471</v>
      </c>
      <c r="E7048" s="0" t="n">
        <v>10009</v>
      </c>
      <c r="F7048" s="0" t="s">
        <v>464</v>
      </c>
      <c r="I7048" s="0" t="n">
        <v>1442668</v>
      </c>
      <c r="J7048" s="0" t="n">
        <v>34892</v>
      </c>
      <c r="K7048" s="0" t="n">
        <v>7891000110829</v>
      </c>
      <c r="L7048" s="0" t="s">
        <v>5105</v>
      </c>
      <c r="N7048" s="0" t="n">
        <v>6</v>
      </c>
      <c r="O7048" s="0" t="n">
        <v>35.99</v>
      </c>
      <c r="P7048" s="0" t="s">
        <v>2444</v>
      </c>
    </row>
    <row r="7049" customFormat="false" ht="15" hidden="false" customHeight="true" outlineLevel="0" collapsed="false">
      <c r="A7049" s="0" t="n">
        <v>2</v>
      </c>
      <c r="B7049" s="71" t="n">
        <v>46259</v>
      </c>
      <c r="C7049" s="0" t="n">
        <v>11</v>
      </c>
      <c r="D7049" s="0" t="s">
        <v>2471</v>
      </c>
      <c r="E7049" s="0" t="n">
        <v>10009</v>
      </c>
      <c r="F7049" s="0" t="s">
        <v>464</v>
      </c>
      <c r="I7049" s="0" t="n">
        <v>1442668</v>
      </c>
      <c r="J7049" s="0" t="n">
        <v>48868</v>
      </c>
      <c r="K7049" s="0" t="n">
        <v>7891000359822</v>
      </c>
      <c r="L7049" s="0" t="s">
        <v>3158</v>
      </c>
      <c r="N7049" s="0" t="n">
        <v>54</v>
      </c>
      <c r="O7049" s="0" t="n">
        <v>120.44</v>
      </c>
      <c r="P7049" s="0" t="s">
        <v>2444</v>
      </c>
    </row>
    <row r="7050" customFormat="false" ht="15" hidden="false" customHeight="true" outlineLevel="0" collapsed="false">
      <c r="A7050" s="0" t="n">
        <v>2</v>
      </c>
      <c r="B7050" s="71" t="n">
        <v>46259</v>
      </c>
      <c r="C7050" s="0" t="n">
        <v>11</v>
      </c>
      <c r="D7050" s="0" t="s">
        <v>2471</v>
      </c>
      <c r="E7050" s="0" t="n">
        <v>10009</v>
      </c>
      <c r="F7050" s="0" t="s">
        <v>464</v>
      </c>
      <c r="I7050" s="0" t="n">
        <v>1442668</v>
      </c>
      <c r="J7050" s="0" t="n">
        <v>54900</v>
      </c>
      <c r="K7050" s="0" t="n">
        <v>7891000376805</v>
      </c>
      <c r="L7050" s="0" t="s">
        <v>3160</v>
      </c>
      <c r="N7050" s="0" t="n">
        <v>12</v>
      </c>
      <c r="O7050" s="0" t="n">
        <v>33.89</v>
      </c>
      <c r="P7050" s="0" t="s">
        <v>2444</v>
      </c>
    </row>
    <row r="7051" customFormat="false" ht="15" hidden="false" customHeight="true" outlineLevel="0" collapsed="false">
      <c r="A7051" s="0" t="n">
        <v>2</v>
      </c>
      <c r="B7051" s="71" t="n">
        <v>46259</v>
      </c>
      <c r="C7051" s="0" t="n">
        <v>11</v>
      </c>
      <c r="D7051" s="0" t="s">
        <v>2471</v>
      </c>
      <c r="E7051" s="0" t="n">
        <v>10009</v>
      </c>
      <c r="F7051" s="0" t="s">
        <v>464</v>
      </c>
      <c r="I7051" s="0" t="n">
        <v>1442668</v>
      </c>
      <c r="J7051" s="0" t="n">
        <v>54906</v>
      </c>
      <c r="K7051" s="0" t="n">
        <v>7891000377130</v>
      </c>
      <c r="L7051" s="0" t="s">
        <v>3161</v>
      </c>
      <c r="N7051" s="0" t="n">
        <v>12</v>
      </c>
      <c r="O7051" s="0" t="n">
        <v>33.89</v>
      </c>
      <c r="P7051" s="0" t="s">
        <v>2444</v>
      </c>
    </row>
    <row r="7052" customFormat="false" ht="15" hidden="false" customHeight="true" outlineLevel="0" collapsed="false">
      <c r="A7052" s="0" t="n">
        <v>2</v>
      </c>
      <c r="B7052" s="71" t="n">
        <v>46259</v>
      </c>
      <c r="C7052" s="0" t="n">
        <v>11</v>
      </c>
      <c r="D7052" s="0" t="s">
        <v>2471</v>
      </c>
      <c r="E7052" s="0" t="n">
        <v>10009</v>
      </c>
      <c r="F7052" s="0" t="s">
        <v>464</v>
      </c>
      <c r="I7052" s="0" t="n">
        <v>1442668</v>
      </c>
      <c r="J7052" s="0" t="n">
        <v>55005</v>
      </c>
      <c r="K7052" s="0" t="n">
        <v>7891000347942</v>
      </c>
      <c r="L7052" s="0" t="s">
        <v>5106</v>
      </c>
      <c r="N7052" s="0" t="n">
        <v>3</v>
      </c>
      <c r="O7052" s="0" t="n">
        <v>31.12</v>
      </c>
      <c r="P7052" s="0" t="s">
        <v>2444</v>
      </c>
    </row>
    <row r="7053" customFormat="false" ht="15" hidden="false" customHeight="true" outlineLevel="0" collapsed="false">
      <c r="A7053" s="0" t="n">
        <v>2</v>
      </c>
      <c r="B7053" s="71" t="n">
        <v>46259</v>
      </c>
      <c r="C7053" s="0" t="n">
        <v>11</v>
      </c>
      <c r="D7053" s="0" t="s">
        <v>2471</v>
      </c>
      <c r="E7053" s="0" t="n">
        <v>10009</v>
      </c>
      <c r="F7053" s="0" t="s">
        <v>464</v>
      </c>
      <c r="I7053" s="0" t="n">
        <v>1442668</v>
      </c>
      <c r="J7053" s="0" t="n">
        <v>55395</v>
      </c>
      <c r="K7053" s="0" t="n">
        <v>7891000307045</v>
      </c>
      <c r="L7053" s="0" t="s">
        <v>5107</v>
      </c>
      <c r="N7053" s="0" t="n">
        <v>6</v>
      </c>
      <c r="O7053" s="0" t="n">
        <v>42.02</v>
      </c>
      <c r="P7053" s="0" t="s">
        <v>2444</v>
      </c>
    </row>
    <row r="7054" customFormat="false" ht="15" hidden="false" customHeight="true" outlineLevel="0" collapsed="false">
      <c r="A7054" s="0" t="n">
        <v>2</v>
      </c>
      <c r="B7054" s="71" t="n">
        <v>46259</v>
      </c>
      <c r="C7054" s="0" t="n">
        <v>11</v>
      </c>
      <c r="D7054" s="0" t="s">
        <v>2471</v>
      </c>
      <c r="E7054" s="0" t="n">
        <v>10009</v>
      </c>
      <c r="F7054" s="0" t="s">
        <v>464</v>
      </c>
      <c r="I7054" s="0" t="n">
        <v>1442668</v>
      </c>
      <c r="J7054" s="0" t="n">
        <v>55824</v>
      </c>
      <c r="K7054" s="0" t="n">
        <v>7891000373262</v>
      </c>
      <c r="L7054" s="0" t="s">
        <v>5108</v>
      </c>
      <c r="N7054" s="0" t="n">
        <v>12</v>
      </c>
      <c r="O7054" s="0" t="n">
        <v>48.21</v>
      </c>
      <c r="P7054" s="0" t="s">
        <v>2444</v>
      </c>
    </row>
    <row r="7055" customFormat="false" ht="15" hidden="false" customHeight="true" outlineLevel="0" collapsed="false">
      <c r="A7055" s="0" t="n">
        <v>2</v>
      </c>
      <c r="B7055" s="71" t="n">
        <v>46259</v>
      </c>
      <c r="C7055" s="0" t="n">
        <v>11</v>
      </c>
      <c r="D7055" s="0" t="s">
        <v>2471</v>
      </c>
      <c r="E7055" s="0" t="n">
        <v>10009</v>
      </c>
      <c r="F7055" s="0" t="s">
        <v>464</v>
      </c>
      <c r="I7055" s="0" t="n">
        <v>1442668</v>
      </c>
      <c r="J7055" s="0" t="n">
        <v>58216</v>
      </c>
      <c r="K7055" s="0" t="n">
        <v>7891000376959</v>
      </c>
      <c r="L7055" s="0" t="s">
        <v>5109</v>
      </c>
      <c r="N7055" s="0" t="n">
        <v>12</v>
      </c>
      <c r="O7055" s="0" t="n">
        <v>33.82</v>
      </c>
      <c r="P7055" s="0" t="s">
        <v>2444</v>
      </c>
    </row>
    <row r="7056" customFormat="false" ht="15" hidden="false" customHeight="true" outlineLevel="0" collapsed="false">
      <c r="A7056" s="0" t="n">
        <v>2</v>
      </c>
      <c r="B7056" s="71" t="n">
        <v>46259</v>
      </c>
      <c r="C7056" s="0" t="n">
        <v>11</v>
      </c>
      <c r="D7056" s="0" t="s">
        <v>2471</v>
      </c>
      <c r="E7056" s="0" t="n">
        <v>10009</v>
      </c>
      <c r="F7056" s="0" t="s">
        <v>464</v>
      </c>
      <c r="I7056" s="0" t="n">
        <v>1442668</v>
      </c>
      <c r="J7056" s="0" t="n">
        <v>58277</v>
      </c>
      <c r="K7056" s="0" t="n">
        <v>7891000372548</v>
      </c>
      <c r="L7056" s="0" t="s">
        <v>5110</v>
      </c>
      <c r="N7056" s="0" t="n">
        <v>12</v>
      </c>
      <c r="O7056" s="0" t="n">
        <v>48.21</v>
      </c>
      <c r="P7056" s="0" t="s">
        <v>2444</v>
      </c>
    </row>
    <row r="7057" customFormat="false" ht="15" hidden="false" customHeight="true" outlineLevel="0" collapsed="false">
      <c r="A7057" s="0" t="n">
        <v>2</v>
      </c>
      <c r="B7057" s="71" t="n">
        <v>46259</v>
      </c>
      <c r="C7057" s="0" t="n">
        <v>11</v>
      </c>
      <c r="D7057" s="0" t="s">
        <v>2471</v>
      </c>
      <c r="E7057" s="0" t="n">
        <v>10009</v>
      </c>
      <c r="F7057" s="0" t="s">
        <v>464</v>
      </c>
      <c r="I7057" s="0" t="n">
        <v>1442668</v>
      </c>
      <c r="J7057" s="0" t="n">
        <v>58706</v>
      </c>
      <c r="K7057" s="0" t="n">
        <v>7891000376843</v>
      </c>
      <c r="L7057" s="0" t="s">
        <v>3164</v>
      </c>
      <c r="N7057" s="0" t="n">
        <v>12</v>
      </c>
      <c r="O7057" s="0" t="n">
        <v>33.82</v>
      </c>
      <c r="P7057" s="0" t="s">
        <v>2444</v>
      </c>
    </row>
    <row r="7058" customFormat="false" ht="15" hidden="false" customHeight="true" outlineLevel="0" collapsed="false">
      <c r="A7058" s="0" t="n">
        <v>2</v>
      </c>
      <c r="B7058" s="71" t="n">
        <v>46259</v>
      </c>
      <c r="C7058" s="0" t="n">
        <v>11</v>
      </c>
      <c r="D7058" s="0" t="s">
        <v>2471</v>
      </c>
      <c r="E7058" s="0" t="n">
        <v>10009</v>
      </c>
      <c r="F7058" s="0" t="s">
        <v>464</v>
      </c>
      <c r="I7058" s="0" t="n">
        <v>1442668</v>
      </c>
      <c r="J7058" s="0" t="n">
        <v>61564</v>
      </c>
      <c r="K7058" s="0" t="n">
        <v>7891000366141</v>
      </c>
      <c r="L7058" s="0" t="s">
        <v>3165</v>
      </c>
      <c r="N7058" s="0" t="n">
        <v>27</v>
      </c>
      <c r="O7058" s="0" t="n">
        <v>71.57</v>
      </c>
      <c r="P7058" s="0" t="s">
        <v>2444</v>
      </c>
    </row>
    <row r="7059" customFormat="false" ht="15" hidden="false" customHeight="true" outlineLevel="0" collapsed="false">
      <c r="A7059" s="0" t="n">
        <v>2</v>
      </c>
      <c r="B7059" s="71" t="n">
        <v>46259</v>
      </c>
      <c r="C7059" s="0" t="n">
        <v>11</v>
      </c>
      <c r="D7059" s="0" t="s">
        <v>2471</v>
      </c>
      <c r="E7059" s="0" t="n">
        <v>10009</v>
      </c>
      <c r="F7059" s="0" t="s">
        <v>464</v>
      </c>
      <c r="I7059" s="0" t="n">
        <v>1442668</v>
      </c>
      <c r="J7059" s="0" t="n">
        <v>62242</v>
      </c>
      <c r="K7059" s="0" t="n">
        <v>7891000379585</v>
      </c>
      <c r="L7059" s="0" t="s">
        <v>3465</v>
      </c>
      <c r="N7059" s="0" t="n">
        <v>12</v>
      </c>
      <c r="O7059" s="0" t="n">
        <v>81.24</v>
      </c>
      <c r="P7059" s="0" t="s">
        <v>2444</v>
      </c>
    </row>
    <row r="7060" customFormat="false" ht="15" hidden="false" customHeight="true" outlineLevel="0" collapsed="false">
      <c r="A7060" s="0" t="n">
        <v>2</v>
      </c>
      <c r="B7060" s="71" t="n">
        <v>46259</v>
      </c>
      <c r="C7060" s="0" t="n">
        <v>11</v>
      </c>
      <c r="D7060" s="0" t="s">
        <v>2471</v>
      </c>
      <c r="E7060" s="0" t="n">
        <v>10009</v>
      </c>
      <c r="F7060" s="0" t="s">
        <v>464</v>
      </c>
      <c r="I7060" s="0" t="n">
        <v>1442668</v>
      </c>
      <c r="J7060" s="0" t="n">
        <v>62375</v>
      </c>
      <c r="K7060" s="0" t="n">
        <v>7891000383421</v>
      </c>
      <c r="L7060" s="0" t="s">
        <v>5111</v>
      </c>
      <c r="N7060" s="0" t="n">
        <v>6</v>
      </c>
      <c r="O7060" s="0" t="n">
        <v>38.88</v>
      </c>
      <c r="P7060" s="0" t="s">
        <v>2444</v>
      </c>
    </row>
    <row r="7061" customFormat="false" ht="15" hidden="false" customHeight="true" outlineLevel="0" collapsed="false">
      <c r="A7061" s="0" t="n">
        <v>2</v>
      </c>
      <c r="B7061" s="71" t="n">
        <v>46259</v>
      </c>
      <c r="C7061" s="0" t="n">
        <v>11</v>
      </c>
      <c r="D7061" s="0" t="s">
        <v>2471</v>
      </c>
      <c r="E7061" s="0" t="n">
        <v>10009</v>
      </c>
      <c r="F7061" s="0" t="s">
        <v>464</v>
      </c>
      <c r="I7061" s="0" t="n">
        <v>1442668</v>
      </c>
      <c r="J7061" s="0" t="n">
        <v>64062</v>
      </c>
      <c r="K7061" s="0" t="n">
        <v>7891000389225</v>
      </c>
      <c r="L7061" s="0" t="s">
        <v>5112</v>
      </c>
      <c r="N7061" s="0" t="n">
        <v>6</v>
      </c>
      <c r="O7061" s="0" t="n">
        <v>35.99</v>
      </c>
      <c r="P7061" s="0" t="s">
        <v>2444</v>
      </c>
    </row>
    <row r="7062" customFormat="false" ht="15" hidden="false" customHeight="true" outlineLevel="0" collapsed="false">
      <c r="A7062" s="0" t="n">
        <v>2</v>
      </c>
      <c r="B7062" s="71" t="n">
        <v>46259</v>
      </c>
      <c r="C7062" s="0" t="n">
        <v>11</v>
      </c>
      <c r="D7062" s="0" t="s">
        <v>2471</v>
      </c>
      <c r="E7062" s="0" t="n">
        <v>10009</v>
      </c>
      <c r="F7062" s="0" t="s">
        <v>464</v>
      </c>
      <c r="I7062" s="0" t="n">
        <v>1442668</v>
      </c>
      <c r="J7062" s="0" t="n">
        <v>66436</v>
      </c>
      <c r="K7062" s="0" t="n">
        <v>7891000389300</v>
      </c>
      <c r="L7062" s="0" t="s">
        <v>3167</v>
      </c>
      <c r="N7062" s="0" t="n">
        <v>6</v>
      </c>
      <c r="O7062" s="0" t="n">
        <v>35.99</v>
      </c>
      <c r="P7062" s="0" t="s">
        <v>2444</v>
      </c>
    </row>
    <row r="7063" customFormat="false" ht="15" hidden="false" customHeight="true" outlineLevel="0" collapsed="false">
      <c r="A7063" s="0" t="n">
        <v>2</v>
      </c>
      <c r="B7063" s="71" t="n">
        <v>46259</v>
      </c>
      <c r="C7063" s="0" t="n">
        <v>11</v>
      </c>
      <c r="D7063" s="0" t="s">
        <v>2471</v>
      </c>
      <c r="E7063" s="0" t="n">
        <v>10009</v>
      </c>
      <c r="F7063" s="0" t="s">
        <v>464</v>
      </c>
      <c r="I7063" s="0" t="n">
        <v>1442668</v>
      </c>
      <c r="J7063" s="0" t="n">
        <v>75859</v>
      </c>
      <c r="K7063" s="0" t="n">
        <v>7891000401903</v>
      </c>
      <c r="L7063" s="0" t="s">
        <v>5113</v>
      </c>
      <c r="N7063" s="0" t="n">
        <v>6</v>
      </c>
      <c r="O7063" s="0" t="n">
        <v>36</v>
      </c>
      <c r="P7063" s="0" t="s">
        <v>2444</v>
      </c>
    </row>
    <row r="7064" customFormat="false" ht="15" hidden="false" customHeight="true" outlineLevel="0" collapsed="false">
      <c r="A7064" s="0" t="n">
        <v>2</v>
      </c>
      <c r="B7064" s="71" t="n">
        <v>46259</v>
      </c>
      <c r="C7064" s="0" t="n">
        <v>11</v>
      </c>
      <c r="D7064" s="0" t="s">
        <v>2471</v>
      </c>
      <c r="E7064" s="0" t="n">
        <v>1683</v>
      </c>
      <c r="F7064" s="0" t="s">
        <v>406</v>
      </c>
      <c r="I7064" s="0" t="n">
        <v>1668884</v>
      </c>
      <c r="J7064" s="0" t="n">
        <v>37361</v>
      </c>
      <c r="K7064" s="0" t="n">
        <v>2240817</v>
      </c>
      <c r="L7064" s="0" t="s">
        <v>2467</v>
      </c>
      <c r="N7064" s="0" t="n">
        <v>70</v>
      </c>
      <c r="O7064" s="0" t="n">
        <v>126</v>
      </c>
      <c r="P7064" s="0" t="s">
        <v>2444</v>
      </c>
    </row>
    <row r="7065" customFormat="false" ht="15" hidden="false" customHeight="true" outlineLevel="0" collapsed="false">
      <c r="A7065" s="0" t="n">
        <v>2</v>
      </c>
      <c r="B7065" s="71" t="n">
        <v>46259</v>
      </c>
      <c r="C7065" s="0" t="n">
        <v>11</v>
      </c>
      <c r="D7065" s="0" t="s">
        <v>2471</v>
      </c>
      <c r="E7065" s="0" t="n">
        <v>1705</v>
      </c>
      <c r="F7065" s="0" t="s">
        <v>130</v>
      </c>
      <c r="I7065" s="0" t="n">
        <v>2004983</v>
      </c>
      <c r="J7065" s="0" t="n">
        <v>103139</v>
      </c>
      <c r="K7065" s="0" t="n">
        <v>7894900051759</v>
      </c>
      <c r="L7065" s="0" t="s">
        <v>2654</v>
      </c>
      <c r="N7065" s="0" t="n">
        <v>12</v>
      </c>
      <c r="O7065" s="0" t="n">
        <v>67.89</v>
      </c>
      <c r="P7065" s="0" t="s">
        <v>2444</v>
      </c>
    </row>
    <row r="7066" customFormat="false" ht="15" hidden="false" customHeight="true" outlineLevel="0" collapsed="false">
      <c r="A7066" s="0" t="n">
        <v>2</v>
      </c>
      <c r="B7066" s="71" t="n">
        <v>46259</v>
      </c>
      <c r="C7066" s="0" t="n">
        <v>11</v>
      </c>
      <c r="D7066" s="0" t="s">
        <v>2471</v>
      </c>
      <c r="E7066" s="0" t="n">
        <v>1705</v>
      </c>
      <c r="F7066" s="0" t="s">
        <v>130</v>
      </c>
      <c r="I7066" s="0" t="n">
        <v>2004983</v>
      </c>
      <c r="J7066" s="0" t="n">
        <v>103140</v>
      </c>
      <c r="K7066" s="0" t="n">
        <v>7894900031751</v>
      </c>
      <c r="L7066" s="0" t="s">
        <v>2655</v>
      </c>
      <c r="N7066" s="0" t="n">
        <v>12</v>
      </c>
      <c r="O7066" s="0" t="n">
        <v>67.89</v>
      </c>
      <c r="P7066" s="0" t="s">
        <v>2444</v>
      </c>
    </row>
    <row r="7067" customFormat="false" ht="15" hidden="false" customHeight="true" outlineLevel="0" collapsed="false">
      <c r="A7067" s="0" t="n">
        <v>2</v>
      </c>
      <c r="B7067" s="71" t="n">
        <v>46259</v>
      </c>
      <c r="C7067" s="0" t="n">
        <v>11</v>
      </c>
      <c r="D7067" s="0" t="s">
        <v>2471</v>
      </c>
      <c r="E7067" s="0" t="n">
        <v>1705</v>
      </c>
      <c r="F7067" s="0" t="s">
        <v>130</v>
      </c>
      <c r="I7067" s="0" t="n">
        <v>2004983</v>
      </c>
      <c r="J7067" s="0" t="n">
        <v>103142</v>
      </c>
      <c r="K7067" s="0" t="n">
        <v>7894900011753</v>
      </c>
      <c r="L7067" s="0" t="s">
        <v>2581</v>
      </c>
      <c r="N7067" s="0" t="n">
        <v>30</v>
      </c>
      <c r="O7067" s="0" t="n">
        <v>182.84</v>
      </c>
      <c r="P7067" s="0" t="s">
        <v>2444</v>
      </c>
    </row>
    <row r="7068" customFormat="false" ht="15" hidden="false" customHeight="true" outlineLevel="0" collapsed="false">
      <c r="A7068" s="0" t="n">
        <v>2</v>
      </c>
      <c r="B7068" s="71" t="n">
        <v>46259</v>
      </c>
      <c r="C7068" s="0" t="n">
        <v>11</v>
      </c>
      <c r="D7068" s="0" t="s">
        <v>2471</v>
      </c>
      <c r="E7068" s="0" t="n">
        <v>1705</v>
      </c>
      <c r="F7068" s="0" t="s">
        <v>130</v>
      </c>
      <c r="I7068" s="0" t="n">
        <v>2004983</v>
      </c>
      <c r="J7068" s="0" t="n">
        <v>103146</v>
      </c>
      <c r="K7068" s="0" t="n">
        <v>7894900031515</v>
      </c>
      <c r="L7068" s="0" t="s">
        <v>2567</v>
      </c>
      <c r="N7068" s="0" t="n">
        <v>12</v>
      </c>
      <c r="O7068" s="0" t="n">
        <v>89.99</v>
      </c>
      <c r="P7068" s="0" t="s">
        <v>2444</v>
      </c>
    </row>
    <row r="7069" customFormat="false" ht="15" hidden="false" customHeight="true" outlineLevel="0" collapsed="false">
      <c r="A7069" s="0" t="n">
        <v>2</v>
      </c>
      <c r="B7069" s="71" t="n">
        <v>46259</v>
      </c>
      <c r="C7069" s="0" t="n">
        <v>11</v>
      </c>
      <c r="D7069" s="0" t="s">
        <v>2471</v>
      </c>
      <c r="E7069" s="0" t="n">
        <v>1705</v>
      </c>
      <c r="F7069" s="0" t="s">
        <v>130</v>
      </c>
      <c r="I7069" s="0" t="n">
        <v>2004983</v>
      </c>
      <c r="J7069" s="0" t="n">
        <v>103159</v>
      </c>
      <c r="K7069" s="0" t="n">
        <v>7894900050011</v>
      </c>
      <c r="L7069" s="0" t="s">
        <v>2656</v>
      </c>
      <c r="N7069" s="0" t="n">
        <v>6</v>
      </c>
      <c r="O7069" s="0" t="n">
        <v>17.16</v>
      </c>
      <c r="P7069" s="0" t="s">
        <v>2444</v>
      </c>
    </row>
    <row r="7070" customFormat="false" ht="15" hidden="false" customHeight="true" outlineLevel="0" collapsed="false">
      <c r="A7070" s="0" t="n">
        <v>2</v>
      </c>
      <c r="B7070" s="71" t="n">
        <v>46259</v>
      </c>
      <c r="C7070" s="0" t="n">
        <v>11</v>
      </c>
      <c r="D7070" s="0" t="s">
        <v>2471</v>
      </c>
      <c r="E7070" s="0" t="n">
        <v>1705</v>
      </c>
      <c r="F7070" s="0" t="s">
        <v>130</v>
      </c>
      <c r="I7070" s="0" t="n">
        <v>2004983</v>
      </c>
      <c r="J7070" s="0" t="n">
        <v>103160</v>
      </c>
      <c r="K7070" s="0" t="n">
        <v>7894900030013</v>
      </c>
      <c r="L7070" s="0" t="s">
        <v>2568</v>
      </c>
      <c r="N7070" s="0" t="n">
        <v>6</v>
      </c>
      <c r="O7070" s="0" t="n">
        <v>17.16</v>
      </c>
      <c r="P7070" s="0" t="s">
        <v>2444</v>
      </c>
    </row>
    <row r="7071" customFormat="false" ht="15" hidden="false" customHeight="true" outlineLevel="0" collapsed="false">
      <c r="A7071" s="0" t="n">
        <v>2</v>
      </c>
      <c r="B7071" s="71" t="n">
        <v>46259</v>
      </c>
      <c r="C7071" s="0" t="n">
        <v>11</v>
      </c>
      <c r="D7071" s="0" t="s">
        <v>2471</v>
      </c>
      <c r="E7071" s="0" t="n">
        <v>1705</v>
      </c>
      <c r="F7071" s="0" t="s">
        <v>130</v>
      </c>
      <c r="I7071" s="0" t="n">
        <v>2004983</v>
      </c>
      <c r="J7071" s="0" t="n">
        <v>103161</v>
      </c>
      <c r="K7071" s="0" t="n">
        <v>7894900010015</v>
      </c>
      <c r="L7071" s="0" t="s">
        <v>2569</v>
      </c>
      <c r="N7071" s="0" t="n">
        <v>48</v>
      </c>
      <c r="O7071" s="0" t="n">
        <v>153.85</v>
      </c>
      <c r="P7071" s="0" t="s">
        <v>2444</v>
      </c>
    </row>
    <row r="7072" customFormat="false" ht="15" hidden="false" customHeight="true" outlineLevel="0" collapsed="false">
      <c r="A7072" s="0" t="n">
        <v>2</v>
      </c>
      <c r="B7072" s="71" t="n">
        <v>46259</v>
      </c>
      <c r="C7072" s="0" t="n">
        <v>11</v>
      </c>
      <c r="D7072" s="0" t="s">
        <v>2471</v>
      </c>
      <c r="E7072" s="0" t="n">
        <v>1705</v>
      </c>
      <c r="F7072" s="0" t="s">
        <v>130</v>
      </c>
      <c r="I7072" s="0" t="n">
        <v>2004983</v>
      </c>
      <c r="J7072" s="0" t="n">
        <v>104051</v>
      </c>
      <c r="K7072" s="0" t="n">
        <v>7894900300017</v>
      </c>
      <c r="L7072" s="0" t="s">
        <v>4661</v>
      </c>
      <c r="N7072" s="0" t="n">
        <v>36</v>
      </c>
      <c r="O7072" s="0" t="n">
        <v>100.73</v>
      </c>
      <c r="P7072" s="0" t="s">
        <v>2444</v>
      </c>
    </row>
    <row r="7073" customFormat="false" ht="15" hidden="false" customHeight="true" outlineLevel="0" collapsed="false">
      <c r="A7073" s="0" t="n">
        <v>2</v>
      </c>
      <c r="B7073" s="71" t="n">
        <v>46259</v>
      </c>
      <c r="C7073" s="0" t="n">
        <v>11</v>
      </c>
      <c r="D7073" s="0" t="s">
        <v>2471</v>
      </c>
      <c r="E7073" s="0" t="n">
        <v>1705</v>
      </c>
      <c r="F7073" s="0" t="s">
        <v>130</v>
      </c>
      <c r="I7073" s="0" t="n">
        <v>2004983</v>
      </c>
      <c r="J7073" s="0" t="n">
        <v>105323</v>
      </c>
      <c r="K7073" s="0" t="n">
        <v>7894900701753</v>
      </c>
      <c r="L7073" s="0" t="s">
        <v>2570</v>
      </c>
      <c r="N7073" s="0" t="n">
        <v>18</v>
      </c>
      <c r="O7073" s="0" t="n">
        <v>109.71</v>
      </c>
      <c r="P7073" s="0" t="s">
        <v>2444</v>
      </c>
    </row>
    <row r="7074" customFormat="false" ht="15" hidden="false" customHeight="true" outlineLevel="0" collapsed="false">
      <c r="A7074" s="0" t="n">
        <v>2</v>
      </c>
      <c r="B7074" s="71" t="n">
        <v>46259</v>
      </c>
      <c r="C7074" s="0" t="n">
        <v>11</v>
      </c>
      <c r="D7074" s="0" t="s">
        <v>2471</v>
      </c>
      <c r="E7074" s="0" t="n">
        <v>1705</v>
      </c>
      <c r="F7074" s="0" t="s">
        <v>130</v>
      </c>
      <c r="I7074" s="0" t="n">
        <v>2004983</v>
      </c>
      <c r="J7074" s="0" t="n">
        <v>105631</v>
      </c>
      <c r="K7074" s="0" t="n">
        <v>7894900011609</v>
      </c>
      <c r="L7074" s="0" t="s">
        <v>2571</v>
      </c>
      <c r="N7074" s="0" t="n">
        <v>36</v>
      </c>
      <c r="O7074" s="0" t="n">
        <v>148.35</v>
      </c>
      <c r="P7074" s="0" t="s">
        <v>2444</v>
      </c>
    </row>
    <row r="7075" customFormat="false" ht="15" hidden="false" customHeight="true" outlineLevel="0" collapsed="false">
      <c r="A7075" s="0" t="n">
        <v>2</v>
      </c>
      <c r="B7075" s="71" t="n">
        <v>46259</v>
      </c>
      <c r="C7075" s="0" t="n">
        <v>11</v>
      </c>
      <c r="D7075" s="0" t="s">
        <v>2471</v>
      </c>
      <c r="E7075" s="0" t="n">
        <v>1705</v>
      </c>
      <c r="F7075" s="0" t="s">
        <v>130</v>
      </c>
      <c r="I7075" s="0" t="n">
        <v>2004983</v>
      </c>
      <c r="J7075" s="0" t="n">
        <v>10830</v>
      </c>
      <c r="K7075" s="0" t="n">
        <v>7894900701517</v>
      </c>
      <c r="L7075" s="0" t="s">
        <v>2573</v>
      </c>
      <c r="N7075" s="0" t="n">
        <v>18</v>
      </c>
      <c r="O7075" s="0" t="n">
        <v>154.03</v>
      </c>
      <c r="P7075" s="0" t="s">
        <v>2444</v>
      </c>
    </row>
    <row r="7076" customFormat="false" ht="15" hidden="false" customHeight="true" outlineLevel="0" collapsed="false">
      <c r="A7076" s="0" t="n">
        <v>2</v>
      </c>
      <c r="B7076" s="71" t="n">
        <v>46259</v>
      </c>
      <c r="C7076" s="0" t="n">
        <v>11</v>
      </c>
      <c r="D7076" s="0" t="s">
        <v>2471</v>
      </c>
      <c r="E7076" s="0" t="n">
        <v>1705</v>
      </c>
      <c r="F7076" s="0" t="s">
        <v>130</v>
      </c>
      <c r="I7076" s="0" t="n">
        <v>2004983</v>
      </c>
      <c r="J7076" s="0" t="n">
        <v>11678</v>
      </c>
      <c r="K7076" s="0" t="n">
        <v>7894900701593</v>
      </c>
      <c r="L7076" s="0" t="s">
        <v>2468</v>
      </c>
      <c r="N7076" s="0" t="n">
        <v>18</v>
      </c>
      <c r="O7076" s="0" t="n">
        <v>173.99</v>
      </c>
      <c r="P7076" s="0" t="s">
        <v>2444</v>
      </c>
    </row>
    <row r="7077" customFormat="false" ht="15" hidden="false" customHeight="true" outlineLevel="0" collapsed="false">
      <c r="A7077" s="0" t="n">
        <v>2</v>
      </c>
      <c r="B7077" s="71" t="n">
        <v>46259</v>
      </c>
      <c r="C7077" s="0" t="n">
        <v>11</v>
      </c>
      <c r="D7077" s="0" t="s">
        <v>2471</v>
      </c>
      <c r="E7077" s="0" t="n">
        <v>1705</v>
      </c>
      <c r="F7077" s="0" t="s">
        <v>130</v>
      </c>
      <c r="I7077" s="0" t="n">
        <v>2004983</v>
      </c>
      <c r="J7077" s="0" t="n">
        <v>18192</v>
      </c>
      <c r="K7077" s="0" t="n">
        <v>7894900320015</v>
      </c>
      <c r="L7077" s="0" t="s">
        <v>4632</v>
      </c>
      <c r="N7077" s="0" t="n">
        <v>6</v>
      </c>
      <c r="O7077" s="0" t="n">
        <v>19.23</v>
      </c>
      <c r="P7077" s="0" t="s">
        <v>2444</v>
      </c>
    </row>
    <row r="7078" customFormat="false" ht="15" hidden="false" customHeight="true" outlineLevel="0" collapsed="false">
      <c r="A7078" s="0" t="n">
        <v>2</v>
      </c>
      <c r="B7078" s="71" t="n">
        <v>46259</v>
      </c>
      <c r="C7078" s="0" t="n">
        <v>11</v>
      </c>
      <c r="D7078" s="0" t="s">
        <v>2471</v>
      </c>
      <c r="E7078" s="0" t="n">
        <v>1705</v>
      </c>
      <c r="F7078" s="0" t="s">
        <v>130</v>
      </c>
      <c r="I7078" s="0" t="n">
        <v>2004983</v>
      </c>
      <c r="J7078" s="0" t="n">
        <v>21183</v>
      </c>
      <c r="K7078" s="0" t="n">
        <v>7894900556063</v>
      </c>
      <c r="L7078" s="0" t="s">
        <v>4364</v>
      </c>
      <c r="N7078" s="0" t="n">
        <v>12</v>
      </c>
      <c r="O7078" s="0" t="n">
        <v>86.45</v>
      </c>
      <c r="P7078" s="0" t="s">
        <v>2444</v>
      </c>
    </row>
    <row r="7079" customFormat="false" ht="15" hidden="false" customHeight="true" outlineLevel="0" collapsed="false">
      <c r="A7079" s="0" t="n">
        <v>2</v>
      </c>
      <c r="B7079" s="71" t="n">
        <v>46259</v>
      </c>
      <c r="C7079" s="0" t="n">
        <v>11</v>
      </c>
      <c r="D7079" s="0" t="s">
        <v>2471</v>
      </c>
      <c r="E7079" s="0" t="n">
        <v>1705</v>
      </c>
      <c r="F7079" s="0" t="s">
        <v>130</v>
      </c>
      <c r="I7079" s="0" t="n">
        <v>2004983</v>
      </c>
      <c r="J7079" s="0" t="n">
        <v>21425</v>
      </c>
      <c r="K7079" s="0" t="n">
        <v>7894900034219</v>
      </c>
      <c r="L7079" s="0" t="s">
        <v>2469</v>
      </c>
      <c r="N7079" s="0" t="n">
        <v>9</v>
      </c>
      <c r="O7079" s="0" t="n">
        <v>52.56</v>
      </c>
      <c r="P7079" s="0" t="s">
        <v>2444</v>
      </c>
    </row>
    <row r="7080" customFormat="false" ht="15" hidden="false" customHeight="true" outlineLevel="0" collapsed="false">
      <c r="A7080" s="0" t="n">
        <v>2</v>
      </c>
      <c r="B7080" s="71" t="n">
        <v>46259</v>
      </c>
      <c r="C7080" s="0" t="n">
        <v>11</v>
      </c>
      <c r="D7080" s="0" t="s">
        <v>2471</v>
      </c>
      <c r="E7080" s="0" t="n">
        <v>1705</v>
      </c>
      <c r="F7080" s="0" t="s">
        <v>130</v>
      </c>
      <c r="I7080" s="0" t="n">
        <v>2004983</v>
      </c>
      <c r="J7080" s="0" t="n">
        <v>21426</v>
      </c>
      <c r="K7080" s="0" t="n">
        <v>7894900014211</v>
      </c>
      <c r="L7080" s="0" t="s">
        <v>2470</v>
      </c>
      <c r="N7080" s="0" t="n">
        <v>36</v>
      </c>
      <c r="O7080" s="0" t="n">
        <v>241.39</v>
      </c>
      <c r="P7080" s="0" t="s">
        <v>2444</v>
      </c>
    </row>
    <row r="7081" customFormat="false" ht="15" hidden="false" customHeight="true" outlineLevel="0" collapsed="false">
      <c r="A7081" s="0" t="n">
        <v>2</v>
      </c>
      <c r="B7081" s="71" t="n">
        <v>46259</v>
      </c>
      <c r="C7081" s="0" t="n">
        <v>11</v>
      </c>
      <c r="D7081" s="0" t="s">
        <v>2471</v>
      </c>
      <c r="E7081" s="0" t="n">
        <v>1705</v>
      </c>
      <c r="F7081" s="0" t="s">
        <v>130</v>
      </c>
      <c r="I7081" s="0" t="n">
        <v>2004983</v>
      </c>
      <c r="J7081" s="0" t="n">
        <v>27673</v>
      </c>
      <c r="K7081" s="0" t="n">
        <v>7894900701715</v>
      </c>
      <c r="L7081" s="0" t="s">
        <v>2660</v>
      </c>
      <c r="N7081" s="0" t="n">
        <v>12</v>
      </c>
      <c r="O7081" s="0" t="n">
        <v>65.81</v>
      </c>
      <c r="P7081" s="0" t="s">
        <v>2444</v>
      </c>
    </row>
    <row r="7082" customFormat="false" ht="15" hidden="false" customHeight="true" outlineLevel="0" collapsed="false">
      <c r="A7082" s="0" t="n">
        <v>2</v>
      </c>
      <c r="B7082" s="71" t="n">
        <v>46259</v>
      </c>
      <c r="C7082" s="0" t="n">
        <v>11</v>
      </c>
      <c r="D7082" s="0" t="s">
        <v>2471</v>
      </c>
      <c r="E7082" s="0" t="n">
        <v>1705</v>
      </c>
      <c r="F7082" s="0" t="s">
        <v>130</v>
      </c>
      <c r="I7082" s="0" t="n">
        <v>2004983</v>
      </c>
      <c r="J7082" s="0" t="n">
        <v>28739</v>
      </c>
      <c r="K7082" s="0" t="n">
        <v>7894900027044</v>
      </c>
      <c r="L7082" s="0" t="s">
        <v>2658</v>
      </c>
      <c r="N7082" s="0" t="n">
        <v>30</v>
      </c>
      <c r="O7082" s="0" t="n">
        <v>169.72</v>
      </c>
      <c r="P7082" s="0" t="s">
        <v>2444</v>
      </c>
    </row>
    <row r="7083" customFormat="false" ht="15" hidden="false" customHeight="true" outlineLevel="0" collapsed="false">
      <c r="A7083" s="0" t="n">
        <v>2</v>
      </c>
      <c r="B7083" s="71" t="n">
        <v>46259</v>
      </c>
      <c r="C7083" s="0" t="n">
        <v>11</v>
      </c>
      <c r="D7083" s="0" t="s">
        <v>2471</v>
      </c>
      <c r="E7083" s="0" t="n">
        <v>1705</v>
      </c>
      <c r="F7083" s="0" t="s">
        <v>130</v>
      </c>
      <c r="I7083" s="0" t="n">
        <v>2004983</v>
      </c>
      <c r="J7083" s="0" t="n">
        <v>29826</v>
      </c>
      <c r="K7083" s="0" t="n">
        <v>7894900556032</v>
      </c>
      <c r="L7083" s="0" t="s">
        <v>2574</v>
      </c>
      <c r="N7083" s="0" t="n">
        <v>12</v>
      </c>
      <c r="O7083" s="0" t="n">
        <v>72.89</v>
      </c>
      <c r="P7083" s="0" t="s">
        <v>2444</v>
      </c>
    </row>
    <row r="7084" customFormat="false" ht="15" hidden="false" customHeight="true" outlineLevel="0" collapsed="false">
      <c r="A7084" s="0" t="n">
        <v>2</v>
      </c>
      <c r="B7084" s="71" t="n">
        <v>46259</v>
      </c>
      <c r="C7084" s="0" t="n">
        <v>11</v>
      </c>
      <c r="D7084" s="0" t="s">
        <v>2471</v>
      </c>
      <c r="E7084" s="0" t="n">
        <v>1705</v>
      </c>
      <c r="F7084" s="0" t="s">
        <v>130</v>
      </c>
      <c r="I7084" s="0" t="n">
        <v>2004983</v>
      </c>
      <c r="J7084" s="0" t="n">
        <v>30017</v>
      </c>
      <c r="K7084" s="0" t="n">
        <v>7894900680508</v>
      </c>
      <c r="L7084" s="0" t="s">
        <v>3589</v>
      </c>
      <c r="N7084" s="0" t="n">
        <v>24</v>
      </c>
      <c r="O7084" s="0" t="n">
        <v>84.25</v>
      </c>
      <c r="P7084" s="0" t="s">
        <v>2444</v>
      </c>
    </row>
    <row r="7085" customFormat="false" ht="15" hidden="false" customHeight="true" outlineLevel="0" collapsed="false">
      <c r="A7085" s="0" t="n">
        <v>2</v>
      </c>
      <c r="B7085" s="71" t="n">
        <v>46259</v>
      </c>
      <c r="C7085" s="0" t="n">
        <v>11</v>
      </c>
      <c r="D7085" s="0" t="s">
        <v>2471</v>
      </c>
      <c r="E7085" s="0" t="n">
        <v>1705</v>
      </c>
      <c r="F7085" s="0" t="s">
        <v>130</v>
      </c>
      <c r="I7085" s="0" t="n">
        <v>2004983</v>
      </c>
      <c r="J7085" s="0" t="n">
        <v>31367</v>
      </c>
      <c r="K7085" s="0" t="n">
        <v>7894900704211</v>
      </c>
      <c r="L7085" s="0" t="s">
        <v>3258</v>
      </c>
      <c r="N7085" s="0" t="n">
        <v>9</v>
      </c>
      <c r="O7085" s="0" t="n">
        <v>52.56</v>
      </c>
      <c r="P7085" s="0" t="s">
        <v>2444</v>
      </c>
    </row>
    <row r="7086" customFormat="false" ht="15" hidden="false" customHeight="true" outlineLevel="0" collapsed="false">
      <c r="A7086" s="0" t="n">
        <v>2</v>
      </c>
      <c r="B7086" s="71" t="n">
        <v>46259</v>
      </c>
      <c r="C7086" s="0" t="n">
        <v>11</v>
      </c>
      <c r="D7086" s="0" t="s">
        <v>2471</v>
      </c>
      <c r="E7086" s="0" t="n">
        <v>1705</v>
      </c>
      <c r="F7086" s="0" t="s">
        <v>130</v>
      </c>
      <c r="I7086" s="0" t="n">
        <v>2004983</v>
      </c>
      <c r="J7086" s="0" t="n">
        <v>32339</v>
      </c>
      <c r="K7086" s="0" t="n">
        <v>7894900681000</v>
      </c>
      <c r="L7086" s="0" t="s">
        <v>2996</v>
      </c>
      <c r="N7086" s="0" t="n">
        <v>12</v>
      </c>
      <c r="O7086" s="0" t="n">
        <v>89.99</v>
      </c>
      <c r="P7086" s="0" t="s">
        <v>2444</v>
      </c>
    </row>
    <row r="7087" customFormat="false" ht="15" hidden="false" customHeight="true" outlineLevel="0" collapsed="false">
      <c r="A7087" s="0" t="n">
        <v>2</v>
      </c>
      <c r="B7087" s="71" t="n">
        <v>46259</v>
      </c>
      <c r="C7087" s="0" t="n">
        <v>11</v>
      </c>
      <c r="D7087" s="0" t="s">
        <v>2471</v>
      </c>
      <c r="E7087" s="0" t="n">
        <v>1705</v>
      </c>
      <c r="F7087" s="0" t="s">
        <v>130</v>
      </c>
      <c r="I7087" s="0" t="n">
        <v>2004983</v>
      </c>
      <c r="J7087" s="0" t="n">
        <v>34629</v>
      </c>
      <c r="K7087" s="0" t="n">
        <v>7894900027020</v>
      </c>
      <c r="L7087" s="0" t="s">
        <v>2478</v>
      </c>
      <c r="N7087" s="0" t="n">
        <v>30</v>
      </c>
      <c r="O7087" s="0" t="n">
        <v>297.92</v>
      </c>
      <c r="P7087" s="0" t="s">
        <v>2444</v>
      </c>
    </row>
    <row r="7088" customFormat="false" ht="15" hidden="false" customHeight="true" outlineLevel="0" collapsed="false">
      <c r="A7088" s="0" t="n">
        <v>2</v>
      </c>
      <c r="B7088" s="71" t="n">
        <v>46259</v>
      </c>
      <c r="C7088" s="0" t="n">
        <v>11</v>
      </c>
      <c r="D7088" s="0" t="s">
        <v>2471</v>
      </c>
      <c r="E7088" s="0" t="n">
        <v>1705</v>
      </c>
      <c r="F7088" s="0" t="s">
        <v>130</v>
      </c>
      <c r="I7088" s="0" t="n">
        <v>2004983</v>
      </c>
      <c r="J7088" s="0" t="n">
        <v>37279</v>
      </c>
      <c r="K7088" s="0" t="n">
        <v>7894900027013</v>
      </c>
      <c r="L7088" s="0" t="s">
        <v>2575</v>
      </c>
      <c r="N7088" s="0" t="n">
        <v>48</v>
      </c>
      <c r="O7088" s="0" t="n">
        <v>423.44</v>
      </c>
      <c r="P7088" s="0" t="s">
        <v>2444</v>
      </c>
    </row>
    <row r="7089" customFormat="false" ht="15" hidden="false" customHeight="true" outlineLevel="0" collapsed="false">
      <c r="A7089" s="0" t="n">
        <v>2</v>
      </c>
      <c r="B7089" s="71" t="n">
        <v>46259</v>
      </c>
      <c r="C7089" s="0" t="n">
        <v>11</v>
      </c>
      <c r="D7089" s="0" t="s">
        <v>2471</v>
      </c>
      <c r="E7089" s="0" t="n">
        <v>1705</v>
      </c>
      <c r="F7089" s="0" t="s">
        <v>130</v>
      </c>
      <c r="I7089" s="0" t="n">
        <v>2004983</v>
      </c>
      <c r="J7089" s="0" t="n">
        <v>38060</v>
      </c>
      <c r="K7089" s="0" t="n">
        <v>7894900701609</v>
      </c>
      <c r="L7089" s="0" t="s">
        <v>2576</v>
      </c>
      <c r="N7089" s="0" t="n">
        <v>24</v>
      </c>
      <c r="O7089" s="0" t="n">
        <v>88.16</v>
      </c>
      <c r="P7089" s="0" t="s">
        <v>2444</v>
      </c>
    </row>
    <row r="7090" customFormat="false" ht="15" hidden="false" customHeight="true" outlineLevel="0" collapsed="false">
      <c r="A7090" s="0" t="n">
        <v>2</v>
      </c>
      <c r="B7090" s="71" t="n">
        <v>46259</v>
      </c>
      <c r="C7090" s="0" t="n">
        <v>11</v>
      </c>
      <c r="D7090" s="0" t="s">
        <v>2471</v>
      </c>
      <c r="E7090" s="0" t="n">
        <v>1705</v>
      </c>
      <c r="F7090" s="0" t="s">
        <v>130</v>
      </c>
      <c r="I7090" s="0" t="n">
        <v>2004983</v>
      </c>
      <c r="J7090" s="0" t="n">
        <v>47954</v>
      </c>
      <c r="K7090" s="0" t="n">
        <v>7894900666519</v>
      </c>
      <c r="L7090" s="0" t="s">
        <v>2577</v>
      </c>
      <c r="N7090" s="0" t="n">
        <v>6</v>
      </c>
      <c r="O7090" s="0" t="n">
        <v>36.45</v>
      </c>
      <c r="P7090" s="0" t="s">
        <v>2444</v>
      </c>
    </row>
    <row r="7091" customFormat="false" ht="15" hidden="false" customHeight="true" outlineLevel="0" collapsed="false">
      <c r="A7091" s="0" t="n">
        <v>2</v>
      </c>
      <c r="B7091" s="71" t="n">
        <v>46260</v>
      </c>
      <c r="C7091" s="0" t="n">
        <v>6</v>
      </c>
      <c r="D7091" s="0" t="s">
        <v>2553</v>
      </c>
      <c r="E7091" s="0" t="n">
        <v>48</v>
      </c>
      <c r="F7091" s="0" t="s">
        <v>153</v>
      </c>
      <c r="I7091" s="0" t="n">
        <v>2630</v>
      </c>
      <c r="J7091" s="0" t="n">
        <v>42564</v>
      </c>
      <c r="K7091" s="0" t="n">
        <v>574</v>
      </c>
      <c r="L7091" s="0" t="s">
        <v>2534</v>
      </c>
      <c r="N7091" s="0" t="n">
        <v>15</v>
      </c>
      <c r="O7091" s="0" t="n">
        <v>225</v>
      </c>
      <c r="P7091" s="0" t="s">
        <v>2444</v>
      </c>
    </row>
    <row r="7092" customFormat="false" ht="15" hidden="false" customHeight="true" outlineLevel="0" collapsed="false">
      <c r="A7092" s="0" t="n">
        <v>2</v>
      </c>
      <c r="B7092" s="71" t="n">
        <v>46260</v>
      </c>
      <c r="C7092" s="0" t="n">
        <v>11</v>
      </c>
      <c r="D7092" s="0" t="s">
        <v>2471</v>
      </c>
      <c r="E7092" s="0" t="n">
        <v>1390</v>
      </c>
      <c r="F7092" s="0" t="s">
        <v>1906</v>
      </c>
      <c r="I7092" s="0" t="n">
        <v>7287</v>
      </c>
      <c r="J7092" s="0" t="n">
        <v>74806</v>
      </c>
      <c r="K7092" s="0" t="n">
        <v>7898967923899</v>
      </c>
      <c r="L7092" s="0" t="s">
        <v>5114</v>
      </c>
      <c r="N7092" s="0" t="n">
        <v>60</v>
      </c>
      <c r="O7092" s="0" t="n">
        <v>116.06</v>
      </c>
      <c r="P7092" s="0" t="s">
        <v>2444</v>
      </c>
    </row>
    <row r="7093" customFormat="false" ht="15" hidden="false" customHeight="true" outlineLevel="0" collapsed="false">
      <c r="A7093" s="0" t="n">
        <v>2</v>
      </c>
      <c r="B7093" s="71" t="n">
        <v>46260</v>
      </c>
      <c r="C7093" s="0" t="n">
        <v>11</v>
      </c>
      <c r="D7093" s="0" t="s">
        <v>2471</v>
      </c>
      <c r="E7093" s="0" t="n">
        <v>1390</v>
      </c>
      <c r="F7093" s="0" t="s">
        <v>1906</v>
      </c>
      <c r="I7093" s="0" t="n">
        <v>7287</v>
      </c>
      <c r="J7093" s="0" t="n">
        <v>74808</v>
      </c>
      <c r="K7093" s="0" t="n">
        <v>7898967923912</v>
      </c>
      <c r="L7093" s="0" t="s">
        <v>5115</v>
      </c>
      <c r="N7093" s="0" t="n">
        <v>60</v>
      </c>
      <c r="O7093" s="0" t="n">
        <v>116.06</v>
      </c>
      <c r="P7093" s="0" t="s">
        <v>2444</v>
      </c>
    </row>
    <row r="7094" customFormat="false" ht="15" hidden="false" customHeight="true" outlineLevel="0" collapsed="false">
      <c r="A7094" s="0" t="n">
        <v>2</v>
      </c>
      <c r="B7094" s="71" t="n">
        <v>46260</v>
      </c>
      <c r="C7094" s="0" t="n">
        <v>11</v>
      </c>
      <c r="D7094" s="0" t="s">
        <v>2471</v>
      </c>
      <c r="E7094" s="0" t="n">
        <v>1390</v>
      </c>
      <c r="F7094" s="0" t="s">
        <v>1906</v>
      </c>
      <c r="I7094" s="0" t="n">
        <v>7287</v>
      </c>
      <c r="J7094" s="0" t="n">
        <v>75038</v>
      </c>
      <c r="K7094" s="0" t="n">
        <v>7898754690492</v>
      </c>
      <c r="L7094" s="0" t="s">
        <v>5116</v>
      </c>
      <c r="N7094" s="0" t="n">
        <v>60</v>
      </c>
      <c r="O7094" s="0" t="n">
        <v>116.06</v>
      </c>
      <c r="P7094" s="0" t="s">
        <v>2444</v>
      </c>
    </row>
    <row r="7095" customFormat="false" ht="15" hidden="false" customHeight="true" outlineLevel="0" collapsed="false">
      <c r="A7095" s="0" t="n">
        <v>2</v>
      </c>
      <c r="B7095" s="71" t="n">
        <v>46260</v>
      </c>
      <c r="C7095" s="0" t="n">
        <v>11</v>
      </c>
      <c r="D7095" s="0" t="s">
        <v>2471</v>
      </c>
      <c r="E7095" s="0" t="n">
        <v>794</v>
      </c>
      <c r="F7095" s="0" t="s">
        <v>335</v>
      </c>
      <c r="I7095" s="0" t="n">
        <v>8744</v>
      </c>
      <c r="J7095" s="0" t="n">
        <v>104074</v>
      </c>
      <c r="K7095" s="0" t="n">
        <v>7891055112403</v>
      </c>
      <c r="L7095" s="0" t="s">
        <v>5117</v>
      </c>
      <c r="N7095" s="0" t="n">
        <v>12</v>
      </c>
      <c r="O7095" s="0" t="n">
        <v>116</v>
      </c>
      <c r="P7095" s="0" t="s">
        <v>2444</v>
      </c>
    </row>
    <row r="7096" customFormat="false" ht="15" hidden="false" customHeight="true" outlineLevel="0" collapsed="false">
      <c r="A7096" s="0" t="n">
        <v>2</v>
      </c>
      <c r="B7096" s="71" t="n">
        <v>46260</v>
      </c>
      <c r="C7096" s="0" t="n">
        <v>11</v>
      </c>
      <c r="D7096" s="0" t="s">
        <v>2471</v>
      </c>
      <c r="E7096" s="0" t="n">
        <v>794</v>
      </c>
      <c r="F7096" s="0" t="s">
        <v>335</v>
      </c>
      <c r="I7096" s="0" t="n">
        <v>8744</v>
      </c>
      <c r="J7096" s="0" t="n">
        <v>104075</v>
      </c>
      <c r="K7096" s="0" t="n">
        <v>7891055112502</v>
      </c>
      <c r="L7096" s="0" t="s">
        <v>5118</v>
      </c>
      <c r="N7096" s="0" t="n">
        <v>12</v>
      </c>
      <c r="O7096" s="0" t="n">
        <v>136</v>
      </c>
      <c r="P7096" s="0" t="s">
        <v>2444</v>
      </c>
    </row>
    <row r="7097" customFormat="false" ht="15" hidden="false" customHeight="true" outlineLevel="0" collapsed="false">
      <c r="A7097" s="0" t="n">
        <v>2</v>
      </c>
      <c r="B7097" s="71" t="n">
        <v>46260</v>
      </c>
      <c r="C7097" s="0" t="n">
        <v>11</v>
      </c>
      <c r="D7097" s="0" t="s">
        <v>2471</v>
      </c>
      <c r="E7097" s="0" t="n">
        <v>794</v>
      </c>
      <c r="F7097" s="0" t="s">
        <v>335</v>
      </c>
      <c r="I7097" s="0" t="n">
        <v>8744</v>
      </c>
      <c r="J7097" s="0" t="n">
        <v>104078</v>
      </c>
      <c r="K7097" s="0" t="n">
        <v>7891055003589</v>
      </c>
      <c r="L7097" s="0" t="s">
        <v>5119</v>
      </c>
      <c r="N7097" s="0" t="n">
        <v>15</v>
      </c>
      <c r="O7097" s="0" t="n">
        <v>185</v>
      </c>
      <c r="P7097" s="0" t="s">
        <v>2444</v>
      </c>
    </row>
    <row r="7098" customFormat="false" ht="15" hidden="false" customHeight="true" outlineLevel="0" collapsed="false">
      <c r="A7098" s="0" t="n">
        <v>2</v>
      </c>
      <c r="B7098" s="71" t="n">
        <v>46260</v>
      </c>
      <c r="C7098" s="0" t="n">
        <v>11</v>
      </c>
      <c r="D7098" s="0" t="s">
        <v>2471</v>
      </c>
      <c r="E7098" s="0" t="n">
        <v>794</v>
      </c>
      <c r="F7098" s="0" t="s">
        <v>335</v>
      </c>
      <c r="I7098" s="0" t="n">
        <v>8744</v>
      </c>
      <c r="J7098" s="0" t="n">
        <v>104079</v>
      </c>
      <c r="K7098" s="0" t="n">
        <v>7891055020081</v>
      </c>
      <c r="L7098" s="0" t="s">
        <v>5120</v>
      </c>
      <c r="N7098" s="0" t="n">
        <v>14</v>
      </c>
      <c r="O7098" s="0" t="n">
        <v>116</v>
      </c>
      <c r="P7098" s="0" t="s">
        <v>2444</v>
      </c>
    </row>
    <row r="7099" customFormat="false" ht="15" hidden="false" customHeight="true" outlineLevel="0" collapsed="false">
      <c r="A7099" s="0" t="n">
        <v>2</v>
      </c>
      <c r="B7099" s="71" t="n">
        <v>46260</v>
      </c>
      <c r="C7099" s="0" t="n">
        <v>11</v>
      </c>
      <c r="D7099" s="0" t="s">
        <v>2471</v>
      </c>
      <c r="E7099" s="0" t="n">
        <v>794</v>
      </c>
      <c r="F7099" s="0" t="s">
        <v>335</v>
      </c>
      <c r="I7099" s="0" t="n">
        <v>8744</v>
      </c>
      <c r="J7099" s="0" t="n">
        <v>104423</v>
      </c>
      <c r="K7099" s="0" t="n">
        <v>7891055003084</v>
      </c>
      <c r="L7099" s="0" t="s">
        <v>5121</v>
      </c>
      <c r="N7099" s="0" t="n">
        <v>12</v>
      </c>
      <c r="O7099" s="0" t="n">
        <v>185</v>
      </c>
      <c r="P7099" s="0" t="s">
        <v>2444</v>
      </c>
    </row>
    <row r="7100" customFormat="false" ht="15" hidden="false" customHeight="true" outlineLevel="0" collapsed="false">
      <c r="A7100" s="0" t="n">
        <v>2</v>
      </c>
      <c r="B7100" s="71" t="n">
        <v>46260</v>
      </c>
      <c r="C7100" s="0" t="n">
        <v>11</v>
      </c>
      <c r="D7100" s="0" t="s">
        <v>2471</v>
      </c>
      <c r="E7100" s="0" t="n">
        <v>794</v>
      </c>
      <c r="F7100" s="0" t="s">
        <v>335</v>
      </c>
      <c r="I7100" s="0" t="n">
        <v>8744</v>
      </c>
      <c r="J7100" s="0" t="n">
        <v>24730</v>
      </c>
      <c r="K7100" s="0" t="n">
        <v>7898093782865</v>
      </c>
      <c r="L7100" s="0" t="s">
        <v>5122</v>
      </c>
      <c r="N7100" s="0" t="n">
        <v>36</v>
      </c>
      <c r="O7100" s="0" t="n">
        <v>78</v>
      </c>
      <c r="P7100" s="0" t="s">
        <v>2444</v>
      </c>
    </row>
    <row r="7101" customFormat="false" ht="15" hidden="false" customHeight="true" outlineLevel="0" collapsed="false">
      <c r="A7101" s="0" t="n">
        <v>2</v>
      </c>
      <c r="B7101" s="71" t="n">
        <v>46260</v>
      </c>
      <c r="C7101" s="0" t="n">
        <v>11</v>
      </c>
      <c r="D7101" s="0" t="s">
        <v>2471</v>
      </c>
      <c r="E7101" s="0" t="n">
        <v>794</v>
      </c>
      <c r="F7101" s="0" t="s">
        <v>335</v>
      </c>
      <c r="I7101" s="0" t="n">
        <v>8744</v>
      </c>
      <c r="J7101" s="0" t="n">
        <v>31689</v>
      </c>
      <c r="K7101" s="0" t="n">
        <v>7898932211211</v>
      </c>
      <c r="L7101" s="0" t="s">
        <v>5123</v>
      </c>
      <c r="N7101" s="0" t="n">
        <v>24</v>
      </c>
      <c r="O7101" s="0" t="n">
        <v>80</v>
      </c>
      <c r="P7101" s="0" t="s">
        <v>2444</v>
      </c>
    </row>
    <row r="7102" customFormat="false" ht="15" hidden="false" customHeight="true" outlineLevel="0" collapsed="false">
      <c r="A7102" s="0" t="n">
        <v>2</v>
      </c>
      <c r="B7102" s="71" t="n">
        <v>46260</v>
      </c>
      <c r="C7102" s="0" t="n">
        <v>11</v>
      </c>
      <c r="D7102" s="0" t="s">
        <v>2471</v>
      </c>
      <c r="E7102" s="0" t="n">
        <v>794</v>
      </c>
      <c r="F7102" s="0" t="s">
        <v>335</v>
      </c>
      <c r="I7102" s="0" t="n">
        <v>8744</v>
      </c>
      <c r="J7102" s="0" t="n">
        <v>32224</v>
      </c>
      <c r="K7102" s="0" t="n">
        <v>7898932211693</v>
      </c>
      <c r="L7102" s="0" t="s">
        <v>5124</v>
      </c>
      <c r="N7102" s="0" t="n">
        <v>100</v>
      </c>
      <c r="O7102" s="0" t="n">
        <v>350</v>
      </c>
      <c r="P7102" s="0" t="s">
        <v>2444</v>
      </c>
    </row>
    <row r="7103" customFormat="false" ht="15" hidden="false" customHeight="true" outlineLevel="0" collapsed="false">
      <c r="A7103" s="0" t="n">
        <v>2</v>
      </c>
      <c r="B7103" s="71" t="n">
        <v>46260</v>
      </c>
      <c r="C7103" s="0" t="n">
        <v>11</v>
      </c>
      <c r="D7103" s="0" t="s">
        <v>2471</v>
      </c>
      <c r="E7103" s="0" t="n">
        <v>794</v>
      </c>
      <c r="F7103" s="0" t="s">
        <v>335</v>
      </c>
      <c r="I7103" s="0" t="n">
        <v>8744</v>
      </c>
      <c r="J7103" s="0" t="n">
        <v>32824</v>
      </c>
      <c r="K7103" s="0" t="n">
        <v>7898932211136</v>
      </c>
      <c r="L7103" s="0" t="s">
        <v>5125</v>
      </c>
      <c r="N7103" s="0" t="n">
        <v>100</v>
      </c>
      <c r="O7103" s="0" t="n">
        <v>190</v>
      </c>
      <c r="P7103" s="0" t="s">
        <v>2444</v>
      </c>
    </row>
    <row r="7104" customFormat="false" ht="15" hidden="false" customHeight="true" outlineLevel="0" collapsed="false">
      <c r="A7104" s="0" t="n">
        <v>2</v>
      </c>
      <c r="B7104" s="71" t="n">
        <v>46260</v>
      </c>
      <c r="C7104" s="0" t="n">
        <v>11</v>
      </c>
      <c r="D7104" s="0" t="s">
        <v>2471</v>
      </c>
      <c r="E7104" s="0" t="n">
        <v>794</v>
      </c>
      <c r="F7104" s="0" t="s">
        <v>335</v>
      </c>
      <c r="I7104" s="0" t="n">
        <v>8744</v>
      </c>
      <c r="J7104" s="0" t="n">
        <v>34005</v>
      </c>
      <c r="K7104" s="0" t="n">
        <v>7898373780338</v>
      </c>
      <c r="L7104" s="0" t="s">
        <v>5126</v>
      </c>
      <c r="N7104" s="0" t="n">
        <v>50</v>
      </c>
      <c r="O7104" s="0" t="n">
        <v>100</v>
      </c>
      <c r="P7104" s="0" t="s">
        <v>2444</v>
      </c>
    </row>
    <row r="7105" customFormat="false" ht="15" hidden="false" customHeight="true" outlineLevel="0" collapsed="false">
      <c r="A7105" s="0" t="n">
        <v>2</v>
      </c>
      <c r="B7105" s="71" t="n">
        <v>46260</v>
      </c>
      <c r="C7105" s="0" t="n">
        <v>11</v>
      </c>
      <c r="D7105" s="0" t="s">
        <v>2471</v>
      </c>
      <c r="E7105" s="0" t="n">
        <v>794</v>
      </c>
      <c r="F7105" s="0" t="s">
        <v>335</v>
      </c>
      <c r="I7105" s="0" t="n">
        <v>8744</v>
      </c>
      <c r="J7105" s="0" t="n">
        <v>35271</v>
      </c>
      <c r="K7105" s="0" t="n">
        <v>7896808100232</v>
      </c>
      <c r="L7105" s="0" t="s">
        <v>5127</v>
      </c>
      <c r="N7105" s="0" t="n">
        <v>12</v>
      </c>
      <c r="O7105" s="0" t="n">
        <v>117</v>
      </c>
      <c r="P7105" s="0" t="s">
        <v>2444</v>
      </c>
    </row>
    <row r="7106" customFormat="false" ht="15" hidden="false" customHeight="true" outlineLevel="0" collapsed="false">
      <c r="A7106" s="0" t="n">
        <v>2</v>
      </c>
      <c r="B7106" s="71" t="n">
        <v>46260</v>
      </c>
      <c r="C7106" s="0" t="n">
        <v>11</v>
      </c>
      <c r="D7106" s="0" t="s">
        <v>2471</v>
      </c>
      <c r="E7106" s="0" t="n">
        <v>794</v>
      </c>
      <c r="F7106" s="0" t="s">
        <v>335</v>
      </c>
      <c r="I7106" s="0" t="n">
        <v>8744</v>
      </c>
      <c r="J7106" s="0" t="n">
        <v>41312</v>
      </c>
      <c r="K7106" s="0" t="n">
        <v>7898093782872</v>
      </c>
      <c r="L7106" s="0" t="s">
        <v>5128</v>
      </c>
      <c r="N7106" s="0" t="n">
        <v>36</v>
      </c>
      <c r="O7106" s="0" t="n">
        <v>54</v>
      </c>
      <c r="P7106" s="0" t="s">
        <v>2444</v>
      </c>
    </row>
    <row r="7107" customFormat="false" ht="15" hidden="false" customHeight="true" outlineLevel="0" collapsed="false">
      <c r="A7107" s="0" t="n">
        <v>2</v>
      </c>
      <c r="B7107" s="71" t="n">
        <v>46260</v>
      </c>
      <c r="C7107" s="0" t="n">
        <v>11</v>
      </c>
      <c r="D7107" s="0" t="s">
        <v>2471</v>
      </c>
      <c r="E7107" s="0" t="n">
        <v>794</v>
      </c>
      <c r="F7107" s="0" t="s">
        <v>335</v>
      </c>
      <c r="I7107" s="0" t="n">
        <v>8744</v>
      </c>
      <c r="J7107" s="0" t="n">
        <v>46376</v>
      </c>
      <c r="K7107" s="0" t="n">
        <v>7898935857119</v>
      </c>
      <c r="L7107" s="0" t="s">
        <v>5129</v>
      </c>
      <c r="N7107" s="0" t="n">
        <v>12</v>
      </c>
      <c r="O7107" s="0" t="n">
        <v>78</v>
      </c>
      <c r="P7107" s="0" t="s">
        <v>2444</v>
      </c>
    </row>
    <row r="7108" customFormat="false" ht="15" hidden="false" customHeight="true" outlineLevel="0" collapsed="false">
      <c r="A7108" s="0" t="n">
        <v>2</v>
      </c>
      <c r="B7108" s="71" t="n">
        <v>46260</v>
      </c>
      <c r="C7108" s="0" t="n">
        <v>11</v>
      </c>
      <c r="D7108" s="0" t="s">
        <v>2471</v>
      </c>
      <c r="E7108" s="0" t="n">
        <v>794</v>
      </c>
      <c r="F7108" s="0" t="s">
        <v>335</v>
      </c>
      <c r="I7108" s="0" t="n">
        <v>8744</v>
      </c>
      <c r="J7108" s="0" t="n">
        <v>47592</v>
      </c>
      <c r="K7108" s="0" t="n">
        <v>7896808100027</v>
      </c>
      <c r="L7108" s="0" t="s">
        <v>5130</v>
      </c>
      <c r="N7108" s="0" t="n">
        <v>12</v>
      </c>
      <c r="O7108" s="0" t="n">
        <v>118.3</v>
      </c>
      <c r="P7108" s="0" t="s">
        <v>2444</v>
      </c>
    </row>
    <row r="7109" customFormat="false" ht="15" hidden="false" customHeight="true" outlineLevel="0" collapsed="false">
      <c r="A7109" s="0" t="n">
        <v>2</v>
      </c>
      <c r="B7109" s="71" t="n">
        <v>46260</v>
      </c>
      <c r="C7109" s="0" t="n">
        <v>11</v>
      </c>
      <c r="D7109" s="0" t="s">
        <v>2471</v>
      </c>
      <c r="E7109" s="0" t="n">
        <v>794</v>
      </c>
      <c r="F7109" s="0" t="s">
        <v>335</v>
      </c>
      <c r="I7109" s="0" t="n">
        <v>8744</v>
      </c>
      <c r="J7109" s="0" t="n">
        <v>49957</v>
      </c>
      <c r="K7109" s="0" t="n">
        <v>7898093782681</v>
      </c>
      <c r="L7109" s="0" t="s">
        <v>5131</v>
      </c>
      <c r="N7109" s="0" t="n">
        <v>24</v>
      </c>
      <c r="O7109" s="0" t="n">
        <v>110</v>
      </c>
      <c r="P7109" s="0" t="s">
        <v>2444</v>
      </c>
    </row>
    <row r="7110" customFormat="false" ht="15" hidden="false" customHeight="true" outlineLevel="0" collapsed="false">
      <c r="A7110" s="0" t="n">
        <v>2</v>
      </c>
      <c r="B7110" s="71" t="n">
        <v>46260</v>
      </c>
      <c r="C7110" s="0" t="n">
        <v>11</v>
      </c>
      <c r="D7110" s="0" t="s">
        <v>2471</v>
      </c>
      <c r="E7110" s="0" t="n">
        <v>794</v>
      </c>
      <c r="F7110" s="0" t="s">
        <v>335</v>
      </c>
      <c r="I7110" s="0" t="n">
        <v>8744</v>
      </c>
      <c r="J7110" s="0" t="n">
        <v>56820</v>
      </c>
      <c r="K7110" s="0" t="n">
        <v>7898927066512</v>
      </c>
      <c r="L7110" s="0" t="s">
        <v>5132</v>
      </c>
      <c r="N7110" s="0" t="n">
        <v>12</v>
      </c>
      <c r="O7110" s="0" t="n">
        <v>35</v>
      </c>
      <c r="P7110" s="0" t="s">
        <v>2444</v>
      </c>
    </row>
    <row r="7111" customFormat="false" ht="15" hidden="false" customHeight="true" outlineLevel="0" collapsed="false">
      <c r="A7111" s="0" t="n">
        <v>2</v>
      </c>
      <c r="B7111" s="71" t="n">
        <v>46260</v>
      </c>
      <c r="C7111" s="0" t="n">
        <v>11</v>
      </c>
      <c r="D7111" s="0" t="s">
        <v>2471</v>
      </c>
      <c r="E7111" s="0" t="n">
        <v>794</v>
      </c>
      <c r="F7111" s="0" t="s">
        <v>335</v>
      </c>
      <c r="I7111" s="0" t="n">
        <v>8744</v>
      </c>
      <c r="J7111" s="0" t="n">
        <v>62668</v>
      </c>
      <c r="K7111" s="0" t="n">
        <v>7898093782889</v>
      </c>
      <c r="L7111" s="0" t="s">
        <v>5133</v>
      </c>
      <c r="N7111" s="0" t="n">
        <v>36</v>
      </c>
      <c r="O7111" s="0" t="n">
        <v>60</v>
      </c>
      <c r="P7111" s="0" t="s">
        <v>2444</v>
      </c>
    </row>
    <row r="7112" customFormat="false" ht="15" hidden="false" customHeight="true" outlineLevel="0" collapsed="false">
      <c r="A7112" s="0" t="n">
        <v>2</v>
      </c>
      <c r="B7112" s="71" t="n">
        <v>46260</v>
      </c>
      <c r="C7112" s="0" t="n">
        <v>11</v>
      </c>
      <c r="D7112" s="0" t="s">
        <v>2471</v>
      </c>
      <c r="E7112" s="0" t="n">
        <v>794</v>
      </c>
      <c r="F7112" s="0" t="s">
        <v>335</v>
      </c>
      <c r="I7112" s="0" t="n">
        <v>8744</v>
      </c>
      <c r="J7112" s="0" t="n">
        <v>67461</v>
      </c>
      <c r="K7112" s="0" t="n">
        <v>7893095372090</v>
      </c>
      <c r="L7112" s="0" t="s">
        <v>5134</v>
      </c>
      <c r="N7112" s="0" t="n">
        <v>12</v>
      </c>
      <c r="O7112" s="0" t="n">
        <v>56</v>
      </c>
      <c r="P7112" s="0" t="s">
        <v>2444</v>
      </c>
    </row>
    <row r="7113" customFormat="false" ht="15" hidden="false" customHeight="true" outlineLevel="0" collapsed="false">
      <c r="A7113" s="0" t="n">
        <v>2</v>
      </c>
      <c r="B7113" s="71" t="n">
        <v>46260</v>
      </c>
      <c r="C7113" s="0" t="n">
        <v>11</v>
      </c>
      <c r="D7113" s="0" t="s">
        <v>2471</v>
      </c>
      <c r="E7113" s="0" t="n">
        <v>794</v>
      </c>
      <c r="F7113" s="0" t="s">
        <v>335</v>
      </c>
      <c r="I7113" s="0" t="n">
        <v>8744</v>
      </c>
      <c r="J7113" s="0" t="n">
        <v>67475</v>
      </c>
      <c r="K7113" s="0" t="n">
        <v>7890000009195</v>
      </c>
      <c r="L7113" s="0" t="s">
        <v>5135</v>
      </c>
      <c r="N7113" s="0" t="n">
        <v>24</v>
      </c>
      <c r="O7113" s="0" t="n">
        <v>220</v>
      </c>
      <c r="P7113" s="0" t="s">
        <v>2444</v>
      </c>
    </row>
    <row r="7114" customFormat="false" ht="15" hidden="false" customHeight="true" outlineLevel="0" collapsed="false">
      <c r="A7114" s="0" t="n">
        <v>2</v>
      </c>
      <c r="B7114" s="71" t="n">
        <v>46260</v>
      </c>
      <c r="C7114" s="0" t="n">
        <v>11</v>
      </c>
      <c r="D7114" s="0" t="s">
        <v>2471</v>
      </c>
      <c r="E7114" s="0" t="n">
        <v>794</v>
      </c>
      <c r="F7114" s="0" t="s">
        <v>335</v>
      </c>
      <c r="I7114" s="0" t="n">
        <v>8744</v>
      </c>
      <c r="J7114" s="0" t="n">
        <v>67476</v>
      </c>
      <c r="K7114" s="0" t="n">
        <v>7890780009446</v>
      </c>
      <c r="L7114" s="0" t="s">
        <v>5136</v>
      </c>
      <c r="N7114" s="0" t="n">
        <v>24</v>
      </c>
      <c r="O7114" s="0" t="n">
        <v>206</v>
      </c>
      <c r="P7114" s="0" t="s">
        <v>2444</v>
      </c>
    </row>
    <row r="7115" customFormat="false" ht="15" hidden="false" customHeight="true" outlineLevel="0" collapsed="false">
      <c r="A7115" s="0" t="n">
        <v>2</v>
      </c>
      <c r="B7115" s="71" t="n">
        <v>46260</v>
      </c>
      <c r="C7115" s="0" t="n">
        <v>11</v>
      </c>
      <c r="D7115" s="0" t="s">
        <v>2471</v>
      </c>
      <c r="E7115" s="0" t="n">
        <v>794</v>
      </c>
      <c r="F7115" s="0" t="s">
        <v>335</v>
      </c>
      <c r="I7115" s="0" t="n">
        <v>8744</v>
      </c>
      <c r="J7115" s="0" t="n">
        <v>67642</v>
      </c>
      <c r="K7115" s="0" t="n">
        <v>7898093784456</v>
      </c>
      <c r="L7115" s="0" t="s">
        <v>5137</v>
      </c>
      <c r="N7115" s="0" t="n">
        <v>20</v>
      </c>
      <c r="O7115" s="0" t="n">
        <v>100</v>
      </c>
      <c r="P7115" s="0" t="s">
        <v>2444</v>
      </c>
    </row>
    <row r="7116" customFormat="false" ht="15" hidden="false" customHeight="true" outlineLevel="0" collapsed="false">
      <c r="A7116" s="0" t="n">
        <v>2</v>
      </c>
      <c r="B7116" s="71" t="n">
        <v>46260</v>
      </c>
      <c r="C7116" s="0" t="n">
        <v>11</v>
      </c>
      <c r="D7116" s="0" t="s">
        <v>2471</v>
      </c>
      <c r="E7116" s="0" t="n">
        <v>794</v>
      </c>
      <c r="F7116" s="0" t="s">
        <v>335</v>
      </c>
      <c r="I7116" s="0" t="n">
        <v>8744</v>
      </c>
      <c r="J7116" s="0" t="n">
        <v>67820</v>
      </c>
      <c r="K7116" s="0" t="n">
        <v>7898952461221</v>
      </c>
      <c r="L7116" s="0" t="s">
        <v>5138</v>
      </c>
      <c r="N7116" s="0" t="n">
        <v>7</v>
      </c>
      <c r="O7116" s="0" t="n">
        <v>56</v>
      </c>
      <c r="P7116" s="0" t="s">
        <v>2444</v>
      </c>
    </row>
    <row r="7117" customFormat="false" ht="15" hidden="false" customHeight="true" outlineLevel="0" collapsed="false">
      <c r="A7117" s="0" t="n">
        <v>2</v>
      </c>
      <c r="B7117" s="71" t="n">
        <v>46260</v>
      </c>
      <c r="C7117" s="0" t="n">
        <v>11</v>
      </c>
      <c r="D7117" s="0" t="s">
        <v>2471</v>
      </c>
      <c r="E7117" s="0" t="n">
        <v>794</v>
      </c>
      <c r="F7117" s="0" t="s">
        <v>335</v>
      </c>
      <c r="I7117" s="0" t="n">
        <v>8744</v>
      </c>
      <c r="J7117" s="0" t="n">
        <v>67821</v>
      </c>
      <c r="K7117" s="0" t="n">
        <v>7898952461788</v>
      </c>
      <c r="L7117" s="0" t="s">
        <v>5139</v>
      </c>
      <c r="N7117" s="0" t="n">
        <v>12</v>
      </c>
      <c r="O7117" s="0" t="n">
        <v>96</v>
      </c>
      <c r="P7117" s="0" t="s">
        <v>2444</v>
      </c>
    </row>
    <row r="7118" customFormat="false" ht="15" hidden="false" customHeight="true" outlineLevel="0" collapsed="false">
      <c r="A7118" s="0" t="n">
        <v>2</v>
      </c>
      <c r="B7118" s="71" t="n">
        <v>46260</v>
      </c>
      <c r="C7118" s="0" t="n">
        <v>11</v>
      </c>
      <c r="D7118" s="0" t="s">
        <v>2471</v>
      </c>
      <c r="E7118" s="0" t="n">
        <v>794</v>
      </c>
      <c r="F7118" s="0" t="s">
        <v>335</v>
      </c>
      <c r="I7118" s="0" t="n">
        <v>8744</v>
      </c>
      <c r="J7118" s="0" t="n">
        <v>68499</v>
      </c>
      <c r="K7118" s="0" t="n">
        <v>7898952461481</v>
      </c>
      <c r="L7118" s="0" t="s">
        <v>5140</v>
      </c>
      <c r="N7118" s="0" t="n">
        <v>12</v>
      </c>
      <c r="O7118" s="0" t="n">
        <v>96</v>
      </c>
      <c r="P7118" s="0" t="s">
        <v>2444</v>
      </c>
    </row>
    <row r="7119" customFormat="false" ht="15" hidden="false" customHeight="true" outlineLevel="0" collapsed="false">
      <c r="A7119" s="0" t="n">
        <v>2</v>
      </c>
      <c r="B7119" s="71" t="n">
        <v>46260</v>
      </c>
      <c r="C7119" s="0" t="n">
        <v>11</v>
      </c>
      <c r="D7119" s="0" t="s">
        <v>2471</v>
      </c>
      <c r="E7119" s="0" t="n">
        <v>794</v>
      </c>
      <c r="F7119" s="0" t="s">
        <v>335</v>
      </c>
      <c r="I7119" s="0" t="n">
        <v>8744</v>
      </c>
      <c r="J7119" s="0" t="n">
        <v>68503</v>
      </c>
      <c r="K7119" s="0" t="n">
        <v>7892536984144</v>
      </c>
      <c r="L7119" s="0" t="s">
        <v>5141</v>
      </c>
      <c r="N7119" s="0" t="n">
        <v>24</v>
      </c>
      <c r="O7119" s="0" t="n">
        <v>178</v>
      </c>
      <c r="P7119" s="0" t="s">
        <v>2444</v>
      </c>
    </row>
    <row r="7120" customFormat="false" ht="15" hidden="false" customHeight="true" outlineLevel="0" collapsed="false">
      <c r="A7120" s="0" t="n">
        <v>2</v>
      </c>
      <c r="B7120" s="71" t="n">
        <v>46260</v>
      </c>
      <c r="C7120" s="0" t="n">
        <v>11</v>
      </c>
      <c r="D7120" s="0" t="s">
        <v>2471</v>
      </c>
      <c r="E7120" s="0" t="n">
        <v>794</v>
      </c>
      <c r="F7120" s="0" t="s">
        <v>335</v>
      </c>
      <c r="I7120" s="0" t="n">
        <v>8744</v>
      </c>
      <c r="J7120" s="0" t="n">
        <v>79537</v>
      </c>
      <c r="K7120" s="0" t="n">
        <v>7890000000406</v>
      </c>
      <c r="L7120" s="0" t="s">
        <v>5142</v>
      </c>
      <c r="N7120" s="0" t="n">
        <v>12</v>
      </c>
      <c r="O7120" s="0" t="n">
        <v>100</v>
      </c>
      <c r="P7120" s="0" t="s">
        <v>2444</v>
      </c>
    </row>
    <row r="7121" customFormat="false" ht="15" hidden="false" customHeight="true" outlineLevel="0" collapsed="false">
      <c r="A7121" s="0" t="n">
        <v>2</v>
      </c>
      <c r="B7121" s="71" t="n">
        <v>46260</v>
      </c>
      <c r="C7121" s="0" t="n">
        <v>11</v>
      </c>
      <c r="D7121" s="0" t="s">
        <v>2471</v>
      </c>
      <c r="E7121" s="0" t="n">
        <v>794</v>
      </c>
      <c r="F7121" s="0" t="s">
        <v>335</v>
      </c>
      <c r="I7121" s="0" t="n">
        <v>8744</v>
      </c>
      <c r="J7121" s="0" t="n">
        <v>80280</v>
      </c>
      <c r="K7121" s="0" t="n">
        <v>7893095372052</v>
      </c>
      <c r="L7121" s="0" t="s">
        <v>5143</v>
      </c>
      <c r="N7121" s="0" t="n">
        <v>12</v>
      </c>
      <c r="O7121" s="0" t="n">
        <v>60</v>
      </c>
      <c r="P7121" s="0" t="s">
        <v>2444</v>
      </c>
    </row>
    <row r="7122" customFormat="false" ht="15" hidden="false" customHeight="true" outlineLevel="0" collapsed="false">
      <c r="A7122" s="0" t="n">
        <v>2</v>
      </c>
      <c r="B7122" s="71" t="n">
        <v>46260</v>
      </c>
      <c r="C7122" s="0" t="n">
        <v>11</v>
      </c>
      <c r="D7122" s="0" t="s">
        <v>2471</v>
      </c>
      <c r="E7122" s="0" t="n">
        <v>794</v>
      </c>
      <c r="F7122" s="0" t="s">
        <v>335</v>
      </c>
      <c r="I7122" s="0" t="n">
        <v>8744</v>
      </c>
      <c r="J7122" s="0" t="n">
        <v>80281</v>
      </c>
      <c r="K7122" s="0" t="n">
        <v>7893095372045</v>
      </c>
      <c r="L7122" s="0" t="s">
        <v>5144</v>
      </c>
      <c r="N7122" s="0" t="n">
        <v>24</v>
      </c>
      <c r="O7122" s="0" t="n">
        <v>150</v>
      </c>
      <c r="P7122" s="0" t="s">
        <v>2444</v>
      </c>
    </row>
    <row r="7123" customFormat="false" ht="15" hidden="false" customHeight="true" outlineLevel="0" collapsed="false">
      <c r="A7123" s="0" t="n">
        <v>2</v>
      </c>
      <c r="B7123" s="71" t="n">
        <v>46260</v>
      </c>
      <c r="C7123" s="0" t="n">
        <v>11</v>
      </c>
      <c r="D7123" s="0" t="s">
        <v>2471</v>
      </c>
      <c r="E7123" s="0" t="n">
        <v>794</v>
      </c>
      <c r="F7123" s="0" t="s">
        <v>335</v>
      </c>
      <c r="I7123" s="0" t="n">
        <v>8744</v>
      </c>
      <c r="J7123" s="0" t="n">
        <v>81416</v>
      </c>
      <c r="K7123" s="0" t="n">
        <v>7898952461344</v>
      </c>
      <c r="L7123" s="0" t="s">
        <v>5145</v>
      </c>
      <c r="N7123" s="0" t="n">
        <v>24</v>
      </c>
      <c r="O7123" s="0" t="n">
        <v>66</v>
      </c>
      <c r="P7123" s="0" t="s">
        <v>2444</v>
      </c>
    </row>
    <row r="7124" customFormat="false" ht="15" hidden="false" customHeight="true" outlineLevel="0" collapsed="false">
      <c r="A7124" s="0" t="n">
        <v>2</v>
      </c>
      <c r="B7124" s="71" t="n">
        <v>46260</v>
      </c>
      <c r="C7124" s="0" t="n">
        <v>11</v>
      </c>
      <c r="D7124" s="0" t="s">
        <v>2471</v>
      </c>
      <c r="E7124" s="0" t="n">
        <v>1625</v>
      </c>
      <c r="F7124" s="0" t="s">
        <v>270</v>
      </c>
      <c r="I7124" s="0" t="n">
        <v>15150</v>
      </c>
      <c r="J7124" s="0" t="n">
        <v>29079</v>
      </c>
      <c r="K7124" s="0" t="n">
        <v>55515</v>
      </c>
      <c r="L7124" s="0" t="s">
        <v>2449</v>
      </c>
      <c r="N7124" s="0" t="n">
        <v>78.4</v>
      </c>
      <c r="O7124" s="0" t="n">
        <v>2548</v>
      </c>
      <c r="P7124" s="0" t="s">
        <v>2444</v>
      </c>
    </row>
    <row r="7125" customFormat="false" ht="15" hidden="false" customHeight="true" outlineLevel="0" collapsed="false">
      <c r="A7125" s="0" t="n">
        <v>2</v>
      </c>
      <c r="B7125" s="71" t="n">
        <v>46260</v>
      </c>
      <c r="C7125" s="0" t="n">
        <v>11</v>
      </c>
      <c r="D7125" s="0" t="s">
        <v>2471</v>
      </c>
      <c r="E7125" s="0" t="n">
        <v>1625</v>
      </c>
      <c r="F7125" s="0" t="s">
        <v>270</v>
      </c>
      <c r="I7125" s="0" t="n">
        <v>15150</v>
      </c>
      <c r="J7125" s="0" t="n">
        <v>77455</v>
      </c>
      <c r="K7125" s="0" t="n">
        <v>774567</v>
      </c>
      <c r="L7125" s="0" t="s">
        <v>2624</v>
      </c>
      <c r="N7125" s="0" t="n">
        <v>25.1</v>
      </c>
      <c r="O7125" s="0" t="n">
        <v>815.75</v>
      </c>
      <c r="P7125" s="0" t="s">
        <v>2444</v>
      </c>
    </row>
    <row r="7126" customFormat="false" ht="15" hidden="false" customHeight="true" outlineLevel="0" collapsed="false">
      <c r="A7126" s="0" t="n">
        <v>2</v>
      </c>
      <c r="B7126" s="71" t="n">
        <v>46260</v>
      </c>
      <c r="C7126" s="0" t="n">
        <v>11</v>
      </c>
      <c r="D7126" s="0" t="s">
        <v>2471</v>
      </c>
      <c r="E7126" s="0" t="n">
        <v>10019</v>
      </c>
      <c r="F7126" s="0" t="s">
        <v>268</v>
      </c>
      <c r="I7126" s="0" t="n">
        <v>33028</v>
      </c>
      <c r="J7126" s="0" t="n">
        <v>100012</v>
      </c>
      <c r="K7126" s="0" t="n">
        <v>13</v>
      </c>
      <c r="L7126" s="0" t="s">
        <v>2489</v>
      </c>
      <c r="N7126" s="0" t="n">
        <v>54.82</v>
      </c>
      <c r="O7126" s="0" t="n">
        <v>2110.57</v>
      </c>
      <c r="P7126" s="0" t="s">
        <v>2444</v>
      </c>
    </row>
    <row r="7127" customFormat="false" ht="15" hidden="false" customHeight="true" outlineLevel="0" collapsed="false">
      <c r="A7127" s="0" t="n">
        <v>2</v>
      </c>
      <c r="B7127" s="71" t="n">
        <v>46260</v>
      </c>
      <c r="C7127" s="0" t="n">
        <v>11</v>
      </c>
      <c r="D7127" s="0" t="s">
        <v>2471</v>
      </c>
      <c r="E7127" s="0" t="n">
        <v>10019</v>
      </c>
      <c r="F7127" s="0" t="s">
        <v>268</v>
      </c>
      <c r="I7127" s="0" t="n">
        <v>33028</v>
      </c>
      <c r="J7127" s="0" t="n">
        <v>100013</v>
      </c>
      <c r="K7127" s="0" t="n">
        <v>14</v>
      </c>
      <c r="L7127" s="0" t="s">
        <v>2490</v>
      </c>
      <c r="N7127" s="0" t="n">
        <v>61.29</v>
      </c>
      <c r="O7127" s="0" t="n">
        <v>2359.66</v>
      </c>
      <c r="P7127" s="0" t="s">
        <v>2444</v>
      </c>
    </row>
    <row r="7128" customFormat="false" ht="15" hidden="false" customHeight="true" outlineLevel="0" collapsed="false">
      <c r="A7128" s="0" t="n">
        <v>2</v>
      </c>
      <c r="B7128" s="71" t="n">
        <v>46260</v>
      </c>
      <c r="C7128" s="0" t="n">
        <v>11</v>
      </c>
      <c r="D7128" s="0" t="s">
        <v>2471</v>
      </c>
      <c r="E7128" s="0" t="n">
        <v>10019</v>
      </c>
      <c r="F7128" s="0" t="s">
        <v>268</v>
      </c>
      <c r="I7128" s="0" t="n">
        <v>33028</v>
      </c>
      <c r="J7128" s="0" t="n">
        <v>100014</v>
      </c>
      <c r="K7128" s="0" t="n">
        <v>15</v>
      </c>
      <c r="L7128" s="0" t="s">
        <v>2491</v>
      </c>
      <c r="N7128" s="0" t="n">
        <v>24.11</v>
      </c>
      <c r="O7128" s="0" t="n">
        <v>1034.07</v>
      </c>
      <c r="P7128" s="0" t="s">
        <v>2444</v>
      </c>
    </row>
    <row r="7129" customFormat="false" ht="15" hidden="false" customHeight="true" outlineLevel="0" collapsed="false">
      <c r="A7129" s="0" t="n">
        <v>2</v>
      </c>
      <c r="B7129" s="71" t="n">
        <v>46260</v>
      </c>
      <c r="C7129" s="0" t="n">
        <v>11</v>
      </c>
      <c r="D7129" s="0" t="s">
        <v>2471</v>
      </c>
      <c r="E7129" s="0" t="n">
        <v>1626</v>
      </c>
      <c r="F7129" s="0" t="s">
        <v>77</v>
      </c>
      <c r="I7129" s="0" t="n">
        <v>319020</v>
      </c>
      <c r="J7129" s="0" t="n">
        <v>100058</v>
      </c>
      <c r="K7129" s="0" t="n">
        <v>59</v>
      </c>
      <c r="L7129" s="0" t="s">
        <v>3580</v>
      </c>
      <c r="N7129" s="0" t="n">
        <v>30</v>
      </c>
      <c r="O7129" s="0" t="n">
        <v>599.63</v>
      </c>
      <c r="P7129" s="0" t="s">
        <v>2444</v>
      </c>
    </row>
    <row r="7130" customFormat="false" ht="15" hidden="false" customHeight="true" outlineLevel="0" collapsed="false">
      <c r="A7130" s="0" t="n">
        <v>2</v>
      </c>
      <c r="B7130" s="71" t="n">
        <v>46260</v>
      </c>
      <c r="C7130" s="0" t="n">
        <v>11</v>
      </c>
      <c r="D7130" s="0" t="s">
        <v>2471</v>
      </c>
      <c r="E7130" s="0" t="n">
        <v>1626</v>
      </c>
      <c r="F7130" s="0" t="s">
        <v>77</v>
      </c>
      <c r="I7130" s="0" t="n">
        <v>319020</v>
      </c>
      <c r="J7130" s="0" t="n">
        <v>15731</v>
      </c>
      <c r="K7130" s="0" t="n">
        <v>7898268720050</v>
      </c>
      <c r="L7130" s="0" t="s">
        <v>4056</v>
      </c>
      <c r="N7130" s="0" t="n">
        <v>6</v>
      </c>
      <c r="O7130" s="0" t="n">
        <v>30.64</v>
      </c>
      <c r="P7130" s="0" t="s">
        <v>2444</v>
      </c>
    </row>
    <row r="7131" customFormat="false" ht="15" hidden="false" customHeight="true" outlineLevel="0" collapsed="false">
      <c r="A7131" s="0" t="n">
        <v>2</v>
      </c>
      <c r="B7131" s="71" t="n">
        <v>46260</v>
      </c>
      <c r="C7131" s="0" t="n">
        <v>11</v>
      </c>
      <c r="D7131" s="0" t="s">
        <v>2471</v>
      </c>
      <c r="E7131" s="0" t="n">
        <v>1626</v>
      </c>
      <c r="F7131" s="0" t="s">
        <v>77</v>
      </c>
      <c r="I7131" s="0" t="n">
        <v>319020</v>
      </c>
      <c r="J7131" s="0" t="n">
        <v>16273</v>
      </c>
      <c r="K7131" s="0" t="n">
        <v>7894904003495</v>
      </c>
      <c r="L7131" s="0" t="s">
        <v>4057</v>
      </c>
      <c r="N7131" s="0" t="n">
        <v>72</v>
      </c>
      <c r="O7131" s="0" t="n">
        <v>115.48</v>
      </c>
      <c r="P7131" s="0" t="s">
        <v>2444</v>
      </c>
    </row>
    <row r="7132" customFormat="false" ht="15" hidden="false" customHeight="true" outlineLevel="0" collapsed="false">
      <c r="A7132" s="0" t="n">
        <v>2</v>
      </c>
      <c r="B7132" s="71" t="n">
        <v>46260</v>
      </c>
      <c r="C7132" s="0" t="n">
        <v>11</v>
      </c>
      <c r="D7132" s="0" t="s">
        <v>2471</v>
      </c>
      <c r="E7132" s="0" t="n">
        <v>1626</v>
      </c>
      <c r="F7132" s="0" t="s">
        <v>77</v>
      </c>
      <c r="I7132" s="0" t="n">
        <v>319020</v>
      </c>
      <c r="J7132" s="0" t="n">
        <v>19609</v>
      </c>
      <c r="K7132" s="0" t="n">
        <v>7891143013919</v>
      </c>
      <c r="L7132" s="0" t="s">
        <v>2602</v>
      </c>
      <c r="N7132" s="0" t="n">
        <v>6</v>
      </c>
      <c r="O7132" s="0" t="n">
        <v>46.16</v>
      </c>
      <c r="P7132" s="0" t="s">
        <v>2444</v>
      </c>
    </row>
    <row r="7133" customFormat="false" ht="15" hidden="false" customHeight="true" outlineLevel="0" collapsed="false">
      <c r="A7133" s="0" t="n">
        <v>2</v>
      </c>
      <c r="B7133" s="71" t="n">
        <v>46260</v>
      </c>
      <c r="C7133" s="0" t="n">
        <v>11</v>
      </c>
      <c r="D7133" s="0" t="s">
        <v>2471</v>
      </c>
      <c r="E7133" s="0" t="n">
        <v>1626</v>
      </c>
      <c r="F7133" s="0" t="s">
        <v>77</v>
      </c>
      <c r="I7133" s="0" t="n">
        <v>319020</v>
      </c>
      <c r="J7133" s="0" t="n">
        <v>21348</v>
      </c>
      <c r="K7133" s="0" t="n">
        <v>7891143013193</v>
      </c>
      <c r="L7133" s="0" t="s">
        <v>3582</v>
      </c>
      <c r="N7133" s="0" t="n">
        <v>12</v>
      </c>
      <c r="O7133" s="0" t="n">
        <v>93.23</v>
      </c>
      <c r="P7133" s="0" t="s">
        <v>2444</v>
      </c>
    </row>
    <row r="7134" customFormat="false" ht="15" hidden="false" customHeight="true" outlineLevel="0" collapsed="false">
      <c r="A7134" s="0" t="n">
        <v>2</v>
      </c>
      <c r="B7134" s="71" t="n">
        <v>46260</v>
      </c>
      <c r="C7134" s="0" t="n">
        <v>11</v>
      </c>
      <c r="D7134" s="0" t="s">
        <v>2471</v>
      </c>
      <c r="E7134" s="0" t="n">
        <v>1626</v>
      </c>
      <c r="F7134" s="0" t="s">
        <v>77</v>
      </c>
      <c r="I7134" s="0" t="n">
        <v>319020</v>
      </c>
      <c r="J7134" s="0" t="n">
        <v>31331</v>
      </c>
      <c r="K7134" s="0" t="n">
        <v>7894904577897</v>
      </c>
      <c r="L7134" s="0" t="s">
        <v>3583</v>
      </c>
      <c r="N7134" s="0" t="n">
        <v>16</v>
      </c>
      <c r="O7134" s="0" t="n">
        <v>123.08</v>
      </c>
      <c r="P7134" s="0" t="s">
        <v>2444</v>
      </c>
    </row>
    <row r="7135" customFormat="false" ht="15" hidden="false" customHeight="true" outlineLevel="0" collapsed="false">
      <c r="A7135" s="0" t="n">
        <v>2</v>
      </c>
      <c r="B7135" s="71" t="n">
        <v>46260</v>
      </c>
      <c r="C7135" s="0" t="n">
        <v>11</v>
      </c>
      <c r="D7135" s="0" t="s">
        <v>2471</v>
      </c>
      <c r="E7135" s="0" t="n">
        <v>1626</v>
      </c>
      <c r="F7135" s="0" t="s">
        <v>77</v>
      </c>
      <c r="I7135" s="0" t="n">
        <v>319020</v>
      </c>
      <c r="J7135" s="0" t="n">
        <v>37747</v>
      </c>
      <c r="K7135" s="0" t="n">
        <v>7898968009004</v>
      </c>
      <c r="L7135" s="0" t="s">
        <v>2604</v>
      </c>
      <c r="N7135" s="0" t="n">
        <v>64</v>
      </c>
      <c r="O7135" s="0" t="n">
        <v>521.54</v>
      </c>
      <c r="P7135" s="0" t="s">
        <v>2444</v>
      </c>
    </row>
    <row r="7136" customFormat="false" ht="15" hidden="false" customHeight="true" outlineLevel="0" collapsed="false">
      <c r="A7136" s="0" t="n">
        <v>2</v>
      </c>
      <c r="B7136" s="71" t="n">
        <v>46260</v>
      </c>
      <c r="C7136" s="0" t="n">
        <v>11</v>
      </c>
      <c r="D7136" s="0" t="s">
        <v>2471</v>
      </c>
      <c r="E7136" s="0" t="n">
        <v>1626</v>
      </c>
      <c r="F7136" s="0" t="s">
        <v>77</v>
      </c>
      <c r="I7136" s="0" t="n">
        <v>319020</v>
      </c>
      <c r="J7136" s="0" t="n">
        <v>38003</v>
      </c>
      <c r="K7136" s="0" t="n">
        <v>7898968009066</v>
      </c>
      <c r="L7136" s="0" t="s">
        <v>3585</v>
      </c>
      <c r="N7136" s="0" t="n">
        <v>64</v>
      </c>
      <c r="O7136" s="0" t="n">
        <v>287.17</v>
      </c>
      <c r="P7136" s="0" t="s">
        <v>2444</v>
      </c>
    </row>
    <row r="7137" customFormat="false" ht="15" hidden="false" customHeight="true" outlineLevel="0" collapsed="false">
      <c r="A7137" s="0" t="n">
        <v>2</v>
      </c>
      <c r="B7137" s="71" t="n">
        <v>46260</v>
      </c>
      <c r="C7137" s="0" t="n">
        <v>11</v>
      </c>
      <c r="D7137" s="0" t="s">
        <v>2471</v>
      </c>
      <c r="E7137" s="0" t="n">
        <v>1626</v>
      </c>
      <c r="F7137" s="0" t="s">
        <v>77</v>
      </c>
      <c r="I7137" s="0" t="n">
        <v>319020</v>
      </c>
      <c r="J7137" s="0" t="n">
        <v>56951</v>
      </c>
      <c r="K7137" s="0" t="n">
        <v>7894904280001</v>
      </c>
      <c r="L7137" s="0" t="s">
        <v>3587</v>
      </c>
      <c r="N7137" s="0" t="n">
        <v>25</v>
      </c>
      <c r="O7137" s="0" t="n">
        <v>105.23</v>
      </c>
      <c r="P7137" s="0" t="s">
        <v>2444</v>
      </c>
    </row>
    <row r="7138" customFormat="false" ht="15" hidden="false" customHeight="true" outlineLevel="0" collapsed="false">
      <c r="A7138" s="0" t="n">
        <v>2</v>
      </c>
      <c r="B7138" s="71" t="n">
        <v>46260</v>
      </c>
      <c r="C7138" s="0" t="n">
        <v>11</v>
      </c>
      <c r="D7138" s="0" t="s">
        <v>2471</v>
      </c>
      <c r="E7138" s="0" t="n">
        <v>1626</v>
      </c>
      <c r="F7138" s="0" t="s">
        <v>77</v>
      </c>
      <c r="I7138" s="0" t="n">
        <v>319020</v>
      </c>
      <c r="J7138" s="0" t="n">
        <v>79706</v>
      </c>
      <c r="K7138" s="0" t="n">
        <v>7894904605002</v>
      </c>
      <c r="L7138" s="0" t="s">
        <v>4059</v>
      </c>
      <c r="N7138" s="0" t="n">
        <v>12</v>
      </c>
      <c r="O7138" s="0" t="n">
        <v>107.83</v>
      </c>
      <c r="P7138" s="0" t="s">
        <v>2444</v>
      </c>
    </row>
    <row r="7139" customFormat="false" ht="15" hidden="false" customHeight="true" outlineLevel="0" collapsed="false">
      <c r="A7139" s="0" t="n">
        <v>2</v>
      </c>
      <c r="B7139" s="71" t="n">
        <v>46260</v>
      </c>
      <c r="C7139" s="0" t="n">
        <v>11</v>
      </c>
      <c r="D7139" s="0" t="s">
        <v>2471</v>
      </c>
      <c r="E7139" s="0" t="n">
        <v>1107</v>
      </c>
      <c r="F7139" s="0" t="s">
        <v>254</v>
      </c>
      <c r="I7139" s="0" t="n">
        <v>447609</v>
      </c>
      <c r="J7139" s="0" t="n">
        <v>101692</v>
      </c>
      <c r="K7139" s="0" t="n">
        <v>7891962015620</v>
      </c>
      <c r="L7139" s="0" t="s">
        <v>3484</v>
      </c>
      <c r="N7139" s="0" t="n">
        <v>48</v>
      </c>
      <c r="O7139" s="0" t="n">
        <v>76.58</v>
      </c>
      <c r="P7139" s="0" t="s">
        <v>2444</v>
      </c>
    </row>
    <row r="7140" customFormat="false" ht="15" hidden="false" customHeight="true" outlineLevel="0" collapsed="false">
      <c r="A7140" s="0" t="n">
        <v>2</v>
      </c>
      <c r="B7140" s="71" t="n">
        <v>46260</v>
      </c>
      <c r="C7140" s="0" t="n">
        <v>11</v>
      </c>
      <c r="D7140" s="0" t="s">
        <v>2471</v>
      </c>
      <c r="E7140" s="0" t="n">
        <v>1107</v>
      </c>
      <c r="F7140" s="0" t="s">
        <v>254</v>
      </c>
      <c r="I7140" s="0" t="n">
        <v>447609</v>
      </c>
      <c r="J7140" s="0" t="n">
        <v>102245</v>
      </c>
      <c r="K7140" s="0" t="n">
        <v>7891048040003</v>
      </c>
      <c r="L7140" s="0" t="s">
        <v>3485</v>
      </c>
      <c r="N7140" s="0" t="n">
        <v>24</v>
      </c>
      <c r="O7140" s="0" t="n">
        <v>80.2</v>
      </c>
      <c r="P7140" s="0" t="s">
        <v>2444</v>
      </c>
    </row>
    <row r="7141" customFormat="false" ht="15" hidden="false" customHeight="true" outlineLevel="0" collapsed="false">
      <c r="A7141" s="0" t="n">
        <v>2</v>
      </c>
      <c r="B7141" s="71" t="n">
        <v>46260</v>
      </c>
      <c r="C7141" s="0" t="n">
        <v>11</v>
      </c>
      <c r="D7141" s="0" t="s">
        <v>2471</v>
      </c>
      <c r="E7141" s="0" t="n">
        <v>1107</v>
      </c>
      <c r="F7141" s="0" t="s">
        <v>254</v>
      </c>
      <c r="I7141" s="0" t="n">
        <v>447609</v>
      </c>
      <c r="J7141" s="0" t="n">
        <v>102599</v>
      </c>
      <c r="K7141" s="0" t="n">
        <v>7891048061695</v>
      </c>
      <c r="L7141" s="0" t="s">
        <v>5146</v>
      </c>
      <c r="N7141" s="0" t="n">
        <v>18</v>
      </c>
      <c r="O7141" s="0" t="n">
        <v>99.52</v>
      </c>
      <c r="P7141" s="0" t="s">
        <v>2444</v>
      </c>
    </row>
    <row r="7142" customFormat="false" ht="15" hidden="false" customHeight="true" outlineLevel="0" collapsed="false">
      <c r="A7142" s="0" t="n">
        <v>2</v>
      </c>
      <c r="B7142" s="71" t="n">
        <v>46260</v>
      </c>
      <c r="C7142" s="0" t="n">
        <v>11</v>
      </c>
      <c r="D7142" s="0" t="s">
        <v>2471</v>
      </c>
      <c r="E7142" s="0" t="n">
        <v>1107</v>
      </c>
      <c r="F7142" s="0" t="s">
        <v>254</v>
      </c>
      <c r="I7142" s="0" t="n">
        <v>447609</v>
      </c>
      <c r="J7142" s="0" t="n">
        <v>102601</v>
      </c>
      <c r="K7142" s="0" t="n">
        <v>7891048061718</v>
      </c>
      <c r="L7142" s="0" t="s">
        <v>5147</v>
      </c>
      <c r="N7142" s="0" t="n">
        <v>18</v>
      </c>
      <c r="O7142" s="0" t="n">
        <v>88.87</v>
      </c>
      <c r="P7142" s="0" t="s">
        <v>2444</v>
      </c>
    </row>
    <row r="7143" customFormat="false" ht="15" hidden="false" customHeight="true" outlineLevel="0" collapsed="false">
      <c r="A7143" s="0" t="n">
        <v>2</v>
      </c>
      <c r="B7143" s="71" t="n">
        <v>46260</v>
      </c>
      <c r="C7143" s="0" t="n">
        <v>11</v>
      </c>
      <c r="D7143" s="0" t="s">
        <v>2471</v>
      </c>
      <c r="E7143" s="0" t="n">
        <v>1107</v>
      </c>
      <c r="F7143" s="0" t="s">
        <v>254</v>
      </c>
      <c r="I7143" s="0" t="n">
        <v>447609</v>
      </c>
      <c r="J7143" s="0" t="n">
        <v>103674</v>
      </c>
      <c r="K7143" s="0" t="n">
        <v>7891962000725</v>
      </c>
      <c r="L7143" s="0" t="s">
        <v>3486</v>
      </c>
      <c r="N7143" s="0" t="n">
        <v>48</v>
      </c>
      <c r="O7143" s="0" t="n">
        <v>76.58</v>
      </c>
      <c r="P7143" s="0" t="s">
        <v>2444</v>
      </c>
    </row>
    <row r="7144" customFormat="false" ht="15" hidden="false" customHeight="true" outlineLevel="0" collapsed="false">
      <c r="A7144" s="0" t="n">
        <v>2</v>
      </c>
      <c r="B7144" s="71" t="n">
        <v>46260</v>
      </c>
      <c r="C7144" s="0" t="n">
        <v>11</v>
      </c>
      <c r="D7144" s="0" t="s">
        <v>2471</v>
      </c>
      <c r="E7144" s="0" t="n">
        <v>1107</v>
      </c>
      <c r="F7144" s="0" t="s">
        <v>254</v>
      </c>
      <c r="I7144" s="0" t="n">
        <v>447609</v>
      </c>
      <c r="J7144" s="0" t="n">
        <v>12275</v>
      </c>
      <c r="K7144" s="0" t="n">
        <v>7891962031170</v>
      </c>
      <c r="L7144" s="0" t="s">
        <v>3487</v>
      </c>
      <c r="N7144" s="0" t="n">
        <v>48</v>
      </c>
      <c r="O7144" s="0" t="n">
        <v>76.58</v>
      </c>
      <c r="P7144" s="0" t="s">
        <v>2444</v>
      </c>
    </row>
    <row r="7145" customFormat="false" ht="15" hidden="false" customHeight="true" outlineLevel="0" collapsed="false">
      <c r="A7145" s="0" t="n">
        <v>2</v>
      </c>
      <c r="B7145" s="71" t="n">
        <v>46260</v>
      </c>
      <c r="C7145" s="0" t="n">
        <v>11</v>
      </c>
      <c r="D7145" s="0" t="s">
        <v>2471</v>
      </c>
      <c r="E7145" s="0" t="n">
        <v>1107</v>
      </c>
      <c r="F7145" s="0" t="s">
        <v>254</v>
      </c>
      <c r="I7145" s="0" t="n">
        <v>447609</v>
      </c>
      <c r="J7145" s="0" t="n">
        <v>12704</v>
      </c>
      <c r="K7145" s="0" t="n">
        <v>7891048040089</v>
      </c>
      <c r="L7145" s="0" t="s">
        <v>3488</v>
      </c>
      <c r="N7145" s="0" t="n">
        <v>12</v>
      </c>
      <c r="O7145" s="0" t="n">
        <v>76.22</v>
      </c>
      <c r="P7145" s="0" t="s">
        <v>2444</v>
      </c>
    </row>
    <row r="7146" customFormat="false" ht="15" hidden="false" customHeight="true" outlineLevel="0" collapsed="false">
      <c r="A7146" s="0" t="n">
        <v>2</v>
      </c>
      <c r="B7146" s="71" t="n">
        <v>46260</v>
      </c>
      <c r="C7146" s="0" t="n">
        <v>11</v>
      </c>
      <c r="D7146" s="0" t="s">
        <v>2471</v>
      </c>
      <c r="E7146" s="0" t="n">
        <v>1107</v>
      </c>
      <c r="F7146" s="0" t="s">
        <v>254</v>
      </c>
      <c r="I7146" s="0" t="n">
        <v>447609</v>
      </c>
      <c r="J7146" s="0" t="n">
        <v>14223</v>
      </c>
      <c r="K7146" s="0" t="n">
        <v>7891962035451</v>
      </c>
      <c r="L7146" s="0" t="s">
        <v>5148</v>
      </c>
      <c r="N7146" s="0" t="n">
        <v>12</v>
      </c>
      <c r="O7146" s="0" t="n">
        <v>115.24</v>
      </c>
      <c r="P7146" s="0" t="s">
        <v>2444</v>
      </c>
    </row>
    <row r="7147" customFormat="false" ht="15" hidden="false" customHeight="true" outlineLevel="0" collapsed="false">
      <c r="A7147" s="0" t="n">
        <v>2</v>
      </c>
      <c r="B7147" s="71" t="n">
        <v>46260</v>
      </c>
      <c r="C7147" s="0" t="n">
        <v>11</v>
      </c>
      <c r="D7147" s="0" t="s">
        <v>2471</v>
      </c>
      <c r="E7147" s="0" t="n">
        <v>1107</v>
      </c>
      <c r="F7147" s="0" t="s">
        <v>254</v>
      </c>
      <c r="I7147" s="0" t="n">
        <v>447609</v>
      </c>
      <c r="J7147" s="0" t="n">
        <v>17325</v>
      </c>
      <c r="K7147" s="0" t="n">
        <v>7895144603063</v>
      </c>
      <c r="L7147" s="0" t="s">
        <v>3338</v>
      </c>
      <c r="N7147" s="0" t="n">
        <v>16</v>
      </c>
      <c r="O7147" s="0" t="n">
        <v>32.43</v>
      </c>
      <c r="P7147" s="0" t="s">
        <v>2444</v>
      </c>
    </row>
    <row r="7148" customFormat="false" ht="15" hidden="false" customHeight="true" outlineLevel="0" collapsed="false">
      <c r="A7148" s="0" t="n">
        <v>2</v>
      </c>
      <c r="B7148" s="71" t="n">
        <v>46260</v>
      </c>
      <c r="C7148" s="0" t="n">
        <v>11</v>
      </c>
      <c r="D7148" s="0" t="s">
        <v>2471</v>
      </c>
      <c r="E7148" s="0" t="n">
        <v>1107</v>
      </c>
      <c r="F7148" s="0" t="s">
        <v>254</v>
      </c>
      <c r="I7148" s="0" t="n">
        <v>447609</v>
      </c>
      <c r="J7148" s="0" t="n">
        <v>20684</v>
      </c>
      <c r="K7148" s="0" t="n">
        <v>7891962045160</v>
      </c>
      <c r="L7148" s="0" t="s">
        <v>5149</v>
      </c>
      <c r="N7148" s="0" t="n">
        <v>25</v>
      </c>
      <c r="O7148" s="0" t="n">
        <v>89.81</v>
      </c>
      <c r="P7148" s="0" t="s">
        <v>2444</v>
      </c>
    </row>
    <row r="7149" customFormat="false" ht="15" hidden="false" customHeight="true" outlineLevel="0" collapsed="false">
      <c r="A7149" s="0" t="n">
        <v>2</v>
      </c>
      <c r="B7149" s="71" t="n">
        <v>46260</v>
      </c>
      <c r="C7149" s="0" t="n">
        <v>11</v>
      </c>
      <c r="D7149" s="0" t="s">
        <v>2471</v>
      </c>
      <c r="E7149" s="0" t="n">
        <v>1107</v>
      </c>
      <c r="F7149" s="0" t="s">
        <v>254</v>
      </c>
      <c r="I7149" s="0" t="n">
        <v>447609</v>
      </c>
      <c r="J7149" s="0" t="n">
        <v>22780</v>
      </c>
      <c r="K7149" s="0" t="n">
        <v>7891962047560</v>
      </c>
      <c r="L7149" s="0" t="s">
        <v>5150</v>
      </c>
      <c r="N7149" s="0" t="n">
        <v>25</v>
      </c>
      <c r="O7149" s="0" t="n">
        <v>89.81</v>
      </c>
      <c r="P7149" s="0" t="s">
        <v>2444</v>
      </c>
    </row>
    <row r="7150" customFormat="false" ht="15" hidden="false" customHeight="true" outlineLevel="0" collapsed="false">
      <c r="A7150" s="0" t="n">
        <v>2</v>
      </c>
      <c r="B7150" s="71" t="n">
        <v>46260</v>
      </c>
      <c r="C7150" s="0" t="n">
        <v>11</v>
      </c>
      <c r="D7150" s="0" t="s">
        <v>2471</v>
      </c>
      <c r="E7150" s="0" t="n">
        <v>1107</v>
      </c>
      <c r="F7150" s="0" t="s">
        <v>254</v>
      </c>
      <c r="I7150" s="0" t="n">
        <v>447609</v>
      </c>
      <c r="J7150" s="0" t="n">
        <v>24270</v>
      </c>
      <c r="K7150" s="0" t="n">
        <v>7891962050089</v>
      </c>
      <c r="L7150" s="0" t="s">
        <v>3489</v>
      </c>
      <c r="N7150" s="0" t="n">
        <v>45</v>
      </c>
      <c r="O7150" s="0" t="n">
        <v>171.59</v>
      </c>
      <c r="P7150" s="0" t="s">
        <v>2444</v>
      </c>
    </row>
    <row r="7151" customFormat="false" ht="15" hidden="false" customHeight="true" outlineLevel="0" collapsed="false">
      <c r="A7151" s="0" t="n">
        <v>2</v>
      </c>
      <c r="B7151" s="71" t="n">
        <v>46260</v>
      </c>
      <c r="C7151" s="0" t="n">
        <v>11</v>
      </c>
      <c r="D7151" s="0" t="s">
        <v>2471</v>
      </c>
      <c r="E7151" s="0" t="n">
        <v>1107</v>
      </c>
      <c r="F7151" s="0" t="s">
        <v>254</v>
      </c>
      <c r="I7151" s="0" t="n">
        <v>447609</v>
      </c>
      <c r="J7151" s="0" t="n">
        <v>24548</v>
      </c>
      <c r="K7151" s="0" t="n">
        <v>7891962050072</v>
      </c>
      <c r="L7151" s="0" t="s">
        <v>3490</v>
      </c>
      <c r="N7151" s="0" t="n">
        <v>45</v>
      </c>
      <c r="O7151" s="0" t="n">
        <v>171.59</v>
      </c>
      <c r="P7151" s="0" t="s">
        <v>2444</v>
      </c>
    </row>
    <row r="7152" customFormat="false" ht="15" hidden="false" customHeight="true" outlineLevel="0" collapsed="false">
      <c r="A7152" s="0" t="n">
        <v>2</v>
      </c>
      <c r="B7152" s="71" t="n">
        <v>46260</v>
      </c>
      <c r="C7152" s="0" t="n">
        <v>11</v>
      </c>
      <c r="D7152" s="0" t="s">
        <v>2471</v>
      </c>
      <c r="E7152" s="0" t="n">
        <v>1107</v>
      </c>
      <c r="F7152" s="0" t="s">
        <v>254</v>
      </c>
      <c r="I7152" s="0" t="n">
        <v>447609</v>
      </c>
      <c r="J7152" s="0" t="n">
        <v>24780</v>
      </c>
      <c r="K7152" s="0" t="n">
        <v>7891962050065</v>
      </c>
      <c r="L7152" s="0" t="s">
        <v>5151</v>
      </c>
      <c r="N7152" s="0" t="n">
        <v>45</v>
      </c>
      <c r="O7152" s="0" t="n">
        <v>171.59</v>
      </c>
      <c r="P7152" s="0" t="s">
        <v>2444</v>
      </c>
    </row>
    <row r="7153" customFormat="false" ht="15" hidden="false" customHeight="true" outlineLevel="0" collapsed="false">
      <c r="A7153" s="0" t="n">
        <v>2</v>
      </c>
      <c r="B7153" s="71" t="n">
        <v>46260</v>
      </c>
      <c r="C7153" s="0" t="n">
        <v>11</v>
      </c>
      <c r="D7153" s="0" t="s">
        <v>2471</v>
      </c>
      <c r="E7153" s="0" t="n">
        <v>1107</v>
      </c>
      <c r="F7153" s="0" t="s">
        <v>254</v>
      </c>
      <c r="I7153" s="0" t="n">
        <v>447609</v>
      </c>
      <c r="J7153" s="0" t="n">
        <v>25766</v>
      </c>
      <c r="K7153" s="0" t="n">
        <v>7891962051079</v>
      </c>
      <c r="L7153" s="0" t="s">
        <v>5152</v>
      </c>
      <c r="N7153" s="0" t="n">
        <v>25</v>
      </c>
      <c r="O7153" s="0" t="n">
        <v>89.81</v>
      </c>
      <c r="P7153" s="0" t="s">
        <v>2444</v>
      </c>
    </row>
    <row r="7154" customFormat="false" ht="15" hidden="false" customHeight="true" outlineLevel="0" collapsed="false">
      <c r="A7154" s="0" t="n">
        <v>2</v>
      </c>
      <c r="B7154" s="71" t="n">
        <v>46260</v>
      </c>
      <c r="C7154" s="0" t="n">
        <v>11</v>
      </c>
      <c r="D7154" s="0" t="s">
        <v>2471</v>
      </c>
      <c r="E7154" s="0" t="n">
        <v>1107</v>
      </c>
      <c r="F7154" s="0" t="s">
        <v>254</v>
      </c>
      <c r="I7154" s="0" t="n">
        <v>447609</v>
      </c>
      <c r="J7154" s="0" t="n">
        <v>27022</v>
      </c>
      <c r="K7154" s="0" t="n">
        <v>7891048050682</v>
      </c>
      <c r="L7154" s="0" t="s">
        <v>5153</v>
      </c>
      <c r="N7154" s="0" t="n">
        <v>12</v>
      </c>
      <c r="O7154" s="0" t="n">
        <v>17.82</v>
      </c>
      <c r="P7154" s="0" t="s">
        <v>2444</v>
      </c>
    </row>
    <row r="7155" customFormat="false" ht="15" hidden="false" customHeight="true" outlineLevel="0" collapsed="false">
      <c r="A7155" s="0" t="n">
        <v>2</v>
      </c>
      <c r="B7155" s="71" t="n">
        <v>46260</v>
      </c>
      <c r="C7155" s="0" t="n">
        <v>11</v>
      </c>
      <c r="D7155" s="0" t="s">
        <v>2471</v>
      </c>
      <c r="E7155" s="0" t="n">
        <v>1107</v>
      </c>
      <c r="F7155" s="0" t="s">
        <v>254</v>
      </c>
      <c r="I7155" s="0" t="n">
        <v>447609</v>
      </c>
      <c r="J7155" s="0" t="n">
        <v>27023</v>
      </c>
      <c r="K7155" s="0" t="n">
        <v>7891048050637</v>
      </c>
      <c r="L7155" s="0" t="s">
        <v>4031</v>
      </c>
      <c r="N7155" s="0" t="n">
        <v>12</v>
      </c>
      <c r="O7155" s="0" t="n">
        <v>17.82</v>
      </c>
      <c r="P7155" s="0" t="s">
        <v>2444</v>
      </c>
    </row>
    <row r="7156" customFormat="false" ht="15" hidden="false" customHeight="true" outlineLevel="0" collapsed="false">
      <c r="A7156" s="0" t="n">
        <v>2</v>
      </c>
      <c r="B7156" s="71" t="n">
        <v>46260</v>
      </c>
      <c r="C7156" s="0" t="n">
        <v>11</v>
      </c>
      <c r="D7156" s="0" t="s">
        <v>2471</v>
      </c>
      <c r="E7156" s="0" t="n">
        <v>1107</v>
      </c>
      <c r="F7156" s="0" t="s">
        <v>254</v>
      </c>
      <c r="I7156" s="0" t="n">
        <v>447609</v>
      </c>
      <c r="J7156" s="0" t="n">
        <v>27397</v>
      </c>
      <c r="K7156" s="0" t="n">
        <v>7891962054124</v>
      </c>
      <c r="L7156" s="0" t="s">
        <v>3493</v>
      </c>
      <c r="N7156" s="0" t="n">
        <v>24</v>
      </c>
      <c r="O7156" s="0" t="n">
        <v>106.69</v>
      </c>
      <c r="P7156" s="0" t="s">
        <v>2444</v>
      </c>
    </row>
    <row r="7157" customFormat="false" ht="15" hidden="false" customHeight="true" outlineLevel="0" collapsed="false">
      <c r="A7157" s="0" t="n">
        <v>2</v>
      </c>
      <c r="B7157" s="71" t="n">
        <v>46260</v>
      </c>
      <c r="C7157" s="0" t="n">
        <v>11</v>
      </c>
      <c r="D7157" s="0" t="s">
        <v>2471</v>
      </c>
      <c r="E7157" s="0" t="n">
        <v>1107</v>
      </c>
      <c r="F7157" s="0" t="s">
        <v>254</v>
      </c>
      <c r="I7157" s="0" t="n">
        <v>447609</v>
      </c>
      <c r="J7157" s="0" t="n">
        <v>27481</v>
      </c>
      <c r="K7157" s="0" t="n">
        <v>7891962054810</v>
      </c>
      <c r="L7157" s="0" t="s">
        <v>3492</v>
      </c>
      <c r="N7157" s="0" t="n">
        <v>48</v>
      </c>
      <c r="O7157" s="0" t="n">
        <v>124.75</v>
      </c>
      <c r="P7157" s="0" t="s">
        <v>2444</v>
      </c>
    </row>
    <row r="7158" customFormat="false" ht="15" hidden="false" customHeight="true" outlineLevel="0" collapsed="false">
      <c r="A7158" s="0" t="n">
        <v>2</v>
      </c>
      <c r="B7158" s="71" t="n">
        <v>46260</v>
      </c>
      <c r="C7158" s="0" t="n">
        <v>11</v>
      </c>
      <c r="D7158" s="0" t="s">
        <v>2471</v>
      </c>
      <c r="E7158" s="0" t="n">
        <v>1107</v>
      </c>
      <c r="F7158" s="0" t="s">
        <v>254</v>
      </c>
      <c r="I7158" s="0" t="n">
        <v>447609</v>
      </c>
      <c r="J7158" s="0" t="n">
        <v>27482</v>
      </c>
      <c r="K7158" s="0" t="n">
        <v>7891962054476</v>
      </c>
      <c r="L7158" s="0" t="s">
        <v>3494</v>
      </c>
      <c r="N7158" s="0" t="n">
        <v>48</v>
      </c>
      <c r="O7158" s="0" t="n">
        <v>124.75</v>
      </c>
      <c r="P7158" s="0" t="s">
        <v>2444</v>
      </c>
    </row>
    <row r="7159" customFormat="false" ht="15" hidden="false" customHeight="true" outlineLevel="0" collapsed="false">
      <c r="A7159" s="0" t="n">
        <v>2</v>
      </c>
      <c r="B7159" s="71" t="n">
        <v>46260</v>
      </c>
      <c r="C7159" s="0" t="n">
        <v>11</v>
      </c>
      <c r="D7159" s="0" t="s">
        <v>2471</v>
      </c>
      <c r="E7159" s="0" t="n">
        <v>1107</v>
      </c>
      <c r="F7159" s="0" t="s">
        <v>254</v>
      </c>
      <c r="I7159" s="0" t="n">
        <v>447609</v>
      </c>
      <c r="J7159" s="0" t="n">
        <v>28164</v>
      </c>
      <c r="K7159" s="0" t="n">
        <v>7891962052564</v>
      </c>
      <c r="L7159" s="0" t="s">
        <v>4035</v>
      </c>
      <c r="N7159" s="0" t="n">
        <v>15</v>
      </c>
      <c r="O7159" s="0" t="n">
        <v>51.18</v>
      </c>
      <c r="P7159" s="0" t="s">
        <v>2444</v>
      </c>
    </row>
    <row r="7160" customFormat="false" ht="15" hidden="false" customHeight="true" outlineLevel="0" collapsed="false">
      <c r="A7160" s="0" t="n">
        <v>2</v>
      </c>
      <c r="B7160" s="71" t="n">
        <v>46260</v>
      </c>
      <c r="C7160" s="0" t="n">
        <v>11</v>
      </c>
      <c r="D7160" s="0" t="s">
        <v>2471</v>
      </c>
      <c r="E7160" s="0" t="n">
        <v>1107</v>
      </c>
      <c r="F7160" s="0" t="s">
        <v>254</v>
      </c>
      <c r="I7160" s="0" t="n">
        <v>447609</v>
      </c>
      <c r="J7160" s="0" t="n">
        <v>29020</v>
      </c>
      <c r="K7160" s="0" t="n">
        <v>7896262304306</v>
      </c>
      <c r="L7160" s="0" t="s">
        <v>3339</v>
      </c>
      <c r="N7160" s="0" t="n">
        <v>32</v>
      </c>
      <c r="O7160" s="0" t="n">
        <v>64.86</v>
      </c>
      <c r="P7160" s="0" t="s">
        <v>2444</v>
      </c>
    </row>
    <row r="7161" customFormat="false" ht="15" hidden="false" customHeight="true" outlineLevel="0" collapsed="false">
      <c r="A7161" s="0" t="n">
        <v>2</v>
      </c>
      <c r="B7161" s="71" t="n">
        <v>46260</v>
      </c>
      <c r="C7161" s="0" t="n">
        <v>11</v>
      </c>
      <c r="D7161" s="0" t="s">
        <v>2471</v>
      </c>
      <c r="E7161" s="0" t="n">
        <v>1107</v>
      </c>
      <c r="F7161" s="0" t="s">
        <v>254</v>
      </c>
      <c r="I7161" s="0" t="n">
        <v>447609</v>
      </c>
      <c r="J7161" s="0" t="n">
        <v>29032</v>
      </c>
      <c r="K7161" s="0" t="n">
        <v>7896423419276</v>
      </c>
      <c r="L7161" s="0" t="s">
        <v>5154</v>
      </c>
      <c r="N7161" s="0" t="n">
        <v>12</v>
      </c>
      <c r="O7161" s="0" t="n">
        <v>52.14</v>
      </c>
      <c r="P7161" s="0" t="s">
        <v>2444</v>
      </c>
    </row>
    <row r="7162" customFormat="false" ht="15" hidden="false" customHeight="true" outlineLevel="0" collapsed="false">
      <c r="A7162" s="0" t="n">
        <v>2</v>
      </c>
      <c r="B7162" s="71" t="n">
        <v>46260</v>
      </c>
      <c r="C7162" s="0" t="n">
        <v>11</v>
      </c>
      <c r="D7162" s="0" t="s">
        <v>2471</v>
      </c>
      <c r="E7162" s="0" t="n">
        <v>1107</v>
      </c>
      <c r="F7162" s="0" t="s">
        <v>254</v>
      </c>
      <c r="I7162" s="0" t="n">
        <v>447609</v>
      </c>
      <c r="J7162" s="0" t="n">
        <v>29485</v>
      </c>
      <c r="K7162" s="0" t="n">
        <v>7891962053196</v>
      </c>
      <c r="L7162" s="0" t="s">
        <v>4036</v>
      </c>
      <c r="N7162" s="0" t="n">
        <v>10</v>
      </c>
      <c r="O7162" s="0" t="n">
        <v>49.27</v>
      </c>
      <c r="P7162" s="0" t="s">
        <v>2444</v>
      </c>
    </row>
    <row r="7163" customFormat="false" ht="15" hidden="false" customHeight="true" outlineLevel="0" collapsed="false">
      <c r="A7163" s="0" t="n">
        <v>2</v>
      </c>
      <c r="B7163" s="71" t="n">
        <v>46260</v>
      </c>
      <c r="C7163" s="0" t="n">
        <v>11</v>
      </c>
      <c r="D7163" s="0" t="s">
        <v>2471</v>
      </c>
      <c r="E7163" s="0" t="n">
        <v>1107</v>
      </c>
      <c r="F7163" s="0" t="s">
        <v>254</v>
      </c>
      <c r="I7163" s="0" t="n">
        <v>447609</v>
      </c>
      <c r="J7163" s="0" t="n">
        <v>29486</v>
      </c>
      <c r="K7163" s="0" t="n">
        <v>7891962053189</v>
      </c>
      <c r="L7163" s="0" t="s">
        <v>5155</v>
      </c>
      <c r="N7163" s="0" t="n">
        <v>15</v>
      </c>
      <c r="O7163" s="0" t="n">
        <v>66.98</v>
      </c>
      <c r="P7163" s="0" t="s">
        <v>2444</v>
      </c>
    </row>
    <row r="7164" customFormat="false" ht="15" hidden="false" customHeight="true" outlineLevel="0" collapsed="false">
      <c r="A7164" s="0" t="n">
        <v>2</v>
      </c>
      <c r="B7164" s="71" t="n">
        <v>46260</v>
      </c>
      <c r="C7164" s="0" t="n">
        <v>11</v>
      </c>
      <c r="D7164" s="0" t="s">
        <v>2471</v>
      </c>
      <c r="E7164" s="0" t="n">
        <v>1107</v>
      </c>
      <c r="F7164" s="0" t="s">
        <v>254</v>
      </c>
      <c r="I7164" s="0" t="n">
        <v>447609</v>
      </c>
      <c r="J7164" s="0" t="n">
        <v>29995</v>
      </c>
      <c r="K7164" s="0" t="n">
        <v>7891048061794</v>
      </c>
      <c r="L7164" s="0" t="s">
        <v>5156</v>
      </c>
      <c r="N7164" s="0" t="n">
        <v>18</v>
      </c>
      <c r="O7164" s="0" t="n">
        <v>99.52</v>
      </c>
      <c r="P7164" s="0" t="s">
        <v>2444</v>
      </c>
    </row>
    <row r="7165" customFormat="false" ht="15" hidden="false" customHeight="true" outlineLevel="0" collapsed="false">
      <c r="A7165" s="0" t="n">
        <v>2</v>
      </c>
      <c r="B7165" s="71" t="n">
        <v>46260</v>
      </c>
      <c r="C7165" s="0" t="n">
        <v>11</v>
      </c>
      <c r="D7165" s="0" t="s">
        <v>2471</v>
      </c>
      <c r="E7165" s="0" t="n">
        <v>1107</v>
      </c>
      <c r="F7165" s="0" t="s">
        <v>254</v>
      </c>
      <c r="I7165" s="0" t="n">
        <v>447609</v>
      </c>
      <c r="J7165" s="0" t="n">
        <v>30015</v>
      </c>
      <c r="K7165" s="0" t="n">
        <v>7896423420180</v>
      </c>
      <c r="L7165" s="0" t="s">
        <v>5157</v>
      </c>
      <c r="N7165" s="0" t="n">
        <v>20</v>
      </c>
      <c r="O7165" s="0" t="n">
        <v>72.25</v>
      </c>
      <c r="P7165" s="0" t="s">
        <v>2444</v>
      </c>
    </row>
    <row r="7166" customFormat="false" ht="15" hidden="false" customHeight="true" outlineLevel="0" collapsed="false">
      <c r="A7166" s="0" t="n">
        <v>2</v>
      </c>
      <c r="B7166" s="71" t="n">
        <v>46260</v>
      </c>
      <c r="C7166" s="0" t="n">
        <v>11</v>
      </c>
      <c r="D7166" s="0" t="s">
        <v>2471</v>
      </c>
      <c r="E7166" s="0" t="n">
        <v>1107</v>
      </c>
      <c r="F7166" s="0" t="s">
        <v>254</v>
      </c>
      <c r="I7166" s="0" t="n">
        <v>447609</v>
      </c>
      <c r="J7166" s="0" t="n">
        <v>30041</v>
      </c>
      <c r="K7166" s="0" t="n">
        <v>7891962056500</v>
      </c>
      <c r="L7166" s="0" t="s">
        <v>3495</v>
      </c>
      <c r="N7166" s="0" t="n">
        <v>24</v>
      </c>
      <c r="O7166" s="0" t="n">
        <v>160.63</v>
      </c>
      <c r="P7166" s="0" t="s">
        <v>2444</v>
      </c>
    </row>
    <row r="7167" customFormat="false" ht="15" hidden="false" customHeight="true" outlineLevel="0" collapsed="false">
      <c r="A7167" s="0" t="n">
        <v>2</v>
      </c>
      <c r="B7167" s="71" t="n">
        <v>46260</v>
      </c>
      <c r="C7167" s="0" t="n">
        <v>11</v>
      </c>
      <c r="D7167" s="0" t="s">
        <v>2471</v>
      </c>
      <c r="E7167" s="0" t="n">
        <v>1107</v>
      </c>
      <c r="F7167" s="0" t="s">
        <v>254</v>
      </c>
      <c r="I7167" s="0" t="n">
        <v>447609</v>
      </c>
      <c r="J7167" s="0" t="n">
        <v>32703</v>
      </c>
      <c r="K7167" s="0" t="n">
        <v>7891962060361</v>
      </c>
      <c r="L7167" s="0" t="s">
        <v>3496</v>
      </c>
      <c r="N7167" s="0" t="n">
        <v>36</v>
      </c>
      <c r="O7167" s="0" t="n">
        <v>98.26</v>
      </c>
      <c r="P7167" s="0" t="s">
        <v>2444</v>
      </c>
    </row>
    <row r="7168" customFormat="false" ht="15" hidden="false" customHeight="true" outlineLevel="0" collapsed="false">
      <c r="A7168" s="0" t="n">
        <v>2</v>
      </c>
      <c r="B7168" s="71" t="n">
        <v>46260</v>
      </c>
      <c r="C7168" s="0" t="n">
        <v>11</v>
      </c>
      <c r="D7168" s="0" t="s">
        <v>2471</v>
      </c>
      <c r="E7168" s="0" t="n">
        <v>1107</v>
      </c>
      <c r="F7168" s="0" t="s">
        <v>254</v>
      </c>
      <c r="I7168" s="0" t="n">
        <v>447609</v>
      </c>
      <c r="J7168" s="0" t="n">
        <v>33822</v>
      </c>
      <c r="K7168" s="0" t="n">
        <v>797511</v>
      </c>
      <c r="L7168" s="0" t="s">
        <v>3340</v>
      </c>
      <c r="N7168" s="0" t="n">
        <v>600</v>
      </c>
      <c r="O7168" s="0" t="n">
        <v>107.11</v>
      </c>
      <c r="P7168" s="0" t="s">
        <v>2444</v>
      </c>
    </row>
    <row r="7169" customFormat="false" ht="15" hidden="false" customHeight="true" outlineLevel="0" collapsed="false">
      <c r="A7169" s="0" t="n">
        <v>2</v>
      </c>
      <c r="B7169" s="71" t="n">
        <v>46260</v>
      </c>
      <c r="C7169" s="0" t="n">
        <v>11</v>
      </c>
      <c r="D7169" s="0" t="s">
        <v>2471</v>
      </c>
      <c r="E7169" s="0" t="n">
        <v>1107</v>
      </c>
      <c r="F7169" s="0" t="s">
        <v>254</v>
      </c>
      <c r="I7169" s="0" t="n">
        <v>447609</v>
      </c>
      <c r="J7169" s="0" t="n">
        <v>33823</v>
      </c>
      <c r="K7169" s="0" t="n">
        <v>7896259417330</v>
      </c>
      <c r="L7169" s="0" t="s">
        <v>4037</v>
      </c>
      <c r="N7169" s="0" t="n">
        <v>600</v>
      </c>
      <c r="O7169" s="0" t="n">
        <v>123.79</v>
      </c>
      <c r="P7169" s="0" t="s">
        <v>2444</v>
      </c>
    </row>
    <row r="7170" customFormat="false" ht="15" hidden="false" customHeight="true" outlineLevel="0" collapsed="false">
      <c r="A7170" s="0" t="n">
        <v>2</v>
      </c>
      <c r="B7170" s="71" t="n">
        <v>46260</v>
      </c>
      <c r="C7170" s="0" t="n">
        <v>11</v>
      </c>
      <c r="D7170" s="0" t="s">
        <v>2471</v>
      </c>
      <c r="E7170" s="0" t="n">
        <v>1107</v>
      </c>
      <c r="F7170" s="0" t="s">
        <v>254</v>
      </c>
      <c r="I7170" s="0" t="n">
        <v>447609</v>
      </c>
      <c r="J7170" s="0" t="n">
        <v>33825</v>
      </c>
      <c r="K7170" s="0" t="n">
        <v>797528</v>
      </c>
      <c r="L7170" s="0" t="s">
        <v>3341</v>
      </c>
      <c r="N7170" s="0" t="n">
        <v>600</v>
      </c>
      <c r="O7170" s="0" t="n">
        <v>91.15</v>
      </c>
      <c r="P7170" s="0" t="s">
        <v>2444</v>
      </c>
    </row>
    <row r="7171" customFormat="false" ht="15" hidden="false" customHeight="true" outlineLevel="0" collapsed="false">
      <c r="A7171" s="0" t="n">
        <v>2</v>
      </c>
      <c r="B7171" s="71" t="n">
        <v>46260</v>
      </c>
      <c r="C7171" s="0" t="n">
        <v>11</v>
      </c>
      <c r="D7171" s="0" t="s">
        <v>2471</v>
      </c>
      <c r="E7171" s="0" t="n">
        <v>1107</v>
      </c>
      <c r="F7171" s="0" t="s">
        <v>254</v>
      </c>
      <c r="I7171" s="0" t="n">
        <v>447609</v>
      </c>
      <c r="J7171" s="0" t="n">
        <v>36367</v>
      </c>
      <c r="K7171" s="0" t="n">
        <v>7896423401066</v>
      </c>
      <c r="L7171" s="0" t="s">
        <v>5158</v>
      </c>
      <c r="N7171" s="0" t="n">
        <v>18</v>
      </c>
      <c r="O7171" s="0" t="n">
        <v>78.21</v>
      </c>
      <c r="P7171" s="0" t="s">
        <v>2444</v>
      </c>
    </row>
    <row r="7172" customFormat="false" ht="15" hidden="false" customHeight="true" outlineLevel="0" collapsed="false">
      <c r="A7172" s="0" t="n">
        <v>2</v>
      </c>
      <c r="B7172" s="71" t="n">
        <v>46260</v>
      </c>
      <c r="C7172" s="0" t="n">
        <v>11</v>
      </c>
      <c r="D7172" s="0" t="s">
        <v>2471</v>
      </c>
      <c r="E7172" s="0" t="n">
        <v>1107</v>
      </c>
      <c r="F7172" s="0" t="s">
        <v>254</v>
      </c>
      <c r="I7172" s="0" t="n">
        <v>447609</v>
      </c>
      <c r="J7172" s="0" t="n">
        <v>37148</v>
      </c>
      <c r="K7172" s="0" t="n">
        <v>7891962051574</v>
      </c>
      <c r="L7172" s="0" t="s">
        <v>5159</v>
      </c>
      <c r="N7172" s="0" t="n">
        <v>30</v>
      </c>
      <c r="O7172" s="0" t="n">
        <v>47.86</v>
      </c>
      <c r="P7172" s="0" t="s">
        <v>2444</v>
      </c>
    </row>
    <row r="7173" customFormat="false" ht="15" hidden="false" customHeight="true" outlineLevel="0" collapsed="false">
      <c r="A7173" s="0" t="n">
        <v>2</v>
      </c>
      <c r="B7173" s="71" t="n">
        <v>46260</v>
      </c>
      <c r="C7173" s="0" t="n">
        <v>11</v>
      </c>
      <c r="D7173" s="0" t="s">
        <v>2471</v>
      </c>
      <c r="E7173" s="0" t="n">
        <v>1107</v>
      </c>
      <c r="F7173" s="0" t="s">
        <v>254</v>
      </c>
      <c r="I7173" s="0" t="n">
        <v>447609</v>
      </c>
      <c r="J7173" s="0" t="n">
        <v>49004</v>
      </c>
      <c r="K7173" s="0" t="n">
        <v>7891962067346</v>
      </c>
      <c r="L7173" s="0" t="s">
        <v>3497</v>
      </c>
      <c r="N7173" s="0" t="n">
        <v>48</v>
      </c>
      <c r="O7173" s="0" t="n">
        <v>76.58</v>
      </c>
      <c r="P7173" s="0" t="s">
        <v>2444</v>
      </c>
    </row>
    <row r="7174" customFormat="false" ht="15" hidden="false" customHeight="true" outlineLevel="0" collapsed="false">
      <c r="A7174" s="0" t="n">
        <v>2</v>
      </c>
      <c r="B7174" s="71" t="n">
        <v>46260</v>
      </c>
      <c r="C7174" s="0" t="n">
        <v>11</v>
      </c>
      <c r="D7174" s="0" t="s">
        <v>2471</v>
      </c>
      <c r="E7174" s="0" t="n">
        <v>1107</v>
      </c>
      <c r="F7174" s="0" t="s">
        <v>254</v>
      </c>
      <c r="I7174" s="0" t="n">
        <v>447609</v>
      </c>
      <c r="J7174" s="0" t="n">
        <v>49956</v>
      </c>
      <c r="K7174" s="0" t="n">
        <v>7891962067629</v>
      </c>
      <c r="L7174" s="0" t="s">
        <v>3498</v>
      </c>
      <c r="N7174" s="0" t="n">
        <v>24</v>
      </c>
      <c r="O7174" s="0" t="n">
        <v>106.69</v>
      </c>
      <c r="P7174" s="0" t="s">
        <v>2444</v>
      </c>
    </row>
    <row r="7175" customFormat="false" ht="15" hidden="false" customHeight="true" outlineLevel="0" collapsed="false">
      <c r="A7175" s="0" t="n">
        <v>2</v>
      </c>
      <c r="B7175" s="71" t="n">
        <v>46260</v>
      </c>
      <c r="C7175" s="0" t="n">
        <v>11</v>
      </c>
      <c r="D7175" s="0" t="s">
        <v>2471</v>
      </c>
      <c r="E7175" s="0" t="n">
        <v>1107</v>
      </c>
      <c r="F7175" s="0" t="s">
        <v>254</v>
      </c>
      <c r="I7175" s="0" t="n">
        <v>447609</v>
      </c>
      <c r="J7175" s="0" t="n">
        <v>51756</v>
      </c>
      <c r="K7175" s="0" t="n">
        <v>7891962067889</v>
      </c>
      <c r="L7175" s="0" t="s">
        <v>3499</v>
      </c>
      <c r="N7175" s="0" t="n">
        <v>48</v>
      </c>
      <c r="O7175" s="0" t="n">
        <v>76.58</v>
      </c>
      <c r="P7175" s="0" t="s">
        <v>2444</v>
      </c>
    </row>
    <row r="7176" customFormat="false" ht="15" hidden="false" customHeight="true" outlineLevel="0" collapsed="false">
      <c r="A7176" s="0" t="n">
        <v>2</v>
      </c>
      <c r="B7176" s="71" t="n">
        <v>46260</v>
      </c>
      <c r="C7176" s="0" t="n">
        <v>11</v>
      </c>
      <c r="D7176" s="0" t="s">
        <v>2471</v>
      </c>
      <c r="E7176" s="0" t="n">
        <v>1107</v>
      </c>
      <c r="F7176" s="0" t="s">
        <v>254</v>
      </c>
      <c r="I7176" s="0" t="n">
        <v>447609</v>
      </c>
      <c r="J7176" s="0" t="n">
        <v>61192</v>
      </c>
      <c r="K7176" s="0" t="n">
        <v>7891962071763</v>
      </c>
      <c r="L7176" s="0" t="s">
        <v>4038</v>
      </c>
      <c r="N7176" s="0" t="n">
        <v>72</v>
      </c>
      <c r="O7176" s="0" t="n">
        <v>136.55</v>
      </c>
      <c r="P7176" s="0" t="s">
        <v>2444</v>
      </c>
    </row>
    <row r="7177" customFormat="false" ht="15" hidden="false" customHeight="true" outlineLevel="0" collapsed="false">
      <c r="A7177" s="0" t="n">
        <v>2</v>
      </c>
      <c r="B7177" s="71" t="n">
        <v>46260</v>
      </c>
      <c r="C7177" s="0" t="n">
        <v>11</v>
      </c>
      <c r="D7177" s="0" t="s">
        <v>2471</v>
      </c>
      <c r="E7177" s="0" t="n">
        <v>1107</v>
      </c>
      <c r="F7177" s="0" t="s">
        <v>254</v>
      </c>
      <c r="I7177" s="0" t="n">
        <v>447609</v>
      </c>
      <c r="J7177" s="0" t="n">
        <v>62128</v>
      </c>
      <c r="K7177" s="0" t="n">
        <v>7891962071732</v>
      </c>
      <c r="L7177" s="0" t="s">
        <v>3500</v>
      </c>
      <c r="N7177" s="0" t="n">
        <v>108</v>
      </c>
      <c r="O7177" s="0" t="n">
        <v>204.83</v>
      </c>
      <c r="P7177" s="0" t="s">
        <v>2444</v>
      </c>
    </row>
    <row r="7178" customFormat="false" ht="15" hidden="false" customHeight="true" outlineLevel="0" collapsed="false">
      <c r="A7178" s="0" t="n">
        <v>2</v>
      </c>
      <c r="B7178" s="71" t="n">
        <v>46260</v>
      </c>
      <c r="C7178" s="0" t="n">
        <v>11</v>
      </c>
      <c r="D7178" s="0" t="s">
        <v>2471</v>
      </c>
      <c r="E7178" s="0" t="n">
        <v>1107</v>
      </c>
      <c r="F7178" s="0" t="s">
        <v>254</v>
      </c>
      <c r="I7178" s="0" t="n">
        <v>447609</v>
      </c>
      <c r="J7178" s="0" t="n">
        <v>62129</v>
      </c>
      <c r="K7178" s="0" t="n">
        <v>7891962071749</v>
      </c>
      <c r="L7178" s="0" t="s">
        <v>4039</v>
      </c>
      <c r="N7178" s="0" t="n">
        <v>108</v>
      </c>
      <c r="O7178" s="0" t="n">
        <v>204.83</v>
      </c>
      <c r="P7178" s="0" t="s">
        <v>2444</v>
      </c>
    </row>
    <row r="7179" customFormat="false" ht="15" hidden="false" customHeight="true" outlineLevel="0" collapsed="false">
      <c r="A7179" s="0" t="n">
        <v>2</v>
      </c>
      <c r="B7179" s="71" t="n">
        <v>46260</v>
      </c>
      <c r="C7179" s="0" t="n">
        <v>11</v>
      </c>
      <c r="D7179" s="0" t="s">
        <v>2471</v>
      </c>
      <c r="E7179" s="0" t="n">
        <v>1107</v>
      </c>
      <c r="F7179" s="0" t="s">
        <v>254</v>
      </c>
      <c r="I7179" s="0" t="n">
        <v>447609</v>
      </c>
      <c r="J7179" s="0" t="n">
        <v>62130</v>
      </c>
      <c r="K7179" s="0" t="n">
        <v>7891962071756</v>
      </c>
      <c r="L7179" s="0" t="s">
        <v>3501</v>
      </c>
      <c r="N7179" s="0" t="n">
        <v>108</v>
      </c>
      <c r="O7179" s="0" t="n">
        <v>204.84</v>
      </c>
      <c r="P7179" s="0" t="s">
        <v>2444</v>
      </c>
    </row>
    <row r="7180" customFormat="false" ht="15" hidden="false" customHeight="true" outlineLevel="0" collapsed="false">
      <c r="A7180" s="0" t="n">
        <v>2</v>
      </c>
      <c r="B7180" s="71" t="n">
        <v>46260</v>
      </c>
      <c r="C7180" s="0" t="n">
        <v>11</v>
      </c>
      <c r="D7180" s="0" t="s">
        <v>2471</v>
      </c>
      <c r="E7180" s="0" t="n">
        <v>1107</v>
      </c>
      <c r="F7180" s="0" t="s">
        <v>254</v>
      </c>
      <c r="I7180" s="0" t="n">
        <v>447609</v>
      </c>
      <c r="J7180" s="0" t="n">
        <v>64856</v>
      </c>
      <c r="K7180" s="0" t="n">
        <v>7891962074665</v>
      </c>
      <c r="L7180" s="0" t="s">
        <v>3502</v>
      </c>
      <c r="N7180" s="0" t="n">
        <v>48</v>
      </c>
      <c r="O7180" s="0" t="n">
        <v>76.58</v>
      </c>
      <c r="P7180" s="0" t="s">
        <v>2444</v>
      </c>
    </row>
    <row r="7181" customFormat="false" ht="15" hidden="false" customHeight="true" outlineLevel="0" collapsed="false">
      <c r="A7181" s="0" t="n">
        <v>2</v>
      </c>
      <c r="B7181" s="71" t="n">
        <v>46260</v>
      </c>
      <c r="C7181" s="0" t="n">
        <v>11</v>
      </c>
      <c r="D7181" s="0" t="s">
        <v>2471</v>
      </c>
      <c r="E7181" s="0" t="n">
        <v>1107</v>
      </c>
      <c r="F7181" s="0" t="s">
        <v>254</v>
      </c>
      <c r="I7181" s="0" t="n">
        <v>447609</v>
      </c>
      <c r="J7181" s="0" t="n">
        <v>65949</v>
      </c>
      <c r="K7181" s="0" t="n">
        <v>7891962071688</v>
      </c>
      <c r="L7181" s="0" t="s">
        <v>5160</v>
      </c>
      <c r="N7181" s="0" t="n">
        <v>36</v>
      </c>
      <c r="O7181" s="0" t="n">
        <v>110.18</v>
      </c>
      <c r="P7181" s="0" t="s">
        <v>2444</v>
      </c>
    </row>
    <row r="7182" customFormat="false" ht="15" hidden="false" customHeight="true" outlineLevel="0" collapsed="false">
      <c r="A7182" s="0" t="n">
        <v>2</v>
      </c>
      <c r="B7182" s="71" t="n">
        <v>46260</v>
      </c>
      <c r="C7182" s="0" t="n">
        <v>11</v>
      </c>
      <c r="D7182" s="0" t="s">
        <v>2471</v>
      </c>
      <c r="E7182" s="0" t="n">
        <v>1107</v>
      </c>
      <c r="F7182" s="0" t="s">
        <v>254</v>
      </c>
      <c r="I7182" s="0" t="n">
        <v>447609</v>
      </c>
      <c r="J7182" s="0" t="n">
        <v>66498</v>
      </c>
      <c r="K7182" s="0" t="n">
        <v>7895144209258</v>
      </c>
      <c r="L7182" s="0" t="s">
        <v>5161</v>
      </c>
      <c r="N7182" s="0" t="n">
        <v>16</v>
      </c>
      <c r="O7182" s="0" t="n">
        <v>23.6</v>
      </c>
      <c r="P7182" s="0" t="s">
        <v>2444</v>
      </c>
    </row>
    <row r="7183" customFormat="false" ht="15" hidden="false" customHeight="true" outlineLevel="0" collapsed="false">
      <c r="A7183" s="0" t="n">
        <v>2</v>
      </c>
      <c r="B7183" s="71" t="n">
        <v>46260</v>
      </c>
      <c r="C7183" s="0" t="n">
        <v>11</v>
      </c>
      <c r="D7183" s="0" t="s">
        <v>2471</v>
      </c>
      <c r="E7183" s="0" t="n">
        <v>1107</v>
      </c>
      <c r="F7183" s="0" t="s">
        <v>254</v>
      </c>
      <c r="I7183" s="0" t="n">
        <v>447609</v>
      </c>
      <c r="J7183" s="0" t="n">
        <v>66499</v>
      </c>
      <c r="K7183" s="0" t="n">
        <v>7895144209265</v>
      </c>
      <c r="L7183" s="0" t="s">
        <v>5162</v>
      </c>
      <c r="N7183" s="0" t="n">
        <v>48</v>
      </c>
      <c r="O7183" s="0" t="n">
        <v>70.8</v>
      </c>
      <c r="P7183" s="0" t="s">
        <v>2444</v>
      </c>
    </row>
    <row r="7184" customFormat="false" ht="15" hidden="false" customHeight="true" outlineLevel="0" collapsed="false">
      <c r="A7184" s="0" t="n">
        <v>2</v>
      </c>
      <c r="B7184" s="71" t="n">
        <v>46260</v>
      </c>
      <c r="C7184" s="0" t="n">
        <v>11</v>
      </c>
      <c r="D7184" s="0" t="s">
        <v>2471</v>
      </c>
      <c r="E7184" s="0" t="n">
        <v>1107</v>
      </c>
      <c r="F7184" s="0" t="s">
        <v>254</v>
      </c>
      <c r="I7184" s="0" t="n">
        <v>447609</v>
      </c>
      <c r="J7184" s="0" t="n">
        <v>66694</v>
      </c>
      <c r="K7184" s="0" t="n">
        <v>7895144209241</v>
      </c>
      <c r="L7184" s="0" t="s">
        <v>5163</v>
      </c>
      <c r="N7184" s="0" t="n">
        <v>48</v>
      </c>
      <c r="O7184" s="0" t="n">
        <v>70.8</v>
      </c>
      <c r="P7184" s="0" t="s">
        <v>2444</v>
      </c>
    </row>
    <row r="7185" customFormat="false" ht="15" hidden="false" customHeight="true" outlineLevel="0" collapsed="false">
      <c r="A7185" s="0" t="n">
        <v>2</v>
      </c>
      <c r="B7185" s="71" t="n">
        <v>46260</v>
      </c>
      <c r="C7185" s="0" t="n">
        <v>11</v>
      </c>
      <c r="D7185" s="0" t="s">
        <v>2471</v>
      </c>
      <c r="E7185" s="0" t="n">
        <v>1107</v>
      </c>
      <c r="F7185" s="0" t="s">
        <v>254</v>
      </c>
      <c r="I7185" s="0" t="n">
        <v>447609</v>
      </c>
      <c r="J7185" s="0" t="n">
        <v>68833</v>
      </c>
      <c r="K7185" s="0" t="n">
        <v>7891962076676</v>
      </c>
      <c r="L7185" s="0" t="s">
        <v>5164</v>
      </c>
      <c r="N7185" s="0" t="n">
        <v>24</v>
      </c>
      <c r="O7185" s="0" t="n">
        <v>106.69</v>
      </c>
      <c r="P7185" s="0" t="s">
        <v>2444</v>
      </c>
    </row>
    <row r="7186" customFormat="false" ht="15" hidden="false" customHeight="true" outlineLevel="0" collapsed="false">
      <c r="A7186" s="0" t="n">
        <v>2</v>
      </c>
      <c r="B7186" s="71" t="n">
        <v>46260</v>
      </c>
      <c r="C7186" s="0" t="n">
        <v>11</v>
      </c>
      <c r="D7186" s="0" t="s">
        <v>2471</v>
      </c>
      <c r="E7186" s="0" t="n">
        <v>1601</v>
      </c>
      <c r="F7186" s="0" t="s">
        <v>193</v>
      </c>
      <c r="I7186" s="0" t="n">
        <v>866347</v>
      </c>
      <c r="J7186" s="0" t="n">
        <v>20223</v>
      </c>
      <c r="K7186" s="0" t="n">
        <v>7896102503715</v>
      </c>
      <c r="L7186" s="0" t="s">
        <v>2798</v>
      </c>
      <c r="N7186" s="0" t="n">
        <v>6</v>
      </c>
      <c r="O7186" s="0" t="n">
        <v>93.89</v>
      </c>
      <c r="P7186" s="0" t="s">
        <v>2444</v>
      </c>
    </row>
    <row r="7187" customFormat="false" ht="15" hidden="false" customHeight="true" outlineLevel="0" collapsed="false">
      <c r="A7187" s="0" t="n">
        <v>2</v>
      </c>
      <c r="B7187" s="71" t="n">
        <v>46260</v>
      </c>
      <c r="C7187" s="0" t="n">
        <v>11</v>
      </c>
      <c r="D7187" s="0" t="s">
        <v>2471</v>
      </c>
      <c r="E7187" s="0" t="n">
        <v>1601</v>
      </c>
      <c r="F7187" s="0" t="s">
        <v>193</v>
      </c>
      <c r="I7187" s="0" t="n">
        <v>866347</v>
      </c>
      <c r="J7187" s="0" t="n">
        <v>20224</v>
      </c>
      <c r="K7187" s="0" t="n">
        <v>7896102503708</v>
      </c>
      <c r="L7187" s="0" t="s">
        <v>2799</v>
      </c>
      <c r="N7187" s="0" t="n">
        <v>6</v>
      </c>
      <c r="O7187" s="0" t="n">
        <v>76.77</v>
      </c>
      <c r="P7187" s="0" t="s">
        <v>2444</v>
      </c>
    </row>
    <row r="7188" customFormat="false" ht="15" hidden="false" customHeight="true" outlineLevel="0" collapsed="false">
      <c r="A7188" s="0" t="n">
        <v>2</v>
      </c>
      <c r="B7188" s="71" t="n">
        <v>46260</v>
      </c>
      <c r="C7188" s="0" t="n">
        <v>11</v>
      </c>
      <c r="D7188" s="0" t="s">
        <v>2471</v>
      </c>
      <c r="E7188" s="0" t="n">
        <v>1601</v>
      </c>
      <c r="F7188" s="0" t="s">
        <v>193</v>
      </c>
      <c r="I7188" s="0" t="n">
        <v>866347</v>
      </c>
      <c r="J7188" s="0" t="n">
        <v>15891</v>
      </c>
      <c r="K7188" s="0" t="n">
        <v>7896102502909</v>
      </c>
      <c r="L7188" s="0" t="s">
        <v>2800</v>
      </c>
      <c r="N7188" s="0" t="n">
        <v>24</v>
      </c>
      <c r="O7188" s="0" t="n">
        <v>81.57</v>
      </c>
      <c r="P7188" s="0" t="s">
        <v>2444</v>
      </c>
    </row>
    <row r="7189" customFormat="false" ht="15" hidden="false" customHeight="true" outlineLevel="0" collapsed="false">
      <c r="A7189" s="0" t="n">
        <v>2</v>
      </c>
      <c r="B7189" s="71" t="n">
        <v>46260</v>
      </c>
      <c r="C7189" s="0" t="n">
        <v>11</v>
      </c>
      <c r="D7189" s="0" t="s">
        <v>2471</v>
      </c>
      <c r="E7189" s="0" t="n">
        <v>1601</v>
      </c>
      <c r="F7189" s="0" t="s">
        <v>193</v>
      </c>
      <c r="I7189" s="0" t="n">
        <v>866347</v>
      </c>
      <c r="J7189" s="0" t="n">
        <v>104252</v>
      </c>
      <c r="K7189" s="0" t="n">
        <v>7897006310089</v>
      </c>
      <c r="L7189" s="0" t="s">
        <v>5165</v>
      </c>
      <c r="N7189" s="0" t="n">
        <v>12</v>
      </c>
      <c r="O7189" s="0" t="n">
        <v>25.92</v>
      </c>
      <c r="P7189" s="0" t="s">
        <v>2444</v>
      </c>
    </row>
    <row r="7190" customFormat="false" ht="15" hidden="false" customHeight="true" outlineLevel="0" collapsed="false">
      <c r="A7190" s="0" t="n">
        <v>2</v>
      </c>
      <c r="B7190" s="71" t="n">
        <v>46260</v>
      </c>
      <c r="C7190" s="0" t="n">
        <v>11</v>
      </c>
      <c r="D7190" s="0" t="s">
        <v>2471</v>
      </c>
      <c r="E7190" s="0" t="n">
        <v>1601</v>
      </c>
      <c r="F7190" s="0" t="s">
        <v>193</v>
      </c>
      <c r="I7190" s="0" t="n">
        <v>866347</v>
      </c>
      <c r="J7190" s="0" t="n">
        <v>105453</v>
      </c>
      <c r="K7190" s="0" t="n">
        <v>7897006310041</v>
      </c>
      <c r="L7190" s="0" t="s">
        <v>5166</v>
      </c>
      <c r="N7190" s="0" t="n">
        <v>12</v>
      </c>
      <c r="O7190" s="0" t="n">
        <v>30.16</v>
      </c>
      <c r="P7190" s="0" t="s">
        <v>2444</v>
      </c>
    </row>
    <row r="7191" customFormat="false" ht="15" hidden="false" customHeight="true" outlineLevel="0" collapsed="false">
      <c r="A7191" s="0" t="n">
        <v>2</v>
      </c>
      <c r="B7191" s="71" t="n">
        <v>46260</v>
      </c>
      <c r="C7191" s="0" t="n">
        <v>11</v>
      </c>
      <c r="D7191" s="0" t="s">
        <v>2471</v>
      </c>
      <c r="E7191" s="0" t="n">
        <v>1601</v>
      </c>
      <c r="F7191" s="0" t="s">
        <v>193</v>
      </c>
      <c r="I7191" s="0" t="n">
        <v>866347</v>
      </c>
      <c r="J7191" s="0" t="n">
        <v>15551</v>
      </c>
      <c r="K7191" s="0" t="n">
        <v>7897006310140</v>
      </c>
      <c r="L7191" s="0" t="s">
        <v>5167</v>
      </c>
      <c r="N7191" s="0" t="n">
        <v>12</v>
      </c>
      <c r="O7191" s="0" t="n">
        <v>36.61</v>
      </c>
      <c r="P7191" s="0" t="s">
        <v>2444</v>
      </c>
    </row>
    <row r="7192" customFormat="false" ht="15" hidden="false" customHeight="true" outlineLevel="0" collapsed="false">
      <c r="A7192" s="0" t="n">
        <v>2</v>
      </c>
      <c r="B7192" s="71" t="n">
        <v>46260</v>
      </c>
      <c r="C7192" s="0" t="n">
        <v>11</v>
      </c>
      <c r="D7192" s="0" t="s">
        <v>2471</v>
      </c>
      <c r="E7192" s="0" t="n">
        <v>1601</v>
      </c>
      <c r="F7192" s="0" t="s">
        <v>193</v>
      </c>
      <c r="I7192" s="0" t="n">
        <v>866347</v>
      </c>
      <c r="J7192" s="0" t="n">
        <v>21283</v>
      </c>
      <c r="K7192" s="0" t="n">
        <v>7897006310102</v>
      </c>
      <c r="L7192" s="0" t="s">
        <v>5168</v>
      </c>
      <c r="N7192" s="0" t="n">
        <v>12</v>
      </c>
      <c r="O7192" s="0" t="n">
        <v>33.33</v>
      </c>
      <c r="P7192" s="0" t="s">
        <v>2444</v>
      </c>
    </row>
    <row r="7193" customFormat="false" ht="15" hidden="false" customHeight="true" outlineLevel="0" collapsed="false">
      <c r="A7193" s="0" t="n">
        <v>2</v>
      </c>
      <c r="B7193" s="71" t="n">
        <v>46260</v>
      </c>
      <c r="C7193" s="0" t="n">
        <v>11</v>
      </c>
      <c r="D7193" s="0" t="s">
        <v>2471</v>
      </c>
      <c r="E7193" s="0" t="n">
        <v>1601</v>
      </c>
      <c r="F7193" s="0" t="s">
        <v>193</v>
      </c>
      <c r="I7193" s="0" t="n">
        <v>866347</v>
      </c>
      <c r="J7193" s="0" t="n">
        <v>21482</v>
      </c>
      <c r="K7193" s="0" t="n">
        <v>7896102509144</v>
      </c>
      <c r="L7193" s="0" t="s">
        <v>2801</v>
      </c>
      <c r="N7193" s="0" t="n">
        <v>24</v>
      </c>
      <c r="O7193" s="0" t="n">
        <v>122.3</v>
      </c>
      <c r="P7193" s="0" t="s">
        <v>2444</v>
      </c>
    </row>
    <row r="7194" customFormat="false" ht="15" hidden="false" customHeight="true" outlineLevel="0" collapsed="false">
      <c r="A7194" s="0" t="n">
        <v>2</v>
      </c>
      <c r="B7194" s="71" t="n">
        <v>46260</v>
      </c>
      <c r="C7194" s="0" t="n">
        <v>11</v>
      </c>
      <c r="D7194" s="0" t="s">
        <v>2471</v>
      </c>
      <c r="E7194" s="0" t="n">
        <v>1601</v>
      </c>
      <c r="F7194" s="0" t="s">
        <v>193</v>
      </c>
      <c r="I7194" s="0" t="n">
        <v>866347</v>
      </c>
      <c r="J7194" s="0" t="n">
        <v>21655</v>
      </c>
      <c r="K7194" s="0" t="n">
        <v>7896102502763</v>
      </c>
      <c r="L7194" s="0" t="s">
        <v>2803</v>
      </c>
      <c r="N7194" s="0" t="n">
        <v>24</v>
      </c>
      <c r="O7194" s="0" t="n">
        <v>92.71</v>
      </c>
      <c r="P7194" s="0" t="s">
        <v>2444</v>
      </c>
    </row>
    <row r="7195" customFormat="false" ht="15" hidden="false" customHeight="true" outlineLevel="0" collapsed="false">
      <c r="A7195" s="0" t="n">
        <v>2</v>
      </c>
      <c r="B7195" s="71" t="n">
        <v>46260</v>
      </c>
      <c r="C7195" s="0" t="n">
        <v>11</v>
      </c>
      <c r="D7195" s="0" t="s">
        <v>2471</v>
      </c>
      <c r="E7195" s="0" t="n">
        <v>1601</v>
      </c>
      <c r="F7195" s="0" t="s">
        <v>193</v>
      </c>
      <c r="I7195" s="0" t="n">
        <v>866347</v>
      </c>
      <c r="J7195" s="0" t="n">
        <v>21950</v>
      </c>
      <c r="K7195" s="0" t="n">
        <v>7896382502088</v>
      </c>
      <c r="L7195" s="0" t="s">
        <v>5169</v>
      </c>
      <c r="N7195" s="0" t="n">
        <v>20</v>
      </c>
      <c r="O7195" s="0" t="n">
        <v>59.84</v>
      </c>
      <c r="P7195" s="0" t="s">
        <v>2444</v>
      </c>
    </row>
    <row r="7196" customFormat="false" ht="15" hidden="false" customHeight="true" outlineLevel="0" collapsed="false">
      <c r="A7196" s="0" t="n">
        <v>2</v>
      </c>
      <c r="B7196" s="71" t="n">
        <v>46260</v>
      </c>
      <c r="C7196" s="0" t="n">
        <v>11</v>
      </c>
      <c r="D7196" s="0" t="s">
        <v>2471</v>
      </c>
      <c r="E7196" s="0" t="n">
        <v>1601</v>
      </c>
      <c r="F7196" s="0" t="s">
        <v>193</v>
      </c>
      <c r="I7196" s="0" t="n">
        <v>866347</v>
      </c>
      <c r="J7196" s="0" t="n">
        <v>21996</v>
      </c>
      <c r="K7196" s="0" t="n">
        <v>7896382501951</v>
      </c>
      <c r="L7196" s="0" t="s">
        <v>5170</v>
      </c>
      <c r="N7196" s="0" t="n">
        <v>20</v>
      </c>
      <c r="O7196" s="0" t="n">
        <v>59.84</v>
      </c>
      <c r="P7196" s="0" t="s">
        <v>2444</v>
      </c>
    </row>
    <row r="7197" customFormat="false" ht="15" hidden="false" customHeight="true" outlineLevel="0" collapsed="false">
      <c r="A7197" s="0" t="n">
        <v>2</v>
      </c>
      <c r="B7197" s="71" t="n">
        <v>46260</v>
      </c>
      <c r="C7197" s="0" t="n">
        <v>11</v>
      </c>
      <c r="D7197" s="0" t="s">
        <v>2471</v>
      </c>
      <c r="E7197" s="0" t="n">
        <v>1601</v>
      </c>
      <c r="F7197" s="0" t="s">
        <v>193</v>
      </c>
      <c r="I7197" s="0" t="n">
        <v>866347</v>
      </c>
      <c r="J7197" s="0" t="n">
        <v>22074</v>
      </c>
      <c r="K7197" s="0" t="n">
        <v>7896102502787</v>
      </c>
      <c r="L7197" s="0" t="s">
        <v>2804</v>
      </c>
      <c r="N7197" s="0" t="n">
        <v>24</v>
      </c>
      <c r="O7197" s="0" t="n">
        <v>88.96</v>
      </c>
      <c r="P7197" s="0" t="s">
        <v>2444</v>
      </c>
    </row>
    <row r="7198" customFormat="false" ht="15" hidden="false" customHeight="true" outlineLevel="0" collapsed="false">
      <c r="A7198" s="0" t="n">
        <v>2</v>
      </c>
      <c r="B7198" s="71" t="n">
        <v>46260</v>
      </c>
      <c r="C7198" s="0" t="n">
        <v>11</v>
      </c>
      <c r="D7198" s="0" t="s">
        <v>2471</v>
      </c>
      <c r="E7198" s="0" t="n">
        <v>1601</v>
      </c>
      <c r="F7198" s="0" t="s">
        <v>193</v>
      </c>
      <c r="I7198" s="0" t="n">
        <v>866347</v>
      </c>
      <c r="J7198" s="0" t="n">
        <v>22079</v>
      </c>
      <c r="K7198" s="0" t="n">
        <v>7896102502756</v>
      </c>
      <c r="L7198" s="0" t="s">
        <v>2805</v>
      </c>
      <c r="N7198" s="0" t="n">
        <v>24</v>
      </c>
      <c r="O7198" s="0" t="n">
        <v>141.86</v>
      </c>
      <c r="P7198" s="0" t="s">
        <v>2444</v>
      </c>
    </row>
    <row r="7199" customFormat="false" ht="15" hidden="false" customHeight="true" outlineLevel="0" collapsed="false">
      <c r="A7199" s="0" t="n">
        <v>2</v>
      </c>
      <c r="B7199" s="71" t="n">
        <v>46260</v>
      </c>
      <c r="C7199" s="0" t="n">
        <v>11</v>
      </c>
      <c r="D7199" s="0" t="s">
        <v>2471</v>
      </c>
      <c r="E7199" s="0" t="n">
        <v>1601</v>
      </c>
      <c r="F7199" s="0" t="s">
        <v>193</v>
      </c>
      <c r="I7199" s="0" t="n">
        <v>866347</v>
      </c>
      <c r="J7199" s="0" t="n">
        <v>22090</v>
      </c>
      <c r="K7199" s="0" t="n">
        <v>7896382502064</v>
      </c>
      <c r="L7199" s="0" t="s">
        <v>5171</v>
      </c>
      <c r="N7199" s="0" t="n">
        <v>20</v>
      </c>
      <c r="O7199" s="0" t="n">
        <v>59.84</v>
      </c>
      <c r="P7199" s="0" t="s">
        <v>2444</v>
      </c>
    </row>
    <row r="7200" customFormat="false" ht="15" hidden="false" customHeight="true" outlineLevel="0" collapsed="false">
      <c r="A7200" s="0" t="n">
        <v>2</v>
      </c>
      <c r="B7200" s="71" t="n">
        <v>46260</v>
      </c>
      <c r="C7200" s="0" t="n">
        <v>11</v>
      </c>
      <c r="D7200" s="0" t="s">
        <v>2471</v>
      </c>
      <c r="E7200" s="0" t="n">
        <v>1601</v>
      </c>
      <c r="F7200" s="0" t="s">
        <v>193</v>
      </c>
      <c r="I7200" s="0" t="n">
        <v>866347</v>
      </c>
      <c r="J7200" s="0" t="n">
        <v>22515</v>
      </c>
      <c r="K7200" s="0" t="n">
        <v>7896382504570</v>
      </c>
      <c r="L7200" s="0" t="s">
        <v>5172</v>
      </c>
      <c r="N7200" s="0" t="n">
        <v>40</v>
      </c>
      <c r="O7200" s="0" t="n">
        <v>153.9</v>
      </c>
      <c r="P7200" s="0" t="s">
        <v>2444</v>
      </c>
    </row>
    <row r="7201" customFormat="false" ht="15" hidden="false" customHeight="true" outlineLevel="0" collapsed="false">
      <c r="A7201" s="0" t="n">
        <v>2</v>
      </c>
      <c r="B7201" s="71" t="n">
        <v>46260</v>
      </c>
      <c r="C7201" s="0" t="n">
        <v>11</v>
      </c>
      <c r="D7201" s="0" t="s">
        <v>2471</v>
      </c>
      <c r="E7201" s="0" t="n">
        <v>1601</v>
      </c>
      <c r="F7201" s="0" t="s">
        <v>193</v>
      </c>
      <c r="I7201" s="0" t="n">
        <v>866347</v>
      </c>
      <c r="J7201" s="0" t="n">
        <v>24152</v>
      </c>
      <c r="K7201" s="0" t="n">
        <v>7896102584189</v>
      </c>
      <c r="L7201" s="0" t="s">
        <v>2806</v>
      </c>
      <c r="N7201" s="0" t="n">
        <v>16</v>
      </c>
      <c r="O7201" s="0" t="n">
        <v>140.35</v>
      </c>
      <c r="P7201" s="0" t="s">
        <v>2444</v>
      </c>
    </row>
    <row r="7202" customFormat="false" ht="15" hidden="false" customHeight="true" outlineLevel="0" collapsed="false">
      <c r="A7202" s="0" t="n">
        <v>2</v>
      </c>
      <c r="B7202" s="71" t="n">
        <v>46260</v>
      </c>
      <c r="C7202" s="0" t="n">
        <v>11</v>
      </c>
      <c r="D7202" s="0" t="s">
        <v>2471</v>
      </c>
      <c r="E7202" s="0" t="n">
        <v>1601</v>
      </c>
      <c r="F7202" s="0" t="s">
        <v>193</v>
      </c>
      <c r="I7202" s="0" t="n">
        <v>866347</v>
      </c>
      <c r="J7202" s="0" t="n">
        <v>29515</v>
      </c>
      <c r="K7202" s="0" t="n">
        <v>7896102000382</v>
      </c>
      <c r="L7202" s="0" t="s">
        <v>2807</v>
      </c>
      <c r="N7202" s="0" t="n">
        <v>16</v>
      </c>
      <c r="O7202" s="0" t="n">
        <v>135.5</v>
      </c>
      <c r="P7202" s="0" t="s">
        <v>2444</v>
      </c>
    </row>
    <row r="7203" customFormat="false" ht="15" hidden="false" customHeight="true" outlineLevel="0" collapsed="false">
      <c r="A7203" s="0" t="n">
        <v>2</v>
      </c>
      <c r="B7203" s="71" t="n">
        <v>46260</v>
      </c>
      <c r="C7203" s="0" t="n">
        <v>11</v>
      </c>
      <c r="D7203" s="0" t="s">
        <v>2471</v>
      </c>
      <c r="E7203" s="0" t="n">
        <v>1601</v>
      </c>
      <c r="F7203" s="0" t="s">
        <v>193</v>
      </c>
      <c r="I7203" s="0" t="n">
        <v>866347</v>
      </c>
      <c r="J7203" s="0" t="n">
        <v>39258</v>
      </c>
      <c r="K7203" s="0" t="n">
        <v>7897006310096</v>
      </c>
      <c r="L7203" s="0" t="s">
        <v>5173</v>
      </c>
      <c r="N7203" s="0" t="n">
        <v>12</v>
      </c>
      <c r="O7203" s="0" t="n">
        <v>33.33</v>
      </c>
      <c r="P7203" s="0" t="s">
        <v>2444</v>
      </c>
    </row>
    <row r="7204" customFormat="false" ht="15" hidden="false" customHeight="true" outlineLevel="0" collapsed="false">
      <c r="A7204" s="0" t="n">
        <v>2</v>
      </c>
      <c r="B7204" s="71" t="n">
        <v>46260</v>
      </c>
      <c r="C7204" s="0" t="n">
        <v>11</v>
      </c>
      <c r="D7204" s="0" t="s">
        <v>2471</v>
      </c>
      <c r="E7204" s="0" t="n">
        <v>1601</v>
      </c>
      <c r="F7204" s="0" t="s">
        <v>193</v>
      </c>
      <c r="I7204" s="0" t="n">
        <v>866347</v>
      </c>
      <c r="J7204" s="0" t="n">
        <v>55247</v>
      </c>
      <c r="K7204" s="0" t="n">
        <v>7896382505607</v>
      </c>
      <c r="L7204" s="0" t="s">
        <v>5174</v>
      </c>
      <c r="N7204" s="0" t="n">
        <v>20</v>
      </c>
      <c r="O7204" s="0" t="n">
        <v>105.36</v>
      </c>
      <c r="P7204" s="0" t="s">
        <v>2444</v>
      </c>
    </row>
    <row r="7205" customFormat="false" ht="15" hidden="false" customHeight="true" outlineLevel="0" collapsed="false">
      <c r="A7205" s="0" t="n">
        <v>2</v>
      </c>
      <c r="B7205" s="71" t="n">
        <v>46260</v>
      </c>
      <c r="C7205" s="0" t="n">
        <v>11</v>
      </c>
      <c r="D7205" s="0" t="s">
        <v>2471</v>
      </c>
      <c r="E7205" s="0" t="n">
        <v>1601</v>
      </c>
      <c r="F7205" s="0" t="s">
        <v>193</v>
      </c>
      <c r="I7205" s="0" t="n">
        <v>866347</v>
      </c>
      <c r="J7205" s="0" t="n">
        <v>56711</v>
      </c>
      <c r="K7205" s="0" t="n">
        <v>7898596082752</v>
      </c>
      <c r="L7205" s="0" t="s">
        <v>5175</v>
      </c>
      <c r="N7205" s="0" t="n">
        <v>12</v>
      </c>
      <c r="O7205" s="0" t="n">
        <v>93.88</v>
      </c>
      <c r="P7205" s="0" t="s">
        <v>2444</v>
      </c>
    </row>
    <row r="7206" customFormat="false" ht="15" hidden="false" customHeight="true" outlineLevel="0" collapsed="false">
      <c r="A7206" s="0" t="n">
        <v>2</v>
      </c>
      <c r="B7206" s="71" t="n">
        <v>46260</v>
      </c>
      <c r="C7206" s="0" t="n">
        <v>11</v>
      </c>
      <c r="D7206" s="0" t="s">
        <v>2471</v>
      </c>
      <c r="E7206" s="0" t="n">
        <v>1601</v>
      </c>
      <c r="F7206" s="0" t="s">
        <v>193</v>
      </c>
      <c r="I7206" s="0" t="n">
        <v>866347</v>
      </c>
      <c r="J7206" s="0" t="n">
        <v>63176</v>
      </c>
      <c r="K7206" s="0" t="n">
        <v>7896031203359</v>
      </c>
      <c r="L7206" s="0" t="s">
        <v>2810</v>
      </c>
      <c r="N7206" s="0" t="n">
        <v>24</v>
      </c>
      <c r="O7206" s="0" t="n">
        <v>173.25</v>
      </c>
      <c r="P7206" s="0" t="s">
        <v>2444</v>
      </c>
    </row>
    <row r="7207" customFormat="false" ht="15" hidden="false" customHeight="true" outlineLevel="0" collapsed="false">
      <c r="A7207" s="0" t="n">
        <v>2</v>
      </c>
      <c r="B7207" s="71" t="n">
        <v>46260</v>
      </c>
      <c r="C7207" s="0" t="n">
        <v>11</v>
      </c>
      <c r="D7207" s="0" t="s">
        <v>2471</v>
      </c>
      <c r="E7207" s="0" t="n">
        <v>1601</v>
      </c>
      <c r="F7207" s="0" t="s">
        <v>193</v>
      </c>
      <c r="I7207" s="0" t="n">
        <v>866347</v>
      </c>
      <c r="J7207" s="0" t="n">
        <v>64831</v>
      </c>
      <c r="K7207" s="0" t="n">
        <v>7896382505690</v>
      </c>
      <c r="L7207" s="0" t="s">
        <v>2811</v>
      </c>
      <c r="N7207" s="0" t="n">
        <v>10</v>
      </c>
      <c r="O7207" s="0" t="n">
        <v>41.88</v>
      </c>
      <c r="P7207" s="0" t="s">
        <v>2444</v>
      </c>
    </row>
    <row r="7208" customFormat="false" ht="15" hidden="false" customHeight="true" outlineLevel="0" collapsed="false">
      <c r="A7208" s="0" t="n">
        <v>2</v>
      </c>
      <c r="B7208" s="71" t="n">
        <v>46260</v>
      </c>
      <c r="C7208" s="0" t="n">
        <v>11</v>
      </c>
      <c r="D7208" s="0" t="s">
        <v>2471</v>
      </c>
      <c r="E7208" s="0" t="n">
        <v>1601</v>
      </c>
      <c r="F7208" s="0" t="s">
        <v>193</v>
      </c>
      <c r="I7208" s="0" t="n">
        <v>866347</v>
      </c>
      <c r="J7208" s="0" t="n">
        <v>67213</v>
      </c>
      <c r="K7208" s="0" t="n">
        <v>7896382505812</v>
      </c>
      <c r="L7208" s="0" t="s">
        <v>2812</v>
      </c>
      <c r="N7208" s="0" t="n">
        <v>48</v>
      </c>
      <c r="O7208" s="0" t="n">
        <v>59.28</v>
      </c>
      <c r="P7208" s="0" t="s">
        <v>2444</v>
      </c>
    </row>
    <row r="7209" customFormat="false" ht="15" hidden="false" customHeight="true" outlineLevel="0" collapsed="false">
      <c r="A7209" s="0" t="n">
        <v>2</v>
      </c>
      <c r="B7209" s="71" t="n">
        <v>46260</v>
      </c>
      <c r="C7209" s="0" t="n">
        <v>11</v>
      </c>
      <c r="D7209" s="0" t="s">
        <v>2471</v>
      </c>
      <c r="E7209" s="0" t="n">
        <v>1601</v>
      </c>
      <c r="F7209" s="0" t="s">
        <v>193</v>
      </c>
      <c r="I7209" s="0" t="n">
        <v>866347</v>
      </c>
      <c r="J7209" s="0" t="n">
        <v>67214</v>
      </c>
      <c r="K7209" s="0" t="n">
        <v>7896382505836</v>
      </c>
      <c r="L7209" s="0" t="s">
        <v>4545</v>
      </c>
      <c r="N7209" s="0" t="n">
        <v>48</v>
      </c>
      <c r="O7209" s="0" t="n">
        <v>59.28</v>
      </c>
      <c r="P7209" s="0" t="s">
        <v>2444</v>
      </c>
    </row>
    <row r="7210" customFormat="false" ht="15" hidden="false" customHeight="true" outlineLevel="0" collapsed="false">
      <c r="A7210" s="0" t="n">
        <v>2</v>
      </c>
      <c r="B7210" s="71" t="n">
        <v>46260</v>
      </c>
      <c r="C7210" s="0" t="n">
        <v>11</v>
      </c>
      <c r="D7210" s="0" t="s">
        <v>2471</v>
      </c>
      <c r="E7210" s="0" t="n">
        <v>1601</v>
      </c>
      <c r="F7210" s="0" t="s">
        <v>193</v>
      </c>
      <c r="I7210" s="0" t="n">
        <v>866347</v>
      </c>
      <c r="J7210" s="0" t="n">
        <v>67215</v>
      </c>
      <c r="K7210" s="0" t="n">
        <v>7896382505867</v>
      </c>
      <c r="L7210" s="0" t="s">
        <v>2813</v>
      </c>
      <c r="N7210" s="0" t="n">
        <v>48</v>
      </c>
      <c r="O7210" s="0" t="n">
        <v>59.28</v>
      </c>
      <c r="P7210" s="0" t="s">
        <v>2444</v>
      </c>
    </row>
    <row r="7211" customFormat="false" ht="15" hidden="false" customHeight="true" outlineLevel="0" collapsed="false">
      <c r="A7211" s="0" t="n">
        <v>2</v>
      </c>
      <c r="B7211" s="71" t="n">
        <v>46260</v>
      </c>
      <c r="C7211" s="0" t="n">
        <v>11</v>
      </c>
      <c r="D7211" s="0" t="s">
        <v>2471</v>
      </c>
      <c r="E7211" s="0" t="n">
        <v>1601</v>
      </c>
      <c r="F7211" s="0" t="s">
        <v>193</v>
      </c>
      <c r="I7211" s="0" t="n">
        <v>866347</v>
      </c>
      <c r="J7211" s="0" t="n">
        <v>68264</v>
      </c>
      <c r="K7211" s="0" t="n">
        <v>7896382505850</v>
      </c>
      <c r="L7211" s="0" t="s">
        <v>2814</v>
      </c>
      <c r="N7211" s="0" t="n">
        <v>48</v>
      </c>
      <c r="O7211" s="0" t="n">
        <v>59.28</v>
      </c>
      <c r="P7211" s="0" t="s">
        <v>2444</v>
      </c>
    </row>
    <row r="7212" customFormat="false" ht="15" hidden="false" customHeight="true" outlineLevel="0" collapsed="false">
      <c r="A7212" s="0" t="n">
        <v>2</v>
      </c>
      <c r="B7212" s="71" t="n">
        <v>46260</v>
      </c>
      <c r="C7212" s="0" t="n">
        <v>11</v>
      </c>
      <c r="D7212" s="0" t="s">
        <v>2471</v>
      </c>
      <c r="E7212" s="0" t="n">
        <v>1601</v>
      </c>
      <c r="F7212" s="0" t="s">
        <v>193</v>
      </c>
      <c r="I7212" s="0" t="n">
        <v>866347</v>
      </c>
      <c r="J7212" s="0" t="n">
        <v>68268</v>
      </c>
      <c r="K7212" s="0" t="n">
        <v>7896382505829</v>
      </c>
      <c r="L7212" s="0" t="s">
        <v>2814</v>
      </c>
      <c r="N7212" s="0" t="n">
        <v>48</v>
      </c>
      <c r="O7212" s="0" t="n">
        <v>59.28</v>
      </c>
      <c r="P7212" s="0" t="s">
        <v>2444</v>
      </c>
    </row>
    <row r="7213" customFormat="false" ht="15" hidden="false" customHeight="true" outlineLevel="0" collapsed="false">
      <c r="A7213" s="0" t="n">
        <v>2</v>
      </c>
      <c r="B7213" s="71" t="n">
        <v>46260</v>
      </c>
      <c r="C7213" s="0" t="n">
        <v>11</v>
      </c>
      <c r="D7213" s="0" t="s">
        <v>2471</v>
      </c>
      <c r="E7213" s="0" t="n">
        <v>1601</v>
      </c>
      <c r="F7213" s="0" t="s">
        <v>193</v>
      </c>
      <c r="I7213" s="0" t="n">
        <v>866347</v>
      </c>
      <c r="J7213" s="0" t="n">
        <v>71485</v>
      </c>
      <c r="K7213" s="0" t="n">
        <v>7896102503661</v>
      </c>
      <c r="L7213" s="0" t="s">
        <v>2816</v>
      </c>
      <c r="N7213" s="0" t="n">
        <v>32</v>
      </c>
      <c r="O7213" s="0" t="n">
        <v>53.93</v>
      </c>
      <c r="P7213" s="0" t="s">
        <v>2444</v>
      </c>
    </row>
    <row r="7214" customFormat="false" ht="15" hidden="false" customHeight="true" outlineLevel="0" collapsed="false">
      <c r="A7214" s="0" t="n">
        <v>2</v>
      </c>
      <c r="B7214" s="71" t="n">
        <v>46260</v>
      </c>
      <c r="C7214" s="0" t="n">
        <v>11</v>
      </c>
      <c r="D7214" s="0" t="s">
        <v>2471</v>
      </c>
      <c r="E7214" s="0" t="n">
        <v>1601</v>
      </c>
      <c r="F7214" s="0" t="s">
        <v>193</v>
      </c>
      <c r="I7214" s="0" t="n">
        <v>866347</v>
      </c>
      <c r="J7214" s="0" t="n">
        <v>73332</v>
      </c>
      <c r="K7214" s="0" t="n">
        <v>7896102503814</v>
      </c>
      <c r="L7214" s="0" t="s">
        <v>5176</v>
      </c>
      <c r="N7214" s="0" t="n">
        <v>32</v>
      </c>
      <c r="O7214" s="0" t="n">
        <v>81</v>
      </c>
      <c r="P7214" s="0" t="s">
        <v>2444</v>
      </c>
    </row>
    <row r="7215" customFormat="false" ht="15" hidden="false" customHeight="true" outlineLevel="0" collapsed="false">
      <c r="A7215" s="0" t="n">
        <v>2</v>
      </c>
      <c r="B7215" s="71" t="n">
        <v>46260</v>
      </c>
      <c r="C7215" s="0" t="n">
        <v>11</v>
      </c>
      <c r="D7215" s="0" t="s">
        <v>2471</v>
      </c>
      <c r="E7215" s="0" t="n">
        <v>1601</v>
      </c>
      <c r="F7215" s="0" t="s">
        <v>193</v>
      </c>
      <c r="I7215" s="0" t="n">
        <v>866347</v>
      </c>
      <c r="J7215" s="0" t="n">
        <v>75065</v>
      </c>
      <c r="K7215" s="0" t="n">
        <v>17899567245517</v>
      </c>
      <c r="L7215" s="0" t="s">
        <v>5177</v>
      </c>
      <c r="N7215" s="0" t="n">
        <v>24</v>
      </c>
      <c r="O7215" s="0" t="n">
        <v>87.63</v>
      </c>
      <c r="P7215" s="0" t="s">
        <v>2444</v>
      </c>
    </row>
    <row r="7216" customFormat="false" ht="15" hidden="false" customHeight="true" outlineLevel="0" collapsed="false">
      <c r="A7216" s="0" t="n">
        <v>2</v>
      </c>
      <c r="B7216" s="71" t="n">
        <v>46260</v>
      </c>
      <c r="C7216" s="0" t="n">
        <v>11</v>
      </c>
      <c r="D7216" s="0" t="s">
        <v>2471</v>
      </c>
      <c r="E7216" s="0" t="n">
        <v>1601</v>
      </c>
      <c r="F7216" s="0" t="s">
        <v>193</v>
      </c>
      <c r="I7216" s="0" t="n">
        <v>866347</v>
      </c>
      <c r="J7216" s="0" t="n">
        <v>81302</v>
      </c>
      <c r="K7216" s="0" t="n">
        <v>7896382506239</v>
      </c>
      <c r="L7216" s="0" t="s">
        <v>2818</v>
      </c>
      <c r="N7216" s="0" t="n">
        <v>48</v>
      </c>
      <c r="O7216" s="0" t="n">
        <v>59.28</v>
      </c>
      <c r="P7216" s="0" t="s">
        <v>2444</v>
      </c>
    </row>
    <row r="7217" customFormat="false" ht="15" hidden="false" customHeight="true" outlineLevel="0" collapsed="false">
      <c r="A7217" s="0" t="n">
        <v>2</v>
      </c>
      <c r="B7217" s="71" t="n">
        <v>46260</v>
      </c>
      <c r="C7217" s="0" t="n">
        <v>11</v>
      </c>
      <c r="D7217" s="0" t="s">
        <v>2471</v>
      </c>
      <c r="E7217" s="0" t="n">
        <v>1601</v>
      </c>
      <c r="F7217" s="0" t="s">
        <v>193</v>
      </c>
      <c r="I7217" s="0" t="n">
        <v>866347</v>
      </c>
      <c r="J7217" s="0" t="n">
        <v>81444</v>
      </c>
      <c r="K7217" s="0" t="n">
        <v>7896102504293</v>
      </c>
      <c r="L7217" s="0" t="s">
        <v>4546</v>
      </c>
      <c r="N7217" s="0" t="n">
        <v>6</v>
      </c>
      <c r="O7217" s="0" t="n">
        <v>71.66</v>
      </c>
      <c r="P7217" s="0" t="s">
        <v>2444</v>
      </c>
    </row>
    <row r="7218" customFormat="false" ht="15" hidden="false" customHeight="true" outlineLevel="0" collapsed="false">
      <c r="A7218" s="0" t="n">
        <v>2</v>
      </c>
      <c r="B7218" s="71" t="n">
        <v>46260</v>
      </c>
      <c r="C7218" s="0" t="n">
        <v>11</v>
      </c>
      <c r="D7218" s="0" t="s">
        <v>2471</v>
      </c>
      <c r="E7218" s="0" t="n">
        <v>1705</v>
      </c>
      <c r="F7218" s="0" t="s">
        <v>130</v>
      </c>
      <c r="I7218" s="0" t="n">
        <v>1263938</v>
      </c>
      <c r="J7218" s="0" t="n">
        <v>103158</v>
      </c>
      <c r="K7218" s="0" t="n">
        <v>7894900060010</v>
      </c>
      <c r="L7218" s="0" t="s">
        <v>2559</v>
      </c>
      <c r="N7218" s="0" t="n">
        <v>24</v>
      </c>
      <c r="O7218" s="0" t="n">
        <v>64.96</v>
      </c>
      <c r="P7218" s="0" t="s">
        <v>2444</v>
      </c>
    </row>
    <row r="7219" customFormat="false" ht="15" hidden="false" customHeight="true" outlineLevel="0" collapsed="false">
      <c r="A7219" s="0" t="n">
        <v>2</v>
      </c>
      <c r="B7219" s="71" t="n">
        <v>46260</v>
      </c>
      <c r="C7219" s="0" t="n">
        <v>11</v>
      </c>
      <c r="D7219" s="0" t="s">
        <v>2471</v>
      </c>
      <c r="E7219" s="0" t="n">
        <v>1705</v>
      </c>
      <c r="F7219" s="0" t="s">
        <v>130</v>
      </c>
      <c r="I7219" s="0" t="n">
        <v>1263938</v>
      </c>
      <c r="J7219" s="0" t="n">
        <v>104576</v>
      </c>
      <c r="K7219" s="0" t="n">
        <v>7898341430111</v>
      </c>
      <c r="L7219" s="0" t="s">
        <v>2561</v>
      </c>
      <c r="N7219" s="0" t="n">
        <v>6</v>
      </c>
      <c r="O7219" s="0" t="n">
        <v>60.87</v>
      </c>
      <c r="P7219" s="0" t="s">
        <v>2444</v>
      </c>
    </row>
    <row r="7220" customFormat="false" ht="15" hidden="false" customHeight="true" outlineLevel="0" collapsed="false">
      <c r="A7220" s="0" t="n">
        <v>2</v>
      </c>
      <c r="B7220" s="71" t="n">
        <v>46260</v>
      </c>
      <c r="C7220" s="0" t="n">
        <v>11</v>
      </c>
      <c r="D7220" s="0" t="s">
        <v>2471</v>
      </c>
      <c r="E7220" s="0" t="n">
        <v>1705</v>
      </c>
      <c r="F7220" s="0" t="s">
        <v>130</v>
      </c>
      <c r="I7220" s="0" t="n">
        <v>1263938</v>
      </c>
      <c r="J7220" s="0" t="n">
        <v>62624</v>
      </c>
      <c r="K7220" s="0" t="n">
        <v>7896045506873</v>
      </c>
      <c r="L7220" s="0" t="s">
        <v>2965</v>
      </c>
      <c r="N7220" s="0" t="n">
        <v>24</v>
      </c>
      <c r="O7220" s="0" t="n">
        <v>134.03</v>
      </c>
      <c r="P7220" s="0" t="s">
        <v>2444</v>
      </c>
    </row>
    <row r="7221" customFormat="false" ht="15" hidden="false" customHeight="true" outlineLevel="0" collapsed="false">
      <c r="A7221" s="0" t="n">
        <v>2</v>
      </c>
      <c r="B7221" s="71" t="n">
        <v>46260</v>
      </c>
      <c r="C7221" s="0" t="n">
        <v>11</v>
      </c>
      <c r="D7221" s="0" t="s">
        <v>2471</v>
      </c>
      <c r="E7221" s="0" t="n">
        <v>1672</v>
      </c>
      <c r="F7221" s="0" t="s">
        <v>343</v>
      </c>
      <c r="I7221" s="0" t="n">
        <v>1430146</v>
      </c>
      <c r="J7221" s="0" t="n">
        <v>103940</v>
      </c>
      <c r="K7221" s="0" t="n">
        <v>7896579330081</v>
      </c>
      <c r="L7221" s="0" t="s">
        <v>2719</v>
      </c>
      <c r="N7221" s="0" t="n">
        <v>60</v>
      </c>
      <c r="O7221" s="0" t="n">
        <v>54</v>
      </c>
      <c r="P7221" s="0" t="s">
        <v>2444</v>
      </c>
    </row>
    <row r="7222" customFormat="false" ht="15" hidden="false" customHeight="true" outlineLevel="0" collapsed="false">
      <c r="A7222" s="0" t="n">
        <v>2</v>
      </c>
      <c r="B7222" s="71" t="n">
        <v>46260</v>
      </c>
      <c r="C7222" s="0" t="n">
        <v>11</v>
      </c>
      <c r="D7222" s="0" t="s">
        <v>2471</v>
      </c>
      <c r="E7222" s="0" t="n">
        <v>1672</v>
      </c>
      <c r="F7222" s="0" t="s">
        <v>343</v>
      </c>
      <c r="I7222" s="0" t="n">
        <v>1430146</v>
      </c>
      <c r="J7222" s="0" t="n">
        <v>103941</v>
      </c>
      <c r="K7222" s="0" t="n">
        <v>7896579330036</v>
      </c>
      <c r="L7222" s="0" t="s">
        <v>3655</v>
      </c>
      <c r="N7222" s="0" t="n">
        <v>84</v>
      </c>
      <c r="O7222" s="0" t="n">
        <v>100.8</v>
      </c>
      <c r="P7222" s="0" t="s">
        <v>2444</v>
      </c>
    </row>
    <row r="7223" customFormat="false" ht="15" hidden="false" customHeight="true" outlineLevel="0" collapsed="false">
      <c r="A7223" s="0" t="n">
        <v>2</v>
      </c>
      <c r="B7223" s="71" t="n">
        <v>46260</v>
      </c>
      <c r="C7223" s="0" t="n">
        <v>11</v>
      </c>
      <c r="D7223" s="0" t="s">
        <v>2471</v>
      </c>
      <c r="E7223" s="0" t="n">
        <v>1672</v>
      </c>
      <c r="F7223" s="0" t="s">
        <v>343</v>
      </c>
      <c r="I7223" s="0" t="n">
        <v>1430146</v>
      </c>
      <c r="J7223" s="0" t="n">
        <v>104355</v>
      </c>
      <c r="K7223" s="0" t="n">
        <v>7896579380116</v>
      </c>
      <c r="L7223" s="0" t="s">
        <v>3656</v>
      </c>
      <c r="N7223" s="0" t="n">
        <v>36</v>
      </c>
      <c r="O7223" s="0" t="n">
        <v>147.6</v>
      </c>
      <c r="P7223" s="0" t="s">
        <v>2444</v>
      </c>
    </row>
    <row r="7224" customFormat="false" ht="15" hidden="false" customHeight="true" outlineLevel="0" collapsed="false">
      <c r="A7224" s="0" t="n">
        <v>2</v>
      </c>
      <c r="B7224" s="71" t="n">
        <v>46260</v>
      </c>
      <c r="C7224" s="0" t="n">
        <v>11</v>
      </c>
      <c r="D7224" s="0" t="s">
        <v>2471</v>
      </c>
      <c r="E7224" s="0" t="n">
        <v>1672</v>
      </c>
      <c r="F7224" s="0" t="s">
        <v>343</v>
      </c>
      <c r="I7224" s="0" t="n">
        <v>1430146</v>
      </c>
      <c r="J7224" s="0" t="n">
        <v>104360</v>
      </c>
      <c r="K7224" s="0" t="n">
        <v>7896579330074</v>
      </c>
      <c r="L7224" s="0" t="s">
        <v>2720</v>
      </c>
      <c r="N7224" s="0" t="n">
        <v>60</v>
      </c>
      <c r="O7224" s="0" t="n">
        <v>78</v>
      </c>
      <c r="P7224" s="0" t="s">
        <v>2444</v>
      </c>
    </row>
    <row r="7225" customFormat="false" ht="15" hidden="false" customHeight="true" outlineLevel="0" collapsed="false">
      <c r="A7225" s="0" t="n">
        <v>2</v>
      </c>
      <c r="B7225" s="71" t="n">
        <v>46260</v>
      </c>
      <c r="C7225" s="0" t="n">
        <v>11</v>
      </c>
      <c r="D7225" s="0" t="s">
        <v>2471</v>
      </c>
      <c r="E7225" s="0" t="n">
        <v>1672</v>
      </c>
      <c r="F7225" s="0" t="s">
        <v>343</v>
      </c>
      <c r="I7225" s="0" t="n">
        <v>1430146</v>
      </c>
      <c r="J7225" s="0" t="n">
        <v>108508</v>
      </c>
      <c r="K7225" s="0" t="n">
        <v>7896004401409</v>
      </c>
      <c r="L7225" s="0" t="s">
        <v>5178</v>
      </c>
      <c r="N7225" s="0" t="n">
        <v>12</v>
      </c>
      <c r="O7225" s="0" t="n">
        <v>132.6</v>
      </c>
      <c r="P7225" s="0" t="s">
        <v>2444</v>
      </c>
    </row>
    <row r="7226" customFormat="false" ht="15" hidden="false" customHeight="true" outlineLevel="0" collapsed="false">
      <c r="A7226" s="0" t="n">
        <v>2</v>
      </c>
      <c r="B7226" s="71" t="n">
        <v>46260</v>
      </c>
      <c r="C7226" s="0" t="n">
        <v>11</v>
      </c>
      <c r="D7226" s="0" t="s">
        <v>2471</v>
      </c>
      <c r="E7226" s="0" t="n">
        <v>1672</v>
      </c>
      <c r="F7226" s="0" t="s">
        <v>343</v>
      </c>
      <c r="I7226" s="0" t="n">
        <v>1430146</v>
      </c>
      <c r="J7226" s="0" t="n">
        <v>13184</v>
      </c>
      <c r="K7226" s="0" t="n">
        <v>7896579310113</v>
      </c>
      <c r="L7226" s="0" t="s">
        <v>2722</v>
      </c>
      <c r="N7226" s="0" t="n">
        <v>45</v>
      </c>
      <c r="O7226" s="0" t="n">
        <v>135</v>
      </c>
      <c r="P7226" s="0" t="s">
        <v>2444</v>
      </c>
    </row>
    <row r="7227" customFormat="false" ht="15" hidden="false" customHeight="true" outlineLevel="0" collapsed="false">
      <c r="A7227" s="0" t="n">
        <v>2</v>
      </c>
      <c r="B7227" s="71" t="n">
        <v>46260</v>
      </c>
      <c r="C7227" s="0" t="n">
        <v>11</v>
      </c>
      <c r="D7227" s="0" t="s">
        <v>2471</v>
      </c>
      <c r="E7227" s="0" t="n">
        <v>1672</v>
      </c>
      <c r="F7227" s="0" t="s">
        <v>343</v>
      </c>
      <c r="I7227" s="0" t="n">
        <v>1430146</v>
      </c>
      <c r="J7227" s="0" t="n">
        <v>13228</v>
      </c>
      <c r="K7227" s="0" t="n">
        <v>7896520026261</v>
      </c>
      <c r="L7227" s="0" t="s">
        <v>5179</v>
      </c>
      <c r="N7227" s="0" t="n">
        <v>6</v>
      </c>
      <c r="O7227" s="0" t="n">
        <v>73.2</v>
      </c>
      <c r="P7227" s="0" t="s">
        <v>2444</v>
      </c>
    </row>
    <row r="7228" customFormat="false" ht="15" hidden="false" customHeight="true" outlineLevel="0" collapsed="false">
      <c r="A7228" s="0" t="n">
        <v>2</v>
      </c>
      <c r="B7228" s="71" t="n">
        <v>46260</v>
      </c>
      <c r="C7228" s="0" t="n">
        <v>11</v>
      </c>
      <c r="D7228" s="0" t="s">
        <v>2471</v>
      </c>
      <c r="E7228" s="0" t="n">
        <v>1672</v>
      </c>
      <c r="F7228" s="0" t="s">
        <v>343</v>
      </c>
      <c r="I7228" s="0" t="n">
        <v>1430146</v>
      </c>
      <c r="J7228" s="0" t="n">
        <v>13798</v>
      </c>
      <c r="K7228" s="0" t="n">
        <v>7896520025974</v>
      </c>
      <c r="L7228" s="0" t="s">
        <v>5180</v>
      </c>
      <c r="N7228" s="0" t="n">
        <v>6</v>
      </c>
      <c r="O7228" s="0" t="n">
        <v>114</v>
      </c>
      <c r="P7228" s="0" t="s">
        <v>2444</v>
      </c>
    </row>
    <row r="7229" customFormat="false" ht="15" hidden="false" customHeight="true" outlineLevel="0" collapsed="false">
      <c r="A7229" s="0" t="n">
        <v>2</v>
      </c>
      <c r="B7229" s="71" t="n">
        <v>46260</v>
      </c>
      <c r="C7229" s="0" t="n">
        <v>11</v>
      </c>
      <c r="D7229" s="0" t="s">
        <v>2471</v>
      </c>
      <c r="E7229" s="0" t="n">
        <v>1672</v>
      </c>
      <c r="F7229" s="0" t="s">
        <v>343</v>
      </c>
      <c r="I7229" s="0" t="n">
        <v>1430146</v>
      </c>
      <c r="J7229" s="0" t="n">
        <v>18293</v>
      </c>
      <c r="K7229" s="0" t="n">
        <v>7896520027206</v>
      </c>
      <c r="L7229" s="0" t="s">
        <v>2724</v>
      </c>
      <c r="N7229" s="0" t="n">
        <v>12</v>
      </c>
      <c r="O7229" s="0" t="n">
        <v>81.6</v>
      </c>
      <c r="P7229" s="0" t="s">
        <v>2444</v>
      </c>
    </row>
    <row r="7230" customFormat="false" ht="15" hidden="false" customHeight="true" outlineLevel="0" collapsed="false">
      <c r="A7230" s="0" t="n">
        <v>2</v>
      </c>
      <c r="B7230" s="71" t="n">
        <v>46260</v>
      </c>
      <c r="C7230" s="0" t="n">
        <v>11</v>
      </c>
      <c r="D7230" s="0" t="s">
        <v>2471</v>
      </c>
      <c r="E7230" s="0" t="n">
        <v>1672</v>
      </c>
      <c r="F7230" s="0" t="s">
        <v>343</v>
      </c>
      <c r="I7230" s="0" t="n">
        <v>1430146</v>
      </c>
      <c r="J7230" s="0" t="n">
        <v>37156</v>
      </c>
      <c r="K7230" s="0" t="n">
        <v>7896579310502</v>
      </c>
      <c r="L7230" s="0" t="s">
        <v>4563</v>
      </c>
      <c r="N7230" s="0" t="n">
        <v>18</v>
      </c>
      <c r="O7230" s="0" t="n">
        <v>81</v>
      </c>
      <c r="P7230" s="0" t="s">
        <v>2444</v>
      </c>
    </row>
    <row r="7231" customFormat="false" ht="15" hidden="false" customHeight="true" outlineLevel="0" collapsed="false">
      <c r="A7231" s="0" t="n">
        <v>2</v>
      </c>
      <c r="B7231" s="71" t="n">
        <v>46260</v>
      </c>
      <c r="C7231" s="0" t="n">
        <v>11</v>
      </c>
      <c r="D7231" s="0" t="s">
        <v>2471</v>
      </c>
      <c r="E7231" s="0" t="n">
        <v>1672</v>
      </c>
      <c r="F7231" s="0" t="s">
        <v>343</v>
      </c>
      <c r="I7231" s="0" t="n">
        <v>1430146</v>
      </c>
      <c r="J7231" s="0" t="n">
        <v>37507</v>
      </c>
      <c r="K7231" s="0" t="n">
        <v>7896579310854</v>
      </c>
      <c r="L7231" s="0" t="s">
        <v>2726</v>
      </c>
      <c r="N7231" s="0" t="n">
        <v>50</v>
      </c>
      <c r="O7231" s="0" t="n">
        <v>365</v>
      </c>
      <c r="P7231" s="0" t="s">
        <v>2444</v>
      </c>
    </row>
    <row r="7232" customFormat="false" ht="15" hidden="false" customHeight="true" outlineLevel="0" collapsed="false">
      <c r="A7232" s="0" t="n">
        <v>2</v>
      </c>
      <c r="B7232" s="71" t="n">
        <v>46260</v>
      </c>
      <c r="C7232" s="0" t="n">
        <v>11</v>
      </c>
      <c r="D7232" s="0" t="s">
        <v>2471</v>
      </c>
      <c r="E7232" s="0" t="n">
        <v>1672</v>
      </c>
      <c r="F7232" s="0" t="s">
        <v>343</v>
      </c>
      <c r="I7232" s="0" t="n">
        <v>1430146</v>
      </c>
      <c r="J7232" s="0" t="n">
        <v>53441</v>
      </c>
      <c r="K7232" s="0" t="n">
        <v>7896579340165</v>
      </c>
      <c r="L7232" s="0" t="s">
        <v>3662</v>
      </c>
      <c r="N7232" s="0" t="n">
        <v>12</v>
      </c>
      <c r="O7232" s="0" t="n">
        <v>30</v>
      </c>
      <c r="P7232" s="0" t="s">
        <v>2444</v>
      </c>
    </row>
    <row r="7233" customFormat="false" ht="15" hidden="false" customHeight="true" outlineLevel="0" collapsed="false">
      <c r="A7233" s="0" t="n">
        <v>2</v>
      </c>
      <c r="B7233" s="71" t="n">
        <v>46260</v>
      </c>
      <c r="C7233" s="0" t="n">
        <v>11</v>
      </c>
      <c r="D7233" s="0" t="s">
        <v>2471</v>
      </c>
      <c r="E7233" s="0" t="n">
        <v>1672</v>
      </c>
      <c r="F7233" s="0" t="s">
        <v>343</v>
      </c>
      <c r="I7233" s="0" t="n">
        <v>1430146</v>
      </c>
      <c r="J7233" s="0" t="n">
        <v>53441</v>
      </c>
      <c r="K7233" s="0" t="n">
        <v>7896579340165</v>
      </c>
      <c r="L7233" s="0" t="s">
        <v>3662</v>
      </c>
      <c r="N7233" s="0" t="n">
        <v>24</v>
      </c>
      <c r="O7233" s="0" t="n">
        <v>62.4</v>
      </c>
      <c r="P7233" s="0" t="s">
        <v>2444</v>
      </c>
    </row>
    <row r="7234" customFormat="false" ht="15" hidden="false" customHeight="true" outlineLevel="0" collapsed="false">
      <c r="A7234" s="0" t="n">
        <v>2</v>
      </c>
      <c r="B7234" s="71" t="n">
        <v>46260</v>
      </c>
      <c r="C7234" s="0" t="n">
        <v>11</v>
      </c>
      <c r="D7234" s="0" t="s">
        <v>2471</v>
      </c>
      <c r="E7234" s="0" t="n">
        <v>1672</v>
      </c>
      <c r="F7234" s="0" t="s">
        <v>343</v>
      </c>
      <c r="I7234" s="0" t="n">
        <v>1430146</v>
      </c>
      <c r="J7234" s="0" t="n">
        <v>79952</v>
      </c>
      <c r="K7234" s="0" t="n">
        <v>7896579390085</v>
      </c>
      <c r="L7234" s="0" t="s">
        <v>2733</v>
      </c>
      <c r="N7234" s="0" t="n">
        <v>12</v>
      </c>
      <c r="O7234" s="0" t="n">
        <v>30</v>
      </c>
      <c r="P7234" s="0" t="s">
        <v>2444</v>
      </c>
    </row>
    <row r="7235" customFormat="false" ht="15" hidden="false" customHeight="true" outlineLevel="0" collapsed="false">
      <c r="A7235" s="0" t="n">
        <v>2</v>
      </c>
      <c r="B7235" s="71" t="n">
        <v>46260</v>
      </c>
      <c r="C7235" s="0" t="n">
        <v>11</v>
      </c>
      <c r="D7235" s="0" t="s">
        <v>2471</v>
      </c>
      <c r="E7235" s="0" t="n">
        <v>1672</v>
      </c>
      <c r="F7235" s="0" t="s">
        <v>343</v>
      </c>
      <c r="I7235" s="0" t="n">
        <v>1430146</v>
      </c>
      <c r="J7235" s="0" t="n">
        <v>80062</v>
      </c>
      <c r="K7235" s="0" t="n">
        <v>7896579390092</v>
      </c>
      <c r="L7235" s="0" t="s">
        <v>2734</v>
      </c>
      <c r="N7235" s="0" t="n">
        <v>12</v>
      </c>
      <c r="O7235" s="0" t="n">
        <v>30</v>
      </c>
      <c r="P7235" s="0" t="s">
        <v>2444</v>
      </c>
    </row>
    <row r="7236" customFormat="false" ht="15" hidden="false" customHeight="true" outlineLevel="0" collapsed="false">
      <c r="A7236" s="0" t="n">
        <v>2</v>
      </c>
      <c r="B7236" s="71" t="n">
        <v>46260</v>
      </c>
      <c r="C7236" s="0" t="n">
        <v>11</v>
      </c>
      <c r="D7236" s="0" t="s">
        <v>2471</v>
      </c>
      <c r="E7236" s="0" t="n">
        <v>1683</v>
      </c>
      <c r="F7236" s="0" t="s">
        <v>406</v>
      </c>
      <c r="I7236" s="0" t="n">
        <v>1670242</v>
      </c>
      <c r="J7236" s="0" t="n">
        <v>109791</v>
      </c>
      <c r="K7236" s="0" t="n">
        <v>9667</v>
      </c>
      <c r="L7236" s="0" t="s">
        <v>2465</v>
      </c>
      <c r="N7236" s="0" t="n">
        <v>10</v>
      </c>
      <c r="O7236" s="0" t="n">
        <v>15</v>
      </c>
      <c r="P7236" s="0" t="s">
        <v>2444</v>
      </c>
    </row>
    <row r="7237" customFormat="false" ht="15" hidden="false" customHeight="true" outlineLevel="0" collapsed="false">
      <c r="A7237" s="0" t="n">
        <v>2</v>
      </c>
      <c r="B7237" s="71" t="n">
        <v>46260</v>
      </c>
      <c r="C7237" s="0" t="n">
        <v>11</v>
      </c>
      <c r="D7237" s="0" t="s">
        <v>2471</v>
      </c>
      <c r="E7237" s="0" t="n">
        <v>1683</v>
      </c>
      <c r="F7237" s="0" t="s">
        <v>406</v>
      </c>
      <c r="I7237" s="0" t="n">
        <v>1670242</v>
      </c>
      <c r="J7237" s="0" t="n">
        <v>37359</v>
      </c>
      <c r="K7237" s="0" t="n">
        <v>55526</v>
      </c>
      <c r="L7237" s="0" t="s">
        <v>2466</v>
      </c>
      <c r="N7237" s="0" t="n">
        <v>8</v>
      </c>
      <c r="O7237" s="0" t="n">
        <v>32</v>
      </c>
      <c r="P7237" s="0" t="s">
        <v>2444</v>
      </c>
    </row>
    <row r="7238" customFormat="false" ht="15" hidden="false" customHeight="true" outlineLevel="0" collapsed="false">
      <c r="A7238" s="0" t="n">
        <v>2</v>
      </c>
      <c r="B7238" s="71" t="n">
        <v>46260</v>
      </c>
      <c r="C7238" s="0" t="n">
        <v>11</v>
      </c>
      <c r="D7238" s="0" t="s">
        <v>2471</v>
      </c>
      <c r="E7238" s="0" t="n">
        <v>1683</v>
      </c>
      <c r="F7238" s="0" t="s">
        <v>406</v>
      </c>
      <c r="I7238" s="0" t="n">
        <v>1670242</v>
      </c>
      <c r="J7238" s="0" t="n">
        <v>37361</v>
      </c>
      <c r="K7238" s="0" t="n">
        <v>2240817</v>
      </c>
      <c r="L7238" s="0" t="s">
        <v>2467</v>
      </c>
      <c r="N7238" s="0" t="n">
        <v>50</v>
      </c>
      <c r="O7238" s="0" t="n">
        <v>90</v>
      </c>
      <c r="P7238" s="0" t="s">
        <v>2444</v>
      </c>
    </row>
    <row r="7239" customFormat="false" ht="15" hidden="false" customHeight="true" outlineLevel="0" collapsed="false">
      <c r="A7239" s="0" t="n">
        <v>2</v>
      </c>
      <c r="B7239" s="71" t="n">
        <v>46260</v>
      </c>
      <c r="C7239" s="0" t="n">
        <v>11</v>
      </c>
      <c r="D7239" s="0" t="s">
        <v>2471</v>
      </c>
      <c r="E7239" s="0" t="n">
        <v>1705</v>
      </c>
      <c r="F7239" s="0" t="s">
        <v>130</v>
      </c>
      <c r="I7239" s="0" t="n">
        <v>2007955</v>
      </c>
      <c r="J7239" s="0" t="n">
        <v>30186</v>
      </c>
      <c r="K7239" s="0" t="n">
        <v>78938571</v>
      </c>
      <c r="L7239" s="0" t="s">
        <v>4816</v>
      </c>
      <c r="N7239" s="0" t="n">
        <v>12</v>
      </c>
      <c r="O7239" s="0" t="n">
        <v>20.51</v>
      </c>
      <c r="P7239" s="0" t="s">
        <v>2444</v>
      </c>
    </row>
    <row r="7240" customFormat="false" ht="15" hidden="false" customHeight="true" outlineLevel="0" collapsed="false">
      <c r="A7240" s="0" t="n">
        <v>2</v>
      </c>
      <c r="B7240" s="71" t="n">
        <v>46260</v>
      </c>
      <c r="C7240" s="0" t="n">
        <v>11</v>
      </c>
      <c r="D7240" s="0" t="s">
        <v>2471</v>
      </c>
      <c r="E7240" s="0" t="n">
        <v>1705</v>
      </c>
      <c r="F7240" s="0" t="s">
        <v>130</v>
      </c>
      <c r="I7240" s="0" t="n">
        <v>2007955</v>
      </c>
      <c r="J7240" s="0" t="n">
        <v>103142</v>
      </c>
      <c r="K7240" s="0" t="n">
        <v>7894900011753</v>
      </c>
      <c r="L7240" s="0" t="s">
        <v>2581</v>
      </c>
      <c r="N7240" s="0" t="n">
        <v>30</v>
      </c>
      <c r="O7240" s="0" t="n">
        <v>182.84</v>
      </c>
      <c r="P7240" s="0" t="s">
        <v>2444</v>
      </c>
    </row>
    <row r="7241" customFormat="false" ht="15" hidden="false" customHeight="true" outlineLevel="0" collapsed="false">
      <c r="A7241" s="0" t="n">
        <v>2</v>
      </c>
      <c r="B7241" s="71" t="n">
        <v>46260</v>
      </c>
      <c r="C7241" s="0" t="n">
        <v>11</v>
      </c>
      <c r="D7241" s="0" t="s">
        <v>2471</v>
      </c>
      <c r="E7241" s="0" t="n">
        <v>1705</v>
      </c>
      <c r="F7241" s="0" t="s">
        <v>130</v>
      </c>
      <c r="I7241" s="0" t="n">
        <v>2007955</v>
      </c>
      <c r="J7241" s="0" t="n">
        <v>103145</v>
      </c>
      <c r="K7241" s="0" t="n">
        <v>7894900051513</v>
      </c>
      <c r="L7241" s="0" t="s">
        <v>2995</v>
      </c>
      <c r="N7241" s="0" t="n">
        <v>18</v>
      </c>
      <c r="O7241" s="0" t="n">
        <v>134.98</v>
      </c>
      <c r="P7241" s="0" t="s">
        <v>2444</v>
      </c>
    </row>
    <row r="7242" customFormat="false" ht="15" hidden="false" customHeight="true" outlineLevel="0" collapsed="false">
      <c r="A7242" s="0" t="n">
        <v>2</v>
      </c>
      <c r="B7242" s="71" t="n">
        <v>46260</v>
      </c>
      <c r="C7242" s="0" t="n">
        <v>11</v>
      </c>
      <c r="D7242" s="0" t="s">
        <v>2471</v>
      </c>
      <c r="E7242" s="0" t="n">
        <v>1705</v>
      </c>
      <c r="F7242" s="0" t="s">
        <v>130</v>
      </c>
      <c r="I7242" s="0" t="n">
        <v>2007955</v>
      </c>
      <c r="J7242" s="0" t="n">
        <v>103146</v>
      </c>
      <c r="K7242" s="0" t="n">
        <v>7894900031515</v>
      </c>
      <c r="L7242" s="0" t="s">
        <v>2567</v>
      </c>
      <c r="N7242" s="0" t="n">
        <v>18</v>
      </c>
      <c r="O7242" s="0" t="n">
        <v>134.98</v>
      </c>
      <c r="P7242" s="0" t="s">
        <v>2444</v>
      </c>
    </row>
    <row r="7243" customFormat="false" ht="15" hidden="false" customHeight="true" outlineLevel="0" collapsed="false">
      <c r="A7243" s="0" t="n">
        <v>2</v>
      </c>
      <c r="B7243" s="71" t="n">
        <v>46260</v>
      </c>
      <c r="C7243" s="0" t="n">
        <v>11</v>
      </c>
      <c r="D7243" s="0" t="s">
        <v>2471</v>
      </c>
      <c r="E7243" s="0" t="n">
        <v>1705</v>
      </c>
      <c r="F7243" s="0" t="s">
        <v>130</v>
      </c>
      <c r="I7243" s="0" t="n">
        <v>2007955</v>
      </c>
      <c r="J7243" s="0" t="n">
        <v>103159</v>
      </c>
      <c r="K7243" s="0" t="n">
        <v>7894900050011</v>
      </c>
      <c r="L7243" s="0" t="s">
        <v>2656</v>
      </c>
      <c r="N7243" s="0" t="n">
        <v>24</v>
      </c>
      <c r="O7243" s="0" t="n">
        <v>68.62</v>
      </c>
      <c r="P7243" s="0" t="s">
        <v>2444</v>
      </c>
    </row>
    <row r="7244" customFormat="false" ht="15" hidden="false" customHeight="true" outlineLevel="0" collapsed="false">
      <c r="A7244" s="0" t="n">
        <v>2</v>
      </c>
      <c r="B7244" s="71" t="n">
        <v>46260</v>
      </c>
      <c r="C7244" s="0" t="n">
        <v>11</v>
      </c>
      <c r="D7244" s="0" t="s">
        <v>2471</v>
      </c>
      <c r="E7244" s="0" t="n">
        <v>1705</v>
      </c>
      <c r="F7244" s="0" t="s">
        <v>130</v>
      </c>
      <c r="I7244" s="0" t="n">
        <v>2007955</v>
      </c>
      <c r="J7244" s="0" t="n">
        <v>103160</v>
      </c>
      <c r="K7244" s="0" t="n">
        <v>7894900030013</v>
      </c>
      <c r="L7244" s="0" t="s">
        <v>2568</v>
      </c>
      <c r="N7244" s="0" t="n">
        <v>24</v>
      </c>
      <c r="O7244" s="0" t="n">
        <v>68.62</v>
      </c>
      <c r="P7244" s="0" t="s">
        <v>2444</v>
      </c>
    </row>
    <row r="7245" customFormat="false" ht="15" hidden="false" customHeight="true" outlineLevel="0" collapsed="false">
      <c r="A7245" s="0" t="n">
        <v>2</v>
      </c>
      <c r="B7245" s="71" t="n">
        <v>46260</v>
      </c>
      <c r="C7245" s="0" t="n">
        <v>11</v>
      </c>
      <c r="D7245" s="0" t="s">
        <v>2471</v>
      </c>
      <c r="E7245" s="0" t="n">
        <v>1705</v>
      </c>
      <c r="F7245" s="0" t="s">
        <v>130</v>
      </c>
      <c r="I7245" s="0" t="n">
        <v>2007955</v>
      </c>
      <c r="J7245" s="0" t="n">
        <v>103161</v>
      </c>
      <c r="K7245" s="0" t="n">
        <v>7894900010015</v>
      </c>
      <c r="L7245" s="0" t="s">
        <v>2569</v>
      </c>
      <c r="N7245" s="0" t="n">
        <v>96</v>
      </c>
      <c r="O7245" s="0" t="n">
        <v>307.69</v>
      </c>
      <c r="P7245" s="0" t="s">
        <v>2444</v>
      </c>
    </row>
    <row r="7246" customFormat="false" ht="15" hidden="false" customHeight="true" outlineLevel="0" collapsed="false">
      <c r="A7246" s="0" t="n">
        <v>2</v>
      </c>
      <c r="B7246" s="71" t="n">
        <v>46260</v>
      </c>
      <c r="C7246" s="0" t="n">
        <v>11</v>
      </c>
      <c r="D7246" s="0" t="s">
        <v>2471</v>
      </c>
      <c r="E7246" s="0" t="n">
        <v>1705</v>
      </c>
      <c r="F7246" s="0" t="s">
        <v>130</v>
      </c>
      <c r="I7246" s="0" t="n">
        <v>2007955</v>
      </c>
      <c r="J7246" s="0" t="n">
        <v>104472</v>
      </c>
      <c r="K7246" s="0" t="n">
        <v>7897105200038</v>
      </c>
      <c r="L7246" s="0" t="s">
        <v>2657</v>
      </c>
      <c r="N7246" s="0" t="n">
        <v>36</v>
      </c>
      <c r="O7246" s="0" t="n">
        <v>163.37</v>
      </c>
      <c r="P7246" s="0" t="s">
        <v>2444</v>
      </c>
    </row>
    <row r="7247" customFormat="false" ht="15" hidden="false" customHeight="true" outlineLevel="0" collapsed="false">
      <c r="A7247" s="0" t="n">
        <v>2</v>
      </c>
      <c r="B7247" s="71" t="n">
        <v>46260</v>
      </c>
      <c r="C7247" s="0" t="n">
        <v>11</v>
      </c>
      <c r="D7247" s="0" t="s">
        <v>2471</v>
      </c>
      <c r="E7247" s="0" t="n">
        <v>1705</v>
      </c>
      <c r="F7247" s="0" t="s">
        <v>130</v>
      </c>
      <c r="I7247" s="0" t="n">
        <v>2007955</v>
      </c>
      <c r="J7247" s="0" t="n">
        <v>105323</v>
      </c>
      <c r="K7247" s="0" t="n">
        <v>7894900701753</v>
      </c>
      <c r="L7247" s="0" t="s">
        <v>2570</v>
      </c>
      <c r="N7247" s="0" t="n">
        <v>18</v>
      </c>
      <c r="O7247" s="0" t="n">
        <v>109.71</v>
      </c>
      <c r="P7247" s="0" t="s">
        <v>2444</v>
      </c>
    </row>
    <row r="7248" customFormat="false" ht="15" hidden="false" customHeight="true" outlineLevel="0" collapsed="false">
      <c r="A7248" s="0" t="n">
        <v>2</v>
      </c>
      <c r="B7248" s="71" t="n">
        <v>46260</v>
      </c>
      <c r="C7248" s="0" t="n">
        <v>11</v>
      </c>
      <c r="D7248" s="0" t="s">
        <v>2471</v>
      </c>
      <c r="E7248" s="0" t="n">
        <v>1705</v>
      </c>
      <c r="F7248" s="0" t="s">
        <v>130</v>
      </c>
      <c r="I7248" s="0" t="n">
        <v>2007955</v>
      </c>
      <c r="J7248" s="0" t="n">
        <v>105670</v>
      </c>
      <c r="K7248" s="0" t="n">
        <v>7897105200137</v>
      </c>
      <c r="L7248" s="0" t="s">
        <v>4694</v>
      </c>
      <c r="N7248" s="0" t="n">
        <v>12</v>
      </c>
      <c r="O7248" s="0" t="n">
        <v>30.77</v>
      </c>
      <c r="P7248" s="0" t="s">
        <v>2444</v>
      </c>
    </row>
    <row r="7249" customFormat="false" ht="15" hidden="false" customHeight="true" outlineLevel="0" collapsed="false">
      <c r="A7249" s="0" t="n">
        <v>2</v>
      </c>
      <c r="B7249" s="71" t="n">
        <v>46260</v>
      </c>
      <c r="C7249" s="0" t="n">
        <v>11</v>
      </c>
      <c r="D7249" s="0" t="s">
        <v>2471</v>
      </c>
      <c r="E7249" s="0" t="n">
        <v>1705</v>
      </c>
      <c r="F7249" s="0" t="s">
        <v>130</v>
      </c>
      <c r="I7249" s="0" t="n">
        <v>2007955</v>
      </c>
      <c r="J7249" s="0" t="n">
        <v>107100</v>
      </c>
      <c r="K7249" s="0" t="n">
        <v>7894900700015</v>
      </c>
      <c r="L7249" s="0" t="s">
        <v>2572</v>
      </c>
      <c r="N7249" s="0" t="n">
        <v>48</v>
      </c>
      <c r="O7249" s="0" t="n">
        <v>149.94</v>
      </c>
      <c r="P7249" s="0" t="s">
        <v>2444</v>
      </c>
    </row>
    <row r="7250" customFormat="false" ht="15" hidden="false" customHeight="true" outlineLevel="0" collapsed="false">
      <c r="A7250" s="0" t="n">
        <v>2</v>
      </c>
      <c r="B7250" s="71" t="n">
        <v>46260</v>
      </c>
      <c r="C7250" s="0" t="n">
        <v>11</v>
      </c>
      <c r="D7250" s="0" t="s">
        <v>2471</v>
      </c>
      <c r="E7250" s="0" t="n">
        <v>1705</v>
      </c>
      <c r="F7250" s="0" t="s">
        <v>130</v>
      </c>
      <c r="I7250" s="0" t="n">
        <v>2007955</v>
      </c>
      <c r="J7250" s="0" t="n">
        <v>11678</v>
      </c>
      <c r="K7250" s="0" t="n">
        <v>7894900701593</v>
      </c>
      <c r="L7250" s="0" t="s">
        <v>2468</v>
      </c>
      <c r="N7250" s="0" t="n">
        <v>30</v>
      </c>
      <c r="O7250" s="0" t="n">
        <v>289.99</v>
      </c>
      <c r="P7250" s="0" t="s">
        <v>2444</v>
      </c>
    </row>
    <row r="7251" customFormat="false" ht="15" hidden="false" customHeight="true" outlineLevel="0" collapsed="false">
      <c r="A7251" s="0" t="n">
        <v>2</v>
      </c>
      <c r="B7251" s="71" t="n">
        <v>46260</v>
      </c>
      <c r="C7251" s="0" t="n">
        <v>11</v>
      </c>
      <c r="D7251" s="0" t="s">
        <v>2471</v>
      </c>
      <c r="E7251" s="0" t="n">
        <v>1705</v>
      </c>
      <c r="F7251" s="0" t="s">
        <v>130</v>
      </c>
      <c r="I7251" s="0" t="n">
        <v>2007955</v>
      </c>
      <c r="J7251" s="0" t="n">
        <v>21426</v>
      </c>
      <c r="K7251" s="0" t="n">
        <v>7894900014211</v>
      </c>
      <c r="L7251" s="0" t="s">
        <v>2470</v>
      </c>
      <c r="N7251" s="0" t="n">
        <v>54</v>
      </c>
      <c r="O7251" s="0" t="n">
        <v>362.09</v>
      </c>
      <c r="P7251" s="0" t="s">
        <v>2444</v>
      </c>
    </row>
    <row r="7252" customFormat="false" ht="15" hidden="false" customHeight="true" outlineLevel="0" collapsed="false">
      <c r="A7252" s="0" t="n">
        <v>2</v>
      </c>
      <c r="B7252" s="71" t="n">
        <v>46260</v>
      </c>
      <c r="C7252" s="0" t="n">
        <v>11</v>
      </c>
      <c r="D7252" s="0" t="s">
        <v>2471</v>
      </c>
      <c r="E7252" s="0" t="n">
        <v>1705</v>
      </c>
      <c r="F7252" s="0" t="s">
        <v>130</v>
      </c>
      <c r="I7252" s="0" t="n">
        <v>2007955</v>
      </c>
      <c r="J7252" s="0" t="n">
        <v>27643</v>
      </c>
      <c r="K7252" s="0" t="n">
        <v>7894900031713</v>
      </c>
      <c r="L7252" s="0" t="s">
        <v>4351</v>
      </c>
      <c r="N7252" s="0" t="n">
        <v>12</v>
      </c>
      <c r="O7252" s="0" t="n">
        <v>57.39</v>
      </c>
      <c r="P7252" s="0" t="s">
        <v>2444</v>
      </c>
    </row>
    <row r="7253" customFormat="false" ht="15" hidden="false" customHeight="true" outlineLevel="0" collapsed="false">
      <c r="A7253" s="0" t="n">
        <v>2</v>
      </c>
      <c r="B7253" s="71" t="n">
        <v>46260</v>
      </c>
      <c r="C7253" s="0" t="n">
        <v>11</v>
      </c>
      <c r="D7253" s="0" t="s">
        <v>2471</v>
      </c>
      <c r="E7253" s="0" t="n">
        <v>1705</v>
      </c>
      <c r="F7253" s="0" t="s">
        <v>130</v>
      </c>
      <c r="I7253" s="0" t="n">
        <v>2007955</v>
      </c>
      <c r="J7253" s="0" t="n">
        <v>27673</v>
      </c>
      <c r="K7253" s="0" t="n">
        <v>7894900701715</v>
      </c>
      <c r="L7253" s="0" t="s">
        <v>2660</v>
      </c>
      <c r="N7253" s="0" t="n">
        <v>12</v>
      </c>
      <c r="O7253" s="0" t="n">
        <v>65.81</v>
      </c>
      <c r="P7253" s="0" t="s">
        <v>2444</v>
      </c>
    </row>
    <row r="7254" customFormat="false" ht="15" hidden="false" customHeight="true" outlineLevel="0" collapsed="false">
      <c r="A7254" s="0" t="n">
        <v>2</v>
      </c>
      <c r="B7254" s="71" t="n">
        <v>46260</v>
      </c>
      <c r="C7254" s="0" t="n">
        <v>11</v>
      </c>
      <c r="D7254" s="0" t="s">
        <v>2471</v>
      </c>
      <c r="E7254" s="0" t="n">
        <v>1705</v>
      </c>
      <c r="F7254" s="0" t="s">
        <v>130</v>
      </c>
      <c r="I7254" s="0" t="n">
        <v>2007955</v>
      </c>
      <c r="J7254" s="0" t="n">
        <v>28739</v>
      </c>
      <c r="K7254" s="0" t="n">
        <v>7894900027044</v>
      </c>
      <c r="L7254" s="0" t="s">
        <v>2658</v>
      </c>
      <c r="N7254" s="0" t="n">
        <v>60</v>
      </c>
      <c r="O7254" s="0" t="n">
        <v>339.44</v>
      </c>
      <c r="P7254" s="0" t="s">
        <v>2444</v>
      </c>
    </row>
    <row r="7255" customFormat="false" ht="15" hidden="false" customHeight="true" outlineLevel="0" collapsed="false">
      <c r="A7255" s="0" t="n">
        <v>2</v>
      </c>
      <c r="B7255" s="71" t="n">
        <v>46260</v>
      </c>
      <c r="C7255" s="0" t="n">
        <v>11</v>
      </c>
      <c r="D7255" s="0" t="s">
        <v>2471</v>
      </c>
      <c r="E7255" s="0" t="n">
        <v>1705</v>
      </c>
      <c r="F7255" s="0" t="s">
        <v>130</v>
      </c>
      <c r="I7255" s="0" t="n">
        <v>2007955</v>
      </c>
      <c r="J7255" s="0" t="n">
        <v>29509</v>
      </c>
      <c r="K7255" s="0" t="n">
        <v>78933873</v>
      </c>
      <c r="L7255" s="0" t="s">
        <v>3258</v>
      </c>
      <c r="N7255" s="0" t="n">
        <v>12</v>
      </c>
      <c r="O7255" s="0" t="n">
        <v>22.59</v>
      </c>
      <c r="P7255" s="0" t="s">
        <v>2444</v>
      </c>
    </row>
    <row r="7256" customFormat="false" ht="15" hidden="false" customHeight="true" outlineLevel="0" collapsed="false">
      <c r="A7256" s="0" t="n">
        <v>2</v>
      </c>
      <c r="B7256" s="71" t="n">
        <v>46260</v>
      </c>
      <c r="C7256" s="0" t="n">
        <v>11</v>
      </c>
      <c r="D7256" s="0" t="s">
        <v>2471</v>
      </c>
      <c r="E7256" s="0" t="n">
        <v>1705</v>
      </c>
      <c r="F7256" s="0" t="s">
        <v>130</v>
      </c>
      <c r="I7256" s="0" t="n">
        <v>2007955</v>
      </c>
      <c r="J7256" s="0" t="n">
        <v>29575</v>
      </c>
      <c r="K7256" s="0" t="n">
        <v>78936478</v>
      </c>
      <c r="L7256" s="0" t="s">
        <v>4817</v>
      </c>
      <c r="N7256" s="0" t="n">
        <v>12</v>
      </c>
      <c r="O7256" s="0" t="n">
        <v>20.51</v>
      </c>
      <c r="P7256" s="0" t="s">
        <v>2444</v>
      </c>
    </row>
    <row r="7257" customFormat="false" ht="15" hidden="false" customHeight="true" outlineLevel="0" collapsed="false">
      <c r="A7257" s="0" t="n">
        <v>2</v>
      </c>
      <c r="B7257" s="71" t="n">
        <v>46260</v>
      </c>
      <c r="C7257" s="0" t="n">
        <v>11</v>
      </c>
      <c r="D7257" s="0" t="s">
        <v>2471</v>
      </c>
      <c r="E7257" s="0" t="n">
        <v>1705</v>
      </c>
      <c r="F7257" s="0" t="s">
        <v>130</v>
      </c>
      <c r="I7257" s="0" t="n">
        <v>2007955</v>
      </c>
      <c r="J7257" s="0" t="n">
        <v>30017</v>
      </c>
      <c r="K7257" s="0" t="n">
        <v>7894900680508</v>
      </c>
      <c r="L7257" s="0" t="s">
        <v>3589</v>
      </c>
      <c r="N7257" s="0" t="n">
        <v>12</v>
      </c>
      <c r="O7257" s="0" t="n">
        <v>42.12</v>
      </c>
      <c r="P7257" s="0" t="s">
        <v>2444</v>
      </c>
    </row>
    <row r="7258" customFormat="false" ht="15" hidden="false" customHeight="true" outlineLevel="0" collapsed="false">
      <c r="A7258" s="0" t="n">
        <v>2</v>
      </c>
      <c r="B7258" s="71" t="n">
        <v>46260</v>
      </c>
      <c r="C7258" s="0" t="n">
        <v>11</v>
      </c>
      <c r="D7258" s="0" t="s">
        <v>2471</v>
      </c>
      <c r="E7258" s="0" t="n">
        <v>1705</v>
      </c>
      <c r="F7258" s="0" t="s">
        <v>130</v>
      </c>
      <c r="I7258" s="0" t="n">
        <v>2007955</v>
      </c>
      <c r="J7258" s="0" t="n">
        <v>31221</v>
      </c>
      <c r="K7258" s="0" t="n">
        <v>78940260</v>
      </c>
      <c r="L7258" s="0" t="s">
        <v>5181</v>
      </c>
      <c r="N7258" s="0" t="n">
        <v>12</v>
      </c>
      <c r="O7258" s="0" t="n">
        <v>18.56</v>
      </c>
      <c r="P7258" s="0" t="s">
        <v>2444</v>
      </c>
    </row>
    <row r="7259" customFormat="false" ht="15" hidden="false" customHeight="true" outlineLevel="0" collapsed="false">
      <c r="A7259" s="0" t="n">
        <v>2</v>
      </c>
      <c r="B7259" s="71" t="n">
        <v>46260</v>
      </c>
      <c r="C7259" s="0" t="n">
        <v>11</v>
      </c>
      <c r="D7259" s="0" t="s">
        <v>2471</v>
      </c>
      <c r="E7259" s="0" t="n">
        <v>1705</v>
      </c>
      <c r="F7259" s="0" t="s">
        <v>130</v>
      </c>
      <c r="I7259" s="0" t="n">
        <v>2007955</v>
      </c>
      <c r="J7259" s="0" t="n">
        <v>32339</v>
      </c>
      <c r="K7259" s="0" t="n">
        <v>7894900681000</v>
      </c>
      <c r="L7259" s="0" t="s">
        <v>2996</v>
      </c>
      <c r="N7259" s="0" t="n">
        <v>12</v>
      </c>
      <c r="O7259" s="0" t="n">
        <v>89.99</v>
      </c>
      <c r="P7259" s="0" t="s">
        <v>2444</v>
      </c>
    </row>
    <row r="7260" customFormat="false" ht="15" hidden="false" customHeight="true" outlineLevel="0" collapsed="false">
      <c r="A7260" s="0" t="n">
        <v>2</v>
      </c>
      <c r="B7260" s="71" t="n">
        <v>46260</v>
      </c>
      <c r="C7260" s="0" t="n">
        <v>11</v>
      </c>
      <c r="D7260" s="0" t="s">
        <v>2471</v>
      </c>
      <c r="E7260" s="0" t="n">
        <v>1705</v>
      </c>
      <c r="F7260" s="0" t="s">
        <v>130</v>
      </c>
      <c r="I7260" s="0" t="n">
        <v>2007955</v>
      </c>
      <c r="J7260" s="0" t="n">
        <v>35357</v>
      </c>
      <c r="K7260" s="0" t="n">
        <v>7894900681017</v>
      </c>
      <c r="L7260" s="0" t="s">
        <v>2564</v>
      </c>
      <c r="N7260" s="0" t="n">
        <v>24</v>
      </c>
      <c r="O7260" s="0" t="n">
        <v>68.62</v>
      </c>
      <c r="P7260" s="0" t="s">
        <v>2444</v>
      </c>
    </row>
    <row r="7261" customFormat="false" ht="15" hidden="false" customHeight="true" outlineLevel="0" collapsed="false">
      <c r="A7261" s="0" t="n">
        <v>2</v>
      </c>
      <c r="B7261" s="71" t="n">
        <v>46260</v>
      </c>
      <c r="C7261" s="0" t="n">
        <v>11</v>
      </c>
      <c r="D7261" s="0" t="s">
        <v>2471</v>
      </c>
      <c r="E7261" s="0" t="n">
        <v>1705</v>
      </c>
      <c r="F7261" s="0" t="s">
        <v>130</v>
      </c>
      <c r="I7261" s="0" t="n">
        <v>2007955</v>
      </c>
      <c r="J7261" s="0" t="n">
        <v>37279</v>
      </c>
      <c r="K7261" s="0" t="n">
        <v>7894900027013</v>
      </c>
      <c r="L7261" s="0" t="s">
        <v>2575</v>
      </c>
      <c r="N7261" s="0" t="n">
        <v>36</v>
      </c>
      <c r="O7261" s="0" t="n">
        <v>317.58</v>
      </c>
      <c r="P7261" s="0" t="s">
        <v>2444</v>
      </c>
    </row>
    <row r="7262" customFormat="false" ht="15" hidden="false" customHeight="true" outlineLevel="0" collapsed="false">
      <c r="A7262" s="0" t="n">
        <v>2</v>
      </c>
      <c r="B7262" s="71" t="n">
        <v>46260</v>
      </c>
      <c r="C7262" s="0" t="n">
        <v>11</v>
      </c>
      <c r="D7262" s="0" t="s">
        <v>2471</v>
      </c>
      <c r="E7262" s="0" t="n">
        <v>1705</v>
      </c>
      <c r="F7262" s="0" t="s">
        <v>130</v>
      </c>
      <c r="I7262" s="0" t="n">
        <v>2007955</v>
      </c>
      <c r="J7262" s="0" t="n">
        <v>38060</v>
      </c>
      <c r="K7262" s="0" t="n">
        <v>7894900701609</v>
      </c>
      <c r="L7262" s="0" t="s">
        <v>2576</v>
      </c>
      <c r="N7262" s="0" t="n">
        <v>24</v>
      </c>
      <c r="O7262" s="0" t="n">
        <v>88.16</v>
      </c>
      <c r="P7262" s="0" t="s">
        <v>2444</v>
      </c>
    </row>
    <row r="7263" customFormat="false" ht="15" hidden="false" customHeight="true" outlineLevel="0" collapsed="false">
      <c r="A7263" s="0" t="n">
        <v>2</v>
      </c>
      <c r="B7263" s="71" t="n">
        <v>46260</v>
      </c>
      <c r="C7263" s="0" t="n">
        <v>11</v>
      </c>
      <c r="D7263" s="0" t="s">
        <v>2471</v>
      </c>
      <c r="E7263" s="0" t="n">
        <v>1705</v>
      </c>
      <c r="F7263" s="0" t="s">
        <v>130</v>
      </c>
      <c r="I7263" s="0" t="n">
        <v>2007955</v>
      </c>
      <c r="J7263" s="0" t="n">
        <v>41322</v>
      </c>
      <c r="K7263" s="0" t="n">
        <v>7897105200076</v>
      </c>
      <c r="L7263" s="0" t="s">
        <v>2661</v>
      </c>
      <c r="N7263" s="0" t="n">
        <v>30</v>
      </c>
      <c r="O7263" s="0" t="n">
        <v>102.26</v>
      </c>
      <c r="P7263" s="0" t="s">
        <v>2444</v>
      </c>
    </row>
    <row r="7264" customFormat="false" ht="15" hidden="false" customHeight="true" outlineLevel="0" collapsed="false">
      <c r="A7264" s="0" t="n">
        <v>2</v>
      </c>
      <c r="B7264" s="71" t="n">
        <v>46260</v>
      </c>
      <c r="C7264" s="0" t="n">
        <v>22</v>
      </c>
      <c r="D7264" s="0" t="s">
        <v>2479</v>
      </c>
      <c r="E7264" s="0" t="n">
        <v>48</v>
      </c>
      <c r="F7264" s="0" t="s">
        <v>153</v>
      </c>
      <c r="I7264" s="0" t="n">
        <v>2632</v>
      </c>
      <c r="J7264" s="0" t="n">
        <v>100000</v>
      </c>
      <c r="K7264" s="0" t="n">
        <v>1</v>
      </c>
      <c r="L7264" s="0" t="s">
        <v>2480</v>
      </c>
      <c r="N7264" s="0" t="n">
        <v>3.33</v>
      </c>
      <c r="O7264" s="0" t="n">
        <v>67.18</v>
      </c>
      <c r="P7264" s="0" t="s">
        <v>2444</v>
      </c>
    </row>
    <row r="7265" customFormat="false" ht="15" hidden="false" customHeight="true" outlineLevel="0" collapsed="false">
      <c r="A7265" s="0" t="n">
        <v>2</v>
      </c>
      <c r="B7265" s="71" t="n">
        <v>46260</v>
      </c>
      <c r="C7265" s="0" t="n">
        <v>22</v>
      </c>
      <c r="D7265" s="0" t="s">
        <v>2479</v>
      </c>
      <c r="E7265" s="0" t="n">
        <v>48</v>
      </c>
      <c r="F7265" s="0" t="s">
        <v>153</v>
      </c>
      <c r="I7265" s="0" t="n">
        <v>2632</v>
      </c>
      <c r="J7265" s="0" t="n">
        <v>100005</v>
      </c>
      <c r="K7265" s="0" t="n">
        <v>6</v>
      </c>
      <c r="L7265" s="0" t="s">
        <v>2582</v>
      </c>
      <c r="N7265" s="0" t="n">
        <v>0.904</v>
      </c>
      <c r="O7265" s="0" t="n">
        <v>22.8</v>
      </c>
      <c r="P7265" s="0" t="s">
        <v>2444</v>
      </c>
    </row>
    <row r="7266" customFormat="false" ht="15" hidden="false" customHeight="true" outlineLevel="0" collapsed="false">
      <c r="A7266" s="0" t="n">
        <v>2</v>
      </c>
      <c r="B7266" s="71" t="n">
        <v>46260</v>
      </c>
      <c r="C7266" s="0" t="n">
        <v>22</v>
      </c>
      <c r="D7266" s="0" t="s">
        <v>2479</v>
      </c>
      <c r="E7266" s="0" t="n">
        <v>48</v>
      </c>
      <c r="F7266" s="0" t="s">
        <v>153</v>
      </c>
      <c r="I7266" s="0" t="n">
        <v>2632</v>
      </c>
      <c r="J7266" s="0" t="n">
        <v>100006</v>
      </c>
      <c r="K7266" s="0" t="n">
        <v>7</v>
      </c>
      <c r="L7266" s="0" t="s">
        <v>2485</v>
      </c>
      <c r="N7266" s="0" t="n">
        <v>2.176</v>
      </c>
      <c r="O7266" s="0" t="n">
        <v>62.19</v>
      </c>
      <c r="P7266" s="0" t="s">
        <v>2444</v>
      </c>
    </row>
    <row r="7267" customFormat="false" ht="15" hidden="false" customHeight="true" outlineLevel="0" collapsed="false">
      <c r="A7267" s="0" t="n">
        <v>2</v>
      </c>
      <c r="B7267" s="71" t="n">
        <v>46260</v>
      </c>
      <c r="C7267" s="0" t="n">
        <v>22</v>
      </c>
      <c r="D7267" s="0" t="s">
        <v>2479</v>
      </c>
      <c r="E7267" s="0" t="n">
        <v>48</v>
      </c>
      <c r="F7267" s="0" t="s">
        <v>153</v>
      </c>
      <c r="I7267" s="0" t="n">
        <v>2632</v>
      </c>
      <c r="J7267" s="0" t="n">
        <v>100007</v>
      </c>
      <c r="K7267" s="0" t="n">
        <v>8</v>
      </c>
      <c r="L7267" s="0" t="s">
        <v>2486</v>
      </c>
      <c r="N7267" s="0" t="n">
        <v>1.83</v>
      </c>
      <c r="O7267" s="0" t="n">
        <v>46.15</v>
      </c>
      <c r="P7267" s="0" t="s">
        <v>2444</v>
      </c>
    </row>
    <row r="7268" customFormat="false" ht="15" hidden="false" customHeight="true" outlineLevel="0" collapsed="false">
      <c r="A7268" s="0" t="n">
        <v>2</v>
      </c>
      <c r="B7268" s="71" t="n">
        <v>46260</v>
      </c>
      <c r="C7268" s="0" t="n">
        <v>22</v>
      </c>
      <c r="D7268" s="0" t="s">
        <v>2479</v>
      </c>
      <c r="E7268" s="0" t="n">
        <v>48</v>
      </c>
      <c r="F7268" s="0" t="s">
        <v>153</v>
      </c>
      <c r="I7268" s="0" t="n">
        <v>2632</v>
      </c>
      <c r="J7268" s="0" t="n">
        <v>100008</v>
      </c>
      <c r="K7268" s="0" t="n">
        <v>9</v>
      </c>
      <c r="L7268" s="0" t="s">
        <v>2487</v>
      </c>
      <c r="N7268" s="0" t="n">
        <v>17.18</v>
      </c>
      <c r="O7268" s="0" t="n">
        <v>563.28</v>
      </c>
      <c r="P7268" s="0" t="s">
        <v>2444</v>
      </c>
    </row>
    <row r="7269" customFormat="false" ht="15" hidden="false" customHeight="true" outlineLevel="0" collapsed="false">
      <c r="A7269" s="0" t="n">
        <v>2</v>
      </c>
      <c r="B7269" s="71" t="n">
        <v>46260</v>
      </c>
      <c r="C7269" s="0" t="n">
        <v>22</v>
      </c>
      <c r="D7269" s="0" t="s">
        <v>2479</v>
      </c>
      <c r="E7269" s="0" t="n">
        <v>48</v>
      </c>
      <c r="F7269" s="0" t="s">
        <v>153</v>
      </c>
      <c r="I7269" s="0" t="n">
        <v>2632</v>
      </c>
      <c r="J7269" s="0" t="n">
        <v>100008</v>
      </c>
      <c r="K7269" s="0" t="n">
        <v>9</v>
      </c>
      <c r="L7269" s="0" t="s">
        <v>2487</v>
      </c>
      <c r="N7269" s="0" t="n">
        <v>18.58</v>
      </c>
      <c r="O7269" s="0" t="n">
        <v>571.25</v>
      </c>
      <c r="P7269" s="0" t="s">
        <v>2444</v>
      </c>
    </row>
    <row r="7270" customFormat="false" ht="15" hidden="false" customHeight="true" outlineLevel="0" collapsed="false">
      <c r="A7270" s="0" t="n">
        <v>2</v>
      </c>
      <c r="B7270" s="71" t="n">
        <v>46260</v>
      </c>
      <c r="C7270" s="0" t="n">
        <v>22</v>
      </c>
      <c r="D7270" s="0" t="s">
        <v>2479</v>
      </c>
      <c r="E7270" s="0" t="n">
        <v>48</v>
      </c>
      <c r="F7270" s="0" t="s">
        <v>153</v>
      </c>
      <c r="I7270" s="0" t="n">
        <v>2632</v>
      </c>
      <c r="J7270" s="0" t="n">
        <v>100011</v>
      </c>
      <c r="K7270" s="0" t="n">
        <v>12</v>
      </c>
      <c r="L7270" s="0" t="s">
        <v>2488</v>
      </c>
      <c r="N7270" s="0" t="n">
        <v>11.16</v>
      </c>
      <c r="O7270" s="0" t="n">
        <v>422.21</v>
      </c>
      <c r="P7270" s="0" t="s">
        <v>2444</v>
      </c>
    </row>
    <row r="7271" customFormat="false" ht="15" hidden="false" customHeight="true" outlineLevel="0" collapsed="false">
      <c r="A7271" s="0" t="n">
        <v>2</v>
      </c>
      <c r="B7271" s="71" t="n">
        <v>46260</v>
      </c>
      <c r="C7271" s="0" t="n">
        <v>22</v>
      </c>
      <c r="D7271" s="0" t="s">
        <v>2479</v>
      </c>
      <c r="E7271" s="0" t="n">
        <v>48</v>
      </c>
      <c r="F7271" s="0" t="s">
        <v>153</v>
      </c>
      <c r="I7271" s="0" t="n">
        <v>2632</v>
      </c>
      <c r="J7271" s="0" t="n">
        <v>100012</v>
      </c>
      <c r="K7271" s="0" t="n">
        <v>13</v>
      </c>
      <c r="L7271" s="0" t="s">
        <v>2489</v>
      </c>
      <c r="N7271" s="0" t="n">
        <v>5.478</v>
      </c>
      <c r="O7271" s="0" t="n">
        <v>230.28</v>
      </c>
      <c r="P7271" s="0" t="s">
        <v>2444</v>
      </c>
    </row>
    <row r="7272" customFormat="false" ht="15" hidden="false" customHeight="true" outlineLevel="0" collapsed="false">
      <c r="A7272" s="0" t="n">
        <v>2</v>
      </c>
      <c r="B7272" s="71" t="n">
        <v>46260</v>
      </c>
      <c r="C7272" s="0" t="n">
        <v>22</v>
      </c>
      <c r="D7272" s="0" t="s">
        <v>2479</v>
      </c>
      <c r="E7272" s="0" t="n">
        <v>48</v>
      </c>
      <c r="F7272" s="0" t="s">
        <v>153</v>
      </c>
      <c r="I7272" s="0" t="n">
        <v>2632</v>
      </c>
      <c r="J7272" s="0" t="n">
        <v>100013</v>
      </c>
      <c r="K7272" s="0" t="n">
        <v>14</v>
      </c>
      <c r="L7272" s="0" t="s">
        <v>2490</v>
      </c>
      <c r="N7272" s="0" t="n">
        <v>10.845</v>
      </c>
      <c r="O7272" s="0" t="n">
        <v>483.25</v>
      </c>
      <c r="P7272" s="0" t="s">
        <v>2444</v>
      </c>
    </row>
    <row r="7273" customFormat="false" ht="15" hidden="false" customHeight="true" outlineLevel="0" collapsed="false">
      <c r="A7273" s="0" t="n">
        <v>2</v>
      </c>
      <c r="B7273" s="71" t="n">
        <v>46260</v>
      </c>
      <c r="C7273" s="0" t="n">
        <v>22</v>
      </c>
      <c r="D7273" s="0" t="s">
        <v>2479</v>
      </c>
      <c r="E7273" s="0" t="n">
        <v>48</v>
      </c>
      <c r="F7273" s="0" t="s">
        <v>153</v>
      </c>
      <c r="I7273" s="0" t="n">
        <v>2632</v>
      </c>
      <c r="J7273" s="0" t="n">
        <v>100014</v>
      </c>
      <c r="K7273" s="0" t="n">
        <v>15</v>
      </c>
      <c r="L7273" s="0" t="s">
        <v>2491</v>
      </c>
      <c r="N7273" s="0" t="n">
        <v>4.592</v>
      </c>
      <c r="O7273" s="0" t="n">
        <v>208.48</v>
      </c>
      <c r="P7273" s="0" t="s">
        <v>2444</v>
      </c>
    </row>
    <row r="7274" customFormat="false" ht="15" hidden="false" customHeight="true" outlineLevel="0" collapsed="false">
      <c r="A7274" s="0" t="n">
        <v>2</v>
      </c>
      <c r="B7274" s="71" t="n">
        <v>46260</v>
      </c>
      <c r="C7274" s="0" t="n">
        <v>22</v>
      </c>
      <c r="D7274" s="0" t="s">
        <v>2479</v>
      </c>
      <c r="E7274" s="0" t="n">
        <v>48</v>
      </c>
      <c r="F7274" s="0" t="s">
        <v>153</v>
      </c>
      <c r="I7274" s="0" t="n">
        <v>2632</v>
      </c>
      <c r="J7274" s="0" t="n">
        <v>100015</v>
      </c>
      <c r="K7274" s="0" t="n">
        <v>16</v>
      </c>
      <c r="L7274" s="0" t="s">
        <v>2492</v>
      </c>
      <c r="N7274" s="0" t="n">
        <v>1.998</v>
      </c>
      <c r="O7274" s="0" t="n">
        <v>80.63</v>
      </c>
      <c r="P7274" s="0" t="s">
        <v>2444</v>
      </c>
    </row>
    <row r="7275" customFormat="false" ht="15" hidden="false" customHeight="true" outlineLevel="0" collapsed="false">
      <c r="A7275" s="0" t="n">
        <v>2</v>
      </c>
      <c r="B7275" s="71" t="n">
        <v>46260</v>
      </c>
      <c r="C7275" s="0" t="n">
        <v>22</v>
      </c>
      <c r="D7275" s="0" t="s">
        <v>2479</v>
      </c>
      <c r="E7275" s="0" t="n">
        <v>48</v>
      </c>
      <c r="F7275" s="0" t="s">
        <v>153</v>
      </c>
      <c r="I7275" s="0" t="n">
        <v>2632</v>
      </c>
      <c r="J7275" s="0" t="n">
        <v>100016</v>
      </c>
      <c r="K7275" s="0" t="n">
        <v>17</v>
      </c>
      <c r="L7275" s="0" t="s">
        <v>2493</v>
      </c>
      <c r="N7275" s="0" t="n">
        <v>2.496</v>
      </c>
      <c r="O7275" s="0" t="n">
        <v>125.91</v>
      </c>
      <c r="P7275" s="0" t="s">
        <v>2444</v>
      </c>
    </row>
    <row r="7276" customFormat="false" ht="15" hidden="false" customHeight="true" outlineLevel="0" collapsed="false">
      <c r="A7276" s="0" t="n">
        <v>2</v>
      </c>
      <c r="B7276" s="71" t="n">
        <v>46260</v>
      </c>
      <c r="C7276" s="0" t="n">
        <v>22</v>
      </c>
      <c r="D7276" s="0" t="s">
        <v>2479</v>
      </c>
      <c r="E7276" s="0" t="n">
        <v>48</v>
      </c>
      <c r="F7276" s="0" t="s">
        <v>153</v>
      </c>
      <c r="I7276" s="0" t="n">
        <v>2632</v>
      </c>
      <c r="J7276" s="0" t="n">
        <v>100016</v>
      </c>
      <c r="K7276" s="0" t="n">
        <v>17</v>
      </c>
      <c r="L7276" s="0" t="s">
        <v>2493</v>
      </c>
      <c r="N7276" s="0" t="n">
        <v>2.58</v>
      </c>
      <c r="O7276" s="0" t="n">
        <v>122.05</v>
      </c>
      <c r="P7276" s="0" t="s">
        <v>2444</v>
      </c>
    </row>
    <row r="7277" customFormat="false" ht="15" hidden="false" customHeight="true" outlineLevel="0" collapsed="false">
      <c r="A7277" s="0" t="n">
        <v>2</v>
      </c>
      <c r="B7277" s="71" t="n">
        <v>46260</v>
      </c>
      <c r="C7277" s="0" t="n">
        <v>22</v>
      </c>
      <c r="D7277" s="0" t="s">
        <v>2479</v>
      </c>
      <c r="E7277" s="0" t="n">
        <v>48</v>
      </c>
      <c r="F7277" s="0" t="s">
        <v>153</v>
      </c>
      <c r="I7277" s="0" t="n">
        <v>2632</v>
      </c>
      <c r="J7277" s="0" t="n">
        <v>100017</v>
      </c>
      <c r="K7277" s="0" t="n">
        <v>18</v>
      </c>
      <c r="L7277" s="0" t="s">
        <v>2494</v>
      </c>
      <c r="N7277" s="0" t="n">
        <v>1.654</v>
      </c>
      <c r="O7277" s="0" t="n">
        <v>97.35</v>
      </c>
      <c r="P7277" s="0" t="s">
        <v>2444</v>
      </c>
    </row>
    <row r="7278" customFormat="false" ht="15" hidden="false" customHeight="true" outlineLevel="0" collapsed="false">
      <c r="A7278" s="0" t="n">
        <v>2</v>
      </c>
      <c r="B7278" s="71" t="n">
        <v>46260</v>
      </c>
      <c r="C7278" s="0" t="n">
        <v>22</v>
      </c>
      <c r="D7278" s="0" t="s">
        <v>2479</v>
      </c>
      <c r="E7278" s="0" t="n">
        <v>48</v>
      </c>
      <c r="F7278" s="0" t="s">
        <v>153</v>
      </c>
      <c r="I7278" s="0" t="n">
        <v>2632</v>
      </c>
      <c r="J7278" s="0" t="n">
        <v>100020</v>
      </c>
      <c r="K7278" s="0" t="n">
        <v>21</v>
      </c>
      <c r="L7278" s="0" t="s">
        <v>4878</v>
      </c>
      <c r="N7278" s="0" t="n">
        <v>0.4</v>
      </c>
      <c r="O7278" s="0" t="n">
        <v>13.11</v>
      </c>
      <c r="P7278" s="0" t="s">
        <v>2444</v>
      </c>
    </row>
    <row r="7279" customFormat="false" ht="15" hidden="false" customHeight="true" outlineLevel="0" collapsed="false">
      <c r="A7279" s="0" t="n">
        <v>2</v>
      </c>
      <c r="B7279" s="71" t="n">
        <v>46260</v>
      </c>
      <c r="C7279" s="0" t="n">
        <v>22</v>
      </c>
      <c r="D7279" s="0" t="s">
        <v>2479</v>
      </c>
      <c r="E7279" s="0" t="n">
        <v>48</v>
      </c>
      <c r="F7279" s="0" t="s">
        <v>153</v>
      </c>
      <c r="I7279" s="0" t="n">
        <v>2632</v>
      </c>
      <c r="J7279" s="0" t="n">
        <v>100053</v>
      </c>
      <c r="K7279" s="0" t="n">
        <v>54</v>
      </c>
      <c r="L7279" s="0" t="s">
        <v>2495</v>
      </c>
      <c r="N7279" s="0" t="n">
        <v>2.644</v>
      </c>
      <c r="O7279" s="0" t="n">
        <v>97.8</v>
      </c>
      <c r="P7279" s="0" t="s">
        <v>2444</v>
      </c>
    </row>
    <row r="7280" customFormat="false" ht="15" hidden="false" customHeight="true" outlineLevel="0" collapsed="false">
      <c r="A7280" s="0" t="n">
        <v>2</v>
      </c>
      <c r="B7280" s="71" t="n">
        <v>46260</v>
      </c>
      <c r="C7280" s="0" t="n">
        <v>22</v>
      </c>
      <c r="D7280" s="0" t="s">
        <v>2479</v>
      </c>
      <c r="E7280" s="0" t="n">
        <v>48</v>
      </c>
      <c r="F7280" s="0" t="s">
        <v>153</v>
      </c>
      <c r="I7280" s="0" t="n">
        <v>2632</v>
      </c>
      <c r="J7280" s="0" t="n">
        <v>100053</v>
      </c>
      <c r="K7280" s="0" t="n">
        <v>54</v>
      </c>
      <c r="L7280" s="0" t="s">
        <v>2495</v>
      </c>
      <c r="N7280" s="0" t="n">
        <v>3.53</v>
      </c>
      <c r="O7280" s="0" t="n">
        <v>122.45</v>
      </c>
      <c r="P7280" s="0" t="s">
        <v>2444</v>
      </c>
    </row>
    <row r="7281" customFormat="false" ht="15" hidden="false" customHeight="true" outlineLevel="0" collapsed="false">
      <c r="A7281" s="0" t="n">
        <v>2</v>
      </c>
      <c r="B7281" s="71" t="n">
        <v>46260</v>
      </c>
      <c r="C7281" s="0" t="n">
        <v>22</v>
      </c>
      <c r="D7281" s="0" t="s">
        <v>2479</v>
      </c>
      <c r="E7281" s="0" t="n">
        <v>48</v>
      </c>
      <c r="F7281" s="0" t="s">
        <v>153</v>
      </c>
      <c r="I7281" s="0" t="n">
        <v>2632</v>
      </c>
      <c r="J7281" s="0" t="n">
        <v>100638</v>
      </c>
      <c r="K7281" s="0" t="n">
        <v>508</v>
      </c>
      <c r="L7281" s="0" t="s">
        <v>2496</v>
      </c>
      <c r="N7281" s="0" t="n">
        <v>2.184</v>
      </c>
      <c r="O7281" s="0" t="n">
        <v>5.49</v>
      </c>
      <c r="P7281" s="0" t="s">
        <v>2444</v>
      </c>
    </row>
    <row r="7282" customFormat="false" ht="15" hidden="false" customHeight="true" outlineLevel="0" collapsed="false">
      <c r="A7282" s="0" t="n">
        <v>2</v>
      </c>
      <c r="B7282" s="71" t="n">
        <v>46260</v>
      </c>
      <c r="C7282" s="0" t="n">
        <v>22</v>
      </c>
      <c r="D7282" s="0" t="s">
        <v>2479</v>
      </c>
      <c r="E7282" s="0" t="n">
        <v>48</v>
      </c>
      <c r="F7282" s="0" t="s">
        <v>153</v>
      </c>
      <c r="I7282" s="0" t="n">
        <v>2632</v>
      </c>
      <c r="J7282" s="0" t="n">
        <v>100520</v>
      </c>
      <c r="K7282" s="0" t="n">
        <v>507</v>
      </c>
      <c r="L7282" s="0" t="s">
        <v>2497</v>
      </c>
      <c r="N7282" s="0" t="n">
        <v>8.71</v>
      </c>
      <c r="O7282" s="0" t="n">
        <v>21.9</v>
      </c>
      <c r="P7282" s="0" t="s">
        <v>2444</v>
      </c>
    </row>
    <row r="7283" customFormat="false" ht="15" hidden="false" customHeight="true" outlineLevel="0" collapsed="false">
      <c r="A7283" s="0" t="n">
        <v>2</v>
      </c>
      <c r="B7283" s="71" t="n">
        <v>46260</v>
      </c>
      <c r="C7283" s="0" t="n">
        <v>22</v>
      </c>
      <c r="D7283" s="0" t="s">
        <v>2479</v>
      </c>
      <c r="E7283" s="0" t="n">
        <v>48</v>
      </c>
      <c r="F7283" s="0" t="s">
        <v>153</v>
      </c>
      <c r="I7283" s="0" t="n">
        <v>2632</v>
      </c>
      <c r="J7283" s="0" t="n">
        <v>110455</v>
      </c>
      <c r="K7283" s="0" t="n">
        <v>53212</v>
      </c>
      <c r="L7283" s="0" t="s">
        <v>2498</v>
      </c>
      <c r="N7283" s="0" t="n">
        <v>0.41</v>
      </c>
      <c r="O7283" s="0" t="n">
        <v>0</v>
      </c>
      <c r="P7283" s="0" t="s">
        <v>2444</v>
      </c>
    </row>
    <row r="7284" customFormat="false" ht="15" hidden="false" customHeight="true" outlineLevel="0" collapsed="false">
      <c r="A7284" s="0" t="n">
        <v>2</v>
      </c>
      <c r="B7284" s="71" t="n">
        <v>46260</v>
      </c>
      <c r="C7284" s="0" t="n">
        <v>22</v>
      </c>
      <c r="D7284" s="0" t="s">
        <v>2479</v>
      </c>
      <c r="E7284" s="0" t="n">
        <v>48</v>
      </c>
      <c r="F7284" s="0" t="s">
        <v>153</v>
      </c>
      <c r="I7284" s="0" t="n">
        <v>2632</v>
      </c>
      <c r="J7284" s="0" t="n">
        <v>110455</v>
      </c>
      <c r="K7284" s="0" t="n">
        <v>53212</v>
      </c>
      <c r="L7284" s="0" t="s">
        <v>2498</v>
      </c>
      <c r="N7284" s="0" t="n">
        <v>0.819</v>
      </c>
      <c r="O7284" s="0" t="n">
        <v>0</v>
      </c>
      <c r="P7284" s="0" t="s">
        <v>2444</v>
      </c>
    </row>
    <row r="7285" customFormat="false" ht="15" hidden="false" customHeight="true" outlineLevel="0" collapsed="false">
      <c r="A7285" s="0" t="n">
        <v>2</v>
      </c>
      <c r="B7285" s="71" t="n">
        <v>46260</v>
      </c>
      <c r="C7285" s="0" t="n">
        <v>39</v>
      </c>
      <c r="D7285" s="0" t="s">
        <v>3298</v>
      </c>
      <c r="E7285" s="0" t="n">
        <v>1835</v>
      </c>
      <c r="F7285" s="0" t="s">
        <v>2010</v>
      </c>
      <c r="I7285" s="0" t="n">
        <v>110228</v>
      </c>
      <c r="J7285" s="0" t="n">
        <v>82218</v>
      </c>
      <c r="K7285" s="0" t="n">
        <v>7898708505735</v>
      </c>
      <c r="L7285" s="0" t="s">
        <v>5182</v>
      </c>
      <c r="N7285" s="0" t="n">
        <v>3</v>
      </c>
      <c r="O7285" s="0" t="n">
        <v>256.41</v>
      </c>
      <c r="P7285" s="0" t="s">
        <v>2444</v>
      </c>
    </row>
    <row r="7286" customFormat="false" ht="15" hidden="false" customHeight="true" outlineLevel="0" collapsed="false">
      <c r="A7286" s="0" t="n">
        <v>2</v>
      </c>
      <c r="B7286" s="71" t="n">
        <v>46260</v>
      </c>
      <c r="C7286" s="0" t="n">
        <v>39</v>
      </c>
      <c r="D7286" s="0" t="s">
        <v>3298</v>
      </c>
      <c r="E7286" s="0" t="n">
        <v>1835</v>
      </c>
      <c r="F7286" s="0" t="s">
        <v>2010</v>
      </c>
      <c r="I7286" s="0" t="n">
        <v>110228</v>
      </c>
      <c r="J7286" s="0" t="n">
        <v>82219</v>
      </c>
      <c r="K7286" s="0" t="n">
        <v>7898708505520</v>
      </c>
      <c r="L7286" s="0" t="s">
        <v>5183</v>
      </c>
      <c r="N7286" s="0" t="n">
        <v>1</v>
      </c>
      <c r="O7286" s="0" t="n">
        <v>97.22</v>
      </c>
      <c r="P7286" s="0" t="s">
        <v>2444</v>
      </c>
    </row>
    <row r="7287" customFormat="false" ht="15" hidden="false" customHeight="true" outlineLevel="0" collapsed="false">
      <c r="A7287" s="0" t="n">
        <v>2</v>
      </c>
      <c r="B7287" s="71" t="n">
        <v>46260</v>
      </c>
      <c r="C7287" s="0" t="n">
        <v>100</v>
      </c>
      <c r="D7287" s="0" t="s">
        <v>2499</v>
      </c>
      <c r="E7287" s="0" t="n">
        <v>48</v>
      </c>
      <c r="F7287" s="0" t="s">
        <v>153</v>
      </c>
      <c r="I7287" s="0" t="n">
        <v>1604510</v>
      </c>
      <c r="J7287" s="0" t="n">
        <v>100000</v>
      </c>
      <c r="K7287" s="0" t="n">
        <v>1</v>
      </c>
      <c r="L7287" s="0" t="s">
        <v>2480</v>
      </c>
      <c r="N7287" s="0" t="n">
        <v>3.33</v>
      </c>
      <c r="O7287" s="0" t="n">
        <v>67.18</v>
      </c>
      <c r="P7287" s="0" t="s">
        <v>2444</v>
      </c>
    </row>
    <row r="7288" customFormat="false" ht="15" hidden="false" customHeight="true" outlineLevel="0" collapsed="false">
      <c r="A7288" s="0" t="n">
        <v>2</v>
      </c>
      <c r="B7288" s="71" t="n">
        <v>46260</v>
      </c>
      <c r="C7288" s="0" t="n">
        <v>100</v>
      </c>
      <c r="D7288" s="0" t="s">
        <v>2499</v>
      </c>
      <c r="E7288" s="0" t="n">
        <v>48</v>
      </c>
      <c r="F7288" s="0" t="s">
        <v>153</v>
      </c>
      <c r="I7288" s="0" t="n">
        <v>1604510</v>
      </c>
      <c r="J7288" s="0" t="n">
        <v>100005</v>
      </c>
      <c r="K7288" s="0" t="n">
        <v>6</v>
      </c>
      <c r="L7288" s="0" t="s">
        <v>2582</v>
      </c>
      <c r="N7288" s="0" t="n">
        <v>0.904</v>
      </c>
      <c r="O7288" s="0" t="n">
        <v>22.8</v>
      </c>
      <c r="P7288" s="0" t="s">
        <v>2444</v>
      </c>
    </row>
    <row r="7289" customFormat="false" ht="15" hidden="false" customHeight="true" outlineLevel="0" collapsed="false">
      <c r="A7289" s="0" t="n">
        <v>2</v>
      </c>
      <c r="B7289" s="71" t="n">
        <v>46260</v>
      </c>
      <c r="C7289" s="0" t="n">
        <v>100</v>
      </c>
      <c r="D7289" s="0" t="s">
        <v>2499</v>
      </c>
      <c r="E7289" s="0" t="n">
        <v>48</v>
      </c>
      <c r="F7289" s="0" t="s">
        <v>153</v>
      </c>
      <c r="I7289" s="0" t="n">
        <v>1604510</v>
      </c>
      <c r="J7289" s="0" t="n">
        <v>100006</v>
      </c>
      <c r="K7289" s="0" t="n">
        <v>7</v>
      </c>
      <c r="L7289" s="0" t="s">
        <v>2485</v>
      </c>
      <c r="N7289" s="0" t="n">
        <v>2.176</v>
      </c>
      <c r="O7289" s="0" t="n">
        <v>62.19</v>
      </c>
      <c r="P7289" s="0" t="s">
        <v>2444</v>
      </c>
    </row>
    <row r="7290" customFormat="false" ht="15" hidden="false" customHeight="true" outlineLevel="0" collapsed="false">
      <c r="A7290" s="0" t="n">
        <v>2</v>
      </c>
      <c r="B7290" s="71" t="n">
        <v>46260</v>
      </c>
      <c r="C7290" s="0" t="n">
        <v>100</v>
      </c>
      <c r="D7290" s="0" t="s">
        <v>2499</v>
      </c>
      <c r="E7290" s="0" t="n">
        <v>48</v>
      </c>
      <c r="F7290" s="0" t="s">
        <v>153</v>
      </c>
      <c r="I7290" s="0" t="n">
        <v>1604510</v>
      </c>
      <c r="J7290" s="0" t="n">
        <v>100007</v>
      </c>
      <c r="K7290" s="0" t="n">
        <v>8</v>
      </c>
      <c r="L7290" s="0" t="s">
        <v>2486</v>
      </c>
      <c r="N7290" s="0" t="n">
        <v>1.83</v>
      </c>
      <c r="O7290" s="0" t="n">
        <v>46.15</v>
      </c>
      <c r="P7290" s="0" t="s">
        <v>2444</v>
      </c>
    </row>
    <row r="7291" customFormat="false" ht="15" hidden="false" customHeight="true" outlineLevel="0" collapsed="false">
      <c r="A7291" s="0" t="n">
        <v>2</v>
      </c>
      <c r="B7291" s="71" t="n">
        <v>46260</v>
      </c>
      <c r="C7291" s="0" t="n">
        <v>100</v>
      </c>
      <c r="D7291" s="0" t="s">
        <v>2499</v>
      </c>
      <c r="E7291" s="0" t="n">
        <v>48</v>
      </c>
      <c r="F7291" s="0" t="s">
        <v>153</v>
      </c>
      <c r="I7291" s="0" t="n">
        <v>1604510</v>
      </c>
      <c r="J7291" s="0" t="n">
        <v>100008</v>
      </c>
      <c r="K7291" s="0" t="n">
        <v>9</v>
      </c>
      <c r="L7291" s="0" t="s">
        <v>2487</v>
      </c>
      <c r="N7291" s="0" t="n">
        <v>17.18</v>
      </c>
      <c r="O7291" s="0" t="n">
        <v>563.28</v>
      </c>
      <c r="P7291" s="0" t="s">
        <v>2444</v>
      </c>
    </row>
    <row r="7292" customFormat="false" ht="15" hidden="false" customHeight="true" outlineLevel="0" collapsed="false">
      <c r="A7292" s="0" t="n">
        <v>2</v>
      </c>
      <c r="B7292" s="71" t="n">
        <v>46260</v>
      </c>
      <c r="C7292" s="0" t="n">
        <v>100</v>
      </c>
      <c r="D7292" s="0" t="s">
        <v>2499</v>
      </c>
      <c r="E7292" s="0" t="n">
        <v>48</v>
      </c>
      <c r="F7292" s="0" t="s">
        <v>153</v>
      </c>
      <c r="I7292" s="0" t="n">
        <v>1604510</v>
      </c>
      <c r="J7292" s="0" t="n">
        <v>100011</v>
      </c>
      <c r="K7292" s="0" t="n">
        <v>12</v>
      </c>
      <c r="L7292" s="0" t="s">
        <v>2488</v>
      </c>
      <c r="N7292" s="0" t="n">
        <v>11.16</v>
      </c>
      <c r="O7292" s="0" t="n">
        <v>422.21</v>
      </c>
      <c r="P7292" s="0" t="s">
        <v>2444</v>
      </c>
    </row>
    <row r="7293" customFormat="false" ht="15" hidden="false" customHeight="true" outlineLevel="0" collapsed="false">
      <c r="A7293" s="0" t="n">
        <v>2</v>
      </c>
      <c r="B7293" s="71" t="n">
        <v>46260</v>
      </c>
      <c r="C7293" s="0" t="n">
        <v>100</v>
      </c>
      <c r="D7293" s="0" t="s">
        <v>2499</v>
      </c>
      <c r="E7293" s="0" t="n">
        <v>48</v>
      </c>
      <c r="F7293" s="0" t="s">
        <v>153</v>
      </c>
      <c r="I7293" s="0" t="n">
        <v>1604510</v>
      </c>
      <c r="J7293" s="0" t="n">
        <v>100012</v>
      </c>
      <c r="K7293" s="0" t="n">
        <v>13</v>
      </c>
      <c r="L7293" s="0" t="s">
        <v>2489</v>
      </c>
      <c r="N7293" s="0" t="n">
        <v>5.478</v>
      </c>
      <c r="O7293" s="0" t="n">
        <v>230.28</v>
      </c>
      <c r="P7293" s="0" t="s">
        <v>2444</v>
      </c>
    </row>
    <row r="7294" customFormat="false" ht="15" hidden="false" customHeight="true" outlineLevel="0" collapsed="false">
      <c r="A7294" s="0" t="n">
        <v>2</v>
      </c>
      <c r="B7294" s="71" t="n">
        <v>46260</v>
      </c>
      <c r="C7294" s="0" t="n">
        <v>100</v>
      </c>
      <c r="D7294" s="0" t="s">
        <v>2499</v>
      </c>
      <c r="E7294" s="0" t="n">
        <v>48</v>
      </c>
      <c r="F7294" s="0" t="s">
        <v>153</v>
      </c>
      <c r="I7294" s="0" t="n">
        <v>1604510</v>
      </c>
      <c r="J7294" s="0" t="n">
        <v>100013</v>
      </c>
      <c r="K7294" s="0" t="n">
        <v>14</v>
      </c>
      <c r="L7294" s="0" t="s">
        <v>2490</v>
      </c>
      <c r="N7294" s="0" t="n">
        <v>10.845</v>
      </c>
      <c r="O7294" s="0" t="n">
        <v>483.25</v>
      </c>
      <c r="P7294" s="0" t="s">
        <v>2444</v>
      </c>
    </row>
    <row r="7295" customFormat="false" ht="15" hidden="false" customHeight="true" outlineLevel="0" collapsed="false">
      <c r="A7295" s="0" t="n">
        <v>2</v>
      </c>
      <c r="B7295" s="71" t="n">
        <v>46260</v>
      </c>
      <c r="C7295" s="0" t="n">
        <v>100</v>
      </c>
      <c r="D7295" s="0" t="s">
        <v>2499</v>
      </c>
      <c r="E7295" s="0" t="n">
        <v>48</v>
      </c>
      <c r="F7295" s="0" t="s">
        <v>153</v>
      </c>
      <c r="I7295" s="0" t="n">
        <v>1604510</v>
      </c>
      <c r="J7295" s="0" t="n">
        <v>100014</v>
      </c>
      <c r="K7295" s="0" t="n">
        <v>15</v>
      </c>
      <c r="L7295" s="0" t="s">
        <v>2491</v>
      </c>
      <c r="N7295" s="0" t="n">
        <v>4.592</v>
      </c>
      <c r="O7295" s="0" t="n">
        <v>208.48</v>
      </c>
      <c r="P7295" s="0" t="s">
        <v>2444</v>
      </c>
    </row>
    <row r="7296" customFormat="false" ht="15" hidden="false" customHeight="true" outlineLevel="0" collapsed="false">
      <c r="A7296" s="0" t="n">
        <v>2</v>
      </c>
      <c r="B7296" s="71" t="n">
        <v>46260</v>
      </c>
      <c r="C7296" s="0" t="n">
        <v>100</v>
      </c>
      <c r="D7296" s="0" t="s">
        <v>2499</v>
      </c>
      <c r="E7296" s="0" t="n">
        <v>48</v>
      </c>
      <c r="F7296" s="0" t="s">
        <v>153</v>
      </c>
      <c r="I7296" s="0" t="n">
        <v>1604510</v>
      </c>
      <c r="J7296" s="0" t="n">
        <v>100015</v>
      </c>
      <c r="K7296" s="0" t="n">
        <v>16</v>
      </c>
      <c r="L7296" s="0" t="s">
        <v>2492</v>
      </c>
      <c r="N7296" s="0" t="n">
        <v>1.998</v>
      </c>
      <c r="O7296" s="0" t="n">
        <v>80.63</v>
      </c>
      <c r="P7296" s="0" t="s">
        <v>2444</v>
      </c>
    </row>
    <row r="7297" customFormat="false" ht="15" hidden="false" customHeight="true" outlineLevel="0" collapsed="false">
      <c r="A7297" s="0" t="n">
        <v>2</v>
      </c>
      <c r="B7297" s="71" t="n">
        <v>46260</v>
      </c>
      <c r="C7297" s="0" t="n">
        <v>100</v>
      </c>
      <c r="D7297" s="0" t="s">
        <v>2499</v>
      </c>
      <c r="E7297" s="0" t="n">
        <v>48</v>
      </c>
      <c r="F7297" s="0" t="s">
        <v>153</v>
      </c>
      <c r="I7297" s="0" t="n">
        <v>1604510</v>
      </c>
      <c r="J7297" s="0" t="n">
        <v>100016</v>
      </c>
      <c r="K7297" s="0" t="n">
        <v>17</v>
      </c>
      <c r="L7297" s="0" t="s">
        <v>2493</v>
      </c>
      <c r="N7297" s="0" t="n">
        <v>2.496</v>
      </c>
      <c r="O7297" s="0" t="n">
        <v>125.91</v>
      </c>
      <c r="P7297" s="0" t="s">
        <v>2444</v>
      </c>
    </row>
    <row r="7298" customFormat="false" ht="15" hidden="false" customHeight="true" outlineLevel="0" collapsed="false">
      <c r="A7298" s="0" t="n">
        <v>2</v>
      </c>
      <c r="B7298" s="71" t="n">
        <v>46260</v>
      </c>
      <c r="C7298" s="0" t="n">
        <v>100</v>
      </c>
      <c r="D7298" s="0" t="s">
        <v>2499</v>
      </c>
      <c r="E7298" s="0" t="n">
        <v>48</v>
      </c>
      <c r="F7298" s="0" t="s">
        <v>153</v>
      </c>
      <c r="I7298" s="0" t="n">
        <v>1604510</v>
      </c>
      <c r="J7298" s="0" t="n">
        <v>100017</v>
      </c>
      <c r="K7298" s="0" t="n">
        <v>18</v>
      </c>
      <c r="L7298" s="0" t="s">
        <v>2494</v>
      </c>
      <c r="N7298" s="0" t="n">
        <v>1.654</v>
      </c>
      <c r="O7298" s="0" t="n">
        <v>97.35</v>
      </c>
      <c r="P7298" s="0" t="s">
        <v>2444</v>
      </c>
    </row>
    <row r="7299" customFormat="false" ht="15" hidden="false" customHeight="true" outlineLevel="0" collapsed="false">
      <c r="A7299" s="0" t="n">
        <v>2</v>
      </c>
      <c r="B7299" s="71" t="n">
        <v>46260</v>
      </c>
      <c r="C7299" s="0" t="n">
        <v>100</v>
      </c>
      <c r="D7299" s="0" t="s">
        <v>2499</v>
      </c>
      <c r="E7299" s="0" t="n">
        <v>48</v>
      </c>
      <c r="F7299" s="0" t="s">
        <v>153</v>
      </c>
      <c r="I7299" s="0" t="n">
        <v>1604510</v>
      </c>
      <c r="J7299" s="0" t="n">
        <v>100020</v>
      </c>
      <c r="K7299" s="0" t="n">
        <v>21</v>
      </c>
      <c r="L7299" s="0" t="s">
        <v>4878</v>
      </c>
      <c r="N7299" s="0" t="n">
        <v>0.4</v>
      </c>
      <c r="O7299" s="0" t="n">
        <v>13.11</v>
      </c>
      <c r="P7299" s="0" t="s">
        <v>2444</v>
      </c>
    </row>
    <row r="7300" customFormat="false" ht="15" hidden="false" customHeight="true" outlineLevel="0" collapsed="false">
      <c r="A7300" s="0" t="n">
        <v>2</v>
      </c>
      <c r="B7300" s="71" t="n">
        <v>46260</v>
      </c>
      <c r="C7300" s="0" t="n">
        <v>100</v>
      </c>
      <c r="D7300" s="0" t="s">
        <v>2499</v>
      </c>
      <c r="E7300" s="0" t="n">
        <v>48</v>
      </c>
      <c r="F7300" s="0" t="s">
        <v>153</v>
      </c>
      <c r="I7300" s="0" t="n">
        <v>1604510</v>
      </c>
      <c r="J7300" s="0" t="n">
        <v>100053</v>
      </c>
      <c r="K7300" s="0" t="n">
        <v>54</v>
      </c>
      <c r="L7300" s="0" t="s">
        <v>2495</v>
      </c>
      <c r="N7300" s="0" t="n">
        <v>2.644</v>
      </c>
      <c r="O7300" s="0" t="n">
        <v>97.8</v>
      </c>
      <c r="P7300" s="0" t="s">
        <v>2444</v>
      </c>
    </row>
    <row r="7301" customFormat="false" ht="15" hidden="false" customHeight="true" outlineLevel="0" collapsed="false">
      <c r="A7301" s="0" t="n">
        <v>2</v>
      </c>
      <c r="B7301" s="71" t="n">
        <v>46260</v>
      </c>
      <c r="C7301" s="0" t="n">
        <v>100</v>
      </c>
      <c r="D7301" s="0" t="s">
        <v>2499</v>
      </c>
      <c r="E7301" s="0" t="n">
        <v>48</v>
      </c>
      <c r="F7301" s="0" t="s">
        <v>153</v>
      </c>
      <c r="I7301" s="0" t="n">
        <v>1604510</v>
      </c>
      <c r="J7301" s="0" t="n">
        <v>100638</v>
      </c>
      <c r="K7301" s="0" t="n">
        <v>508</v>
      </c>
      <c r="L7301" s="0" t="s">
        <v>2496</v>
      </c>
      <c r="N7301" s="0" t="n">
        <v>2.184</v>
      </c>
      <c r="O7301" s="0" t="n">
        <v>5.49</v>
      </c>
      <c r="P7301" s="0" t="s">
        <v>2444</v>
      </c>
    </row>
    <row r="7302" customFormat="false" ht="15" hidden="false" customHeight="true" outlineLevel="0" collapsed="false">
      <c r="A7302" s="0" t="n">
        <v>2</v>
      </c>
      <c r="B7302" s="71" t="n">
        <v>46260</v>
      </c>
      <c r="C7302" s="0" t="n">
        <v>100</v>
      </c>
      <c r="D7302" s="0" t="s">
        <v>2499</v>
      </c>
      <c r="E7302" s="0" t="n">
        <v>48</v>
      </c>
      <c r="F7302" s="0" t="s">
        <v>153</v>
      </c>
      <c r="I7302" s="0" t="n">
        <v>1604510</v>
      </c>
      <c r="J7302" s="0" t="n">
        <v>100520</v>
      </c>
      <c r="K7302" s="0" t="n">
        <v>507</v>
      </c>
      <c r="L7302" s="0" t="s">
        <v>2497</v>
      </c>
      <c r="N7302" s="0" t="n">
        <v>8.71</v>
      </c>
      <c r="O7302" s="0" t="n">
        <v>21.9</v>
      </c>
      <c r="P7302" s="0" t="s">
        <v>2444</v>
      </c>
    </row>
    <row r="7303" customFormat="false" ht="15" hidden="false" customHeight="true" outlineLevel="0" collapsed="false">
      <c r="A7303" s="0" t="n">
        <v>2</v>
      </c>
      <c r="B7303" s="71" t="n">
        <v>46260</v>
      </c>
      <c r="C7303" s="0" t="n">
        <v>100</v>
      </c>
      <c r="D7303" s="0" t="s">
        <v>2499</v>
      </c>
      <c r="E7303" s="0" t="n">
        <v>48</v>
      </c>
      <c r="F7303" s="0" t="s">
        <v>153</v>
      </c>
      <c r="I7303" s="0" t="n">
        <v>1604510</v>
      </c>
      <c r="J7303" s="0" t="n">
        <v>110455</v>
      </c>
      <c r="K7303" s="0" t="n">
        <v>53212</v>
      </c>
      <c r="L7303" s="0" t="s">
        <v>2498</v>
      </c>
      <c r="N7303" s="0" t="n">
        <v>0.819</v>
      </c>
      <c r="O7303" s="0" t="n">
        <v>0</v>
      </c>
      <c r="P7303" s="0" t="s">
        <v>2444</v>
      </c>
    </row>
    <row r="7304" customFormat="false" ht="15" hidden="false" customHeight="true" outlineLevel="0" collapsed="false">
      <c r="A7304" s="0" t="n">
        <v>2</v>
      </c>
      <c r="B7304" s="71" t="n">
        <v>46260</v>
      </c>
      <c r="C7304" s="0" t="n">
        <v>100</v>
      </c>
      <c r="D7304" s="0" t="s">
        <v>2499</v>
      </c>
      <c r="E7304" s="0" t="n">
        <v>48</v>
      </c>
      <c r="F7304" s="0" t="s">
        <v>153</v>
      </c>
      <c r="I7304" s="0" t="n">
        <v>1604514</v>
      </c>
      <c r="J7304" s="0" t="n">
        <v>100008</v>
      </c>
      <c r="K7304" s="0" t="n">
        <v>9</v>
      </c>
      <c r="L7304" s="0" t="s">
        <v>2487</v>
      </c>
      <c r="N7304" s="0" t="n">
        <v>18.58</v>
      </c>
      <c r="O7304" s="0" t="n">
        <v>571.25</v>
      </c>
      <c r="P7304" s="0" t="s">
        <v>2444</v>
      </c>
    </row>
    <row r="7305" customFormat="false" ht="15" hidden="false" customHeight="true" outlineLevel="0" collapsed="false">
      <c r="A7305" s="0" t="n">
        <v>2</v>
      </c>
      <c r="B7305" s="71" t="n">
        <v>46260</v>
      </c>
      <c r="C7305" s="0" t="n">
        <v>100</v>
      </c>
      <c r="D7305" s="0" t="s">
        <v>2499</v>
      </c>
      <c r="E7305" s="0" t="n">
        <v>48</v>
      </c>
      <c r="F7305" s="0" t="s">
        <v>153</v>
      </c>
      <c r="I7305" s="0" t="n">
        <v>1604514</v>
      </c>
      <c r="J7305" s="0" t="n">
        <v>100016</v>
      </c>
      <c r="K7305" s="0" t="n">
        <v>17</v>
      </c>
      <c r="L7305" s="0" t="s">
        <v>2493</v>
      </c>
      <c r="N7305" s="0" t="n">
        <v>2.58</v>
      </c>
      <c r="O7305" s="0" t="n">
        <v>122.05</v>
      </c>
      <c r="P7305" s="0" t="s">
        <v>2444</v>
      </c>
    </row>
    <row r="7306" customFormat="false" ht="15" hidden="false" customHeight="true" outlineLevel="0" collapsed="false">
      <c r="A7306" s="0" t="n">
        <v>2</v>
      </c>
      <c r="B7306" s="71" t="n">
        <v>46260</v>
      </c>
      <c r="C7306" s="0" t="n">
        <v>100</v>
      </c>
      <c r="D7306" s="0" t="s">
        <v>2499</v>
      </c>
      <c r="E7306" s="0" t="n">
        <v>48</v>
      </c>
      <c r="F7306" s="0" t="s">
        <v>153</v>
      </c>
      <c r="I7306" s="0" t="n">
        <v>1604514</v>
      </c>
      <c r="J7306" s="0" t="n">
        <v>100053</v>
      </c>
      <c r="K7306" s="0" t="n">
        <v>54</v>
      </c>
      <c r="L7306" s="0" t="s">
        <v>2495</v>
      </c>
      <c r="N7306" s="0" t="n">
        <v>3.53</v>
      </c>
      <c r="O7306" s="0" t="n">
        <v>122.45</v>
      </c>
      <c r="P7306" s="0" t="s">
        <v>2444</v>
      </c>
    </row>
    <row r="7307" customFormat="false" ht="15" hidden="false" customHeight="true" outlineLevel="0" collapsed="false">
      <c r="A7307" s="0" t="n">
        <v>2</v>
      </c>
      <c r="B7307" s="71" t="n">
        <v>46260</v>
      </c>
      <c r="C7307" s="0" t="n">
        <v>100</v>
      </c>
      <c r="D7307" s="0" t="s">
        <v>2499</v>
      </c>
      <c r="E7307" s="0" t="n">
        <v>48</v>
      </c>
      <c r="F7307" s="0" t="s">
        <v>153</v>
      </c>
      <c r="I7307" s="0" t="n">
        <v>1604514</v>
      </c>
      <c r="J7307" s="0" t="n">
        <v>110455</v>
      </c>
      <c r="K7307" s="0" t="n">
        <v>53212</v>
      </c>
      <c r="L7307" s="0" t="s">
        <v>2498</v>
      </c>
      <c r="N7307" s="0" t="n">
        <v>0.41</v>
      </c>
      <c r="O7307" s="0" t="n">
        <v>0</v>
      </c>
      <c r="P7307" s="0" t="s">
        <v>2444</v>
      </c>
    </row>
    <row r="7308" customFormat="false" ht="15" hidden="false" customHeight="true" outlineLevel="0" collapsed="false">
      <c r="A7308" s="0" t="n">
        <v>2</v>
      </c>
      <c r="B7308" s="71" t="n">
        <v>46261</v>
      </c>
      <c r="C7308" s="0" t="n">
        <v>6</v>
      </c>
      <c r="D7308" s="0" t="s">
        <v>2553</v>
      </c>
      <c r="E7308" s="0" t="n">
        <v>48</v>
      </c>
      <c r="F7308" s="0" t="s">
        <v>153</v>
      </c>
      <c r="I7308" s="0" t="n">
        <v>2635</v>
      </c>
      <c r="J7308" s="0" t="n">
        <v>42564</v>
      </c>
      <c r="K7308" s="0" t="n">
        <v>574</v>
      </c>
      <c r="L7308" s="0" t="s">
        <v>2534</v>
      </c>
      <c r="N7308" s="0" t="n">
        <v>15</v>
      </c>
      <c r="O7308" s="0" t="n">
        <v>225</v>
      </c>
      <c r="P7308" s="0" t="s">
        <v>2444</v>
      </c>
    </row>
    <row r="7309" customFormat="false" ht="15" hidden="false" customHeight="true" outlineLevel="0" collapsed="false">
      <c r="A7309" s="0" t="n">
        <v>2</v>
      </c>
      <c r="B7309" s="71" t="n">
        <v>46261</v>
      </c>
      <c r="C7309" s="0" t="n">
        <v>11</v>
      </c>
      <c r="D7309" s="0" t="s">
        <v>2471</v>
      </c>
      <c r="E7309" s="0" t="n">
        <v>10096</v>
      </c>
      <c r="F7309" s="0" t="s">
        <v>622</v>
      </c>
      <c r="I7309" s="0" t="n">
        <v>213</v>
      </c>
      <c r="J7309" s="0" t="n">
        <v>61580</v>
      </c>
      <c r="K7309" s="0" t="n">
        <v>2258157</v>
      </c>
      <c r="L7309" s="0" t="s">
        <v>2509</v>
      </c>
      <c r="N7309" s="0" t="n">
        <v>10</v>
      </c>
      <c r="O7309" s="0" t="n">
        <v>120</v>
      </c>
      <c r="P7309" s="0" t="s">
        <v>2444</v>
      </c>
    </row>
    <row r="7310" customFormat="false" ht="15" hidden="false" customHeight="true" outlineLevel="0" collapsed="false">
      <c r="A7310" s="0" t="n">
        <v>2</v>
      </c>
      <c r="B7310" s="71" t="n">
        <v>46261</v>
      </c>
      <c r="C7310" s="0" t="n">
        <v>11</v>
      </c>
      <c r="D7310" s="0" t="s">
        <v>2471</v>
      </c>
      <c r="E7310" s="0" t="n">
        <v>10096</v>
      </c>
      <c r="F7310" s="0" t="s">
        <v>622</v>
      </c>
      <c r="I7310" s="0" t="n">
        <v>213</v>
      </c>
      <c r="J7310" s="0" t="n">
        <v>61597</v>
      </c>
      <c r="K7310" s="0" t="n">
        <v>2258188</v>
      </c>
      <c r="L7310" s="0" t="s">
        <v>2510</v>
      </c>
      <c r="N7310" s="0" t="n">
        <v>5</v>
      </c>
      <c r="O7310" s="0" t="n">
        <v>20</v>
      </c>
      <c r="P7310" s="0" t="s">
        <v>2444</v>
      </c>
    </row>
    <row r="7311" customFormat="false" ht="15" hidden="false" customHeight="true" outlineLevel="0" collapsed="false">
      <c r="A7311" s="0" t="n">
        <v>2</v>
      </c>
      <c r="B7311" s="71" t="n">
        <v>46261</v>
      </c>
      <c r="C7311" s="0" t="n">
        <v>11</v>
      </c>
      <c r="D7311" s="0" t="s">
        <v>2471</v>
      </c>
      <c r="E7311" s="0" t="n">
        <v>10018</v>
      </c>
      <c r="F7311" s="0" t="s">
        <v>216</v>
      </c>
      <c r="I7311" s="0" t="n">
        <v>374</v>
      </c>
      <c r="J7311" s="0" t="n">
        <v>100933</v>
      </c>
      <c r="K7311" s="0" t="n">
        <v>7896982100059</v>
      </c>
      <c r="L7311" s="0" t="s">
        <v>2500</v>
      </c>
      <c r="N7311" s="0" t="n">
        <v>1800</v>
      </c>
      <c r="O7311" s="0" t="n">
        <v>895</v>
      </c>
      <c r="P7311" s="0" t="s">
        <v>2444</v>
      </c>
    </row>
    <row r="7312" customFormat="false" ht="15" hidden="false" customHeight="true" outlineLevel="0" collapsed="false">
      <c r="A7312" s="0" t="n">
        <v>2</v>
      </c>
      <c r="B7312" s="71" t="n">
        <v>46261</v>
      </c>
      <c r="C7312" s="0" t="n">
        <v>11</v>
      </c>
      <c r="D7312" s="0" t="s">
        <v>2471</v>
      </c>
      <c r="E7312" s="0" t="n">
        <v>1270</v>
      </c>
      <c r="F7312" s="0" t="s">
        <v>925</v>
      </c>
      <c r="I7312" s="0" t="n">
        <v>2859</v>
      </c>
      <c r="J7312" s="0" t="n">
        <v>31996</v>
      </c>
      <c r="K7312" s="0" t="n">
        <v>7688659330483</v>
      </c>
      <c r="L7312" s="0" t="s">
        <v>5184</v>
      </c>
      <c r="N7312" s="0" t="n">
        <v>24</v>
      </c>
      <c r="O7312" s="0" t="n">
        <v>120</v>
      </c>
      <c r="P7312" s="0" t="s">
        <v>2444</v>
      </c>
    </row>
    <row r="7313" customFormat="false" ht="15" hidden="false" customHeight="true" outlineLevel="0" collapsed="false">
      <c r="A7313" s="0" t="n">
        <v>2</v>
      </c>
      <c r="B7313" s="71" t="n">
        <v>46261</v>
      </c>
      <c r="C7313" s="0" t="n">
        <v>11</v>
      </c>
      <c r="D7313" s="0" t="s">
        <v>2471</v>
      </c>
      <c r="E7313" s="0" t="n">
        <v>1270</v>
      </c>
      <c r="F7313" s="0" t="s">
        <v>925</v>
      </c>
      <c r="I7313" s="0" t="n">
        <v>2859</v>
      </c>
      <c r="J7313" s="0" t="n">
        <v>69933</v>
      </c>
      <c r="K7313" s="0" t="n">
        <v>7898733030127</v>
      </c>
      <c r="L7313" s="0" t="s">
        <v>5185</v>
      </c>
      <c r="N7313" s="0" t="n">
        <v>20</v>
      </c>
      <c r="O7313" s="0" t="n">
        <v>70</v>
      </c>
      <c r="P7313" s="0" t="s">
        <v>2444</v>
      </c>
    </row>
    <row r="7314" customFormat="false" ht="15" hidden="false" customHeight="true" outlineLevel="0" collapsed="false">
      <c r="A7314" s="0" t="n">
        <v>2</v>
      </c>
      <c r="B7314" s="71" t="n">
        <v>46261</v>
      </c>
      <c r="C7314" s="0" t="n">
        <v>11</v>
      </c>
      <c r="D7314" s="0" t="s">
        <v>2471</v>
      </c>
      <c r="E7314" s="0" t="n">
        <v>1609</v>
      </c>
      <c r="F7314" s="0" t="s">
        <v>84</v>
      </c>
      <c r="I7314" s="0" t="n">
        <v>6042</v>
      </c>
      <c r="J7314" s="0" t="n">
        <v>102382</v>
      </c>
      <c r="K7314" s="0" t="n">
        <v>7896981600673</v>
      </c>
      <c r="L7314" s="0" t="s">
        <v>3452</v>
      </c>
      <c r="N7314" s="0" t="n">
        <v>24</v>
      </c>
      <c r="O7314" s="0" t="n">
        <v>60</v>
      </c>
      <c r="P7314" s="0" t="s">
        <v>2444</v>
      </c>
    </row>
    <row r="7315" customFormat="false" ht="15" hidden="false" customHeight="true" outlineLevel="0" collapsed="false">
      <c r="A7315" s="0" t="n">
        <v>2</v>
      </c>
      <c r="B7315" s="71" t="n">
        <v>46261</v>
      </c>
      <c r="C7315" s="0" t="n">
        <v>11</v>
      </c>
      <c r="D7315" s="0" t="s">
        <v>2471</v>
      </c>
      <c r="E7315" s="0" t="n">
        <v>1609</v>
      </c>
      <c r="F7315" s="0" t="s">
        <v>84</v>
      </c>
      <c r="I7315" s="0" t="n">
        <v>6042</v>
      </c>
      <c r="J7315" s="0" t="n">
        <v>13225</v>
      </c>
      <c r="K7315" s="0" t="n">
        <v>7896981601151</v>
      </c>
      <c r="L7315" s="0" t="s">
        <v>3453</v>
      </c>
      <c r="N7315" s="0" t="n">
        <v>12</v>
      </c>
      <c r="O7315" s="0" t="n">
        <v>45</v>
      </c>
      <c r="P7315" s="0" t="s">
        <v>2444</v>
      </c>
    </row>
    <row r="7316" customFormat="false" ht="15" hidden="false" customHeight="true" outlineLevel="0" collapsed="false">
      <c r="A7316" s="0" t="n">
        <v>2</v>
      </c>
      <c r="B7316" s="71" t="n">
        <v>46261</v>
      </c>
      <c r="C7316" s="0" t="n">
        <v>11</v>
      </c>
      <c r="D7316" s="0" t="s">
        <v>2471</v>
      </c>
      <c r="E7316" s="0" t="n">
        <v>1609</v>
      </c>
      <c r="F7316" s="0" t="s">
        <v>84</v>
      </c>
      <c r="I7316" s="0" t="n">
        <v>6042</v>
      </c>
      <c r="J7316" s="0" t="n">
        <v>17163</v>
      </c>
      <c r="K7316" s="0" t="n">
        <v>7896981600567</v>
      </c>
      <c r="L7316" s="0" t="s">
        <v>2609</v>
      </c>
      <c r="N7316" s="0" t="n">
        <v>9</v>
      </c>
      <c r="O7316" s="0" t="n">
        <v>80</v>
      </c>
      <c r="P7316" s="0" t="s">
        <v>2444</v>
      </c>
    </row>
    <row r="7317" customFormat="false" ht="15" hidden="false" customHeight="true" outlineLevel="0" collapsed="false">
      <c r="A7317" s="0" t="n">
        <v>2</v>
      </c>
      <c r="B7317" s="71" t="n">
        <v>46261</v>
      </c>
      <c r="C7317" s="0" t="n">
        <v>11</v>
      </c>
      <c r="D7317" s="0" t="s">
        <v>2471</v>
      </c>
      <c r="E7317" s="0" t="n">
        <v>1609</v>
      </c>
      <c r="F7317" s="0" t="s">
        <v>84</v>
      </c>
      <c r="I7317" s="0" t="n">
        <v>6042</v>
      </c>
      <c r="J7317" s="0" t="n">
        <v>18382</v>
      </c>
      <c r="K7317" s="0" t="n">
        <v>7896878801190</v>
      </c>
      <c r="L7317" s="0" t="s">
        <v>2610</v>
      </c>
      <c r="N7317" s="0" t="n">
        <v>30</v>
      </c>
      <c r="O7317" s="0" t="n">
        <v>57</v>
      </c>
      <c r="P7317" s="0" t="s">
        <v>2444</v>
      </c>
    </row>
    <row r="7318" customFormat="false" ht="15" hidden="false" customHeight="true" outlineLevel="0" collapsed="false">
      <c r="A7318" s="0" t="n">
        <v>2</v>
      </c>
      <c r="B7318" s="71" t="n">
        <v>46261</v>
      </c>
      <c r="C7318" s="0" t="n">
        <v>11</v>
      </c>
      <c r="D7318" s="0" t="s">
        <v>2471</v>
      </c>
      <c r="E7318" s="0" t="n">
        <v>1609</v>
      </c>
      <c r="F7318" s="0" t="s">
        <v>84</v>
      </c>
      <c r="I7318" s="0" t="n">
        <v>6042</v>
      </c>
      <c r="J7318" s="0" t="n">
        <v>18384</v>
      </c>
      <c r="K7318" s="0" t="n">
        <v>7896878801206</v>
      </c>
      <c r="L7318" s="0" t="s">
        <v>2612</v>
      </c>
      <c r="N7318" s="0" t="n">
        <v>20</v>
      </c>
      <c r="O7318" s="0" t="n">
        <v>61</v>
      </c>
      <c r="P7318" s="0" t="s">
        <v>2444</v>
      </c>
    </row>
    <row r="7319" customFormat="false" ht="15" hidden="false" customHeight="true" outlineLevel="0" collapsed="false">
      <c r="A7319" s="0" t="n">
        <v>2</v>
      </c>
      <c r="B7319" s="71" t="n">
        <v>46261</v>
      </c>
      <c r="C7319" s="0" t="n">
        <v>11</v>
      </c>
      <c r="D7319" s="0" t="s">
        <v>2471</v>
      </c>
      <c r="E7319" s="0" t="n">
        <v>1609</v>
      </c>
      <c r="F7319" s="0" t="s">
        <v>84</v>
      </c>
      <c r="I7319" s="0" t="n">
        <v>6042</v>
      </c>
      <c r="J7319" s="0" t="n">
        <v>18385</v>
      </c>
      <c r="K7319" s="0" t="n">
        <v>7896878801220</v>
      </c>
      <c r="L7319" s="0" t="s">
        <v>2613</v>
      </c>
      <c r="N7319" s="0" t="n">
        <v>9</v>
      </c>
      <c r="O7319" s="0" t="n">
        <v>70.65</v>
      </c>
      <c r="P7319" s="0" t="s">
        <v>2444</v>
      </c>
    </row>
    <row r="7320" customFormat="false" ht="15" hidden="false" customHeight="true" outlineLevel="0" collapsed="false">
      <c r="A7320" s="0" t="n">
        <v>2</v>
      </c>
      <c r="B7320" s="71" t="n">
        <v>46261</v>
      </c>
      <c r="C7320" s="0" t="n">
        <v>11</v>
      </c>
      <c r="D7320" s="0" t="s">
        <v>2471</v>
      </c>
      <c r="E7320" s="0" t="n">
        <v>1609</v>
      </c>
      <c r="F7320" s="0" t="s">
        <v>84</v>
      </c>
      <c r="I7320" s="0" t="n">
        <v>6042</v>
      </c>
      <c r="J7320" s="0" t="n">
        <v>18775</v>
      </c>
      <c r="K7320" s="0" t="n">
        <v>7896878801237</v>
      </c>
      <c r="L7320" s="0" t="s">
        <v>2614</v>
      </c>
      <c r="N7320" s="0" t="n">
        <v>20</v>
      </c>
      <c r="O7320" s="0" t="n">
        <v>68</v>
      </c>
      <c r="P7320" s="0" t="s">
        <v>2444</v>
      </c>
    </row>
    <row r="7321" customFormat="false" ht="15" hidden="false" customHeight="true" outlineLevel="0" collapsed="false">
      <c r="A7321" s="0" t="n">
        <v>2</v>
      </c>
      <c r="B7321" s="71" t="n">
        <v>46261</v>
      </c>
      <c r="C7321" s="0" t="n">
        <v>11</v>
      </c>
      <c r="D7321" s="0" t="s">
        <v>2471</v>
      </c>
      <c r="E7321" s="0" t="n">
        <v>1609</v>
      </c>
      <c r="F7321" s="0" t="s">
        <v>84</v>
      </c>
      <c r="I7321" s="0" t="n">
        <v>6042</v>
      </c>
      <c r="J7321" s="0" t="n">
        <v>18968</v>
      </c>
      <c r="K7321" s="0" t="n">
        <v>7896878801244</v>
      </c>
      <c r="L7321" s="0" t="s">
        <v>2616</v>
      </c>
      <c r="N7321" s="0" t="n">
        <v>20</v>
      </c>
      <c r="O7321" s="0" t="n">
        <v>68</v>
      </c>
      <c r="P7321" s="0" t="s">
        <v>2444</v>
      </c>
    </row>
    <row r="7322" customFormat="false" ht="15" hidden="false" customHeight="true" outlineLevel="0" collapsed="false">
      <c r="A7322" s="0" t="n">
        <v>2</v>
      </c>
      <c r="B7322" s="71" t="n">
        <v>46261</v>
      </c>
      <c r="C7322" s="0" t="n">
        <v>11</v>
      </c>
      <c r="D7322" s="0" t="s">
        <v>2471</v>
      </c>
      <c r="E7322" s="0" t="n">
        <v>1609</v>
      </c>
      <c r="F7322" s="0" t="s">
        <v>84</v>
      </c>
      <c r="I7322" s="0" t="n">
        <v>6042</v>
      </c>
      <c r="J7322" s="0" t="n">
        <v>19201</v>
      </c>
      <c r="K7322" s="0" t="n">
        <v>7896878801015</v>
      </c>
      <c r="L7322" s="0" t="s">
        <v>3988</v>
      </c>
      <c r="N7322" s="0" t="n">
        <v>20</v>
      </c>
      <c r="O7322" s="0" t="n">
        <v>80</v>
      </c>
      <c r="P7322" s="0" t="s">
        <v>2444</v>
      </c>
    </row>
    <row r="7323" customFormat="false" ht="15" hidden="false" customHeight="true" outlineLevel="0" collapsed="false">
      <c r="A7323" s="0" t="n">
        <v>2</v>
      </c>
      <c r="B7323" s="71" t="n">
        <v>46261</v>
      </c>
      <c r="C7323" s="0" t="n">
        <v>11</v>
      </c>
      <c r="D7323" s="0" t="s">
        <v>2471</v>
      </c>
      <c r="E7323" s="0" t="n">
        <v>1609</v>
      </c>
      <c r="F7323" s="0" t="s">
        <v>84</v>
      </c>
      <c r="I7323" s="0" t="n">
        <v>6042</v>
      </c>
      <c r="J7323" s="0" t="n">
        <v>24963</v>
      </c>
      <c r="K7323" s="0" t="n">
        <v>7896878801060</v>
      </c>
      <c r="L7323" s="0" t="s">
        <v>2618</v>
      </c>
      <c r="N7323" s="0" t="n">
        <v>2</v>
      </c>
      <c r="O7323" s="0" t="n">
        <v>15.7</v>
      </c>
      <c r="P7323" s="0" t="s">
        <v>2444</v>
      </c>
    </row>
    <row r="7324" customFormat="false" ht="15" hidden="false" customHeight="true" outlineLevel="0" collapsed="false">
      <c r="A7324" s="0" t="n">
        <v>2</v>
      </c>
      <c r="B7324" s="71" t="n">
        <v>46261</v>
      </c>
      <c r="C7324" s="0" t="n">
        <v>11</v>
      </c>
      <c r="D7324" s="0" t="s">
        <v>2471</v>
      </c>
      <c r="E7324" s="0" t="n">
        <v>1609</v>
      </c>
      <c r="F7324" s="0" t="s">
        <v>84</v>
      </c>
      <c r="I7324" s="0" t="n">
        <v>6042</v>
      </c>
      <c r="J7324" s="0" t="n">
        <v>24964</v>
      </c>
      <c r="K7324" s="0" t="n">
        <v>7896878801183</v>
      </c>
      <c r="L7324" s="0" t="s">
        <v>2619</v>
      </c>
      <c r="N7324" s="0" t="n">
        <v>2</v>
      </c>
      <c r="O7324" s="0" t="n">
        <v>15.7</v>
      </c>
      <c r="P7324" s="0" t="s">
        <v>2444</v>
      </c>
    </row>
    <row r="7325" customFormat="false" ht="15" hidden="false" customHeight="true" outlineLevel="0" collapsed="false">
      <c r="A7325" s="0" t="n">
        <v>2</v>
      </c>
      <c r="B7325" s="71" t="n">
        <v>46261</v>
      </c>
      <c r="C7325" s="0" t="n">
        <v>11</v>
      </c>
      <c r="D7325" s="0" t="s">
        <v>2471</v>
      </c>
      <c r="E7325" s="0" t="n">
        <v>1609</v>
      </c>
      <c r="F7325" s="0" t="s">
        <v>84</v>
      </c>
      <c r="I7325" s="0" t="n">
        <v>6042</v>
      </c>
      <c r="J7325" s="0" t="n">
        <v>24965</v>
      </c>
      <c r="K7325" s="0" t="n">
        <v>7896878801107</v>
      </c>
      <c r="L7325" s="0" t="s">
        <v>2620</v>
      </c>
      <c r="N7325" s="0" t="n">
        <v>3</v>
      </c>
      <c r="O7325" s="0" t="n">
        <v>23.55</v>
      </c>
      <c r="P7325" s="0" t="s">
        <v>2444</v>
      </c>
    </row>
    <row r="7326" customFormat="false" ht="15" hidden="false" customHeight="true" outlineLevel="0" collapsed="false">
      <c r="A7326" s="0" t="n">
        <v>2</v>
      </c>
      <c r="B7326" s="71" t="n">
        <v>46261</v>
      </c>
      <c r="C7326" s="0" t="n">
        <v>11</v>
      </c>
      <c r="D7326" s="0" t="s">
        <v>2471</v>
      </c>
      <c r="E7326" s="0" t="n">
        <v>1609</v>
      </c>
      <c r="F7326" s="0" t="s">
        <v>84</v>
      </c>
      <c r="I7326" s="0" t="n">
        <v>6042</v>
      </c>
      <c r="J7326" s="0" t="n">
        <v>32861</v>
      </c>
      <c r="K7326" s="0" t="n">
        <v>7896878801145</v>
      </c>
      <c r="L7326" s="0" t="s">
        <v>2621</v>
      </c>
      <c r="N7326" s="0" t="n">
        <v>2</v>
      </c>
      <c r="O7326" s="0" t="n">
        <v>15.7</v>
      </c>
      <c r="P7326" s="0" t="s">
        <v>2444</v>
      </c>
    </row>
    <row r="7327" customFormat="false" ht="15" hidden="false" customHeight="true" outlineLevel="0" collapsed="false">
      <c r="A7327" s="0" t="n">
        <v>2</v>
      </c>
      <c r="B7327" s="71" t="n">
        <v>46261</v>
      </c>
      <c r="C7327" s="0" t="n">
        <v>11</v>
      </c>
      <c r="D7327" s="0" t="s">
        <v>2471</v>
      </c>
      <c r="E7327" s="0" t="n">
        <v>1609</v>
      </c>
      <c r="F7327" s="0" t="s">
        <v>84</v>
      </c>
      <c r="I7327" s="0" t="n">
        <v>6042</v>
      </c>
      <c r="J7327" s="0" t="n">
        <v>41614</v>
      </c>
      <c r="K7327" s="0" t="n">
        <v>7896878801213</v>
      </c>
      <c r="L7327" s="0" t="s">
        <v>2622</v>
      </c>
      <c r="N7327" s="0" t="n">
        <v>20</v>
      </c>
      <c r="O7327" s="0" t="n">
        <v>81</v>
      </c>
      <c r="P7327" s="0" t="s">
        <v>2444</v>
      </c>
    </row>
    <row r="7328" customFormat="false" ht="15" hidden="false" customHeight="true" outlineLevel="0" collapsed="false">
      <c r="A7328" s="0" t="n">
        <v>2</v>
      </c>
      <c r="B7328" s="71" t="n">
        <v>46261</v>
      </c>
      <c r="C7328" s="0" t="n">
        <v>11</v>
      </c>
      <c r="D7328" s="0" t="s">
        <v>2471</v>
      </c>
      <c r="E7328" s="0" t="n">
        <v>1643</v>
      </c>
      <c r="F7328" s="0" t="s">
        <v>212</v>
      </c>
      <c r="I7328" s="0" t="n">
        <v>10951</v>
      </c>
      <c r="J7328" s="0" t="n">
        <v>63172</v>
      </c>
      <c r="K7328" s="0" t="n">
        <v>7898928536526</v>
      </c>
      <c r="L7328" s="0" t="s">
        <v>3454</v>
      </c>
      <c r="N7328" s="0" t="n">
        <v>24</v>
      </c>
      <c r="O7328" s="0" t="n">
        <v>38</v>
      </c>
      <c r="P7328" s="0" t="s">
        <v>2444</v>
      </c>
    </row>
    <row r="7329" customFormat="false" ht="15" hidden="false" customHeight="true" outlineLevel="0" collapsed="false">
      <c r="A7329" s="0" t="n">
        <v>2</v>
      </c>
      <c r="B7329" s="71" t="n">
        <v>46261</v>
      </c>
      <c r="C7329" s="0" t="n">
        <v>11</v>
      </c>
      <c r="D7329" s="0" t="s">
        <v>2471</v>
      </c>
      <c r="E7329" s="0" t="n">
        <v>1643</v>
      </c>
      <c r="F7329" s="0" t="s">
        <v>212</v>
      </c>
      <c r="I7329" s="0" t="n">
        <v>10951</v>
      </c>
      <c r="J7329" s="0" t="n">
        <v>63904</v>
      </c>
      <c r="K7329" s="0" t="n">
        <v>7898928536595</v>
      </c>
      <c r="L7329" s="0" t="s">
        <v>3455</v>
      </c>
      <c r="N7329" s="0" t="n">
        <v>60</v>
      </c>
      <c r="O7329" s="0" t="n">
        <v>95</v>
      </c>
      <c r="P7329" s="0" t="s">
        <v>2444</v>
      </c>
    </row>
    <row r="7330" customFormat="false" ht="15" hidden="false" customHeight="true" outlineLevel="0" collapsed="false">
      <c r="A7330" s="0" t="n">
        <v>2</v>
      </c>
      <c r="B7330" s="71" t="n">
        <v>46261</v>
      </c>
      <c r="C7330" s="0" t="n">
        <v>11</v>
      </c>
      <c r="D7330" s="0" t="s">
        <v>2471</v>
      </c>
      <c r="E7330" s="0" t="n">
        <v>1643</v>
      </c>
      <c r="F7330" s="0" t="s">
        <v>212</v>
      </c>
      <c r="I7330" s="0" t="n">
        <v>10951</v>
      </c>
      <c r="J7330" s="0" t="n">
        <v>64175</v>
      </c>
      <c r="K7330" s="0" t="n">
        <v>7898928536533</v>
      </c>
      <c r="L7330" s="0" t="s">
        <v>3455</v>
      </c>
      <c r="N7330" s="0" t="n">
        <v>60</v>
      </c>
      <c r="O7330" s="0" t="n">
        <v>95</v>
      </c>
      <c r="P7330" s="0" t="s">
        <v>2444</v>
      </c>
    </row>
    <row r="7331" customFormat="false" ht="15" hidden="false" customHeight="true" outlineLevel="0" collapsed="false">
      <c r="A7331" s="0" t="n">
        <v>2</v>
      </c>
      <c r="B7331" s="71" t="n">
        <v>46261</v>
      </c>
      <c r="C7331" s="0" t="n">
        <v>11</v>
      </c>
      <c r="D7331" s="0" t="s">
        <v>2471</v>
      </c>
      <c r="E7331" s="0" t="n">
        <v>754</v>
      </c>
      <c r="F7331" s="0" t="s">
        <v>162</v>
      </c>
      <c r="I7331" s="0" t="n">
        <v>32719</v>
      </c>
      <c r="J7331" s="0" t="n">
        <v>29080</v>
      </c>
      <c r="K7331" s="0" t="n">
        <v>55516</v>
      </c>
      <c r="L7331" s="0" t="s">
        <v>2450</v>
      </c>
      <c r="N7331" s="0" t="n">
        <v>48.6</v>
      </c>
      <c r="O7331" s="0" t="n">
        <v>1069.2</v>
      </c>
      <c r="P7331" s="0" t="s">
        <v>2444</v>
      </c>
    </row>
    <row r="7332" customFormat="false" ht="15" hidden="false" customHeight="true" outlineLevel="0" collapsed="false">
      <c r="A7332" s="0" t="n">
        <v>2</v>
      </c>
      <c r="B7332" s="71" t="n">
        <v>46261</v>
      </c>
      <c r="C7332" s="0" t="n">
        <v>11</v>
      </c>
      <c r="D7332" s="0" t="s">
        <v>2471</v>
      </c>
      <c r="E7332" s="0" t="n">
        <v>1706</v>
      </c>
      <c r="F7332" s="0" t="s">
        <v>1671</v>
      </c>
      <c r="I7332" s="0" t="n">
        <v>206697</v>
      </c>
      <c r="J7332" s="0" t="n">
        <v>57639</v>
      </c>
      <c r="K7332" s="0" t="n">
        <v>7896004006277</v>
      </c>
      <c r="L7332" s="0" t="s">
        <v>5067</v>
      </c>
      <c r="N7332" s="0" t="n">
        <v>108</v>
      </c>
      <c r="O7332" s="0" t="n">
        <v>862.92</v>
      </c>
      <c r="P7332" s="0" t="s">
        <v>2444</v>
      </c>
    </row>
    <row r="7333" customFormat="false" ht="15" hidden="false" customHeight="true" outlineLevel="0" collapsed="false">
      <c r="A7333" s="0" t="n">
        <v>2</v>
      </c>
      <c r="B7333" s="71" t="n">
        <v>46261</v>
      </c>
      <c r="C7333" s="0" t="n">
        <v>11</v>
      </c>
      <c r="D7333" s="0" t="s">
        <v>2471</v>
      </c>
      <c r="E7333" s="0" t="n">
        <v>1706</v>
      </c>
      <c r="F7333" s="0" t="s">
        <v>1671</v>
      </c>
      <c r="I7333" s="0" t="n">
        <v>206697</v>
      </c>
      <c r="J7333" s="0" t="n">
        <v>57878</v>
      </c>
      <c r="K7333" s="0" t="n">
        <v>7896004006239</v>
      </c>
      <c r="L7333" s="0" t="s">
        <v>5186</v>
      </c>
      <c r="N7333" s="0" t="n">
        <v>54</v>
      </c>
      <c r="O7333" s="0" t="n">
        <v>431.46</v>
      </c>
      <c r="P7333" s="0" t="s">
        <v>2444</v>
      </c>
    </row>
    <row r="7334" customFormat="false" ht="15" hidden="false" customHeight="true" outlineLevel="0" collapsed="false">
      <c r="A7334" s="0" t="n">
        <v>2</v>
      </c>
      <c r="B7334" s="71" t="n">
        <v>46261</v>
      </c>
      <c r="C7334" s="0" t="n">
        <v>11</v>
      </c>
      <c r="D7334" s="0" t="s">
        <v>2471</v>
      </c>
      <c r="E7334" s="0" t="n">
        <v>1706</v>
      </c>
      <c r="F7334" s="0" t="s">
        <v>1671</v>
      </c>
      <c r="I7334" s="0" t="n">
        <v>206697</v>
      </c>
      <c r="J7334" s="0" t="n">
        <v>61667</v>
      </c>
      <c r="K7334" s="0" t="n">
        <v>7896004006284</v>
      </c>
      <c r="L7334" s="0" t="s">
        <v>5187</v>
      </c>
      <c r="N7334" s="0" t="n">
        <v>36</v>
      </c>
      <c r="O7334" s="0" t="n">
        <v>287.64</v>
      </c>
      <c r="P7334" s="0" t="s">
        <v>2444</v>
      </c>
    </row>
    <row r="7335" customFormat="false" ht="15" hidden="false" customHeight="true" outlineLevel="0" collapsed="false">
      <c r="A7335" s="0" t="n">
        <v>2</v>
      </c>
      <c r="B7335" s="71" t="n">
        <v>46261</v>
      </c>
      <c r="C7335" s="0" t="n">
        <v>11</v>
      </c>
      <c r="D7335" s="0" t="s">
        <v>2471</v>
      </c>
      <c r="E7335" s="0" t="n">
        <v>1706</v>
      </c>
      <c r="F7335" s="0" t="s">
        <v>1671</v>
      </c>
      <c r="I7335" s="0" t="n">
        <v>206697</v>
      </c>
      <c r="J7335" s="0" t="n">
        <v>63233</v>
      </c>
      <c r="K7335" s="0" t="n">
        <v>7896004006406</v>
      </c>
      <c r="L7335" s="0" t="s">
        <v>5188</v>
      </c>
      <c r="N7335" s="0" t="n">
        <v>36</v>
      </c>
      <c r="O7335" s="0" t="n">
        <v>287.64</v>
      </c>
      <c r="P7335" s="0" t="s">
        <v>2444</v>
      </c>
    </row>
    <row r="7336" customFormat="false" ht="15" hidden="false" customHeight="true" outlineLevel="0" collapsed="false">
      <c r="A7336" s="0" t="n">
        <v>2</v>
      </c>
      <c r="B7336" s="71" t="n">
        <v>46261</v>
      </c>
      <c r="C7336" s="0" t="n">
        <v>11</v>
      </c>
      <c r="D7336" s="0" t="s">
        <v>2471</v>
      </c>
      <c r="E7336" s="0" t="n">
        <v>1706</v>
      </c>
      <c r="F7336" s="0" t="s">
        <v>1671</v>
      </c>
      <c r="I7336" s="0" t="n">
        <v>206697</v>
      </c>
      <c r="J7336" s="0" t="n">
        <v>63943</v>
      </c>
      <c r="K7336" s="0" t="n">
        <v>7896004008998</v>
      </c>
      <c r="L7336" s="0" t="s">
        <v>5189</v>
      </c>
      <c r="N7336" s="0" t="n">
        <v>36</v>
      </c>
      <c r="O7336" s="0" t="n">
        <v>287.64</v>
      </c>
      <c r="P7336" s="0" t="s">
        <v>2444</v>
      </c>
    </row>
    <row r="7337" customFormat="false" ht="15" hidden="false" customHeight="true" outlineLevel="0" collapsed="false">
      <c r="A7337" s="0" t="n">
        <v>2</v>
      </c>
      <c r="B7337" s="71" t="n">
        <v>46261</v>
      </c>
      <c r="C7337" s="0" t="n">
        <v>11</v>
      </c>
      <c r="D7337" s="0" t="s">
        <v>2471</v>
      </c>
      <c r="E7337" s="0" t="n">
        <v>1706</v>
      </c>
      <c r="F7337" s="0" t="s">
        <v>1671</v>
      </c>
      <c r="I7337" s="0" t="n">
        <v>206697</v>
      </c>
      <c r="J7337" s="0" t="n">
        <v>66069</v>
      </c>
      <c r="K7337" s="0" t="n">
        <v>7896004010076</v>
      </c>
      <c r="L7337" s="0" t="s">
        <v>3291</v>
      </c>
      <c r="N7337" s="0" t="n">
        <v>60</v>
      </c>
      <c r="O7337" s="0" t="n">
        <v>258.9</v>
      </c>
      <c r="P7337" s="0" t="s">
        <v>2444</v>
      </c>
    </row>
    <row r="7338" customFormat="false" ht="15" hidden="false" customHeight="true" outlineLevel="0" collapsed="false">
      <c r="A7338" s="0" t="n">
        <v>2</v>
      </c>
      <c r="B7338" s="71" t="n">
        <v>46261</v>
      </c>
      <c r="C7338" s="0" t="n">
        <v>11</v>
      </c>
      <c r="D7338" s="0" t="s">
        <v>2471</v>
      </c>
      <c r="E7338" s="0" t="n">
        <v>1671</v>
      </c>
      <c r="F7338" s="0" t="s">
        <v>119</v>
      </c>
      <c r="I7338" s="0" t="n">
        <v>588254</v>
      </c>
      <c r="J7338" s="0" t="n">
        <v>104640</v>
      </c>
      <c r="K7338" s="0" t="n">
        <v>7791969016029</v>
      </c>
      <c r="L7338" s="0" t="s">
        <v>4442</v>
      </c>
      <c r="N7338" s="0" t="n">
        <v>2</v>
      </c>
      <c r="O7338" s="0" t="n">
        <v>26.52</v>
      </c>
      <c r="P7338" s="0" t="s">
        <v>2444</v>
      </c>
    </row>
    <row r="7339" customFormat="false" ht="15" hidden="false" customHeight="true" outlineLevel="0" collapsed="false">
      <c r="A7339" s="0" t="n">
        <v>2</v>
      </c>
      <c r="B7339" s="71" t="n">
        <v>46261</v>
      </c>
      <c r="C7339" s="0" t="n">
        <v>11</v>
      </c>
      <c r="D7339" s="0" t="s">
        <v>2471</v>
      </c>
      <c r="E7339" s="0" t="n">
        <v>1671</v>
      </c>
      <c r="F7339" s="0" t="s">
        <v>119</v>
      </c>
      <c r="I7339" s="0" t="n">
        <v>588254</v>
      </c>
      <c r="J7339" s="0" t="n">
        <v>14049</v>
      </c>
      <c r="K7339" s="0" t="n">
        <v>4005808309436</v>
      </c>
      <c r="L7339" s="0" t="s">
        <v>4446</v>
      </c>
      <c r="N7339" s="0" t="n">
        <v>1</v>
      </c>
      <c r="O7339" s="0" t="n">
        <v>14.72</v>
      </c>
      <c r="P7339" s="0" t="s">
        <v>2444</v>
      </c>
    </row>
    <row r="7340" customFormat="false" ht="15" hidden="false" customHeight="true" outlineLevel="0" collapsed="false">
      <c r="A7340" s="0" t="n">
        <v>2</v>
      </c>
      <c r="B7340" s="71" t="n">
        <v>46261</v>
      </c>
      <c r="C7340" s="0" t="n">
        <v>11</v>
      </c>
      <c r="D7340" s="0" t="s">
        <v>2471</v>
      </c>
      <c r="E7340" s="0" t="n">
        <v>1671</v>
      </c>
      <c r="F7340" s="0" t="s">
        <v>119</v>
      </c>
      <c r="I7340" s="0" t="n">
        <v>588254</v>
      </c>
      <c r="J7340" s="0" t="n">
        <v>14053</v>
      </c>
      <c r="K7340" s="0" t="n">
        <v>4005900036704</v>
      </c>
      <c r="L7340" s="0" t="s">
        <v>4447</v>
      </c>
      <c r="N7340" s="0" t="n">
        <v>3</v>
      </c>
      <c r="O7340" s="0" t="n">
        <v>24.21</v>
      </c>
      <c r="P7340" s="0" t="s">
        <v>2444</v>
      </c>
    </row>
    <row r="7341" customFormat="false" ht="15" hidden="false" customHeight="true" outlineLevel="0" collapsed="false">
      <c r="A7341" s="0" t="n">
        <v>2</v>
      </c>
      <c r="B7341" s="71" t="n">
        <v>46261</v>
      </c>
      <c r="C7341" s="0" t="n">
        <v>11</v>
      </c>
      <c r="D7341" s="0" t="s">
        <v>2471</v>
      </c>
      <c r="E7341" s="0" t="n">
        <v>1671</v>
      </c>
      <c r="F7341" s="0" t="s">
        <v>119</v>
      </c>
      <c r="I7341" s="0" t="n">
        <v>588254</v>
      </c>
      <c r="J7341" s="0" t="n">
        <v>14941</v>
      </c>
      <c r="K7341" s="0" t="n">
        <v>4005900036728</v>
      </c>
      <c r="L7341" s="0" t="s">
        <v>4448</v>
      </c>
      <c r="N7341" s="0" t="n">
        <v>2</v>
      </c>
      <c r="O7341" s="0" t="n">
        <v>26.52</v>
      </c>
      <c r="P7341" s="0" t="s">
        <v>2444</v>
      </c>
    </row>
    <row r="7342" customFormat="false" ht="15" hidden="false" customHeight="true" outlineLevel="0" collapsed="false">
      <c r="A7342" s="0" t="n">
        <v>2</v>
      </c>
      <c r="B7342" s="71" t="n">
        <v>46261</v>
      </c>
      <c r="C7342" s="0" t="n">
        <v>11</v>
      </c>
      <c r="D7342" s="0" t="s">
        <v>2471</v>
      </c>
      <c r="E7342" s="0" t="n">
        <v>1671</v>
      </c>
      <c r="F7342" s="0" t="s">
        <v>119</v>
      </c>
      <c r="I7342" s="0" t="n">
        <v>588254</v>
      </c>
      <c r="J7342" s="0" t="n">
        <v>14942</v>
      </c>
      <c r="K7342" s="0" t="n">
        <v>4005900036667</v>
      </c>
      <c r="L7342" s="0" t="s">
        <v>4449</v>
      </c>
      <c r="N7342" s="0" t="n">
        <v>2</v>
      </c>
      <c r="O7342" s="0" t="n">
        <v>26.52</v>
      </c>
      <c r="P7342" s="0" t="s">
        <v>2444</v>
      </c>
    </row>
    <row r="7343" customFormat="false" ht="15" hidden="false" customHeight="true" outlineLevel="0" collapsed="false">
      <c r="A7343" s="0" t="n">
        <v>2</v>
      </c>
      <c r="B7343" s="71" t="n">
        <v>46261</v>
      </c>
      <c r="C7343" s="0" t="n">
        <v>11</v>
      </c>
      <c r="D7343" s="0" t="s">
        <v>2471</v>
      </c>
      <c r="E7343" s="0" t="n">
        <v>1671</v>
      </c>
      <c r="F7343" s="0" t="s">
        <v>119</v>
      </c>
      <c r="I7343" s="0" t="n">
        <v>588254</v>
      </c>
      <c r="J7343" s="0" t="n">
        <v>14943</v>
      </c>
      <c r="K7343" s="0" t="n">
        <v>4005900036759</v>
      </c>
      <c r="L7343" s="0" t="s">
        <v>4450</v>
      </c>
      <c r="N7343" s="0" t="n">
        <v>3</v>
      </c>
      <c r="O7343" s="0" t="n">
        <v>24.21</v>
      </c>
      <c r="P7343" s="0" t="s">
        <v>2444</v>
      </c>
    </row>
    <row r="7344" customFormat="false" ht="15" hidden="false" customHeight="true" outlineLevel="0" collapsed="false">
      <c r="A7344" s="0" t="n">
        <v>2</v>
      </c>
      <c r="B7344" s="71" t="n">
        <v>46261</v>
      </c>
      <c r="C7344" s="0" t="n">
        <v>11</v>
      </c>
      <c r="D7344" s="0" t="s">
        <v>2471</v>
      </c>
      <c r="E7344" s="0" t="n">
        <v>1671</v>
      </c>
      <c r="F7344" s="0" t="s">
        <v>119</v>
      </c>
      <c r="I7344" s="0" t="n">
        <v>588254</v>
      </c>
      <c r="J7344" s="0" t="n">
        <v>28879</v>
      </c>
      <c r="K7344" s="0" t="n">
        <v>78906617</v>
      </c>
      <c r="L7344" s="0" t="s">
        <v>4455</v>
      </c>
      <c r="N7344" s="0" t="n">
        <v>1</v>
      </c>
      <c r="O7344" s="0" t="n">
        <v>20.85</v>
      </c>
      <c r="P7344" s="0" t="s">
        <v>2444</v>
      </c>
    </row>
    <row r="7345" customFormat="false" ht="15" hidden="false" customHeight="true" outlineLevel="0" collapsed="false">
      <c r="A7345" s="0" t="n">
        <v>2</v>
      </c>
      <c r="B7345" s="71" t="n">
        <v>46261</v>
      </c>
      <c r="C7345" s="0" t="n">
        <v>11</v>
      </c>
      <c r="D7345" s="0" t="s">
        <v>2471</v>
      </c>
      <c r="E7345" s="0" t="n">
        <v>1671</v>
      </c>
      <c r="F7345" s="0" t="s">
        <v>119</v>
      </c>
      <c r="I7345" s="0" t="n">
        <v>588254</v>
      </c>
      <c r="J7345" s="0" t="n">
        <v>29713</v>
      </c>
      <c r="K7345" s="0" t="n">
        <v>4005900521910</v>
      </c>
      <c r="L7345" s="0" t="s">
        <v>4456</v>
      </c>
      <c r="N7345" s="0" t="n">
        <v>12</v>
      </c>
      <c r="O7345" s="0" t="n">
        <v>26.64</v>
      </c>
      <c r="P7345" s="0" t="s">
        <v>2444</v>
      </c>
    </row>
    <row r="7346" customFormat="false" ht="15" hidden="false" customHeight="true" outlineLevel="0" collapsed="false">
      <c r="A7346" s="0" t="n">
        <v>2</v>
      </c>
      <c r="B7346" s="71" t="n">
        <v>46261</v>
      </c>
      <c r="C7346" s="0" t="n">
        <v>11</v>
      </c>
      <c r="D7346" s="0" t="s">
        <v>2471</v>
      </c>
      <c r="E7346" s="0" t="n">
        <v>1671</v>
      </c>
      <c r="F7346" s="0" t="s">
        <v>119</v>
      </c>
      <c r="I7346" s="0" t="n">
        <v>588254</v>
      </c>
      <c r="J7346" s="0" t="n">
        <v>36611</v>
      </c>
      <c r="K7346" s="0" t="n">
        <v>42360414</v>
      </c>
      <c r="L7346" s="0" t="s">
        <v>4459</v>
      </c>
      <c r="N7346" s="0" t="n">
        <v>1</v>
      </c>
      <c r="O7346" s="0" t="n">
        <v>27.72</v>
      </c>
      <c r="P7346" s="0" t="s">
        <v>2444</v>
      </c>
    </row>
    <row r="7347" customFormat="false" ht="15" hidden="false" customHeight="true" outlineLevel="0" collapsed="false">
      <c r="A7347" s="0" t="n">
        <v>2</v>
      </c>
      <c r="B7347" s="71" t="n">
        <v>46261</v>
      </c>
      <c r="C7347" s="0" t="n">
        <v>11</v>
      </c>
      <c r="D7347" s="0" t="s">
        <v>2471</v>
      </c>
      <c r="E7347" s="0" t="n">
        <v>1671</v>
      </c>
      <c r="F7347" s="0" t="s">
        <v>119</v>
      </c>
      <c r="I7347" s="0" t="n">
        <v>588254</v>
      </c>
      <c r="J7347" s="0" t="n">
        <v>79193</v>
      </c>
      <c r="K7347" s="0" t="n">
        <v>4006000178851</v>
      </c>
      <c r="L7347" s="0" t="s">
        <v>5190</v>
      </c>
      <c r="N7347" s="0" t="n">
        <v>2</v>
      </c>
      <c r="O7347" s="0" t="n">
        <v>26.52</v>
      </c>
      <c r="P7347" s="0" t="s">
        <v>2444</v>
      </c>
    </row>
    <row r="7348" customFormat="false" ht="15" hidden="false" customHeight="true" outlineLevel="0" collapsed="false">
      <c r="A7348" s="0" t="n">
        <v>2</v>
      </c>
      <c r="B7348" s="71" t="n">
        <v>46261</v>
      </c>
      <c r="C7348" s="0" t="n">
        <v>11</v>
      </c>
      <c r="D7348" s="0" t="s">
        <v>2471</v>
      </c>
      <c r="E7348" s="0" t="n">
        <v>1671</v>
      </c>
      <c r="F7348" s="0" t="s">
        <v>119</v>
      </c>
      <c r="I7348" s="0" t="n">
        <v>588254</v>
      </c>
      <c r="J7348" s="0" t="n">
        <v>81784</v>
      </c>
      <c r="K7348" s="0" t="n">
        <v>42495727</v>
      </c>
      <c r="L7348" s="0" t="s">
        <v>4463</v>
      </c>
      <c r="N7348" s="0" t="n">
        <v>1</v>
      </c>
      <c r="O7348" s="0" t="n">
        <v>27.03</v>
      </c>
      <c r="P7348" s="0" t="s">
        <v>2444</v>
      </c>
    </row>
    <row r="7349" customFormat="false" ht="15" hidden="false" customHeight="true" outlineLevel="0" collapsed="false">
      <c r="A7349" s="0" t="n">
        <v>2</v>
      </c>
      <c r="B7349" s="71" t="n">
        <v>46261</v>
      </c>
      <c r="C7349" s="0" t="n">
        <v>11</v>
      </c>
      <c r="D7349" s="0" t="s">
        <v>2471</v>
      </c>
      <c r="E7349" s="0" t="n">
        <v>1608</v>
      </c>
      <c r="F7349" s="0" t="s">
        <v>240</v>
      </c>
      <c r="I7349" s="0" t="n">
        <v>1719576</v>
      </c>
      <c r="J7349" s="0" t="n">
        <v>50232</v>
      </c>
      <c r="K7349" s="0" t="n">
        <v>7891025123057</v>
      </c>
      <c r="L7349" s="0" t="s">
        <v>2639</v>
      </c>
      <c r="N7349" s="0" t="n">
        <v>6</v>
      </c>
      <c r="O7349" s="0" t="n">
        <v>15.78</v>
      </c>
      <c r="P7349" s="0" t="s">
        <v>2444</v>
      </c>
    </row>
    <row r="7350" customFormat="false" ht="15" hidden="false" customHeight="true" outlineLevel="0" collapsed="false">
      <c r="A7350" s="0" t="n">
        <v>2</v>
      </c>
      <c r="B7350" s="71" t="n">
        <v>46261</v>
      </c>
      <c r="C7350" s="0" t="n">
        <v>11</v>
      </c>
      <c r="D7350" s="0" t="s">
        <v>2471</v>
      </c>
      <c r="E7350" s="0" t="n">
        <v>1608</v>
      </c>
      <c r="F7350" s="0" t="s">
        <v>240</v>
      </c>
      <c r="I7350" s="0" t="n">
        <v>1719576</v>
      </c>
      <c r="J7350" s="0" t="n">
        <v>18949</v>
      </c>
      <c r="K7350" s="0" t="n">
        <v>7891025699880</v>
      </c>
      <c r="L7350" s="0" t="s">
        <v>2640</v>
      </c>
      <c r="N7350" s="0" t="n">
        <v>3</v>
      </c>
      <c r="O7350" s="0" t="n">
        <v>26.67</v>
      </c>
      <c r="P7350" s="0" t="s">
        <v>2444</v>
      </c>
    </row>
    <row r="7351" customFormat="false" ht="15" hidden="false" customHeight="true" outlineLevel="0" collapsed="false">
      <c r="A7351" s="0" t="n">
        <v>2</v>
      </c>
      <c r="B7351" s="71" t="n">
        <v>46261</v>
      </c>
      <c r="C7351" s="0" t="n">
        <v>11</v>
      </c>
      <c r="D7351" s="0" t="s">
        <v>2471</v>
      </c>
      <c r="E7351" s="0" t="n">
        <v>1608</v>
      </c>
      <c r="F7351" s="0" t="s">
        <v>240</v>
      </c>
      <c r="I7351" s="0" t="n">
        <v>1719576</v>
      </c>
      <c r="J7351" s="0" t="n">
        <v>19906</v>
      </c>
      <c r="K7351" s="0" t="n">
        <v>7898553442933</v>
      </c>
      <c r="L7351" s="0" t="s">
        <v>2982</v>
      </c>
      <c r="N7351" s="0" t="n">
        <v>6</v>
      </c>
      <c r="O7351" s="0" t="n">
        <v>62.88</v>
      </c>
      <c r="P7351" s="0" t="s">
        <v>2444</v>
      </c>
    </row>
    <row r="7352" customFormat="false" ht="15" hidden="false" customHeight="true" outlineLevel="0" collapsed="false">
      <c r="A7352" s="0" t="n">
        <v>2</v>
      </c>
      <c r="B7352" s="71" t="n">
        <v>46261</v>
      </c>
      <c r="C7352" s="0" t="n">
        <v>11</v>
      </c>
      <c r="D7352" s="0" t="s">
        <v>2471</v>
      </c>
      <c r="E7352" s="0" t="n">
        <v>1608</v>
      </c>
      <c r="F7352" s="0" t="s">
        <v>240</v>
      </c>
      <c r="I7352" s="0" t="n">
        <v>1719576</v>
      </c>
      <c r="J7352" s="0" t="n">
        <v>24196</v>
      </c>
      <c r="K7352" s="0" t="n">
        <v>7891025109884</v>
      </c>
      <c r="L7352" s="0" t="s">
        <v>2645</v>
      </c>
      <c r="N7352" s="0" t="n">
        <v>6</v>
      </c>
      <c r="O7352" s="0" t="n">
        <v>52.8</v>
      </c>
      <c r="P7352" s="0" t="s">
        <v>2444</v>
      </c>
    </row>
    <row r="7353" customFormat="false" ht="15" hidden="false" customHeight="true" outlineLevel="0" collapsed="false">
      <c r="A7353" s="0" t="n">
        <v>2</v>
      </c>
      <c r="B7353" s="71" t="n">
        <v>46261</v>
      </c>
      <c r="C7353" s="0" t="n">
        <v>11</v>
      </c>
      <c r="D7353" s="0" t="s">
        <v>2471</v>
      </c>
      <c r="E7353" s="0" t="n">
        <v>1608</v>
      </c>
      <c r="F7353" s="0" t="s">
        <v>240</v>
      </c>
      <c r="I7353" s="0" t="n">
        <v>1719576</v>
      </c>
      <c r="J7353" s="0" t="n">
        <v>24832</v>
      </c>
      <c r="K7353" s="0" t="n">
        <v>7891025109891</v>
      </c>
      <c r="L7353" s="0" t="s">
        <v>2646</v>
      </c>
      <c r="N7353" s="0" t="n">
        <v>6</v>
      </c>
      <c r="O7353" s="0" t="n">
        <v>52.8</v>
      </c>
      <c r="P7353" s="0" t="s">
        <v>2444</v>
      </c>
    </row>
    <row r="7354" customFormat="false" ht="15" hidden="false" customHeight="true" outlineLevel="0" collapsed="false">
      <c r="A7354" s="0" t="n">
        <v>2</v>
      </c>
      <c r="B7354" s="71" t="n">
        <v>46261</v>
      </c>
      <c r="C7354" s="0" t="n">
        <v>11</v>
      </c>
      <c r="D7354" s="0" t="s">
        <v>2471</v>
      </c>
      <c r="E7354" s="0" t="n">
        <v>1608</v>
      </c>
      <c r="F7354" s="0" t="s">
        <v>240</v>
      </c>
      <c r="I7354" s="0" t="n">
        <v>1719576</v>
      </c>
      <c r="J7354" s="0" t="n">
        <v>26683</v>
      </c>
      <c r="K7354" s="0" t="n">
        <v>7898133620553</v>
      </c>
      <c r="L7354" s="0" t="s">
        <v>2984</v>
      </c>
      <c r="N7354" s="0" t="n">
        <v>3</v>
      </c>
      <c r="O7354" s="0" t="n">
        <v>40.17</v>
      </c>
      <c r="P7354" s="0" t="s">
        <v>2444</v>
      </c>
    </row>
    <row r="7355" customFormat="false" ht="15" hidden="false" customHeight="true" outlineLevel="0" collapsed="false">
      <c r="A7355" s="0" t="n">
        <v>2</v>
      </c>
      <c r="B7355" s="71" t="n">
        <v>46261</v>
      </c>
      <c r="C7355" s="0" t="n">
        <v>11</v>
      </c>
      <c r="D7355" s="0" t="s">
        <v>2471</v>
      </c>
      <c r="E7355" s="0" t="n">
        <v>1608</v>
      </c>
      <c r="F7355" s="0" t="s">
        <v>240</v>
      </c>
      <c r="I7355" s="0" t="n">
        <v>1719576</v>
      </c>
      <c r="J7355" s="0" t="n">
        <v>27141</v>
      </c>
      <c r="K7355" s="0" t="n">
        <v>7899916900329</v>
      </c>
      <c r="L7355" s="0" t="s">
        <v>2647</v>
      </c>
      <c r="N7355" s="0" t="n">
        <v>6</v>
      </c>
      <c r="O7355" s="0" t="n">
        <v>35.58</v>
      </c>
      <c r="P7355" s="0" t="s">
        <v>2444</v>
      </c>
    </row>
    <row r="7356" customFormat="false" ht="15" hidden="false" customHeight="true" outlineLevel="0" collapsed="false">
      <c r="A7356" s="0" t="n">
        <v>2</v>
      </c>
      <c r="B7356" s="71" t="n">
        <v>46261</v>
      </c>
      <c r="C7356" s="0" t="n">
        <v>11</v>
      </c>
      <c r="D7356" s="0" t="s">
        <v>2471</v>
      </c>
      <c r="E7356" s="0" t="n">
        <v>1608</v>
      </c>
      <c r="F7356" s="0" t="s">
        <v>240</v>
      </c>
      <c r="I7356" s="0" t="n">
        <v>1719576</v>
      </c>
      <c r="J7356" s="0" t="n">
        <v>28462</v>
      </c>
      <c r="K7356" s="0" t="n">
        <v>7891025121626</v>
      </c>
      <c r="L7356" s="0" t="s">
        <v>2985</v>
      </c>
      <c r="N7356" s="0" t="n">
        <v>4</v>
      </c>
      <c r="O7356" s="0" t="n">
        <v>30.04</v>
      </c>
      <c r="P7356" s="0" t="s">
        <v>2444</v>
      </c>
    </row>
    <row r="7357" customFormat="false" ht="15" hidden="false" customHeight="true" outlineLevel="0" collapsed="false">
      <c r="A7357" s="0" t="n">
        <v>2</v>
      </c>
      <c r="B7357" s="71" t="n">
        <v>46261</v>
      </c>
      <c r="C7357" s="0" t="n">
        <v>11</v>
      </c>
      <c r="D7357" s="0" t="s">
        <v>2471</v>
      </c>
      <c r="E7357" s="0" t="n">
        <v>1608</v>
      </c>
      <c r="F7357" s="0" t="s">
        <v>240</v>
      </c>
      <c r="I7357" s="0" t="n">
        <v>1719576</v>
      </c>
      <c r="J7357" s="0" t="n">
        <v>29169</v>
      </c>
      <c r="K7357" s="0" t="n">
        <v>7891025115656</v>
      </c>
      <c r="L7357" s="0" t="s">
        <v>2518</v>
      </c>
      <c r="N7357" s="0" t="n">
        <v>3</v>
      </c>
      <c r="O7357" s="0" t="n">
        <v>21.96</v>
      </c>
      <c r="P7357" s="0" t="s">
        <v>2444</v>
      </c>
    </row>
    <row r="7358" customFormat="false" ht="15" hidden="false" customHeight="true" outlineLevel="0" collapsed="false">
      <c r="A7358" s="0" t="n">
        <v>2</v>
      </c>
      <c r="B7358" s="71" t="n">
        <v>46261</v>
      </c>
      <c r="C7358" s="0" t="n">
        <v>11</v>
      </c>
      <c r="D7358" s="0" t="s">
        <v>2471</v>
      </c>
      <c r="E7358" s="0" t="n">
        <v>1608</v>
      </c>
      <c r="F7358" s="0" t="s">
        <v>240</v>
      </c>
      <c r="I7358" s="0" t="n">
        <v>1719576</v>
      </c>
      <c r="J7358" s="0" t="n">
        <v>29446</v>
      </c>
      <c r="K7358" s="0" t="n">
        <v>7891025116790</v>
      </c>
      <c r="L7358" s="0" t="s">
        <v>4623</v>
      </c>
      <c r="N7358" s="0" t="n">
        <v>3</v>
      </c>
      <c r="O7358" s="0" t="n">
        <v>26.67</v>
      </c>
      <c r="P7358" s="0" t="s">
        <v>2444</v>
      </c>
    </row>
    <row r="7359" customFormat="false" ht="15" hidden="false" customHeight="true" outlineLevel="0" collapsed="false">
      <c r="A7359" s="0" t="n">
        <v>2</v>
      </c>
      <c r="B7359" s="71" t="n">
        <v>46261</v>
      </c>
      <c r="C7359" s="0" t="n">
        <v>11</v>
      </c>
      <c r="D7359" s="0" t="s">
        <v>2471</v>
      </c>
      <c r="E7359" s="0" t="n">
        <v>1608</v>
      </c>
      <c r="F7359" s="0" t="s">
        <v>240</v>
      </c>
      <c r="I7359" s="0" t="n">
        <v>1719576</v>
      </c>
      <c r="J7359" s="0" t="n">
        <v>31266</v>
      </c>
      <c r="K7359" s="0" t="n">
        <v>7899916900343</v>
      </c>
      <c r="L7359" s="0" t="s">
        <v>2649</v>
      </c>
      <c r="N7359" s="0" t="n">
        <v>6</v>
      </c>
      <c r="O7359" s="0" t="n">
        <v>35.58</v>
      </c>
      <c r="P7359" s="0" t="s">
        <v>2444</v>
      </c>
    </row>
    <row r="7360" customFormat="false" ht="15" hidden="false" customHeight="true" outlineLevel="0" collapsed="false">
      <c r="A7360" s="0" t="n">
        <v>2</v>
      </c>
      <c r="B7360" s="71" t="n">
        <v>46261</v>
      </c>
      <c r="C7360" s="0" t="n">
        <v>11</v>
      </c>
      <c r="D7360" s="0" t="s">
        <v>2471</v>
      </c>
      <c r="E7360" s="0" t="n">
        <v>1608</v>
      </c>
      <c r="F7360" s="0" t="s">
        <v>240</v>
      </c>
      <c r="I7360" s="0" t="n">
        <v>1719576</v>
      </c>
      <c r="J7360" s="0" t="n">
        <v>31551</v>
      </c>
      <c r="K7360" s="0" t="n">
        <v>7891025117742</v>
      </c>
      <c r="L7360" s="0" t="s">
        <v>2521</v>
      </c>
      <c r="N7360" s="0" t="n">
        <v>2</v>
      </c>
      <c r="O7360" s="0" t="n">
        <v>10.92</v>
      </c>
      <c r="P7360" s="0" t="s">
        <v>2444</v>
      </c>
    </row>
    <row r="7361" customFormat="false" ht="15" hidden="false" customHeight="true" outlineLevel="0" collapsed="false">
      <c r="A7361" s="0" t="n">
        <v>2</v>
      </c>
      <c r="B7361" s="71" t="n">
        <v>46261</v>
      </c>
      <c r="C7361" s="0" t="n">
        <v>11</v>
      </c>
      <c r="D7361" s="0" t="s">
        <v>2471</v>
      </c>
      <c r="E7361" s="0" t="n">
        <v>1608</v>
      </c>
      <c r="F7361" s="0" t="s">
        <v>240</v>
      </c>
      <c r="I7361" s="0" t="n">
        <v>1719576</v>
      </c>
      <c r="J7361" s="0" t="n">
        <v>31570</v>
      </c>
      <c r="K7361" s="0" t="n">
        <v>7898927809157</v>
      </c>
      <c r="L7361" s="0" t="s">
        <v>2986</v>
      </c>
      <c r="N7361" s="0" t="n">
        <v>3</v>
      </c>
      <c r="O7361" s="0" t="n">
        <v>44.61</v>
      </c>
      <c r="P7361" s="0" t="s">
        <v>2444</v>
      </c>
    </row>
    <row r="7362" customFormat="false" ht="15" hidden="false" customHeight="true" outlineLevel="0" collapsed="false">
      <c r="A7362" s="0" t="n">
        <v>2</v>
      </c>
      <c r="B7362" s="71" t="n">
        <v>46261</v>
      </c>
      <c r="C7362" s="0" t="n">
        <v>11</v>
      </c>
      <c r="D7362" s="0" t="s">
        <v>2471</v>
      </c>
      <c r="E7362" s="0" t="n">
        <v>1608</v>
      </c>
      <c r="F7362" s="0" t="s">
        <v>240</v>
      </c>
      <c r="I7362" s="0" t="n">
        <v>1719576</v>
      </c>
      <c r="J7362" s="0" t="n">
        <v>32614</v>
      </c>
      <c r="K7362" s="0" t="n">
        <v>7891025119456</v>
      </c>
      <c r="L7362" s="0" t="s">
        <v>2650</v>
      </c>
      <c r="N7362" s="0" t="n">
        <v>12</v>
      </c>
      <c r="O7362" s="0" t="n">
        <v>37.68</v>
      </c>
      <c r="P7362" s="0" t="s">
        <v>2444</v>
      </c>
    </row>
    <row r="7363" customFormat="false" ht="15" hidden="false" customHeight="true" outlineLevel="0" collapsed="false">
      <c r="A7363" s="0" t="n">
        <v>2</v>
      </c>
      <c r="B7363" s="71" t="n">
        <v>46261</v>
      </c>
      <c r="C7363" s="0" t="n">
        <v>11</v>
      </c>
      <c r="D7363" s="0" t="s">
        <v>2471</v>
      </c>
      <c r="E7363" s="0" t="n">
        <v>1608</v>
      </c>
      <c r="F7363" s="0" t="s">
        <v>240</v>
      </c>
      <c r="I7363" s="0" t="n">
        <v>1719576</v>
      </c>
      <c r="J7363" s="0" t="n">
        <v>35359</v>
      </c>
      <c r="K7363" s="0" t="n">
        <v>7891025119869</v>
      </c>
      <c r="L7363" s="0" t="s">
        <v>2651</v>
      </c>
      <c r="N7363" s="0" t="n">
        <v>2</v>
      </c>
      <c r="O7363" s="0" t="n">
        <v>25.62</v>
      </c>
      <c r="P7363" s="0" t="s">
        <v>2444</v>
      </c>
    </row>
    <row r="7364" customFormat="false" ht="15" hidden="false" customHeight="true" outlineLevel="0" collapsed="false">
      <c r="A7364" s="0" t="n">
        <v>2</v>
      </c>
      <c r="B7364" s="71" t="n">
        <v>46261</v>
      </c>
      <c r="C7364" s="0" t="n">
        <v>11</v>
      </c>
      <c r="D7364" s="0" t="s">
        <v>2471</v>
      </c>
      <c r="E7364" s="0" t="n">
        <v>1608</v>
      </c>
      <c r="F7364" s="0" t="s">
        <v>240</v>
      </c>
      <c r="I7364" s="0" t="n">
        <v>1719576</v>
      </c>
      <c r="J7364" s="0" t="n">
        <v>35395</v>
      </c>
      <c r="K7364" s="0" t="n">
        <v>7891025119852</v>
      </c>
      <c r="L7364" s="0" t="s">
        <v>2987</v>
      </c>
      <c r="N7364" s="0" t="n">
        <v>2</v>
      </c>
      <c r="O7364" s="0" t="n">
        <v>25.62</v>
      </c>
      <c r="P7364" s="0" t="s">
        <v>2444</v>
      </c>
    </row>
    <row r="7365" customFormat="false" ht="15" hidden="false" customHeight="true" outlineLevel="0" collapsed="false">
      <c r="A7365" s="0" t="n">
        <v>2</v>
      </c>
      <c r="B7365" s="71" t="n">
        <v>46261</v>
      </c>
      <c r="C7365" s="0" t="n">
        <v>11</v>
      </c>
      <c r="D7365" s="0" t="s">
        <v>2471</v>
      </c>
      <c r="E7365" s="0" t="n">
        <v>1608</v>
      </c>
      <c r="F7365" s="0" t="s">
        <v>240</v>
      </c>
      <c r="I7365" s="0" t="n">
        <v>1719576</v>
      </c>
      <c r="J7365" s="0" t="n">
        <v>35841</v>
      </c>
      <c r="K7365" s="0" t="n">
        <v>7891025120223</v>
      </c>
      <c r="L7365" s="0" t="s">
        <v>2988</v>
      </c>
      <c r="N7365" s="0" t="n">
        <v>6</v>
      </c>
      <c r="O7365" s="0" t="n">
        <v>22.8</v>
      </c>
      <c r="P7365" s="0" t="s">
        <v>2444</v>
      </c>
    </row>
    <row r="7366" customFormat="false" ht="15" hidden="false" customHeight="true" outlineLevel="0" collapsed="false">
      <c r="A7366" s="0" t="n">
        <v>2</v>
      </c>
      <c r="B7366" s="71" t="n">
        <v>46261</v>
      </c>
      <c r="C7366" s="0" t="n">
        <v>11</v>
      </c>
      <c r="D7366" s="0" t="s">
        <v>2471</v>
      </c>
      <c r="E7366" s="0" t="n">
        <v>1608</v>
      </c>
      <c r="F7366" s="0" t="s">
        <v>240</v>
      </c>
      <c r="I7366" s="0" t="n">
        <v>1719576</v>
      </c>
      <c r="J7366" s="0" t="n">
        <v>35842</v>
      </c>
      <c r="K7366" s="0" t="n">
        <v>7891025120230</v>
      </c>
      <c r="L7366" s="0" t="s">
        <v>2522</v>
      </c>
      <c r="N7366" s="0" t="n">
        <v>6</v>
      </c>
      <c r="O7366" s="0" t="n">
        <v>22.8</v>
      </c>
      <c r="P7366" s="0" t="s">
        <v>2444</v>
      </c>
    </row>
    <row r="7367" customFormat="false" ht="15" hidden="false" customHeight="true" outlineLevel="0" collapsed="false">
      <c r="A7367" s="0" t="n">
        <v>2</v>
      </c>
      <c r="B7367" s="71" t="n">
        <v>46261</v>
      </c>
      <c r="C7367" s="0" t="n">
        <v>11</v>
      </c>
      <c r="D7367" s="0" t="s">
        <v>2471</v>
      </c>
      <c r="E7367" s="0" t="n">
        <v>1608</v>
      </c>
      <c r="F7367" s="0" t="s">
        <v>240</v>
      </c>
      <c r="I7367" s="0" t="n">
        <v>1719576</v>
      </c>
      <c r="J7367" s="0" t="n">
        <v>37024</v>
      </c>
      <c r="K7367" s="0" t="n">
        <v>7891025121251</v>
      </c>
      <c r="L7367" s="0" t="s">
        <v>2523</v>
      </c>
      <c r="N7367" s="0" t="n">
        <v>2</v>
      </c>
      <c r="O7367" s="0" t="n">
        <v>7.6</v>
      </c>
      <c r="P7367" s="0" t="s">
        <v>2444</v>
      </c>
    </row>
    <row r="7368" customFormat="false" ht="15" hidden="false" customHeight="true" outlineLevel="0" collapsed="false">
      <c r="A7368" s="0" t="n">
        <v>2</v>
      </c>
      <c r="B7368" s="71" t="n">
        <v>46261</v>
      </c>
      <c r="C7368" s="0" t="n">
        <v>11</v>
      </c>
      <c r="D7368" s="0" t="s">
        <v>2471</v>
      </c>
      <c r="E7368" s="0" t="n">
        <v>1608</v>
      </c>
      <c r="F7368" s="0" t="s">
        <v>240</v>
      </c>
      <c r="I7368" s="0" t="n">
        <v>1719576</v>
      </c>
      <c r="J7368" s="0" t="n">
        <v>37558</v>
      </c>
      <c r="K7368" s="0" t="n">
        <v>7891025101376</v>
      </c>
      <c r="L7368" s="0" t="s">
        <v>2652</v>
      </c>
      <c r="N7368" s="0" t="n">
        <v>4</v>
      </c>
      <c r="O7368" s="0" t="n">
        <v>13.24</v>
      </c>
      <c r="P7368" s="0" t="s">
        <v>2444</v>
      </c>
    </row>
    <row r="7369" customFormat="false" ht="15" hidden="false" customHeight="true" outlineLevel="0" collapsed="false">
      <c r="A7369" s="0" t="n">
        <v>2</v>
      </c>
      <c r="B7369" s="71" t="n">
        <v>46261</v>
      </c>
      <c r="C7369" s="0" t="n">
        <v>11</v>
      </c>
      <c r="D7369" s="0" t="s">
        <v>2471</v>
      </c>
      <c r="E7369" s="0" t="n">
        <v>1608</v>
      </c>
      <c r="F7369" s="0" t="s">
        <v>240</v>
      </c>
      <c r="I7369" s="0" t="n">
        <v>1719576</v>
      </c>
      <c r="J7369" s="0" t="n">
        <v>37980</v>
      </c>
      <c r="K7369" s="0" t="n">
        <v>7891025121640</v>
      </c>
      <c r="L7369" s="0" t="s">
        <v>2989</v>
      </c>
      <c r="N7369" s="0" t="n">
        <v>2</v>
      </c>
      <c r="O7369" s="0" t="n">
        <v>14.72</v>
      </c>
      <c r="P7369" s="0" t="s">
        <v>2444</v>
      </c>
    </row>
    <row r="7370" customFormat="false" ht="15" hidden="false" customHeight="true" outlineLevel="0" collapsed="false">
      <c r="A7370" s="0" t="n">
        <v>2</v>
      </c>
      <c r="B7370" s="71" t="n">
        <v>46261</v>
      </c>
      <c r="C7370" s="0" t="n">
        <v>11</v>
      </c>
      <c r="D7370" s="0" t="s">
        <v>2471</v>
      </c>
      <c r="E7370" s="0" t="n">
        <v>1608</v>
      </c>
      <c r="F7370" s="0" t="s">
        <v>240</v>
      </c>
      <c r="I7370" s="0" t="n">
        <v>1719576</v>
      </c>
      <c r="J7370" s="0" t="n">
        <v>48139</v>
      </c>
      <c r="K7370" s="0" t="n">
        <v>7891025122067</v>
      </c>
      <c r="L7370" s="0" t="s">
        <v>2524</v>
      </c>
      <c r="N7370" s="0" t="n">
        <v>3</v>
      </c>
      <c r="O7370" s="0" t="n">
        <v>21.96</v>
      </c>
      <c r="P7370" s="0" t="s">
        <v>2444</v>
      </c>
    </row>
    <row r="7371" customFormat="false" ht="15" hidden="false" customHeight="true" outlineLevel="0" collapsed="false">
      <c r="A7371" s="0" t="n">
        <v>2</v>
      </c>
      <c r="B7371" s="71" t="n">
        <v>46261</v>
      </c>
      <c r="C7371" s="0" t="n">
        <v>11</v>
      </c>
      <c r="D7371" s="0" t="s">
        <v>2471</v>
      </c>
      <c r="E7371" s="0" t="n">
        <v>1608</v>
      </c>
      <c r="F7371" s="0" t="s">
        <v>240</v>
      </c>
      <c r="I7371" s="0" t="n">
        <v>1719576</v>
      </c>
      <c r="J7371" s="0" t="n">
        <v>50877</v>
      </c>
      <c r="K7371" s="0" t="n">
        <v>7891025123040</v>
      </c>
      <c r="L7371" s="0" t="s">
        <v>2990</v>
      </c>
      <c r="N7371" s="0" t="n">
        <v>4</v>
      </c>
      <c r="O7371" s="0" t="n">
        <v>10.52</v>
      </c>
      <c r="P7371" s="0" t="s">
        <v>2444</v>
      </c>
    </row>
    <row r="7372" customFormat="false" ht="15" hidden="false" customHeight="true" outlineLevel="0" collapsed="false">
      <c r="A7372" s="0" t="n">
        <v>2</v>
      </c>
      <c r="B7372" s="71" t="n">
        <v>46261</v>
      </c>
      <c r="C7372" s="0" t="n">
        <v>11</v>
      </c>
      <c r="D7372" s="0" t="s">
        <v>2471</v>
      </c>
      <c r="E7372" s="0" t="n">
        <v>1608</v>
      </c>
      <c r="F7372" s="0" t="s">
        <v>240</v>
      </c>
      <c r="I7372" s="0" t="n">
        <v>1719576</v>
      </c>
      <c r="J7372" s="0" t="n">
        <v>69543</v>
      </c>
      <c r="K7372" s="0" t="n">
        <v>7891025123484</v>
      </c>
      <c r="L7372" s="0" t="s">
        <v>5191</v>
      </c>
      <c r="N7372" s="0" t="n">
        <v>2</v>
      </c>
      <c r="O7372" s="0" t="n">
        <v>25.32</v>
      </c>
      <c r="P7372" s="0" t="s">
        <v>2444</v>
      </c>
    </row>
    <row r="7373" customFormat="false" ht="15" hidden="false" customHeight="true" outlineLevel="0" collapsed="false">
      <c r="A7373" s="0" t="n">
        <v>2</v>
      </c>
      <c r="B7373" s="71" t="n">
        <v>46261</v>
      </c>
      <c r="C7373" s="0" t="n">
        <v>11</v>
      </c>
      <c r="D7373" s="0" t="s">
        <v>2471</v>
      </c>
      <c r="E7373" s="0" t="n">
        <v>1608</v>
      </c>
      <c r="F7373" s="0" t="s">
        <v>240</v>
      </c>
      <c r="I7373" s="0" t="n">
        <v>1719576</v>
      </c>
      <c r="J7373" s="0" t="n">
        <v>69614</v>
      </c>
      <c r="K7373" s="0" t="n">
        <v>7891025123477</v>
      </c>
      <c r="L7373" s="0" t="s">
        <v>2527</v>
      </c>
      <c r="N7373" s="0" t="n">
        <v>4</v>
      </c>
      <c r="O7373" s="0" t="n">
        <v>50.64</v>
      </c>
      <c r="P7373" s="0" t="s">
        <v>2444</v>
      </c>
    </row>
    <row r="7374" customFormat="false" ht="15" hidden="false" customHeight="true" outlineLevel="0" collapsed="false">
      <c r="A7374" s="0" t="n">
        <v>2</v>
      </c>
      <c r="B7374" s="71" t="n">
        <v>46261</v>
      </c>
      <c r="C7374" s="0" t="n">
        <v>11</v>
      </c>
      <c r="D7374" s="0" t="s">
        <v>2471</v>
      </c>
      <c r="E7374" s="0" t="n">
        <v>1608</v>
      </c>
      <c r="F7374" s="0" t="s">
        <v>240</v>
      </c>
      <c r="I7374" s="0" t="n">
        <v>1719576</v>
      </c>
      <c r="J7374" s="0" t="n">
        <v>80680</v>
      </c>
      <c r="K7374" s="0" t="n">
        <v>7891025125488</v>
      </c>
      <c r="L7374" s="0" t="s">
        <v>2531</v>
      </c>
      <c r="N7374" s="0" t="n">
        <v>6</v>
      </c>
      <c r="O7374" s="0" t="n">
        <v>17.04</v>
      </c>
      <c r="P7374" s="0" t="s">
        <v>2444</v>
      </c>
    </row>
    <row r="7375" customFormat="false" ht="15" hidden="false" customHeight="true" outlineLevel="0" collapsed="false">
      <c r="A7375" s="0" t="n">
        <v>2</v>
      </c>
      <c r="B7375" s="71" t="n">
        <v>46261</v>
      </c>
      <c r="C7375" s="0" t="n">
        <v>11</v>
      </c>
      <c r="D7375" s="0" t="s">
        <v>2471</v>
      </c>
      <c r="E7375" s="0" t="n">
        <v>1608</v>
      </c>
      <c r="F7375" s="0" t="s">
        <v>240</v>
      </c>
      <c r="I7375" s="0" t="n">
        <v>1719576</v>
      </c>
      <c r="J7375" s="0" t="n">
        <v>80681</v>
      </c>
      <c r="K7375" s="0" t="n">
        <v>7891025125495</v>
      </c>
      <c r="L7375" s="0" t="s">
        <v>2532</v>
      </c>
      <c r="N7375" s="0" t="n">
        <v>8</v>
      </c>
      <c r="O7375" s="0" t="n">
        <v>22.72</v>
      </c>
      <c r="P7375" s="0" t="s">
        <v>2444</v>
      </c>
    </row>
    <row r="7376" customFormat="false" ht="15" hidden="false" customHeight="true" outlineLevel="0" collapsed="false">
      <c r="A7376" s="0" t="n">
        <v>2</v>
      </c>
      <c r="B7376" s="71" t="n">
        <v>46261</v>
      </c>
      <c r="C7376" s="0" t="n">
        <v>11</v>
      </c>
      <c r="D7376" s="0" t="s">
        <v>2471</v>
      </c>
      <c r="E7376" s="0" t="n">
        <v>1637</v>
      </c>
      <c r="F7376" s="0" t="s">
        <v>871</v>
      </c>
      <c r="I7376" s="0" t="n">
        <v>1925381</v>
      </c>
      <c r="J7376" s="0" t="n">
        <v>36969</v>
      </c>
      <c r="K7376" s="0" t="n">
        <v>7891000325858</v>
      </c>
      <c r="L7376" s="0" t="s">
        <v>5192</v>
      </c>
      <c r="N7376" s="0" t="n">
        <v>48</v>
      </c>
      <c r="O7376" s="0" t="n">
        <v>811.2</v>
      </c>
      <c r="P7376" s="0" t="s">
        <v>2444</v>
      </c>
    </row>
    <row r="7377" customFormat="false" ht="15" hidden="false" customHeight="true" outlineLevel="0" collapsed="false">
      <c r="A7377" s="0" t="n">
        <v>2</v>
      </c>
      <c r="B7377" s="71" t="n">
        <v>46261</v>
      </c>
      <c r="C7377" s="0" t="n">
        <v>11</v>
      </c>
      <c r="D7377" s="0" t="s">
        <v>2471</v>
      </c>
      <c r="E7377" s="0" t="n">
        <v>1637</v>
      </c>
      <c r="F7377" s="0" t="s">
        <v>871</v>
      </c>
      <c r="I7377" s="0" t="n">
        <v>1925381</v>
      </c>
      <c r="J7377" s="0" t="n">
        <v>58706</v>
      </c>
      <c r="K7377" s="0" t="n">
        <v>7891000376843</v>
      </c>
      <c r="L7377" s="0" t="s">
        <v>3164</v>
      </c>
      <c r="N7377" s="0" t="n">
        <v>66</v>
      </c>
      <c r="O7377" s="0" t="n">
        <v>131.49</v>
      </c>
      <c r="P7377" s="0" t="s">
        <v>2444</v>
      </c>
    </row>
    <row r="7378" customFormat="false" ht="15" hidden="false" customHeight="true" outlineLevel="0" collapsed="false">
      <c r="A7378" s="0" t="n">
        <v>2</v>
      </c>
      <c r="B7378" s="71" t="n">
        <v>46261</v>
      </c>
      <c r="C7378" s="0" t="n">
        <v>11</v>
      </c>
      <c r="D7378" s="0" t="s">
        <v>2471</v>
      </c>
      <c r="E7378" s="0" t="n">
        <v>1637</v>
      </c>
      <c r="F7378" s="0" t="s">
        <v>871</v>
      </c>
      <c r="I7378" s="0" t="n">
        <v>1925382</v>
      </c>
      <c r="J7378" s="0" t="n">
        <v>105626</v>
      </c>
      <c r="K7378" s="0" t="n">
        <v>7898215152347</v>
      </c>
      <c r="L7378" s="0" t="s">
        <v>5193</v>
      </c>
      <c r="N7378" s="0" t="n">
        <v>75</v>
      </c>
      <c r="O7378" s="0" t="n">
        <v>974.55</v>
      </c>
      <c r="P7378" s="0" t="s">
        <v>2444</v>
      </c>
    </row>
    <row r="7379" customFormat="false" ht="15" hidden="false" customHeight="true" outlineLevel="0" collapsed="false">
      <c r="A7379" s="0" t="n">
        <v>2</v>
      </c>
      <c r="B7379" s="71" t="n">
        <v>46261</v>
      </c>
      <c r="C7379" s="0" t="n">
        <v>11</v>
      </c>
      <c r="D7379" s="0" t="s">
        <v>2471</v>
      </c>
      <c r="E7379" s="0" t="n">
        <v>1636</v>
      </c>
      <c r="F7379" s="0" t="s">
        <v>61</v>
      </c>
      <c r="I7379" s="0" t="n">
        <v>3242273</v>
      </c>
      <c r="J7379" s="0" t="n">
        <v>24761</v>
      </c>
      <c r="K7379" s="0" t="n">
        <v>7891152340419</v>
      </c>
      <c r="L7379" s="0" t="s">
        <v>4372</v>
      </c>
      <c r="N7379" s="0" t="n">
        <v>30</v>
      </c>
      <c r="O7379" s="0" t="n">
        <v>74.38</v>
      </c>
      <c r="P7379" s="0" t="s">
        <v>2444</v>
      </c>
    </row>
    <row r="7380" customFormat="false" ht="15" hidden="false" customHeight="true" outlineLevel="0" collapsed="false">
      <c r="A7380" s="0" t="n">
        <v>2</v>
      </c>
      <c r="B7380" s="71" t="n">
        <v>46261</v>
      </c>
      <c r="C7380" s="0" t="n">
        <v>11</v>
      </c>
      <c r="D7380" s="0" t="s">
        <v>2471</v>
      </c>
      <c r="E7380" s="0" t="n">
        <v>1636</v>
      </c>
      <c r="F7380" s="0" t="s">
        <v>61</v>
      </c>
      <c r="I7380" s="0" t="n">
        <v>3242273</v>
      </c>
      <c r="J7380" s="0" t="n">
        <v>29112</v>
      </c>
      <c r="K7380" s="0" t="n">
        <v>7891152800517</v>
      </c>
      <c r="L7380" s="0" t="s">
        <v>2915</v>
      </c>
      <c r="N7380" s="0" t="n">
        <v>30</v>
      </c>
      <c r="O7380" s="0" t="n">
        <v>86.83</v>
      </c>
      <c r="P7380" s="0" t="s">
        <v>2444</v>
      </c>
    </row>
    <row r="7381" customFormat="false" ht="15" hidden="false" customHeight="true" outlineLevel="0" collapsed="false">
      <c r="A7381" s="0" t="n">
        <v>2</v>
      </c>
      <c r="B7381" s="71" t="n">
        <v>46261</v>
      </c>
      <c r="C7381" s="0" t="n">
        <v>11</v>
      </c>
      <c r="D7381" s="0" t="s">
        <v>2471</v>
      </c>
      <c r="E7381" s="0" t="n">
        <v>1636</v>
      </c>
      <c r="F7381" s="0" t="s">
        <v>61</v>
      </c>
      <c r="I7381" s="0" t="n">
        <v>3242273</v>
      </c>
      <c r="J7381" s="0" t="n">
        <v>36034</v>
      </c>
      <c r="K7381" s="0" t="n">
        <v>7891152800937</v>
      </c>
      <c r="L7381" s="0" t="s">
        <v>2918</v>
      </c>
      <c r="N7381" s="0" t="n">
        <v>30</v>
      </c>
      <c r="O7381" s="0" t="n">
        <v>84.53</v>
      </c>
      <c r="P7381" s="0" t="s">
        <v>2444</v>
      </c>
    </row>
    <row r="7382" customFormat="false" ht="15" hidden="false" customHeight="true" outlineLevel="0" collapsed="false">
      <c r="A7382" s="0" t="n">
        <v>2</v>
      </c>
      <c r="B7382" s="71" t="n">
        <v>46261</v>
      </c>
      <c r="C7382" s="0" t="n">
        <v>11</v>
      </c>
      <c r="D7382" s="0" t="s">
        <v>2471</v>
      </c>
      <c r="E7382" s="0" t="n">
        <v>1636</v>
      </c>
      <c r="F7382" s="0" t="s">
        <v>61</v>
      </c>
      <c r="I7382" s="0" t="n">
        <v>3242273</v>
      </c>
      <c r="J7382" s="0" t="n">
        <v>39867</v>
      </c>
      <c r="K7382" s="0" t="n">
        <v>7891152800746</v>
      </c>
      <c r="L7382" s="0" t="s">
        <v>2920</v>
      </c>
      <c r="N7382" s="0" t="n">
        <v>30</v>
      </c>
      <c r="O7382" s="0" t="n">
        <v>61.63</v>
      </c>
      <c r="P7382" s="0" t="s">
        <v>2444</v>
      </c>
    </row>
    <row r="7383" customFormat="false" ht="15" hidden="false" customHeight="true" outlineLevel="0" collapsed="false">
      <c r="A7383" s="0" t="n">
        <v>2</v>
      </c>
      <c r="B7383" s="71" t="n">
        <v>46261</v>
      </c>
      <c r="C7383" s="0" t="n">
        <v>11</v>
      </c>
      <c r="D7383" s="0" t="s">
        <v>2471</v>
      </c>
      <c r="E7383" s="0" t="n">
        <v>1636</v>
      </c>
      <c r="F7383" s="0" t="s">
        <v>61</v>
      </c>
      <c r="I7383" s="0" t="n">
        <v>3242273</v>
      </c>
      <c r="J7383" s="0" t="n">
        <v>41566</v>
      </c>
      <c r="K7383" s="0" t="n">
        <v>7891152800753</v>
      </c>
      <c r="L7383" s="0" t="s">
        <v>2921</v>
      </c>
      <c r="N7383" s="0" t="n">
        <v>30</v>
      </c>
      <c r="O7383" s="0" t="n">
        <v>61.63</v>
      </c>
      <c r="P7383" s="0" t="s">
        <v>2444</v>
      </c>
    </row>
    <row r="7384" customFormat="false" ht="15" hidden="false" customHeight="true" outlineLevel="0" collapsed="false">
      <c r="A7384" s="0" t="n">
        <v>2</v>
      </c>
      <c r="B7384" s="71" t="n">
        <v>46261</v>
      </c>
      <c r="C7384" s="0" t="n">
        <v>11</v>
      </c>
      <c r="D7384" s="0" t="s">
        <v>2471</v>
      </c>
      <c r="E7384" s="0" t="n">
        <v>1636</v>
      </c>
      <c r="F7384" s="0" t="s">
        <v>61</v>
      </c>
      <c r="I7384" s="0" t="n">
        <v>3242273</v>
      </c>
      <c r="J7384" s="0" t="n">
        <v>41944</v>
      </c>
      <c r="K7384" s="0" t="n">
        <v>7891152801286</v>
      </c>
      <c r="L7384" s="0" t="s">
        <v>2923</v>
      </c>
      <c r="N7384" s="0" t="n">
        <v>30</v>
      </c>
      <c r="O7384" s="0" t="n">
        <v>61.63</v>
      </c>
      <c r="P7384" s="0" t="s">
        <v>2444</v>
      </c>
    </row>
    <row r="7385" customFormat="false" ht="15" hidden="false" customHeight="true" outlineLevel="0" collapsed="false">
      <c r="A7385" s="0" t="n">
        <v>2</v>
      </c>
      <c r="B7385" s="71" t="n">
        <v>46261</v>
      </c>
      <c r="C7385" s="0" t="n">
        <v>11</v>
      </c>
      <c r="D7385" s="0" t="s">
        <v>2471</v>
      </c>
      <c r="E7385" s="0" t="n">
        <v>1636</v>
      </c>
      <c r="F7385" s="0" t="s">
        <v>61</v>
      </c>
      <c r="I7385" s="0" t="n">
        <v>3242273</v>
      </c>
      <c r="J7385" s="0" t="n">
        <v>41945</v>
      </c>
      <c r="K7385" s="0" t="n">
        <v>7891152801323</v>
      </c>
      <c r="L7385" s="0" t="s">
        <v>2924</v>
      </c>
      <c r="N7385" s="0" t="n">
        <v>60</v>
      </c>
      <c r="O7385" s="0" t="n">
        <v>114.85</v>
      </c>
      <c r="P7385" s="0" t="s">
        <v>2444</v>
      </c>
    </row>
    <row r="7386" customFormat="false" ht="15" hidden="false" customHeight="true" outlineLevel="0" collapsed="false">
      <c r="A7386" s="0" t="n">
        <v>2</v>
      </c>
      <c r="B7386" s="71" t="n">
        <v>46261</v>
      </c>
      <c r="C7386" s="0" t="n">
        <v>11</v>
      </c>
      <c r="D7386" s="0" t="s">
        <v>2471</v>
      </c>
      <c r="E7386" s="0" t="n">
        <v>1636</v>
      </c>
      <c r="F7386" s="0" t="s">
        <v>61</v>
      </c>
      <c r="I7386" s="0" t="n">
        <v>3242273</v>
      </c>
      <c r="J7386" s="0" t="n">
        <v>41947</v>
      </c>
      <c r="K7386" s="0" t="n">
        <v>7891152801330</v>
      </c>
      <c r="L7386" s="0" t="s">
        <v>2925</v>
      </c>
      <c r="N7386" s="0" t="n">
        <v>60</v>
      </c>
      <c r="O7386" s="0" t="n">
        <v>114.85</v>
      </c>
      <c r="P7386" s="0" t="s">
        <v>2444</v>
      </c>
    </row>
    <row r="7387" customFormat="false" ht="15" hidden="false" customHeight="true" outlineLevel="0" collapsed="false">
      <c r="A7387" s="0" t="n">
        <v>2</v>
      </c>
      <c r="B7387" s="71" t="n">
        <v>46261</v>
      </c>
      <c r="C7387" s="0" t="n">
        <v>11</v>
      </c>
      <c r="D7387" s="0" t="s">
        <v>2471</v>
      </c>
      <c r="E7387" s="0" t="n">
        <v>1636</v>
      </c>
      <c r="F7387" s="0" t="s">
        <v>61</v>
      </c>
      <c r="I7387" s="0" t="n">
        <v>3242273</v>
      </c>
      <c r="J7387" s="0" t="n">
        <v>44049</v>
      </c>
      <c r="K7387" s="0" t="n">
        <v>7891152801378</v>
      </c>
      <c r="L7387" s="0" t="s">
        <v>2926</v>
      </c>
      <c r="N7387" s="0" t="n">
        <v>60</v>
      </c>
      <c r="O7387" s="0" t="n">
        <v>114.85</v>
      </c>
      <c r="P7387" s="0" t="s">
        <v>2444</v>
      </c>
    </row>
    <row r="7388" customFormat="false" ht="15" hidden="false" customHeight="true" outlineLevel="0" collapsed="false">
      <c r="A7388" s="0" t="n">
        <v>2</v>
      </c>
      <c r="B7388" s="71" t="n">
        <v>46261</v>
      </c>
      <c r="C7388" s="0" t="n">
        <v>11</v>
      </c>
      <c r="D7388" s="0" t="s">
        <v>2471</v>
      </c>
      <c r="E7388" s="0" t="n">
        <v>1636</v>
      </c>
      <c r="F7388" s="0" t="s">
        <v>61</v>
      </c>
      <c r="I7388" s="0" t="n">
        <v>3242273</v>
      </c>
      <c r="J7388" s="0" t="n">
        <v>48477</v>
      </c>
      <c r="K7388" s="0" t="n">
        <v>7891152801828</v>
      </c>
      <c r="L7388" s="0" t="s">
        <v>2929</v>
      </c>
      <c r="N7388" s="0" t="n">
        <v>36</v>
      </c>
      <c r="O7388" s="0" t="n">
        <v>78.91</v>
      </c>
      <c r="P7388" s="0" t="s">
        <v>2444</v>
      </c>
    </row>
    <row r="7389" customFormat="false" ht="15" hidden="false" customHeight="true" outlineLevel="0" collapsed="false">
      <c r="A7389" s="0" t="n">
        <v>2</v>
      </c>
      <c r="B7389" s="71" t="n">
        <v>46261</v>
      </c>
      <c r="C7389" s="0" t="n">
        <v>11</v>
      </c>
      <c r="D7389" s="0" t="s">
        <v>2471</v>
      </c>
      <c r="E7389" s="0" t="n">
        <v>1636</v>
      </c>
      <c r="F7389" s="0" t="s">
        <v>61</v>
      </c>
      <c r="I7389" s="0" t="n">
        <v>3242273</v>
      </c>
      <c r="J7389" s="0" t="n">
        <v>48478</v>
      </c>
      <c r="K7389" s="0" t="n">
        <v>7891152801811</v>
      </c>
      <c r="L7389" s="0" t="s">
        <v>2930</v>
      </c>
      <c r="N7389" s="0" t="n">
        <v>36</v>
      </c>
      <c r="O7389" s="0" t="n">
        <v>78.91</v>
      </c>
      <c r="P7389" s="0" t="s">
        <v>2444</v>
      </c>
    </row>
    <row r="7390" customFormat="false" ht="15" hidden="false" customHeight="true" outlineLevel="0" collapsed="false">
      <c r="A7390" s="0" t="n">
        <v>2</v>
      </c>
      <c r="B7390" s="71" t="n">
        <v>46261</v>
      </c>
      <c r="C7390" s="0" t="n">
        <v>11</v>
      </c>
      <c r="D7390" s="0" t="s">
        <v>2471</v>
      </c>
      <c r="E7390" s="0" t="n">
        <v>1636</v>
      </c>
      <c r="F7390" s="0" t="s">
        <v>61</v>
      </c>
      <c r="I7390" s="0" t="n">
        <v>3242273</v>
      </c>
      <c r="J7390" s="0" t="n">
        <v>48697</v>
      </c>
      <c r="K7390" s="0" t="n">
        <v>7891152801804</v>
      </c>
      <c r="L7390" s="0" t="s">
        <v>2931</v>
      </c>
      <c r="N7390" s="0" t="n">
        <v>36</v>
      </c>
      <c r="O7390" s="0" t="n">
        <v>78.91</v>
      </c>
      <c r="P7390" s="0" t="s">
        <v>2444</v>
      </c>
    </row>
    <row r="7391" customFormat="false" ht="15" hidden="false" customHeight="true" outlineLevel="0" collapsed="false">
      <c r="A7391" s="0" t="n">
        <v>2</v>
      </c>
      <c r="B7391" s="71" t="n">
        <v>46261</v>
      </c>
      <c r="C7391" s="0" t="n">
        <v>11</v>
      </c>
      <c r="D7391" s="0" t="s">
        <v>2471</v>
      </c>
      <c r="E7391" s="0" t="n">
        <v>1636</v>
      </c>
      <c r="F7391" s="0" t="s">
        <v>61</v>
      </c>
      <c r="I7391" s="0" t="n">
        <v>3242273</v>
      </c>
      <c r="J7391" s="0" t="n">
        <v>48698</v>
      </c>
      <c r="K7391" s="0" t="n">
        <v>7891152801781</v>
      </c>
      <c r="L7391" s="0" t="s">
        <v>2932</v>
      </c>
      <c r="N7391" s="0" t="n">
        <v>108</v>
      </c>
      <c r="O7391" s="0" t="n">
        <v>236.74</v>
      </c>
      <c r="P7391" s="0" t="s">
        <v>2444</v>
      </c>
    </row>
    <row r="7392" customFormat="false" ht="15" hidden="false" customHeight="true" outlineLevel="0" collapsed="false">
      <c r="A7392" s="0" t="n">
        <v>2</v>
      </c>
      <c r="B7392" s="71" t="n">
        <v>46261</v>
      </c>
      <c r="C7392" s="0" t="n">
        <v>11</v>
      </c>
      <c r="D7392" s="0" t="s">
        <v>2471</v>
      </c>
      <c r="E7392" s="0" t="n">
        <v>1636</v>
      </c>
      <c r="F7392" s="0" t="s">
        <v>61</v>
      </c>
      <c r="I7392" s="0" t="n">
        <v>3242273</v>
      </c>
      <c r="J7392" s="0" t="n">
        <v>48699</v>
      </c>
      <c r="K7392" s="0" t="n">
        <v>7891152801842</v>
      </c>
      <c r="L7392" s="0" t="s">
        <v>2933</v>
      </c>
      <c r="N7392" s="0" t="n">
        <v>108</v>
      </c>
      <c r="O7392" s="0" t="n">
        <v>236.74</v>
      </c>
      <c r="P7392" s="0" t="s">
        <v>2444</v>
      </c>
    </row>
    <row r="7393" customFormat="false" ht="15" hidden="false" customHeight="true" outlineLevel="0" collapsed="false">
      <c r="A7393" s="0" t="n">
        <v>2</v>
      </c>
      <c r="B7393" s="71" t="n">
        <v>46261</v>
      </c>
      <c r="C7393" s="0" t="n">
        <v>11</v>
      </c>
      <c r="D7393" s="0" t="s">
        <v>2471</v>
      </c>
      <c r="E7393" s="0" t="n">
        <v>1636</v>
      </c>
      <c r="F7393" s="0" t="s">
        <v>61</v>
      </c>
      <c r="I7393" s="0" t="n">
        <v>3242273</v>
      </c>
      <c r="J7393" s="0" t="n">
        <v>48867</v>
      </c>
      <c r="K7393" s="0" t="n">
        <v>7891152801798</v>
      </c>
      <c r="L7393" s="0" t="s">
        <v>2934</v>
      </c>
      <c r="N7393" s="0" t="n">
        <v>72</v>
      </c>
      <c r="O7393" s="0" t="n">
        <v>157.83</v>
      </c>
      <c r="P7393" s="0" t="s">
        <v>2444</v>
      </c>
    </row>
    <row r="7394" customFormat="false" ht="15" hidden="false" customHeight="true" outlineLevel="0" collapsed="false">
      <c r="A7394" s="0" t="n">
        <v>2</v>
      </c>
      <c r="B7394" s="71" t="n">
        <v>46261</v>
      </c>
      <c r="C7394" s="0" t="n">
        <v>11</v>
      </c>
      <c r="D7394" s="0" t="s">
        <v>2471</v>
      </c>
      <c r="E7394" s="0" t="n">
        <v>1636</v>
      </c>
      <c r="F7394" s="0" t="s">
        <v>61</v>
      </c>
      <c r="I7394" s="0" t="n">
        <v>3242273</v>
      </c>
      <c r="J7394" s="0" t="n">
        <v>49326</v>
      </c>
      <c r="K7394" s="0" t="n">
        <v>7891152801835</v>
      </c>
      <c r="L7394" s="0" t="s">
        <v>2936</v>
      </c>
      <c r="N7394" s="0" t="n">
        <v>36</v>
      </c>
      <c r="O7394" s="0" t="n">
        <v>78.91</v>
      </c>
      <c r="P7394" s="0" t="s">
        <v>2444</v>
      </c>
    </row>
    <row r="7395" customFormat="false" ht="15" hidden="false" customHeight="true" outlineLevel="0" collapsed="false">
      <c r="A7395" s="0" t="n">
        <v>2</v>
      </c>
      <c r="B7395" s="71" t="n">
        <v>46261</v>
      </c>
      <c r="C7395" s="0" t="n">
        <v>11</v>
      </c>
      <c r="D7395" s="0" t="s">
        <v>2471</v>
      </c>
      <c r="E7395" s="0" t="n">
        <v>1636</v>
      </c>
      <c r="F7395" s="0" t="s">
        <v>61</v>
      </c>
      <c r="I7395" s="0" t="n">
        <v>3242273</v>
      </c>
      <c r="J7395" s="0" t="n">
        <v>52434</v>
      </c>
      <c r="K7395" s="0" t="n">
        <v>7891152801965</v>
      </c>
      <c r="L7395" s="0" t="s">
        <v>2937</v>
      </c>
      <c r="N7395" s="0" t="n">
        <v>108</v>
      </c>
      <c r="O7395" s="0" t="n">
        <v>236.74</v>
      </c>
      <c r="P7395" s="0" t="s">
        <v>2444</v>
      </c>
    </row>
    <row r="7396" customFormat="false" ht="15" hidden="false" customHeight="true" outlineLevel="0" collapsed="false">
      <c r="A7396" s="0" t="n">
        <v>2</v>
      </c>
      <c r="B7396" s="71" t="n">
        <v>46261</v>
      </c>
      <c r="C7396" s="0" t="n">
        <v>11</v>
      </c>
      <c r="D7396" s="0" t="s">
        <v>2471</v>
      </c>
      <c r="E7396" s="0" t="n">
        <v>1636</v>
      </c>
      <c r="F7396" s="0" t="s">
        <v>61</v>
      </c>
      <c r="I7396" s="0" t="n">
        <v>3242273</v>
      </c>
      <c r="J7396" s="0" t="n">
        <v>53055</v>
      </c>
      <c r="K7396" s="0" t="n">
        <v>7891152801972</v>
      </c>
      <c r="L7396" s="0" t="s">
        <v>2938</v>
      </c>
      <c r="N7396" s="0" t="n">
        <v>36</v>
      </c>
      <c r="O7396" s="0" t="n">
        <v>78.91</v>
      </c>
      <c r="P7396" s="0" t="s">
        <v>2444</v>
      </c>
    </row>
    <row r="7397" customFormat="false" ht="15" hidden="false" customHeight="true" outlineLevel="0" collapsed="false">
      <c r="A7397" s="0" t="n">
        <v>2</v>
      </c>
      <c r="B7397" s="71" t="n">
        <v>46261</v>
      </c>
      <c r="C7397" s="0" t="n">
        <v>11</v>
      </c>
      <c r="D7397" s="0" t="s">
        <v>2471</v>
      </c>
      <c r="E7397" s="0" t="n">
        <v>1636</v>
      </c>
      <c r="F7397" s="0" t="s">
        <v>61</v>
      </c>
      <c r="I7397" s="0" t="n">
        <v>3242273</v>
      </c>
      <c r="J7397" s="0" t="n">
        <v>78370</v>
      </c>
      <c r="K7397" s="0" t="n">
        <v>7891152802597</v>
      </c>
      <c r="L7397" s="0" t="s">
        <v>2943</v>
      </c>
      <c r="N7397" s="0" t="n">
        <v>36</v>
      </c>
      <c r="O7397" s="0" t="n">
        <v>78.91</v>
      </c>
      <c r="P7397" s="0" t="s">
        <v>2444</v>
      </c>
    </row>
    <row r="7398" customFormat="false" ht="15" hidden="false" customHeight="true" outlineLevel="0" collapsed="false">
      <c r="A7398" s="0" t="n">
        <v>2</v>
      </c>
      <c r="B7398" s="71" t="n">
        <v>46261</v>
      </c>
      <c r="C7398" s="0" t="n">
        <v>11</v>
      </c>
      <c r="D7398" s="0" t="s">
        <v>2471</v>
      </c>
      <c r="E7398" s="0" t="n">
        <v>1636</v>
      </c>
      <c r="F7398" s="0" t="s">
        <v>61</v>
      </c>
      <c r="I7398" s="0" t="n">
        <v>3242273</v>
      </c>
      <c r="J7398" s="0" t="n">
        <v>78371</v>
      </c>
      <c r="K7398" s="0" t="n">
        <v>7891152802641</v>
      </c>
      <c r="L7398" s="0" t="s">
        <v>2944</v>
      </c>
      <c r="N7398" s="0" t="n">
        <v>36</v>
      </c>
      <c r="O7398" s="0" t="n">
        <v>78.91</v>
      </c>
      <c r="P7398" s="0" t="s">
        <v>2444</v>
      </c>
    </row>
    <row r="7399" customFormat="false" ht="15" hidden="false" customHeight="true" outlineLevel="0" collapsed="false">
      <c r="A7399" s="0" t="n">
        <v>2</v>
      </c>
      <c r="B7399" s="71" t="n">
        <v>46261</v>
      </c>
      <c r="C7399" s="0" t="n">
        <v>22</v>
      </c>
      <c r="D7399" s="0" t="s">
        <v>2479</v>
      </c>
      <c r="E7399" s="0" t="n">
        <v>48</v>
      </c>
      <c r="F7399" s="0" t="s">
        <v>153</v>
      </c>
      <c r="I7399" s="0" t="n">
        <v>2634</v>
      </c>
      <c r="J7399" s="0" t="n">
        <v>100000</v>
      </c>
      <c r="K7399" s="0" t="n">
        <v>1</v>
      </c>
      <c r="L7399" s="0" t="s">
        <v>2480</v>
      </c>
      <c r="N7399" s="0" t="n">
        <v>2.858</v>
      </c>
      <c r="O7399" s="0" t="n">
        <v>53.59</v>
      </c>
      <c r="P7399" s="0" t="s">
        <v>2444</v>
      </c>
    </row>
    <row r="7400" customFormat="false" ht="15" hidden="false" customHeight="true" outlineLevel="0" collapsed="false">
      <c r="A7400" s="0" t="n">
        <v>2</v>
      </c>
      <c r="B7400" s="71" t="n">
        <v>46261</v>
      </c>
      <c r="C7400" s="0" t="n">
        <v>22</v>
      </c>
      <c r="D7400" s="0" t="s">
        <v>2479</v>
      </c>
      <c r="E7400" s="0" t="n">
        <v>48</v>
      </c>
      <c r="F7400" s="0" t="s">
        <v>153</v>
      </c>
      <c r="I7400" s="0" t="n">
        <v>2634</v>
      </c>
      <c r="J7400" s="0" t="n">
        <v>100001</v>
      </c>
      <c r="K7400" s="0" t="n">
        <v>2</v>
      </c>
      <c r="L7400" s="0" t="s">
        <v>2481</v>
      </c>
      <c r="N7400" s="0" t="n">
        <v>9.17</v>
      </c>
      <c r="O7400" s="0" t="n">
        <v>186.27</v>
      </c>
      <c r="P7400" s="0" t="s">
        <v>2444</v>
      </c>
    </row>
    <row r="7401" customFormat="false" ht="15" hidden="false" customHeight="true" outlineLevel="0" collapsed="false">
      <c r="A7401" s="0" t="n">
        <v>2</v>
      </c>
      <c r="B7401" s="71" t="n">
        <v>46261</v>
      </c>
      <c r="C7401" s="0" t="n">
        <v>22</v>
      </c>
      <c r="D7401" s="0" t="s">
        <v>2479</v>
      </c>
      <c r="E7401" s="0" t="n">
        <v>48</v>
      </c>
      <c r="F7401" s="0" t="s">
        <v>153</v>
      </c>
      <c r="I7401" s="0" t="n">
        <v>2634</v>
      </c>
      <c r="J7401" s="0" t="n">
        <v>100002</v>
      </c>
      <c r="K7401" s="0" t="n">
        <v>3</v>
      </c>
      <c r="L7401" s="0" t="s">
        <v>2482</v>
      </c>
      <c r="N7401" s="0" t="n">
        <v>14.21</v>
      </c>
      <c r="O7401" s="0" t="n">
        <v>333.07</v>
      </c>
      <c r="P7401" s="0" t="s">
        <v>2444</v>
      </c>
    </row>
    <row r="7402" customFormat="false" ht="15" hidden="false" customHeight="true" outlineLevel="0" collapsed="false">
      <c r="A7402" s="0" t="n">
        <v>2</v>
      </c>
      <c r="B7402" s="71" t="n">
        <v>46261</v>
      </c>
      <c r="C7402" s="0" t="n">
        <v>22</v>
      </c>
      <c r="D7402" s="0" t="s">
        <v>2479</v>
      </c>
      <c r="E7402" s="0" t="n">
        <v>48</v>
      </c>
      <c r="F7402" s="0" t="s">
        <v>153</v>
      </c>
      <c r="I7402" s="0" t="n">
        <v>2634</v>
      </c>
      <c r="J7402" s="0" t="n">
        <v>100003</v>
      </c>
      <c r="K7402" s="0" t="n">
        <v>4</v>
      </c>
      <c r="L7402" s="0" t="s">
        <v>2483</v>
      </c>
      <c r="N7402" s="0" t="n">
        <v>15.35</v>
      </c>
      <c r="O7402" s="0" t="n">
        <v>383.78</v>
      </c>
      <c r="P7402" s="0" t="s">
        <v>2444</v>
      </c>
    </row>
    <row r="7403" customFormat="false" ht="15" hidden="false" customHeight="true" outlineLevel="0" collapsed="false">
      <c r="A7403" s="0" t="n">
        <v>2</v>
      </c>
      <c r="B7403" s="71" t="n">
        <v>46261</v>
      </c>
      <c r="C7403" s="0" t="n">
        <v>22</v>
      </c>
      <c r="D7403" s="0" t="s">
        <v>2479</v>
      </c>
      <c r="E7403" s="0" t="n">
        <v>48</v>
      </c>
      <c r="F7403" s="0" t="s">
        <v>153</v>
      </c>
      <c r="I7403" s="0" t="n">
        <v>2634</v>
      </c>
      <c r="J7403" s="0" t="n">
        <v>100004</v>
      </c>
      <c r="K7403" s="0" t="n">
        <v>5</v>
      </c>
      <c r="L7403" s="0" t="s">
        <v>2484</v>
      </c>
      <c r="N7403" s="0" t="n">
        <v>1.622</v>
      </c>
      <c r="O7403" s="0" t="n">
        <v>35.48</v>
      </c>
      <c r="P7403" s="0" t="s">
        <v>2444</v>
      </c>
    </row>
    <row r="7404" customFormat="false" ht="15" hidden="false" customHeight="true" outlineLevel="0" collapsed="false">
      <c r="A7404" s="0" t="n">
        <v>2</v>
      </c>
      <c r="B7404" s="71" t="n">
        <v>46261</v>
      </c>
      <c r="C7404" s="0" t="n">
        <v>22</v>
      </c>
      <c r="D7404" s="0" t="s">
        <v>2479</v>
      </c>
      <c r="E7404" s="0" t="n">
        <v>48</v>
      </c>
      <c r="F7404" s="0" t="s">
        <v>153</v>
      </c>
      <c r="I7404" s="0" t="n">
        <v>2634</v>
      </c>
      <c r="J7404" s="0" t="n">
        <v>100007</v>
      </c>
      <c r="K7404" s="0" t="n">
        <v>8</v>
      </c>
      <c r="L7404" s="0" t="s">
        <v>2486</v>
      </c>
      <c r="N7404" s="0" t="n">
        <v>1.358</v>
      </c>
      <c r="O7404" s="0" t="n">
        <v>31.83</v>
      </c>
      <c r="P7404" s="0" t="s">
        <v>2444</v>
      </c>
    </row>
    <row r="7405" customFormat="false" ht="15" hidden="false" customHeight="true" outlineLevel="0" collapsed="false">
      <c r="A7405" s="0" t="n">
        <v>2</v>
      </c>
      <c r="B7405" s="71" t="n">
        <v>46261</v>
      </c>
      <c r="C7405" s="0" t="n">
        <v>22</v>
      </c>
      <c r="D7405" s="0" t="s">
        <v>2479</v>
      </c>
      <c r="E7405" s="0" t="n">
        <v>48</v>
      </c>
      <c r="F7405" s="0" t="s">
        <v>153</v>
      </c>
      <c r="I7405" s="0" t="n">
        <v>2634</v>
      </c>
      <c r="J7405" s="0" t="n">
        <v>100040</v>
      </c>
      <c r="K7405" s="0" t="n">
        <v>41</v>
      </c>
      <c r="L7405" s="0" t="s">
        <v>2583</v>
      </c>
      <c r="N7405" s="0" t="n">
        <v>1.584</v>
      </c>
      <c r="O7405" s="0" t="n">
        <v>39.6</v>
      </c>
      <c r="P7405" s="0" t="s">
        <v>2444</v>
      </c>
    </row>
    <row r="7406" customFormat="false" ht="15" hidden="false" customHeight="true" outlineLevel="0" collapsed="false">
      <c r="A7406" s="0" t="n">
        <v>2</v>
      </c>
      <c r="B7406" s="71" t="n">
        <v>46261</v>
      </c>
      <c r="C7406" s="0" t="n">
        <v>22</v>
      </c>
      <c r="D7406" s="0" t="s">
        <v>2479</v>
      </c>
      <c r="E7406" s="0" t="n">
        <v>48</v>
      </c>
      <c r="F7406" s="0" t="s">
        <v>153</v>
      </c>
      <c r="I7406" s="0" t="n">
        <v>2634</v>
      </c>
      <c r="J7406" s="0" t="n">
        <v>100638</v>
      </c>
      <c r="K7406" s="0" t="n">
        <v>508</v>
      </c>
      <c r="L7406" s="0" t="s">
        <v>2496</v>
      </c>
      <c r="N7406" s="0" t="n">
        <v>0.986</v>
      </c>
      <c r="O7406" s="0" t="n">
        <v>2.3</v>
      </c>
      <c r="P7406" s="0" t="s">
        <v>2444</v>
      </c>
    </row>
    <row r="7407" customFormat="false" ht="15" hidden="false" customHeight="true" outlineLevel="0" collapsed="false">
      <c r="A7407" s="0" t="n">
        <v>2</v>
      </c>
      <c r="B7407" s="71" t="n">
        <v>46261</v>
      </c>
      <c r="C7407" s="0" t="n">
        <v>22</v>
      </c>
      <c r="D7407" s="0" t="s">
        <v>2479</v>
      </c>
      <c r="E7407" s="0" t="n">
        <v>48</v>
      </c>
      <c r="F7407" s="0" t="s">
        <v>153</v>
      </c>
      <c r="I7407" s="0" t="n">
        <v>2634</v>
      </c>
      <c r="J7407" s="0" t="n">
        <v>100520</v>
      </c>
      <c r="K7407" s="0" t="n">
        <v>507</v>
      </c>
      <c r="L7407" s="0" t="s">
        <v>2497</v>
      </c>
      <c r="N7407" s="0" t="n">
        <v>1.4</v>
      </c>
      <c r="O7407" s="0" t="n">
        <v>3.27</v>
      </c>
      <c r="P7407" s="0" t="s">
        <v>2444</v>
      </c>
    </row>
    <row r="7408" customFormat="false" ht="15" hidden="false" customHeight="true" outlineLevel="0" collapsed="false">
      <c r="A7408" s="0" t="n">
        <v>2</v>
      </c>
      <c r="B7408" s="71" t="n">
        <v>46261</v>
      </c>
      <c r="C7408" s="0" t="n">
        <v>22</v>
      </c>
      <c r="D7408" s="0" t="s">
        <v>2479</v>
      </c>
      <c r="E7408" s="0" t="n">
        <v>48</v>
      </c>
      <c r="F7408" s="0" t="s">
        <v>153</v>
      </c>
      <c r="I7408" s="0" t="n">
        <v>2634</v>
      </c>
      <c r="J7408" s="0" t="n">
        <v>110455</v>
      </c>
      <c r="K7408" s="0" t="n">
        <v>53212</v>
      </c>
      <c r="L7408" s="0" t="s">
        <v>2498</v>
      </c>
      <c r="N7408" s="0" t="n">
        <v>0.062</v>
      </c>
      <c r="O7408" s="0" t="n">
        <v>0.01</v>
      </c>
      <c r="P7408" s="0" t="s">
        <v>2444</v>
      </c>
    </row>
    <row r="7409" customFormat="false" ht="15" hidden="false" customHeight="true" outlineLevel="0" collapsed="false">
      <c r="A7409" s="0" t="n">
        <v>2</v>
      </c>
      <c r="B7409" s="71" t="n">
        <v>46261</v>
      </c>
      <c r="C7409" s="0" t="n">
        <v>100</v>
      </c>
      <c r="D7409" s="0" t="s">
        <v>2499</v>
      </c>
      <c r="E7409" s="0" t="n">
        <v>48</v>
      </c>
      <c r="F7409" s="0" t="s">
        <v>153</v>
      </c>
      <c r="I7409" s="0" t="n">
        <v>1608608</v>
      </c>
      <c r="J7409" s="0" t="n">
        <v>100000</v>
      </c>
      <c r="K7409" s="0" t="n">
        <v>1</v>
      </c>
      <c r="L7409" s="0" t="s">
        <v>2480</v>
      </c>
      <c r="N7409" s="0" t="n">
        <v>2.858</v>
      </c>
      <c r="O7409" s="0" t="n">
        <v>53.59</v>
      </c>
      <c r="P7409" s="0" t="s">
        <v>2444</v>
      </c>
    </row>
    <row r="7410" customFormat="false" ht="15" hidden="false" customHeight="true" outlineLevel="0" collapsed="false">
      <c r="A7410" s="0" t="n">
        <v>2</v>
      </c>
      <c r="B7410" s="71" t="n">
        <v>46261</v>
      </c>
      <c r="C7410" s="0" t="n">
        <v>100</v>
      </c>
      <c r="D7410" s="0" t="s">
        <v>2499</v>
      </c>
      <c r="E7410" s="0" t="n">
        <v>48</v>
      </c>
      <c r="F7410" s="0" t="s">
        <v>153</v>
      </c>
      <c r="I7410" s="0" t="n">
        <v>1608608</v>
      </c>
      <c r="J7410" s="0" t="n">
        <v>100001</v>
      </c>
      <c r="K7410" s="0" t="n">
        <v>2</v>
      </c>
      <c r="L7410" s="0" t="s">
        <v>2481</v>
      </c>
      <c r="N7410" s="0" t="n">
        <v>9.17</v>
      </c>
      <c r="O7410" s="0" t="n">
        <v>186.27</v>
      </c>
      <c r="P7410" s="0" t="s">
        <v>2444</v>
      </c>
    </row>
    <row r="7411" customFormat="false" ht="15" hidden="false" customHeight="true" outlineLevel="0" collapsed="false">
      <c r="A7411" s="0" t="n">
        <v>2</v>
      </c>
      <c r="B7411" s="71" t="n">
        <v>46261</v>
      </c>
      <c r="C7411" s="0" t="n">
        <v>100</v>
      </c>
      <c r="D7411" s="0" t="s">
        <v>2499</v>
      </c>
      <c r="E7411" s="0" t="n">
        <v>48</v>
      </c>
      <c r="F7411" s="0" t="s">
        <v>153</v>
      </c>
      <c r="I7411" s="0" t="n">
        <v>1608608</v>
      </c>
      <c r="J7411" s="0" t="n">
        <v>100002</v>
      </c>
      <c r="K7411" s="0" t="n">
        <v>3</v>
      </c>
      <c r="L7411" s="0" t="s">
        <v>2482</v>
      </c>
      <c r="N7411" s="0" t="n">
        <v>14.21</v>
      </c>
      <c r="O7411" s="0" t="n">
        <v>333.07</v>
      </c>
      <c r="P7411" s="0" t="s">
        <v>2444</v>
      </c>
    </row>
    <row r="7412" customFormat="false" ht="15" hidden="false" customHeight="true" outlineLevel="0" collapsed="false">
      <c r="A7412" s="0" t="n">
        <v>2</v>
      </c>
      <c r="B7412" s="71" t="n">
        <v>46261</v>
      </c>
      <c r="C7412" s="0" t="n">
        <v>100</v>
      </c>
      <c r="D7412" s="0" t="s">
        <v>2499</v>
      </c>
      <c r="E7412" s="0" t="n">
        <v>48</v>
      </c>
      <c r="F7412" s="0" t="s">
        <v>153</v>
      </c>
      <c r="I7412" s="0" t="n">
        <v>1608608</v>
      </c>
      <c r="J7412" s="0" t="n">
        <v>100003</v>
      </c>
      <c r="K7412" s="0" t="n">
        <v>4</v>
      </c>
      <c r="L7412" s="0" t="s">
        <v>2483</v>
      </c>
      <c r="N7412" s="0" t="n">
        <v>15.35</v>
      </c>
      <c r="O7412" s="0" t="n">
        <v>383.78</v>
      </c>
      <c r="P7412" s="0" t="s">
        <v>2444</v>
      </c>
    </row>
    <row r="7413" customFormat="false" ht="15" hidden="false" customHeight="true" outlineLevel="0" collapsed="false">
      <c r="A7413" s="0" t="n">
        <v>2</v>
      </c>
      <c r="B7413" s="71" t="n">
        <v>46261</v>
      </c>
      <c r="C7413" s="0" t="n">
        <v>100</v>
      </c>
      <c r="D7413" s="0" t="s">
        <v>2499</v>
      </c>
      <c r="E7413" s="0" t="n">
        <v>48</v>
      </c>
      <c r="F7413" s="0" t="s">
        <v>153</v>
      </c>
      <c r="I7413" s="0" t="n">
        <v>1608608</v>
      </c>
      <c r="J7413" s="0" t="n">
        <v>100004</v>
      </c>
      <c r="K7413" s="0" t="n">
        <v>5</v>
      </c>
      <c r="L7413" s="0" t="s">
        <v>2484</v>
      </c>
      <c r="N7413" s="0" t="n">
        <v>1.622</v>
      </c>
      <c r="O7413" s="0" t="n">
        <v>35.48</v>
      </c>
      <c r="P7413" s="0" t="s">
        <v>2444</v>
      </c>
    </row>
    <row r="7414" customFormat="false" ht="15" hidden="false" customHeight="true" outlineLevel="0" collapsed="false">
      <c r="A7414" s="0" t="n">
        <v>2</v>
      </c>
      <c r="B7414" s="71" t="n">
        <v>46261</v>
      </c>
      <c r="C7414" s="0" t="n">
        <v>100</v>
      </c>
      <c r="D7414" s="0" t="s">
        <v>2499</v>
      </c>
      <c r="E7414" s="0" t="n">
        <v>48</v>
      </c>
      <c r="F7414" s="0" t="s">
        <v>153</v>
      </c>
      <c r="I7414" s="0" t="n">
        <v>1608608</v>
      </c>
      <c r="J7414" s="0" t="n">
        <v>100007</v>
      </c>
      <c r="K7414" s="0" t="n">
        <v>8</v>
      </c>
      <c r="L7414" s="0" t="s">
        <v>2486</v>
      </c>
      <c r="N7414" s="0" t="n">
        <v>1.358</v>
      </c>
      <c r="O7414" s="0" t="n">
        <v>31.83</v>
      </c>
      <c r="P7414" s="0" t="s">
        <v>2444</v>
      </c>
    </row>
    <row r="7415" customFormat="false" ht="15" hidden="false" customHeight="true" outlineLevel="0" collapsed="false">
      <c r="A7415" s="0" t="n">
        <v>2</v>
      </c>
      <c r="B7415" s="71" t="n">
        <v>46261</v>
      </c>
      <c r="C7415" s="0" t="n">
        <v>100</v>
      </c>
      <c r="D7415" s="0" t="s">
        <v>2499</v>
      </c>
      <c r="E7415" s="0" t="n">
        <v>48</v>
      </c>
      <c r="F7415" s="0" t="s">
        <v>153</v>
      </c>
      <c r="I7415" s="0" t="n">
        <v>1608608</v>
      </c>
      <c r="J7415" s="0" t="n">
        <v>100040</v>
      </c>
      <c r="K7415" s="0" t="n">
        <v>41</v>
      </c>
      <c r="L7415" s="0" t="s">
        <v>2583</v>
      </c>
      <c r="N7415" s="0" t="n">
        <v>1.584</v>
      </c>
      <c r="O7415" s="0" t="n">
        <v>39.6</v>
      </c>
      <c r="P7415" s="0" t="s">
        <v>2444</v>
      </c>
    </row>
    <row r="7416" customFormat="false" ht="15" hidden="false" customHeight="true" outlineLevel="0" collapsed="false">
      <c r="A7416" s="0" t="n">
        <v>2</v>
      </c>
      <c r="B7416" s="71" t="n">
        <v>46261</v>
      </c>
      <c r="C7416" s="0" t="n">
        <v>100</v>
      </c>
      <c r="D7416" s="0" t="s">
        <v>2499</v>
      </c>
      <c r="E7416" s="0" t="n">
        <v>48</v>
      </c>
      <c r="F7416" s="0" t="s">
        <v>153</v>
      </c>
      <c r="I7416" s="0" t="n">
        <v>1608608</v>
      </c>
      <c r="J7416" s="0" t="n">
        <v>100638</v>
      </c>
      <c r="K7416" s="0" t="n">
        <v>508</v>
      </c>
      <c r="L7416" s="0" t="s">
        <v>2496</v>
      </c>
      <c r="N7416" s="0" t="n">
        <v>0.986</v>
      </c>
      <c r="O7416" s="0" t="n">
        <v>2.3</v>
      </c>
      <c r="P7416" s="0" t="s">
        <v>2444</v>
      </c>
    </row>
    <row r="7417" customFormat="false" ht="15" hidden="false" customHeight="true" outlineLevel="0" collapsed="false">
      <c r="A7417" s="0" t="n">
        <v>2</v>
      </c>
      <c r="B7417" s="71" t="n">
        <v>46261</v>
      </c>
      <c r="C7417" s="0" t="n">
        <v>100</v>
      </c>
      <c r="D7417" s="0" t="s">
        <v>2499</v>
      </c>
      <c r="E7417" s="0" t="n">
        <v>48</v>
      </c>
      <c r="F7417" s="0" t="s">
        <v>153</v>
      </c>
      <c r="I7417" s="0" t="n">
        <v>1608608</v>
      </c>
      <c r="J7417" s="0" t="n">
        <v>100520</v>
      </c>
      <c r="K7417" s="0" t="n">
        <v>507</v>
      </c>
      <c r="L7417" s="0" t="s">
        <v>2497</v>
      </c>
      <c r="N7417" s="0" t="n">
        <v>1.4</v>
      </c>
      <c r="O7417" s="0" t="n">
        <v>3.27</v>
      </c>
      <c r="P7417" s="0" t="s">
        <v>2444</v>
      </c>
    </row>
    <row r="7418" customFormat="false" ht="15" hidden="false" customHeight="true" outlineLevel="0" collapsed="false">
      <c r="A7418" s="0" t="n">
        <v>2</v>
      </c>
      <c r="B7418" s="71" t="n">
        <v>46261</v>
      </c>
      <c r="C7418" s="0" t="n">
        <v>100</v>
      </c>
      <c r="D7418" s="0" t="s">
        <v>2499</v>
      </c>
      <c r="E7418" s="0" t="n">
        <v>48</v>
      </c>
      <c r="F7418" s="0" t="s">
        <v>153</v>
      </c>
      <c r="I7418" s="0" t="n">
        <v>1608608</v>
      </c>
      <c r="J7418" s="0" t="n">
        <v>110455</v>
      </c>
      <c r="K7418" s="0" t="n">
        <v>53212</v>
      </c>
      <c r="L7418" s="0" t="s">
        <v>2498</v>
      </c>
      <c r="N7418" s="0" t="n">
        <v>0.062</v>
      </c>
      <c r="O7418" s="0" t="n">
        <v>0.01</v>
      </c>
      <c r="P7418" s="0" t="s">
        <v>2444</v>
      </c>
    </row>
    <row r="7419" customFormat="false" ht="15" hidden="false" customHeight="true" outlineLevel="0" collapsed="false">
      <c r="A7419" s="0" t="n">
        <v>2</v>
      </c>
      <c r="B7419" s="71" t="n">
        <v>46262</v>
      </c>
      <c r="C7419" s="0" t="n">
        <v>6</v>
      </c>
      <c r="D7419" s="0" t="s">
        <v>2553</v>
      </c>
      <c r="E7419" s="0" t="n">
        <v>48</v>
      </c>
      <c r="F7419" s="0" t="s">
        <v>153</v>
      </c>
      <c r="I7419" s="0" t="n">
        <v>2636</v>
      </c>
      <c r="J7419" s="0" t="n">
        <v>100113</v>
      </c>
      <c r="K7419" s="0" t="n">
        <v>114</v>
      </c>
      <c r="L7419" s="0" t="s">
        <v>2539</v>
      </c>
      <c r="N7419" s="0" t="n">
        <v>20</v>
      </c>
      <c r="O7419" s="0" t="n">
        <v>85</v>
      </c>
      <c r="P7419" s="0" t="s">
        <v>2444</v>
      </c>
    </row>
    <row r="7420" customFormat="false" ht="15" hidden="false" customHeight="true" outlineLevel="0" collapsed="false">
      <c r="A7420" s="0" t="n">
        <v>2</v>
      </c>
      <c r="B7420" s="71" t="n">
        <v>46262</v>
      </c>
      <c r="C7420" s="0" t="n">
        <v>6</v>
      </c>
      <c r="D7420" s="0" t="s">
        <v>2553</v>
      </c>
      <c r="E7420" s="0" t="n">
        <v>48</v>
      </c>
      <c r="F7420" s="0" t="s">
        <v>153</v>
      </c>
      <c r="I7420" s="0" t="n">
        <v>2636</v>
      </c>
      <c r="J7420" s="0" t="n">
        <v>110142</v>
      </c>
      <c r="K7420" s="0" t="n">
        <v>16699</v>
      </c>
      <c r="L7420" s="0" t="s">
        <v>2549</v>
      </c>
      <c r="N7420" s="0" t="n">
        <v>20</v>
      </c>
      <c r="O7420" s="0" t="n">
        <v>115</v>
      </c>
      <c r="P7420" s="0" t="s">
        <v>2444</v>
      </c>
    </row>
    <row r="7421" customFormat="false" ht="15" hidden="false" customHeight="true" outlineLevel="0" collapsed="false">
      <c r="A7421" s="0" t="n">
        <v>2</v>
      </c>
      <c r="B7421" s="71" t="n">
        <v>46262</v>
      </c>
      <c r="C7421" s="0" t="n">
        <v>6</v>
      </c>
      <c r="D7421" s="0" t="s">
        <v>2553</v>
      </c>
      <c r="E7421" s="0" t="n">
        <v>48</v>
      </c>
      <c r="F7421" s="0" t="s">
        <v>153</v>
      </c>
      <c r="I7421" s="0" t="n">
        <v>2637</v>
      </c>
      <c r="J7421" s="0" t="n">
        <v>100062</v>
      </c>
      <c r="K7421" s="0" t="n">
        <v>63</v>
      </c>
      <c r="L7421" s="0" t="s">
        <v>2535</v>
      </c>
      <c r="N7421" s="0" t="n">
        <v>5</v>
      </c>
      <c r="O7421" s="0" t="n">
        <v>36</v>
      </c>
      <c r="P7421" s="0" t="s">
        <v>2444</v>
      </c>
    </row>
    <row r="7422" customFormat="false" ht="15" hidden="false" customHeight="true" outlineLevel="0" collapsed="false">
      <c r="A7422" s="0" t="n">
        <v>2</v>
      </c>
      <c r="B7422" s="71" t="n">
        <v>46262</v>
      </c>
      <c r="C7422" s="0" t="n">
        <v>6</v>
      </c>
      <c r="D7422" s="0" t="s">
        <v>2553</v>
      </c>
      <c r="E7422" s="0" t="n">
        <v>48</v>
      </c>
      <c r="F7422" s="0" t="s">
        <v>153</v>
      </c>
      <c r="I7422" s="0" t="n">
        <v>2637</v>
      </c>
      <c r="J7422" s="0" t="n">
        <v>100100</v>
      </c>
      <c r="K7422" s="0" t="n">
        <v>101</v>
      </c>
      <c r="L7422" s="0" t="s">
        <v>2693</v>
      </c>
      <c r="N7422" s="0" t="n">
        <v>5</v>
      </c>
      <c r="O7422" s="0" t="n">
        <v>25</v>
      </c>
      <c r="P7422" s="0" t="s">
        <v>2444</v>
      </c>
    </row>
    <row r="7423" customFormat="false" ht="15" hidden="false" customHeight="true" outlineLevel="0" collapsed="false">
      <c r="A7423" s="0" t="n">
        <v>2</v>
      </c>
      <c r="B7423" s="71" t="n">
        <v>46262</v>
      </c>
      <c r="C7423" s="0" t="n">
        <v>6</v>
      </c>
      <c r="D7423" s="0" t="s">
        <v>2553</v>
      </c>
      <c r="E7423" s="0" t="n">
        <v>48</v>
      </c>
      <c r="F7423" s="0" t="s">
        <v>153</v>
      </c>
      <c r="I7423" s="0" t="n">
        <v>2637</v>
      </c>
      <c r="J7423" s="0" t="n">
        <v>100109</v>
      </c>
      <c r="K7423" s="0" t="n">
        <v>110</v>
      </c>
      <c r="L7423" s="0" t="s">
        <v>2537</v>
      </c>
      <c r="N7423" s="0" t="n">
        <v>20</v>
      </c>
      <c r="O7423" s="0" t="n">
        <v>100</v>
      </c>
      <c r="P7423" s="0" t="s">
        <v>2444</v>
      </c>
    </row>
    <row r="7424" customFormat="false" ht="15" hidden="false" customHeight="true" outlineLevel="0" collapsed="false">
      <c r="A7424" s="0" t="n">
        <v>2</v>
      </c>
      <c r="B7424" s="71" t="n">
        <v>46262</v>
      </c>
      <c r="C7424" s="0" t="n">
        <v>6</v>
      </c>
      <c r="D7424" s="0" t="s">
        <v>2553</v>
      </c>
      <c r="E7424" s="0" t="n">
        <v>48</v>
      </c>
      <c r="F7424" s="0" t="s">
        <v>153</v>
      </c>
      <c r="I7424" s="0" t="n">
        <v>2637</v>
      </c>
      <c r="J7424" s="0" t="n">
        <v>100115</v>
      </c>
      <c r="K7424" s="0" t="n">
        <v>116</v>
      </c>
      <c r="L7424" s="0" t="s">
        <v>2694</v>
      </c>
      <c r="N7424" s="0" t="n">
        <v>15</v>
      </c>
      <c r="O7424" s="0" t="n">
        <v>150</v>
      </c>
      <c r="P7424" s="0" t="s">
        <v>2444</v>
      </c>
    </row>
    <row r="7425" customFormat="false" ht="15" hidden="false" customHeight="true" outlineLevel="0" collapsed="false">
      <c r="A7425" s="0" t="n">
        <v>2</v>
      </c>
      <c r="B7425" s="71" t="n">
        <v>46262</v>
      </c>
      <c r="C7425" s="0" t="n">
        <v>6</v>
      </c>
      <c r="D7425" s="0" t="s">
        <v>2553</v>
      </c>
      <c r="E7425" s="0" t="n">
        <v>48</v>
      </c>
      <c r="F7425" s="0" t="s">
        <v>153</v>
      </c>
      <c r="I7425" s="0" t="n">
        <v>2637</v>
      </c>
      <c r="J7425" s="0" t="n">
        <v>100116</v>
      </c>
      <c r="K7425" s="0" t="n">
        <v>117</v>
      </c>
      <c r="L7425" s="0" t="s">
        <v>2540</v>
      </c>
      <c r="N7425" s="0" t="n">
        <v>2</v>
      </c>
      <c r="O7425" s="0" t="n">
        <v>36</v>
      </c>
      <c r="P7425" s="0" t="s">
        <v>2444</v>
      </c>
    </row>
    <row r="7426" customFormat="false" ht="15" hidden="false" customHeight="true" outlineLevel="0" collapsed="false">
      <c r="A7426" s="0" t="n">
        <v>2</v>
      </c>
      <c r="B7426" s="71" t="n">
        <v>46262</v>
      </c>
      <c r="C7426" s="0" t="n">
        <v>6</v>
      </c>
      <c r="D7426" s="0" t="s">
        <v>2553</v>
      </c>
      <c r="E7426" s="0" t="n">
        <v>48</v>
      </c>
      <c r="F7426" s="0" t="s">
        <v>153</v>
      </c>
      <c r="I7426" s="0" t="n">
        <v>2637</v>
      </c>
      <c r="J7426" s="0" t="n">
        <v>100121</v>
      </c>
      <c r="K7426" s="0" t="n">
        <v>122</v>
      </c>
      <c r="L7426" s="0" t="s">
        <v>2542</v>
      </c>
      <c r="N7426" s="0" t="n">
        <v>3</v>
      </c>
      <c r="O7426" s="0" t="n">
        <v>54</v>
      </c>
      <c r="P7426" s="0" t="s">
        <v>2444</v>
      </c>
    </row>
    <row r="7427" customFormat="false" ht="15" hidden="false" customHeight="true" outlineLevel="0" collapsed="false">
      <c r="A7427" s="0" t="n">
        <v>2</v>
      </c>
      <c r="B7427" s="71" t="n">
        <v>46262</v>
      </c>
      <c r="C7427" s="0" t="n">
        <v>6</v>
      </c>
      <c r="D7427" s="0" t="s">
        <v>2553</v>
      </c>
      <c r="E7427" s="0" t="n">
        <v>48</v>
      </c>
      <c r="F7427" s="0" t="s">
        <v>153</v>
      </c>
      <c r="I7427" s="0" t="n">
        <v>2637</v>
      </c>
      <c r="J7427" s="0" t="n">
        <v>100122</v>
      </c>
      <c r="K7427" s="0" t="n">
        <v>123</v>
      </c>
      <c r="L7427" s="0" t="s">
        <v>2543</v>
      </c>
      <c r="N7427" s="0" t="n">
        <v>3</v>
      </c>
      <c r="O7427" s="0" t="n">
        <v>45</v>
      </c>
      <c r="P7427" s="0" t="s">
        <v>2444</v>
      </c>
    </row>
    <row r="7428" customFormat="false" ht="15" hidden="false" customHeight="true" outlineLevel="0" collapsed="false">
      <c r="A7428" s="0" t="n">
        <v>2</v>
      </c>
      <c r="B7428" s="71" t="n">
        <v>46262</v>
      </c>
      <c r="C7428" s="0" t="n">
        <v>6</v>
      </c>
      <c r="D7428" s="0" t="s">
        <v>2553</v>
      </c>
      <c r="E7428" s="0" t="n">
        <v>48</v>
      </c>
      <c r="F7428" s="0" t="s">
        <v>153</v>
      </c>
      <c r="I7428" s="0" t="n">
        <v>2637</v>
      </c>
      <c r="J7428" s="0" t="n">
        <v>100123</v>
      </c>
      <c r="K7428" s="0" t="n">
        <v>124</v>
      </c>
      <c r="L7428" s="0" t="s">
        <v>2544</v>
      </c>
      <c r="N7428" s="0" t="n">
        <v>2</v>
      </c>
      <c r="O7428" s="0" t="n">
        <v>34</v>
      </c>
      <c r="P7428" s="0" t="s">
        <v>2444</v>
      </c>
    </row>
    <row r="7429" customFormat="false" ht="15" hidden="false" customHeight="true" outlineLevel="0" collapsed="false">
      <c r="A7429" s="0" t="n">
        <v>2</v>
      </c>
      <c r="B7429" s="71" t="n">
        <v>46262</v>
      </c>
      <c r="C7429" s="0" t="n">
        <v>6</v>
      </c>
      <c r="D7429" s="0" t="s">
        <v>2553</v>
      </c>
      <c r="E7429" s="0" t="n">
        <v>48</v>
      </c>
      <c r="F7429" s="0" t="s">
        <v>153</v>
      </c>
      <c r="I7429" s="0" t="n">
        <v>2637</v>
      </c>
      <c r="J7429" s="0" t="n">
        <v>100125</v>
      </c>
      <c r="K7429" s="0" t="n">
        <v>126</v>
      </c>
      <c r="L7429" s="0" t="s">
        <v>2597</v>
      </c>
      <c r="N7429" s="0" t="n">
        <v>20</v>
      </c>
      <c r="O7429" s="0" t="n">
        <v>150</v>
      </c>
      <c r="P7429" s="0" t="s">
        <v>2444</v>
      </c>
    </row>
    <row r="7430" customFormat="false" ht="15" hidden="false" customHeight="true" outlineLevel="0" collapsed="false">
      <c r="A7430" s="0" t="n">
        <v>2</v>
      </c>
      <c r="B7430" s="71" t="n">
        <v>46262</v>
      </c>
      <c r="C7430" s="0" t="n">
        <v>6</v>
      </c>
      <c r="D7430" s="0" t="s">
        <v>2553</v>
      </c>
      <c r="E7430" s="0" t="n">
        <v>48</v>
      </c>
      <c r="F7430" s="0" t="s">
        <v>153</v>
      </c>
      <c r="I7430" s="0" t="n">
        <v>2637</v>
      </c>
      <c r="J7430" s="0" t="n">
        <v>100130</v>
      </c>
      <c r="K7430" s="0" t="n">
        <v>131</v>
      </c>
      <c r="L7430" s="0" t="s">
        <v>2545</v>
      </c>
      <c r="N7430" s="0" t="n">
        <v>5</v>
      </c>
      <c r="O7430" s="0" t="n">
        <v>32.5</v>
      </c>
      <c r="P7430" s="0" t="s">
        <v>2444</v>
      </c>
    </row>
    <row r="7431" customFormat="false" ht="15" hidden="false" customHeight="true" outlineLevel="0" collapsed="false">
      <c r="A7431" s="0" t="n">
        <v>2</v>
      </c>
      <c r="B7431" s="71" t="n">
        <v>46262</v>
      </c>
      <c r="C7431" s="0" t="n">
        <v>6</v>
      </c>
      <c r="D7431" s="0" t="s">
        <v>2553</v>
      </c>
      <c r="E7431" s="0" t="n">
        <v>48</v>
      </c>
      <c r="F7431" s="0" t="s">
        <v>153</v>
      </c>
      <c r="I7431" s="0" t="n">
        <v>2637</v>
      </c>
      <c r="J7431" s="0" t="n">
        <v>100132</v>
      </c>
      <c r="K7431" s="0" t="n">
        <v>133</v>
      </c>
      <c r="L7431" s="0" t="s">
        <v>2546</v>
      </c>
      <c r="N7431" s="0" t="n">
        <v>44.31</v>
      </c>
      <c r="O7431" s="0" t="n">
        <v>125</v>
      </c>
      <c r="P7431" s="0" t="s">
        <v>2444</v>
      </c>
    </row>
    <row r="7432" customFormat="false" ht="15" hidden="false" customHeight="true" outlineLevel="0" collapsed="false">
      <c r="A7432" s="0" t="n">
        <v>2</v>
      </c>
      <c r="B7432" s="71" t="n">
        <v>46262</v>
      </c>
      <c r="C7432" s="0" t="n">
        <v>6</v>
      </c>
      <c r="D7432" s="0" t="s">
        <v>2553</v>
      </c>
      <c r="E7432" s="0" t="n">
        <v>48</v>
      </c>
      <c r="F7432" s="0" t="s">
        <v>153</v>
      </c>
      <c r="I7432" s="0" t="n">
        <v>2637</v>
      </c>
      <c r="J7432" s="0" t="n">
        <v>100133</v>
      </c>
      <c r="K7432" s="0" t="n">
        <v>134</v>
      </c>
      <c r="L7432" s="0" t="s">
        <v>2547</v>
      </c>
      <c r="N7432" s="0" t="n">
        <v>20</v>
      </c>
      <c r="O7432" s="0" t="n">
        <v>110</v>
      </c>
      <c r="P7432" s="0" t="s">
        <v>2444</v>
      </c>
    </row>
    <row r="7433" customFormat="false" ht="15" hidden="false" customHeight="true" outlineLevel="0" collapsed="false">
      <c r="A7433" s="0" t="n">
        <v>2</v>
      </c>
      <c r="B7433" s="71" t="n">
        <v>46262</v>
      </c>
      <c r="C7433" s="0" t="n">
        <v>6</v>
      </c>
      <c r="D7433" s="0" t="s">
        <v>2553</v>
      </c>
      <c r="E7433" s="0" t="n">
        <v>48</v>
      </c>
      <c r="F7433" s="0" t="s">
        <v>153</v>
      </c>
      <c r="I7433" s="0" t="n">
        <v>2637</v>
      </c>
      <c r="J7433" s="0" t="n">
        <v>110165</v>
      </c>
      <c r="K7433" s="0" t="n">
        <v>37441</v>
      </c>
      <c r="L7433" s="0" t="s">
        <v>4682</v>
      </c>
      <c r="N7433" s="0" t="n">
        <v>20</v>
      </c>
      <c r="O7433" s="0" t="n">
        <v>140</v>
      </c>
      <c r="P7433" s="0" t="s">
        <v>2444</v>
      </c>
    </row>
    <row r="7434" customFormat="false" ht="15" hidden="false" customHeight="true" outlineLevel="0" collapsed="false">
      <c r="A7434" s="0" t="n">
        <v>2</v>
      </c>
      <c r="B7434" s="71" t="n">
        <v>46262</v>
      </c>
      <c r="C7434" s="0" t="n">
        <v>6</v>
      </c>
      <c r="D7434" s="0" t="s">
        <v>2553</v>
      </c>
      <c r="E7434" s="0" t="n">
        <v>48</v>
      </c>
      <c r="F7434" s="0" t="s">
        <v>153</v>
      </c>
      <c r="I7434" s="0" t="n">
        <v>2637</v>
      </c>
      <c r="J7434" s="0" t="n">
        <v>110374</v>
      </c>
      <c r="K7434" s="0" t="n">
        <v>48077</v>
      </c>
      <c r="L7434" s="0" t="s">
        <v>2696</v>
      </c>
      <c r="N7434" s="0" t="n">
        <v>5</v>
      </c>
      <c r="O7434" s="0" t="n">
        <v>40</v>
      </c>
      <c r="P7434" s="0" t="s">
        <v>2444</v>
      </c>
    </row>
    <row r="7435" customFormat="false" ht="15" hidden="false" customHeight="true" outlineLevel="0" collapsed="false">
      <c r="A7435" s="0" t="n">
        <v>2</v>
      </c>
      <c r="B7435" s="71" t="n">
        <v>46262</v>
      </c>
      <c r="C7435" s="0" t="n">
        <v>6</v>
      </c>
      <c r="D7435" s="0" t="s">
        <v>2553</v>
      </c>
      <c r="E7435" s="0" t="n">
        <v>48</v>
      </c>
      <c r="F7435" s="0" t="s">
        <v>153</v>
      </c>
      <c r="I7435" s="0" t="n">
        <v>2637</v>
      </c>
      <c r="J7435" s="0" t="n">
        <v>110489</v>
      </c>
      <c r="K7435" s="0" t="n">
        <v>54743</v>
      </c>
      <c r="L7435" s="0" t="s">
        <v>2550</v>
      </c>
      <c r="N7435" s="0" t="n">
        <v>40</v>
      </c>
      <c r="O7435" s="0" t="n">
        <v>270</v>
      </c>
      <c r="P7435" s="0" t="s">
        <v>2444</v>
      </c>
    </row>
    <row r="7436" customFormat="false" ht="15" hidden="false" customHeight="true" outlineLevel="0" collapsed="false">
      <c r="A7436" s="0" t="n">
        <v>2</v>
      </c>
      <c r="B7436" s="71" t="n">
        <v>46262</v>
      </c>
      <c r="C7436" s="0" t="n">
        <v>6</v>
      </c>
      <c r="D7436" s="0" t="s">
        <v>2553</v>
      </c>
      <c r="E7436" s="0" t="n">
        <v>48</v>
      </c>
      <c r="F7436" s="0" t="s">
        <v>153</v>
      </c>
      <c r="I7436" s="0" t="n">
        <v>2637</v>
      </c>
      <c r="J7436" s="0" t="n">
        <v>80078</v>
      </c>
      <c r="K7436" s="0" t="n">
        <v>710</v>
      </c>
      <c r="L7436" s="0" t="s">
        <v>2551</v>
      </c>
      <c r="N7436" s="0" t="n">
        <v>10</v>
      </c>
      <c r="O7436" s="0" t="n">
        <v>30</v>
      </c>
      <c r="P7436" s="0" t="s">
        <v>2444</v>
      </c>
    </row>
    <row r="7437" customFormat="false" ht="15" hidden="false" customHeight="true" outlineLevel="0" collapsed="false">
      <c r="A7437" s="0" t="n">
        <v>2</v>
      </c>
      <c r="B7437" s="71" t="n">
        <v>46262</v>
      </c>
      <c r="C7437" s="0" t="n">
        <v>6</v>
      </c>
      <c r="D7437" s="0" t="s">
        <v>2553</v>
      </c>
      <c r="E7437" s="0" t="n">
        <v>48</v>
      </c>
      <c r="F7437" s="0" t="s">
        <v>153</v>
      </c>
      <c r="I7437" s="0" t="n">
        <v>2637</v>
      </c>
      <c r="J7437" s="0" t="n">
        <v>80308</v>
      </c>
      <c r="K7437" s="0" t="n">
        <v>1250</v>
      </c>
      <c r="L7437" s="0" t="s">
        <v>2552</v>
      </c>
      <c r="N7437" s="0" t="n">
        <v>10</v>
      </c>
      <c r="O7437" s="0" t="n">
        <v>40</v>
      </c>
      <c r="P7437" s="0" t="s">
        <v>2444</v>
      </c>
    </row>
    <row r="7438" customFormat="false" ht="15" hidden="false" customHeight="true" outlineLevel="0" collapsed="false">
      <c r="A7438" s="0" t="n">
        <v>2</v>
      </c>
      <c r="B7438" s="71" t="n">
        <v>46262</v>
      </c>
      <c r="C7438" s="0" t="n">
        <v>6</v>
      </c>
      <c r="D7438" s="0" t="s">
        <v>2553</v>
      </c>
      <c r="E7438" s="0" t="n">
        <v>48</v>
      </c>
      <c r="F7438" s="0" t="s">
        <v>153</v>
      </c>
      <c r="I7438" s="0" t="n">
        <v>2637</v>
      </c>
      <c r="J7438" s="0" t="n">
        <v>81699</v>
      </c>
      <c r="K7438" s="0" t="n">
        <v>1311</v>
      </c>
      <c r="L7438" s="0" t="s">
        <v>4045</v>
      </c>
      <c r="N7438" s="0" t="n">
        <v>10</v>
      </c>
      <c r="O7438" s="0" t="n">
        <v>40</v>
      </c>
      <c r="P7438" s="0" t="s">
        <v>2444</v>
      </c>
    </row>
    <row r="7439" customFormat="false" ht="15" hidden="false" customHeight="true" outlineLevel="0" collapsed="false">
      <c r="A7439" s="0" t="n">
        <v>2</v>
      </c>
      <c r="B7439" s="71" t="n">
        <v>46262</v>
      </c>
      <c r="C7439" s="0" t="n">
        <v>11</v>
      </c>
      <c r="D7439" s="0" t="s">
        <v>2471</v>
      </c>
      <c r="E7439" s="0" t="n">
        <v>10035</v>
      </c>
      <c r="F7439" s="0" t="s">
        <v>86</v>
      </c>
      <c r="I7439" s="0" t="n">
        <v>421</v>
      </c>
      <c r="J7439" s="0" t="n">
        <v>38652</v>
      </c>
      <c r="K7439" s="0" t="n">
        <v>7898994684220</v>
      </c>
      <c r="L7439" s="0" t="s">
        <v>2711</v>
      </c>
      <c r="N7439" s="0" t="n">
        <v>15</v>
      </c>
      <c r="O7439" s="0" t="n">
        <v>142.5</v>
      </c>
      <c r="P7439" s="0" t="s">
        <v>2444</v>
      </c>
    </row>
    <row r="7440" customFormat="false" ht="15" hidden="false" customHeight="true" outlineLevel="0" collapsed="false">
      <c r="A7440" s="0" t="n">
        <v>2</v>
      </c>
      <c r="B7440" s="71" t="n">
        <v>46262</v>
      </c>
      <c r="C7440" s="0" t="n">
        <v>11</v>
      </c>
      <c r="D7440" s="0" t="s">
        <v>2471</v>
      </c>
      <c r="E7440" s="0" t="n">
        <v>10035</v>
      </c>
      <c r="F7440" s="0" t="s">
        <v>86</v>
      </c>
      <c r="I7440" s="0" t="n">
        <v>421</v>
      </c>
      <c r="J7440" s="0" t="n">
        <v>38653</v>
      </c>
      <c r="K7440" s="0" t="n">
        <v>7898994684275</v>
      </c>
      <c r="L7440" s="0" t="s">
        <v>2712</v>
      </c>
      <c r="N7440" s="0" t="n">
        <v>15</v>
      </c>
      <c r="O7440" s="0" t="n">
        <v>72</v>
      </c>
      <c r="P7440" s="0" t="s">
        <v>2444</v>
      </c>
    </row>
    <row r="7441" customFormat="false" ht="15" hidden="false" customHeight="true" outlineLevel="0" collapsed="false">
      <c r="A7441" s="0" t="n">
        <v>2</v>
      </c>
      <c r="B7441" s="71" t="n">
        <v>46262</v>
      </c>
      <c r="C7441" s="0" t="n">
        <v>11</v>
      </c>
      <c r="D7441" s="0" t="s">
        <v>2471</v>
      </c>
      <c r="E7441" s="0" t="n">
        <v>1783</v>
      </c>
      <c r="F7441" s="0" t="s">
        <v>340</v>
      </c>
      <c r="I7441" s="0" t="n">
        <v>532</v>
      </c>
      <c r="J7441" s="0" t="n">
        <v>39453</v>
      </c>
      <c r="K7441" s="0" t="n">
        <v>4901088061111</v>
      </c>
      <c r="L7441" s="0" t="s">
        <v>2713</v>
      </c>
      <c r="N7441" s="0" t="n">
        <v>96</v>
      </c>
      <c r="O7441" s="0" t="n">
        <v>160.32</v>
      </c>
      <c r="P7441" s="0" t="s">
        <v>2444</v>
      </c>
    </row>
    <row r="7442" customFormat="false" ht="15" hidden="false" customHeight="true" outlineLevel="0" collapsed="false">
      <c r="A7442" s="0" t="n">
        <v>2</v>
      </c>
      <c r="B7442" s="71" t="n">
        <v>46262</v>
      </c>
      <c r="C7442" s="0" t="n">
        <v>11</v>
      </c>
      <c r="D7442" s="0" t="s">
        <v>2471</v>
      </c>
      <c r="E7442" s="0" t="n">
        <v>1196</v>
      </c>
      <c r="F7442" s="0" t="s">
        <v>1470</v>
      </c>
      <c r="I7442" s="0" t="n">
        <v>13070</v>
      </c>
      <c r="J7442" s="0" t="n">
        <v>28138</v>
      </c>
      <c r="K7442" s="0" t="n">
        <v>7896253400031</v>
      </c>
      <c r="L7442" s="0" t="s">
        <v>5194</v>
      </c>
      <c r="N7442" s="0" t="n">
        <v>200</v>
      </c>
      <c r="O7442" s="0" t="n">
        <v>2398</v>
      </c>
      <c r="P7442" s="0" t="s">
        <v>2444</v>
      </c>
    </row>
    <row r="7443" customFormat="false" ht="15" hidden="false" customHeight="true" outlineLevel="0" collapsed="false">
      <c r="A7443" s="0" t="n">
        <v>2</v>
      </c>
      <c r="B7443" s="71" t="n">
        <v>46262</v>
      </c>
      <c r="C7443" s="0" t="n">
        <v>11</v>
      </c>
      <c r="D7443" s="0" t="s">
        <v>2471</v>
      </c>
      <c r="E7443" s="0" t="n">
        <v>1196</v>
      </c>
      <c r="F7443" s="0" t="s">
        <v>1470</v>
      </c>
      <c r="I7443" s="0" t="n">
        <v>13070</v>
      </c>
      <c r="J7443" s="0" t="n">
        <v>34923</v>
      </c>
      <c r="K7443" s="0" t="n">
        <v>7896253401465</v>
      </c>
      <c r="L7443" s="0" t="s">
        <v>4881</v>
      </c>
      <c r="N7443" s="0" t="n">
        <v>60</v>
      </c>
      <c r="O7443" s="0" t="n">
        <v>242.84</v>
      </c>
      <c r="P7443" s="0" t="s">
        <v>2444</v>
      </c>
    </row>
    <row r="7444" customFormat="false" ht="15" hidden="false" customHeight="true" outlineLevel="0" collapsed="false">
      <c r="A7444" s="0" t="n">
        <v>2</v>
      </c>
      <c r="B7444" s="71" t="n">
        <v>46262</v>
      </c>
      <c r="C7444" s="0" t="n">
        <v>11</v>
      </c>
      <c r="D7444" s="0" t="s">
        <v>2471</v>
      </c>
      <c r="E7444" s="0" t="n">
        <v>1196</v>
      </c>
      <c r="F7444" s="0" t="s">
        <v>1470</v>
      </c>
      <c r="I7444" s="0" t="n">
        <v>13070</v>
      </c>
      <c r="J7444" s="0" t="n">
        <v>37598</v>
      </c>
      <c r="K7444" s="0" t="n">
        <v>7896253401489</v>
      </c>
      <c r="L7444" s="0" t="s">
        <v>5195</v>
      </c>
      <c r="N7444" s="0" t="n">
        <v>20</v>
      </c>
      <c r="O7444" s="0" t="n">
        <v>97.84</v>
      </c>
      <c r="P7444" s="0" t="s">
        <v>2444</v>
      </c>
    </row>
    <row r="7445" customFormat="false" ht="15" hidden="false" customHeight="true" outlineLevel="0" collapsed="false">
      <c r="A7445" s="0" t="n">
        <v>2</v>
      </c>
      <c r="B7445" s="71" t="n">
        <v>46262</v>
      </c>
      <c r="C7445" s="0" t="n">
        <v>11</v>
      </c>
      <c r="D7445" s="0" t="s">
        <v>2471</v>
      </c>
      <c r="E7445" s="0" t="n">
        <v>1196</v>
      </c>
      <c r="F7445" s="0" t="s">
        <v>1470</v>
      </c>
      <c r="I7445" s="0" t="n">
        <v>13070</v>
      </c>
      <c r="J7445" s="0" t="n">
        <v>50885</v>
      </c>
      <c r="K7445" s="0" t="n">
        <v>7896253401717</v>
      </c>
      <c r="L7445" s="0" t="s">
        <v>5196</v>
      </c>
      <c r="N7445" s="0" t="n">
        <v>40</v>
      </c>
      <c r="O7445" s="0" t="n">
        <v>151</v>
      </c>
      <c r="P7445" s="0" t="s">
        <v>2444</v>
      </c>
    </row>
    <row r="7446" customFormat="false" ht="15" hidden="false" customHeight="true" outlineLevel="0" collapsed="false">
      <c r="A7446" s="0" t="n">
        <v>2</v>
      </c>
      <c r="B7446" s="71" t="n">
        <v>46262</v>
      </c>
      <c r="C7446" s="0" t="n">
        <v>11</v>
      </c>
      <c r="D7446" s="0" t="s">
        <v>2471</v>
      </c>
      <c r="E7446" s="0" t="n">
        <v>1196</v>
      </c>
      <c r="F7446" s="0" t="s">
        <v>1470</v>
      </c>
      <c r="I7446" s="0" t="n">
        <v>13070</v>
      </c>
      <c r="J7446" s="0" t="n">
        <v>53324</v>
      </c>
      <c r="K7446" s="0" t="n">
        <v>7896253401472</v>
      </c>
      <c r="L7446" s="0" t="s">
        <v>4882</v>
      </c>
      <c r="N7446" s="0" t="n">
        <v>60</v>
      </c>
      <c r="O7446" s="0" t="n">
        <v>242.84</v>
      </c>
      <c r="P7446" s="0" t="s">
        <v>2444</v>
      </c>
    </row>
    <row r="7447" customFormat="false" ht="15" hidden="false" customHeight="true" outlineLevel="0" collapsed="false">
      <c r="A7447" s="0" t="n">
        <v>2</v>
      </c>
      <c r="B7447" s="71" t="n">
        <v>46262</v>
      </c>
      <c r="C7447" s="0" t="n">
        <v>11</v>
      </c>
      <c r="D7447" s="0" t="s">
        <v>2471</v>
      </c>
      <c r="E7447" s="0" t="n">
        <v>1196</v>
      </c>
      <c r="F7447" s="0" t="s">
        <v>1470</v>
      </c>
      <c r="I7447" s="0" t="n">
        <v>13070</v>
      </c>
      <c r="J7447" s="0" t="n">
        <v>56689</v>
      </c>
      <c r="K7447" s="0" t="n">
        <v>7896253401861</v>
      </c>
      <c r="L7447" s="0" t="s">
        <v>4883</v>
      </c>
      <c r="N7447" s="0" t="n">
        <v>72</v>
      </c>
      <c r="O7447" s="0" t="n">
        <v>288.22</v>
      </c>
      <c r="P7447" s="0" t="s">
        <v>2444</v>
      </c>
    </row>
    <row r="7448" customFormat="false" ht="15" hidden="false" customHeight="true" outlineLevel="0" collapsed="false">
      <c r="A7448" s="0" t="n">
        <v>2</v>
      </c>
      <c r="B7448" s="71" t="n">
        <v>46262</v>
      </c>
      <c r="C7448" s="0" t="n">
        <v>11</v>
      </c>
      <c r="D7448" s="0" t="s">
        <v>2471</v>
      </c>
      <c r="E7448" s="0" t="n">
        <v>1196</v>
      </c>
      <c r="F7448" s="0" t="s">
        <v>1470</v>
      </c>
      <c r="I7448" s="0" t="n">
        <v>13070</v>
      </c>
      <c r="J7448" s="0" t="n">
        <v>56692</v>
      </c>
      <c r="K7448" s="0" t="n">
        <v>7896253401892</v>
      </c>
      <c r="L7448" s="0" t="s">
        <v>5197</v>
      </c>
      <c r="N7448" s="0" t="n">
        <v>27</v>
      </c>
      <c r="O7448" s="0" t="n">
        <v>129.55</v>
      </c>
      <c r="P7448" s="0" t="s">
        <v>2444</v>
      </c>
    </row>
    <row r="7449" customFormat="false" ht="15" hidden="false" customHeight="true" outlineLevel="0" collapsed="false">
      <c r="A7449" s="0" t="n">
        <v>2</v>
      </c>
      <c r="B7449" s="71" t="n">
        <v>46262</v>
      </c>
      <c r="C7449" s="0" t="n">
        <v>11</v>
      </c>
      <c r="D7449" s="0" t="s">
        <v>2471</v>
      </c>
      <c r="E7449" s="0" t="n">
        <v>1196</v>
      </c>
      <c r="F7449" s="0" t="s">
        <v>1470</v>
      </c>
      <c r="I7449" s="0" t="n">
        <v>13070</v>
      </c>
      <c r="J7449" s="0" t="n">
        <v>80083</v>
      </c>
      <c r="K7449" s="0" t="n">
        <v>7896253401663</v>
      </c>
      <c r="L7449" s="0" t="s">
        <v>5198</v>
      </c>
      <c r="N7449" s="0" t="n">
        <v>20</v>
      </c>
      <c r="O7449" s="0" t="n">
        <v>91.57</v>
      </c>
      <c r="P7449" s="0" t="s">
        <v>2444</v>
      </c>
    </row>
    <row r="7450" customFormat="false" ht="15" hidden="false" customHeight="true" outlineLevel="0" collapsed="false">
      <c r="A7450" s="0" t="n">
        <v>2</v>
      </c>
      <c r="B7450" s="71" t="n">
        <v>46262</v>
      </c>
      <c r="C7450" s="0" t="n">
        <v>11</v>
      </c>
      <c r="D7450" s="0" t="s">
        <v>2471</v>
      </c>
      <c r="E7450" s="0" t="n">
        <v>1695</v>
      </c>
      <c r="F7450" s="0" t="s">
        <v>390</v>
      </c>
      <c r="I7450" s="0" t="n">
        <v>20104</v>
      </c>
      <c r="J7450" s="0" t="n">
        <v>101859</v>
      </c>
      <c r="K7450" s="0" t="n">
        <v>7896224807098</v>
      </c>
      <c r="L7450" s="0" t="s">
        <v>4663</v>
      </c>
      <c r="N7450" s="0" t="n">
        <v>40</v>
      </c>
      <c r="O7450" s="0" t="n">
        <v>519.6</v>
      </c>
      <c r="P7450" s="0" t="s">
        <v>2444</v>
      </c>
    </row>
    <row r="7451" customFormat="false" ht="15" hidden="false" customHeight="true" outlineLevel="0" collapsed="false">
      <c r="A7451" s="0" t="n">
        <v>2</v>
      </c>
      <c r="B7451" s="71" t="n">
        <v>46262</v>
      </c>
      <c r="C7451" s="0" t="n">
        <v>11</v>
      </c>
      <c r="D7451" s="0" t="s">
        <v>2471</v>
      </c>
      <c r="E7451" s="0" t="n">
        <v>1695</v>
      </c>
      <c r="F7451" s="0" t="s">
        <v>390</v>
      </c>
      <c r="I7451" s="0" t="n">
        <v>20104</v>
      </c>
      <c r="J7451" s="0" t="n">
        <v>101860</v>
      </c>
      <c r="K7451" s="0" t="n">
        <v>7896224803069</v>
      </c>
      <c r="L7451" s="0" t="s">
        <v>2768</v>
      </c>
      <c r="N7451" s="0" t="n">
        <v>50</v>
      </c>
      <c r="O7451" s="0" t="n">
        <v>287.5</v>
      </c>
      <c r="P7451" s="0" t="s">
        <v>2444</v>
      </c>
    </row>
    <row r="7452" customFormat="false" ht="15" hidden="false" customHeight="true" outlineLevel="0" collapsed="false">
      <c r="A7452" s="0" t="n">
        <v>2</v>
      </c>
      <c r="B7452" s="71" t="n">
        <v>46262</v>
      </c>
      <c r="C7452" s="0" t="n">
        <v>11</v>
      </c>
      <c r="D7452" s="0" t="s">
        <v>2471</v>
      </c>
      <c r="E7452" s="0" t="n">
        <v>1695</v>
      </c>
      <c r="F7452" s="0" t="s">
        <v>390</v>
      </c>
      <c r="I7452" s="0" t="n">
        <v>20104</v>
      </c>
      <c r="J7452" s="0" t="n">
        <v>101877</v>
      </c>
      <c r="K7452" s="0" t="n">
        <v>7896224813082</v>
      </c>
      <c r="L7452" s="0" t="s">
        <v>2768</v>
      </c>
      <c r="N7452" s="0" t="n">
        <v>40</v>
      </c>
      <c r="O7452" s="0" t="n">
        <v>552</v>
      </c>
      <c r="P7452" s="0" t="s">
        <v>2444</v>
      </c>
    </row>
    <row r="7453" customFormat="false" ht="15" hidden="false" customHeight="true" outlineLevel="0" collapsed="false">
      <c r="A7453" s="0" t="n">
        <v>2</v>
      </c>
      <c r="B7453" s="71" t="n">
        <v>46262</v>
      </c>
      <c r="C7453" s="0" t="n">
        <v>11</v>
      </c>
      <c r="D7453" s="0" t="s">
        <v>2471</v>
      </c>
      <c r="E7453" s="0" t="n">
        <v>1695</v>
      </c>
      <c r="F7453" s="0" t="s">
        <v>390</v>
      </c>
      <c r="I7453" s="0" t="n">
        <v>20104</v>
      </c>
      <c r="J7453" s="0" t="n">
        <v>101908</v>
      </c>
      <c r="K7453" s="0" t="n">
        <v>7896224808101</v>
      </c>
      <c r="L7453" s="0" t="s">
        <v>3320</v>
      </c>
      <c r="N7453" s="0" t="n">
        <v>50</v>
      </c>
      <c r="O7453" s="0" t="n">
        <v>287.5</v>
      </c>
      <c r="P7453" s="0" t="s">
        <v>2444</v>
      </c>
    </row>
    <row r="7454" customFormat="false" ht="15" hidden="false" customHeight="true" outlineLevel="0" collapsed="false">
      <c r="A7454" s="0" t="n">
        <v>2</v>
      </c>
      <c r="B7454" s="71" t="n">
        <v>46262</v>
      </c>
      <c r="C7454" s="0" t="n">
        <v>11</v>
      </c>
      <c r="D7454" s="0" t="s">
        <v>2471</v>
      </c>
      <c r="E7454" s="0" t="n">
        <v>1695</v>
      </c>
      <c r="F7454" s="0" t="s">
        <v>390</v>
      </c>
      <c r="I7454" s="0" t="n">
        <v>20104</v>
      </c>
      <c r="J7454" s="0" t="n">
        <v>104359</v>
      </c>
      <c r="K7454" s="0" t="n">
        <v>7896792350071</v>
      </c>
      <c r="L7454" s="0" t="s">
        <v>4741</v>
      </c>
      <c r="N7454" s="0" t="n">
        <v>360</v>
      </c>
      <c r="O7454" s="0" t="n">
        <v>309.6</v>
      </c>
      <c r="P7454" s="0" t="s">
        <v>2444</v>
      </c>
    </row>
    <row r="7455" customFormat="false" ht="15" hidden="false" customHeight="true" outlineLevel="0" collapsed="false">
      <c r="A7455" s="0" t="n">
        <v>2</v>
      </c>
      <c r="B7455" s="71" t="n">
        <v>46262</v>
      </c>
      <c r="C7455" s="0" t="n">
        <v>11</v>
      </c>
      <c r="D7455" s="0" t="s">
        <v>2471</v>
      </c>
      <c r="E7455" s="0" t="n">
        <v>1695</v>
      </c>
      <c r="F7455" s="0" t="s">
        <v>390</v>
      </c>
      <c r="I7455" s="0" t="n">
        <v>20104</v>
      </c>
      <c r="J7455" s="0" t="n">
        <v>23197</v>
      </c>
      <c r="K7455" s="0" t="n">
        <v>7896116900029</v>
      </c>
      <c r="L7455" s="0" t="s">
        <v>5199</v>
      </c>
      <c r="N7455" s="0" t="n">
        <v>20</v>
      </c>
      <c r="O7455" s="0" t="n">
        <v>161.2</v>
      </c>
      <c r="P7455" s="0" t="s">
        <v>2444</v>
      </c>
    </row>
    <row r="7456" customFormat="false" ht="15" hidden="false" customHeight="true" outlineLevel="0" collapsed="false">
      <c r="A7456" s="0" t="n">
        <v>2</v>
      </c>
      <c r="B7456" s="71" t="n">
        <v>46262</v>
      </c>
      <c r="C7456" s="0" t="n">
        <v>11</v>
      </c>
      <c r="D7456" s="0" t="s">
        <v>2471</v>
      </c>
      <c r="E7456" s="0" t="n">
        <v>1695</v>
      </c>
      <c r="F7456" s="0" t="s">
        <v>390</v>
      </c>
      <c r="I7456" s="0" t="n">
        <v>20104</v>
      </c>
      <c r="J7456" s="0" t="n">
        <v>29846</v>
      </c>
      <c r="K7456" s="0" t="n">
        <v>7891097102059</v>
      </c>
      <c r="L7456" s="0" t="s">
        <v>2633</v>
      </c>
      <c r="N7456" s="0" t="n">
        <v>50</v>
      </c>
      <c r="O7456" s="0" t="n">
        <v>579</v>
      </c>
      <c r="P7456" s="0" t="s">
        <v>2444</v>
      </c>
    </row>
    <row r="7457" customFormat="false" ht="15" hidden="false" customHeight="true" outlineLevel="0" collapsed="false">
      <c r="A7457" s="0" t="n">
        <v>2</v>
      </c>
      <c r="B7457" s="71" t="n">
        <v>46262</v>
      </c>
      <c r="C7457" s="0" t="n">
        <v>11</v>
      </c>
      <c r="D7457" s="0" t="s">
        <v>2471</v>
      </c>
      <c r="E7457" s="0" t="n">
        <v>1695</v>
      </c>
      <c r="F7457" s="0" t="s">
        <v>390</v>
      </c>
      <c r="I7457" s="0" t="n">
        <v>20104</v>
      </c>
      <c r="J7457" s="0" t="n">
        <v>31859</v>
      </c>
      <c r="K7457" s="0" t="n">
        <v>7898922012385</v>
      </c>
      <c r="L7457" s="0" t="s">
        <v>5200</v>
      </c>
      <c r="N7457" s="0" t="n">
        <v>40</v>
      </c>
      <c r="O7457" s="0" t="n">
        <v>151.2</v>
      </c>
      <c r="P7457" s="0" t="s">
        <v>2444</v>
      </c>
    </row>
    <row r="7458" customFormat="false" ht="15" hidden="false" customHeight="true" outlineLevel="0" collapsed="false">
      <c r="A7458" s="0" t="n">
        <v>2</v>
      </c>
      <c r="B7458" s="71" t="n">
        <v>46262</v>
      </c>
      <c r="C7458" s="0" t="n">
        <v>11</v>
      </c>
      <c r="D7458" s="0" t="s">
        <v>2471</v>
      </c>
      <c r="E7458" s="0" t="n">
        <v>1695</v>
      </c>
      <c r="F7458" s="0" t="s">
        <v>390</v>
      </c>
      <c r="I7458" s="0" t="n">
        <v>20104</v>
      </c>
      <c r="J7458" s="0" t="n">
        <v>50021</v>
      </c>
      <c r="K7458" s="0" t="n">
        <v>7898690980008</v>
      </c>
      <c r="L7458" s="0" t="s">
        <v>2773</v>
      </c>
      <c r="N7458" s="0" t="n">
        <v>60</v>
      </c>
      <c r="O7458" s="0" t="n">
        <v>54</v>
      </c>
      <c r="P7458" s="0" t="s">
        <v>2444</v>
      </c>
    </row>
    <row r="7459" customFormat="false" ht="15" hidden="false" customHeight="true" outlineLevel="0" collapsed="false">
      <c r="A7459" s="0" t="n">
        <v>2</v>
      </c>
      <c r="B7459" s="71" t="n">
        <v>46262</v>
      </c>
      <c r="C7459" s="0" t="n">
        <v>11</v>
      </c>
      <c r="D7459" s="0" t="s">
        <v>2471</v>
      </c>
      <c r="E7459" s="0" t="n">
        <v>1695</v>
      </c>
      <c r="F7459" s="0" t="s">
        <v>390</v>
      </c>
      <c r="I7459" s="0" t="n">
        <v>20104</v>
      </c>
      <c r="J7459" s="0" t="n">
        <v>62242</v>
      </c>
      <c r="K7459" s="0" t="n">
        <v>7891000379585</v>
      </c>
      <c r="L7459" s="0" t="s">
        <v>3465</v>
      </c>
      <c r="N7459" s="0" t="n">
        <v>48</v>
      </c>
      <c r="O7459" s="0" t="n">
        <v>289.92</v>
      </c>
      <c r="P7459" s="0" t="s">
        <v>2444</v>
      </c>
    </row>
    <row r="7460" customFormat="false" ht="15" hidden="false" customHeight="true" outlineLevel="0" collapsed="false">
      <c r="A7460" s="0" t="n">
        <v>2</v>
      </c>
      <c r="B7460" s="71" t="n">
        <v>46262</v>
      </c>
      <c r="C7460" s="0" t="n">
        <v>11</v>
      </c>
      <c r="D7460" s="0" t="s">
        <v>2471</v>
      </c>
      <c r="E7460" s="0" t="n">
        <v>10002</v>
      </c>
      <c r="F7460" s="0" t="s">
        <v>197</v>
      </c>
      <c r="I7460" s="0" t="n">
        <v>197945</v>
      </c>
      <c r="J7460" s="0" t="n">
        <v>103117</v>
      </c>
      <c r="K7460" s="0" t="n">
        <v>7896014400737</v>
      </c>
      <c r="L7460" s="0" t="s">
        <v>2591</v>
      </c>
      <c r="N7460" s="0" t="n">
        <v>48</v>
      </c>
      <c r="O7460" s="0" t="n">
        <v>69.16</v>
      </c>
      <c r="P7460" s="0" t="s">
        <v>2444</v>
      </c>
    </row>
    <row r="7461" customFormat="false" ht="15" hidden="false" customHeight="true" outlineLevel="0" collapsed="false">
      <c r="A7461" s="0" t="n">
        <v>2</v>
      </c>
      <c r="B7461" s="71" t="n">
        <v>46262</v>
      </c>
      <c r="C7461" s="0" t="n">
        <v>11</v>
      </c>
      <c r="D7461" s="0" t="s">
        <v>2471</v>
      </c>
      <c r="E7461" s="0" t="n">
        <v>10002</v>
      </c>
      <c r="F7461" s="0" t="s">
        <v>197</v>
      </c>
      <c r="I7461" s="0" t="n">
        <v>197945</v>
      </c>
      <c r="J7461" s="0" t="n">
        <v>103118</v>
      </c>
      <c r="K7461" s="0" t="n">
        <v>7896014400645</v>
      </c>
      <c r="L7461" s="0" t="s">
        <v>2592</v>
      </c>
      <c r="N7461" s="0" t="n">
        <v>48</v>
      </c>
      <c r="O7461" s="0" t="n">
        <v>81.8</v>
      </c>
      <c r="P7461" s="0" t="s">
        <v>2444</v>
      </c>
    </row>
    <row r="7462" customFormat="false" ht="15" hidden="false" customHeight="true" outlineLevel="0" collapsed="false">
      <c r="A7462" s="0" t="n">
        <v>2</v>
      </c>
      <c r="B7462" s="71" t="n">
        <v>46262</v>
      </c>
      <c r="C7462" s="0" t="n">
        <v>11</v>
      </c>
      <c r="D7462" s="0" t="s">
        <v>2471</v>
      </c>
      <c r="E7462" s="0" t="n">
        <v>10002</v>
      </c>
      <c r="F7462" s="0" t="s">
        <v>197</v>
      </c>
      <c r="I7462" s="0" t="n">
        <v>197945</v>
      </c>
      <c r="J7462" s="0" t="n">
        <v>103119</v>
      </c>
      <c r="K7462" s="0" t="n">
        <v>7896014400195</v>
      </c>
      <c r="L7462" s="0" t="s">
        <v>3847</v>
      </c>
      <c r="N7462" s="0" t="n">
        <v>24</v>
      </c>
      <c r="O7462" s="0" t="n">
        <v>42.76</v>
      </c>
      <c r="P7462" s="0" t="s">
        <v>2444</v>
      </c>
    </row>
    <row r="7463" customFormat="false" ht="15" hidden="false" customHeight="true" outlineLevel="0" collapsed="false">
      <c r="A7463" s="0" t="n">
        <v>2</v>
      </c>
      <c r="B7463" s="71" t="n">
        <v>46262</v>
      </c>
      <c r="C7463" s="0" t="n">
        <v>11</v>
      </c>
      <c r="D7463" s="0" t="s">
        <v>2471</v>
      </c>
      <c r="E7463" s="0" t="n">
        <v>10002</v>
      </c>
      <c r="F7463" s="0" t="s">
        <v>197</v>
      </c>
      <c r="I7463" s="0" t="n">
        <v>197945</v>
      </c>
      <c r="J7463" s="0" t="n">
        <v>103121</v>
      </c>
      <c r="K7463" s="0" t="n">
        <v>7896014400553</v>
      </c>
      <c r="L7463" s="0" t="s">
        <v>2593</v>
      </c>
      <c r="N7463" s="0" t="n">
        <v>48</v>
      </c>
      <c r="O7463" s="0" t="n">
        <v>77.16</v>
      </c>
      <c r="P7463" s="0" t="s">
        <v>2444</v>
      </c>
    </row>
    <row r="7464" customFormat="false" ht="15" hidden="false" customHeight="true" outlineLevel="0" collapsed="false">
      <c r="A7464" s="0" t="n">
        <v>2</v>
      </c>
      <c r="B7464" s="71" t="n">
        <v>46262</v>
      </c>
      <c r="C7464" s="0" t="n">
        <v>11</v>
      </c>
      <c r="D7464" s="0" t="s">
        <v>2471</v>
      </c>
      <c r="E7464" s="0" t="n">
        <v>10002</v>
      </c>
      <c r="F7464" s="0" t="s">
        <v>197</v>
      </c>
      <c r="I7464" s="0" t="n">
        <v>197945</v>
      </c>
      <c r="J7464" s="0" t="n">
        <v>12082</v>
      </c>
      <c r="K7464" s="0" t="n">
        <v>7896014400829</v>
      </c>
      <c r="L7464" s="0" t="s">
        <v>2595</v>
      </c>
      <c r="N7464" s="0" t="n">
        <v>48</v>
      </c>
      <c r="O7464" s="0" t="n">
        <v>195.6</v>
      </c>
      <c r="P7464" s="0" t="s">
        <v>2444</v>
      </c>
    </row>
    <row r="7465" customFormat="false" ht="15" hidden="false" customHeight="true" outlineLevel="0" collapsed="false">
      <c r="A7465" s="0" t="n">
        <v>2</v>
      </c>
      <c r="B7465" s="71" t="n">
        <v>46262</v>
      </c>
      <c r="C7465" s="0" t="n">
        <v>11</v>
      </c>
      <c r="D7465" s="0" t="s">
        <v>2471</v>
      </c>
      <c r="E7465" s="0" t="n">
        <v>10002</v>
      </c>
      <c r="F7465" s="0" t="s">
        <v>197</v>
      </c>
      <c r="I7465" s="0" t="n">
        <v>197945</v>
      </c>
      <c r="J7465" s="0" t="n">
        <v>30958</v>
      </c>
      <c r="K7465" s="0" t="n">
        <v>7896014400720</v>
      </c>
      <c r="L7465" s="0" t="s">
        <v>2592</v>
      </c>
      <c r="N7465" s="0" t="n">
        <v>4</v>
      </c>
      <c r="O7465" s="0" t="n">
        <v>66.04</v>
      </c>
      <c r="P7465" s="0" t="s">
        <v>2444</v>
      </c>
    </row>
    <row r="7466" customFormat="false" ht="15" hidden="false" customHeight="true" outlineLevel="0" collapsed="false">
      <c r="A7466" s="0" t="n">
        <v>2</v>
      </c>
      <c r="B7466" s="71" t="n">
        <v>46262</v>
      </c>
      <c r="C7466" s="0" t="n">
        <v>11</v>
      </c>
      <c r="D7466" s="0" t="s">
        <v>2471</v>
      </c>
      <c r="E7466" s="0" t="n">
        <v>10002</v>
      </c>
      <c r="F7466" s="0" t="s">
        <v>197</v>
      </c>
      <c r="I7466" s="0" t="n">
        <v>197945</v>
      </c>
      <c r="J7466" s="0" t="n">
        <v>30959</v>
      </c>
      <c r="K7466" s="0" t="n">
        <v>7896014400744</v>
      </c>
      <c r="L7466" s="0" t="s">
        <v>2594</v>
      </c>
      <c r="N7466" s="0" t="n">
        <v>4</v>
      </c>
      <c r="O7466" s="0" t="n">
        <v>91.89</v>
      </c>
      <c r="P7466" s="0" t="s">
        <v>2444</v>
      </c>
    </row>
    <row r="7467" customFormat="false" ht="15" hidden="false" customHeight="true" outlineLevel="0" collapsed="false">
      <c r="A7467" s="0" t="n">
        <v>2</v>
      </c>
      <c r="B7467" s="71" t="n">
        <v>46262</v>
      </c>
      <c r="C7467" s="0" t="n">
        <v>11</v>
      </c>
      <c r="D7467" s="0" t="s">
        <v>2471</v>
      </c>
      <c r="E7467" s="0" t="n">
        <v>1683</v>
      </c>
      <c r="F7467" s="0" t="s">
        <v>406</v>
      </c>
      <c r="I7467" s="0" t="n">
        <v>1671612</v>
      </c>
      <c r="J7467" s="0" t="n">
        <v>109791</v>
      </c>
      <c r="K7467" s="0" t="n">
        <v>9667</v>
      </c>
      <c r="L7467" s="0" t="s">
        <v>2465</v>
      </c>
      <c r="N7467" s="0" t="n">
        <v>20</v>
      </c>
      <c r="O7467" s="0" t="n">
        <v>30</v>
      </c>
      <c r="P7467" s="0" t="s">
        <v>2444</v>
      </c>
    </row>
    <row r="7468" customFormat="false" ht="15" hidden="false" customHeight="true" outlineLevel="0" collapsed="false">
      <c r="A7468" s="0" t="n">
        <v>2</v>
      </c>
      <c r="B7468" s="71" t="n">
        <v>46262</v>
      </c>
      <c r="C7468" s="0" t="n">
        <v>11</v>
      </c>
      <c r="D7468" s="0" t="s">
        <v>2471</v>
      </c>
      <c r="E7468" s="0" t="n">
        <v>1683</v>
      </c>
      <c r="F7468" s="0" t="s">
        <v>406</v>
      </c>
      <c r="I7468" s="0" t="n">
        <v>1671612</v>
      </c>
      <c r="J7468" s="0" t="n">
        <v>37359</v>
      </c>
      <c r="K7468" s="0" t="n">
        <v>55526</v>
      </c>
      <c r="L7468" s="0" t="s">
        <v>2466</v>
      </c>
      <c r="N7468" s="0" t="n">
        <v>8</v>
      </c>
      <c r="O7468" s="0" t="n">
        <v>36</v>
      </c>
      <c r="P7468" s="0" t="s">
        <v>2444</v>
      </c>
    </row>
    <row r="7469" customFormat="false" ht="15" hidden="false" customHeight="true" outlineLevel="0" collapsed="false">
      <c r="A7469" s="0" t="n">
        <v>2</v>
      </c>
      <c r="B7469" s="71" t="n">
        <v>46262</v>
      </c>
      <c r="C7469" s="0" t="n">
        <v>11</v>
      </c>
      <c r="D7469" s="0" t="s">
        <v>2471</v>
      </c>
      <c r="E7469" s="0" t="n">
        <v>1683</v>
      </c>
      <c r="F7469" s="0" t="s">
        <v>406</v>
      </c>
      <c r="I7469" s="0" t="n">
        <v>1671612</v>
      </c>
      <c r="J7469" s="0" t="n">
        <v>37361</v>
      </c>
      <c r="K7469" s="0" t="n">
        <v>2240817</v>
      </c>
      <c r="L7469" s="0" t="s">
        <v>2467</v>
      </c>
      <c r="N7469" s="0" t="n">
        <v>70</v>
      </c>
      <c r="O7469" s="0" t="n">
        <v>126</v>
      </c>
      <c r="P7469" s="0" t="s">
        <v>2444</v>
      </c>
    </row>
    <row r="7470" customFormat="false" ht="15" hidden="false" customHeight="true" outlineLevel="0" collapsed="false">
      <c r="A7470" s="0" t="n">
        <v>2</v>
      </c>
      <c r="B7470" s="71" t="n">
        <v>46263</v>
      </c>
      <c r="C7470" s="0" t="n">
        <v>6</v>
      </c>
      <c r="D7470" s="0" t="s">
        <v>2553</v>
      </c>
      <c r="E7470" s="0" t="n">
        <v>48</v>
      </c>
      <c r="F7470" s="0" t="s">
        <v>153</v>
      </c>
      <c r="I7470" s="0" t="n">
        <v>2640</v>
      </c>
      <c r="J7470" s="0" t="n">
        <v>42564</v>
      </c>
      <c r="K7470" s="0" t="n">
        <v>574</v>
      </c>
      <c r="L7470" s="0" t="s">
        <v>2534</v>
      </c>
      <c r="N7470" s="0" t="n">
        <v>20</v>
      </c>
      <c r="O7470" s="0" t="n">
        <v>300</v>
      </c>
      <c r="P7470" s="0" t="s">
        <v>2444</v>
      </c>
    </row>
    <row r="7471" customFormat="false" ht="15" hidden="false" customHeight="true" outlineLevel="0" collapsed="false">
      <c r="A7471" s="0" t="n">
        <v>2</v>
      </c>
      <c r="B7471" s="71" t="n">
        <v>46263</v>
      </c>
      <c r="C7471" s="0" t="n">
        <v>11</v>
      </c>
      <c r="D7471" s="0" t="s">
        <v>2471</v>
      </c>
      <c r="E7471" s="0" t="n">
        <v>10096</v>
      </c>
      <c r="F7471" s="0" t="s">
        <v>622</v>
      </c>
      <c r="I7471" s="0" t="n">
        <v>218</v>
      </c>
      <c r="J7471" s="0" t="n">
        <v>61580</v>
      </c>
      <c r="K7471" s="0" t="n">
        <v>2258157</v>
      </c>
      <c r="L7471" s="0" t="s">
        <v>2509</v>
      </c>
      <c r="N7471" s="0" t="n">
        <v>10</v>
      </c>
      <c r="O7471" s="0" t="n">
        <v>120</v>
      </c>
      <c r="P7471" s="0" t="s">
        <v>2444</v>
      </c>
    </row>
    <row r="7472" customFormat="false" ht="15" hidden="false" customHeight="true" outlineLevel="0" collapsed="false">
      <c r="A7472" s="0" t="n">
        <v>2</v>
      </c>
      <c r="B7472" s="71" t="n">
        <v>46263</v>
      </c>
      <c r="C7472" s="0" t="n">
        <v>11</v>
      </c>
      <c r="D7472" s="0" t="s">
        <v>2471</v>
      </c>
      <c r="E7472" s="0" t="n">
        <v>10096</v>
      </c>
      <c r="F7472" s="0" t="s">
        <v>622</v>
      </c>
      <c r="I7472" s="0" t="n">
        <v>218</v>
      </c>
      <c r="J7472" s="0" t="n">
        <v>61597</v>
      </c>
      <c r="K7472" s="0" t="n">
        <v>2258188</v>
      </c>
      <c r="L7472" s="0" t="s">
        <v>2510</v>
      </c>
      <c r="N7472" s="0" t="n">
        <v>5</v>
      </c>
      <c r="O7472" s="0" t="n">
        <v>20</v>
      </c>
      <c r="P7472" s="0" t="s">
        <v>2444</v>
      </c>
    </row>
    <row r="7473" customFormat="false" ht="15" hidden="false" customHeight="true" outlineLevel="0" collapsed="false">
      <c r="A7473" s="0" t="n">
        <v>2</v>
      </c>
      <c r="B7473" s="71" t="n">
        <v>46263</v>
      </c>
      <c r="C7473" s="0" t="n">
        <v>11</v>
      </c>
      <c r="D7473" s="0" t="s">
        <v>2471</v>
      </c>
      <c r="E7473" s="0" t="n">
        <v>10090</v>
      </c>
      <c r="F7473" s="0" t="s">
        <v>1578</v>
      </c>
      <c r="I7473" s="0" t="n">
        <v>299</v>
      </c>
      <c r="J7473" s="0" t="n">
        <v>101859</v>
      </c>
      <c r="K7473" s="0" t="n">
        <v>7896224807098</v>
      </c>
      <c r="L7473" s="0" t="s">
        <v>4663</v>
      </c>
      <c r="N7473" s="0" t="n">
        <v>40</v>
      </c>
      <c r="O7473" s="0" t="n">
        <v>544</v>
      </c>
      <c r="P7473" s="0" t="s">
        <v>2444</v>
      </c>
    </row>
    <row r="7474" customFormat="false" ht="15" hidden="false" customHeight="true" outlineLevel="0" collapsed="false">
      <c r="A7474" s="0" t="n">
        <v>2</v>
      </c>
      <c r="B7474" s="71" t="n">
        <v>46263</v>
      </c>
      <c r="C7474" s="0" t="n">
        <v>11</v>
      </c>
      <c r="D7474" s="0" t="s">
        <v>2471</v>
      </c>
      <c r="E7474" s="0" t="n">
        <v>10090</v>
      </c>
      <c r="F7474" s="0" t="s">
        <v>1578</v>
      </c>
      <c r="I7474" s="0" t="n">
        <v>299</v>
      </c>
      <c r="J7474" s="0" t="n">
        <v>102325</v>
      </c>
      <c r="K7474" s="0" t="n">
        <v>7896002100014</v>
      </c>
      <c r="L7474" s="0" t="s">
        <v>4318</v>
      </c>
      <c r="N7474" s="0" t="n">
        <v>12</v>
      </c>
      <c r="O7474" s="0" t="n">
        <v>126</v>
      </c>
      <c r="P7474" s="0" t="s">
        <v>2444</v>
      </c>
    </row>
    <row r="7475" customFormat="false" ht="15" hidden="false" customHeight="true" outlineLevel="0" collapsed="false">
      <c r="A7475" s="0" t="n">
        <v>2</v>
      </c>
      <c r="B7475" s="71" t="n">
        <v>46263</v>
      </c>
      <c r="C7475" s="0" t="n">
        <v>11</v>
      </c>
      <c r="D7475" s="0" t="s">
        <v>2471</v>
      </c>
      <c r="E7475" s="0" t="n">
        <v>10090</v>
      </c>
      <c r="F7475" s="0" t="s">
        <v>1578</v>
      </c>
      <c r="I7475" s="0" t="n">
        <v>299</v>
      </c>
      <c r="J7475" s="0" t="n">
        <v>12855</v>
      </c>
      <c r="K7475" s="0" t="n">
        <v>7898910758127</v>
      </c>
      <c r="L7475" s="0" t="s">
        <v>3458</v>
      </c>
      <c r="N7475" s="0" t="n">
        <v>30</v>
      </c>
      <c r="O7475" s="0" t="n">
        <v>134.7</v>
      </c>
      <c r="P7475" s="0" t="s">
        <v>2444</v>
      </c>
    </row>
    <row r="7476" customFormat="false" ht="15" hidden="false" customHeight="true" outlineLevel="0" collapsed="false">
      <c r="A7476" s="0" t="n">
        <v>2</v>
      </c>
      <c r="B7476" s="71" t="n">
        <v>46263</v>
      </c>
      <c r="C7476" s="0" t="n">
        <v>11</v>
      </c>
      <c r="D7476" s="0" t="s">
        <v>2471</v>
      </c>
      <c r="E7476" s="0" t="n">
        <v>10090</v>
      </c>
      <c r="F7476" s="0" t="s">
        <v>1578</v>
      </c>
      <c r="I7476" s="0" t="n">
        <v>299</v>
      </c>
      <c r="J7476" s="0" t="n">
        <v>23197</v>
      </c>
      <c r="K7476" s="0" t="n">
        <v>7896116900029</v>
      </c>
      <c r="L7476" s="0" t="s">
        <v>5199</v>
      </c>
      <c r="N7476" s="0" t="n">
        <v>10</v>
      </c>
      <c r="O7476" s="0" t="n">
        <v>79.9</v>
      </c>
      <c r="P7476" s="0" t="s">
        <v>2444</v>
      </c>
    </row>
    <row r="7477" customFormat="false" ht="15" hidden="false" customHeight="true" outlineLevel="0" collapsed="false">
      <c r="A7477" s="0" t="n">
        <v>2</v>
      </c>
      <c r="B7477" s="71" t="n">
        <v>46263</v>
      </c>
      <c r="C7477" s="0" t="n">
        <v>11</v>
      </c>
      <c r="D7477" s="0" t="s">
        <v>2471</v>
      </c>
      <c r="E7477" s="0" t="n">
        <v>10090</v>
      </c>
      <c r="F7477" s="0" t="s">
        <v>1578</v>
      </c>
      <c r="I7477" s="0" t="n">
        <v>299</v>
      </c>
      <c r="J7477" s="0" t="n">
        <v>23197</v>
      </c>
      <c r="K7477" s="0" t="n">
        <v>7896116900029</v>
      </c>
      <c r="L7477" s="0" t="s">
        <v>5199</v>
      </c>
      <c r="N7477" s="0" t="n">
        <v>20</v>
      </c>
      <c r="O7477" s="0" t="n">
        <v>159.8</v>
      </c>
      <c r="P7477" s="0" t="s">
        <v>2444</v>
      </c>
    </row>
    <row r="7478" customFormat="false" ht="15" hidden="false" customHeight="true" outlineLevel="0" collapsed="false">
      <c r="A7478" s="0" t="n">
        <v>2</v>
      </c>
      <c r="B7478" s="71" t="n">
        <v>46263</v>
      </c>
      <c r="C7478" s="0" t="n">
        <v>11</v>
      </c>
      <c r="D7478" s="0" t="s">
        <v>2471</v>
      </c>
      <c r="E7478" s="0" t="n">
        <v>10090</v>
      </c>
      <c r="F7478" s="0" t="s">
        <v>1578</v>
      </c>
      <c r="I7478" s="0" t="n">
        <v>299</v>
      </c>
      <c r="J7478" s="0" t="n">
        <v>27241</v>
      </c>
      <c r="K7478" s="0" t="n">
        <v>7898910758639</v>
      </c>
      <c r="L7478" s="0" t="s">
        <v>3463</v>
      </c>
      <c r="N7478" s="0" t="n">
        <v>30</v>
      </c>
      <c r="O7478" s="0" t="n">
        <v>289.5</v>
      </c>
      <c r="P7478" s="0" t="s">
        <v>2444</v>
      </c>
    </row>
    <row r="7479" customFormat="false" ht="15" hidden="false" customHeight="true" outlineLevel="0" collapsed="false">
      <c r="A7479" s="0" t="n">
        <v>2</v>
      </c>
      <c r="B7479" s="71" t="n">
        <v>46263</v>
      </c>
      <c r="C7479" s="0" t="n">
        <v>11</v>
      </c>
      <c r="D7479" s="0" t="s">
        <v>2471</v>
      </c>
      <c r="E7479" s="0" t="n">
        <v>10090</v>
      </c>
      <c r="F7479" s="0" t="s">
        <v>1578</v>
      </c>
      <c r="I7479" s="0" t="n">
        <v>299</v>
      </c>
      <c r="J7479" s="0" t="n">
        <v>27242</v>
      </c>
      <c r="K7479" s="0" t="n">
        <v>7898910758622</v>
      </c>
      <c r="L7479" s="0" t="s">
        <v>3464</v>
      </c>
      <c r="N7479" s="0" t="n">
        <v>30</v>
      </c>
      <c r="O7479" s="0" t="n">
        <v>289.5</v>
      </c>
      <c r="P7479" s="0" t="s">
        <v>2444</v>
      </c>
    </row>
    <row r="7480" customFormat="false" ht="15" hidden="false" customHeight="true" outlineLevel="0" collapsed="false">
      <c r="A7480" s="0" t="n">
        <v>2</v>
      </c>
      <c r="B7480" s="71" t="n">
        <v>46263</v>
      </c>
      <c r="C7480" s="0" t="n">
        <v>11</v>
      </c>
      <c r="D7480" s="0" t="s">
        <v>2471</v>
      </c>
      <c r="E7480" s="0" t="n">
        <v>10090</v>
      </c>
      <c r="F7480" s="0" t="s">
        <v>1578</v>
      </c>
      <c r="I7480" s="0" t="n">
        <v>299</v>
      </c>
      <c r="J7480" s="0" t="n">
        <v>27415</v>
      </c>
      <c r="K7480" s="0" t="n">
        <v>7898910758684</v>
      </c>
      <c r="L7480" s="0" t="s">
        <v>3983</v>
      </c>
      <c r="N7480" s="0" t="n">
        <v>18</v>
      </c>
      <c r="O7480" s="0" t="n">
        <v>80.82</v>
      </c>
      <c r="P7480" s="0" t="s">
        <v>2444</v>
      </c>
    </row>
    <row r="7481" customFormat="false" ht="15" hidden="false" customHeight="true" outlineLevel="0" collapsed="false">
      <c r="A7481" s="0" t="n">
        <v>2</v>
      </c>
      <c r="B7481" s="71" t="n">
        <v>46263</v>
      </c>
      <c r="C7481" s="0" t="n">
        <v>11</v>
      </c>
      <c r="D7481" s="0" t="s">
        <v>2471</v>
      </c>
      <c r="E7481" s="0" t="n">
        <v>10090</v>
      </c>
      <c r="F7481" s="0" t="s">
        <v>1578</v>
      </c>
      <c r="I7481" s="0" t="n">
        <v>299</v>
      </c>
      <c r="J7481" s="0" t="n">
        <v>29846</v>
      </c>
      <c r="K7481" s="0" t="n">
        <v>7891097102059</v>
      </c>
      <c r="L7481" s="0" t="s">
        <v>2633</v>
      </c>
      <c r="N7481" s="0" t="n">
        <v>25</v>
      </c>
      <c r="O7481" s="0" t="n">
        <v>283.75</v>
      </c>
      <c r="P7481" s="0" t="s">
        <v>2444</v>
      </c>
    </row>
    <row r="7482" customFormat="false" ht="15" hidden="false" customHeight="true" outlineLevel="0" collapsed="false">
      <c r="A7482" s="0" t="n">
        <v>2</v>
      </c>
      <c r="B7482" s="71" t="n">
        <v>46263</v>
      </c>
      <c r="C7482" s="0" t="n">
        <v>11</v>
      </c>
      <c r="D7482" s="0" t="s">
        <v>2471</v>
      </c>
      <c r="E7482" s="0" t="n">
        <v>10090</v>
      </c>
      <c r="F7482" s="0" t="s">
        <v>1578</v>
      </c>
      <c r="I7482" s="0" t="n">
        <v>299</v>
      </c>
      <c r="J7482" s="0" t="n">
        <v>31871</v>
      </c>
      <c r="K7482" s="0" t="n">
        <v>7891150055070</v>
      </c>
      <c r="L7482" s="0" t="s">
        <v>5201</v>
      </c>
      <c r="N7482" s="0" t="n">
        <v>9</v>
      </c>
      <c r="O7482" s="0" t="n">
        <v>36.9</v>
      </c>
      <c r="P7482" s="0" t="s">
        <v>2444</v>
      </c>
    </row>
    <row r="7483" customFormat="false" ht="15" hidden="false" customHeight="true" outlineLevel="0" collapsed="false">
      <c r="A7483" s="0" t="n">
        <v>2</v>
      </c>
      <c r="B7483" s="71" t="n">
        <v>46263</v>
      </c>
      <c r="C7483" s="0" t="n">
        <v>11</v>
      </c>
      <c r="D7483" s="0" t="s">
        <v>2471</v>
      </c>
      <c r="E7483" s="0" t="n">
        <v>642</v>
      </c>
      <c r="F7483" s="0" t="s">
        <v>123</v>
      </c>
      <c r="I7483" s="0" t="n">
        <v>627</v>
      </c>
      <c r="J7483" s="0" t="n">
        <v>71766</v>
      </c>
      <c r="K7483" s="0" t="n">
        <v>779180</v>
      </c>
      <c r="L7483" s="0" t="s">
        <v>2501</v>
      </c>
      <c r="N7483" s="0" t="n">
        <v>20</v>
      </c>
      <c r="O7483" s="0" t="n">
        <v>240</v>
      </c>
      <c r="P7483" s="0" t="s">
        <v>2444</v>
      </c>
    </row>
    <row r="7484" customFormat="false" ht="15" hidden="false" customHeight="true" outlineLevel="0" collapsed="false">
      <c r="A7484" s="0" t="n">
        <v>2</v>
      </c>
      <c r="B7484" s="71" t="n">
        <v>46263</v>
      </c>
      <c r="C7484" s="0" t="n">
        <v>11</v>
      </c>
      <c r="D7484" s="0" t="s">
        <v>2471</v>
      </c>
      <c r="E7484" s="0" t="n">
        <v>1625</v>
      </c>
      <c r="F7484" s="0" t="s">
        <v>270</v>
      </c>
      <c r="I7484" s="0" t="n">
        <v>15192</v>
      </c>
      <c r="J7484" s="0" t="n">
        <v>29079</v>
      </c>
      <c r="K7484" s="0" t="n">
        <v>55515</v>
      </c>
      <c r="L7484" s="0" t="s">
        <v>2449</v>
      </c>
      <c r="N7484" s="0" t="n">
        <v>86.6</v>
      </c>
      <c r="O7484" s="0" t="n">
        <v>2771.2</v>
      </c>
      <c r="P7484" s="0" t="s">
        <v>2444</v>
      </c>
    </row>
    <row r="7485" customFormat="false" ht="15" hidden="false" customHeight="true" outlineLevel="0" collapsed="false">
      <c r="A7485" s="0" t="n">
        <v>2</v>
      </c>
      <c r="B7485" s="71" t="n">
        <v>46263</v>
      </c>
      <c r="C7485" s="0" t="n">
        <v>11</v>
      </c>
      <c r="D7485" s="0" t="s">
        <v>2471</v>
      </c>
      <c r="E7485" s="0" t="n">
        <v>581</v>
      </c>
      <c r="F7485" s="0" t="s">
        <v>147</v>
      </c>
      <c r="I7485" s="0" t="n">
        <v>32154</v>
      </c>
      <c r="J7485" s="0" t="n">
        <v>48008</v>
      </c>
      <c r="K7485" s="0" t="n">
        <v>798190027999</v>
      </c>
      <c r="L7485" s="0" t="s">
        <v>2579</v>
      </c>
      <c r="N7485" s="0" t="n">
        <v>20</v>
      </c>
      <c r="O7485" s="0" t="n">
        <v>130</v>
      </c>
      <c r="P7485" s="0" t="s">
        <v>2444</v>
      </c>
    </row>
    <row r="7486" customFormat="false" ht="15" hidden="false" customHeight="true" outlineLevel="0" collapsed="false">
      <c r="A7486" s="0" t="n">
        <v>2</v>
      </c>
      <c r="B7486" s="71" t="n">
        <v>46263</v>
      </c>
      <c r="C7486" s="0" t="n">
        <v>11</v>
      </c>
      <c r="D7486" s="0" t="s">
        <v>2471</v>
      </c>
      <c r="E7486" s="0" t="n">
        <v>581</v>
      </c>
      <c r="F7486" s="0" t="s">
        <v>147</v>
      </c>
      <c r="I7486" s="0" t="n">
        <v>32154</v>
      </c>
      <c r="J7486" s="0" t="n">
        <v>48009</v>
      </c>
      <c r="K7486" s="0" t="n">
        <v>798190028002</v>
      </c>
      <c r="L7486" s="0" t="s">
        <v>2580</v>
      </c>
      <c r="N7486" s="0" t="n">
        <v>20</v>
      </c>
      <c r="O7486" s="0" t="n">
        <v>69</v>
      </c>
      <c r="P7486" s="0" t="s">
        <v>2444</v>
      </c>
    </row>
    <row r="7487" customFormat="false" ht="15" hidden="false" customHeight="true" outlineLevel="0" collapsed="false">
      <c r="A7487" s="0" t="n">
        <v>2</v>
      </c>
      <c r="B7487" s="71" t="n">
        <v>46263</v>
      </c>
      <c r="C7487" s="0" t="n">
        <v>11</v>
      </c>
      <c r="D7487" s="0" t="s">
        <v>2471</v>
      </c>
      <c r="E7487" s="0" t="n">
        <v>581</v>
      </c>
      <c r="F7487" s="0" t="s">
        <v>147</v>
      </c>
      <c r="I7487" s="0" t="n">
        <v>32154</v>
      </c>
      <c r="J7487" s="0" t="n">
        <v>48380</v>
      </c>
      <c r="K7487" s="0" t="n">
        <v>798190189116</v>
      </c>
      <c r="L7487" s="0" t="s">
        <v>2946</v>
      </c>
      <c r="N7487" s="0" t="n">
        <v>10</v>
      </c>
      <c r="O7487" s="0" t="n">
        <v>65</v>
      </c>
      <c r="P7487" s="0" t="s">
        <v>2444</v>
      </c>
    </row>
    <row r="7488" customFormat="false" ht="15" hidden="false" customHeight="true" outlineLevel="0" collapsed="false">
      <c r="A7488" s="0" t="n">
        <v>2</v>
      </c>
      <c r="B7488" s="71" t="n">
        <v>46263</v>
      </c>
      <c r="C7488" s="0" t="n">
        <v>22</v>
      </c>
      <c r="D7488" s="0" t="s">
        <v>2479</v>
      </c>
      <c r="E7488" s="0" t="n">
        <v>48</v>
      </c>
      <c r="F7488" s="0" t="s">
        <v>153</v>
      </c>
      <c r="I7488" s="0" t="n">
        <v>2639</v>
      </c>
      <c r="J7488" s="0" t="n">
        <v>100000</v>
      </c>
      <c r="K7488" s="0" t="n">
        <v>1</v>
      </c>
      <c r="L7488" s="0" t="s">
        <v>2480</v>
      </c>
      <c r="N7488" s="0" t="n">
        <v>3.708</v>
      </c>
      <c r="O7488" s="0" t="n">
        <v>73.78</v>
      </c>
      <c r="P7488" s="0" t="s">
        <v>2444</v>
      </c>
    </row>
    <row r="7489" customFormat="false" ht="15" hidden="false" customHeight="true" outlineLevel="0" collapsed="false">
      <c r="A7489" s="0" t="n">
        <v>2</v>
      </c>
      <c r="B7489" s="71" t="n">
        <v>46263</v>
      </c>
      <c r="C7489" s="0" t="n">
        <v>22</v>
      </c>
      <c r="D7489" s="0" t="s">
        <v>2479</v>
      </c>
      <c r="E7489" s="0" t="n">
        <v>48</v>
      </c>
      <c r="F7489" s="0" t="s">
        <v>153</v>
      </c>
      <c r="I7489" s="0" t="n">
        <v>2639</v>
      </c>
      <c r="J7489" s="0" t="n">
        <v>100006</v>
      </c>
      <c r="K7489" s="0" t="n">
        <v>7</v>
      </c>
      <c r="L7489" s="0" t="s">
        <v>2485</v>
      </c>
      <c r="N7489" s="0" t="n">
        <v>2.59</v>
      </c>
      <c r="O7489" s="0" t="n">
        <v>73.01</v>
      </c>
      <c r="P7489" s="0" t="s">
        <v>2444</v>
      </c>
    </row>
    <row r="7490" customFormat="false" ht="15" hidden="false" customHeight="true" outlineLevel="0" collapsed="false">
      <c r="A7490" s="0" t="n">
        <v>2</v>
      </c>
      <c r="B7490" s="71" t="n">
        <v>46263</v>
      </c>
      <c r="C7490" s="0" t="n">
        <v>22</v>
      </c>
      <c r="D7490" s="0" t="s">
        <v>2479</v>
      </c>
      <c r="E7490" s="0" t="n">
        <v>48</v>
      </c>
      <c r="F7490" s="0" t="s">
        <v>153</v>
      </c>
      <c r="I7490" s="0" t="n">
        <v>2639</v>
      </c>
      <c r="J7490" s="0" t="n">
        <v>100007</v>
      </c>
      <c r="K7490" s="0" t="n">
        <v>8</v>
      </c>
      <c r="L7490" s="0" t="s">
        <v>2486</v>
      </c>
      <c r="N7490" s="0" t="n">
        <v>1.512</v>
      </c>
      <c r="O7490" s="0" t="n">
        <v>37.61</v>
      </c>
      <c r="P7490" s="0" t="s">
        <v>2444</v>
      </c>
    </row>
    <row r="7491" customFormat="false" ht="15" hidden="false" customHeight="true" outlineLevel="0" collapsed="false">
      <c r="A7491" s="0" t="n">
        <v>2</v>
      </c>
      <c r="B7491" s="71" t="n">
        <v>46263</v>
      </c>
      <c r="C7491" s="0" t="n">
        <v>22</v>
      </c>
      <c r="D7491" s="0" t="s">
        <v>2479</v>
      </c>
      <c r="E7491" s="0" t="n">
        <v>48</v>
      </c>
      <c r="F7491" s="0" t="s">
        <v>153</v>
      </c>
      <c r="I7491" s="0" t="n">
        <v>2639</v>
      </c>
      <c r="J7491" s="0" t="n">
        <v>100008</v>
      </c>
      <c r="K7491" s="0" t="n">
        <v>9</v>
      </c>
      <c r="L7491" s="0" t="s">
        <v>2487</v>
      </c>
      <c r="N7491" s="0" t="n">
        <v>18.23</v>
      </c>
      <c r="O7491" s="0" t="n">
        <v>589.5</v>
      </c>
      <c r="P7491" s="0" t="s">
        <v>2444</v>
      </c>
    </row>
    <row r="7492" customFormat="false" ht="15" hidden="false" customHeight="true" outlineLevel="0" collapsed="false">
      <c r="A7492" s="0" t="n">
        <v>2</v>
      </c>
      <c r="B7492" s="71" t="n">
        <v>46263</v>
      </c>
      <c r="C7492" s="0" t="n">
        <v>22</v>
      </c>
      <c r="D7492" s="0" t="s">
        <v>2479</v>
      </c>
      <c r="E7492" s="0" t="n">
        <v>48</v>
      </c>
      <c r="F7492" s="0" t="s">
        <v>153</v>
      </c>
      <c r="I7492" s="0" t="n">
        <v>2639</v>
      </c>
      <c r="J7492" s="0" t="n">
        <v>100011</v>
      </c>
      <c r="K7492" s="0" t="n">
        <v>12</v>
      </c>
      <c r="L7492" s="0" t="s">
        <v>2488</v>
      </c>
      <c r="N7492" s="0" t="n">
        <v>12.94</v>
      </c>
      <c r="O7492" s="0" t="n">
        <v>482.83</v>
      </c>
      <c r="P7492" s="0" t="s">
        <v>2444</v>
      </c>
    </row>
    <row r="7493" customFormat="false" ht="15" hidden="false" customHeight="true" outlineLevel="0" collapsed="false">
      <c r="A7493" s="0" t="n">
        <v>2</v>
      </c>
      <c r="B7493" s="71" t="n">
        <v>46263</v>
      </c>
      <c r="C7493" s="0" t="n">
        <v>22</v>
      </c>
      <c r="D7493" s="0" t="s">
        <v>2479</v>
      </c>
      <c r="E7493" s="0" t="n">
        <v>48</v>
      </c>
      <c r="F7493" s="0" t="s">
        <v>153</v>
      </c>
      <c r="I7493" s="0" t="n">
        <v>2639</v>
      </c>
      <c r="J7493" s="0" t="n">
        <v>100012</v>
      </c>
      <c r="K7493" s="0" t="n">
        <v>13</v>
      </c>
      <c r="L7493" s="0" t="s">
        <v>2489</v>
      </c>
      <c r="N7493" s="0" t="n">
        <v>6</v>
      </c>
      <c r="O7493" s="0" t="n">
        <v>248.76</v>
      </c>
      <c r="P7493" s="0" t="s">
        <v>2444</v>
      </c>
    </row>
    <row r="7494" customFormat="false" ht="15" hidden="false" customHeight="true" outlineLevel="0" collapsed="false">
      <c r="A7494" s="0" t="n">
        <v>2</v>
      </c>
      <c r="B7494" s="71" t="n">
        <v>46263</v>
      </c>
      <c r="C7494" s="0" t="n">
        <v>22</v>
      </c>
      <c r="D7494" s="0" t="s">
        <v>2479</v>
      </c>
      <c r="E7494" s="0" t="n">
        <v>48</v>
      </c>
      <c r="F7494" s="0" t="s">
        <v>153</v>
      </c>
      <c r="I7494" s="0" t="n">
        <v>2639</v>
      </c>
      <c r="J7494" s="0" t="n">
        <v>100013</v>
      </c>
      <c r="K7494" s="0" t="n">
        <v>14</v>
      </c>
      <c r="L7494" s="0" t="s">
        <v>2490</v>
      </c>
      <c r="N7494" s="0" t="n">
        <v>13.12</v>
      </c>
      <c r="O7494" s="0" t="n">
        <v>576.59</v>
      </c>
      <c r="P7494" s="0" t="s">
        <v>2444</v>
      </c>
    </row>
    <row r="7495" customFormat="false" ht="15" hidden="false" customHeight="true" outlineLevel="0" collapsed="false">
      <c r="A7495" s="0" t="n">
        <v>2</v>
      </c>
      <c r="B7495" s="71" t="n">
        <v>46263</v>
      </c>
      <c r="C7495" s="0" t="n">
        <v>22</v>
      </c>
      <c r="D7495" s="0" t="s">
        <v>2479</v>
      </c>
      <c r="E7495" s="0" t="n">
        <v>48</v>
      </c>
      <c r="F7495" s="0" t="s">
        <v>153</v>
      </c>
      <c r="I7495" s="0" t="n">
        <v>2639</v>
      </c>
      <c r="J7495" s="0" t="n">
        <v>100014</v>
      </c>
      <c r="K7495" s="0" t="n">
        <v>15</v>
      </c>
      <c r="L7495" s="0" t="s">
        <v>2491</v>
      </c>
      <c r="N7495" s="0" t="n">
        <v>5.332</v>
      </c>
      <c r="O7495" s="0" t="n">
        <v>238.75</v>
      </c>
      <c r="P7495" s="0" t="s">
        <v>2444</v>
      </c>
    </row>
    <row r="7496" customFormat="false" ht="15" hidden="false" customHeight="true" outlineLevel="0" collapsed="false">
      <c r="A7496" s="0" t="n">
        <v>2</v>
      </c>
      <c r="B7496" s="71" t="n">
        <v>46263</v>
      </c>
      <c r="C7496" s="0" t="n">
        <v>22</v>
      </c>
      <c r="D7496" s="0" t="s">
        <v>2479</v>
      </c>
      <c r="E7496" s="0" t="n">
        <v>48</v>
      </c>
      <c r="F7496" s="0" t="s">
        <v>153</v>
      </c>
      <c r="I7496" s="0" t="n">
        <v>2639</v>
      </c>
      <c r="J7496" s="0" t="n">
        <v>100015</v>
      </c>
      <c r="K7496" s="0" t="n">
        <v>16</v>
      </c>
      <c r="L7496" s="0" t="s">
        <v>2492</v>
      </c>
      <c r="N7496" s="0" t="n">
        <v>2.124</v>
      </c>
      <c r="O7496" s="0" t="n">
        <v>84.54</v>
      </c>
      <c r="P7496" s="0" t="s">
        <v>2444</v>
      </c>
    </row>
    <row r="7497" customFormat="false" ht="15" hidden="false" customHeight="true" outlineLevel="0" collapsed="false">
      <c r="A7497" s="0" t="n">
        <v>2</v>
      </c>
      <c r="B7497" s="71" t="n">
        <v>46263</v>
      </c>
      <c r="C7497" s="0" t="n">
        <v>22</v>
      </c>
      <c r="D7497" s="0" t="s">
        <v>2479</v>
      </c>
      <c r="E7497" s="0" t="n">
        <v>48</v>
      </c>
      <c r="F7497" s="0" t="s">
        <v>153</v>
      </c>
      <c r="I7497" s="0" t="n">
        <v>2639</v>
      </c>
      <c r="J7497" s="0" t="n">
        <v>100016</v>
      </c>
      <c r="K7497" s="0" t="n">
        <v>17</v>
      </c>
      <c r="L7497" s="0" t="s">
        <v>2493</v>
      </c>
      <c r="N7497" s="0" t="n">
        <v>2.734</v>
      </c>
      <c r="O7497" s="0" t="n">
        <v>136.03</v>
      </c>
      <c r="P7497" s="0" t="s">
        <v>2444</v>
      </c>
    </row>
    <row r="7498" customFormat="false" ht="15" hidden="false" customHeight="true" outlineLevel="0" collapsed="false">
      <c r="A7498" s="0" t="n">
        <v>2</v>
      </c>
      <c r="B7498" s="71" t="n">
        <v>46263</v>
      </c>
      <c r="C7498" s="0" t="n">
        <v>22</v>
      </c>
      <c r="D7498" s="0" t="s">
        <v>2479</v>
      </c>
      <c r="E7498" s="0" t="n">
        <v>48</v>
      </c>
      <c r="F7498" s="0" t="s">
        <v>153</v>
      </c>
      <c r="I7498" s="0" t="n">
        <v>2639</v>
      </c>
      <c r="J7498" s="0" t="n">
        <v>100017</v>
      </c>
      <c r="K7498" s="0" t="n">
        <v>18</v>
      </c>
      <c r="L7498" s="0" t="s">
        <v>2494</v>
      </c>
      <c r="N7498" s="0" t="n">
        <v>1.632</v>
      </c>
      <c r="O7498" s="0" t="n">
        <v>94.73</v>
      </c>
      <c r="P7498" s="0" t="s">
        <v>2444</v>
      </c>
    </row>
    <row r="7499" customFormat="false" ht="15" hidden="false" customHeight="true" outlineLevel="0" collapsed="false">
      <c r="A7499" s="0" t="n">
        <v>2</v>
      </c>
      <c r="B7499" s="71" t="n">
        <v>46263</v>
      </c>
      <c r="C7499" s="0" t="n">
        <v>22</v>
      </c>
      <c r="D7499" s="0" t="s">
        <v>2479</v>
      </c>
      <c r="E7499" s="0" t="n">
        <v>48</v>
      </c>
      <c r="F7499" s="0" t="s">
        <v>153</v>
      </c>
      <c r="I7499" s="0" t="n">
        <v>2639</v>
      </c>
      <c r="J7499" s="0" t="n">
        <v>100020</v>
      </c>
      <c r="K7499" s="0" t="n">
        <v>21</v>
      </c>
      <c r="L7499" s="0" t="s">
        <v>4878</v>
      </c>
      <c r="N7499" s="0" t="n">
        <v>0.438</v>
      </c>
      <c r="O7499" s="0" t="n">
        <v>14.16</v>
      </c>
      <c r="P7499" s="0" t="s">
        <v>2444</v>
      </c>
    </row>
    <row r="7500" customFormat="false" ht="15" hidden="false" customHeight="true" outlineLevel="0" collapsed="false">
      <c r="A7500" s="0" t="n">
        <v>2</v>
      </c>
      <c r="B7500" s="71" t="n">
        <v>46263</v>
      </c>
      <c r="C7500" s="0" t="n">
        <v>22</v>
      </c>
      <c r="D7500" s="0" t="s">
        <v>2479</v>
      </c>
      <c r="E7500" s="0" t="n">
        <v>48</v>
      </c>
      <c r="F7500" s="0" t="s">
        <v>153</v>
      </c>
      <c r="I7500" s="0" t="n">
        <v>2639</v>
      </c>
      <c r="J7500" s="0" t="n">
        <v>100053</v>
      </c>
      <c r="K7500" s="0" t="n">
        <v>54</v>
      </c>
      <c r="L7500" s="0" t="s">
        <v>2495</v>
      </c>
      <c r="N7500" s="0" t="n">
        <v>2.428</v>
      </c>
      <c r="O7500" s="0" t="n">
        <v>88.58</v>
      </c>
      <c r="P7500" s="0" t="s">
        <v>2444</v>
      </c>
    </row>
    <row r="7501" customFormat="false" ht="15" hidden="false" customHeight="true" outlineLevel="0" collapsed="false">
      <c r="A7501" s="0" t="n">
        <v>2</v>
      </c>
      <c r="B7501" s="71" t="n">
        <v>46263</v>
      </c>
      <c r="C7501" s="0" t="n">
        <v>22</v>
      </c>
      <c r="D7501" s="0" t="s">
        <v>2479</v>
      </c>
      <c r="E7501" s="0" t="n">
        <v>48</v>
      </c>
      <c r="F7501" s="0" t="s">
        <v>153</v>
      </c>
      <c r="I7501" s="0" t="n">
        <v>2639</v>
      </c>
      <c r="J7501" s="0" t="n">
        <v>100638</v>
      </c>
      <c r="K7501" s="0" t="n">
        <v>508</v>
      </c>
      <c r="L7501" s="0" t="s">
        <v>2496</v>
      </c>
      <c r="N7501" s="0" t="n">
        <v>2.496</v>
      </c>
      <c r="O7501" s="0" t="n">
        <v>6.19</v>
      </c>
      <c r="P7501" s="0" t="s">
        <v>2444</v>
      </c>
    </row>
    <row r="7502" customFormat="false" ht="15" hidden="false" customHeight="true" outlineLevel="0" collapsed="false">
      <c r="A7502" s="0" t="n">
        <v>2</v>
      </c>
      <c r="B7502" s="71" t="n">
        <v>46263</v>
      </c>
      <c r="C7502" s="0" t="n">
        <v>22</v>
      </c>
      <c r="D7502" s="0" t="s">
        <v>2479</v>
      </c>
      <c r="E7502" s="0" t="n">
        <v>48</v>
      </c>
      <c r="F7502" s="0" t="s">
        <v>153</v>
      </c>
      <c r="I7502" s="0" t="n">
        <v>2639</v>
      </c>
      <c r="J7502" s="0" t="n">
        <v>100520</v>
      </c>
      <c r="K7502" s="0" t="n">
        <v>507</v>
      </c>
      <c r="L7502" s="0" t="s">
        <v>2497</v>
      </c>
      <c r="N7502" s="0" t="n">
        <v>10.545</v>
      </c>
      <c r="O7502" s="0" t="n">
        <v>26.15</v>
      </c>
      <c r="P7502" s="0" t="s">
        <v>2444</v>
      </c>
    </row>
    <row r="7503" customFormat="false" ht="15" hidden="false" customHeight="true" outlineLevel="0" collapsed="false">
      <c r="A7503" s="0" t="n">
        <v>2</v>
      </c>
      <c r="B7503" s="71" t="n">
        <v>46263</v>
      </c>
      <c r="C7503" s="0" t="n">
        <v>22</v>
      </c>
      <c r="D7503" s="0" t="s">
        <v>2479</v>
      </c>
      <c r="E7503" s="0" t="n">
        <v>48</v>
      </c>
      <c r="F7503" s="0" t="s">
        <v>153</v>
      </c>
      <c r="I7503" s="0" t="n">
        <v>2639</v>
      </c>
      <c r="J7503" s="0" t="n">
        <v>110455</v>
      </c>
      <c r="K7503" s="0" t="n">
        <v>53212</v>
      </c>
      <c r="L7503" s="0" t="s">
        <v>2498</v>
      </c>
      <c r="N7503" s="0" t="n">
        <v>0.771</v>
      </c>
      <c r="O7503" s="0" t="n">
        <v>0</v>
      </c>
      <c r="P7503" s="0" t="s">
        <v>2444</v>
      </c>
    </row>
    <row r="7504" customFormat="false" ht="15" hidden="false" customHeight="true" outlineLevel="0" collapsed="false">
      <c r="A7504" s="0" t="n">
        <v>2</v>
      </c>
      <c r="B7504" s="71" t="n">
        <v>46263</v>
      </c>
      <c r="C7504" s="0" t="n">
        <v>100</v>
      </c>
      <c r="D7504" s="0" t="s">
        <v>2499</v>
      </c>
      <c r="E7504" s="0" t="n">
        <v>48</v>
      </c>
      <c r="F7504" s="0" t="s">
        <v>153</v>
      </c>
      <c r="I7504" s="0" t="n">
        <v>1618700</v>
      </c>
      <c r="J7504" s="0" t="n">
        <v>100000</v>
      </c>
      <c r="K7504" s="0" t="n">
        <v>1</v>
      </c>
      <c r="L7504" s="0" t="s">
        <v>2480</v>
      </c>
      <c r="N7504" s="0" t="n">
        <v>3.708</v>
      </c>
      <c r="O7504" s="0" t="n">
        <v>73.78</v>
      </c>
      <c r="P7504" s="0" t="s">
        <v>2444</v>
      </c>
    </row>
    <row r="7505" customFormat="false" ht="15" hidden="false" customHeight="true" outlineLevel="0" collapsed="false">
      <c r="A7505" s="0" t="n">
        <v>2</v>
      </c>
      <c r="B7505" s="71" t="n">
        <v>46263</v>
      </c>
      <c r="C7505" s="0" t="n">
        <v>100</v>
      </c>
      <c r="D7505" s="0" t="s">
        <v>2499</v>
      </c>
      <c r="E7505" s="0" t="n">
        <v>48</v>
      </c>
      <c r="F7505" s="0" t="s">
        <v>153</v>
      </c>
      <c r="I7505" s="0" t="n">
        <v>1618700</v>
      </c>
      <c r="J7505" s="0" t="n">
        <v>100006</v>
      </c>
      <c r="K7505" s="0" t="n">
        <v>7</v>
      </c>
      <c r="L7505" s="0" t="s">
        <v>2485</v>
      </c>
      <c r="N7505" s="0" t="n">
        <v>2.59</v>
      </c>
      <c r="O7505" s="0" t="n">
        <v>73.01</v>
      </c>
      <c r="P7505" s="0" t="s">
        <v>2444</v>
      </c>
    </row>
    <row r="7506" customFormat="false" ht="15" hidden="false" customHeight="true" outlineLevel="0" collapsed="false">
      <c r="A7506" s="0" t="n">
        <v>2</v>
      </c>
      <c r="B7506" s="71" t="n">
        <v>46263</v>
      </c>
      <c r="C7506" s="0" t="n">
        <v>100</v>
      </c>
      <c r="D7506" s="0" t="s">
        <v>2499</v>
      </c>
      <c r="E7506" s="0" t="n">
        <v>48</v>
      </c>
      <c r="F7506" s="0" t="s">
        <v>153</v>
      </c>
      <c r="I7506" s="0" t="n">
        <v>1618700</v>
      </c>
      <c r="J7506" s="0" t="n">
        <v>100007</v>
      </c>
      <c r="K7506" s="0" t="n">
        <v>8</v>
      </c>
      <c r="L7506" s="0" t="s">
        <v>2486</v>
      </c>
      <c r="N7506" s="0" t="n">
        <v>1.512</v>
      </c>
      <c r="O7506" s="0" t="n">
        <v>37.61</v>
      </c>
      <c r="P7506" s="0" t="s">
        <v>2444</v>
      </c>
    </row>
    <row r="7507" customFormat="false" ht="15" hidden="false" customHeight="true" outlineLevel="0" collapsed="false">
      <c r="A7507" s="0" t="n">
        <v>2</v>
      </c>
      <c r="B7507" s="71" t="n">
        <v>46263</v>
      </c>
      <c r="C7507" s="0" t="n">
        <v>100</v>
      </c>
      <c r="D7507" s="0" t="s">
        <v>2499</v>
      </c>
      <c r="E7507" s="0" t="n">
        <v>48</v>
      </c>
      <c r="F7507" s="0" t="s">
        <v>153</v>
      </c>
      <c r="I7507" s="0" t="n">
        <v>1618700</v>
      </c>
      <c r="J7507" s="0" t="n">
        <v>100008</v>
      </c>
      <c r="K7507" s="0" t="n">
        <v>9</v>
      </c>
      <c r="L7507" s="0" t="s">
        <v>2487</v>
      </c>
      <c r="N7507" s="0" t="n">
        <v>18.23</v>
      </c>
      <c r="O7507" s="0" t="n">
        <v>589.5</v>
      </c>
      <c r="P7507" s="0" t="s">
        <v>2444</v>
      </c>
    </row>
    <row r="7508" customFormat="false" ht="15" hidden="false" customHeight="true" outlineLevel="0" collapsed="false">
      <c r="A7508" s="0" t="n">
        <v>2</v>
      </c>
      <c r="B7508" s="71" t="n">
        <v>46263</v>
      </c>
      <c r="C7508" s="0" t="n">
        <v>100</v>
      </c>
      <c r="D7508" s="0" t="s">
        <v>2499</v>
      </c>
      <c r="E7508" s="0" t="n">
        <v>48</v>
      </c>
      <c r="F7508" s="0" t="s">
        <v>153</v>
      </c>
      <c r="I7508" s="0" t="n">
        <v>1618700</v>
      </c>
      <c r="J7508" s="0" t="n">
        <v>100011</v>
      </c>
      <c r="K7508" s="0" t="n">
        <v>12</v>
      </c>
      <c r="L7508" s="0" t="s">
        <v>2488</v>
      </c>
      <c r="N7508" s="0" t="n">
        <v>12.94</v>
      </c>
      <c r="O7508" s="0" t="n">
        <v>482.83</v>
      </c>
      <c r="P7508" s="0" t="s">
        <v>2444</v>
      </c>
    </row>
    <row r="7509" customFormat="false" ht="15" hidden="false" customHeight="true" outlineLevel="0" collapsed="false">
      <c r="A7509" s="0" t="n">
        <v>2</v>
      </c>
      <c r="B7509" s="71" t="n">
        <v>46263</v>
      </c>
      <c r="C7509" s="0" t="n">
        <v>100</v>
      </c>
      <c r="D7509" s="0" t="s">
        <v>2499</v>
      </c>
      <c r="E7509" s="0" t="n">
        <v>48</v>
      </c>
      <c r="F7509" s="0" t="s">
        <v>153</v>
      </c>
      <c r="I7509" s="0" t="n">
        <v>1618700</v>
      </c>
      <c r="J7509" s="0" t="n">
        <v>100012</v>
      </c>
      <c r="K7509" s="0" t="n">
        <v>13</v>
      </c>
      <c r="L7509" s="0" t="s">
        <v>2489</v>
      </c>
      <c r="N7509" s="0" t="n">
        <v>6</v>
      </c>
      <c r="O7509" s="0" t="n">
        <v>248.76</v>
      </c>
      <c r="P7509" s="0" t="s">
        <v>2444</v>
      </c>
    </row>
    <row r="7510" customFormat="false" ht="15" hidden="false" customHeight="true" outlineLevel="0" collapsed="false">
      <c r="A7510" s="0" t="n">
        <v>2</v>
      </c>
      <c r="B7510" s="71" t="n">
        <v>46263</v>
      </c>
      <c r="C7510" s="0" t="n">
        <v>100</v>
      </c>
      <c r="D7510" s="0" t="s">
        <v>2499</v>
      </c>
      <c r="E7510" s="0" t="n">
        <v>48</v>
      </c>
      <c r="F7510" s="0" t="s">
        <v>153</v>
      </c>
      <c r="I7510" s="0" t="n">
        <v>1618700</v>
      </c>
      <c r="J7510" s="0" t="n">
        <v>100013</v>
      </c>
      <c r="K7510" s="0" t="n">
        <v>14</v>
      </c>
      <c r="L7510" s="0" t="s">
        <v>2490</v>
      </c>
      <c r="N7510" s="0" t="n">
        <v>13.12</v>
      </c>
      <c r="O7510" s="0" t="n">
        <v>576.59</v>
      </c>
      <c r="P7510" s="0" t="s">
        <v>2444</v>
      </c>
    </row>
    <row r="7511" customFormat="false" ht="15" hidden="false" customHeight="true" outlineLevel="0" collapsed="false">
      <c r="A7511" s="0" t="n">
        <v>2</v>
      </c>
      <c r="B7511" s="71" t="n">
        <v>46263</v>
      </c>
      <c r="C7511" s="0" t="n">
        <v>100</v>
      </c>
      <c r="D7511" s="0" t="s">
        <v>2499</v>
      </c>
      <c r="E7511" s="0" t="n">
        <v>48</v>
      </c>
      <c r="F7511" s="0" t="s">
        <v>153</v>
      </c>
      <c r="I7511" s="0" t="n">
        <v>1618700</v>
      </c>
      <c r="J7511" s="0" t="n">
        <v>100014</v>
      </c>
      <c r="K7511" s="0" t="n">
        <v>15</v>
      </c>
      <c r="L7511" s="0" t="s">
        <v>2491</v>
      </c>
      <c r="N7511" s="0" t="n">
        <v>5.332</v>
      </c>
      <c r="O7511" s="0" t="n">
        <v>238.75</v>
      </c>
      <c r="P7511" s="0" t="s">
        <v>2444</v>
      </c>
    </row>
    <row r="7512" customFormat="false" ht="15" hidden="false" customHeight="true" outlineLevel="0" collapsed="false">
      <c r="A7512" s="0" t="n">
        <v>2</v>
      </c>
      <c r="B7512" s="71" t="n">
        <v>46263</v>
      </c>
      <c r="C7512" s="0" t="n">
        <v>100</v>
      </c>
      <c r="D7512" s="0" t="s">
        <v>2499</v>
      </c>
      <c r="E7512" s="0" t="n">
        <v>48</v>
      </c>
      <c r="F7512" s="0" t="s">
        <v>153</v>
      </c>
      <c r="I7512" s="0" t="n">
        <v>1618700</v>
      </c>
      <c r="J7512" s="0" t="n">
        <v>100015</v>
      </c>
      <c r="K7512" s="0" t="n">
        <v>16</v>
      </c>
      <c r="L7512" s="0" t="s">
        <v>2492</v>
      </c>
      <c r="N7512" s="0" t="n">
        <v>2.124</v>
      </c>
      <c r="O7512" s="0" t="n">
        <v>84.54</v>
      </c>
      <c r="P7512" s="0" t="s">
        <v>2444</v>
      </c>
    </row>
    <row r="7513" customFormat="false" ht="15" hidden="false" customHeight="true" outlineLevel="0" collapsed="false">
      <c r="A7513" s="0" t="n">
        <v>2</v>
      </c>
      <c r="B7513" s="71" t="n">
        <v>46263</v>
      </c>
      <c r="C7513" s="0" t="n">
        <v>100</v>
      </c>
      <c r="D7513" s="0" t="s">
        <v>2499</v>
      </c>
      <c r="E7513" s="0" t="n">
        <v>48</v>
      </c>
      <c r="F7513" s="0" t="s">
        <v>153</v>
      </c>
      <c r="I7513" s="0" t="n">
        <v>1618700</v>
      </c>
      <c r="J7513" s="0" t="n">
        <v>100016</v>
      </c>
      <c r="K7513" s="0" t="n">
        <v>17</v>
      </c>
      <c r="L7513" s="0" t="s">
        <v>2493</v>
      </c>
      <c r="N7513" s="0" t="n">
        <v>2.734</v>
      </c>
      <c r="O7513" s="0" t="n">
        <v>136.03</v>
      </c>
      <c r="P7513" s="0" t="s">
        <v>2444</v>
      </c>
    </row>
    <row r="7514" customFormat="false" ht="15" hidden="false" customHeight="true" outlineLevel="0" collapsed="false">
      <c r="A7514" s="0" t="n">
        <v>2</v>
      </c>
      <c r="B7514" s="71" t="n">
        <v>46263</v>
      </c>
      <c r="C7514" s="0" t="n">
        <v>100</v>
      </c>
      <c r="D7514" s="0" t="s">
        <v>2499</v>
      </c>
      <c r="E7514" s="0" t="n">
        <v>48</v>
      </c>
      <c r="F7514" s="0" t="s">
        <v>153</v>
      </c>
      <c r="I7514" s="0" t="n">
        <v>1618700</v>
      </c>
      <c r="J7514" s="0" t="n">
        <v>100017</v>
      </c>
      <c r="K7514" s="0" t="n">
        <v>18</v>
      </c>
      <c r="L7514" s="0" t="s">
        <v>2494</v>
      </c>
      <c r="N7514" s="0" t="n">
        <v>1.632</v>
      </c>
      <c r="O7514" s="0" t="n">
        <v>94.73</v>
      </c>
      <c r="P7514" s="0" t="s">
        <v>2444</v>
      </c>
    </row>
    <row r="7515" customFormat="false" ht="15" hidden="false" customHeight="true" outlineLevel="0" collapsed="false">
      <c r="A7515" s="0" t="n">
        <v>2</v>
      </c>
      <c r="B7515" s="71" t="n">
        <v>46263</v>
      </c>
      <c r="C7515" s="0" t="n">
        <v>100</v>
      </c>
      <c r="D7515" s="0" t="s">
        <v>2499</v>
      </c>
      <c r="E7515" s="0" t="n">
        <v>48</v>
      </c>
      <c r="F7515" s="0" t="s">
        <v>153</v>
      </c>
      <c r="I7515" s="0" t="n">
        <v>1618700</v>
      </c>
      <c r="J7515" s="0" t="n">
        <v>100020</v>
      </c>
      <c r="K7515" s="0" t="n">
        <v>21</v>
      </c>
      <c r="L7515" s="0" t="s">
        <v>4878</v>
      </c>
      <c r="N7515" s="0" t="n">
        <v>0.438</v>
      </c>
      <c r="O7515" s="0" t="n">
        <v>14.16</v>
      </c>
      <c r="P7515" s="0" t="s">
        <v>2444</v>
      </c>
    </row>
    <row r="7516" customFormat="false" ht="15" hidden="false" customHeight="true" outlineLevel="0" collapsed="false">
      <c r="A7516" s="0" t="n">
        <v>2</v>
      </c>
      <c r="B7516" s="71" t="n">
        <v>46263</v>
      </c>
      <c r="C7516" s="0" t="n">
        <v>100</v>
      </c>
      <c r="D7516" s="0" t="s">
        <v>2499</v>
      </c>
      <c r="E7516" s="0" t="n">
        <v>48</v>
      </c>
      <c r="F7516" s="0" t="s">
        <v>153</v>
      </c>
      <c r="I7516" s="0" t="n">
        <v>1618700</v>
      </c>
      <c r="J7516" s="0" t="n">
        <v>100053</v>
      </c>
      <c r="K7516" s="0" t="n">
        <v>54</v>
      </c>
      <c r="L7516" s="0" t="s">
        <v>2495</v>
      </c>
      <c r="N7516" s="0" t="n">
        <v>2.428</v>
      </c>
      <c r="O7516" s="0" t="n">
        <v>88.58</v>
      </c>
      <c r="P7516" s="0" t="s">
        <v>2444</v>
      </c>
    </row>
    <row r="7517" customFormat="false" ht="15" hidden="false" customHeight="true" outlineLevel="0" collapsed="false">
      <c r="A7517" s="0" t="n">
        <v>2</v>
      </c>
      <c r="B7517" s="71" t="n">
        <v>46263</v>
      </c>
      <c r="C7517" s="0" t="n">
        <v>100</v>
      </c>
      <c r="D7517" s="0" t="s">
        <v>2499</v>
      </c>
      <c r="E7517" s="0" t="n">
        <v>48</v>
      </c>
      <c r="F7517" s="0" t="s">
        <v>153</v>
      </c>
      <c r="I7517" s="0" t="n">
        <v>1618700</v>
      </c>
      <c r="J7517" s="0" t="n">
        <v>100638</v>
      </c>
      <c r="K7517" s="0" t="n">
        <v>508</v>
      </c>
      <c r="L7517" s="0" t="s">
        <v>2496</v>
      </c>
      <c r="N7517" s="0" t="n">
        <v>2.496</v>
      </c>
      <c r="O7517" s="0" t="n">
        <v>6.19</v>
      </c>
      <c r="P7517" s="0" t="s">
        <v>2444</v>
      </c>
    </row>
    <row r="7518" customFormat="false" ht="15" hidden="false" customHeight="true" outlineLevel="0" collapsed="false">
      <c r="A7518" s="0" t="n">
        <v>2</v>
      </c>
      <c r="B7518" s="71" t="n">
        <v>46263</v>
      </c>
      <c r="C7518" s="0" t="n">
        <v>100</v>
      </c>
      <c r="D7518" s="0" t="s">
        <v>2499</v>
      </c>
      <c r="E7518" s="0" t="n">
        <v>48</v>
      </c>
      <c r="F7518" s="0" t="s">
        <v>153</v>
      </c>
      <c r="I7518" s="0" t="n">
        <v>1618700</v>
      </c>
      <c r="J7518" s="0" t="n">
        <v>100520</v>
      </c>
      <c r="K7518" s="0" t="n">
        <v>507</v>
      </c>
      <c r="L7518" s="0" t="s">
        <v>2497</v>
      </c>
      <c r="N7518" s="0" t="n">
        <v>10.545</v>
      </c>
      <c r="O7518" s="0" t="n">
        <v>26.15</v>
      </c>
      <c r="P7518" s="0" t="s">
        <v>2444</v>
      </c>
    </row>
    <row r="7519" customFormat="false" ht="15" hidden="false" customHeight="true" outlineLevel="0" collapsed="false">
      <c r="A7519" s="0" t="n">
        <v>2</v>
      </c>
      <c r="B7519" s="71" t="n">
        <v>46263</v>
      </c>
      <c r="C7519" s="0" t="n">
        <v>100</v>
      </c>
      <c r="D7519" s="0" t="s">
        <v>2499</v>
      </c>
      <c r="E7519" s="0" t="n">
        <v>48</v>
      </c>
      <c r="F7519" s="0" t="s">
        <v>153</v>
      </c>
      <c r="I7519" s="0" t="n">
        <v>1618700</v>
      </c>
      <c r="J7519" s="0" t="n">
        <v>110455</v>
      </c>
      <c r="K7519" s="0" t="n">
        <v>53212</v>
      </c>
      <c r="L7519" s="0" t="s">
        <v>2498</v>
      </c>
      <c r="N7519" s="0" t="n">
        <v>0.771</v>
      </c>
      <c r="O7519" s="0" t="n">
        <v>0</v>
      </c>
      <c r="P7519" s="0" t="s">
        <v>2444</v>
      </c>
    </row>
    <row r="7520" customFormat="false" ht="15" hidden="false" customHeight="true" outlineLevel="0" collapsed="false">
      <c r="A7520" s="0" t="n">
        <v>2</v>
      </c>
      <c r="B7520" s="71" t="n">
        <v>46265</v>
      </c>
      <c r="C7520" s="0" t="n">
        <v>6</v>
      </c>
      <c r="D7520" s="0" t="s">
        <v>2553</v>
      </c>
      <c r="E7520" s="0" t="n">
        <v>48</v>
      </c>
      <c r="F7520" s="0" t="s">
        <v>153</v>
      </c>
      <c r="I7520" s="0" t="n">
        <v>2643</v>
      </c>
      <c r="J7520" s="0" t="n">
        <v>42564</v>
      </c>
      <c r="K7520" s="0" t="n">
        <v>574</v>
      </c>
      <c r="L7520" s="0" t="s">
        <v>2534</v>
      </c>
      <c r="N7520" s="0" t="n">
        <v>20</v>
      </c>
      <c r="O7520" s="0" t="n">
        <v>300</v>
      </c>
      <c r="P7520" s="0" t="s">
        <v>2444</v>
      </c>
    </row>
    <row r="7521" customFormat="false" ht="15" hidden="false" customHeight="true" outlineLevel="0" collapsed="false">
      <c r="A7521" s="0" t="n">
        <v>2</v>
      </c>
      <c r="B7521" s="71" t="n">
        <v>46265</v>
      </c>
      <c r="C7521" s="0" t="n">
        <v>11</v>
      </c>
      <c r="D7521" s="0" t="s">
        <v>2471</v>
      </c>
      <c r="E7521" s="0" t="n">
        <v>1899</v>
      </c>
      <c r="F7521" s="0" t="s">
        <v>204</v>
      </c>
      <c r="I7521" s="0" t="n">
        <v>780</v>
      </c>
      <c r="J7521" s="0" t="n">
        <v>44588</v>
      </c>
      <c r="K7521" s="0" t="n">
        <v>7898904331091</v>
      </c>
      <c r="L7521" s="0" t="s">
        <v>2443</v>
      </c>
      <c r="N7521" s="0" t="n">
        <v>13</v>
      </c>
      <c r="O7521" s="0" t="n">
        <v>64.87</v>
      </c>
      <c r="P7521" s="0" t="s">
        <v>2444</v>
      </c>
    </row>
    <row r="7522" customFormat="false" ht="15" hidden="false" customHeight="true" outlineLevel="0" collapsed="false">
      <c r="A7522" s="0" t="n">
        <v>2</v>
      </c>
      <c r="B7522" s="71" t="n">
        <v>46265</v>
      </c>
      <c r="C7522" s="0" t="n">
        <v>11</v>
      </c>
      <c r="D7522" s="0" t="s">
        <v>2471</v>
      </c>
      <c r="E7522" s="0" t="n">
        <v>1899</v>
      </c>
      <c r="F7522" s="0" t="s">
        <v>204</v>
      </c>
      <c r="I7522" s="0" t="n">
        <v>780</v>
      </c>
      <c r="J7522" s="0" t="n">
        <v>77465</v>
      </c>
      <c r="K7522" s="0" t="n">
        <v>774666</v>
      </c>
      <c r="L7522" s="0" t="s">
        <v>2446</v>
      </c>
      <c r="N7522" s="0" t="n">
        <v>10</v>
      </c>
      <c r="O7522" s="0" t="n">
        <v>49.9</v>
      </c>
      <c r="P7522" s="0" t="s">
        <v>2444</v>
      </c>
    </row>
    <row r="7523" customFormat="false" ht="15" hidden="false" customHeight="true" outlineLevel="0" collapsed="false">
      <c r="A7523" s="0" t="n">
        <v>2</v>
      </c>
      <c r="B7523" s="71" t="n">
        <v>46265</v>
      </c>
      <c r="C7523" s="0" t="n">
        <v>11</v>
      </c>
      <c r="D7523" s="0" t="s">
        <v>2471</v>
      </c>
      <c r="E7523" s="0" t="n">
        <v>1899</v>
      </c>
      <c r="F7523" s="0" t="s">
        <v>204</v>
      </c>
      <c r="I7523" s="0" t="n">
        <v>780</v>
      </c>
      <c r="J7523" s="0" t="n">
        <v>77903</v>
      </c>
      <c r="K7523" s="0" t="n">
        <v>779043</v>
      </c>
      <c r="L7523" s="0" t="s">
        <v>2945</v>
      </c>
      <c r="N7523" s="0" t="n">
        <v>4</v>
      </c>
      <c r="O7523" s="0" t="n">
        <v>18</v>
      </c>
      <c r="P7523" s="0" t="s">
        <v>2444</v>
      </c>
    </row>
    <row r="7524" customFormat="false" ht="15" hidden="false" customHeight="true" outlineLevel="0" collapsed="false">
      <c r="A7524" s="0" t="n">
        <v>2</v>
      </c>
      <c r="B7524" s="71" t="n">
        <v>46265</v>
      </c>
      <c r="C7524" s="0" t="n">
        <v>11</v>
      </c>
      <c r="D7524" s="0" t="s">
        <v>2471</v>
      </c>
      <c r="E7524" s="0" t="n">
        <v>1899</v>
      </c>
      <c r="F7524" s="0" t="s">
        <v>204</v>
      </c>
      <c r="I7524" s="0" t="n">
        <v>780</v>
      </c>
      <c r="J7524" s="0" t="n">
        <v>78013</v>
      </c>
      <c r="K7524" s="0" t="n">
        <v>780148</v>
      </c>
      <c r="L7524" s="0" t="s">
        <v>2584</v>
      </c>
      <c r="N7524" s="0" t="n">
        <v>5</v>
      </c>
      <c r="O7524" s="0" t="n">
        <v>22.5</v>
      </c>
      <c r="P7524" s="0" t="s">
        <v>2444</v>
      </c>
    </row>
    <row r="7525" customFormat="false" ht="15" hidden="false" customHeight="true" outlineLevel="0" collapsed="false">
      <c r="A7525" s="0" t="n">
        <v>2</v>
      </c>
      <c r="B7525" s="71" t="n">
        <v>46265</v>
      </c>
      <c r="C7525" s="0" t="n">
        <v>11</v>
      </c>
      <c r="D7525" s="0" t="s">
        <v>2471</v>
      </c>
      <c r="E7525" s="0" t="n">
        <v>1899</v>
      </c>
      <c r="F7525" s="0" t="s">
        <v>204</v>
      </c>
      <c r="I7525" s="0" t="n">
        <v>780</v>
      </c>
      <c r="J7525" s="0" t="n">
        <v>78015</v>
      </c>
      <c r="K7525" s="0" t="n">
        <v>780162</v>
      </c>
      <c r="L7525" s="0" t="s">
        <v>2447</v>
      </c>
      <c r="N7525" s="0" t="n">
        <v>5</v>
      </c>
      <c r="O7525" s="0" t="n">
        <v>24.95</v>
      </c>
      <c r="P7525" s="0" t="s">
        <v>2444</v>
      </c>
    </row>
    <row r="7526" customFormat="false" ht="15" hidden="false" customHeight="true" outlineLevel="0" collapsed="false">
      <c r="A7526" s="0" t="n">
        <v>2</v>
      </c>
      <c r="B7526" s="71" t="n">
        <v>46265</v>
      </c>
      <c r="C7526" s="0" t="n">
        <v>11</v>
      </c>
      <c r="D7526" s="0" t="s">
        <v>2471</v>
      </c>
      <c r="E7526" s="0" t="n">
        <v>1899</v>
      </c>
      <c r="F7526" s="0" t="s">
        <v>204</v>
      </c>
      <c r="I7526" s="0" t="n">
        <v>782</v>
      </c>
      <c r="J7526" s="0" t="n">
        <v>77463</v>
      </c>
      <c r="K7526" s="0" t="n">
        <v>774642</v>
      </c>
      <c r="L7526" s="0" t="s">
        <v>2445</v>
      </c>
      <c r="N7526" s="0" t="n">
        <v>20</v>
      </c>
      <c r="O7526" s="0" t="n">
        <v>90</v>
      </c>
      <c r="P7526" s="0" t="s">
        <v>2444</v>
      </c>
    </row>
    <row r="7527" customFormat="false" ht="15" hidden="false" customHeight="true" outlineLevel="0" collapsed="false">
      <c r="A7527" s="0" t="n">
        <v>2</v>
      </c>
      <c r="B7527" s="71" t="n">
        <v>46265</v>
      </c>
      <c r="C7527" s="0" t="n">
        <v>11</v>
      </c>
      <c r="D7527" s="0" t="s">
        <v>2471</v>
      </c>
      <c r="E7527" s="0" t="n">
        <v>1363</v>
      </c>
      <c r="F7527" s="0" t="s">
        <v>174</v>
      </c>
      <c r="I7527" s="0" t="n">
        <v>3829</v>
      </c>
      <c r="J7527" s="0" t="n">
        <v>73511</v>
      </c>
      <c r="K7527" s="0" t="n">
        <v>609963171019</v>
      </c>
      <c r="L7527" s="0" t="s">
        <v>2585</v>
      </c>
      <c r="N7527" s="0" t="n">
        <v>3</v>
      </c>
      <c r="O7527" s="0" t="n">
        <v>18</v>
      </c>
      <c r="P7527" s="0" t="s">
        <v>2444</v>
      </c>
    </row>
    <row r="7528" customFormat="false" ht="15" hidden="false" customHeight="true" outlineLevel="0" collapsed="false">
      <c r="A7528" s="0" t="n">
        <v>2</v>
      </c>
      <c r="B7528" s="71" t="n">
        <v>46265</v>
      </c>
      <c r="C7528" s="0" t="n">
        <v>11</v>
      </c>
      <c r="D7528" s="0" t="s">
        <v>2471</v>
      </c>
      <c r="E7528" s="0" t="n">
        <v>1363</v>
      </c>
      <c r="F7528" s="0" t="s">
        <v>174</v>
      </c>
      <c r="I7528" s="0" t="n">
        <v>3829</v>
      </c>
      <c r="J7528" s="0" t="n">
        <v>65493</v>
      </c>
      <c r="K7528" s="0" t="n">
        <v>609963171002</v>
      </c>
      <c r="L7528" s="0" t="s">
        <v>2586</v>
      </c>
      <c r="N7528" s="0" t="n">
        <v>3</v>
      </c>
      <c r="O7528" s="0" t="n">
        <v>18</v>
      </c>
      <c r="P7528" s="0" t="s">
        <v>2444</v>
      </c>
    </row>
    <row r="7529" customFormat="false" ht="15" hidden="false" customHeight="true" outlineLevel="0" collapsed="false">
      <c r="A7529" s="0" t="n">
        <v>2</v>
      </c>
      <c r="B7529" s="71" t="n">
        <v>46265</v>
      </c>
      <c r="C7529" s="0" t="n">
        <v>11</v>
      </c>
      <c r="D7529" s="0" t="s">
        <v>2471</v>
      </c>
      <c r="E7529" s="0" t="n">
        <v>1363</v>
      </c>
      <c r="F7529" s="0" t="s">
        <v>174</v>
      </c>
      <c r="I7529" s="0" t="n">
        <v>3829</v>
      </c>
      <c r="J7529" s="0" t="n">
        <v>65494</v>
      </c>
      <c r="K7529" s="0" t="n">
        <v>618231677535</v>
      </c>
      <c r="L7529" s="0" t="s">
        <v>2587</v>
      </c>
      <c r="N7529" s="0" t="n">
        <v>6</v>
      </c>
      <c r="O7529" s="0" t="n">
        <v>36</v>
      </c>
      <c r="P7529" s="0" t="s">
        <v>2444</v>
      </c>
    </row>
    <row r="7530" customFormat="false" ht="15" hidden="false" customHeight="true" outlineLevel="0" collapsed="false">
      <c r="A7530" s="0" t="n">
        <v>2</v>
      </c>
      <c r="B7530" s="71" t="n">
        <v>46265</v>
      </c>
      <c r="C7530" s="0" t="n">
        <v>11</v>
      </c>
      <c r="D7530" s="0" t="s">
        <v>2471</v>
      </c>
      <c r="E7530" s="0" t="n">
        <v>1363</v>
      </c>
      <c r="F7530" s="0" t="s">
        <v>174</v>
      </c>
      <c r="I7530" s="0" t="n">
        <v>3829</v>
      </c>
      <c r="J7530" s="0" t="n">
        <v>65496</v>
      </c>
      <c r="K7530" s="0" t="n">
        <v>618231677528</v>
      </c>
      <c r="L7530" s="0" t="s">
        <v>2588</v>
      </c>
      <c r="N7530" s="0" t="n">
        <v>3</v>
      </c>
      <c r="O7530" s="0" t="n">
        <v>18</v>
      </c>
      <c r="P7530" s="0" t="s">
        <v>2444</v>
      </c>
    </row>
    <row r="7531" customFormat="false" ht="15" hidden="false" customHeight="true" outlineLevel="0" collapsed="false">
      <c r="A7531" s="0" t="n">
        <v>2</v>
      </c>
      <c r="B7531" s="71" t="n">
        <v>46265</v>
      </c>
      <c r="C7531" s="0" t="n">
        <v>11</v>
      </c>
      <c r="D7531" s="0" t="s">
        <v>2471</v>
      </c>
      <c r="E7531" s="0" t="n">
        <v>1363</v>
      </c>
      <c r="F7531" s="0" t="s">
        <v>174</v>
      </c>
      <c r="I7531" s="0" t="n">
        <v>3829</v>
      </c>
      <c r="J7531" s="0" t="n">
        <v>65621</v>
      </c>
      <c r="K7531" s="0" t="n">
        <v>618231677504</v>
      </c>
      <c r="L7531" s="0" t="s">
        <v>2589</v>
      </c>
      <c r="N7531" s="0" t="n">
        <v>5</v>
      </c>
      <c r="O7531" s="0" t="n">
        <v>35</v>
      </c>
      <c r="P7531" s="0" t="s">
        <v>2444</v>
      </c>
    </row>
    <row r="7532" customFormat="false" ht="15" hidden="false" customHeight="true" outlineLevel="0" collapsed="false">
      <c r="A7532" s="0" t="n">
        <v>2</v>
      </c>
      <c r="B7532" s="71" t="n">
        <v>46265</v>
      </c>
      <c r="C7532" s="0" t="n">
        <v>11</v>
      </c>
      <c r="D7532" s="0" t="s">
        <v>2471</v>
      </c>
      <c r="E7532" s="0" t="n">
        <v>1635</v>
      </c>
      <c r="F7532" s="0" t="s">
        <v>128</v>
      </c>
      <c r="I7532" s="0" t="n">
        <v>4363</v>
      </c>
      <c r="J7532" s="0" t="n">
        <v>100024</v>
      </c>
      <c r="K7532" s="0" t="n">
        <v>25</v>
      </c>
      <c r="L7532" s="0" t="s">
        <v>3345</v>
      </c>
      <c r="N7532" s="0" t="n">
        <v>76.89</v>
      </c>
      <c r="O7532" s="0" t="n">
        <v>938.06</v>
      </c>
      <c r="P7532" s="0" t="s">
        <v>2444</v>
      </c>
    </row>
    <row r="7533" customFormat="false" ht="15" hidden="false" customHeight="true" outlineLevel="0" collapsed="false">
      <c r="A7533" s="0" t="n">
        <v>2</v>
      </c>
      <c r="B7533" s="71" t="n">
        <v>46265</v>
      </c>
      <c r="C7533" s="0" t="n">
        <v>11</v>
      </c>
      <c r="D7533" s="0" t="s">
        <v>2471</v>
      </c>
      <c r="E7533" s="0" t="n">
        <v>1328</v>
      </c>
      <c r="F7533" s="0" t="s">
        <v>95</v>
      </c>
      <c r="I7533" s="0" t="n">
        <v>4492</v>
      </c>
      <c r="J7533" s="0" t="n">
        <v>50310</v>
      </c>
      <c r="K7533" s="0" t="n">
        <v>7898588380101</v>
      </c>
      <c r="L7533" s="0" t="s">
        <v>2502</v>
      </c>
      <c r="N7533" s="0" t="n">
        <v>4</v>
      </c>
      <c r="O7533" s="0" t="n">
        <v>29</v>
      </c>
      <c r="P7533" s="0" t="s">
        <v>2444</v>
      </c>
    </row>
    <row r="7534" customFormat="false" ht="15" hidden="false" customHeight="true" outlineLevel="0" collapsed="false">
      <c r="A7534" s="0" t="n">
        <v>2</v>
      </c>
      <c r="B7534" s="71" t="n">
        <v>46265</v>
      </c>
      <c r="C7534" s="0" t="n">
        <v>11</v>
      </c>
      <c r="D7534" s="0" t="s">
        <v>2471</v>
      </c>
      <c r="E7534" s="0" t="n">
        <v>1328</v>
      </c>
      <c r="F7534" s="0" t="s">
        <v>95</v>
      </c>
      <c r="I7534" s="0" t="n">
        <v>4492</v>
      </c>
      <c r="J7534" s="0" t="n">
        <v>21060</v>
      </c>
      <c r="K7534" s="0" t="n">
        <v>7898588380118</v>
      </c>
      <c r="L7534" s="0" t="s">
        <v>2504</v>
      </c>
      <c r="N7534" s="0" t="n">
        <v>20</v>
      </c>
      <c r="O7534" s="0" t="n">
        <v>130</v>
      </c>
      <c r="P7534" s="0" t="s">
        <v>2444</v>
      </c>
    </row>
    <row r="7535" customFormat="false" ht="15" hidden="false" customHeight="true" outlineLevel="0" collapsed="false">
      <c r="A7535" s="0" t="n">
        <v>2</v>
      </c>
      <c r="B7535" s="71" t="n">
        <v>46265</v>
      </c>
      <c r="C7535" s="0" t="n">
        <v>11</v>
      </c>
      <c r="D7535" s="0" t="s">
        <v>2471</v>
      </c>
      <c r="E7535" s="0" t="n">
        <v>1328</v>
      </c>
      <c r="F7535" s="0" t="s">
        <v>95</v>
      </c>
      <c r="I7535" s="0" t="n">
        <v>4492</v>
      </c>
      <c r="J7535" s="0" t="n">
        <v>31789</v>
      </c>
      <c r="K7535" s="0" t="n">
        <v>7898588380149</v>
      </c>
      <c r="L7535" s="0" t="s">
        <v>2446</v>
      </c>
      <c r="N7535" s="0" t="n">
        <v>3</v>
      </c>
      <c r="O7535" s="0" t="n">
        <v>16.5</v>
      </c>
      <c r="P7535" s="0" t="s">
        <v>2444</v>
      </c>
    </row>
    <row r="7536" customFormat="false" ht="15" hidden="false" customHeight="true" outlineLevel="0" collapsed="false">
      <c r="A7536" s="0" t="n">
        <v>2</v>
      </c>
      <c r="B7536" s="71" t="n">
        <v>46265</v>
      </c>
      <c r="C7536" s="0" t="n">
        <v>11</v>
      </c>
      <c r="D7536" s="0" t="s">
        <v>2471</v>
      </c>
      <c r="E7536" s="0" t="n">
        <v>1328</v>
      </c>
      <c r="F7536" s="0" t="s">
        <v>95</v>
      </c>
      <c r="I7536" s="0" t="n">
        <v>4492</v>
      </c>
      <c r="J7536" s="0" t="n">
        <v>31782</v>
      </c>
      <c r="K7536" s="0" t="n">
        <v>7898588380132</v>
      </c>
      <c r="L7536" s="0" t="s">
        <v>2505</v>
      </c>
      <c r="N7536" s="0" t="n">
        <v>5</v>
      </c>
      <c r="O7536" s="0" t="n">
        <v>27.5</v>
      </c>
      <c r="P7536" s="0" t="s">
        <v>2444</v>
      </c>
    </row>
    <row r="7537" customFormat="false" ht="15" hidden="false" customHeight="true" outlineLevel="0" collapsed="false">
      <c r="A7537" s="0" t="n">
        <v>2</v>
      </c>
      <c r="B7537" s="71" t="n">
        <v>46265</v>
      </c>
      <c r="C7537" s="0" t="n">
        <v>11</v>
      </c>
      <c r="D7537" s="0" t="s">
        <v>2471</v>
      </c>
      <c r="E7537" s="0" t="n">
        <v>1328</v>
      </c>
      <c r="F7537" s="0" t="s">
        <v>95</v>
      </c>
      <c r="I7537" s="0" t="n">
        <v>4492</v>
      </c>
      <c r="J7537" s="0" t="n">
        <v>31786</v>
      </c>
      <c r="K7537" s="0" t="n">
        <v>7898588380187</v>
      </c>
      <c r="L7537" s="0" t="s">
        <v>2506</v>
      </c>
      <c r="N7537" s="0" t="n">
        <v>5</v>
      </c>
      <c r="O7537" s="0" t="n">
        <v>27.5</v>
      </c>
      <c r="P7537" s="0" t="s">
        <v>2444</v>
      </c>
    </row>
    <row r="7538" customFormat="false" ht="15" hidden="false" customHeight="true" outlineLevel="0" collapsed="false">
      <c r="A7538" s="0" t="n">
        <v>2</v>
      </c>
      <c r="B7538" s="71" t="n">
        <v>46265</v>
      </c>
      <c r="C7538" s="0" t="n">
        <v>11</v>
      </c>
      <c r="D7538" s="0" t="s">
        <v>2471</v>
      </c>
      <c r="E7538" s="0" t="n">
        <v>1328</v>
      </c>
      <c r="F7538" s="0" t="s">
        <v>95</v>
      </c>
      <c r="I7538" s="0" t="n">
        <v>4492</v>
      </c>
      <c r="J7538" s="0" t="n">
        <v>31787</v>
      </c>
      <c r="K7538" s="0" t="n">
        <v>7898588380125</v>
      </c>
      <c r="L7538" s="0" t="s">
        <v>2507</v>
      </c>
      <c r="N7538" s="0" t="n">
        <v>5</v>
      </c>
      <c r="O7538" s="0" t="n">
        <v>42</v>
      </c>
      <c r="P7538" s="0" t="s">
        <v>2444</v>
      </c>
    </row>
    <row r="7539" customFormat="false" ht="15" hidden="false" customHeight="true" outlineLevel="0" collapsed="false">
      <c r="A7539" s="0" t="n">
        <v>2</v>
      </c>
      <c r="B7539" s="71" t="n">
        <v>46265</v>
      </c>
      <c r="C7539" s="0" t="n">
        <v>11</v>
      </c>
      <c r="D7539" s="0" t="s">
        <v>2471</v>
      </c>
      <c r="E7539" s="0" t="n">
        <v>1328</v>
      </c>
      <c r="F7539" s="0" t="s">
        <v>95</v>
      </c>
      <c r="I7539" s="0" t="n">
        <v>4492</v>
      </c>
      <c r="J7539" s="0" t="n">
        <v>31790</v>
      </c>
      <c r="K7539" s="0" t="n">
        <v>7898588380231</v>
      </c>
      <c r="L7539" s="0" t="s">
        <v>2508</v>
      </c>
      <c r="N7539" s="0" t="n">
        <v>5</v>
      </c>
      <c r="O7539" s="0" t="n">
        <v>27.5</v>
      </c>
      <c r="P7539" s="0" t="s">
        <v>2444</v>
      </c>
    </row>
    <row r="7540" customFormat="false" ht="15" hidden="false" customHeight="true" outlineLevel="0" collapsed="false">
      <c r="A7540" s="0" t="n">
        <v>2</v>
      </c>
      <c r="B7540" s="71" t="n">
        <v>46265</v>
      </c>
      <c r="C7540" s="0" t="n">
        <v>11</v>
      </c>
      <c r="D7540" s="0" t="s">
        <v>2471</v>
      </c>
      <c r="E7540" s="0" t="n">
        <v>1196</v>
      </c>
      <c r="F7540" s="0" t="s">
        <v>1470</v>
      </c>
      <c r="I7540" s="0" t="n">
        <v>13095</v>
      </c>
      <c r="J7540" s="0" t="n">
        <v>82247</v>
      </c>
      <c r="K7540" s="0" t="n">
        <v>7896301015842</v>
      </c>
      <c r="L7540" s="0" t="s">
        <v>5202</v>
      </c>
      <c r="N7540" s="0" t="n">
        <v>300</v>
      </c>
      <c r="O7540" s="0" t="n">
        <v>820</v>
      </c>
      <c r="P7540" s="0" t="s">
        <v>2444</v>
      </c>
    </row>
    <row r="7541" customFormat="false" ht="15" hidden="false" customHeight="true" outlineLevel="0" collapsed="false">
      <c r="A7541" s="0" t="n">
        <v>2</v>
      </c>
      <c r="B7541" s="71" t="n">
        <v>46265</v>
      </c>
      <c r="C7541" s="0" t="n">
        <v>11</v>
      </c>
      <c r="D7541" s="0" t="s">
        <v>2471</v>
      </c>
      <c r="E7541" s="0" t="n">
        <v>1625</v>
      </c>
      <c r="F7541" s="0" t="s">
        <v>270</v>
      </c>
      <c r="I7541" s="0" t="n">
        <v>15213</v>
      </c>
      <c r="J7541" s="0" t="n">
        <v>29080</v>
      </c>
      <c r="K7541" s="0" t="n">
        <v>55516</v>
      </c>
      <c r="L7541" s="0" t="s">
        <v>2450</v>
      </c>
      <c r="N7541" s="0" t="n">
        <v>70.8</v>
      </c>
      <c r="O7541" s="0" t="n">
        <v>1557.6</v>
      </c>
      <c r="P7541" s="0" t="s">
        <v>2444</v>
      </c>
    </row>
    <row r="7542" customFormat="false" ht="15" hidden="false" customHeight="true" outlineLevel="0" collapsed="false">
      <c r="A7542" s="0" t="n">
        <v>2</v>
      </c>
      <c r="B7542" s="71" t="n">
        <v>46265</v>
      </c>
      <c r="C7542" s="0" t="n">
        <v>11</v>
      </c>
      <c r="D7542" s="0" t="s">
        <v>2471</v>
      </c>
      <c r="E7542" s="0" t="n">
        <v>1616</v>
      </c>
      <c r="F7542" s="0" t="s">
        <v>64</v>
      </c>
      <c r="I7542" s="0" t="n">
        <v>656817</v>
      </c>
      <c r="J7542" s="0" t="n">
        <v>103751</v>
      </c>
      <c r="K7542" s="0" t="n">
        <v>7896001004511</v>
      </c>
      <c r="L7542" s="0" t="s">
        <v>2947</v>
      </c>
      <c r="N7542" s="0" t="n">
        <v>120</v>
      </c>
      <c r="O7542" s="0" t="n">
        <v>80</v>
      </c>
      <c r="P7542" s="0" t="s">
        <v>2444</v>
      </c>
    </row>
    <row r="7543" customFormat="false" ht="15" hidden="false" customHeight="true" outlineLevel="0" collapsed="false">
      <c r="A7543" s="0" t="n">
        <v>2</v>
      </c>
      <c r="B7543" s="71" t="n">
        <v>46265</v>
      </c>
      <c r="C7543" s="0" t="n">
        <v>11</v>
      </c>
      <c r="D7543" s="0" t="s">
        <v>2471</v>
      </c>
      <c r="E7543" s="0" t="n">
        <v>1616</v>
      </c>
      <c r="F7543" s="0" t="s">
        <v>64</v>
      </c>
      <c r="I7543" s="0" t="n">
        <v>656817</v>
      </c>
      <c r="J7543" s="0" t="n">
        <v>109972</v>
      </c>
      <c r="K7543" s="0" t="n">
        <v>5601252231058</v>
      </c>
      <c r="L7543" s="0" t="s">
        <v>5203</v>
      </c>
      <c r="N7543" s="0" t="n">
        <v>6</v>
      </c>
      <c r="O7543" s="0" t="n">
        <v>103.2</v>
      </c>
      <c r="P7543" s="0" t="s">
        <v>2444</v>
      </c>
    </row>
    <row r="7544" customFormat="false" ht="15" hidden="false" customHeight="true" outlineLevel="0" collapsed="false">
      <c r="A7544" s="0" t="n">
        <v>2</v>
      </c>
      <c r="B7544" s="71" t="n">
        <v>46265</v>
      </c>
      <c r="C7544" s="0" t="n">
        <v>11</v>
      </c>
      <c r="D7544" s="0" t="s">
        <v>2471</v>
      </c>
      <c r="E7544" s="0" t="n">
        <v>1616</v>
      </c>
      <c r="F7544" s="0" t="s">
        <v>64</v>
      </c>
      <c r="I7544" s="0" t="n">
        <v>656817</v>
      </c>
      <c r="J7544" s="0" t="n">
        <v>13406</v>
      </c>
      <c r="K7544" s="0" t="n">
        <v>5601252100972</v>
      </c>
      <c r="L7544" s="0" t="s">
        <v>5204</v>
      </c>
      <c r="N7544" s="0" t="n">
        <v>6</v>
      </c>
      <c r="O7544" s="0" t="n">
        <v>123</v>
      </c>
      <c r="P7544" s="0" t="s">
        <v>2444</v>
      </c>
    </row>
    <row r="7545" customFormat="false" ht="15" hidden="false" customHeight="true" outlineLevel="0" collapsed="false">
      <c r="A7545" s="0" t="n">
        <v>2</v>
      </c>
      <c r="B7545" s="71" t="n">
        <v>46265</v>
      </c>
      <c r="C7545" s="0" t="n">
        <v>11</v>
      </c>
      <c r="D7545" s="0" t="s">
        <v>2471</v>
      </c>
      <c r="E7545" s="0" t="n">
        <v>1616</v>
      </c>
      <c r="F7545" s="0" t="s">
        <v>64</v>
      </c>
      <c r="I7545" s="0" t="n">
        <v>656817</v>
      </c>
      <c r="J7545" s="0" t="n">
        <v>13604</v>
      </c>
      <c r="K7545" s="0" t="n">
        <v>7896001016712</v>
      </c>
      <c r="L7545" s="0" t="s">
        <v>2948</v>
      </c>
      <c r="N7545" s="0" t="n">
        <v>30</v>
      </c>
      <c r="O7545" s="0" t="n">
        <v>399.3</v>
      </c>
      <c r="P7545" s="0" t="s">
        <v>2444</v>
      </c>
    </row>
    <row r="7546" customFormat="false" ht="15" hidden="false" customHeight="true" outlineLevel="0" collapsed="false">
      <c r="A7546" s="0" t="n">
        <v>2</v>
      </c>
      <c r="B7546" s="71" t="n">
        <v>46265</v>
      </c>
      <c r="C7546" s="0" t="n">
        <v>11</v>
      </c>
      <c r="D7546" s="0" t="s">
        <v>2471</v>
      </c>
      <c r="E7546" s="0" t="n">
        <v>1616</v>
      </c>
      <c r="F7546" s="0" t="s">
        <v>64</v>
      </c>
      <c r="I7546" s="0" t="n">
        <v>656817</v>
      </c>
      <c r="J7546" s="0" t="n">
        <v>15304</v>
      </c>
      <c r="K7546" s="0" t="n">
        <v>5601252106288</v>
      </c>
      <c r="L7546" s="0" t="s">
        <v>5205</v>
      </c>
      <c r="N7546" s="0" t="n">
        <v>6</v>
      </c>
      <c r="O7546" s="0" t="n">
        <v>103.74</v>
      </c>
      <c r="P7546" s="0" t="s">
        <v>2444</v>
      </c>
    </row>
    <row r="7547" customFormat="false" ht="15" hidden="false" customHeight="true" outlineLevel="0" collapsed="false">
      <c r="A7547" s="0" t="n">
        <v>2</v>
      </c>
      <c r="B7547" s="71" t="n">
        <v>46265</v>
      </c>
      <c r="C7547" s="0" t="n">
        <v>11</v>
      </c>
      <c r="D7547" s="0" t="s">
        <v>2471</v>
      </c>
      <c r="E7547" s="0" t="n">
        <v>1616</v>
      </c>
      <c r="F7547" s="0" t="s">
        <v>64</v>
      </c>
      <c r="I7547" s="0" t="n">
        <v>656817</v>
      </c>
      <c r="J7547" s="0" t="n">
        <v>16116</v>
      </c>
      <c r="K7547" s="0" t="n">
        <v>7891331008178</v>
      </c>
      <c r="L7547" s="0" t="s">
        <v>5206</v>
      </c>
      <c r="N7547" s="0" t="n">
        <v>24</v>
      </c>
      <c r="O7547" s="0" t="n">
        <v>38.7</v>
      </c>
      <c r="P7547" s="0" t="s">
        <v>2444</v>
      </c>
    </row>
    <row r="7548" customFormat="false" ht="15" hidden="false" customHeight="true" outlineLevel="0" collapsed="false">
      <c r="A7548" s="0" t="n">
        <v>2</v>
      </c>
      <c r="B7548" s="71" t="n">
        <v>46265</v>
      </c>
      <c r="C7548" s="0" t="n">
        <v>11</v>
      </c>
      <c r="D7548" s="0" t="s">
        <v>2471</v>
      </c>
      <c r="E7548" s="0" t="n">
        <v>1616</v>
      </c>
      <c r="F7548" s="0" t="s">
        <v>64</v>
      </c>
      <c r="I7548" s="0" t="n">
        <v>656817</v>
      </c>
      <c r="J7548" s="0" t="n">
        <v>18763</v>
      </c>
      <c r="K7548" s="0" t="n">
        <v>7896022203733</v>
      </c>
      <c r="L7548" s="0" t="s">
        <v>5207</v>
      </c>
      <c r="N7548" s="0" t="n">
        <v>20</v>
      </c>
      <c r="O7548" s="0" t="n">
        <v>110.37</v>
      </c>
      <c r="P7548" s="0" t="s">
        <v>2444</v>
      </c>
    </row>
    <row r="7549" customFormat="false" ht="15" hidden="false" customHeight="true" outlineLevel="0" collapsed="false">
      <c r="A7549" s="0" t="n">
        <v>2</v>
      </c>
      <c r="B7549" s="71" t="n">
        <v>46265</v>
      </c>
      <c r="C7549" s="0" t="n">
        <v>11</v>
      </c>
      <c r="D7549" s="0" t="s">
        <v>2471</v>
      </c>
      <c r="E7549" s="0" t="n">
        <v>1616</v>
      </c>
      <c r="F7549" s="0" t="s">
        <v>64</v>
      </c>
      <c r="I7549" s="0" t="n">
        <v>656817</v>
      </c>
      <c r="J7549" s="0" t="n">
        <v>21007</v>
      </c>
      <c r="K7549" s="0" t="n">
        <v>7896022203566</v>
      </c>
      <c r="L7549" s="0" t="s">
        <v>5208</v>
      </c>
      <c r="N7549" s="0" t="n">
        <v>40</v>
      </c>
      <c r="O7549" s="0" t="n">
        <v>233</v>
      </c>
      <c r="P7549" s="0" t="s">
        <v>2444</v>
      </c>
    </row>
    <row r="7550" customFormat="false" ht="15" hidden="false" customHeight="true" outlineLevel="0" collapsed="false">
      <c r="A7550" s="0" t="n">
        <v>2</v>
      </c>
      <c r="B7550" s="71" t="n">
        <v>46265</v>
      </c>
      <c r="C7550" s="0" t="n">
        <v>11</v>
      </c>
      <c r="D7550" s="0" t="s">
        <v>2471</v>
      </c>
      <c r="E7550" s="0" t="n">
        <v>1616</v>
      </c>
      <c r="F7550" s="0" t="s">
        <v>64</v>
      </c>
      <c r="I7550" s="0" t="n">
        <v>656817</v>
      </c>
      <c r="J7550" s="0" t="n">
        <v>29632</v>
      </c>
      <c r="K7550" s="0" t="n">
        <v>7896001040724</v>
      </c>
      <c r="L7550" s="0" t="s">
        <v>5209</v>
      </c>
      <c r="N7550" s="0" t="n">
        <v>30</v>
      </c>
      <c r="O7550" s="0" t="n">
        <v>233.7</v>
      </c>
      <c r="P7550" s="0" t="s">
        <v>2444</v>
      </c>
    </row>
    <row r="7551" customFormat="false" ht="15" hidden="false" customHeight="true" outlineLevel="0" collapsed="false">
      <c r="A7551" s="0" t="n">
        <v>2</v>
      </c>
      <c r="B7551" s="71" t="n">
        <v>46265</v>
      </c>
      <c r="C7551" s="0" t="n">
        <v>11</v>
      </c>
      <c r="D7551" s="0" t="s">
        <v>2471</v>
      </c>
      <c r="E7551" s="0" t="n">
        <v>1616</v>
      </c>
      <c r="F7551" s="0" t="s">
        <v>64</v>
      </c>
      <c r="I7551" s="0" t="n">
        <v>656817</v>
      </c>
      <c r="J7551" s="0" t="n">
        <v>61136</v>
      </c>
      <c r="K7551" s="0" t="n">
        <v>7896022200794</v>
      </c>
      <c r="L7551" s="0" t="s">
        <v>5210</v>
      </c>
      <c r="N7551" s="0" t="n">
        <v>90</v>
      </c>
      <c r="O7551" s="0" t="n">
        <v>405.57</v>
      </c>
      <c r="P7551" s="0" t="s">
        <v>2444</v>
      </c>
    </row>
    <row r="7552" customFormat="false" ht="15" hidden="false" customHeight="true" outlineLevel="0" collapsed="false">
      <c r="A7552" s="0" t="n">
        <v>2</v>
      </c>
      <c r="B7552" s="71" t="n">
        <v>46265</v>
      </c>
      <c r="C7552" s="0" t="n">
        <v>11</v>
      </c>
      <c r="D7552" s="0" t="s">
        <v>2471</v>
      </c>
      <c r="E7552" s="0" t="n">
        <v>1621</v>
      </c>
      <c r="F7552" s="0" t="s">
        <v>232</v>
      </c>
      <c r="I7552" s="0" t="n">
        <v>982558</v>
      </c>
      <c r="J7552" s="0" t="n">
        <v>40010</v>
      </c>
      <c r="K7552" s="0" t="n">
        <v>7891991009737</v>
      </c>
      <c r="L7552" s="0" t="s">
        <v>5211</v>
      </c>
      <c r="N7552" s="0" t="n">
        <v>12</v>
      </c>
      <c r="O7552" s="0" t="n">
        <v>85.000091</v>
      </c>
      <c r="P7552" s="0" t="s">
        <v>2444</v>
      </c>
    </row>
    <row r="7553" customFormat="false" ht="15" hidden="false" customHeight="true" outlineLevel="0" collapsed="false">
      <c r="A7553" s="0" t="n">
        <v>2</v>
      </c>
      <c r="B7553" s="71" t="n">
        <v>46265</v>
      </c>
      <c r="C7553" s="0" t="n">
        <v>11</v>
      </c>
      <c r="D7553" s="0" t="s">
        <v>2471</v>
      </c>
      <c r="E7553" s="0" t="n">
        <v>1621</v>
      </c>
      <c r="F7553" s="0" t="s">
        <v>232</v>
      </c>
      <c r="I7553" s="0" t="n">
        <v>982558</v>
      </c>
      <c r="J7553" s="0" t="n">
        <v>103124</v>
      </c>
      <c r="K7553" s="0" t="n">
        <v>7891991000796</v>
      </c>
      <c r="L7553" s="0" t="s">
        <v>3598</v>
      </c>
      <c r="N7553" s="0" t="n">
        <v>60</v>
      </c>
      <c r="O7553" s="0" t="n">
        <v>205.090065</v>
      </c>
      <c r="P7553" s="0" t="s">
        <v>2444</v>
      </c>
    </row>
    <row r="7554" customFormat="false" ht="15" hidden="false" customHeight="true" outlineLevel="0" collapsed="false">
      <c r="A7554" s="0" t="n">
        <v>2</v>
      </c>
      <c r="B7554" s="71" t="n">
        <v>46265</v>
      </c>
      <c r="C7554" s="0" t="n">
        <v>11</v>
      </c>
      <c r="D7554" s="0" t="s">
        <v>2471</v>
      </c>
      <c r="E7554" s="0" t="n">
        <v>1621</v>
      </c>
      <c r="F7554" s="0" t="s">
        <v>232</v>
      </c>
      <c r="I7554" s="0" t="n">
        <v>982558</v>
      </c>
      <c r="J7554" s="0" t="n">
        <v>103630</v>
      </c>
      <c r="K7554" s="0" t="n">
        <v>7891991004107</v>
      </c>
      <c r="L7554" s="0" t="s">
        <v>3070</v>
      </c>
      <c r="N7554" s="0" t="n">
        <v>18</v>
      </c>
      <c r="O7554" s="0" t="n">
        <v>84.75</v>
      </c>
      <c r="P7554" s="0" t="s">
        <v>2444</v>
      </c>
    </row>
    <row r="7555" customFormat="false" ht="15" hidden="false" customHeight="true" outlineLevel="0" collapsed="false">
      <c r="A7555" s="0" t="n">
        <v>2</v>
      </c>
      <c r="B7555" s="71" t="n">
        <v>46265</v>
      </c>
      <c r="C7555" s="0" t="n">
        <v>11</v>
      </c>
      <c r="D7555" s="0" t="s">
        <v>2471</v>
      </c>
      <c r="E7555" s="0" t="n">
        <v>1621</v>
      </c>
      <c r="F7555" s="0" t="s">
        <v>232</v>
      </c>
      <c r="I7555" s="0" t="n">
        <v>982558</v>
      </c>
      <c r="J7555" s="0" t="n">
        <v>103792</v>
      </c>
      <c r="K7555" s="0" t="n">
        <v>7891149010509</v>
      </c>
      <c r="L7555" s="0" t="s">
        <v>3599</v>
      </c>
      <c r="N7555" s="0" t="n">
        <v>72</v>
      </c>
      <c r="O7555" s="0" t="n">
        <v>233.769996</v>
      </c>
      <c r="P7555" s="0" t="s">
        <v>2444</v>
      </c>
    </row>
    <row r="7556" customFormat="false" ht="15" hidden="false" customHeight="true" outlineLevel="0" collapsed="false">
      <c r="A7556" s="0" t="n">
        <v>2</v>
      </c>
      <c r="B7556" s="71" t="n">
        <v>46265</v>
      </c>
      <c r="C7556" s="0" t="n">
        <v>11</v>
      </c>
      <c r="D7556" s="0" t="s">
        <v>2471</v>
      </c>
      <c r="E7556" s="0" t="n">
        <v>1621</v>
      </c>
      <c r="F7556" s="0" t="s">
        <v>232</v>
      </c>
      <c r="I7556" s="0" t="n">
        <v>982558</v>
      </c>
      <c r="J7556" s="0" t="n">
        <v>103943</v>
      </c>
      <c r="K7556" s="0" t="n">
        <v>7891149200504</v>
      </c>
      <c r="L7556" s="0" t="s">
        <v>3072</v>
      </c>
      <c r="N7556" s="0" t="n">
        <v>84</v>
      </c>
      <c r="O7556" s="0" t="n">
        <v>272.729977</v>
      </c>
      <c r="P7556" s="0" t="s">
        <v>2444</v>
      </c>
    </row>
    <row r="7557" customFormat="false" ht="15" hidden="false" customHeight="true" outlineLevel="0" collapsed="false">
      <c r="A7557" s="0" t="n">
        <v>2</v>
      </c>
      <c r="B7557" s="71" t="n">
        <v>46265</v>
      </c>
      <c r="C7557" s="0" t="n">
        <v>11</v>
      </c>
      <c r="D7557" s="0" t="s">
        <v>2471</v>
      </c>
      <c r="E7557" s="0" t="n">
        <v>1621</v>
      </c>
      <c r="F7557" s="0" t="s">
        <v>232</v>
      </c>
      <c r="I7557" s="0" t="n">
        <v>982558</v>
      </c>
      <c r="J7557" s="0" t="n">
        <v>16185</v>
      </c>
      <c r="K7557" s="0" t="n">
        <v>7891149103102</v>
      </c>
      <c r="L7557" s="0" t="s">
        <v>3075</v>
      </c>
      <c r="N7557" s="0" t="n">
        <v>15</v>
      </c>
      <c r="O7557" s="0" t="n">
        <v>34.539952</v>
      </c>
      <c r="P7557" s="0" t="s">
        <v>2444</v>
      </c>
    </row>
    <row r="7558" customFormat="false" ht="15" hidden="false" customHeight="true" outlineLevel="0" collapsed="false">
      <c r="A7558" s="0" t="n">
        <v>2</v>
      </c>
      <c r="B7558" s="71" t="n">
        <v>46265</v>
      </c>
      <c r="C7558" s="0" t="n">
        <v>11</v>
      </c>
      <c r="D7558" s="0" t="s">
        <v>2471</v>
      </c>
      <c r="E7558" s="0" t="n">
        <v>1621</v>
      </c>
      <c r="F7558" s="0" t="s">
        <v>232</v>
      </c>
      <c r="I7558" s="0" t="n">
        <v>982558</v>
      </c>
      <c r="J7558" s="0" t="n">
        <v>16185</v>
      </c>
      <c r="K7558" s="0" t="n">
        <v>7891149103102</v>
      </c>
      <c r="L7558" s="0" t="s">
        <v>3075</v>
      </c>
      <c r="N7558" s="0" t="n">
        <v>15</v>
      </c>
      <c r="O7558" s="0" t="n">
        <v>42.269949</v>
      </c>
      <c r="P7558" s="0" t="s">
        <v>2444</v>
      </c>
    </row>
    <row r="7559" customFormat="false" ht="15" hidden="false" customHeight="true" outlineLevel="0" collapsed="false">
      <c r="A7559" s="0" t="n">
        <v>2</v>
      </c>
      <c r="B7559" s="71" t="n">
        <v>46265</v>
      </c>
      <c r="C7559" s="0" t="n">
        <v>11</v>
      </c>
      <c r="D7559" s="0" t="s">
        <v>2471</v>
      </c>
      <c r="E7559" s="0" t="n">
        <v>1621</v>
      </c>
      <c r="F7559" s="0" t="s">
        <v>232</v>
      </c>
      <c r="I7559" s="0" t="n">
        <v>982558</v>
      </c>
      <c r="J7559" s="0" t="n">
        <v>26171</v>
      </c>
      <c r="K7559" s="0" t="n">
        <v>7891149000005</v>
      </c>
      <c r="L7559" s="0" t="s">
        <v>3080</v>
      </c>
      <c r="N7559" s="0" t="n">
        <v>24</v>
      </c>
      <c r="O7559" s="0" t="n">
        <v>106.710019</v>
      </c>
      <c r="P7559" s="0" t="s">
        <v>2444</v>
      </c>
    </row>
    <row r="7560" customFormat="false" ht="15" hidden="false" customHeight="true" outlineLevel="0" collapsed="false">
      <c r="A7560" s="0" t="n">
        <v>2</v>
      </c>
      <c r="B7560" s="71" t="n">
        <v>46265</v>
      </c>
      <c r="C7560" s="0" t="n">
        <v>11</v>
      </c>
      <c r="D7560" s="0" t="s">
        <v>2471</v>
      </c>
      <c r="E7560" s="0" t="n">
        <v>1621</v>
      </c>
      <c r="F7560" s="0" t="s">
        <v>232</v>
      </c>
      <c r="I7560" s="0" t="n">
        <v>982558</v>
      </c>
      <c r="J7560" s="0" t="n">
        <v>31030</v>
      </c>
      <c r="K7560" s="0" t="n">
        <v>7891991014090</v>
      </c>
      <c r="L7560" s="0" t="s">
        <v>3082</v>
      </c>
      <c r="N7560" s="0" t="n">
        <v>30</v>
      </c>
      <c r="O7560" s="0" t="n">
        <v>103.01</v>
      </c>
      <c r="P7560" s="0" t="s">
        <v>2444</v>
      </c>
    </row>
    <row r="7561" customFormat="false" ht="15" hidden="false" customHeight="true" outlineLevel="0" collapsed="false">
      <c r="A7561" s="0" t="n">
        <v>2</v>
      </c>
      <c r="B7561" s="71" t="n">
        <v>46265</v>
      </c>
      <c r="C7561" s="0" t="n">
        <v>11</v>
      </c>
      <c r="D7561" s="0" t="s">
        <v>2471</v>
      </c>
      <c r="E7561" s="0" t="n">
        <v>1621</v>
      </c>
      <c r="F7561" s="0" t="s">
        <v>232</v>
      </c>
      <c r="I7561" s="0" t="n">
        <v>982558</v>
      </c>
      <c r="J7561" s="0" t="n">
        <v>32100</v>
      </c>
      <c r="K7561" s="0" t="n">
        <v>7891991015493</v>
      </c>
      <c r="L7561" s="0" t="s">
        <v>3774</v>
      </c>
      <c r="N7561" s="0" t="n">
        <v>12</v>
      </c>
      <c r="O7561" s="0" t="n">
        <v>51.299975</v>
      </c>
      <c r="P7561" s="0" t="s">
        <v>2444</v>
      </c>
    </row>
    <row r="7562" customFormat="false" ht="15" hidden="false" customHeight="true" outlineLevel="0" collapsed="false">
      <c r="A7562" s="0" t="n">
        <v>2</v>
      </c>
      <c r="B7562" s="71" t="n">
        <v>46265</v>
      </c>
      <c r="C7562" s="0" t="n">
        <v>11</v>
      </c>
      <c r="D7562" s="0" t="s">
        <v>2471</v>
      </c>
      <c r="E7562" s="0" t="n">
        <v>1621</v>
      </c>
      <c r="F7562" s="0" t="s">
        <v>232</v>
      </c>
      <c r="I7562" s="0" t="n">
        <v>982558</v>
      </c>
      <c r="J7562" s="0" t="n">
        <v>35190</v>
      </c>
      <c r="K7562" s="0" t="n">
        <v>7891991016223</v>
      </c>
      <c r="L7562" s="0" t="s">
        <v>5212</v>
      </c>
      <c r="N7562" s="0" t="n">
        <v>8</v>
      </c>
      <c r="O7562" s="0" t="n">
        <v>33.859932</v>
      </c>
      <c r="P7562" s="0" t="s">
        <v>2444</v>
      </c>
    </row>
    <row r="7563" customFormat="false" ht="15" hidden="false" customHeight="true" outlineLevel="0" collapsed="false">
      <c r="A7563" s="0" t="n">
        <v>2</v>
      </c>
      <c r="B7563" s="71" t="n">
        <v>46265</v>
      </c>
      <c r="C7563" s="0" t="n">
        <v>11</v>
      </c>
      <c r="D7563" s="0" t="s">
        <v>2471</v>
      </c>
      <c r="E7563" s="0" t="n">
        <v>1621</v>
      </c>
      <c r="F7563" s="0" t="s">
        <v>232</v>
      </c>
      <c r="I7563" s="0" t="n">
        <v>982558</v>
      </c>
      <c r="J7563" s="0" t="n">
        <v>38561</v>
      </c>
      <c r="K7563" s="0" t="n">
        <v>7891991295086</v>
      </c>
      <c r="L7563" s="0" t="s">
        <v>4652</v>
      </c>
      <c r="N7563" s="0" t="n">
        <v>15</v>
      </c>
      <c r="O7563" s="0" t="n">
        <v>50.049953</v>
      </c>
      <c r="P7563" s="0" t="s">
        <v>2444</v>
      </c>
    </row>
    <row r="7564" customFormat="false" ht="15" hidden="false" customHeight="true" outlineLevel="0" collapsed="false">
      <c r="A7564" s="0" t="n">
        <v>2</v>
      </c>
      <c r="B7564" s="71" t="n">
        <v>46265</v>
      </c>
      <c r="C7564" s="0" t="n">
        <v>11</v>
      </c>
      <c r="D7564" s="0" t="s">
        <v>2471</v>
      </c>
      <c r="E7564" s="0" t="n">
        <v>1621</v>
      </c>
      <c r="F7564" s="0" t="s">
        <v>232</v>
      </c>
      <c r="I7564" s="0" t="n">
        <v>982558</v>
      </c>
      <c r="J7564" s="0" t="n">
        <v>46066</v>
      </c>
      <c r="K7564" s="0" t="n">
        <v>7891991295277</v>
      </c>
      <c r="L7564" s="0" t="s">
        <v>3088</v>
      </c>
      <c r="N7564" s="0" t="n">
        <v>15</v>
      </c>
      <c r="O7564" s="0" t="n">
        <v>43.569962</v>
      </c>
      <c r="P7564" s="0" t="s">
        <v>2444</v>
      </c>
    </row>
    <row r="7565" customFormat="false" ht="15" hidden="false" customHeight="true" outlineLevel="0" collapsed="false">
      <c r="A7565" s="0" t="n">
        <v>2</v>
      </c>
      <c r="B7565" s="71" t="n">
        <v>46265</v>
      </c>
      <c r="C7565" s="0" t="n">
        <v>11</v>
      </c>
      <c r="D7565" s="0" t="s">
        <v>2471</v>
      </c>
      <c r="E7565" s="0" t="n">
        <v>1621</v>
      </c>
      <c r="F7565" s="0" t="s">
        <v>232</v>
      </c>
      <c r="I7565" s="0" t="n">
        <v>982558</v>
      </c>
      <c r="J7565" s="0" t="n">
        <v>46589</v>
      </c>
      <c r="K7565" s="0" t="n">
        <v>7891991295260</v>
      </c>
      <c r="L7565" s="0" t="s">
        <v>5213</v>
      </c>
      <c r="N7565" s="0" t="n">
        <v>12</v>
      </c>
      <c r="O7565" s="0" t="n">
        <v>95.500051</v>
      </c>
      <c r="P7565" s="0" t="s">
        <v>2444</v>
      </c>
    </row>
    <row r="7566" customFormat="false" ht="15" hidden="false" customHeight="true" outlineLevel="0" collapsed="false">
      <c r="A7566" s="0" t="n">
        <v>2</v>
      </c>
      <c r="B7566" s="71" t="n">
        <v>46265</v>
      </c>
      <c r="C7566" s="0" t="n">
        <v>11</v>
      </c>
      <c r="D7566" s="0" t="s">
        <v>2471</v>
      </c>
      <c r="E7566" s="0" t="n">
        <v>1621</v>
      </c>
      <c r="F7566" s="0" t="s">
        <v>232</v>
      </c>
      <c r="I7566" s="0" t="n">
        <v>982558</v>
      </c>
      <c r="J7566" s="0" t="n">
        <v>48553</v>
      </c>
      <c r="K7566" s="0" t="n">
        <v>7892840813444</v>
      </c>
      <c r="L7566" s="0" t="s">
        <v>3775</v>
      </c>
      <c r="N7566" s="0" t="n">
        <v>6</v>
      </c>
      <c r="O7566" s="0" t="n">
        <v>41.14</v>
      </c>
      <c r="P7566" s="0" t="s">
        <v>2444</v>
      </c>
    </row>
    <row r="7567" customFormat="false" ht="15" hidden="false" customHeight="true" outlineLevel="0" collapsed="false">
      <c r="A7567" s="0" t="n">
        <v>2</v>
      </c>
      <c r="B7567" s="71" t="n">
        <v>46265</v>
      </c>
      <c r="C7567" s="0" t="n">
        <v>11</v>
      </c>
      <c r="D7567" s="0" t="s">
        <v>2471</v>
      </c>
      <c r="E7567" s="0" t="n">
        <v>1621</v>
      </c>
      <c r="F7567" s="0" t="s">
        <v>232</v>
      </c>
      <c r="I7567" s="0" t="n">
        <v>982558</v>
      </c>
      <c r="J7567" s="0" t="n">
        <v>54120</v>
      </c>
      <c r="K7567" s="0" t="n">
        <v>7892840820862</v>
      </c>
      <c r="L7567" s="0" t="s">
        <v>3776</v>
      </c>
      <c r="N7567" s="0" t="n">
        <v>6</v>
      </c>
      <c r="O7567" s="0" t="n">
        <v>17.04</v>
      </c>
      <c r="P7567" s="0" t="s">
        <v>2444</v>
      </c>
    </row>
    <row r="7568" customFormat="false" ht="15" hidden="false" customHeight="true" outlineLevel="0" collapsed="false">
      <c r="A7568" s="0" t="n">
        <v>2</v>
      </c>
      <c r="B7568" s="71" t="n">
        <v>46265</v>
      </c>
      <c r="C7568" s="0" t="n">
        <v>11</v>
      </c>
      <c r="D7568" s="0" t="s">
        <v>2471</v>
      </c>
      <c r="E7568" s="0" t="n">
        <v>1621</v>
      </c>
      <c r="F7568" s="0" t="s">
        <v>232</v>
      </c>
      <c r="I7568" s="0" t="n">
        <v>982558</v>
      </c>
      <c r="J7568" s="0" t="n">
        <v>63479</v>
      </c>
      <c r="K7568" s="0" t="n">
        <v>7891991295055</v>
      </c>
      <c r="L7568" s="0" t="s">
        <v>3094</v>
      </c>
      <c r="N7568" s="0" t="n">
        <v>8</v>
      </c>
      <c r="O7568" s="0" t="n">
        <v>40.950102</v>
      </c>
      <c r="P7568" s="0" t="s">
        <v>2444</v>
      </c>
    </row>
    <row r="7569" customFormat="false" ht="15" hidden="false" customHeight="true" outlineLevel="0" collapsed="false">
      <c r="A7569" s="0" t="n">
        <v>2</v>
      </c>
      <c r="B7569" s="71" t="n">
        <v>46265</v>
      </c>
      <c r="C7569" s="0" t="n">
        <v>11</v>
      </c>
      <c r="D7569" s="0" t="s">
        <v>2471</v>
      </c>
      <c r="E7569" s="0" t="n">
        <v>1621</v>
      </c>
      <c r="F7569" s="0" t="s">
        <v>232</v>
      </c>
      <c r="I7569" s="0" t="n">
        <v>982558</v>
      </c>
      <c r="J7569" s="0" t="n">
        <v>64674</v>
      </c>
      <c r="K7569" s="0" t="n">
        <v>7891991304870</v>
      </c>
      <c r="L7569" s="0" t="s">
        <v>5214</v>
      </c>
      <c r="N7569" s="0" t="n">
        <v>24</v>
      </c>
      <c r="O7569" s="0" t="n">
        <v>125.660172</v>
      </c>
      <c r="P7569" s="0" t="s">
        <v>2444</v>
      </c>
    </row>
    <row r="7570" customFormat="false" ht="15" hidden="false" customHeight="true" outlineLevel="0" collapsed="false">
      <c r="A7570" s="0" t="n">
        <v>2</v>
      </c>
      <c r="B7570" s="71" t="n">
        <v>46265</v>
      </c>
      <c r="C7570" s="0" t="n">
        <v>11</v>
      </c>
      <c r="D7570" s="0" t="s">
        <v>2471</v>
      </c>
      <c r="E7570" s="0" t="n">
        <v>1621</v>
      </c>
      <c r="F7570" s="0" t="s">
        <v>232</v>
      </c>
      <c r="I7570" s="0" t="n">
        <v>982558</v>
      </c>
      <c r="J7570" s="0" t="n">
        <v>78038</v>
      </c>
      <c r="K7570" s="0" t="n">
        <v>7891991010481</v>
      </c>
      <c r="L7570" s="0" t="s">
        <v>3099</v>
      </c>
      <c r="N7570" s="0" t="n">
        <v>24</v>
      </c>
      <c r="O7570" s="0" t="n">
        <v>88.199958</v>
      </c>
      <c r="P7570" s="0" t="s">
        <v>2444</v>
      </c>
    </row>
    <row r="7571" customFormat="false" ht="15" hidden="false" customHeight="true" outlineLevel="0" collapsed="false">
      <c r="A7571" s="0" t="n">
        <v>2</v>
      </c>
      <c r="B7571" s="71" t="n">
        <v>46265</v>
      </c>
      <c r="C7571" s="0" t="n">
        <v>11</v>
      </c>
      <c r="D7571" s="0" t="s">
        <v>2471</v>
      </c>
      <c r="E7571" s="0" t="n">
        <v>1621</v>
      </c>
      <c r="F7571" s="0" t="s">
        <v>232</v>
      </c>
      <c r="I7571" s="0" t="n">
        <v>982558</v>
      </c>
      <c r="J7571" s="0" t="n">
        <v>80426</v>
      </c>
      <c r="K7571" s="0" t="n">
        <v>7891149103270</v>
      </c>
      <c r="L7571" s="0" t="s">
        <v>5215</v>
      </c>
      <c r="N7571" s="0" t="n">
        <v>15</v>
      </c>
      <c r="O7571" s="0" t="n">
        <v>38.430001</v>
      </c>
      <c r="P7571" s="0" t="s">
        <v>2444</v>
      </c>
    </row>
    <row r="7572" customFormat="false" ht="15" hidden="false" customHeight="true" outlineLevel="0" collapsed="false">
      <c r="A7572" s="0" t="n">
        <v>2</v>
      </c>
      <c r="B7572" s="71" t="n">
        <v>46265</v>
      </c>
      <c r="C7572" s="0" t="n">
        <v>11</v>
      </c>
      <c r="D7572" s="0" t="s">
        <v>2471</v>
      </c>
      <c r="E7572" s="0" t="n">
        <v>1621</v>
      </c>
      <c r="F7572" s="0" t="s">
        <v>232</v>
      </c>
      <c r="I7572" s="0" t="n">
        <v>982558</v>
      </c>
      <c r="J7572" s="0" t="n">
        <v>81970</v>
      </c>
      <c r="K7572" s="0" t="n">
        <v>7892840823986</v>
      </c>
      <c r="L7572" s="0" t="s">
        <v>5216</v>
      </c>
      <c r="N7572" s="0" t="n">
        <v>12</v>
      </c>
      <c r="O7572" s="0" t="n">
        <v>30.25</v>
      </c>
      <c r="P7572" s="0" t="s">
        <v>2444</v>
      </c>
    </row>
    <row r="7573" customFormat="false" ht="15" hidden="false" customHeight="true" outlineLevel="0" collapsed="false">
      <c r="A7573" s="0" t="n">
        <v>2</v>
      </c>
      <c r="B7573" s="71" t="n">
        <v>46265</v>
      </c>
      <c r="C7573" s="0" t="n">
        <v>11</v>
      </c>
      <c r="D7573" s="0" t="s">
        <v>2471</v>
      </c>
      <c r="E7573" s="0" t="n">
        <v>1705</v>
      </c>
      <c r="F7573" s="0" t="s">
        <v>130</v>
      </c>
      <c r="I7573" s="0" t="n">
        <v>1272321</v>
      </c>
      <c r="J7573" s="0" t="n">
        <v>24324</v>
      </c>
      <c r="K7573" s="0" t="n">
        <v>70847022015</v>
      </c>
      <c r="L7573" s="0" t="s">
        <v>2462</v>
      </c>
      <c r="N7573" s="0" t="n">
        <v>48</v>
      </c>
      <c r="O7573" s="0" t="n">
        <v>406.84</v>
      </c>
      <c r="P7573" s="0" t="s">
        <v>2444</v>
      </c>
    </row>
    <row r="7574" customFormat="false" ht="15" hidden="false" customHeight="true" outlineLevel="0" collapsed="false">
      <c r="A7574" s="0" t="n">
        <v>2</v>
      </c>
      <c r="B7574" s="71" t="n">
        <v>46265</v>
      </c>
      <c r="C7574" s="0" t="n">
        <v>11</v>
      </c>
      <c r="D7574" s="0" t="s">
        <v>2471</v>
      </c>
      <c r="E7574" s="0" t="n">
        <v>1705</v>
      </c>
      <c r="F7574" s="0" t="s">
        <v>130</v>
      </c>
      <c r="I7574" s="0" t="n">
        <v>1272321</v>
      </c>
      <c r="J7574" s="0" t="n">
        <v>25136</v>
      </c>
      <c r="K7574" s="0" t="n">
        <v>70847022206</v>
      </c>
      <c r="L7574" s="0" t="s">
        <v>2463</v>
      </c>
      <c r="N7574" s="0" t="n">
        <v>6</v>
      </c>
      <c r="O7574" s="0" t="n">
        <v>50.85</v>
      </c>
      <c r="P7574" s="0" t="s">
        <v>2444</v>
      </c>
    </row>
    <row r="7575" customFormat="false" ht="15" hidden="false" customHeight="true" outlineLevel="0" collapsed="false">
      <c r="A7575" s="0" t="n">
        <v>2</v>
      </c>
      <c r="B7575" s="71" t="n">
        <v>46265</v>
      </c>
      <c r="C7575" s="0" t="n">
        <v>11</v>
      </c>
      <c r="D7575" s="0" t="s">
        <v>2471</v>
      </c>
      <c r="E7575" s="0" t="n">
        <v>1705</v>
      </c>
      <c r="F7575" s="0" t="s">
        <v>130</v>
      </c>
      <c r="I7575" s="0" t="n">
        <v>1272321</v>
      </c>
      <c r="J7575" s="0" t="n">
        <v>62343</v>
      </c>
      <c r="K7575" s="0" t="n">
        <v>7898938890045</v>
      </c>
      <c r="L7575" s="0" t="s">
        <v>2566</v>
      </c>
      <c r="N7575" s="0" t="n">
        <v>6</v>
      </c>
      <c r="O7575" s="0" t="n">
        <v>50.85</v>
      </c>
      <c r="P7575" s="0" t="s">
        <v>2444</v>
      </c>
    </row>
    <row r="7576" customFormat="false" ht="15" hidden="false" customHeight="true" outlineLevel="0" collapsed="false">
      <c r="A7576" s="0" t="n">
        <v>2</v>
      </c>
      <c r="B7576" s="71" t="n">
        <v>46265</v>
      </c>
      <c r="C7576" s="0" t="n">
        <v>11</v>
      </c>
      <c r="D7576" s="0" t="s">
        <v>2471</v>
      </c>
      <c r="E7576" s="0" t="n">
        <v>1705</v>
      </c>
      <c r="F7576" s="0" t="s">
        <v>130</v>
      </c>
      <c r="I7576" s="0" t="n">
        <v>1272321</v>
      </c>
      <c r="J7576" s="0" t="n">
        <v>62378</v>
      </c>
      <c r="K7576" s="0" t="n">
        <v>7896045506934</v>
      </c>
      <c r="L7576" s="0" t="s">
        <v>2964</v>
      </c>
      <c r="N7576" s="0" t="n">
        <v>120</v>
      </c>
      <c r="O7576" s="0" t="n">
        <v>473.75</v>
      </c>
      <c r="P7576" s="0" t="s">
        <v>2444</v>
      </c>
    </row>
    <row r="7577" customFormat="false" ht="15" hidden="false" customHeight="true" outlineLevel="0" collapsed="false">
      <c r="A7577" s="0" t="n">
        <v>2</v>
      </c>
      <c r="B7577" s="71" t="n">
        <v>46265</v>
      </c>
      <c r="C7577" s="0" t="n">
        <v>11</v>
      </c>
      <c r="D7577" s="0" t="s">
        <v>2471</v>
      </c>
      <c r="E7577" s="0" t="n">
        <v>1705</v>
      </c>
      <c r="F7577" s="0" t="s">
        <v>130</v>
      </c>
      <c r="I7577" s="0" t="n">
        <v>1272321</v>
      </c>
      <c r="J7577" s="0" t="n">
        <v>66038</v>
      </c>
      <c r="K7577" s="0" t="n">
        <v>7898938890076</v>
      </c>
      <c r="L7577" s="0" t="s">
        <v>3442</v>
      </c>
      <c r="N7577" s="0" t="n">
        <v>12</v>
      </c>
      <c r="O7577" s="0" t="n">
        <v>101.71</v>
      </c>
      <c r="P7577" s="0" t="s">
        <v>2444</v>
      </c>
    </row>
    <row r="7578" customFormat="false" ht="15" hidden="false" customHeight="true" outlineLevel="0" collapsed="false">
      <c r="A7578" s="0" t="n">
        <v>2</v>
      </c>
      <c r="B7578" s="71" t="n">
        <v>46265</v>
      </c>
      <c r="C7578" s="0" t="n">
        <v>11</v>
      </c>
      <c r="D7578" s="0" t="s">
        <v>2471</v>
      </c>
      <c r="E7578" s="0" t="n">
        <v>1705</v>
      </c>
      <c r="F7578" s="0" t="s">
        <v>130</v>
      </c>
      <c r="I7578" s="0" t="n">
        <v>1272321</v>
      </c>
      <c r="J7578" s="0" t="n">
        <v>81668</v>
      </c>
      <c r="K7578" s="0" t="n">
        <v>7898770420011</v>
      </c>
      <c r="L7578" s="0" t="s">
        <v>3884</v>
      </c>
      <c r="N7578" s="0" t="n">
        <v>6</v>
      </c>
      <c r="O7578" s="0" t="n">
        <v>50.85</v>
      </c>
      <c r="P7578" s="0" t="s">
        <v>2444</v>
      </c>
    </row>
    <row r="7579" customFormat="false" ht="15" hidden="false" customHeight="true" outlineLevel="0" collapsed="false">
      <c r="A7579" s="0" t="n">
        <v>2</v>
      </c>
      <c r="B7579" s="71" t="n">
        <v>46265</v>
      </c>
      <c r="C7579" s="0" t="n">
        <v>11</v>
      </c>
      <c r="D7579" s="0" t="s">
        <v>2471</v>
      </c>
      <c r="E7579" s="0" t="n">
        <v>1683</v>
      </c>
      <c r="F7579" s="0" t="s">
        <v>406</v>
      </c>
      <c r="I7579" s="0" t="n">
        <v>1672073</v>
      </c>
      <c r="J7579" s="0" t="n">
        <v>109791</v>
      </c>
      <c r="K7579" s="0" t="n">
        <v>9667</v>
      </c>
      <c r="L7579" s="0" t="s">
        <v>2465</v>
      </c>
      <c r="N7579" s="0" t="n">
        <v>10</v>
      </c>
      <c r="O7579" s="0" t="n">
        <v>15</v>
      </c>
      <c r="P7579" s="0" t="s">
        <v>2444</v>
      </c>
    </row>
    <row r="7580" customFormat="false" ht="15" hidden="false" customHeight="true" outlineLevel="0" collapsed="false">
      <c r="A7580" s="0" t="n">
        <v>2</v>
      </c>
      <c r="B7580" s="71" t="n">
        <v>46265</v>
      </c>
      <c r="C7580" s="0" t="n">
        <v>11</v>
      </c>
      <c r="D7580" s="0" t="s">
        <v>2471</v>
      </c>
      <c r="E7580" s="0" t="n">
        <v>1683</v>
      </c>
      <c r="F7580" s="0" t="s">
        <v>406</v>
      </c>
      <c r="I7580" s="0" t="n">
        <v>1672073</v>
      </c>
      <c r="J7580" s="0" t="n">
        <v>37359</v>
      </c>
      <c r="K7580" s="0" t="n">
        <v>55526</v>
      </c>
      <c r="L7580" s="0" t="s">
        <v>2466</v>
      </c>
      <c r="N7580" s="0" t="n">
        <v>6</v>
      </c>
      <c r="O7580" s="0" t="n">
        <v>27</v>
      </c>
      <c r="P7580" s="0" t="s">
        <v>2444</v>
      </c>
    </row>
    <row r="7581" customFormat="false" ht="15" hidden="false" customHeight="true" outlineLevel="0" collapsed="false">
      <c r="A7581" s="0" t="n">
        <v>2</v>
      </c>
      <c r="B7581" s="71" t="n">
        <v>46265</v>
      </c>
      <c r="C7581" s="0" t="n">
        <v>11</v>
      </c>
      <c r="D7581" s="0" t="s">
        <v>2471</v>
      </c>
      <c r="E7581" s="0" t="n">
        <v>1683</v>
      </c>
      <c r="F7581" s="0" t="s">
        <v>406</v>
      </c>
      <c r="I7581" s="0" t="n">
        <v>1672073</v>
      </c>
      <c r="J7581" s="0" t="n">
        <v>37361</v>
      </c>
      <c r="K7581" s="0" t="n">
        <v>2240817</v>
      </c>
      <c r="L7581" s="0" t="s">
        <v>2467</v>
      </c>
      <c r="N7581" s="0" t="n">
        <v>60</v>
      </c>
      <c r="O7581" s="0" t="n">
        <v>108</v>
      </c>
      <c r="P7581" s="0" t="s">
        <v>2444</v>
      </c>
    </row>
    <row r="7582" customFormat="false" ht="15" hidden="false" customHeight="true" outlineLevel="0" collapsed="false">
      <c r="A7582" s="0" t="n">
        <v>2</v>
      </c>
      <c r="B7582" s="71" t="n">
        <v>46265</v>
      </c>
      <c r="C7582" s="0" t="n">
        <v>11</v>
      </c>
      <c r="D7582" s="0" t="s">
        <v>2471</v>
      </c>
      <c r="E7582" s="0" t="n">
        <v>1683</v>
      </c>
      <c r="F7582" s="0" t="s">
        <v>406</v>
      </c>
      <c r="I7582" s="0" t="n">
        <v>1672484</v>
      </c>
      <c r="J7582" s="0" t="n">
        <v>109791</v>
      </c>
      <c r="K7582" s="0" t="n">
        <v>9667</v>
      </c>
      <c r="L7582" s="0" t="s">
        <v>2465</v>
      </c>
      <c r="N7582" s="0" t="n">
        <v>15</v>
      </c>
      <c r="O7582" s="0" t="n">
        <v>22.5</v>
      </c>
      <c r="P7582" s="0" t="s">
        <v>2444</v>
      </c>
    </row>
    <row r="7583" customFormat="false" ht="15" hidden="false" customHeight="true" outlineLevel="0" collapsed="false">
      <c r="A7583" s="0" t="n">
        <v>2</v>
      </c>
      <c r="B7583" s="71" t="n">
        <v>46265</v>
      </c>
      <c r="C7583" s="0" t="n">
        <v>11</v>
      </c>
      <c r="D7583" s="0" t="s">
        <v>2471</v>
      </c>
      <c r="E7583" s="0" t="n">
        <v>1683</v>
      </c>
      <c r="F7583" s="0" t="s">
        <v>406</v>
      </c>
      <c r="I7583" s="0" t="n">
        <v>1672484</v>
      </c>
      <c r="J7583" s="0" t="n">
        <v>37359</v>
      </c>
      <c r="K7583" s="0" t="n">
        <v>55526</v>
      </c>
      <c r="L7583" s="0" t="s">
        <v>2466</v>
      </c>
      <c r="N7583" s="0" t="n">
        <v>4</v>
      </c>
      <c r="O7583" s="0" t="n">
        <v>18</v>
      </c>
      <c r="P7583" s="0" t="s">
        <v>2444</v>
      </c>
    </row>
    <row r="7584" customFormat="false" ht="15" hidden="false" customHeight="true" outlineLevel="0" collapsed="false">
      <c r="A7584" s="0" t="n">
        <v>2</v>
      </c>
      <c r="B7584" s="71" t="n">
        <v>46265</v>
      </c>
      <c r="C7584" s="0" t="n">
        <v>11</v>
      </c>
      <c r="D7584" s="0" t="s">
        <v>2471</v>
      </c>
      <c r="E7584" s="0" t="n">
        <v>1683</v>
      </c>
      <c r="F7584" s="0" t="s">
        <v>406</v>
      </c>
      <c r="I7584" s="0" t="n">
        <v>1672484</v>
      </c>
      <c r="J7584" s="0" t="n">
        <v>37361</v>
      </c>
      <c r="K7584" s="0" t="n">
        <v>2240817</v>
      </c>
      <c r="L7584" s="0" t="s">
        <v>2467</v>
      </c>
      <c r="N7584" s="0" t="n">
        <v>60</v>
      </c>
      <c r="O7584" s="0" t="n">
        <v>108</v>
      </c>
      <c r="P7584" s="0" t="s">
        <v>2444</v>
      </c>
    </row>
    <row r="7585" customFormat="false" ht="15" hidden="false" customHeight="true" outlineLevel="0" collapsed="false">
      <c r="A7585" s="0" t="n">
        <v>2</v>
      </c>
      <c r="B7585" s="71" t="n">
        <v>46265</v>
      </c>
      <c r="C7585" s="0" t="n">
        <v>11</v>
      </c>
      <c r="D7585" s="0" t="s">
        <v>2471</v>
      </c>
      <c r="E7585" s="0" t="n">
        <v>1637</v>
      </c>
      <c r="F7585" s="0" t="s">
        <v>871</v>
      </c>
      <c r="I7585" s="0" t="n">
        <v>1927745</v>
      </c>
      <c r="J7585" s="0" t="n">
        <v>36969</v>
      </c>
      <c r="K7585" s="0" t="n">
        <v>7891000325858</v>
      </c>
      <c r="L7585" s="0" t="s">
        <v>5192</v>
      </c>
      <c r="N7585" s="0" t="n">
        <v>72</v>
      </c>
      <c r="O7585" s="0" t="n">
        <v>1216.8</v>
      </c>
      <c r="P7585" s="0" t="s">
        <v>2444</v>
      </c>
    </row>
    <row r="7586" customFormat="false" ht="15" hidden="false" customHeight="true" outlineLevel="0" collapsed="false">
      <c r="A7586" s="0" t="n">
        <v>2</v>
      </c>
      <c r="B7586" s="71" t="n">
        <v>46265</v>
      </c>
      <c r="C7586" s="0" t="n">
        <v>11</v>
      </c>
      <c r="D7586" s="0" t="s">
        <v>2471</v>
      </c>
      <c r="E7586" s="0" t="n">
        <v>1637</v>
      </c>
      <c r="F7586" s="0" t="s">
        <v>871</v>
      </c>
      <c r="I7586" s="0" t="n">
        <v>1927745</v>
      </c>
      <c r="J7586" s="0" t="n">
        <v>58706</v>
      </c>
      <c r="K7586" s="0" t="n">
        <v>7891000376843</v>
      </c>
      <c r="L7586" s="0" t="s">
        <v>3164</v>
      </c>
      <c r="N7586" s="0" t="n">
        <v>66</v>
      </c>
      <c r="O7586" s="0" t="n">
        <v>131.49</v>
      </c>
      <c r="P7586" s="0" t="s">
        <v>2444</v>
      </c>
    </row>
    <row r="7587" customFormat="false" ht="15" hidden="false" customHeight="true" outlineLevel="0" collapsed="false">
      <c r="A7587" s="0" t="n">
        <v>2</v>
      </c>
      <c r="B7587" s="71" t="n">
        <v>46265</v>
      </c>
      <c r="C7587" s="0" t="n">
        <v>22</v>
      </c>
      <c r="D7587" s="0" t="s">
        <v>2479</v>
      </c>
      <c r="E7587" s="0" t="n">
        <v>48</v>
      </c>
      <c r="F7587" s="0" t="s">
        <v>153</v>
      </c>
      <c r="I7587" s="0" t="n">
        <v>2642</v>
      </c>
      <c r="J7587" s="0" t="n">
        <v>100000</v>
      </c>
      <c r="K7587" s="0" t="n">
        <v>1</v>
      </c>
      <c r="L7587" s="0" t="s">
        <v>2480</v>
      </c>
      <c r="N7587" s="0" t="n">
        <v>2.664</v>
      </c>
      <c r="O7587" s="0" t="n">
        <v>48.94</v>
      </c>
      <c r="P7587" s="0" t="s">
        <v>2444</v>
      </c>
    </row>
    <row r="7588" customFormat="false" ht="15" hidden="false" customHeight="true" outlineLevel="0" collapsed="false">
      <c r="A7588" s="0" t="n">
        <v>2</v>
      </c>
      <c r="B7588" s="71" t="n">
        <v>46265</v>
      </c>
      <c r="C7588" s="0" t="n">
        <v>22</v>
      </c>
      <c r="D7588" s="0" t="s">
        <v>2479</v>
      </c>
      <c r="E7588" s="0" t="n">
        <v>48</v>
      </c>
      <c r="F7588" s="0" t="s">
        <v>153</v>
      </c>
      <c r="I7588" s="0" t="n">
        <v>2642</v>
      </c>
      <c r="J7588" s="0" t="n">
        <v>100001</v>
      </c>
      <c r="K7588" s="0" t="n">
        <v>2</v>
      </c>
      <c r="L7588" s="0" t="s">
        <v>2481</v>
      </c>
      <c r="N7588" s="0" t="n">
        <v>11.255</v>
      </c>
      <c r="O7588" s="0" t="n">
        <v>223.99</v>
      </c>
      <c r="P7588" s="0" t="s">
        <v>2444</v>
      </c>
    </row>
    <row r="7589" customFormat="false" ht="15" hidden="false" customHeight="true" outlineLevel="0" collapsed="false">
      <c r="A7589" s="0" t="n">
        <v>2</v>
      </c>
      <c r="B7589" s="71" t="n">
        <v>46265</v>
      </c>
      <c r="C7589" s="0" t="n">
        <v>22</v>
      </c>
      <c r="D7589" s="0" t="s">
        <v>2479</v>
      </c>
      <c r="E7589" s="0" t="n">
        <v>48</v>
      </c>
      <c r="F7589" s="0" t="s">
        <v>153</v>
      </c>
      <c r="I7589" s="0" t="n">
        <v>2642</v>
      </c>
      <c r="J7589" s="0" t="n">
        <v>100002</v>
      </c>
      <c r="K7589" s="0" t="n">
        <v>3</v>
      </c>
      <c r="L7589" s="0" t="s">
        <v>2482</v>
      </c>
      <c r="N7589" s="0" t="n">
        <v>25.2</v>
      </c>
      <c r="O7589" s="0" t="n">
        <v>578.7</v>
      </c>
      <c r="P7589" s="0" t="s">
        <v>2444</v>
      </c>
    </row>
    <row r="7590" customFormat="false" ht="15" hidden="false" customHeight="true" outlineLevel="0" collapsed="false">
      <c r="A7590" s="0" t="n">
        <v>2</v>
      </c>
      <c r="B7590" s="71" t="n">
        <v>46265</v>
      </c>
      <c r="C7590" s="0" t="n">
        <v>22</v>
      </c>
      <c r="D7590" s="0" t="s">
        <v>2479</v>
      </c>
      <c r="E7590" s="0" t="n">
        <v>48</v>
      </c>
      <c r="F7590" s="0" t="s">
        <v>153</v>
      </c>
      <c r="I7590" s="0" t="n">
        <v>2642</v>
      </c>
      <c r="J7590" s="0" t="n">
        <v>100003</v>
      </c>
      <c r="K7590" s="0" t="n">
        <v>4</v>
      </c>
      <c r="L7590" s="0" t="s">
        <v>2483</v>
      </c>
      <c r="N7590" s="0" t="n">
        <v>21.92</v>
      </c>
      <c r="O7590" s="0" t="n">
        <v>536.94</v>
      </c>
      <c r="P7590" s="0" t="s">
        <v>2444</v>
      </c>
    </row>
    <row r="7591" customFormat="false" ht="15" hidden="false" customHeight="true" outlineLevel="0" collapsed="false">
      <c r="A7591" s="0" t="n">
        <v>2</v>
      </c>
      <c r="B7591" s="71" t="n">
        <v>46265</v>
      </c>
      <c r="C7591" s="0" t="n">
        <v>22</v>
      </c>
      <c r="D7591" s="0" t="s">
        <v>2479</v>
      </c>
      <c r="E7591" s="0" t="n">
        <v>48</v>
      </c>
      <c r="F7591" s="0" t="s">
        <v>153</v>
      </c>
      <c r="I7591" s="0" t="n">
        <v>2642</v>
      </c>
      <c r="J7591" s="0" t="n">
        <v>100004</v>
      </c>
      <c r="K7591" s="0" t="n">
        <v>5</v>
      </c>
      <c r="L7591" s="0" t="s">
        <v>2484</v>
      </c>
      <c r="N7591" s="0" t="n">
        <v>0.568</v>
      </c>
      <c r="O7591" s="0" t="n">
        <v>12.17</v>
      </c>
      <c r="P7591" s="0" t="s">
        <v>2444</v>
      </c>
    </row>
    <row r="7592" customFormat="false" ht="15" hidden="false" customHeight="true" outlineLevel="0" collapsed="false">
      <c r="A7592" s="0" t="n">
        <v>2</v>
      </c>
      <c r="B7592" s="71" t="n">
        <v>46265</v>
      </c>
      <c r="C7592" s="0" t="n">
        <v>22</v>
      </c>
      <c r="D7592" s="0" t="s">
        <v>2479</v>
      </c>
      <c r="E7592" s="0" t="n">
        <v>48</v>
      </c>
      <c r="F7592" s="0" t="s">
        <v>153</v>
      </c>
      <c r="I7592" s="0" t="n">
        <v>2642</v>
      </c>
      <c r="J7592" s="0" t="n">
        <v>100005</v>
      </c>
      <c r="K7592" s="0" t="n">
        <v>6</v>
      </c>
      <c r="L7592" s="0" t="s">
        <v>2582</v>
      </c>
      <c r="N7592" s="0" t="n">
        <v>3.698</v>
      </c>
      <c r="O7592" s="0" t="n">
        <v>84.92</v>
      </c>
      <c r="P7592" s="0" t="s">
        <v>2444</v>
      </c>
    </row>
    <row r="7593" customFormat="false" ht="15" hidden="false" customHeight="true" outlineLevel="0" collapsed="false">
      <c r="A7593" s="0" t="n">
        <v>2</v>
      </c>
      <c r="B7593" s="71" t="n">
        <v>46265</v>
      </c>
      <c r="C7593" s="0" t="n">
        <v>22</v>
      </c>
      <c r="D7593" s="0" t="s">
        <v>2479</v>
      </c>
      <c r="E7593" s="0" t="n">
        <v>48</v>
      </c>
      <c r="F7593" s="0" t="s">
        <v>153</v>
      </c>
      <c r="I7593" s="0" t="n">
        <v>2642</v>
      </c>
      <c r="J7593" s="0" t="n">
        <v>100007</v>
      </c>
      <c r="K7593" s="0" t="n">
        <v>8</v>
      </c>
      <c r="L7593" s="0" t="s">
        <v>2486</v>
      </c>
      <c r="N7593" s="0" t="n">
        <v>2.974</v>
      </c>
      <c r="O7593" s="0" t="n">
        <v>68.3</v>
      </c>
      <c r="P7593" s="0" t="s">
        <v>2444</v>
      </c>
    </row>
    <row r="7594" customFormat="false" ht="15" hidden="false" customHeight="true" outlineLevel="0" collapsed="false">
      <c r="A7594" s="0" t="n">
        <v>2</v>
      </c>
      <c r="B7594" s="71" t="n">
        <v>46265</v>
      </c>
      <c r="C7594" s="0" t="n">
        <v>22</v>
      </c>
      <c r="D7594" s="0" t="s">
        <v>2479</v>
      </c>
      <c r="E7594" s="0" t="n">
        <v>48</v>
      </c>
      <c r="F7594" s="0" t="s">
        <v>153</v>
      </c>
      <c r="I7594" s="0" t="n">
        <v>2642</v>
      </c>
      <c r="J7594" s="0" t="n">
        <v>100638</v>
      </c>
      <c r="K7594" s="0" t="n">
        <v>508</v>
      </c>
      <c r="L7594" s="0" t="s">
        <v>2496</v>
      </c>
      <c r="N7594" s="0" t="n">
        <v>1.59</v>
      </c>
      <c r="O7594" s="0" t="n">
        <v>3.64</v>
      </c>
      <c r="P7594" s="0" t="s">
        <v>2444</v>
      </c>
    </row>
    <row r="7595" customFormat="false" ht="15" hidden="false" customHeight="true" outlineLevel="0" collapsed="false">
      <c r="A7595" s="0" t="n">
        <v>2</v>
      </c>
      <c r="B7595" s="71" t="n">
        <v>46265</v>
      </c>
      <c r="C7595" s="0" t="n">
        <v>22</v>
      </c>
      <c r="D7595" s="0" t="s">
        <v>2479</v>
      </c>
      <c r="E7595" s="0" t="n">
        <v>48</v>
      </c>
      <c r="F7595" s="0" t="s">
        <v>153</v>
      </c>
      <c r="I7595" s="0" t="n">
        <v>2642</v>
      </c>
      <c r="J7595" s="0" t="n">
        <v>110455</v>
      </c>
      <c r="K7595" s="0" t="n">
        <v>53212</v>
      </c>
      <c r="L7595" s="0" t="s">
        <v>2498</v>
      </c>
      <c r="N7595" s="0" t="n">
        <v>0.931</v>
      </c>
      <c r="O7595" s="0" t="n">
        <v>0</v>
      </c>
      <c r="P7595" s="0" t="s">
        <v>2444</v>
      </c>
    </row>
    <row r="7596" customFormat="false" ht="15" hidden="false" customHeight="true" outlineLevel="0" collapsed="false">
      <c r="A7596" s="0" t="n">
        <v>2</v>
      </c>
      <c r="B7596" s="71" t="n">
        <v>46265</v>
      </c>
      <c r="C7596" s="0" t="n">
        <v>100</v>
      </c>
      <c r="D7596" s="0" t="s">
        <v>2499</v>
      </c>
      <c r="E7596" s="0" t="n">
        <v>48</v>
      </c>
      <c r="F7596" s="0" t="s">
        <v>153</v>
      </c>
      <c r="I7596" s="0" t="n">
        <v>1629083</v>
      </c>
      <c r="J7596" s="0" t="n">
        <v>100000</v>
      </c>
      <c r="K7596" s="0" t="n">
        <v>1</v>
      </c>
      <c r="L7596" s="0" t="s">
        <v>2480</v>
      </c>
      <c r="N7596" s="0" t="n">
        <v>2.664</v>
      </c>
      <c r="O7596" s="0" t="n">
        <v>48.94</v>
      </c>
      <c r="P7596" s="0" t="s">
        <v>2444</v>
      </c>
    </row>
    <row r="7597" customFormat="false" ht="15" hidden="false" customHeight="true" outlineLevel="0" collapsed="false">
      <c r="A7597" s="0" t="n">
        <v>2</v>
      </c>
      <c r="B7597" s="71" t="n">
        <v>46265</v>
      </c>
      <c r="C7597" s="0" t="n">
        <v>100</v>
      </c>
      <c r="D7597" s="0" t="s">
        <v>2499</v>
      </c>
      <c r="E7597" s="0" t="n">
        <v>48</v>
      </c>
      <c r="F7597" s="0" t="s">
        <v>153</v>
      </c>
      <c r="I7597" s="0" t="n">
        <v>1629083</v>
      </c>
      <c r="J7597" s="0" t="n">
        <v>100001</v>
      </c>
      <c r="K7597" s="0" t="n">
        <v>2</v>
      </c>
      <c r="L7597" s="0" t="s">
        <v>2481</v>
      </c>
      <c r="N7597" s="0" t="n">
        <v>11.255</v>
      </c>
      <c r="O7597" s="0" t="n">
        <v>223.99</v>
      </c>
      <c r="P7597" s="0" t="s">
        <v>2444</v>
      </c>
    </row>
    <row r="7598" customFormat="false" ht="15" hidden="false" customHeight="true" outlineLevel="0" collapsed="false">
      <c r="A7598" s="0" t="n">
        <v>2</v>
      </c>
      <c r="B7598" s="71" t="n">
        <v>46265</v>
      </c>
      <c r="C7598" s="0" t="n">
        <v>100</v>
      </c>
      <c r="D7598" s="0" t="s">
        <v>2499</v>
      </c>
      <c r="E7598" s="0" t="n">
        <v>48</v>
      </c>
      <c r="F7598" s="0" t="s">
        <v>153</v>
      </c>
      <c r="I7598" s="0" t="n">
        <v>1629083</v>
      </c>
      <c r="J7598" s="0" t="n">
        <v>100002</v>
      </c>
      <c r="K7598" s="0" t="n">
        <v>3</v>
      </c>
      <c r="L7598" s="0" t="s">
        <v>2482</v>
      </c>
      <c r="N7598" s="0" t="n">
        <v>25.2</v>
      </c>
      <c r="O7598" s="0" t="n">
        <v>578.7</v>
      </c>
      <c r="P7598" s="0" t="s">
        <v>2444</v>
      </c>
    </row>
    <row r="7599" customFormat="false" ht="15" hidden="false" customHeight="true" outlineLevel="0" collapsed="false">
      <c r="A7599" s="0" t="n">
        <v>2</v>
      </c>
      <c r="B7599" s="71" t="n">
        <v>46265</v>
      </c>
      <c r="C7599" s="0" t="n">
        <v>100</v>
      </c>
      <c r="D7599" s="0" t="s">
        <v>2499</v>
      </c>
      <c r="E7599" s="0" t="n">
        <v>48</v>
      </c>
      <c r="F7599" s="0" t="s">
        <v>153</v>
      </c>
      <c r="I7599" s="0" t="n">
        <v>1629083</v>
      </c>
      <c r="J7599" s="0" t="n">
        <v>100003</v>
      </c>
      <c r="K7599" s="0" t="n">
        <v>4</v>
      </c>
      <c r="L7599" s="0" t="s">
        <v>2483</v>
      </c>
      <c r="N7599" s="0" t="n">
        <v>21.92</v>
      </c>
      <c r="O7599" s="0" t="n">
        <v>536.94</v>
      </c>
      <c r="P7599" s="0" t="s">
        <v>2444</v>
      </c>
    </row>
    <row r="7600" customFormat="false" ht="15" hidden="false" customHeight="true" outlineLevel="0" collapsed="false">
      <c r="A7600" s="0" t="n">
        <v>2</v>
      </c>
      <c r="B7600" s="71" t="n">
        <v>46265</v>
      </c>
      <c r="C7600" s="0" t="n">
        <v>100</v>
      </c>
      <c r="D7600" s="0" t="s">
        <v>2499</v>
      </c>
      <c r="E7600" s="0" t="n">
        <v>48</v>
      </c>
      <c r="F7600" s="0" t="s">
        <v>153</v>
      </c>
      <c r="I7600" s="0" t="n">
        <v>1629083</v>
      </c>
      <c r="J7600" s="0" t="n">
        <v>100004</v>
      </c>
      <c r="K7600" s="0" t="n">
        <v>5</v>
      </c>
      <c r="L7600" s="0" t="s">
        <v>2484</v>
      </c>
      <c r="N7600" s="0" t="n">
        <v>0.568</v>
      </c>
      <c r="O7600" s="0" t="n">
        <v>12.17</v>
      </c>
      <c r="P7600" s="0" t="s">
        <v>2444</v>
      </c>
    </row>
    <row r="7601" customFormat="false" ht="15" hidden="false" customHeight="true" outlineLevel="0" collapsed="false">
      <c r="A7601" s="0" t="n">
        <v>2</v>
      </c>
      <c r="B7601" s="71" t="n">
        <v>46265</v>
      </c>
      <c r="C7601" s="0" t="n">
        <v>100</v>
      </c>
      <c r="D7601" s="0" t="s">
        <v>2499</v>
      </c>
      <c r="E7601" s="0" t="n">
        <v>48</v>
      </c>
      <c r="F7601" s="0" t="s">
        <v>153</v>
      </c>
      <c r="I7601" s="0" t="n">
        <v>1629083</v>
      </c>
      <c r="J7601" s="0" t="n">
        <v>100005</v>
      </c>
      <c r="K7601" s="0" t="n">
        <v>6</v>
      </c>
      <c r="L7601" s="0" t="s">
        <v>2582</v>
      </c>
      <c r="N7601" s="0" t="n">
        <v>3.698</v>
      </c>
      <c r="O7601" s="0" t="n">
        <v>84.92</v>
      </c>
      <c r="P7601" s="0" t="s">
        <v>2444</v>
      </c>
    </row>
    <row r="7602" customFormat="false" ht="15" hidden="false" customHeight="true" outlineLevel="0" collapsed="false">
      <c r="A7602" s="0" t="n">
        <v>2</v>
      </c>
      <c r="B7602" s="71" t="n">
        <v>46265</v>
      </c>
      <c r="C7602" s="0" t="n">
        <v>100</v>
      </c>
      <c r="D7602" s="0" t="s">
        <v>2499</v>
      </c>
      <c r="E7602" s="0" t="n">
        <v>48</v>
      </c>
      <c r="F7602" s="0" t="s">
        <v>153</v>
      </c>
      <c r="I7602" s="0" t="n">
        <v>1629083</v>
      </c>
      <c r="J7602" s="0" t="n">
        <v>100007</v>
      </c>
      <c r="K7602" s="0" t="n">
        <v>8</v>
      </c>
      <c r="L7602" s="0" t="s">
        <v>2486</v>
      </c>
      <c r="N7602" s="0" t="n">
        <v>2.974</v>
      </c>
      <c r="O7602" s="0" t="n">
        <v>68.3</v>
      </c>
      <c r="P7602" s="0" t="s">
        <v>2444</v>
      </c>
    </row>
    <row r="7603" customFormat="false" ht="15" hidden="false" customHeight="true" outlineLevel="0" collapsed="false">
      <c r="A7603" s="0" t="n">
        <v>2</v>
      </c>
      <c r="B7603" s="71" t="n">
        <v>46265</v>
      </c>
      <c r="C7603" s="0" t="n">
        <v>100</v>
      </c>
      <c r="D7603" s="0" t="s">
        <v>2499</v>
      </c>
      <c r="E7603" s="0" t="n">
        <v>48</v>
      </c>
      <c r="F7603" s="0" t="s">
        <v>153</v>
      </c>
      <c r="I7603" s="0" t="n">
        <v>1629083</v>
      </c>
      <c r="J7603" s="0" t="n">
        <v>100638</v>
      </c>
      <c r="K7603" s="0" t="n">
        <v>508</v>
      </c>
      <c r="L7603" s="0" t="s">
        <v>2496</v>
      </c>
      <c r="N7603" s="0" t="n">
        <v>1.59</v>
      </c>
      <c r="O7603" s="0" t="n">
        <v>3.64</v>
      </c>
      <c r="P7603" s="0" t="s">
        <v>2444</v>
      </c>
    </row>
    <row r="7604" customFormat="false" ht="15" hidden="false" customHeight="true" outlineLevel="0" collapsed="false">
      <c r="A7604" s="0" t="n">
        <v>2</v>
      </c>
      <c r="B7604" s="71" t="n">
        <v>46265</v>
      </c>
      <c r="C7604" s="0" t="n">
        <v>100</v>
      </c>
      <c r="D7604" s="0" t="s">
        <v>2499</v>
      </c>
      <c r="E7604" s="0" t="n">
        <v>48</v>
      </c>
      <c r="F7604" s="0" t="s">
        <v>153</v>
      </c>
      <c r="I7604" s="0" t="n">
        <v>1629083</v>
      </c>
      <c r="J7604" s="0" t="n">
        <v>110455</v>
      </c>
      <c r="K7604" s="0" t="n">
        <v>53212</v>
      </c>
      <c r="L7604" s="0" t="s">
        <v>2498</v>
      </c>
      <c r="N7604" s="0" t="n">
        <v>0.931</v>
      </c>
      <c r="O7604" s="0" t="n">
        <v>0</v>
      </c>
      <c r="P7604" s="0" t="s">
        <v>2444</v>
      </c>
    </row>
    <row r="7605" customFormat="false" ht="15" hidden="false" customHeight="true" outlineLevel="0" collapsed="false">
      <c r="A7605" s="0" t="n">
        <v>2</v>
      </c>
      <c r="B7605" s="71" t="n">
        <v>46265</v>
      </c>
      <c r="C7605" s="0" t="n">
        <v>171</v>
      </c>
      <c r="D7605" s="0" t="s">
        <v>3017</v>
      </c>
      <c r="E7605" s="0" t="n">
        <v>1616</v>
      </c>
      <c r="F7605" s="0" t="s">
        <v>64</v>
      </c>
      <c r="I7605" s="0" t="n">
        <v>656816</v>
      </c>
      <c r="J7605" s="0" t="n">
        <v>14902</v>
      </c>
      <c r="K7605" s="0" t="n">
        <v>7896022204181</v>
      </c>
      <c r="L7605" s="0" t="s">
        <v>5217</v>
      </c>
      <c r="N7605" s="0" t="n">
        <v>6</v>
      </c>
      <c r="O7605" s="0" t="n">
        <v>29.94</v>
      </c>
      <c r="P7605" s="0" t="s">
        <v>3019</v>
      </c>
    </row>
    <row r="7606" customFormat="false" ht="15" hidden="false" customHeight="true" outlineLevel="0" collapsed="false">
      <c r="A7606" s="0" t="n">
        <v>2</v>
      </c>
      <c r="B7606" s="71" t="n">
        <v>46265</v>
      </c>
      <c r="C7606" s="0" t="n">
        <v>171</v>
      </c>
      <c r="D7606" s="0" t="s">
        <v>3017</v>
      </c>
      <c r="E7606" s="0" t="n">
        <v>1616</v>
      </c>
      <c r="F7606" s="0" t="s">
        <v>64</v>
      </c>
      <c r="I7606" s="0" t="n">
        <v>656816</v>
      </c>
      <c r="J7606" s="0" t="n">
        <v>23801</v>
      </c>
      <c r="K7606" s="0" t="n">
        <v>7896022205447</v>
      </c>
      <c r="L7606" s="0" t="s">
        <v>5218</v>
      </c>
      <c r="N7606" s="0" t="n">
        <v>6</v>
      </c>
      <c r="O7606" s="0" t="n">
        <v>30.84</v>
      </c>
      <c r="P7606" s="0" t="s">
        <v>3019</v>
      </c>
    </row>
    <row r="7607" customFormat="false" ht="15" hidden="false" customHeight="true" outlineLevel="0" collapsed="false">
      <c r="A7607" s="0" t="n">
        <v>2</v>
      </c>
      <c r="B7607" s="71" t="n">
        <v>46266</v>
      </c>
      <c r="C7607" s="0" t="n">
        <v>6</v>
      </c>
      <c r="D7607" s="0" t="s">
        <v>2553</v>
      </c>
      <c r="E7607" s="0" t="n">
        <v>48</v>
      </c>
      <c r="F7607" s="0" t="s">
        <v>153</v>
      </c>
      <c r="I7607" s="0" t="n">
        <v>2649</v>
      </c>
      <c r="J7607" s="0" t="n">
        <v>100113</v>
      </c>
      <c r="K7607" s="0" t="n">
        <v>114</v>
      </c>
      <c r="L7607" s="0" t="s">
        <v>2539</v>
      </c>
      <c r="N7607" s="0" t="n">
        <v>20</v>
      </c>
      <c r="O7607" s="0" t="n">
        <v>95</v>
      </c>
      <c r="P7607" s="0" t="s">
        <v>2444</v>
      </c>
    </row>
    <row r="7608" customFormat="false" ht="15" hidden="false" customHeight="true" outlineLevel="0" collapsed="false">
      <c r="A7608" s="0" t="n">
        <v>2</v>
      </c>
      <c r="B7608" s="71" t="n">
        <v>46266</v>
      </c>
      <c r="C7608" s="0" t="n">
        <v>6</v>
      </c>
      <c r="D7608" s="0" t="s">
        <v>2553</v>
      </c>
      <c r="E7608" s="0" t="n">
        <v>48</v>
      </c>
      <c r="F7608" s="0" t="s">
        <v>153</v>
      </c>
      <c r="I7608" s="0" t="n">
        <v>2649</v>
      </c>
      <c r="J7608" s="0" t="n">
        <v>110142</v>
      </c>
      <c r="K7608" s="0" t="n">
        <v>16699</v>
      </c>
      <c r="L7608" s="0" t="s">
        <v>2549</v>
      </c>
      <c r="N7608" s="0" t="n">
        <v>40</v>
      </c>
      <c r="O7608" s="0" t="n">
        <v>220</v>
      </c>
      <c r="P7608" s="0" t="s">
        <v>2444</v>
      </c>
    </row>
    <row r="7609" customFormat="false" ht="15" hidden="false" customHeight="true" outlineLevel="0" collapsed="false">
      <c r="A7609" s="0" t="n">
        <v>2</v>
      </c>
      <c r="B7609" s="71" t="n">
        <v>46266</v>
      </c>
      <c r="C7609" s="0" t="n">
        <v>6</v>
      </c>
      <c r="D7609" s="0" t="s">
        <v>2553</v>
      </c>
      <c r="E7609" s="0" t="n">
        <v>48</v>
      </c>
      <c r="F7609" s="0" t="s">
        <v>153</v>
      </c>
      <c r="I7609" s="0" t="n">
        <v>2650</v>
      </c>
      <c r="J7609" s="0" t="n">
        <v>100062</v>
      </c>
      <c r="K7609" s="0" t="n">
        <v>63</v>
      </c>
      <c r="L7609" s="0" t="s">
        <v>2535</v>
      </c>
      <c r="N7609" s="0" t="n">
        <v>18</v>
      </c>
      <c r="O7609" s="0" t="n">
        <v>120</v>
      </c>
      <c r="P7609" s="0" t="s">
        <v>2444</v>
      </c>
    </row>
    <row r="7610" customFormat="false" ht="15" hidden="false" customHeight="true" outlineLevel="0" collapsed="false">
      <c r="A7610" s="0" t="n">
        <v>2</v>
      </c>
      <c r="B7610" s="71" t="n">
        <v>46266</v>
      </c>
      <c r="C7610" s="0" t="n">
        <v>6</v>
      </c>
      <c r="D7610" s="0" t="s">
        <v>2553</v>
      </c>
      <c r="E7610" s="0" t="n">
        <v>48</v>
      </c>
      <c r="F7610" s="0" t="s">
        <v>153</v>
      </c>
      <c r="I7610" s="0" t="n">
        <v>2650</v>
      </c>
      <c r="J7610" s="0" t="n">
        <v>100105</v>
      </c>
      <c r="K7610" s="0" t="n">
        <v>106</v>
      </c>
      <c r="L7610" s="0" t="s">
        <v>2536</v>
      </c>
      <c r="N7610" s="0" t="n">
        <v>24</v>
      </c>
      <c r="O7610" s="0" t="n">
        <v>120</v>
      </c>
      <c r="P7610" s="0" t="s">
        <v>2444</v>
      </c>
    </row>
    <row r="7611" customFormat="false" ht="15" hidden="false" customHeight="true" outlineLevel="0" collapsed="false">
      <c r="A7611" s="0" t="n">
        <v>2</v>
      </c>
      <c r="B7611" s="71" t="n">
        <v>46266</v>
      </c>
      <c r="C7611" s="0" t="n">
        <v>6</v>
      </c>
      <c r="D7611" s="0" t="s">
        <v>2553</v>
      </c>
      <c r="E7611" s="0" t="n">
        <v>48</v>
      </c>
      <c r="F7611" s="0" t="s">
        <v>153</v>
      </c>
      <c r="I7611" s="0" t="n">
        <v>2650</v>
      </c>
      <c r="J7611" s="0" t="n">
        <v>100107</v>
      </c>
      <c r="K7611" s="0" t="n">
        <v>108</v>
      </c>
      <c r="L7611" s="0" t="s">
        <v>3259</v>
      </c>
      <c r="N7611" s="0" t="n">
        <v>3</v>
      </c>
      <c r="O7611" s="0" t="n">
        <v>36</v>
      </c>
      <c r="P7611" s="0" t="s">
        <v>2444</v>
      </c>
    </row>
    <row r="7612" customFormat="false" ht="15" hidden="false" customHeight="true" outlineLevel="0" collapsed="false">
      <c r="A7612" s="0" t="n">
        <v>2</v>
      </c>
      <c r="B7612" s="71" t="n">
        <v>46266</v>
      </c>
      <c r="C7612" s="0" t="n">
        <v>6</v>
      </c>
      <c r="D7612" s="0" t="s">
        <v>2553</v>
      </c>
      <c r="E7612" s="0" t="n">
        <v>48</v>
      </c>
      <c r="F7612" s="0" t="s">
        <v>153</v>
      </c>
      <c r="I7612" s="0" t="n">
        <v>2650</v>
      </c>
      <c r="J7612" s="0" t="n">
        <v>100109</v>
      </c>
      <c r="K7612" s="0" t="n">
        <v>110</v>
      </c>
      <c r="L7612" s="0" t="s">
        <v>2537</v>
      </c>
      <c r="N7612" s="0" t="n">
        <v>20</v>
      </c>
      <c r="O7612" s="0" t="n">
        <v>110</v>
      </c>
      <c r="P7612" s="0" t="s">
        <v>2444</v>
      </c>
    </row>
    <row r="7613" customFormat="false" ht="15" hidden="false" customHeight="true" outlineLevel="0" collapsed="false">
      <c r="A7613" s="0" t="n">
        <v>2</v>
      </c>
      <c r="B7613" s="71" t="n">
        <v>46266</v>
      </c>
      <c r="C7613" s="0" t="n">
        <v>6</v>
      </c>
      <c r="D7613" s="0" t="s">
        <v>2553</v>
      </c>
      <c r="E7613" s="0" t="n">
        <v>48</v>
      </c>
      <c r="F7613" s="0" t="s">
        <v>153</v>
      </c>
      <c r="I7613" s="0" t="n">
        <v>2650</v>
      </c>
      <c r="J7613" s="0" t="n">
        <v>100112</v>
      </c>
      <c r="K7613" s="0" t="n">
        <v>113</v>
      </c>
      <c r="L7613" s="0" t="s">
        <v>2538</v>
      </c>
      <c r="N7613" s="0" t="n">
        <v>11</v>
      </c>
      <c r="O7613" s="0" t="n">
        <v>33</v>
      </c>
      <c r="P7613" s="0" t="s">
        <v>2444</v>
      </c>
    </row>
    <row r="7614" customFormat="false" ht="15" hidden="false" customHeight="true" outlineLevel="0" collapsed="false">
      <c r="A7614" s="0" t="n">
        <v>2</v>
      </c>
      <c r="B7614" s="71" t="n">
        <v>46266</v>
      </c>
      <c r="C7614" s="0" t="n">
        <v>6</v>
      </c>
      <c r="D7614" s="0" t="s">
        <v>2553</v>
      </c>
      <c r="E7614" s="0" t="n">
        <v>48</v>
      </c>
      <c r="F7614" s="0" t="s">
        <v>153</v>
      </c>
      <c r="I7614" s="0" t="n">
        <v>2650</v>
      </c>
      <c r="J7614" s="0" t="n">
        <v>100116</v>
      </c>
      <c r="K7614" s="0" t="n">
        <v>117</v>
      </c>
      <c r="L7614" s="0" t="s">
        <v>2540</v>
      </c>
      <c r="N7614" s="0" t="n">
        <v>2</v>
      </c>
      <c r="O7614" s="0" t="n">
        <v>30</v>
      </c>
      <c r="P7614" s="0" t="s">
        <v>2444</v>
      </c>
    </row>
    <row r="7615" customFormat="false" ht="15" hidden="false" customHeight="true" outlineLevel="0" collapsed="false">
      <c r="A7615" s="0" t="n">
        <v>2</v>
      </c>
      <c r="B7615" s="71" t="n">
        <v>46266</v>
      </c>
      <c r="C7615" s="0" t="n">
        <v>6</v>
      </c>
      <c r="D7615" s="0" t="s">
        <v>2553</v>
      </c>
      <c r="E7615" s="0" t="n">
        <v>48</v>
      </c>
      <c r="F7615" s="0" t="s">
        <v>153</v>
      </c>
      <c r="I7615" s="0" t="n">
        <v>2650</v>
      </c>
      <c r="J7615" s="0" t="n">
        <v>100121</v>
      </c>
      <c r="K7615" s="0" t="n">
        <v>122</v>
      </c>
      <c r="L7615" s="0" t="s">
        <v>2542</v>
      </c>
      <c r="N7615" s="0" t="n">
        <v>8</v>
      </c>
      <c r="O7615" s="0" t="n">
        <v>96</v>
      </c>
      <c r="P7615" s="0" t="s">
        <v>2444</v>
      </c>
    </row>
    <row r="7616" customFormat="false" ht="15" hidden="false" customHeight="true" outlineLevel="0" collapsed="false">
      <c r="A7616" s="0" t="n">
        <v>2</v>
      </c>
      <c r="B7616" s="71" t="n">
        <v>46266</v>
      </c>
      <c r="C7616" s="0" t="n">
        <v>6</v>
      </c>
      <c r="D7616" s="0" t="s">
        <v>2553</v>
      </c>
      <c r="E7616" s="0" t="n">
        <v>48</v>
      </c>
      <c r="F7616" s="0" t="s">
        <v>153</v>
      </c>
      <c r="I7616" s="0" t="n">
        <v>2650</v>
      </c>
      <c r="J7616" s="0" t="n">
        <v>100122</v>
      </c>
      <c r="K7616" s="0" t="n">
        <v>123</v>
      </c>
      <c r="L7616" s="0" t="s">
        <v>2543</v>
      </c>
      <c r="N7616" s="0" t="n">
        <v>3</v>
      </c>
      <c r="O7616" s="0" t="n">
        <v>42</v>
      </c>
      <c r="P7616" s="0" t="s">
        <v>2444</v>
      </c>
    </row>
    <row r="7617" customFormat="false" ht="15" hidden="false" customHeight="true" outlineLevel="0" collapsed="false">
      <c r="A7617" s="0" t="n">
        <v>2</v>
      </c>
      <c r="B7617" s="71" t="n">
        <v>46266</v>
      </c>
      <c r="C7617" s="0" t="n">
        <v>6</v>
      </c>
      <c r="D7617" s="0" t="s">
        <v>2553</v>
      </c>
      <c r="E7617" s="0" t="n">
        <v>48</v>
      </c>
      <c r="F7617" s="0" t="s">
        <v>153</v>
      </c>
      <c r="I7617" s="0" t="n">
        <v>2650</v>
      </c>
      <c r="J7617" s="0" t="n">
        <v>100124</v>
      </c>
      <c r="K7617" s="0" t="n">
        <v>125</v>
      </c>
      <c r="L7617" s="0" t="s">
        <v>2695</v>
      </c>
      <c r="N7617" s="0" t="n">
        <v>3</v>
      </c>
      <c r="O7617" s="0" t="n">
        <v>33</v>
      </c>
      <c r="P7617" s="0" t="s">
        <v>2444</v>
      </c>
    </row>
    <row r="7618" customFormat="false" ht="15" hidden="false" customHeight="true" outlineLevel="0" collapsed="false">
      <c r="A7618" s="0" t="n">
        <v>2</v>
      </c>
      <c r="B7618" s="71" t="n">
        <v>46266</v>
      </c>
      <c r="C7618" s="0" t="n">
        <v>6</v>
      </c>
      <c r="D7618" s="0" t="s">
        <v>2553</v>
      </c>
      <c r="E7618" s="0" t="n">
        <v>48</v>
      </c>
      <c r="F7618" s="0" t="s">
        <v>153</v>
      </c>
      <c r="I7618" s="0" t="n">
        <v>2650</v>
      </c>
      <c r="J7618" s="0" t="n">
        <v>100132</v>
      </c>
      <c r="K7618" s="0" t="n">
        <v>133</v>
      </c>
      <c r="L7618" s="0" t="s">
        <v>2546</v>
      </c>
      <c r="N7618" s="0" t="n">
        <v>27.46</v>
      </c>
      <c r="O7618" s="0" t="n">
        <v>84</v>
      </c>
      <c r="P7618" s="0" t="s">
        <v>2444</v>
      </c>
    </row>
    <row r="7619" customFormat="false" ht="15" hidden="false" customHeight="true" outlineLevel="0" collapsed="false">
      <c r="A7619" s="0" t="n">
        <v>2</v>
      </c>
      <c r="B7619" s="71" t="n">
        <v>46266</v>
      </c>
      <c r="C7619" s="0" t="n">
        <v>6</v>
      </c>
      <c r="D7619" s="0" t="s">
        <v>2553</v>
      </c>
      <c r="E7619" s="0" t="n">
        <v>48</v>
      </c>
      <c r="F7619" s="0" t="s">
        <v>153</v>
      </c>
      <c r="I7619" s="0" t="n">
        <v>2650</v>
      </c>
      <c r="J7619" s="0" t="n">
        <v>100141</v>
      </c>
      <c r="K7619" s="0" t="n">
        <v>142</v>
      </c>
      <c r="L7619" s="0" t="s">
        <v>3260</v>
      </c>
      <c r="N7619" s="0" t="n">
        <v>1</v>
      </c>
      <c r="O7619" s="0" t="n">
        <v>35</v>
      </c>
      <c r="P7619" s="0" t="s">
        <v>2444</v>
      </c>
    </row>
    <row r="7620" customFormat="false" ht="15" hidden="false" customHeight="true" outlineLevel="0" collapsed="false">
      <c r="A7620" s="0" t="n">
        <v>2</v>
      </c>
      <c r="B7620" s="71" t="n">
        <v>46266</v>
      </c>
      <c r="C7620" s="0" t="n">
        <v>6</v>
      </c>
      <c r="D7620" s="0" t="s">
        <v>2553</v>
      </c>
      <c r="E7620" s="0" t="n">
        <v>48</v>
      </c>
      <c r="F7620" s="0" t="s">
        <v>153</v>
      </c>
      <c r="I7620" s="0" t="n">
        <v>2650</v>
      </c>
      <c r="J7620" s="0" t="n">
        <v>100148</v>
      </c>
      <c r="K7620" s="0" t="n">
        <v>149</v>
      </c>
      <c r="L7620" s="0" t="s">
        <v>2600</v>
      </c>
      <c r="N7620" s="0" t="n">
        <v>18</v>
      </c>
      <c r="O7620" s="0" t="n">
        <v>160</v>
      </c>
      <c r="P7620" s="0" t="s">
        <v>2444</v>
      </c>
    </row>
    <row r="7621" customFormat="false" ht="15" hidden="false" customHeight="true" outlineLevel="0" collapsed="false">
      <c r="A7621" s="0" t="n">
        <v>2</v>
      </c>
      <c r="B7621" s="71" t="n">
        <v>46266</v>
      </c>
      <c r="C7621" s="0" t="n">
        <v>6</v>
      </c>
      <c r="D7621" s="0" t="s">
        <v>2553</v>
      </c>
      <c r="E7621" s="0" t="n">
        <v>48</v>
      </c>
      <c r="F7621" s="0" t="s">
        <v>153</v>
      </c>
      <c r="I7621" s="0" t="n">
        <v>2650</v>
      </c>
      <c r="J7621" s="0" t="n">
        <v>110489</v>
      </c>
      <c r="K7621" s="0" t="n">
        <v>54743</v>
      </c>
      <c r="L7621" s="0" t="s">
        <v>2550</v>
      </c>
      <c r="N7621" s="0" t="n">
        <v>60</v>
      </c>
      <c r="O7621" s="0" t="n">
        <v>390</v>
      </c>
      <c r="P7621" s="0" t="s">
        <v>2444</v>
      </c>
    </row>
    <row r="7622" customFormat="false" ht="15" hidden="false" customHeight="true" outlineLevel="0" collapsed="false">
      <c r="A7622" s="0" t="n">
        <v>2</v>
      </c>
      <c r="B7622" s="71" t="n">
        <v>46266</v>
      </c>
      <c r="C7622" s="0" t="n">
        <v>6</v>
      </c>
      <c r="D7622" s="0" t="s">
        <v>2553</v>
      </c>
      <c r="E7622" s="0" t="n">
        <v>48</v>
      </c>
      <c r="F7622" s="0" t="s">
        <v>153</v>
      </c>
      <c r="I7622" s="0" t="n">
        <v>2650</v>
      </c>
      <c r="J7622" s="0" t="n">
        <v>80078</v>
      </c>
      <c r="K7622" s="0" t="n">
        <v>710</v>
      </c>
      <c r="L7622" s="0" t="s">
        <v>2551</v>
      </c>
      <c r="N7622" s="0" t="n">
        <v>5</v>
      </c>
      <c r="O7622" s="0" t="n">
        <v>15</v>
      </c>
      <c r="P7622" s="0" t="s">
        <v>2444</v>
      </c>
    </row>
    <row r="7623" customFormat="false" ht="15" hidden="false" customHeight="true" outlineLevel="0" collapsed="false">
      <c r="A7623" s="0" t="n">
        <v>2</v>
      </c>
      <c r="B7623" s="71" t="n">
        <v>46266</v>
      </c>
      <c r="C7623" s="0" t="n">
        <v>6</v>
      </c>
      <c r="D7623" s="0" t="s">
        <v>2553</v>
      </c>
      <c r="E7623" s="0" t="n">
        <v>48</v>
      </c>
      <c r="F7623" s="0" t="s">
        <v>153</v>
      </c>
      <c r="I7623" s="0" t="n">
        <v>2650</v>
      </c>
      <c r="J7623" s="0" t="n">
        <v>81106</v>
      </c>
      <c r="K7623" s="0" t="n">
        <v>1168</v>
      </c>
      <c r="L7623" s="0" t="s">
        <v>4683</v>
      </c>
      <c r="N7623" s="0" t="n">
        <v>20</v>
      </c>
      <c r="O7623" s="0" t="n">
        <v>100</v>
      </c>
      <c r="P7623" s="0" t="s">
        <v>2444</v>
      </c>
    </row>
    <row r="7624" customFormat="false" ht="15" hidden="false" customHeight="true" outlineLevel="0" collapsed="false">
      <c r="A7624" s="0" t="n">
        <v>2</v>
      </c>
      <c r="B7624" s="71" t="n">
        <v>46266</v>
      </c>
      <c r="C7624" s="0" t="n">
        <v>6</v>
      </c>
      <c r="D7624" s="0" t="s">
        <v>2553</v>
      </c>
      <c r="E7624" s="0" t="n">
        <v>48</v>
      </c>
      <c r="F7624" s="0" t="s">
        <v>153</v>
      </c>
      <c r="I7624" s="0" t="n">
        <v>2650</v>
      </c>
      <c r="J7624" s="0" t="n">
        <v>81699</v>
      </c>
      <c r="K7624" s="0" t="n">
        <v>1311</v>
      </c>
      <c r="L7624" s="0" t="s">
        <v>4045</v>
      </c>
      <c r="N7624" s="0" t="n">
        <v>12</v>
      </c>
      <c r="O7624" s="0" t="n">
        <v>36</v>
      </c>
      <c r="P7624" s="0" t="s">
        <v>2444</v>
      </c>
    </row>
    <row r="7625" customFormat="false" ht="15" hidden="false" customHeight="true" outlineLevel="0" collapsed="false">
      <c r="A7625" s="0" t="n">
        <v>2</v>
      </c>
      <c r="B7625" s="71" t="n">
        <v>46266</v>
      </c>
      <c r="C7625" s="0" t="n">
        <v>11</v>
      </c>
      <c r="D7625" s="0" t="s">
        <v>2471</v>
      </c>
      <c r="E7625" s="0" t="n">
        <v>642</v>
      </c>
      <c r="F7625" s="0" t="s">
        <v>123</v>
      </c>
      <c r="I7625" s="0" t="n">
        <v>633</v>
      </c>
      <c r="J7625" s="0" t="n">
        <v>71766</v>
      </c>
      <c r="K7625" s="0" t="n">
        <v>779180</v>
      </c>
      <c r="L7625" s="0" t="s">
        <v>2501</v>
      </c>
      <c r="N7625" s="0" t="n">
        <v>15</v>
      </c>
      <c r="O7625" s="0" t="n">
        <v>180</v>
      </c>
      <c r="P7625" s="0" t="s">
        <v>2444</v>
      </c>
    </row>
    <row r="7626" customFormat="false" ht="15" hidden="false" customHeight="true" outlineLevel="0" collapsed="false">
      <c r="A7626" s="0" t="n">
        <v>2</v>
      </c>
      <c r="B7626" s="71" t="n">
        <v>46266</v>
      </c>
      <c r="C7626" s="0" t="n">
        <v>11</v>
      </c>
      <c r="D7626" s="0" t="s">
        <v>2471</v>
      </c>
      <c r="E7626" s="0" t="n">
        <v>560</v>
      </c>
      <c r="F7626" s="0" t="s">
        <v>453</v>
      </c>
      <c r="I7626" s="0" t="n">
        <v>2142</v>
      </c>
      <c r="J7626" s="0" t="n">
        <v>72591</v>
      </c>
      <c r="K7626" s="0" t="n">
        <v>7891985925401</v>
      </c>
      <c r="L7626" s="0" t="s">
        <v>2714</v>
      </c>
      <c r="N7626" s="0" t="n">
        <v>50</v>
      </c>
      <c r="O7626" s="0" t="n">
        <v>250</v>
      </c>
      <c r="P7626" s="0" t="s">
        <v>2444</v>
      </c>
    </row>
    <row r="7627" customFormat="false" ht="15" hidden="false" customHeight="true" outlineLevel="0" collapsed="false">
      <c r="A7627" s="0" t="n">
        <v>2</v>
      </c>
      <c r="B7627" s="71" t="n">
        <v>46266</v>
      </c>
      <c r="C7627" s="0" t="n">
        <v>11</v>
      </c>
      <c r="D7627" s="0" t="s">
        <v>2471</v>
      </c>
      <c r="E7627" s="0" t="n">
        <v>1921</v>
      </c>
      <c r="F7627" s="0" t="s">
        <v>167</v>
      </c>
      <c r="I7627" s="0" t="n">
        <v>21345</v>
      </c>
      <c r="J7627" s="0" t="n">
        <v>43815</v>
      </c>
      <c r="K7627" s="0" t="n">
        <v>7899085120696</v>
      </c>
      <c r="L7627" s="0" t="s">
        <v>5219</v>
      </c>
      <c r="N7627" s="0" t="n">
        <v>12</v>
      </c>
      <c r="O7627" s="0" t="n">
        <v>26.18</v>
      </c>
      <c r="P7627" s="0" t="s">
        <v>2444</v>
      </c>
    </row>
    <row r="7628" customFormat="false" ht="15" hidden="false" customHeight="true" outlineLevel="0" collapsed="false">
      <c r="A7628" s="0" t="n">
        <v>2</v>
      </c>
      <c r="B7628" s="71" t="n">
        <v>46266</v>
      </c>
      <c r="C7628" s="0" t="n">
        <v>11</v>
      </c>
      <c r="D7628" s="0" t="s">
        <v>2471</v>
      </c>
      <c r="E7628" s="0" t="n">
        <v>1921</v>
      </c>
      <c r="F7628" s="0" t="s">
        <v>167</v>
      </c>
      <c r="I7628" s="0" t="n">
        <v>21345</v>
      </c>
      <c r="J7628" s="0" t="n">
        <v>45435</v>
      </c>
      <c r="K7628" s="0" t="n">
        <v>7908031500694</v>
      </c>
      <c r="L7628" s="0" t="s">
        <v>2664</v>
      </c>
      <c r="N7628" s="0" t="n">
        <v>15</v>
      </c>
      <c r="O7628" s="0" t="n">
        <v>70.23</v>
      </c>
      <c r="P7628" s="0" t="s">
        <v>2444</v>
      </c>
    </row>
    <row r="7629" customFormat="false" ht="15" hidden="false" customHeight="true" outlineLevel="0" collapsed="false">
      <c r="A7629" s="0" t="n">
        <v>2</v>
      </c>
      <c r="B7629" s="71" t="n">
        <v>46266</v>
      </c>
      <c r="C7629" s="0" t="n">
        <v>11</v>
      </c>
      <c r="D7629" s="0" t="s">
        <v>2471</v>
      </c>
      <c r="E7629" s="0" t="n">
        <v>1921</v>
      </c>
      <c r="F7629" s="0" t="s">
        <v>167</v>
      </c>
      <c r="I7629" s="0" t="n">
        <v>21345</v>
      </c>
      <c r="J7629" s="0" t="n">
        <v>45512</v>
      </c>
      <c r="K7629" s="0" t="n">
        <v>7899085120023</v>
      </c>
      <c r="L7629" s="0" t="s">
        <v>2665</v>
      </c>
      <c r="N7629" s="0" t="n">
        <v>40</v>
      </c>
      <c r="O7629" s="0" t="n">
        <v>51.43</v>
      </c>
      <c r="P7629" s="0" t="s">
        <v>2444</v>
      </c>
    </row>
    <row r="7630" customFormat="false" ht="15" hidden="false" customHeight="true" outlineLevel="0" collapsed="false">
      <c r="A7630" s="0" t="n">
        <v>2</v>
      </c>
      <c r="B7630" s="71" t="n">
        <v>46266</v>
      </c>
      <c r="C7630" s="0" t="n">
        <v>11</v>
      </c>
      <c r="D7630" s="0" t="s">
        <v>2471</v>
      </c>
      <c r="E7630" s="0" t="n">
        <v>1921</v>
      </c>
      <c r="F7630" s="0" t="s">
        <v>167</v>
      </c>
      <c r="I7630" s="0" t="n">
        <v>21345</v>
      </c>
      <c r="J7630" s="0" t="n">
        <v>45677</v>
      </c>
      <c r="K7630" s="0" t="n">
        <v>7899085120627</v>
      </c>
      <c r="L7630" s="0" t="s">
        <v>3908</v>
      </c>
      <c r="N7630" s="0" t="n">
        <v>20</v>
      </c>
      <c r="O7630" s="0" t="n">
        <v>44.44</v>
      </c>
      <c r="P7630" s="0" t="s">
        <v>2444</v>
      </c>
    </row>
    <row r="7631" customFormat="false" ht="15" hidden="false" customHeight="true" outlineLevel="0" collapsed="false">
      <c r="A7631" s="0" t="n">
        <v>2</v>
      </c>
      <c r="B7631" s="71" t="n">
        <v>46266</v>
      </c>
      <c r="C7631" s="0" t="n">
        <v>11</v>
      </c>
      <c r="D7631" s="0" t="s">
        <v>2471</v>
      </c>
      <c r="E7631" s="0" t="n">
        <v>1921</v>
      </c>
      <c r="F7631" s="0" t="s">
        <v>167</v>
      </c>
      <c r="I7631" s="0" t="n">
        <v>21345</v>
      </c>
      <c r="J7631" s="0" t="n">
        <v>46080</v>
      </c>
      <c r="K7631" s="0" t="n">
        <v>7899085120603</v>
      </c>
      <c r="L7631" s="0" t="s">
        <v>2668</v>
      </c>
      <c r="N7631" s="0" t="n">
        <v>20</v>
      </c>
      <c r="O7631" s="0" t="n">
        <v>40.15</v>
      </c>
      <c r="P7631" s="0" t="s">
        <v>2444</v>
      </c>
    </row>
    <row r="7632" customFormat="false" ht="15" hidden="false" customHeight="true" outlineLevel="0" collapsed="false">
      <c r="A7632" s="0" t="n">
        <v>2</v>
      </c>
      <c r="B7632" s="71" t="n">
        <v>46266</v>
      </c>
      <c r="C7632" s="0" t="n">
        <v>11</v>
      </c>
      <c r="D7632" s="0" t="s">
        <v>2471</v>
      </c>
      <c r="E7632" s="0" t="n">
        <v>1921</v>
      </c>
      <c r="F7632" s="0" t="s">
        <v>167</v>
      </c>
      <c r="I7632" s="0" t="n">
        <v>21345</v>
      </c>
      <c r="J7632" s="0" t="n">
        <v>46087</v>
      </c>
      <c r="K7632" s="0" t="n">
        <v>7899085120559</v>
      </c>
      <c r="L7632" s="0" t="s">
        <v>2669</v>
      </c>
      <c r="N7632" s="0" t="n">
        <v>20</v>
      </c>
      <c r="O7632" s="0" t="n">
        <v>42.52</v>
      </c>
      <c r="P7632" s="0" t="s">
        <v>2444</v>
      </c>
    </row>
    <row r="7633" customFormat="false" ht="15" hidden="false" customHeight="true" outlineLevel="0" collapsed="false">
      <c r="A7633" s="0" t="n">
        <v>2</v>
      </c>
      <c r="B7633" s="71" t="n">
        <v>46266</v>
      </c>
      <c r="C7633" s="0" t="n">
        <v>11</v>
      </c>
      <c r="D7633" s="0" t="s">
        <v>2471</v>
      </c>
      <c r="E7633" s="0" t="n">
        <v>1921</v>
      </c>
      <c r="F7633" s="0" t="s">
        <v>167</v>
      </c>
      <c r="I7633" s="0" t="n">
        <v>21345</v>
      </c>
      <c r="J7633" s="0" t="n">
        <v>46091</v>
      </c>
      <c r="K7633" s="0" t="n">
        <v>7899085120191</v>
      </c>
      <c r="L7633" s="0" t="s">
        <v>2672</v>
      </c>
      <c r="N7633" s="0" t="n">
        <v>20</v>
      </c>
      <c r="O7633" s="0" t="n">
        <v>46.59</v>
      </c>
      <c r="P7633" s="0" t="s">
        <v>2444</v>
      </c>
    </row>
    <row r="7634" customFormat="false" ht="15" hidden="false" customHeight="true" outlineLevel="0" collapsed="false">
      <c r="A7634" s="0" t="n">
        <v>2</v>
      </c>
      <c r="B7634" s="71" t="n">
        <v>46266</v>
      </c>
      <c r="C7634" s="0" t="n">
        <v>11</v>
      </c>
      <c r="D7634" s="0" t="s">
        <v>2471</v>
      </c>
      <c r="E7634" s="0" t="n">
        <v>1921</v>
      </c>
      <c r="F7634" s="0" t="s">
        <v>167</v>
      </c>
      <c r="I7634" s="0" t="n">
        <v>21345</v>
      </c>
      <c r="J7634" s="0" t="n">
        <v>46093</v>
      </c>
      <c r="K7634" s="0" t="n">
        <v>7899085120597</v>
      </c>
      <c r="L7634" s="0" t="s">
        <v>2673</v>
      </c>
      <c r="N7634" s="0" t="n">
        <v>20</v>
      </c>
      <c r="O7634" s="0" t="n">
        <v>43.26</v>
      </c>
      <c r="P7634" s="0" t="s">
        <v>2444</v>
      </c>
    </row>
    <row r="7635" customFormat="false" ht="15" hidden="false" customHeight="true" outlineLevel="0" collapsed="false">
      <c r="A7635" s="0" t="n">
        <v>2</v>
      </c>
      <c r="B7635" s="71" t="n">
        <v>46266</v>
      </c>
      <c r="C7635" s="0" t="n">
        <v>11</v>
      </c>
      <c r="D7635" s="0" t="s">
        <v>2471</v>
      </c>
      <c r="E7635" s="0" t="n">
        <v>1921</v>
      </c>
      <c r="F7635" s="0" t="s">
        <v>167</v>
      </c>
      <c r="I7635" s="0" t="n">
        <v>21345</v>
      </c>
      <c r="J7635" s="0" t="n">
        <v>46094</v>
      </c>
      <c r="K7635" s="0" t="n">
        <v>7899085120580</v>
      </c>
      <c r="L7635" s="0" t="s">
        <v>2674</v>
      </c>
      <c r="N7635" s="0" t="n">
        <v>20</v>
      </c>
      <c r="O7635" s="0" t="n">
        <v>43.26</v>
      </c>
      <c r="P7635" s="0" t="s">
        <v>2444</v>
      </c>
    </row>
    <row r="7636" customFormat="false" ht="15" hidden="false" customHeight="true" outlineLevel="0" collapsed="false">
      <c r="A7636" s="0" t="n">
        <v>2</v>
      </c>
      <c r="B7636" s="71" t="n">
        <v>46266</v>
      </c>
      <c r="C7636" s="0" t="n">
        <v>11</v>
      </c>
      <c r="D7636" s="0" t="s">
        <v>2471</v>
      </c>
      <c r="E7636" s="0" t="n">
        <v>1921</v>
      </c>
      <c r="F7636" s="0" t="s">
        <v>167</v>
      </c>
      <c r="I7636" s="0" t="n">
        <v>21345</v>
      </c>
      <c r="J7636" s="0" t="n">
        <v>46588</v>
      </c>
      <c r="K7636" s="0" t="n">
        <v>7899085120924</v>
      </c>
      <c r="L7636" s="0" t="s">
        <v>3911</v>
      </c>
      <c r="N7636" s="0" t="n">
        <v>15</v>
      </c>
      <c r="O7636" s="0" t="n">
        <v>65.93</v>
      </c>
      <c r="P7636" s="0" t="s">
        <v>2444</v>
      </c>
    </row>
    <row r="7637" customFormat="false" ht="15" hidden="false" customHeight="true" outlineLevel="0" collapsed="false">
      <c r="A7637" s="0" t="n">
        <v>2</v>
      </c>
      <c r="B7637" s="71" t="n">
        <v>46266</v>
      </c>
      <c r="C7637" s="0" t="n">
        <v>11</v>
      </c>
      <c r="D7637" s="0" t="s">
        <v>2471</v>
      </c>
      <c r="E7637" s="0" t="n">
        <v>1921</v>
      </c>
      <c r="F7637" s="0" t="s">
        <v>167</v>
      </c>
      <c r="I7637" s="0" t="n">
        <v>21345</v>
      </c>
      <c r="J7637" s="0" t="n">
        <v>51245</v>
      </c>
      <c r="K7637" s="0" t="n">
        <v>7899085120733</v>
      </c>
      <c r="L7637" s="0" t="s">
        <v>5184</v>
      </c>
      <c r="N7637" s="0" t="n">
        <v>12</v>
      </c>
      <c r="O7637" s="0" t="n">
        <v>67</v>
      </c>
      <c r="P7637" s="0" t="s">
        <v>2444</v>
      </c>
    </row>
    <row r="7638" customFormat="false" ht="15" hidden="false" customHeight="true" outlineLevel="0" collapsed="false">
      <c r="A7638" s="0" t="n">
        <v>2</v>
      </c>
      <c r="B7638" s="71" t="n">
        <v>46266</v>
      </c>
      <c r="C7638" s="0" t="n">
        <v>11</v>
      </c>
      <c r="D7638" s="0" t="s">
        <v>2471</v>
      </c>
      <c r="E7638" s="0" t="n">
        <v>1642</v>
      </c>
      <c r="F7638" s="0" t="s">
        <v>228</v>
      </c>
      <c r="I7638" s="0" t="n">
        <v>1039683</v>
      </c>
      <c r="J7638" s="0" t="n">
        <v>105780</v>
      </c>
      <c r="K7638" s="0" t="n">
        <v>7896289210017</v>
      </c>
      <c r="L7638" s="0" t="s">
        <v>2511</v>
      </c>
      <c r="N7638" s="0" t="n">
        <v>15</v>
      </c>
      <c r="O7638" s="0" t="n">
        <v>160.05</v>
      </c>
      <c r="P7638" s="0" t="s">
        <v>2444</v>
      </c>
    </row>
    <row r="7639" customFormat="false" ht="15" hidden="false" customHeight="true" outlineLevel="0" collapsed="false">
      <c r="A7639" s="0" t="n">
        <v>2</v>
      </c>
      <c r="B7639" s="71" t="n">
        <v>46266</v>
      </c>
      <c r="C7639" s="0" t="n">
        <v>11</v>
      </c>
      <c r="D7639" s="0" t="s">
        <v>2471</v>
      </c>
      <c r="E7639" s="0" t="n">
        <v>1642</v>
      </c>
      <c r="F7639" s="0" t="s">
        <v>228</v>
      </c>
      <c r="I7639" s="0" t="n">
        <v>1039683</v>
      </c>
      <c r="J7639" s="0" t="n">
        <v>105782</v>
      </c>
      <c r="K7639" s="0" t="n">
        <v>7896289210352</v>
      </c>
      <c r="L7639" s="0" t="s">
        <v>2512</v>
      </c>
      <c r="N7639" s="0" t="n">
        <v>5</v>
      </c>
      <c r="O7639" s="0" t="n">
        <v>34.3</v>
      </c>
      <c r="P7639" s="0" t="s">
        <v>2444</v>
      </c>
    </row>
    <row r="7640" customFormat="false" ht="15" hidden="false" customHeight="true" outlineLevel="0" collapsed="false">
      <c r="A7640" s="0" t="n">
        <v>2</v>
      </c>
      <c r="B7640" s="71" t="n">
        <v>46266</v>
      </c>
      <c r="C7640" s="0" t="n">
        <v>11</v>
      </c>
      <c r="D7640" s="0" t="s">
        <v>2471</v>
      </c>
      <c r="E7640" s="0" t="n">
        <v>1642</v>
      </c>
      <c r="F7640" s="0" t="s">
        <v>228</v>
      </c>
      <c r="I7640" s="0" t="n">
        <v>1039683</v>
      </c>
      <c r="J7640" s="0" t="n">
        <v>106079</v>
      </c>
      <c r="K7640" s="0" t="n">
        <v>7896289210130</v>
      </c>
      <c r="L7640" s="0" t="s">
        <v>2513</v>
      </c>
      <c r="N7640" s="0" t="n">
        <v>5</v>
      </c>
      <c r="O7640" s="0" t="n">
        <v>68.5</v>
      </c>
      <c r="P7640" s="0" t="s">
        <v>2444</v>
      </c>
    </row>
    <row r="7641" customFormat="false" ht="15" hidden="false" customHeight="true" outlineLevel="0" collapsed="false">
      <c r="A7641" s="0" t="n">
        <v>2</v>
      </c>
      <c r="B7641" s="71" t="n">
        <v>46266</v>
      </c>
      <c r="C7641" s="0" t="n">
        <v>11</v>
      </c>
      <c r="D7641" s="0" t="s">
        <v>2471</v>
      </c>
      <c r="E7641" s="0" t="n">
        <v>1642</v>
      </c>
      <c r="F7641" s="0" t="s">
        <v>228</v>
      </c>
      <c r="I7641" s="0" t="n">
        <v>1039683</v>
      </c>
      <c r="J7641" s="0" t="n">
        <v>106274</v>
      </c>
      <c r="K7641" s="0" t="n">
        <v>7896289210086</v>
      </c>
      <c r="L7641" s="0" t="s">
        <v>2514</v>
      </c>
      <c r="N7641" s="0" t="n">
        <v>4</v>
      </c>
      <c r="O7641" s="0" t="n">
        <v>50.24</v>
      </c>
      <c r="P7641" s="0" t="s">
        <v>2444</v>
      </c>
    </row>
    <row r="7642" customFormat="false" ht="15" hidden="false" customHeight="true" outlineLevel="0" collapsed="false">
      <c r="A7642" s="0" t="n">
        <v>2</v>
      </c>
      <c r="B7642" s="71" t="n">
        <v>46266</v>
      </c>
      <c r="C7642" s="0" t="n">
        <v>11</v>
      </c>
      <c r="D7642" s="0" t="s">
        <v>2471</v>
      </c>
      <c r="E7642" s="0" t="n">
        <v>1642</v>
      </c>
      <c r="F7642" s="0" t="s">
        <v>228</v>
      </c>
      <c r="I7642" s="0" t="n">
        <v>1039683</v>
      </c>
      <c r="J7642" s="0" t="n">
        <v>106280</v>
      </c>
      <c r="K7642" s="0" t="n">
        <v>7896289210062</v>
      </c>
      <c r="L7642" s="0" t="s">
        <v>2515</v>
      </c>
      <c r="N7642" s="0" t="n">
        <v>5</v>
      </c>
      <c r="O7642" s="0" t="n">
        <v>62.8</v>
      </c>
      <c r="P7642" s="0" t="s">
        <v>2444</v>
      </c>
    </row>
    <row r="7643" customFormat="false" ht="15" hidden="false" customHeight="true" outlineLevel="0" collapsed="false">
      <c r="A7643" s="0" t="n">
        <v>2</v>
      </c>
      <c r="B7643" s="71" t="n">
        <v>46266</v>
      </c>
      <c r="C7643" s="0" t="n">
        <v>11</v>
      </c>
      <c r="D7643" s="0" t="s">
        <v>2471</v>
      </c>
      <c r="E7643" s="0" t="n">
        <v>1642</v>
      </c>
      <c r="F7643" s="0" t="s">
        <v>228</v>
      </c>
      <c r="I7643" s="0" t="n">
        <v>1039683</v>
      </c>
      <c r="J7643" s="0" t="n">
        <v>106407</v>
      </c>
      <c r="K7643" s="0" t="n">
        <v>7896289210031</v>
      </c>
      <c r="L7643" s="0" t="s">
        <v>2516</v>
      </c>
      <c r="N7643" s="0" t="n">
        <v>10</v>
      </c>
      <c r="O7643" s="0" t="n">
        <v>116.4</v>
      </c>
      <c r="P7643" s="0" t="s">
        <v>2444</v>
      </c>
    </row>
    <row r="7644" customFormat="false" ht="15" hidden="false" customHeight="true" outlineLevel="0" collapsed="false">
      <c r="A7644" s="0" t="n">
        <v>2</v>
      </c>
      <c r="B7644" s="71" t="n">
        <v>46266</v>
      </c>
      <c r="C7644" s="0" t="n">
        <v>39</v>
      </c>
      <c r="D7644" s="0" t="s">
        <v>3298</v>
      </c>
      <c r="E7644" s="0" t="n">
        <v>794</v>
      </c>
      <c r="F7644" s="0" t="s">
        <v>335</v>
      </c>
      <c r="I7644" s="0" t="n">
        <v>8802</v>
      </c>
      <c r="J7644" s="0" t="n">
        <v>65699</v>
      </c>
      <c r="K7644" s="0" t="n">
        <v>618231873159</v>
      </c>
      <c r="L7644" s="0" t="s">
        <v>3605</v>
      </c>
      <c r="N7644" s="0" t="n">
        <v>20</v>
      </c>
      <c r="O7644" s="0" t="n">
        <v>640</v>
      </c>
      <c r="P7644" s="0" t="s">
        <v>2444</v>
      </c>
    </row>
    <row r="7645" customFormat="false" ht="15" hidden="false" customHeight="true" outlineLevel="0" collapsed="false">
      <c r="A7645" s="0" t="n">
        <v>2</v>
      </c>
      <c r="B7645" s="71" t="n">
        <v>46266</v>
      </c>
      <c r="C7645" s="0" t="n">
        <v>39</v>
      </c>
      <c r="D7645" s="0" t="s">
        <v>3298</v>
      </c>
      <c r="E7645" s="0" t="n">
        <v>794</v>
      </c>
      <c r="F7645" s="0" t="s">
        <v>335</v>
      </c>
      <c r="I7645" s="0" t="n">
        <v>8802</v>
      </c>
      <c r="J7645" s="0" t="n">
        <v>67465</v>
      </c>
      <c r="K7645" s="0" t="n">
        <v>7898560800184</v>
      </c>
      <c r="L7645" s="0" t="s">
        <v>3606</v>
      </c>
      <c r="N7645" s="0" t="n">
        <v>300</v>
      </c>
      <c r="O7645" s="0" t="n">
        <v>1589.4</v>
      </c>
      <c r="P7645" s="0" t="s">
        <v>2444</v>
      </c>
    </row>
    <row r="7646" customFormat="false" ht="15" hidden="false" customHeight="true" outlineLevel="0" collapsed="false">
      <c r="A7646" s="0" t="n">
        <v>2</v>
      </c>
      <c r="B7646" s="71" t="n">
        <v>46266</v>
      </c>
      <c r="C7646" s="0" t="n">
        <v>39</v>
      </c>
      <c r="D7646" s="0" t="s">
        <v>3298</v>
      </c>
      <c r="E7646" s="0" t="n">
        <v>794</v>
      </c>
      <c r="F7646" s="0" t="s">
        <v>335</v>
      </c>
      <c r="I7646" s="0" t="n">
        <v>8802</v>
      </c>
      <c r="J7646" s="0" t="n">
        <v>67471</v>
      </c>
      <c r="K7646" s="0" t="n">
        <v>7898560800177</v>
      </c>
      <c r="L7646" s="0" t="s">
        <v>3607</v>
      </c>
      <c r="N7646" s="0" t="n">
        <v>320</v>
      </c>
      <c r="O7646" s="0" t="n">
        <v>2545.6</v>
      </c>
      <c r="P7646" s="0" t="s">
        <v>2444</v>
      </c>
    </row>
    <row r="7647" customFormat="false" ht="15" hidden="false" customHeight="true" outlineLevel="0" collapsed="false">
      <c r="A7647" s="0" t="n">
        <v>2</v>
      </c>
      <c r="B7647" s="71" t="n">
        <v>46266</v>
      </c>
      <c r="C7647" s="0" t="n">
        <v>39</v>
      </c>
      <c r="D7647" s="0" t="s">
        <v>3298</v>
      </c>
      <c r="E7647" s="0" t="n">
        <v>794</v>
      </c>
      <c r="F7647" s="0" t="s">
        <v>335</v>
      </c>
      <c r="I7647" s="0" t="n">
        <v>8802</v>
      </c>
      <c r="J7647" s="0" t="n">
        <v>67472</v>
      </c>
      <c r="K7647" s="0" t="n">
        <v>7898560800214</v>
      </c>
      <c r="L7647" s="0" t="s">
        <v>3608</v>
      </c>
      <c r="N7647" s="0" t="n">
        <v>40</v>
      </c>
      <c r="O7647" s="0" t="n">
        <v>555.2</v>
      </c>
      <c r="P7647" s="0" t="s">
        <v>2444</v>
      </c>
    </row>
    <row r="7648" customFormat="false" ht="15" hidden="false" customHeight="true" outlineLevel="0" collapsed="false">
      <c r="A7648" s="0" t="n">
        <v>2</v>
      </c>
      <c r="B7648" s="71" t="n">
        <v>46267</v>
      </c>
      <c r="C7648" s="0" t="n">
        <v>6</v>
      </c>
      <c r="D7648" s="0" t="s">
        <v>2553</v>
      </c>
      <c r="E7648" s="0" t="n">
        <v>48</v>
      </c>
      <c r="F7648" s="0" t="s">
        <v>153</v>
      </c>
      <c r="I7648" s="0" t="n">
        <v>2653</v>
      </c>
      <c r="J7648" s="0" t="n">
        <v>42564</v>
      </c>
      <c r="K7648" s="0" t="n">
        <v>574</v>
      </c>
      <c r="L7648" s="0" t="s">
        <v>2534</v>
      </c>
      <c r="N7648" s="0" t="n">
        <v>20</v>
      </c>
      <c r="O7648" s="0" t="n">
        <v>300</v>
      </c>
      <c r="P7648" s="0" t="s">
        <v>2444</v>
      </c>
    </row>
    <row r="7649" customFormat="false" ht="15" hidden="false" customHeight="true" outlineLevel="0" collapsed="false">
      <c r="A7649" s="0" t="n">
        <v>2</v>
      </c>
      <c r="B7649" s="71" t="n">
        <v>46267</v>
      </c>
      <c r="C7649" s="0" t="n">
        <v>11</v>
      </c>
      <c r="D7649" s="0" t="s">
        <v>2471</v>
      </c>
      <c r="E7649" s="0" t="n">
        <v>1625</v>
      </c>
      <c r="F7649" s="0" t="s">
        <v>270</v>
      </c>
      <c r="I7649" s="0" t="n">
        <v>15237</v>
      </c>
      <c r="J7649" s="0" t="n">
        <v>29079</v>
      </c>
      <c r="K7649" s="0" t="n">
        <v>55515</v>
      </c>
      <c r="L7649" s="0" t="s">
        <v>2449</v>
      </c>
      <c r="N7649" s="0" t="n">
        <v>94.4</v>
      </c>
      <c r="O7649" s="0" t="n">
        <v>3020.8</v>
      </c>
      <c r="P7649" s="0" t="s">
        <v>2444</v>
      </c>
    </row>
    <row r="7650" customFormat="false" ht="15" hidden="false" customHeight="true" outlineLevel="0" collapsed="false">
      <c r="A7650" s="0" t="n">
        <v>2</v>
      </c>
      <c r="B7650" s="71" t="n">
        <v>46267</v>
      </c>
      <c r="C7650" s="0" t="n">
        <v>11</v>
      </c>
      <c r="D7650" s="0" t="s">
        <v>2471</v>
      </c>
      <c r="E7650" s="0" t="n">
        <v>1625</v>
      </c>
      <c r="F7650" s="0" t="s">
        <v>270</v>
      </c>
      <c r="I7650" s="0" t="n">
        <v>15237</v>
      </c>
      <c r="J7650" s="0" t="n">
        <v>29080</v>
      </c>
      <c r="K7650" s="0" t="n">
        <v>55516</v>
      </c>
      <c r="L7650" s="0" t="s">
        <v>2450</v>
      </c>
      <c r="N7650" s="0" t="n">
        <v>84.8</v>
      </c>
      <c r="O7650" s="0" t="n">
        <v>1865.6</v>
      </c>
      <c r="P7650" s="0" t="s">
        <v>2444</v>
      </c>
    </row>
    <row r="7651" customFormat="false" ht="15" hidden="false" customHeight="true" outlineLevel="0" collapsed="false">
      <c r="A7651" s="0" t="n">
        <v>2</v>
      </c>
      <c r="B7651" s="71" t="n">
        <v>46267</v>
      </c>
      <c r="C7651" s="0" t="n">
        <v>11</v>
      </c>
      <c r="D7651" s="0" t="s">
        <v>2471</v>
      </c>
      <c r="E7651" s="0" t="n">
        <v>1683</v>
      </c>
      <c r="F7651" s="0" t="s">
        <v>406</v>
      </c>
      <c r="I7651" s="0" t="n">
        <v>1674087</v>
      </c>
      <c r="J7651" s="0" t="n">
        <v>109791</v>
      </c>
      <c r="K7651" s="0" t="n">
        <v>9667</v>
      </c>
      <c r="L7651" s="0" t="s">
        <v>2465</v>
      </c>
      <c r="N7651" s="0" t="n">
        <v>10</v>
      </c>
      <c r="O7651" s="0" t="n">
        <v>15</v>
      </c>
      <c r="P7651" s="0" t="s">
        <v>2444</v>
      </c>
    </row>
    <row r="7652" customFormat="false" ht="15" hidden="false" customHeight="true" outlineLevel="0" collapsed="false">
      <c r="A7652" s="0" t="n">
        <v>2</v>
      </c>
      <c r="B7652" s="71" t="n">
        <v>46267</v>
      </c>
      <c r="C7652" s="0" t="n">
        <v>11</v>
      </c>
      <c r="D7652" s="0" t="s">
        <v>2471</v>
      </c>
      <c r="E7652" s="0" t="n">
        <v>1683</v>
      </c>
      <c r="F7652" s="0" t="s">
        <v>406</v>
      </c>
      <c r="I7652" s="0" t="n">
        <v>1674087</v>
      </c>
      <c r="J7652" s="0" t="n">
        <v>37359</v>
      </c>
      <c r="K7652" s="0" t="n">
        <v>55526</v>
      </c>
      <c r="L7652" s="0" t="s">
        <v>2466</v>
      </c>
      <c r="N7652" s="0" t="n">
        <v>10</v>
      </c>
      <c r="O7652" s="0" t="n">
        <v>45</v>
      </c>
      <c r="P7652" s="0" t="s">
        <v>2444</v>
      </c>
    </row>
    <row r="7653" customFormat="false" ht="15" hidden="false" customHeight="true" outlineLevel="0" collapsed="false">
      <c r="A7653" s="0" t="n">
        <v>2</v>
      </c>
      <c r="B7653" s="71" t="n">
        <v>46267</v>
      </c>
      <c r="C7653" s="0" t="n">
        <v>11</v>
      </c>
      <c r="D7653" s="0" t="s">
        <v>2471</v>
      </c>
      <c r="E7653" s="0" t="n">
        <v>1683</v>
      </c>
      <c r="F7653" s="0" t="s">
        <v>406</v>
      </c>
      <c r="I7653" s="0" t="n">
        <v>1674087</v>
      </c>
      <c r="J7653" s="0" t="n">
        <v>37361</v>
      </c>
      <c r="K7653" s="0" t="n">
        <v>2240817</v>
      </c>
      <c r="L7653" s="0" t="s">
        <v>2467</v>
      </c>
      <c r="N7653" s="0" t="n">
        <v>20</v>
      </c>
      <c r="O7653" s="0" t="n">
        <v>36</v>
      </c>
      <c r="P7653" s="0" t="s">
        <v>2444</v>
      </c>
    </row>
    <row r="7654" customFormat="false" ht="15" hidden="false" customHeight="true" outlineLevel="0" collapsed="false">
      <c r="A7654" s="0" t="n">
        <v>2</v>
      </c>
      <c r="B7654" s="71" t="n">
        <v>46267</v>
      </c>
      <c r="C7654" s="0" t="n">
        <v>11</v>
      </c>
      <c r="D7654" s="0" t="s">
        <v>2471</v>
      </c>
      <c r="E7654" s="0" t="n">
        <v>1611</v>
      </c>
      <c r="F7654" s="0" t="s">
        <v>178</v>
      </c>
      <c r="I7654" s="0" t="n">
        <v>1796899</v>
      </c>
      <c r="J7654" s="0" t="n">
        <v>22890</v>
      </c>
      <c r="K7654" s="0" t="n">
        <v>7896020417156</v>
      </c>
      <c r="L7654" s="0" t="s">
        <v>4226</v>
      </c>
      <c r="N7654" s="0" t="n">
        <v>24</v>
      </c>
      <c r="O7654" s="0" t="n">
        <v>57.82</v>
      </c>
      <c r="P7654" s="0" t="s">
        <v>2444</v>
      </c>
    </row>
    <row r="7655" customFormat="false" ht="15" hidden="false" customHeight="true" outlineLevel="0" collapsed="false">
      <c r="A7655" s="0" t="n">
        <v>2</v>
      </c>
      <c r="B7655" s="71" t="n">
        <v>46267</v>
      </c>
      <c r="C7655" s="0" t="n">
        <v>22</v>
      </c>
      <c r="D7655" s="0" t="s">
        <v>2479</v>
      </c>
      <c r="E7655" s="0" t="n">
        <v>48</v>
      </c>
      <c r="F7655" s="0" t="s">
        <v>153</v>
      </c>
      <c r="I7655" s="0" t="n">
        <v>2652</v>
      </c>
      <c r="J7655" s="0" t="n">
        <v>100000</v>
      </c>
      <c r="K7655" s="0" t="n">
        <v>1</v>
      </c>
      <c r="L7655" s="0" t="s">
        <v>2480</v>
      </c>
      <c r="N7655" s="0" t="n">
        <v>3.32</v>
      </c>
      <c r="O7655" s="0" t="n">
        <v>61.84</v>
      </c>
      <c r="P7655" s="0" t="s">
        <v>2444</v>
      </c>
    </row>
    <row r="7656" customFormat="false" ht="15" hidden="false" customHeight="true" outlineLevel="0" collapsed="false">
      <c r="A7656" s="0" t="n">
        <v>2</v>
      </c>
      <c r="B7656" s="71" t="n">
        <v>46267</v>
      </c>
      <c r="C7656" s="0" t="n">
        <v>22</v>
      </c>
      <c r="D7656" s="0" t="s">
        <v>2479</v>
      </c>
      <c r="E7656" s="0" t="n">
        <v>48</v>
      </c>
      <c r="F7656" s="0" t="s">
        <v>153</v>
      </c>
      <c r="I7656" s="0" t="n">
        <v>2652</v>
      </c>
      <c r="J7656" s="0" t="n">
        <v>100000</v>
      </c>
      <c r="K7656" s="0" t="n">
        <v>1</v>
      </c>
      <c r="L7656" s="0" t="s">
        <v>2480</v>
      </c>
      <c r="N7656" s="0" t="n">
        <v>3.676</v>
      </c>
      <c r="O7656" s="0" t="n">
        <v>72.42</v>
      </c>
      <c r="P7656" s="0" t="s">
        <v>2444</v>
      </c>
    </row>
    <row r="7657" customFormat="false" ht="15" hidden="false" customHeight="true" outlineLevel="0" collapsed="false">
      <c r="A7657" s="0" t="n">
        <v>2</v>
      </c>
      <c r="B7657" s="71" t="n">
        <v>46267</v>
      </c>
      <c r="C7657" s="0" t="n">
        <v>22</v>
      </c>
      <c r="D7657" s="0" t="s">
        <v>2479</v>
      </c>
      <c r="E7657" s="0" t="n">
        <v>48</v>
      </c>
      <c r="F7657" s="0" t="s">
        <v>153</v>
      </c>
      <c r="I7657" s="0" t="n">
        <v>2652</v>
      </c>
      <c r="J7657" s="0" t="n">
        <v>100001</v>
      </c>
      <c r="K7657" s="0" t="n">
        <v>2</v>
      </c>
      <c r="L7657" s="0" t="s">
        <v>2481</v>
      </c>
      <c r="N7657" s="0" t="n">
        <v>12.775</v>
      </c>
      <c r="O7657" s="0" t="n">
        <v>257.79</v>
      </c>
      <c r="P7657" s="0" t="s">
        <v>2444</v>
      </c>
    </row>
    <row r="7658" customFormat="false" ht="15" hidden="false" customHeight="true" outlineLevel="0" collapsed="false">
      <c r="A7658" s="0" t="n">
        <v>2</v>
      </c>
      <c r="B7658" s="71" t="n">
        <v>46267</v>
      </c>
      <c r="C7658" s="0" t="n">
        <v>22</v>
      </c>
      <c r="D7658" s="0" t="s">
        <v>2479</v>
      </c>
      <c r="E7658" s="0" t="n">
        <v>48</v>
      </c>
      <c r="F7658" s="0" t="s">
        <v>153</v>
      </c>
      <c r="I7658" s="0" t="n">
        <v>2652</v>
      </c>
      <c r="J7658" s="0" t="n">
        <v>100002</v>
      </c>
      <c r="K7658" s="0" t="n">
        <v>3</v>
      </c>
      <c r="L7658" s="0" t="s">
        <v>2482</v>
      </c>
      <c r="N7658" s="0" t="n">
        <v>33.22</v>
      </c>
      <c r="O7658" s="0" t="n">
        <v>773.53</v>
      </c>
      <c r="P7658" s="0" t="s">
        <v>2444</v>
      </c>
    </row>
    <row r="7659" customFormat="false" ht="15" hidden="false" customHeight="true" outlineLevel="0" collapsed="false">
      <c r="A7659" s="0" t="n">
        <v>2</v>
      </c>
      <c r="B7659" s="71" t="n">
        <v>46267</v>
      </c>
      <c r="C7659" s="0" t="n">
        <v>22</v>
      </c>
      <c r="D7659" s="0" t="s">
        <v>2479</v>
      </c>
      <c r="E7659" s="0" t="n">
        <v>48</v>
      </c>
      <c r="F7659" s="0" t="s">
        <v>153</v>
      </c>
      <c r="I7659" s="0" t="n">
        <v>2652</v>
      </c>
      <c r="J7659" s="0" t="n">
        <v>100003</v>
      </c>
      <c r="K7659" s="0" t="n">
        <v>4</v>
      </c>
      <c r="L7659" s="0" t="s">
        <v>2483</v>
      </c>
      <c r="N7659" s="0" t="n">
        <v>24.44</v>
      </c>
      <c r="O7659" s="0" t="n">
        <v>607.04</v>
      </c>
      <c r="P7659" s="0" t="s">
        <v>2444</v>
      </c>
    </row>
    <row r="7660" customFormat="false" ht="15" hidden="false" customHeight="true" outlineLevel="0" collapsed="false">
      <c r="A7660" s="0" t="n">
        <v>2</v>
      </c>
      <c r="B7660" s="71" t="n">
        <v>46267</v>
      </c>
      <c r="C7660" s="0" t="n">
        <v>22</v>
      </c>
      <c r="D7660" s="0" t="s">
        <v>2479</v>
      </c>
      <c r="E7660" s="0" t="n">
        <v>48</v>
      </c>
      <c r="F7660" s="0" t="s">
        <v>153</v>
      </c>
      <c r="I7660" s="0" t="n">
        <v>2652</v>
      </c>
      <c r="J7660" s="0" t="n">
        <v>100004</v>
      </c>
      <c r="K7660" s="0" t="n">
        <v>5</v>
      </c>
      <c r="L7660" s="0" t="s">
        <v>2484</v>
      </c>
      <c r="N7660" s="0" t="n">
        <v>1.78</v>
      </c>
      <c r="O7660" s="0" t="n">
        <v>38.68</v>
      </c>
      <c r="P7660" s="0" t="s">
        <v>2444</v>
      </c>
    </row>
    <row r="7661" customFormat="false" ht="15" hidden="false" customHeight="true" outlineLevel="0" collapsed="false">
      <c r="A7661" s="0" t="n">
        <v>2</v>
      </c>
      <c r="B7661" s="71" t="n">
        <v>46267</v>
      </c>
      <c r="C7661" s="0" t="n">
        <v>22</v>
      </c>
      <c r="D7661" s="0" t="s">
        <v>2479</v>
      </c>
      <c r="E7661" s="0" t="n">
        <v>48</v>
      </c>
      <c r="F7661" s="0" t="s">
        <v>153</v>
      </c>
      <c r="I7661" s="0" t="n">
        <v>2652</v>
      </c>
      <c r="J7661" s="0" t="n">
        <v>100005</v>
      </c>
      <c r="K7661" s="0" t="n">
        <v>6</v>
      </c>
      <c r="L7661" s="0" t="s">
        <v>2582</v>
      </c>
      <c r="N7661" s="0" t="n">
        <v>3.13</v>
      </c>
      <c r="O7661" s="0" t="n">
        <v>72.88</v>
      </c>
      <c r="P7661" s="0" t="s">
        <v>2444</v>
      </c>
    </row>
    <row r="7662" customFormat="false" ht="15" hidden="false" customHeight="true" outlineLevel="0" collapsed="false">
      <c r="A7662" s="0" t="n">
        <v>2</v>
      </c>
      <c r="B7662" s="71" t="n">
        <v>46267</v>
      </c>
      <c r="C7662" s="0" t="n">
        <v>22</v>
      </c>
      <c r="D7662" s="0" t="s">
        <v>2479</v>
      </c>
      <c r="E7662" s="0" t="n">
        <v>48</v>
      </c>
      <c r="F7662" s="0" t="s">
        <v>153</v>
      </c>
      <c r="I7662" s="0" t="n">
        <v>2652</v>
      </c>
      <c r="J7662" s="0" t="n">
        <v>100005</v>
      </c>
      <c r="K7662" s="0" t="n">
        <v>6</v>
      </c>
      <c r="L7662" s="0" t="s">
        <v>2582</v>
      </c>
      <c r="N7662" s="0" t="n">
        <v>0.698</v>
      </c>
      <c r="O7662" s="0" t="n">
        <v>17.19</v>
      </c>
      <c r="P7662" s="0" t="s">
        <v>2444</v>
      </c>
    </row>
    <row r="7663" customFormat="false" ht="15" hidden="false" customHeight="true" outlineLevel="0" collapsed="false">
      <c r="A7663" s="0" t="n">
        <v>2</v>
      </c>
      <c r="B7663" s="71" t="n">
        <v>46267</v>
      </c>
      <c r="C7663" s="0" t="n">
        <v>22</v>
      </c>
      <c r="D7663" s="0" t="s">
        <v>2479</v>
      </c>
      <c r="E7663" s="0" t="n">
        <v>48</v>
      </c>
      <c r="F7663" s="0" t="s">
        <v>153</v>
      </c>
      <c r="I7663" s="0" t="n">
        <v>2652</v>
      </c>
      <c r="J7663" s="0" t="n">
        <v>100006</v>
      </c>
      <c r="K7663" s="0" t="n">
        <v>7</v>
      </c>
      <c r="L7663" s="0" t="s">
        <v>2485</v>
      </c>
      <c r="N7663" s="0" t="n">
        <v>3.146</v>
      </c>
      <c r="O7663" s="0" t="n">
        <v>87.82</v>
      </c>
      <c r="P7663" s="0" t="s">
        <v>2444</v>
      </c>
    </row>
    <row r="7664" customFormat="false" ht="15" hidden="false" customHeight="true" outlineLevel="0" collapsed="false">
      <c r="A7664" s="0" t="n">
        <v>2</v>
      </c>
      <c r="B7664" s="71" t="n">
        <v>46267</v>
      </c>
      <c r="C7664" s="0" t="n">
        <v>22</v>
      </c>
      <c r="D7664" s="0" t="s">
        <v>2479</v>
      </c>
      <c r="E7664" s="0" t="n">
        <v>48</v>
      </c>
      <c r="F7664" s="0" t="s">
        <v>153</v>
      </c>
      <c r="I7664" s="0" t="n">
        <v>2652</v>
      </c>
      <c r="J7664" s="0" t="n">
        <v>100007</v>
      </c>
      <c r="K7664" s="0" t="n">
        <v>8</v>
      </c>
      <c r="L7664" s="0" t="s">
        <v>2486</v>
      </c>
      <c r="N7664" s="0" t="n">
        <v>1.999</v>
      </c>
      <c r="O7664" s="0" t="n">
        <v>46.55</v>
      </c>
      <c r="P7664" s="0" t="s">
        <v>2444</v>
      </c>
    </row>
    <row r="7665" customFormat="false" ht="15" hidden="false" customHeight="true" outlineLevel="0" collapsed="false">
      <c r="A7665" s="0" t="n">
        <v>2</v>
      </c>
      <c r="B7665" s="71" t="n">
        <v>46267</v>
      </c>
      <c r="C7665" s="0" t="n">
        <v>22</v>
      </c>
      <c r="D7665" s="0" t="s">
        <v>2479</v>
      </c>
      <c r="E7665" s="0" t="n">
        <v>48</v>
      </c>
      <c r="F7665" s="0" t="s">
        <v>153</v>
      </c>
      <c r="I7665" s="0" t="n">
        <v>2652</v>
      </c>
      <c r="J7665" s="0" t="n">
        <v>100007</v>
      </c>
      <c r="K7665" s="0" t="n">
        <v>8</v>
      </c>
      <c r="L7665" s="0" t="s">
        <v>2486</v>
      </c>
      <c r="N7665" s="0" t="n">
        <v>1.864</v>
      </c>
      <c r="O7665" s="0" t="n">
        <v>45.91</v>
      </c>
      <c r="P7665" s="0" t="s">
        <v>2444</v>
      </c>
    </row>
    <row r="7666" customFormat="false" ht="15" hidden="false" customHeight="true" outlineLevel="0" collapsed="false">
      <c r="A7666" s="0" t="n">
        <v>2</v>
      </c>
      <c r="B7666" s="71" t="n">
        <v>46267</v>
      </c>
      <c r="C7666" s="0" t="n">
        <v>22</v>
      </c>
      <c r="D7666" s="0" t="s">
        <v>2479</v>
      </c>
      <c r="E7666" s="0" t="n">
        <v>48</v>
      </c>
      <c r="F7666" s="0" t="s">
        <v>153</v>
      </c>
      <c r="I7666" s="0" t="n">
        <v>2652</v>
      </c>
      <c r="J7666" s="0" t="n">
        <v>100008</v>
      </c>
      <c r="K7666" s="0" t="n">
        <v>9</v>
      </c>
      <c r="L7666" s="0" t="s">
        <v>2487</v>
      </c>
      <c r="N7666" s="0" t="n">
        <v>21.12</v>
      </c>
      <c r="O7666" s="0" t="n">
        <v>676.26</v>
      </c>
      <c r="P7666" s="0" t="s">
        <v>2444</v>
      </c>
    </row>
    <row r="7667" customFormat="false" ht="15" hidden="false" customHeight="true" outlineLevel="0" collapsed="false">
      <c r="A7667" s="0" t="n">
        <v>2</v>
      </c>
      <c r="B7667" s="71" t="n">
        <v>46267</v>
      </c>
      <c r="C7667" s="0" t="n">
        <v>22</v>
      </c>
      <c r="D7667" s="0" t="s">
        <v>2479</v>
      </c>
      <c r="E7667" s="0" t="n">
        <v>48</v>
      </c>
      <c r="F7667" s="0" t="s">
        <v>153</v>
      </c>
      <c r="I7667" s="0" t="n">
        <v>2652</v>
      </c>
      <c r="J7667" s="0" t="n">
        <v>100011</v>
      </c>
      <c r="K7667" s="0" t="n">
        <v>12</v>
      </c>
      <c r="L7667" s="0" t="s">
        <v>2488</v>
      </c>
      <c r="N7667" s="0" t="n">
        <v>12.3</v>
      </c>
      <c r="O7667" s="0" t="n">
        <v>454.45</v>
      </c>
      <c r="P7667" s="0" t="s">
        <v>2444</v>
      </c>
    </row>
    <row r="7668" customFormat="false" ht="15" hidden="false" customHeight="true" outlineLevel="0" collapsed="false">
      <c r="A7668" s="0" t="n">
        <v>2</v>
      </c>
      <c r="B7668" s="71" t="n">
        <v>46267</v>
      </c>
      <c r="C7668" s="0" t="n">
        <v>22</v>
      </c>
      <c r="D7668" s="0" t="s">
        <v>2479</v>
      </c>
      <c r="E7668" s="0" t="n">
        <v>48</v>
      </c>
      <c r="F7668" s="0" t="s">
        <v>153</v>
      </c>
      <c r="I7668" s="0" t="n">
        <v>2652</v>
      </c>
      <c r="J7668" s="0" t="n">
        <v>100012</v>
      </c>
      <c r="K7668" s="0" t="n">
        <v>13</v>
      </c>
      <c r="L7668" s="0" t="s">
        <v>2489</v>
      </c>
      <c r="N7668" s="0" t="n">
        <v>7.145</v>
      </c>
      <c r="O7668" s="0" t="n">
        <v>293.33</v>
      </c>
      <c r="P7668" s="0" t="s">
        <v>2444</v>
      </c>
    </row>
    <row r="7669" customFormat="false" ht="15" hidden="false" customHeight="true" outlineLevel="0" collapsed="false">
      <c r="A7669" s="0" t="n">
        <v>2</v>
      </c>
      <c r="B7669" s="71" t="n">
        <v>46267</v>
      </c>
      <c r="C7669" s="0" t="n">
        <v>22</v>
      </c>
      <c r="D7669" s="0" t="s">
        <v>2479</v>
      </c>
      <c r="E7669" s="0" t="n">
        <v>48</v>
      </c>
      <c r="F7669" s="0" t="s">
        <v>153</v>
      </c>
      <c r="I7669" s="0" t="n">
        <v>2652</v>
      </c>
      <c r="J7669" s="0" t="n">
        <v>100013</v>
      </c>
      <c r="K7669" s="0" t="n">
        <v>14</v>
      </c>
      <c r="L7669" s="0" t="s">
        <v>2490</v>
      </c>
      <c r="N7669" s="0" t="n">
        <v>13.66</v>
      </c>
      <c r="O7669" s="0" t="n">
        <v>594.44</v>
      </c>
      <c r="P7669" s="0" t="s">
        <v>2444</v>
      </c>
    </row>
    <row r="7670" customFormat="false" ht="15" hidden="false" customHeight="true" outlineLevel="0" collapsed="false">
      <c r="A7670" s="0" t="n">
        <v>2</v>
      </c>
      <c r="B7670" s="71" t="n">
        <v>46267</v>
      </c>
      <c r="C7670" s="0" t="n">
        <v>22</v>
      </c>
      <c r="D7670" s="0" t="s">
        <v>2479</v>
      </c>
      <c r="E7670" s="0" t="n">
        <v>48</v>
      </c>
      <c r="F7670" s="0" t="s">
        <v>153</v>
      </c>
      <c r="I7670" s="0" t="n">
        <v>2652</v>
      </c>
      <c r="J7670" s="0" t="n">
        <v>100014</v>
      </c>
      <c r="K7670" s="0" t="n">
        <v>15</v>
      </c>
      <c r="L7670" s="0" t="s">
        <v>2491</v>
      </c>
      <c r="N7670" s="0" t="n">
        <v>5.598</v>
      </c>
      <c r="O7670" s="0" t="n">
        <v>248.21</v>
      </c>
      <c r="P7670" s="0" t="s">
        <v>2444</v>
      </c>
    </row>
    <row r="7671" customFormat="false" ht="15" hidden="false" customHeight="true" outlineLevel="0" collapsed="false">
      <c r="A7671" s="0" t="n">
        <v>2</v>
      </c>
      <c r="B7671" s="71" t="n">
        <v>46267</v>
      </c>
      <c r="C7671" s="0" t="n">
        <v>22</v>
      </c>
      <c r="D7671" s="0" t="s">
        <v>2479</v>
      </c>
      <c r="E7671" s="0" t="n">
        <v>48</v>
      </c>
      <c r="F7671" s="0" t="s">
        <v>153</v>
      </c>
      <c r="I7671" s="0" t="n">
        <v>2652</v>
      </c>
      <c r="J7671" s="0" t="n">
        <v>100015</v>
      </c>
      <c r="K7671" s="0" t="n">
        <v>16</v>
      </c>
      <c r="L7671" s="0" t="s">
        <v>2492</v>
      </c>
      <c r="N7671" s="0" t="n">
        <v>2.076</v>
      </c>
      <c r="O7671" s="0" t="n">
        <v>81.82</v>
      </c>
      <c r="P7671" s="0" t="s">
        <v>2444</v>
      </c>
    </row>
    <row r="7672" customFormat="false" ht="15" hidden="false" customHeight="true" outlineLevel="0" collapsed="false">
      <c r="A7672" s="0" t="n">
        <v>2</v>
      </c>
      <c r="B7672" s="71" t="n">
        <v>46267</v>
      </c>
      <c r="C7672" s="0" t="n">
        <v>22</v>
      </c>
      <c r="D7672" s="0" t="s">
        <v>2479</v>
      </c>
      <c r="E7672" s="0" t="n">
        <v>48</v>
      </c>
      <c r="F7672" s="0" t="s">
        <v>153</v>
      </c>
      <c r="I7672" s="0" t="n">
        <v>2652</v>
      </c>
      <c r="J7672" s="0" t="n">
        <v>100016</v>
      </c>
      <c r="K7672" s="0" t="n">
        <v>17</v>
      </c>
      <c r="L7672" s="0" t="s">
        <v>2493</v>
      </c>
      <c r="N7672" s="0" t="n">
        <v>2.894</v>
      </c>
      <c r="O7672" s="0" t="n">
        <v>142.58</v>
      </c>
      <c r="P7672" s="0" t="s">
        <v>2444</v>
      </c>
    </row>
    <row r="7673" customFormat="false" ht="15" hidden="false" customHeight="true" outlineLevel="0" collapsed="false">
      <c r="A7673" s="0" t="n">
        <v>2</v>
      </c>
      <c r="B7673" s="71" t="n">
        <v>46267</v>
      </c>
      <c r="C7673" s="0" t="n">
        <v>22</v>
      </c>
      <c r="D7673" s="0" t="s">
        <v>2479</v>
      </c>
      <c r="E7673" s="0" t="n">
        <v>48</v>
      </c>
      <c r="F7673" s="0" t="s">
        <v>153</v>
      </c>
      <c r="I7673" s="0" t="n">
        <v>2652</v>
      </c>
      <c r="J7673" s="0" t="n">
        <v>100017</v>
      </c>
      <c r="K7673" s="0" t="n">
        <v>18</v>
      </c>
      <c r="L7673" s="0" t="s">
        <v>2494</v>
      </c>
      <c r="N7673" s="0" t="n">
        <v>2.012</v>
      </c>
      <c r="O7673" s="0" t="n">
        <v>115.65</v>
      </c>
      <c r="P7673" s="0" t="s">
        <v>2444</v>
      </c>
    </row>
    <row r="7674" customFormat="false" ht="15" hidden="false" customHeight="true" outlineLevel="0" collapsed="false">
      <c r="A7674" s="0" t="n">
        <v>2</v>
      </c>
      <c r="B7674" s="71" t="n">
        <v>46267</v>
      </c>
      <c r="C7674" s="0" t="n">
        <v>22</v>
      </c>
      <c r="D7674" s="0" t="s">
        <v>2479</v>
      </c>
      <c r="E7674" s="0" t="n">
        <v>48</v>
      </c>
      <c r="F7674" s="0" t="s">
        <v>153</v>
      </c>
      <c r="I7674" s="0" t="n">
        <v>2652</v>
      </c>
      <c r="J7674" s="0" t="n">
        <v>100020</v>
      </c>
      <c r="K7674" s="0" t="n">
        <v>21</v>
      </c>
      <c r="L7674" s="0" t="s">
        <v>4878</v>
      </c>
      <c r="N7674" s="0" t="n">
        <v>0.786</v>
      </c>
      <c r="O7674" s="0" t="n">
        <v>25.17</v>
      </c>
      <c r="P7674" s="0" t="s">
        <v>2444</v>
      </c>
    </row>
    <row r="7675" customFormat="false" ht="15" hidden="false" customHeight="true" outlineLevel="0" collapsed="false">
      <c r="A7675" s="0" t="n">
        <v>2</v>
      </c>
      <c r="B7675" s="71" t="n">
        <v>46267</v>
      </c>
      <c r="C7675" s="0" t="n">
        <v>22</v>
      </c>
      <c r="D7675" s="0" t="s">
        <v>2479</v>
      </c>
      <c r="E7675" s="0" t="n">
        <v>48</v>
      </c>
      <c r="F7675" s="0" t="s">
        <v>153</v>
      </c>
      <c r="I7675" s="0" t="n">
        <v>2652</v>
      </c>
      <c r="J7675" s="0" t="n">
        <v>100053</v>
      </c>
      <c r="K7675" s="0" t="n">
        <v>54</v>
      </c>
      <c r="L7675" s="0" t="s">
        <v>2495</v>
      </c>
      <c r="N7675" s="0" t="n">
        <v>3.708</v>
      </c>
      <c r="O7675" s="0" t="n">
        <v>133.96</v>
      </c>
      <c r="P7675" s="0" t="s">
        <v>2444</v>
      </c>
    </row>
    <row r="7676" customFormat="false" ht="15" hidden="false" customHeight="true" outlineLevel="0" collapsed="false">
      <c r="A7676" s="0" t="n">
        <v>2</v>
      </c>
      <c r="B7676" s="71" t="n">
        <v>46267</v>
      </c>
      <c r="C7676" s="0" t="n">
        <v>22</v>
      </c>
      <c r="D7676" s="0" t="s">
        <v>2479</v>
      </c>
      <c r="E7676" s="0" t="n">
        <v>48</v>
      </c>
      <c r="F7676" s="0" t="s">
        <v>153</v>
      </c>
      <c r="I7676" s="0" t="n">
        <v>2652</v>
      </c>
      <c r="J7676" s="0" t="n">
        <v>100638</v>
      </c>
      <c r="K7676" s="0" t="n">
        <v>508</v>
      </c>
      <c r="L7676" s="0" t="s">
        <v>2496</v>
      </c>
      <c r="N7676" s="0" t="n">
        <v>2.584</v>
      </c>
      <c r="O7676" s="0" t="n">
        <v>6.34</v>
      </c>
      <c r="P7676" s="0" t="s">
        <v>2444</v>
      </c>
    </row>
    <row r="7677" customFormat="false" ht="15" hidden="false" customHeight="true" outlineLevel="0" collapsed="false">
      <c r="A7677" s="0" t="n">
        <v>2</v>
      </c>
      <c r="B7677" s="71" t="n">
        <v>46267</v>
      </c>
      <c r="C7677" s="0" t="n">
        <v>22</v>
      </c>
      <c r="D7677" s="0" t="s">
        <v>2479</v>
      </c>
      <c r="E7677" s="0" t="n">
        <v>48</v>
      </c>
      <c r="F7677" s="0" t="s">
        <v>153</v>
      </c>
      <c r="I7677" s="0" t="n">
        <v>2652</v>
      </c>
      <c r="J7677" s="0" t="n">
        <v>100638</v>
      </c>
      <c r="K7677" s="0" t="n">
        <v>508</v>
      </c>
      <c r="L7677" s="0" t="s">
        <v>2496</v>
      </c>
      <c r="N7677" s="0" t="n">
        <v>2.198</v>
      </c>
      <c r="O7677" s="0" t="n">
        <v>5.1</v>
      </c>
      <c r="P7677" s="0" t="s">
        <v>2444</v>
      </c>
    </row>
    <row r="7678" customFormat="false" ht="15" hidden="false" customHeight="true" outlineLevel="0" collapsed="false">
      <c r="A7678" s="0" t="n">
        <v>2</v>
      </c>
      <c r="B7678" s="71" t="n">
        <v>46267</v>
      </c>
      <c r="C7678" s="0" t="n">
        <v>22</v>
      </c>
      <c r="D7678" s="0" t="s">
        <v>2479</v>
      </c>
      <c r="E7678" s="0" t="n">
        <v>48</v>
      </c>
      <c r="F7678" s="0" t="s">
        <v>153</v>
      </c>
      <c r="I7678" s="0" t="n">
        <v>2652</v>
      </c>
      <c r="J7678" s="0" t="n">
        <v>100520</v>
      </c>
      <c r="K7678" s="0" t="n">
        <v>507</v>
      </c>
      <c r="L7678" s="0" t="s">
        <v>2497</v>
      </c>
      <c r="N7678" s="0" t="n">
        <v>10.29</v>
      </c>
      <c r="O7678" s="0" t="n">
        <v>25.27</v>
      </c>
      <c r="P7678" s="0" t="s">
        <v>2444</v>
      </c>
    </row>
    <row r="7679" customFormat="false" ht="15" hidden="false" customHeight="true" outlineLevel="0" collapsed="false">
      <c r="A7679" s="0" t="n">
        <v>2</v>
      </c>
      <c r="B7679" s="71" t="n">
        <v>46267</v>
      </c>
      <c r="C7679" s="0" t="n">
        <v>22</v>
      </c>
      <c r="D7679" s="0" t="s">
        <v>2479</v>
      </c>
      <c r="E7679" s="0" t="n">
        <v>48</v>
      </c>
      <c r="F7679" s="0" t="s">
        <v>153</v>
      </c>
      <c r="I7679" s="0" t="n">
        <v>2652</v>
      </c>
      <c r="J7679" s="0" t="n">
        <v>100520</v>
      </c>
      <c r="K7679" s="0" t="n">
        <v>507</v>
      </c>
      <c r="L7679" s="0" t="s">
        <v>2497</v>
      </c>
      <c r="N7679" s="0" t="n">
        <v>0.94</v>
      </c>
      <c r="O7679" s="0" t="n">
        <v>2.18</v>
      </c>
      <c r="P7679" s="0" t="s">
        <v>2444</v>
      </c>
    </row>
    <row r="7680" customFormat="false" ht="15" hidden="false" customHeight="true" outlineLevel="0" collapsed="false">
      <c r="A7680" s="0" t="n">
        <v>2</v>
      </c>
      <c r="B7680" s="71" t="n">
        <v>46267</v>
      </c>
      <c r="C7680" s="0" t="n">
        <v>22</v>
      </c>
      <c r="D7680" s="0" t="s">
        <v>2479</v>
      </c>
      <c r="E7680" s="0" t="n">
        <v>48</v>
      </c>
      <c r="F7680" s="0" t="s">
        <v>153</v>
      </c>
      <c r="I7680" s="0" t="n">
        <v>2652</v>
      </c>
      <c r="J7680" s="0" t="n">
        <v>110455</v>
      </c>
      <c r="K7680" s="0" t="n">
        <v>53212</v>
      </c>
      <c r="L7680" s="0" t="s">
        <v>2498</v>
      </c>
      <c r="N7680" s="0" t="n">
        <v>0.998</v>
      </c>
      <c r="O7680" s="0" t="n">
        <v>0.01</v>
      </c>
      <c r="P7680" s="0" t="s">
        <v>2444</v>
      </c>
    </row>
    <row r="7681" customFormat="false" ht="15" hidden="false" customHeight="true" outlineLevel="0" collapsed="false">
      <c r="A7681" s="0" t="n">
        <v>2</v>
      </c>
      <c r="B7681" s="71" t="n">
        <v>46267</v>
      </c>
      <c r="C7681" s="0" t="n">
        <v>22</v>
      </c>
      <c r="D7681" s="0" t="s">
        <v>2479</v>
      </c>
      <c r="E7681" s="0" t="n">
        <v>48</v>
      </c>
      <c r="F7681" s="0" t="s">
        <v>153</v>
      </c>
      <c r="I7681" s="0" t="n">
        <v>2652</v>
      </c>
      <c r="J7681" s="0" t="n">
        <v>110455</v>
      </c>
      <c r="K7681" s="0" t="n">
        <v>53212</v>
      </c>
      <c r="L7681" s="0" t="s">
        <v>2498</v>
      </c>
      <c r="N7681" s="0" t="n">
        <v>0.843</v>
      </c>
      <c r="O7681" s="0" t="n">
        <v>0</v>
      </c>
      <c r="P7681" s="0" t="s">
        <v>2444</v>
      </c>
    </row>
    <row r="7682" customFormat="false" ht="15" hidden="false" customHeight="true" outlineLevel="0" collapsed="false">
      <c r="A7682" s="0" t="n">
        <v>2</v>
      </c>
      <c r="B7682" s="71" t="n">
        <v>46267</v>
      </c>
      <c r="C7682" s="0" t="n">
        <v>100</v>
      </c>
      <c r="D7682" s="0" t="s">
        <v>2499</v>
      </c>
      <c r="E7682" s="0" t="n">
        <v>48</v>
      </c>
      <c r="F7682" s="0" t="s">
        <v>153</v>
      </c>
      <c r="I7682" s="0" t="n">
        <v>1638580</v>
      </c>
      <c r="J7682" s="0" t="n">
        <v>100000</v>
      </c>
      <c r="K7682" s="0" t="n">
        <v>1</v>
      </c>
      <c r="L7682" s="0" t="s">
        <v>2480</v>
      </c>
      <c r="N7682" s="0" t="n">
        <v>3.676</v>
      </c>
      <c r="O7682" s="0" t="n">
        <v>72.42</v>
      </c>
      <c r="P7682" s="0" t="s">
        <v>2444</v>
      </c>
    </row>
    <row r="7683" customFormat="false" ht="15" hidden="false" customHeight="true" outlineLevel="0" collapsed="false">
      <c r="A7683" s="0" t="n">
        <v>2</v>
      </c>
      <c r="B7683" s="71" t="n">
        <v>46267</v>
      </c>
      <c r="C7683" s="0" t="n">
        <v>100</v>
      </c>
      <c r="D7683" s="0" t="s">
        <v>2499</v>
      </c>
      <c r="E7683" s="0" t="n">
        <v>48</v>
      </c>
      <c r="F7683" s="0" t="s">
        <v>153</v>
      </c>
      <c r="I7683" s="0" t="n">
        <v>1638580</v>
      </c>
      <c r="J7683" s="0" t="n">
        <v>100005</v>
      </c>
      <c r="K7683" s="0" t="n">
        <v>6</v>
      </c>
      <c r="L7683" s="0" t="s">
        <v>2582</v>
      </c>
      <c r="N7683" s="0" t="n">
        <v>0.698</v>
      </c>
      <c r="O7683" s="0" t="n">
        <v>17.19</v>
      </c>
      <c r="P7683" s="0" t="s">
        <v>2444</v>
      </c>
    </row>
    <row r="7684" customFormat="false" ht="15" hidden="false" customHeight="true" outlineLevel="0" collapsed="false">
      <c r="A7684" s="0" t="n">
        <v>2</v>
      </c>
      <c r="B7684" s="71" t="n">
        <v>46267</v>
      </c>
      <c r="C7684" s="0" t="n">
        <v>100</v>
      </c>
      <c r="D7684" s="0" t="s">
        <v>2499</v>
      </c>
      <c r="E7684" s="0" t="n">
        <v>48</v>
      </c>
      <c r="F7684" s="0" t="s">
        <v>153</v>
      </c>
      <c r="I7684" s="0" t="n">
        <v>1638580</v>
      </c>
      <c r="J7684" s="0" t="n">
        <v>100006</v>
      </c>
      <c r="K7684" s="0" t="n">
        <v>7</v>
      </c>
      <c r="L7684" s="0" t="s">
        <v>2485</v>
      </c>
      <c r="N7684" s="0" t="n">
        <v>3.146</v>
      </c>
      <c r="O7684" s="0" t="n">
        <v>87.82</v>
      </c>
      <c r="P7684" s="0" t="s">
        <v>2444</v>
      </c>
    </row>
    <row r="7685" customFormat="false" ht="15" hidden="false" customHeight="true" outlineLevel="0" collapsed="false">
      <c r="A7685" s="0" t="n">
        <v>2</v>
      </c>
      <c r="B7685" s="71" t="n">
        <v>46267</v>
      </c>
      <c r="C7685" s="0" t="n">
        <v>100</v>
      </c>
      <c r="D7685" s="0" t="s">
        <v>2499</v>
      </c>
      <c r="E7685" s="0" t="n">
        <v>48</v>
      </c>
      <c r="F7685" s="0" t="s">
        <v>153</v>
      </c>
      <c r="I7685" s="0" t="n">
        <v>1638580</v>
      </c>
      <c r="J7685" s="0" t="n">
        <v>100007</v>
      </c>
      <c r="K7685" s="0" t="n">
        <v>8</v>
      </c>
      <c r="L7685" s="0" t="s">
        <v>2486</v>
      </c>
      <c r="N7685" s="0" t="n">
        <v>1.864</v>
      </c>
      <c r="O7685" s="0" t="n">
        <v>45.91</v>
      </c>
      <c r="P7685" s="0" t="s">
        <v>2444</v>
      </c>
    </row>
    <row r="7686" customFormat="false" ht="15" hidden="false" customHeight="true" outlineLevel="0" collapsed="false">
      <c r="A7686" s="0" t="n">
        <v>2</v>
      </c>
      <c r="B7686" s="71" t="n">
        <v>46267</v>
      </c>
      <c r="C7686" s="0" t="n">
        <v>100</v>
      </c>
      <c r="D7686" s="0" t="s">
        <v>2499</v>
      </c>
      <c r="E7686" s="0" t="n">
        <v>48</v>
      </c>
      <c r="F7686" s="0" t="s">
        <v>153</v>
      </c>
      <c r="I7686" s="0" t="n">
        <v>1638580</v>
      </c>
      <c r="J7686" s="0" t="n">
        <v>100008</v>
      </c>
      <c r="K7686" s="0" t="n">
        <v>9</v>
      </c>
      <c r="L7686" s="0" t="s">
        <v>2487</v>
      </c>
      <c r="N7686" s="0" t="n">
        <v>21.12</v>
      </c>
      <c r="O7686" s="0" t="n">
        <v>676.26</v>
      </c>
      <c r="P7686" s="0" t="s">
        <v>2444</v>
      </c>
    </row>
    <row r="7687" customFormat="false" ht="15" hidden="false" customHeight="true" outlineLevel="0" collapsed="false">
      <c r="A7687" s="0" t="n">
        <v>2</v>
      </c>
      <c r="B7687" s="71" t="n">
        <v>46267</v>
      </c>
      <c r="C7687" s="0" t="n">
        <v>100</v>
      </c>
      <c r="D7687" s="0" t="s">
        <v>2499</v>
      </c>
      <c r="E7687" s="0" t="n">
        <v>48</v>
      </c>
      <c r="F7687" s="0" t="s">
        <v>153</v>
      </c>
      <c r="I7687" s="0" t="n">
        <v>1638580</v>
      </c>
      <c r="J7687" s="0" t="n">
        <v>100011</v>
      </c>
      <c r="K7687" s="0" t="n">
        <v>12</v>
      </c>
      <c r="L7687" s="0" t="s">
        <v>2488</v>
      </c>
      <c r="N7687" s="0" t="n">
        <v>12.3</v>
      </c>
      <c r="O7687" s="0" t="n">
        <v>454.45</v>
      </c>
      <c r="P7687" s="0" t="s">
        <v>2444</v>
      </c>
    </row>
    <row r="7688" customFormat="false" ht="15" hidden="false" customHeight="true" outlineLevel="0" collapsed="false">
      <c r="A7688" s="0" t="n">
        <v>2</v>
      </c>
      <c r="B7688" s="71" t="n">
        <v>46267</v>
      </c>
      <c r="C7688" s="0" t="n">
        <v>100</v>
      </c>
      <c r="D7688" s="0" t="s">
        <v>2499</v>
      </c>
      <c r="E7688" s="0" t="n">
        <v>48</v>
      </c>
      <c r="F7688" s="0" t="s">
        <v>153</v>
      </c>
      <c r="I7688" s="0" t="n">
        <v>1638580</v>
      </c>
      <c r="J7688" s="0" t="n">
        <v>100012</v>
      </c>
      <c r="K7688" s="0" t="n">
        <v>13</v>
      </c>
      <c r="L7688" s="0" t="s">
        <v>2489</v>
      </c>
      <c r="N7688" s="0" t="n">
        <v>7.145</v>
      </c>
      <c r="O7688" s="0" t="n">
        <v>293.33</v>
      </c>
      <c r="P7688" s="0" t="s">
        <v>2444</v>
      </c>
    </row>
    <row r="7689" customFormat="false" ht="15" hidden="false" customHeight="true" outlineLevel="0" collapsed="false">
      <c r="A7689" s="0" t="n">
        <v>2</v>
      </c>
      <c r="B7689" s="71" t="n">
        <v>46267</v>
      </c>
      <c r="C7689" s="0" t="n">
        <v>100</v>
      </c>
      <c r="D7689" s="0" t="s">
        <v>2499</v>
      </c>
      <c r="E7689" s="0" t="n">
        <v>48</v>
      </c>
      <c r="F7689" s="0" t="s">
        <v>153</v>
      </c>
      <c r="I7689" s="0" t="n">
        <v>1638580</v>
      </c>
      <c r="J7689" s="0" t="n">
        <v>100013</v>
      </c>
      <c r="K7689" s="0" t="n">
        <v>14</v>
      </c>
      <c r="L7689" s="0" t="s">
        <v>2490</v>
      </c>
      <c r="N7689" s="0" t="n">
        <v>13.66</v>
      </c>
      <c r="O7689" s="0" t="n">
        <v>594.44</v>
      </c>
      <c r="P7689" s="0" t="s">
        <v>2444</v>
      </c>
    </row>
    <row r="7690" customFormat="false" ht="15" hidden="false" customHeight="true" outlineLevel="0" collapsed="false">
      <c r="A7690" s="0" t="n">
        <v>2</v>
      </c>
      <c r="B7690" s="71" t="n">
        <v>46267</v>
      </c>
      <c r="C7690" s="0" t="n">
        <v>100</v>
      </c>
      <c r="D7690" s="0" t="s">
        <v>2499</v>
      </c>
      <c r="E7690" s="0" t="n">
        <v>48</v>
      </c>
      <c r="F7690" s="0" t="s">
        <v>153</v>
      </c>
      <c r="I7690" s="0" t="n">
        <v>1638580</v>
      </c>
      <c r="J7690" s="0" t="n">
        <v>100014</v>
      </c>
      <c r="K7690" s="0" t="n">
        <v>15</v>
      </c>
      <c r="L7690" s="0" t="s">
        <v>2491</v>
      </c>
      <c r="N7690" s="0" t="n">
        <v>5.598</v>
      </c>
      <c r="O7690" s="0" t="n">
        <v>248.21</v>
      </c>
      <c r="P7690" s="0" t="s">
        <v>2444</v>
      </c>
    </row>
    <row r="7691" customFormat="false" ht="15" hidden="false" customHeight="true" outlineLevel="0" collapsed="false">
      <c r="A7691" s="0" t="n">
        <v>2</v>
      </c>
      <c r="B7691" s="71" t="n">
        <v>46267</v>
      </c>
      <c r="C7691" s="0" t="n">
        <v>100</v>
      </c>
      <c r="D7691" s="0" t="s">
        <v>2499</v>
      </c>
      <c r="E7691" s="0" t="n">
        <v>48</v>
      </c>
      <c r="F7691" s="0" t="s">
        <v>153</v>
      </c>
      <c r="I7691" s="0" t="n">
        <v>1638580</v>
      </c>
      <c r="J7691" s="0" t="n">
        <v>100015</v>
      </c>
      <c r="K7691" s="0" t="n">
        <v>16</v>
      </c>
      <c r="L7691" s="0" t="s">
        <v>2492</v>
      </c>
      <c r="N7691" s="0" t="n">
        <v>2.076</v>
      </c>
      <c r="O7691" s="0" t="n">
        <v>81.82</v>
      </c>
      <c r="P7691" s="0" t="s">
        <v>2444</v>
      </c>
    </row>
    <row r="7692" customFormat="false" ht="15" hidden="false" customHeight="true" outlineLevel="0" collapsed="false">
      <c r="A7692" s="0" t="n">
        <v>2</v>
      </c>
      <c r="B7692" s="71" t="n">
        <v>46267</v>
      </c>
      <c r="C7692" s="0" t="n">
        <v>100</v>
      </c>
      <c r="D7692" s="0" t="s">
        <v>2499</v>
      </c>
      <c r="E7692" s="0" t="n">
        <v>48</v>
      </c>
      <c r="F7692" s="0" t="s">
        <v>153</v>
      </c>
      <c r="I7692" s="0" t="n">
        <v>1638580</v>
      </c>
      <c r="J7692" s="0" t="n">
        <v>100016</v>
      </c>
      <c r="K7692" s="0" t="n">
        <v>17</v>
      </c>
      <c r="L7692" s="0" t="s">
        <v>2493</v>
      </c>
      <c r="N7692" s="0" t="n">
        <v>2.894</v>
      </c>
      <c r="O7692" s="0" t="n">
        <v>142.58</v>
      </c>
      <c r="P7692" s="0" t="s">
        <v>2444</v>
      </c>
    </row>
    <row r="7693" customFormat="false" ht="15" hidden="false" customHeight="true" outlineLevel="0" collapsed="false">
      <c r="A7693" s="0" t="n">
        <v>2</v>
      </c>
      <c r="B7693" s="71" t="n">
        <v>46267</v>
      </c>
      <c r="C7693" s="0" t="n">
        <v>100</v>
      </c>
      <c r="D7693" s="0" t="s">
        <v>2499</v>
      </c>
      <c r="E7693" s="0" t="n">
        <v>48</v>
      </c>
      <c r="F7693" s="0" t="s">
        <v>153</v>
      </c>
      <c r="I7693" s="0" t="n">
        <v>1638580</v>
      </c>
      <c r="J7693" s="0" t="n">
        <v>100017</v>
      </c>
      <c r="K7693" s="0" t="n">
        <v>18</v>
      </c>
      <c r="L7693" s="0" t="s">
        <v>2494</v>
      </c>
      <c r="N7693" s="0" t="n">
        <v>2.012</v>
      </c>
      <c r="O7693" s="0" t="n">
        <v>115.65</v>
      </c>
      <c r="P7693" s="0" t="s">
        <v>2444</v>
      </c>
    </row>
    <row r="7694" customFormat="false" ht="15" hidden="false" customHeight="true" outlineLevel="0" collapsed="false">
      <c r="A7694" s="0" t="n">
        <v>2</v>
      </c>
      <c r="B7694" s="71" t="n">
        <v>46267</v>
      </c>
      <c r="C7694" s="0" t="n">
        <v>100</v>
      </c>
      <c r="D7694" s="0" t="s">
        <v>2499</v>
      </c>
      <c r="E7694" s="0" t="n">
        <v>48</v>
      </c>
      <c r="F7694" s="0" t="s">
        <v>153</v>
      </c>
      <c r="I7694" s="0" t="n">
        <v>1638580</v>
      </c>
      <c r="J7694" s="0" t="n">
        <v>100020</v>
      </c>
      <c r="K7694" s="0" t="n">
        <v>21</v>
      </c>
      <c r="L7694" s="0" t="s">
        <v>4878</v>
      </c>
      <c r="N7694" s="0" t="n">
        <v>0.786</v>
      </c>
      <c r="O7694" s="0" t="n">
        <v>25.17</v>
      </c>
      <c r="P7694" s="0" t="s">
        <v>2444</v>
      </c>
    </row>
    <row r="7695" customFormat="false" ht="15" hidden="false" customHeight="true" outlineLevel="0" collapsed="false">
      <c r="A7695" s="0" t="n">
        <v>2</v>
      </c>
      <c r="B7695" s="71" t="n">
        <v>46267</v>
      </c>
      <c r="C7695" s="0" t="n">
        <v>100</v>
      </c>
      <c r="D7695" s="0" t="s">
        <v>2499</v>
      </c>
      <c r="E7695" s="0" t="n">
        <v>48</v>
      </c>
      <c r="F7695" s="0" t="s">
        <v>153</v>
      </c>
      <c r="I7695" s="0" t="n">
        <v>1638580</v>
      </c>
      <c r="J7695" s="0" t="n">
        <v>100053</v>
      </c>
      <c r="K7695" s="0" t="n">
        <v>54</v>
      </c>
      <c r="L7695" s="0" t="s">
        <v>2495</v>
      </c>
      <c r="N7695" s="0" t="n">
        <v>3.708</v>
      </c>
      <c r="O7695" s="0" t="n">
        <v>133.96</v>
      </c>
      <c r="P7695" s="0" t="s">
        <v>2444</v>
      </c>
    </row>
    <row r="7696" customFormat="false" ht="15" hidden="false" customHeight="true" outlineLevel="0" collapsed="false">
      <c r="A7696" s="0" t="n">
        <v>2</v>
      </c>
      <c r="B7696" s="71" t="n">
        <v>46267</v>
      </c>
      <c r="C7696" s="0" t="n">
        <v>100</v>
      </c>
      <c r="D7696" s="0" t="s">
        <v>2499</v>
      </c>
      <c r="E7696" s="0" t="n">
        <v>48</v>
      </c>
      <c r="F7696" s="0" t="s">
        <v>153</v>
      </c>
      <c r="I7696" s="0" t="n">
        <v>1638580</v>
      </c>
      <c r="J7696" s="0" t="n">
        <v>100638</v>
      </c>
      <c r="K7696" s="0" t="n">
        <v>508</v>
      </c>
      <c r="L7696" s="0" t="s">
        <v>2496</v>
      </c>
      <c r="N7696" s="0" t="n">
        <v>2.584</v>
      </c>
      <c r="O7696" s="0" t="n">
        <v>6.34</v>
      </c>
      <c r="P7696" s="0" t="s">
        <v>2444</v>
      </c>
    </row>
    <row r="7697" customFormat="false" ht="15" hidden="false" customHeight="true" outlineLevel="0" collapsed="false">
      <c r="A7697" s="0" t="n">
        <v>2</v>
      </c>
      <c r="B7697" s="71" t="n">
        <v>46267</v>
      </c>
      <c r="C7697" s="0" t="n">
        <v>100</v>
      </c>
      <c r="D7697" s="0" t="s">
        <v>2499</v>
      </c>
      <c r="E7697" s="0" t="n">
        <v>48</v>
      </c>
      <c r="F7697" s="0" t="s">
        <v>153</v>
      </c>
      <c r="I7697" s="0" t="n">
        <v>1638580</v>
      </c>
      <c r="J7697" s="0" t="n">
        <v>100520</v>
      </c>
      <c r="K7697" s="0" t="n">
        <v>507</v>
      </c>
      <c r="L7697" s="0" t="s">
        <v>2497</v>
      </c>
      <c r="N7697" s="0" t="n">
        <v>10.29</v>
      </c>
      <c r="O7697" s="0" t="n">
        <v>25.27</v>
      </c>
      <c r="P7697" s="0" t="s">
        <v>2444</v>
      </c>
    </row>
    <row r="7698" customFormat="false" ht="15" hidden="false" customHeight="true" outlineLevel="0" collapsed="false">
      <c r="A7698" s="0" t="n">
        <v>2</v>
      </c>
      <c r="B7698" s="71" t="n">
        <v>46267</v>
      </c>
      <c r="C7698" s="0" t="n">
        <v>100</v>
      </c>
      <c r="D7698" s="0" t="s">
        <v>2499</v>
      </c>
      <c r="E7698" s="0" t="n">
        <v>48</v>
      </c>
      <c r="F7698" s="0" t="s">
        <v>153</v>
      </c>
      <c r="I7698" s="0" t="n">
        <v>1638580</v>
      </c>
      <c r="J7698" s="0" t="n">
        <v>110455</v>
      </c>
      <c r="K7698" s="0" t="n">
        <v>53212</v>
      </c>
      <c r="L7698" s="0" t="s">
        <v>2498</v>
      </c>
      <c r="N7698" s="0" t="n">
        <v>0.843</v>
      </c>
      <c r="O7698" s="0" t="n">
        <v>0</v>
      </c>
      <c r="P7698" s="0" t="s">
        <v>2444</v>
      </c>
    </row>
    <row r="7699" customFormat="false" ht="15" hidden="false" customHeight="true" outlineLevel="0" collapsed="false">
      <c r="A7699" s="0" t="n">
        <v>2</v>
      </c>
      <c r="B7699" s="71" t="n">
        <v>46267</v>
      </c>
      <c r="C7699" s="0" t="n">
        <v>100</v>
      </c>
      <c r="D7699" s="0" t="s">
        <v>2499</v>
      </c>
      <c r="E7699" s="0" t="n">
        <v>48</v>
      </c>
      <c r="F7699" s="0" t="s">
        <v>153</v>
      </c>
      <c r="I7699" s="0" t="n">
        <v>1638583</v>
      </c>
      <c r="J7699" s="0" t="n">
        <v>100000</v>
      </c>
      <c r="K7699" s="0" t="n">
        <v>1</v>
      </c>
      <c r="L7699" s="0" t="s">
        <v>2480</v>
      </c>
      <c r="N7699" s="0" t="n">
        <v>3.32</v>
      </c>
      <c r="O7699" s="0" t="n">
        <v>61.84</v>
      </c>
      <c r="P7699" s="0" t="s">
        <v>2444</v>
      </c>
    </row>
    <row r="7700" customFormat="false" ht="15" hidden="false" customHeight="true" outlineLevel="0" collapsed="false">
      <c r="A7700" s="0" t="n">
        <v>2</v>
      </c>
      <c r="B7700" s="71" t="n">
        <v>46267</v>
      </c>
      <c r="C7700" s="0" t="n">
        <v>100</v>
      </c>
      <c r="D7700" s="0" t="s">
        <v>2499</v>
      </c>
      <c r="E7700" s="0" t="n">
        <v>48</v>
      </c>
      <c r="F7700" s="0" t="s">
        <v>153</v>
      </c>
      <c r="I7700" s="0" t="n">
        <v>1638583</v>
      </c>
      <c r="J7700" s="0" t="n">
        <v>100001</v>
      </c>
      <c r="K7700" s="0" t="n">
        <v>2</v>
      </c>
      <c r="L7700" s="0" t="s">
        <v>2481</v>
      </c>
      <c r="N7700" s="0" t="n">
        <v>12.775</v>
      </c>
      <c r="O7700" s="0" t="n">
        <v>257.79</v>
      </c>
      <c r="P7700" s="0" t="s">
        <v>2444</v>
      </c>
    </row>
    <row r="7701" customFormat="false" ht="15" hidden="false" customHeight="true" outlineLevel="0" collapsed="false">
      <c r="A7701" s="0" t="n">
        <v>2</v>
      </c>
      <c r="B7701" s="71" t="n">
        <v>46267</v>
      </c>
      <c r="C7701" s="0" t="n">
        <v>100</v>
      </c>
      <c r="D7701" s="0" t="s">
        <v>2499</v>
      </c>
      <c r="E7701" s="0" t="n">
        <v>48</v>
      </c>
      <c r="F7701" s="0" t="s">
        <v>153</v>
      </c>
      <c r="I7701" s="0" t="n">
        <v>1638583</v>
      </c>
      <c r="J7701" s="0" t="n">
        <v>100002</v>
      </c>
      <c r="K7701" s="0" t="n">
        <v>3</v>
      </c>
      <c r="L7701" s="0" t="s">
        <v>2482</v>
      </c>
      <c r="N7701" s="0" t="n">
        <v>33.22</v>
      </c>
      <c r="O7701" s="0" t="n">
        <v>773.53</v>
      </c>
      <c r="P7701" s="0" t="s">
        <v>2444</v>
      </c>
    </row>
    <row r="7702" customFormat="false" ht="15" hidden="false" customHeight="true" outlineLevel="0" collapsed="false">
      <c r="A7702" s="0" t="n">
        <v>2</v>
      </c>
      <c r="B7702" s="71" t="n">
        <v>46267</v>
      </c>
      <c r="C7702" s="0" t="n">
        <v>100</v>
      </c>
      <c r="D7702" s="0" t="s">
        <v>2499</v>
      </c>
      <c r="E7702" s="0" t="n">
        <v>48</v>
      </c>
      <c r="F7702" s="0" t="s">
        <v>153</v>
      </c>
      <c r="I7702" s="0" t="n">
        <v>1638583</v>
      </c>
      <c r="J7702" s="0" t="n">
        <v>100003</v>
      </c>
      <c r="K7702" s="0" t="n">
        <v>4</v>
      </c>
      <c r="L7702" s="0" t="s">
        <v>2483</v>
      </c>
      <c r="N7702" s="0" t="n">
        <v>24.44</v>
      </c>
      <c r="O7702" s="0" t="n">
        <v>607.04</v>
      </c>
      <c r="P7702" s="0" t="s">
        <v>2444</v>
      </c>
    </row>
    <row r="7703" customFormat="false" ht="15" hidden="false" customHeight="true" outlineLevel="0" collapsed="false">
      <c r="A7703" s="0" t="n">
        <v>2</v>
      </c>
      <c r="B7703" s="71" t="n">
        <v>46267</v>
      </c>
      <c r="C7703" s="0" t="n">
        <v>100</v>
      </c>
      <c r="D7703" s="0" t="s">
        <v>2499</v>
      </c>
      <c r="E7703" s="0" t="n">
        <v>48</v>
      </c>
      <c r="F7703" s="0" t="s">
        <v>153</v>
      </c>
      <c r="I7703" s="0" t="n">
        <v>1638583</v>
      </c>
      <c r="J7703" s="0" t="n">
        <v>100004</v>
      </c>
      <c r="K7703" s="0" t="n">
        <v>5</v>
      </c>
      <c r="L7703" s="0" t="s">
        <v>2484</v>
      </c>
      <c r="N7703" s="0" t="n">
        <v>1.78</v>
      </c>
      <c r="O7703" s="0" t="n">
        <v>38.68</v>
      </c>
      <c r="P7703" s="0" t="s">
        <v>2444</v>
      </c>
    </row>
    <row r="7704" customFormat="false" ht="15" hidden="false" customHeight="true" outlineLevel="0" collapsed="false">
      <c r="A7704" s="0" t="n">
        <v>2</v>
      </c>
      <c r="B7704" s="71" t="n">
        <v>46267</v>
      </c>
      <c r="C7704" s="0" t="n">
        <v>100</v>
      </c>
      <c r="D7704" s="0" t="s">
        <v>2499</v>
      </c>
      <c r="E7704" s="0" t="n">
        <v>48</v>
      </c>
      <c r="F7704" s="0" t="s">
        <v>153</v>
      </c>
      <c r="I7704" s="0" t="n">
        <v>1638583</v>
      </c>
      <c r="J7704" s="0" t="n">
        <v>100005</v>
      </c>
      <c r="K7704" s="0" t="n">
        <v>6</v>
      </c>
      <c r="L7704" s="0" t="s">
        <v>2582</v>
      </c>
      <c r="N7704" s="0" t="n">
        <v>3.13</v>
      </c>
      <c r="O7704" s="0" t="n">
        <v>72.88</v>
      </c>
      <c r="P7704" s="0" t="s">
        <v>2444</v>
      </c>
    </row>
    <row r="7705" customFormat="false" ht="15" hidden="false" customHeight="true" outlineLevel="0" collapsed="false">
      <c r="A7705" s="0" t="n">
        <v>2</v>
      </c>
      <c r="B7705" s="71" t="n">
        <v>46267</v>
      </c>
      <c r="C7705" s="0" t="n">
        <v>100</v>
      </c>
      <c r="D7705" s="0" t="s">
        <v>2499</v>
      </c>
      <c r="E7705" s="0" t="n">
        <v>48</v>
      </c>
      <c r="F7705" s="0" t="s">
        <v>153</v>
      </c>
      <c r="I7705" s="0" t="n">
        <v>1638583</v>
      </c>
      <c r="J7705" s="0" t="n">
        <v>100007</v>
      </c>
      <c r="K7705" s="0" t="n">
        <v>8</v>
      </c>
      <c r="L7705" s="0" t="s">
        <v>2486</v>
      </c>
      <c r="N7705" s="0" t="n">
        <v>1.999</v>
      </c>
      <c r="O7705" s="0" t="n">
        <v>46.55</v>
      </c>
      <c r="P7705" s="0" t="s">
        <v>2444</v>
      </c>
    </row>
    <row r="7706" customFormat="false" ht="15" hidden="false" customHeight="true" outlineLevel="0" collapsed="false">
      <c r="A7706" s="0" t="n">
        <v>2</v>
      </c>
      <c r="B7706" s="71" t="n">
        <v>46267</v>
      </c>
      <c r="C7706" s="0" t="n">
        <v>100</v>
      </c>
      <c r="D7706" s="0" t="s">
        <v>2499</v>
      </c>
      <c r="E7706" s="0" t="n">
        <v>48</v>
      </c>
      <c r="F7706" s="0" t="s">
        <v>153</v>
      </c>
      <c r="I7706" s="0" t="n">
        <v>1638583</v>
      </c>
      <c r="J7706" s="0" t="n">
        <v>100638</v>
      </c>
      <c r="K7706" s="0" t="n">
        <v>508</v>
      </c>
      <c r="L7706" s="0" t="s">
        <v>2496</v>
      </c>
      <c r="N7706" s="0" t="n">
        <v>2.198</v>
      </c>
      <c r="O7706" s="0" t="n">
        <v>5.1</v>
      </c>
      <c r="P7706" s="0" t="s">
        <v>2444</v>
      </c>
    </row>
    <row r="7707" customFormat="false" ht="15" hidden="false" customHeight="true" outlineLevel="0" collapsed="false">
      <c r="A7707" s="0" t="n">
        <v>2</v>
      </c>
      <c r="B7707" s="71" t="n">
        <v>46267</v>
      </c>
      <c r="C7707" s="0" t="n">
        <v>100</v>
      </c>
      <c r="D7707" s="0" t="s">
        <v>2499</v>
      </c>
      <c r="E7707" s="0" t="n">
        <v>48</v>
      </c>
      <c r="F7707" s="0" t="s">
        <v>153</v>
      </c>
      <c r="I7707" s="0" t="n">
        <v>1638583</v>
      </c>
      <c r="J7707" s="0" t="n">
        <v>100520</v>
      </c>
      <c r="K7707" s="0" t="n">
        <v>507</v>
      </c>
      <c r="L7707" s="0" t="s">
        <v>2497</v>
      </c>
      <c r="N7707" s="0" t="n">
        <v>0.94</v>
      </c>
      <c r="O7707" s="0" t="n">
        <v>2.18</v>
      </c>
      <c r="P7707" s="0" t="s">
        <v>2444</v>
      </c>
    </row>
    <row r="7708" customFormat="false" ht="15" hidden="false" customHeight="true" outlineLevel="0" collapsed="false">
      <c r="A7708" s="0" t="n">
        <v>2</v>
      </c>
      <c r="B7708" s="71" t="n">
        <v>46267</v>
      </c>
      <c r="C7708" s="0" t="n">
        <v>100</v>
      </c>
      <c r="D7708" s="0" t="s">
        <v>2499</v>
      </c>
      <c r="E7708" s="0" t="n">
        <v>48</v>
      </c>
      <c r="F7708" s="0" t="s">
        <v>153</v>
      </c>
      <c r="I7708" s="0" t="n">
        <v>1638583</v>
      </c>
      <c r="J7708" s="0" t="n">
        <v>110455</v>
      </c>
      <c r="K7708" s="0" t="n">
        <v>53212</v>
      </c>
      <c r="L7708" s="0" t="s">
        <v>2498</v>
      </c>
      <c r="N7708" s="0" t="n">
        <v>0.998</v>
      </c>
      <c r="O7708" s="0" t="n">
        <v>0.01</v>
      </c>
      <c r="P7708" s="0" t="s">
        <v>2444</v>
      </c>
    </row>
    <row r="7709" customFormat="false" ht="15" hidden="false" customHeight="true" outlineLevel="0" collapsed="false">
      <c r="A7709" s="0" t="n">
        <v>2</v>
      </c>
      <c r="B7709" s="71" t="n">
        <v>46268</v>
      </c>
      <c r="C7709" s="0" t="n">
        <v>11</v>
      </c>
      <c r="D7709" s="0" t="s">
        <v>2471</v>
      </c>
      <c r="E7709" s="0" t="n">
        <v>1899</v>
      </c>
      <c r="F7709" s="0" t="s">
        <v>204</v>
      </c>
      <c r="I7709" s="0" t="n">
        <v>790</v>
      </c>
      <c r="J7709" s="0" t="n">
        <v>44588</v>
      </c>
      <c r="K7709" s="0" t="n">
        <v>7898904331091</v>
      </c>
      <c r="L7709" s="0" t="s">
        <v>2443</v>
      </c>
      <c r="N7709" s="0" t="n">
        <v>10</v>
      </c>
      <c r="O7709" s="0" t="n">
        <v>49.9</v>
      </c>
      <c r="P7709" s="0" t="s">
        <v>2444</v>
      </c>
    </row>
    <row r="7710" customFormat="false" ht="15" hidden="false" customHeight="true" outlineLevel="0" collapsed="false">
      <c r="A7710" s="0" t="n">
        <v>2</v>
      </c>
      <c r="B7710" s="71" t="n">
        <v>46268</v>
      </c>
      <c r="C7710" s="0" t="n">
        <v>11</v>
      </c>
      <c r="D7710" s="0" t="s">
        <v>2471</v>
      </c>
      <c r="E7710" s="0" t="n">
        <v>1899</v>
      </c>
      <c r="F7710" s="0" t="s">
        <v>204</v>
      </c>
      <c r="I7710" s="0" t="n">
        <v>790</v>
      </c>
      <c r="J7710" s="0" t="n">
        <v>77463</v>
      </c>
      <c r="K7710" s="0" t="n">
        <v>774642</v>
      </c>
      <c r="L7710" s="0" t="s">
        <v>2445</v>
      </c>
      <c r="N7710" s="0" t="n">
        <v>10</v>
      </c>
      <c r="O7710" s="0" t="n">
        <v>45</v>
      </c>
      <c r="P7710" s="0" t="s">
        <v>2444</v>
      </c>
    </row>
    <row r="7711" customFormat="false" ht="15" hidden="false" customHeight="true" outlineLevel="0" collapsed="false">
      <c r="A7711" s="0" t="n">
        <v>2</v>
      </c>
      <c r="B7711" s="71" t="n">
        <v>46268</v>
      </c>
      <c r="C7711" s="0" t="n">
        <v>11</v>
      </c>
      <c r="D7711" s="0" t="s">
        <v>2471</v>
      </c>
      <c r="E7711" s="0" t="n">
        <v>1899</v>
      </c>
      <c r="F7711" s="0" t="s">
        <v>204</v>
      </c>
      <c r="I7711" s="0" t="n">
        <v>790</v>
      </c>
      <c r="J7711" s="0" t="n">
        <v>77465</v>
      </c>
      <c r="K7711" s="0" t="n">
        <v>774666</v>
      </c>
      <c r="L7711" s="0" t="s">
        <v>2446</v>
      </c>
      <c r="N7711" s="0" t="n">
        <v>5</v>
      </c>
      <c r="O7711" s="0" t="n">
        <v>24.95</v>
      </c>
      <c r="P7711" s="0" t="s">
        <v>2444</v>
      </c>
    </row>
    <row r="7712" customFormat="false" ht="15" hidden="false" customHeight="true" outlineLevel="0" collapsed="false">
      <c r="A7712" s="0" t="n">
        <v>2</v>
      </c>
      <c r="B7712" s="71" t="n">
        <v>46268</v>
      </c>
      <c r="C7712" s="0" t="n">
        <v>11</v>
      </c>
      <c r="D7712" s="0" t="s">
        <v>2471</v>
      </c>
      <c r="E7712" s="0" t="n">
        <v>1899</v>
      </c>
      <c r="F7712" s="0" t="s">
        <v>204</v>
      </c>
      <c r="I7712" s="0" t="n">
        <v>790</v>
      </c>
      <c r="J7712" s="0" t="n">
        <v>77903</v>
      </c>
      <c r="K7712" s="0" t="n">
        <v>779043</v>
      </c>
      <c r="L7712" s="0" t="s">
        <v>2945</v>
      </c>
      <c r="N7712" s="0" t="n">
        <v>5</v>
      </c>
      <c r="O7712" s="0" t="n">
        <v>22.5</v>
      </c>
      <c r="P7712" s="0" t="s">
        <v>2444</v>
      </c>
    </row>
    <row r="7713" customFormat="false" ht="15" hidden="false" customHeight="true" outlineLevel="0" collapsed="false">
      <c r="A7713" s="0" t="n">
        <v>2</v>
      </c>
      <c r="B7713" s="71" t="n">
        <v>46268</v>
      </c>
      <c r="C7713" s="0" t="n">
        <v>11</v>
      </c>
      <c r="D7713" s="0" t="s">
        <v>2471</v>
      </c>
      <c r="E7713" s="0" t="n">
        <v>1899</v>
      </c>
      <c r="F7713" s="0" t="s">
        <v>204</v>
      </c>
      <c r="I7713" s="0" t="n">
        <v>790</v>
      </c>
      <c r="J7713" s="0" t="n">
        <v>78013</v>
      </c>
      <c r="K7713" s="0" t="n">
        <v>780148</v>
      </c>
      <c r="L7713" s="0" t="s">
        <v>2584</v>
      </c>
      <c r="N7713" s="0" t="n">
        <v>5</v>
      </c>
      <c r="O7713" s="0" t="n">
        <v>22.5</v>
      </c>
      <c r="P7713" s="0" t="s">
        <v>2444</v>
      </c>
    </row>
    <row r="7714" customFormat="false" ht="15" hidden="false" customHeight="true" outlineLevel="0" collapsed="false">
      <c r="A7714" s="0" t="n">
        <v>2</v>
      </c>
      <c r="B7714" s="71" t="n">
        <v>46268</v>
      </c>
      <c r="C7714" s="0" t="n">
        <v>11</v>
      </c>
      <c r="D7714" s="0" t="s">
        <v>2471</v>
      </c>
      <c r="E7714" s="0" t="n">
        <v>1899</v>
      </c>
      <c r="F7714" s="0" t="s">
        <v>204</v>
      </c>
      <c r="I7714" s="0" t="n">
        <v>790</v>
      </c>
      <c r="J7714" s="0" t="n">
        <v>78015</v>
      </c>
      <c r="K7714" s="0" t="n">
        <v>780162</v>
      </c>
      <c r="L7714" s="0" t="s">
        <v>2447</v>
      </c>
      <c r="N7714" s="0" t="n">
        <v>8</v>
      </c>
      <c r="O7714" s="0" t="n">
        <v>39.92</v>
      </c>
      <c r="P7714" s="0" t="s">
        <v>2444</v>
      </c>
    </row>
    <row r="7715" customFormat="false" ht="15" hidden="false" customHeight="true" outlineLevel="0" collapsed="false">
      <c r="A7715" s="0" t="n">
        <v>2</v>
      </c>
      <c r="B7715" s="71" t="n">
        <v>46268</v>
      </c>
      <c r="C7715" s="0" t="n">
        <v>11</v>
      </c>
      <c r="D7715" s="0" t="s">
        <v>2471</v>
      </c>
      <c r="E7715" s="0" t="n">
        <v>1363</v>
      </c>
      <c r="F7715" s="0" t="s">
        <v>174</v>
      </c>
      <c r="I7715" s="0" t="n">
        <v>3867</v>
      </c>
      <c r="J7715" s="0" t="n">
        <v>65493</v>
      </c>
      <c r="K7715" s="0" t="n">
        <v>609963171002</v>
      </c>
      <c r="L7715" s="0" t="s">
        <v>2586</v>
      </c>
      <c r="N7715" s="0" t="n">
        <v>3</v>
      </c>
      <c r="O7715" s="0" t="n">
        <v>18</v>
      </c>
      <c r="P7715" s="0" t="s">
        <v>2444</v>
      </c>
    </row>
    <row r="7716" customFormat="false" ht="15" hidden="false" customHeight="true" outlineLevel="0" collapsed="false">
      <c r="A7716" s="0" t="n">
        <v>2</v>
      </c>
      <c r="B7716" s="71" t="n">
        <v>46268</v>
      </c>
      <c r="C7716" s="0" t="n">
        <v>11</v>
      </c>
      <c r="D7716" s="0" t="s">
        <v>2471</v>
      </c>
      <c r="E7716" s="0" t="n">
        <v>1363</v>
      </c>
      <c r="F7716" s="0" t="s">
        <v>174</v>
      </c>
      <c r="I7716" s="0" t="n">
        <v>3867</v>
      </c>
      <c r="J7716" s="0" t="n">
        <v>65494</v>
      </c>
      <c r="K7716" s="0" t="n">
        <v>618231677535</v>
      </c>
      <c r="L7716" s="0" t="s">
        <v>2587</v>
      </c>
      <c r="N7716" s="0" t="n">
        <v>10</v>
      </c>
      <c r="O7716" s="0" t="n">
        <v>60</v>
      </c>
      <c r="P7716" s="0" t="s">
        <v>2444</v>
      </c>
    </row>
    <row r="7717" customFormat="false" ht="15" hidden="false" customHeight="true" outlineLevel="0" collapsed="false">
      <c r="A7717" s="0" t="n">
        <v>2</v>
      </c>
      <c r="B7717" s="71" t="n">
        <v>46268</v>
      </c>
      <c r="C7717" s="0" t="n">
        <v>11</v>
      </c>
      <c r="D7717" s="0" t="s">
        <v>2471</v>
      </c>
      <c r="E7717" s="0" t="n">
        <v>1363</v>
      </c>
      <c r="F7717" s="0" t="s">
        <v>174</v>
      </c>
      <c r="I7717" s="0" t="n">
        <v>3867</v>
      </c>
      <c r="J7717" s="0" t="n">
        <v>65496</v>
      </c>
      <c r="K7717" s="0" t="n">
        <v>618231677528</v>
      </c>
      <c r="L7717" s="0" t="s">
        <v>2588</v>
      </c>
      <c r="N7717" s="0" t="n">
        <v>2</v>
      </c>
      <c r="O7717" s="0" t="n">
        <v>12</v>
      </c>
      <c r="P7717" s="0" t="s">
        <v>2444</v>
      </c>
    </row>
    <row r="7718" customFormat="false" ht="15" hidden="false" customHeight="true" outlineLevel="0" collapsed="false">
      <c r="A7718" s="0" t="n">
        <v>2</v>
      </c>
      <c r="B7718" s="71" t="n">
        <v>46268</v>
      </c>
      <c r="C7718" s="0" t="n">
        <v>11</v>
      </c>
      <c r="D7718" s="0" t="s">
        <v>2471</v>
      </c>
      <c r="E7718" s="0" t="n">
        <v>1363</v>
      </c>
      <c r="F7718" s="0" t="s">
        <v>174</v>
      </c>
      <c r="I7718" s="0" t="n">
        <v>3867</v>
      </c>
      <c r="J7718" s="0" t="n">
        <v>65621</v>
      </c>
      <c r="K7718" s="0" t="n">
        <v>618231677504</v>
      </c>
      <c r="L7718" s="0" t="s">
        <v>2589</v>
      </c>
      <c r="N7718" s="0" t="n">
        <v>5</v>
      </c>
      <c r="O7718" s="0" t="n">
        <v>35</v>
      </c>
      <c r="P7718" s="0" t="s">
        <v>2444</v>
      </c>
    </row>
    <row r="7719" customFormat="false" ht="15" hidden="false" customHeight="true" outlineLevel="0" collapsed="false">
      <c r="A7719" s="0" t="n">
        <v>2</v>
      </c>
      <c r="B7719" s="71" t="n">
        <v>46268</v>
      </c>
      <c r="C7719" s="0" t="n">
        <v>11</v>
      </c>
      <c r="D7719" s="0" t="s">
        <v>2471</v>
      </c>
      <c r="E7719" s="0" t="n">
        <v>1328</v>
      </c>
      <c r="F7719" s="0" t="s">
        <v>95</v>
      </c>
      <c r="I7719" s="0" t="n">
        <v>4523</v>
      </c>
      <c r="J7719" s="0" t="n">
        <v>50310</v>
      </c>
      <c r="K7719" s="0" t="n">
        <v>7898588380101</v>
      </c>
      <c r="L7719" s="0" t="s">
        <v>2502</v>
      </c>
      <c r="N7719" s="0" t="n">
        <v>4</v>
      </c>
      <c r="O7719" s="0" t="n">
        <v>29</v>
      </c>
      <c r="P7719" s="0" t="s">
        <v>2444</v>
      </c>
    </row>
    <row r="7720" customFormat="false" ht="15" hidden="false" customHeight="true" outlineLevel="0" collapsed="false">
      <c r="A7720" s="0" t="n">
        <v>2</v>
      </c>
      <c r="B7720" s="71" t="n">
        <v>46268</v>
      </c>
      <c r="C7720" s="0" t="n">
        <v>11</v>
      </c>
      <c r="D7720" s="0" t="s">
        <v>2471</v>
      </c>
      <c r="E7720" s="0" t="n">
        <v>1328</v>
      </c>
      <c r="F7720" s="0" t="s">
        <v>95</v>
      </c>
      <c r="I7720" s="0" t="n">
        <v>4523</v>
      </c>
      <c r="J7720" s="0" t="n">
        <v>21045</v>
      </c>
      <c r="K7720" s="0" t="n">
        <v>7898588380255</v>
      </c>
      <c r="L7720" s="0" t="s">
        <v>2503</v>
      </c>
      <c r="N7720" s="0" t="n">
        <v>5</v>
      </c>
      <c r="O7720" s="0" t="n">
        <v>27.5</v>
      </c>
      <c r="P7720" s="0" t="s">
        <v>2444</v>
      </c>
    </row>
    <row r="7721" customFormat="false" ht="15" hidden="false" customHeight="true" outlineLevel="0" collapsed="false">
      <c r="A7721" s="0" t="n">
        <v>2</v>
      </c>
      <c r="B7721" s="71" t="n">
        <v>46268</v>
      </c>
      <c r="C7721" s="0" t="n">
        <v>11</v>
      </c>
      <c r="D7721" s="0" t="s">
        <v>2471</v>
      </c>
      <c r="E7721" s="0" t="n">
        <v>1328</v>
      </c>
      <c r="F7721" s="0" t="s">
        <v>95</v>
      </c>
      <c r="I7721" s="0" t="n">
        <v>4523</v>
      </c>
      <c r="J7721" s="0" t="n">
        <v>31782</v>
      </c>
      <c r="K7721" s="0" t="n">
        <v>7898588380132</v>
      </c>
      <c r="L7721" s="0" t="s">
        <v>2505</v>
      </c>
      <c r="N7721" s="0" t="n">
        <v>5</v>
      </c>
      <c r="O7721" s="0" t="n">
        <v>27.5</v>
      </c>
      <c r="P7721" s="0" t="s">
        <v>2444</v>
      </c>
    </row>
    <row r="7722" customFormat="false" ht="15" hidden="false" customHeight="true" outlineLevel="0" collapsed="false">
      <c r="A7722" s="0" t="n">
        <v>2</v>
      </c>
      <c r="B7722" s="71" t="n">
        <v>46268</v>
      </c>
      <c r="C7722" s="0" t="n">
        <v>11</v>
      </c>
      <c r="D7722" s="0" t="s">
        <v>2471</v>
      </c>
      <c r="E7722" s="0" t="n">
        <v>1328</v>
      </c>
      <c r="F7722" s="0" t="s">
        <v>95</v>
      </c>
      <c r="I7722" s="0" t="n">
        <v>4523</v>
      </c>
      <c r="J7722" s="0" t="n">
        <v>31784</v>
      </c>
      <c r="K7722" s="0" t="n">
        <v>7898588380545</v>
      </c>
      <c r="L7722" s="0" t="s">
        <v>2590</v>
      </c>
      <c r="N7722" s="0" t="n">
        <v>4</v>
      </c>
      <c r="O7722" s="0" t="n">
        <v>22</v>
      </c>
      <c r="P7722" s="0" t="s">
        <v>2444</v>
      </c>
    </row>
    <row r="7723" customFormat="false" ht="15" hidden="false" customHeight="true" outlineLevel="0" collapsed="false">
      <c r="A7723" s="0" t="n">
        <v>2</v>
      </c>
      <c r="B7723" s="71" t="n">
        <v>46268</v>
      </c>
      <c r="C7723" s="0" t="n">
        <v>11</v>
      </c>
      <c r="D7723" s="0" t="s">
        <v>2471</v>
      </c>
      <c r="E7723" s="0" t="n">
        <v>1328</v>
      </c>
      <c r="F7723" s="0" t="s">
        <v>95</v>
      </c>
      <c r="I7723" s="0" t="n">
        <v>4523</v>
      </c>
      <c r="J7723" s="0" t="n">
        <v>31786</v>
      </c>
      <c r="K7723" s="0" t="n">
        <v>7898588380187</v>
      </c>
      <c r="L7723" s="0" t="s">
        <v>2506</v>
      </c>
      <c r="N7723" s="0" t="n">
        <v>5</v>
      </c>
      <c r="O7723" s="0" t="n">
        <v>27.5</v>
      </c>
      <c r="P7723" s="0" t="s">
        <v>2444</v>
      </c>
    </row>
    <row r="7724" customFormat="false" ht="15" hidden="false" customHeight="true" outlineLevel="0" collapsed="false">
      <c r="A7724" s="0" t="n">
        <v>2</v>
      </c>
      <c r="B7724" s="71" t="n">
        <v>46268</v>
      </c>
      <c r="C7724" s="0" t="n">
        <v>11</v>
      </c>
      <c r="D7724" s="0" t="s">
        <v>2471</v>
      </c>
      <c r="E7724" s="0" t="n">
        <v>1635</v>
      </c>
      <c r="F7724" s="0" t="s">
        <v>128</v>
      </c>
      <c r="I7724" s="0" t="n">
        <v>4884</v>
      </c>
      <c r="J7724" s="0" t="n">
        <v>35043</v>
      </c>
      <c r="K7724" s="0" t="n">
        <v>5410376726544</v>
      </c>
      <c r="L7724" s="0" t="s">
        <v>3653</v>
      </c>
      <c r="N7724" s="0" t="n">
        <v>10</v>
      </c>
      <c r="O7724" s="0" t="n">
        <v>135</v>
      </c>
      <c r="P7724" s="0" t="s">
        <v>2444</v>
      </c>
    </row>
    <row r="7725" customFormat="false" ht="15" hidden="false" customHeight="true" outlineLevel="0" collapsed="false">
      <c r="A7725" s="0" t="n">
        <v>2</v>
      </c>
      <c r="B7725" s="71" t="n">
        <v>46268</v>
      </c>
      <c r="C7725" s="0" t="n">
        <v>11</v>
      </c>
      <c r="D7725" s="0" t="s">
        <v>2471</v>
      </c>
      <c r="E7725" s="0" t="n">
        <v>1635</v>
      </c>
      <c r="F7725" s="0" t="s">
        <v>128</v>
      </c>
      <c r="I7725" s="0" t="n">
        <v>4884</v>
      </c>
      <c r="J7725" s="0" t="n">
        <v>60104</v>
      </c>
      <c r="K7725" s="0" t="n">
        <v>5410376524294</v>
      </c>
      <c r="L7725" s="0" t="s">
        <v>5220</v>
      </c>
      <c r="N7725" s="0" t="n">
        <v>10</v>
      </c>
      <c r="O7725" s="0" t="n">
        <v>143.1</v>
      </c>
      <c r="P7725" s="0" t="s">
        <v>2444</v>
      </c>
    </row>
    <row r="7726" customFormat="false" ht="15" hidden="false" customHeight="true" outlineLevel="0" collapsed="false">
      <c r="A7726" s="0" t="n">
        <v>2</v>
      </c>
      <c r="B7726" s="71" t="n">
        <v>46268</v>
      </c>
      <c r="C7726" s="0" t="n">
        <v>11</v>
      </c>
      <c r="D7726" s="0" t="s">
        <v>2471</v>
      </c>
      <c r="E7726" s="0" t="n">
        <v>666</v>
      </c>
      <c r="F7726" s="0" t="s">
        <v>417</v>
      </c>
      <c r="I7726" s="0" t="n">
        <v>8180</v>
      </c>
      <c r="J7726" s="0" t="n">
        <v>46735</v>
      </c>
      <c r="K7726" s="0" t="n">
        <v>7898372444859</v>
      </c>
      <c r="L7726" s="0" t="s">
        <v>2999</v>
      </c>
      <c r="N7726" s="0" t="n">
        <v>2</v>
      </c>
      <c r="O7726" s="0" t="n">
        <v>314</v>
      </c>
      <c r="P7726" s="0" t="s">
        <v>2444</v>
      </c>
    </row>
    <row r="7727" customFormat="false" ht="15" hidden="false" customHeight="true" outlineLevel="0" collapsed="false">
      <c r="A7727" s="0" t="n">
        <v>2</v>
      </c>
      <c r="B7727" s="71" t="n">
        <v>46268</v>
      </c>
      <c r="C7727" s="0" t="n">
        <v>11</v>
      </c>
      <c r="D7727" s="0" t="s">
        <v>2471</v>
      </c>
      <c r="E7727" s="0" t="n">
        <v>821</v>
      </c>
      <c r="F7727" s="0" t="s">
        <v>394</v>
      </c>
      <c r="I7727" s="0" t="n">
        <v>491629</v>
      </c>
      <c r="J7727" s="0" t="n">
        <v>15100</v>
      </c>
      <c r="K7727" s="0" t="n">
        <v>7897395040246</v>
      </c>
      <c r="L7727" s="0" t="s">
        <v>4223</v>
      </c>
      <c r="N7727" s="0" t="n">
        <v>60</v>
      </c>
      <c r="O7727" s="0" t="n">
        <v>184.5</v>
      </c>
      <c r="P7727" s="0" t="s">
        <v>2444</v>
      </c>
    </row>
    <row r="7728" customFormat="false" ht="15" hidden="false" customHeight="true" outlineLevel="0" collapsed="false">
      <c r="A7728" s="0" t="n">
        <v>2</v>
      </c>
      <c r="B7728" s="71" t="n">
        <v>46268</v>
      </c>
      <c r="C7728" s="0" t="n">
        <v>11</v>
      </c>
      <c r="D7728" s="0" t="s">
        <v>2471</v>
      </c>
      <c r="E7728" s="0" t="n">
        <v>821</v>
      </c>
      <c r="F7728" s="0" t="s">
        <v>394</v>
      </c>
      <c r="I7728" s="0" t="n">
        <v>491629</v>
      </c>
      <c r="J7728" s="0" t="n">
        <v>45396</v>
      </c>
      <c r="K7728" s="0" t="n">
        <v>7897395001292</v>
      </c>
      <c r="L7728" s="0" t="s">
        <v>5221</v>
      </c>
      <c r="N7728" s="0" t="n">
        <v>12</v>
      </c>
      <c r="O7728" s="0" t="n">
        <v>45.35</v>
      </c>
      <c r="P7728" s="0" t="s">
        <v>2444</v>
      </c>
    </row>
    <row r="7729" customFormat="false" ht="15" hidden="false" customHeight="true" outlineLevel="0" collapsed="false">
      <c r="A7729" s="0" t="n">
        <v>2</v>
      </c>
      <c r="B7729" s="71" t="n">
        <v>46268</v>
      </c>
      <c r="C7729" s="0" t="n">
        <v>11</v>
      </c>
      <c r="D7729" s="0" t="s">
        <v>2471</v>
      </c>
      <c r="E7729" s="0" t="n">
        <v>1666</v>
      </c>
      <c r="F7729" s="0" t="s">
        <v>266</v>
      </c>
      <c r="I7729" s="0" t="n">
        <v>572518</v>
      </c>
      <c r="J7729" s="0" t="n">
        <v>104845</v>
      </c>
      <c r="K7729" s="0" t="n">
        <v>70330909229</v>
      </c>
      <c r="L7729" s="0" t="s">
        <v>4047</v>
      </c>
      <c r="N7729" s="0" t="n">
        <v>12</v>
      </c>
      <c r="O7729" s="0" t="n">
        <v>63.48</v>
      </c>
      <c r="P7729" s="0" t="s">
        <v>2444</v>
      </c>
    </row>
    <row r="7730" customFormat="false" ht="15" hidden="false" customHeight="true" outlineLevel="0" collapsed="false">
      <c r="A7730" s="0" t="n">
        <v>2</v>
      </c>
      <c r="B7730" s="71" t="n">
        <v>46268</v>
      </c>
      <c r="C7730" s="0" t="n">
        <v>11</v>
      </c>
      <c r="D7730" s="0" t="s">
        <v>2471</v>
      </c>
      <c r="E7730" s="0" t="n">
        <v>1666</v>
      </c>
      <c r="F7730" s="0" t="s">
        <v>266</v>
      </c>
      <c r="I7730" s="0" t="n">
        <v>572518</v>
      </c>
      <c r="J7730" s="0" t="n">
        <v>24990</v>
      </c>
      <c r="K7730" s="0" t="n">
        <v>78935761</v>
      </c>
      <c r="L7730" s="0" t="s">
        <v>2746</v>
      </c>
      <c r="N7730" s="0" t="n">
        <v>120</v>
      </c>
      <c r="O7730" s="0" t="n">
        <v>2032.83</v>
      </c>
      <c r="P7730" s="0" t="s">
        <v>2444</v>
      </c>
    </row>
    <row r="7731" customFormat="false" ht="15" hidden="false" customHeight="true" outlineLevel="0" collapsed="false">
      <c r="A7731" s="0" t="n">
        <v>2</v>
      </c>
      <c r="B7731" s="71" t="n">
        <v>46268</v>
      </c>
      <c r="C7731" s="0" t="n">
        <v>11</v>
      </c>
      <c r="D7731" s="0" t="s">
        <v>2471</v>
      </c>
      <c r="E7731" s="0" t="n">
        <v>1666</v>
      </c>
      <c r="F7731" s="0" t="s">
        <v>266</v>
      </c>
      <c r="I7731" s="0" t="n">
        <v>572518</v>
      </c>
      <c r="J7731" s="0" t="n">
        <v>37536</v>
      </c>
      <c r="K7731" s="0" t="n">
        <v>78942066</v>
      </c>
      <c r="L7731" s="0" t="s">
        <v>2750</v>
      </c>
      <c r="N7731" s="0" t="n">
        <v>50</v>
      </c>
      <c r="O7731" s="0" t="n">
        <v>823.49</v>
      </c>
      <c r="P7731" s="0" t="s">
        <v>2444</v>
      </c>
    </row>
    <row r="7732" customFormat="false" ht="15" hidden="false" customHeight="true" outlineLevel="0" collapsed="false">
      <c r="A7732" s="0" t="n">
        <v>2</v>
      </c>
      <c r="B7732" s="71" t="n">
        <v>46268</v>
      </c>
      <c r="C7732" s="0" t="n">
        <v>11</v>
      </c>
      <c r="D7732" s="0" t="s">
        <v>2471</v>
      </c>
      <c r="E7732" s="0" t="n">
        <v>1666</v>
      </c>
      <c r="F7732" s="0" t="s">
        <v>266</v>
      </c>
      <c r="I7732" s="0" t="n">
        <v>572518</v>
      </c>
      <c r="J7732" s="0" t="n">
        <v>40750</v>
      </c>
      <c r="K7732" s="0" t="n">
        <v>78943032</v>
      </c>
      <c r="L7732" s="0" t="s">
        <v>2751</v>
      </c>
      <c r="N7732" s="0" t="n">
        <v>30</v>
      </c>
      <c r="O7732" s="0" t="n">
        <v>479.98</v>
      </c>
      <c r="P7732" s="0" t="s">
        <v>2444</v>
      </c>
    </row>
    <row r="7733" customFormat="false" ht="15" hidden="false" customHeight="true" outlineLevel="0" collapsed="false">
      <c r="A7733" s="0" t="n">
        <v>2</v>
      </c>
      <c r="B7733" s="71" t="n">
        <v>46268</v>
      </c>
      <c r="C7733" s="0" t="n">
        <v>11</v>
      </c>
      <c r="D7733" s="0" t="s">
        <v>2471</v>
      </c>
      <c r="E7733" s="0" t="n">
        <v>1666</v>
      </c>
      <c r="F7733" s="0" t="s">
        <v>266</v>
      </c>
      <c r="I7733" s="0" t="n">
        <v>572518</v>
      </c>
      <c r="J7733" s="0" t="n">
        <v>41581</v>
      </c>
      <c r="K7733" s="0" t="n">
        <v>7896280835165</v>
      </c>
      <c r="L7733" s="0" t="s">
        <v>4052</v>
      </c>
      <c r="N7733" s="0" t="n">
        <v>20</v>
      </c>
      <c r="O7733" s="0" t="n">
        <v>62.05</v>
      </c>
      <c r="P7733" s="0" t="s">
        <v>2444</v>
      </c>
    </row>
    <row r="7734" customFormat="false" ht="15" hidden="false" customHeight="true" outlineLevel="0" collapsed="false">
      <c r="A7734" s="0" t="n">
        <v>2</v>
      </c>
      <c r="B7734" s="71" t="n">
        <v>46268</v>
      </c>
      <c r="C7734" s="0" t="n">
        <v>11</v>
      </c>
      <c r="D7734" s="0" t="s">
        <v>2471</v>
      </c>
      <c r="E7734" s="0" t="n">
        <v>1666</v>
      </c>
      <c r="F7734" s="0" t="s">
        <v>266</v>
      </c>
      <c r="I7734" s="0" t="n">
        <v>572518</v>
      </c>
      <c r="J7734" s="0" t="n">
        <v>50760</v>
      </c>
      <c r="K7734" s="0" t="n">
        <v>78943087</v>
      </c>
      <c r="L7734" s="0" t="s">
        <v>2753</v>
      </c>
      <c r="N7734" s="0" t="n">
        <v>30</v>
      </c>
      <c r="O7734" s="0" t="n">
        <v>437.62</v>
      </c>
      <c r="P7734" s="0" t="s">
        <v>2444</v>
      </c>
    </row>
    <row r="7735" customFormat="false" ht="15" hidden="false" customHeight="true" outlineLevel="0" collapsed="false">
      <c r="A7735" s="0" t="n">
        <v>2</v>
      </c>
      <c r="B7735" s="71" t="n">
        <v>46268</v>
      </c>
      <c r="C7735" s="0" t="n">
        <v>11</v>
      </c>
      <c r="D7735" s="0" t="s">
        <v>2471</v>
      </c>
      <c r="E7735" s="0" t="n">
        <v>1666</v>
      </c>
      <c r="F7735" s="0" t="s">
        <v>266</v>
      </c>
      <c r="I7735" s="0" t="n">
        <v>572518</v>
      </c>
      <c r="J7735" s="0" t="n">
        <v>57287</v>
      </c>
      <c r="K7735" s="0" t="n">
        <v>78944251</v>
      </c>
      <c r="L7735" s="0" t="s">
        <v>2755</v>
      </c>
      <c r="N7735" s="0" t="n">
        <v>20</v>
      </c>
      <c r="O7735" s="0" t="n">
        <v>319.98</v>
      </c>
      <c r="P7735" s="0" t="s">
        <v>2444</v>
      </c>
    </row>
    <row r="7736" customFormat="false" ht="15" hidden="false" customHeight="true" outlineLevel="0" collapsed="false">
      <c r="A7736" s="0" t="n">
        <v>2</v>
      </c>
      <c r="B7736" s="71" t="n">
        <v>46268</v>
      </c>
      <c r="C7736" s="0" t="n">
        <v>11</v>
      </c>
      <c r="D7736" s="0" t="s">
        <v>2471</v>
      </c>
      <c r="E7736" s="0" t="n">
        <v>1666</v>
      </c>
      <c r="F7736" s="0" t="s">
        <v>266</v>
      </c>
      <c r="I7736" s="0" t="n">
        <v>572518</v>
      </c>
      <c r="J7736" s="0" t="n">
        <v>67177</v>
      </c>
      <c r="K7736" s="0" t="n">
        <v>78944466</v>
      </c>
      <c r="L7736" s="0" t="s">
        <v>2757</v>
      </c>
      <c r="N7736" s="0" t="n">
        <v>200</v>
      </c>
      <c r="O7736" s="0" t="n">
        <v>2635.16</v>
      </c>
      <c r="P7736" s="0" t="s">
        <v>2444</v>
      </c>
    </row>
    <row r="7737" customFormat="false" ht="15" hidden="false" customHeight="true" outlineLevel="0" collapsed="false">
      <c r="A7737" s="0" t="n">
        <v>2</v>
      </c>
      <c r="B7737" s="71" t="n">
        <v>46268</v>
      </c>
      <c r="C7737" s="0" t="n">
        <v>11</v>
      </c>
      <c r="D7737" s="0" t="s">
        <v>2471</v>
      </c>
      <c r="E7737" s="0" t="n">
        <v>1666</v>
      </c>
      <c r="F7737" s="0" t="s">
        <v>266</v>
      </c>
      <c r="I7737" s="0" t="n">
        <v>572518</v>
      </c>
      <c r="J7737" s="0" t="n">
        <v>68903</v>
      </c>
      <c r="K7737" s="0" t="n">
        <v>78944473</v>
      </c>
      <c r="L7737" s="0" t="s">
        <v>4698</v>
      </c>
      <c r="N7737" s="0" t="n">
        <v>10</v>
      </c>
      <c r="O7737" s="0" t="n">
        <v>131.76</v>
      </c>
      <c r="P7737" s="0" t="s">
        <v>2444</v>
      </c>
    </row>
    <row r="7738" customFormat="false" ht="15" hidden="false" customHeight="true" outlineLevel="0" collapsed="false">
      <c r="A7738" s="0" t="n">
        <v>2</v>
      </c>
      <c r="B7738" s="71" t="n">
        <v>46268</v>
      </c>
      <c r="C7738" s="0" t="n">
        <v>11</v>
      </c>
      <c r="D7738" s="0" t="s">
        <v>2471</v>
      </c>
      <c r="E7738" s="0" t="n">
        <v>1666</v>
      </c>
      <c r="F7738" s="0" t="s">
        <v>266</v>
      </c>
      <c r="I7738" s="0" t="n">
        <v>572518</v>
      </c>
      <c r="J7738" s="0" t="n">
        <v>71518</v>
      </c>
      <c r="K7738" s="0" t="n">
        <v>78946200</v>
      </c>
      <c r="L7738" s="0" t="s">
        <v>2759</v>
      </c>
      <c r="N7738" s="0" t="n">
        <v>30</v>
      </c>
      <c r="O7738" s="0" t="n">
        <v>310.57</v>
      </c>
      <c r="P7738" s="0" t="s">
        <v>2444</v>
      </c>
    </row>
    <row r="7739" customFormat="false" ht="15" hidden="false" customHeight="true" outlineLevel="0" collapsed="false">
      <c r="A7739" s="0" t="n">
        <v>2</v>
      </c>
      <c r="B7739" s="71" t="n">
        <v>46268</v>
      </c>
      <c r="C7739" s="0" t="n">
        <v>11</v>
      </c>
      <c r="D7739" s="0" t="s">
        <v>2471</v>
      </c>
      <c r="E7739" s="0" t="n">
        <v>1666</v>
      </c>
      <c r="F7739" s="0" t="s">
        <v>266</v>
      </c>
      <c r="I7739" s="0" t="n">
        <v>572518</v>
      </c>
      <c r="J7739" s="0" t="n">
        <v>77084</v>
      </c>
      <c r="K7739" s="0" t="n">
        <v>78947535</v>
      </c>
      <c r="L7739" s="0" t="s">
        <v>2760</v>
      </c>
      <c r="N7739" s="0" t="n">
        <v>40</v>
      </c>
      <c r="O7739" s="0" t="n">
        <v>696.43</v>
      </c>
      <c r="P7739" s="0" t="s">
        <v>2444</v>
      </c>
    </row>
    <row r="7740" customFormat="false" ht="15" hidden="false" customHeight="true" outlineLevel="0" collapsed="false">
      <c r="A7740" s="0" t="n">
        <v>2</v>
      </c>
      <c r="B7740" s="71" t="n">
        <v>46268</v>
      </c>
      <c r="C7740" s="0" t="n">
        <v>11</v>
      </c>
      <c r="D7740" s="0" t="s">
        <v>2471</v>
      </c>
      <c r="E7740" s="0" t="n">
        <v>1666</v>
      </c>
      <c r="F7740" s="0" t="s">
        <v>266</v>
      </c>
      <c r="I7740" s="0" t="n">
        <v>572518</v>
      </c>
      <c r="J7740" s="0" t="n">
        <v>78026</v>
      </c>
      <c r="K7740" s="0" t="n">
        <v>78947504</v>
      </c>
      <c r="L7740" s="0" t="s">
        <v>2761</v>
      </c>
      <c r="N7740" s="0" t="n">
        <v>60</v>
      </c>
      <c r="O7740" s="0" t="n">
        <v>903.48</v>
      </c>
      <c r="P7740" s="0" t="s">
        <v>2444</v>
      </c>
    </row>
    <row r="7741" customFormat="false" ht="15" hidden="false" customHeight="true" outlineLevel="0" collapsed="false">
      <c r="A7741" s="0" t="n">
        <v>2</v>
      </c>
      <c r="B7741" s="71" t="n">
        <v>46268</v>
      </c>
      <c r="C7741" s="0" t="n">
        <v>11</v>
      </c>
      <c r="D7741" s="0" t="s">
        <v>2471</v>
      </c>
      <c r="E7741" s="0" t="n">
        <v>1666</v>
      </c>
      <c r="F7741" s="0" t="s">
        <v>266</v>
      </c>
      <c r="I7741" s="0" t="n">
        <v>572518</v>
      </c>
      <c r="J7741" s="0" t="n">
        <v>82249</v>
      </c>
      <c r="K7741" s="0" t="n">
        <v>78947597</v>
      </c>
      <c r="L7741" s="0" t="s">
        <v>5222</v>
      </c>
      <c r="N7741" s="0" t="n">
        <v>40</v>
      </c>
      <c r="O7741" s="0" t="n">
        <v>564.67</v>
      </c>
      <c r="P7741" s="0" t="s">
        <v>2444</v>
      </c>
    </row>
    <row r="7742" customFormat="false" ht="15" hidden="false" customHeight="true" outlineLevel="0" collapsed="false">
      <c r="A7742" s="0" t="n">
        <v>2</v>
      </c>
      <c r="B7742" s="71" t="n">
        <v>46268</v>
      </c>
      <c r="C7742" s="0" t="n">
        <v>11</v>
      </c>
      <c r="D7742" s="0" t="s">
        <v>2471</v>
      </c>
      <c r="E7742" s="0" t="n">
        <v>1666</v>
      </c>
      <c r="F7742" s="0" t="s">
        <v>266</v>
      </c>
      <c r="I7742" s="0" t="n">
        <v>572518</v>
      </c>
      <c r="J7742" s="0" t="n">
        <v>82268</v>
      </c>
      <c r="K7742" s="0" t="n">
        <v>822695</v>
      </c>
      <c r="L7742" s="0" t="s">
        <v>5223</v>
      </c>
      <c r="N7742" s="0" t="n">
        <v>20</v>
      </c>
      <c r="O7742" s="0" t="n">
        <v>62.05</v>
      </c>
      <c r="P7742" s="0" t="s">
        <v>2444</v>
      </c>
    </row>
    <row r="7743" customFormat="false" ht="15" hidden="false" customHeight="true" outlineLevel="0" collapsed="false">
      <c r="A7743" s="0" t="n">
        <v>2</v>
      </c>
      <c r="B7743" s="71" t="n">
        <v>46268</v>
      </c>
      <c r="C7743" s="0" t="n">
        <v>11</v>
      </c>
      <c r="D7743" s="0" t="s">
        <v>2471</v>
      </c>
      <c r="E7743" s="0" t="n">
        <v>1621</v>
      </c>
      <c r="F7743" s="0" t="s">
        <v>232</v>
      </c>
      <c r="I7743" s="0" t="n">
        <v>993555</v>
      </c>
      <c r="J7743" s="0" t="n">
        <v>103132</v>
      </c>
      <c r="K7743" s="0" t="n">
        <v>7892840800000</v>
      </c>
      <c r="L7743" s="0" t="s">
        <v>3068</v>
      </c>
      <c r="N7743" s="0" t="n">
        <v>30</v>
      </c>
      <c r="O7743" s="0" t="n">
        <v>205.7</v>
      </c>
      <c r="P7743" s="0" t="s">
        <v>2444</v>
      </c>
    </row>
    <row r="7744" customFormat="false" ht="15" hidden="false" customHeight="true" outlineLevel="0" collapsed="false">
      <c r="A7744" s="0" t="n">
        <v>2</v>
      </c>
      <c r="B7744" s="71" t="n">
        <v>46268</v>
      </c>
      <c r="C7744" s="0" t="n">
        <v>11</v>
      </c>
      <c r="D7744" s="0" t="s">
        <v>2471</v>
      </c>
      <c r="E7744" s="0" t="n">
        <v>1621</v>
      </c>
      <c r="F7744" s="0" t="s">
        <v>232</v>
      </c>
      <c r="I7744" s="0" t="n">
        <v>993555</v>
      </c>
      <c r="J7744" s="0" t="n">
        <v>103630</v>
      </c>
      <c r="K7744" s="0" t="n">
        <v>7891991004107</v>
      </c>
      <c r="L7744" s="0" t="s">
        <v>3070</v>
      </c>
      <c r="N7744" s="0" t="n">
        <v>60</v>
      </c>
      <c r="O7744" s="0" t="n">
        <v>282.49</v>
      </c>
      <c r="P7744" s="0" t="s">
        <v>2444</v>
      </c>
    </row>
    <row r="7745" customFormat="false" ht="15" hidden="false" customHeight="true" outlineLevel="0" collapsed="false">
      <c r="A7745" s="0" t="n">
        <v>2</v>
      </c>
      <c r="B7745" s="71" t="n">
        <v>46268</v>
      </c>
      <c r="C7745" s="0" t="n">
        <v>11</v>
      </c>
      <c r="D7745" s="0" t="s">
        <v>2471</v>
      </c>
      <c r="E7745" s="0" t="n">
        <v>1611</v>
      </c>
      <c r="F7745" s="0" t="s">
        <v>178</v>
      </c>
      <c r="I7745" s="0" t="n">
        <v>1796900</v>
      </c>
      <c r="J7745" s="0" t="n">
        <v>101010</v>
      </c>
      <c r="K7745" s="0" t="n">
        <v>7891024181072</v>
      </c>
      <c r="L7745" s="0" t="s">
        <v>3782</v>
      </c>
      <c r="N7745" s="0" t="n">
        <v>6</v>
      </c>
      <c r="O7745" s="0" t="n">
        <v>43.21</v>
      </c>
      <c r="P7745" s="0" t="s">
        <v>2444</v>
      </c>
    </row>
    <row r="7746" customFormat="false" ht="15" hidden="false" customHeight="true" outlineLevel="0" collapsed="false">
      <c r="A7746" s="0" t="n">
        <v>2</v>
      </c>
      <c r="B7746" s="71" t="n">
        <v>46268</v>
      </c>
      <c r="C7746" s="0" t="n">
        <v>11</v>
      </c>
      <c r="D7746" s="0" t="s">
        <v>2471</v>
      </c>
      <c r="E7746" s="0" t="n">
        <v>1611</v>
      </c>
      <c r="F7746" s="0" t="s">
        <v>178</v>
      </c>
      <c r="I7746" s="0" t="n">
        <v>1796900</v>
      </c>
      <c r="J7746" s="0" t="n">
        <v>101151</v>
      </c>
      <c r="K7746" s="0" t="n">
        <v>7891024182970</v>
      </c>
      <c r="L7746" s="0" t="s">
        <v>4933</v>
      </c>
      <c r="N7746" s="0" t="n">
        <v>6</v>
      </c>
      <c r="O7746" s="0" t="n">
        <v>44.9</v>
      </c>
      <c r="P7746" s="0" t="s">
        <v>2444</v>
      </c>
    </row>
    <row r="7747" customFormat="false" ht="15" hidden="false" customHeight="true" outlineLevel="0" collapsed="false">
      <c r="A7747" s="0" t="n">
        <v>2</v>
      </c>
      <c r="B7747" s="71" t="n">
        <v>46268</v>
      </c>
      <c r="C7747" s="0" t="n">
        <v>11</v>
      </c>
      <c r="D7747" s="0" t="s">
        <v>2471</v>
      </c>
      <c r="E7747" s="0" t="n">
        <v>1611</v>
      </c>
      <c r="F7747" s="0" t="s">
        <v>178</v>
      </c>
      <c r="I7747" s="0" t="n">
        <v>1796900</v>
      </c>
      <c r="J7747" s="0" t="n">
        <v>101153</v>
      </c>
      <c r="K7747" s="0" t="n">
        <v>7891024184271</v>
      </c>
      <c r="L7747" s="0" t="s">
        <v>3783</v>
      </c>
      <c r="N7747" s="0" t="n">
        <v>6</v>
      </c>
      <c r="O7747" s="0" t="n">
        <v>44.9</v>
      </c>
      <c r="P7747" s="0" t="s">
        <v>2444</v>
      </c>
    </row>
    <row r="7748" customFormat="false" ht="15" hidden="false" customHeight="true" outlineLevel="0" collapsed="false">
      <c r="A7748" s="0" t="n">
        <v>2</v>
      </c>
      <c r="B7748" s="71" t="n">
        <v>46268</v>
      </c>
      <c r="C7748" s="0" t="n">
        <v>11</v>
      </c>
      <c r="D7748" s="0" t="s">
        <v>2471</v>
      </c>
      <c r="E7748" s="0" t="n">
        <v>1611</v>
      </c>
      <c r="F7748" s="0" t="s">
        <v>178</v>
      </c>
      <c r="I7748" s="0" t="n">
        <v>1796900</v>
      </c>
      <c r="J7748" s="0" t="n">
        <v>101154</v>
      </c>
      <c r="K7748" s="0" t="n">
        <v>7891024182475</v>
      </c>
      <c r="L7748" s="0" t="s">
        <v>4479</v>
      </c>
      <c r="N7748" s="0" t="n">
        <v>12</v>
      </c>
      <c r="O7748" s="0" t="n">
        <v>86.42</v>
      </c>
      <c r="P7748" s="0" t="s">
        <v>2444</v>
      </c>
    </row>
    <row r="7749" customFormat="false" ht="15" hidden="false" customHeight="true" outlineLevel="0" collapsed="false">
      <c r="A7749" s="0" t="n">
        <v>2</v>
      </c>
      <c r="B7749" s="71" t="n">
        <v>46268</v>
      </c>
      <c r="C7749" s="0" t="n">
        <v>11</v>
      </c>
      <c r="D7749" s="0" t="s">
        <v>2471</v>
      </c>
      <c r="E7749" s="0" t="n">
        <v>1611</v>
      </c>
      <c r="F7749" s="0" t="s">
        <v>178</v>
      </c>
      <c r="I7749" s="0" t="n">
        <v>1796900</v>
      </c>
      <c r="J7749" s="0" t="n">
        <v>101303</v>
      </c>
      <c r="K7749" s="0" t="n">
        <v>7891024132005</v>
      </c>
      <c r="L7749" s="0" t="s">
        <v>3784</v>
      </c>
      <c r="N7749" s="0" t="n">
        <v>12</v>
      </c>
      <c r="O7749" s="0" t="n">
        <v>64.46</v>
      </c>
      <c r="P7749" s="0" t="s">
        <v>2444</v>
      </c>
    </row>
    <row r="7750" customFormat="false" ht="15" hidden="false" customHeight="true" outlineLevel="0" collapsed="false">
      <c r="A7750" s="0" t="n">
        <v>2</v>
      </c>
      <c r="B7750" s="71" t="n">
        <v>46268</v>
      </c>
      <c r="C7750" s="0" t="n">
        <v>11</v>
      </c>
      <c r="D7750" s="0" t="s">
        <v>2471</v>
      </c>
      <c r="E7750" s="0" t="n">
        <v>1611</v>
      </c>
      <c r="F7750" s="0" t="s">
        <v>178</v>
      </c>
      <c r="I7750" s="0" t="n">
        <v>1796900</v>
      </c>
      <c r="J7750" s="0" t="n">
        <v>101338</v>
      </c>
      <c r="K7750" s="0" t="n">
        <v>7891528038025</v>
      </c>
      <c r="L7750" s="0" t="s">
        <v>4482</v>
      </c>
      <c r="N7750" s="0" t="n">
        <v>12</v>
      </c>
      <c r="O7750" s="0" t="n">
        <v>34.84</v>
      </c>
      <c r="P7750" s="0" t="s">
        <v>2444</v>
      </c>
    </row>
    <row r="7751" customFormat="false" ht="15" hidden="false" customHeight="true" outlineLevel="0" collapsed="false">
      <c r="A7751" s="0" t="n">
        <v>2</v>
      </c>
      <c r="B7751" s="71" t="n">
        <v>46268</v>
      </c>
      <c r="C7751" s="0" t="n">
        <v>11</v>
      </c>
      <c r="D7751" s="0" t="s">
        <v>2471</v>
      </c>
      <c r="E7751" s="0" t="n">
        <v>1611</v>
      </c>
      <c r="F7751" s="0" t="s">
        <v>178</v>
      </c>
      <c r="I7751" s="0" t="n">
        <v>1796900</v>
      </c>
      <c r="J7751" s="0" t="n">
        <v>103813</v>
      </c>
      <c r="K7751" s="0" t="n">
        <v>7891024180877</v>
      </c>
      <c r="L7751" s="0" t="s">
        <v>4936</v>
      </c>
      <c r="N7751" s="0" t="n">
        <v>6</v>
      </c>
      <c r="O7751" s="0" t="n">
        <v>43.21</v>
      </c>
      <c r="P7751" s="0" t="s">
        <v>2444</v>
      </c>
    </row>
    <row r="7752" customFormat="false" ht="15" hidden="false" customHeight="true" outlineLevel="0" collapsed="false">
      <c r="A7752" s="0" t="n">
        <v>2</v>
      </c>
      <c r="B7752" s="71" t="n">
        <v>46268</v>
      </c>
      <c r="C7752" s="0" t="n">
        <v>11</v>
      </c>
      <c r="D7752" s="0" t="s">
        <v>2471</v>
      </c>
      <c r="E7752" s="0" t="n">
        <v>1611</v>
      </c>
      <c r="F7752" s="0" t="s">
        <v>178</v>
      </c>
      <c r="I7752" s="0" t="n">
        <v>1796900</v>
      </c>
      <c r="J7752" s="0" t="n">
        <v>51612</v>
      </c>
      <c r="K7752" s="0" t="n">
        <v>7509546682600</v>
      </c>
      <c r="L7752" s="0" t="s">
        <v>4234</v>
      </c>
      <c r="N7752" s="0" t="n">
        <v>6</v>
      </c>
      <c r="O7752" s="0" t="n">
        <v>43.21</v>
      </c>
      <c r="P7752" s="0" t="s">
        <v>2444</v>
      </c>
    </row>
    <row r="7753" customFormat="false" ht="15" hidden="false" customHeight="true" outlineLevel="0" collapsed="false">
      <c r="A7753" s="0" t="n">
        <v>2</v>
      </c>
      <c r="B7753" s="71" t="n">
        <v>46268</v>
      </c>
      <c r="C7753" s="0" t="n">
        <v>11</v>
      </c>
      <c r="D7753" s="0" t="s">
        <v>2471</v>
      </c>
      <c r="E7753" s="0" t="n">
        <v>1611</v>
      </c>
      <c r="F7753" s="0" t="s">
        <v>178</v>
      </c>
      <c r="I7753" s="0" t="n">
        <v>1796900</v>
      </c>
      <c r="J7753" s="0" t="n">
        <v>56915</v>
      </c>
      <c r="K7753" s="0" t="n">
        <v>7509546679525</v>
      </c>
      <c r="L7753" s="0" t="s">
        <v>4509</v>
      </c>
      <c r="N7753" s="0" t="n">
        <v>4</v>
      </c>
      <c r="O7753" s="0" t="n">
        <v>44.11</v>
      </c>
      <c r="P7753" s="0" t="s">
        <v>2444</v>
      </c>
    </row>
    <row r="7754" customFormat="false" ht="15" hidden="false" customHeight="true" outlineLevel="0" collapsed="false">
      <c r="A7754" s="0" t="n">
        <v>2</v>
      </c>
      <c r="B7754" s="71" t="n">
        <v>46268</v>
      </c>
      <c r="C7754" s="0" t="n">
        <v>11</v>
      </c>
      <c r="D7754" s="0" t="s">
        <v>2471</v>
      </c>
      <c r="E7754" s="0" t="n">
        <v>1611</v>
      </c>
      <c r="F7754" s="0" t="s">
        <v>178</v>
      </c>
      <c r="I7754" s="0" t="n">
        <v>1796900</v>
      </c>
      <c r="J7754" s="0" t="n">
        <v>81781</v>
      </c>
      <c r="K7754" s="0" t="n">
        <v>7509546704333</v>
      </c>
      <c r="L7754" s="0" t="s">
        <v>4515</v>
      </c>
      <c r="N7754" s="0" t="n">
        <v>3</v>
      </c>
      <c r="O7754" s="0" t="n">
        <v>22.64</v>
      </c>
      <c r="P7754" s="0" t="s">
        <v>2444</v>
      </c>
    </row>
    <row r="7755" customFormat="false" ht="15" hidden="false" customHeight="true" outlineLevel="0" collapsed="false">
      <c r="A7755" s="0" t="n">
        <v>2</v>
      </c>
      <c r="B7755" s="71" t="n">
        <v>46269</v>
      </c>
      <c r="C7755" s="0" t="n">
        <v>6</v>
      </c>
      <c r="D7755" s="0" t="s">
        <v>2553</v>
      </c>
      <c r="E7755" s="0" t="n">
        <v>48</v>
      </c>
      <c r="F7755" s="0" t="s">
        <v>153</v>
      </c>
      <c r="I7755" s="0" t="n">
        <v>2654</v>
      </c>
      <c r="J7755" s="0" t="n">
        <v>42564</v>
      </c>
      <c r="K7755" s="0" t="n">
        <v>574</v>
      </c>
      <c r="L7755" s="0" t="s">
        <v>2534</v>
      </c>
      <c r="N7755" s="0" t="n">
        <v>20</v>
      </c>
      <c r="O7755" s="0" t="n">
        <v>300</v>
      </c>
      <c r="P7755" s="0" t="s">
        <v>2444</v>
      </c>
    </row>
    <row r="7756" customFormat="false" ht="15" hidden="false" customHeight="true" outlineLevel="0" collapsed="false">
      <c r="A7756" s="0" t="n">
        <v>2</v>
      </c>
      <c r="B7756" s="71" t="n">
        <v>46269</v>
      </c>
      <c r="C7756" s="0" t="n">
        <v>6</v>
      </c>
      <c r="D7756" s="0" t="s">
        <v>2553</v>
      </c>
      <c r="E7756" s="0" t="n">
        <v>48</v>
      </c>
      <c r="F7756" s="0" t="s">
        <v>153</v>
      </c>
      <c r="I7756" s="0" t="n">
        <v>2656</v>
      </c>
      <c r="J7756" s="0" t="n">
        <v>100113</v>
      </c>
      <c r="K7756" s="0" t="n">
        <v>114</v>
      </c>
      <c r="L7756" s="0" t="s">
        <v>2539</v>
      </c>
      <c r="N7756" s="0" t="n">
        <v>20</v>
      </c>
      <c r="O7756" s="0" t="n">
        <v>100</v>
      </c>
      <c r="P7756" s="0" t="s">
        <v>2444</v>
      </c>
    </row>
    <row r="7757" customFormat="false" ht="15" hidden="false" customHeight="true" outlineLevel="0" collapsed="false">
      <c r="A7757" s="0" t="n">
        <v>2</v>
      </c>
      <c r="B7757" s="71" t="n">
        <v>46269</v>
      </c>
      <c r="C7757" s="0" t="n">
        <v>6</v>
      </c>
      <c r="D7757" s="0" t="s">
        <v>2553</v>
      </c>
      <c r="E7757" s="0" t="n">
        <v>48</v>
      </c>
      <c r="F7757" s="0" t="s">
        <v>153</v>
      </c>
      <c r="I7757" s="0" t="n">
        <v>2656</v>
      </c>
      <c r="J7757" s="0" t="n">
        <v>110142</v>
      </c>
      <c r="K7757" s="0" t="n">
        <v>16699</v>
      </c>
      <c r="L7757" s="0" t="s">
        <v>2549</v>
      </c>
      <c r="N7757" s="0" t="n">
        <v>40</v>
      </c>
      <c r="O7757" s="0" t="n">
        <v>240</v>
      </c>
      <c r="P7757" s="0" t="s">
        <v>2444</v>
      </c>
    </row>
    <row r="7758" customFormat="false" ht="15" hidden="false" customHeight="true" outlineLevel="0" collapsed="false">
      <c r="A7758" s="0" t="n">
        <v>2</v>
      </c>
      <c r="B7758" s="71" t="n">
        <v>46269</v>
      </c>
      <c r="C7758" s="0" t="n">
        <v>6</v>
      </c>
      <c r="D7758" s="0" t="s">
        <v>2553</v>
      </c>
      <c r="E7758" s="0" t="n">
        <v>48</v>
      </c>
      <c r="F7758" s="0" t="s">
        <v>153</v>
      </c>
      <c r="I7758" s="0" t="n">
        <v>2657</v>
      </c>
      <c r="J7758" s="0" t="n">
        <v>100062</v>
      </c>
      <c r="K7758" s="0" t="n">
        <v>63</v>
      </c>
      <c r="L7758" s="0" t="s">
        <v>2535</v>
      </c>
      <c r="N7758" s="0" t="n">
        <v>18</v>
      </c>
      <c r="O7758" s="0" t="n">
        <v>130</v>
      </c>
      <c r="P7758" s="0" t="s">
        <v>2444</v>
      </c>
    </row>
    <row r="7759" customFormat="false" ht="15" hidden="false" customHeight="true" outlineLevel="0" collapsed="false">
      <c r="A7759" s="0" t="n">
        <v>2</v>
      </c>
      <c r="B7759" s="71" t="n">
        <v>46269</v>
      </c>
      <c r="C7759" s="0" t="n">
        <v>6</v>
      </c>
      <c r="D7759" s="0" t="s">
        <v>2553</v>
      </c>
      <c r="E7759" s="0" t="n">
        <v>48</v>
      </c>
      <c r="F7759" s="0" t="s">
        <v>153</v>
      </c>
      <c r="I7759" s="0" t="n">
        <v>2657</v>
      </c>
      <c r="J7759" s="0" t="n">
        <v>100105</v>
      </c>
      <c r="K7759" s="0" t="n">
        <v>106</v>
      </c>
      <c r="L7759" s="0" t="s">
        <v>2536</v>
      </c>
      <c r="N7759" s="0" t="n">
        <v>24</v>
      </c>
      <c r="O7759" s="0" t="n">
        <v>120</v>
      </c>
      <c r="P7759" s="0" t="s">
        <v>2444</v>
      </c>
    </row>
    <row r="7760" customFormat="false" ht="15" hidden="false" customHeight="true" outlineLevel="0" collapsed="false">
      <c r="A7760" s="0" t="n">
        <v>2</v>
      </c>
      <c r="B7760" s="71" t="n">
        <v>46269</v>
      </c>
      <c r="C7760" s="0" t="n">
        <v>6</v>
      </c>
      <c r="D7760" s="0" t="s">
        <v>2553</v>
      </c>
      <c r="E7760" s="0" t="n">
        <v>48</v>
      </c>
      <c r="F7760" s="0" t="s">
        <v>153</v>
      </c>
      <c r="I7760" s="0" t="n">
        <v>2657</v>
      </c>
      <c r="J7760" s="0" t="n">
        <v>100109</v>
      </c>
      <c r="K7760" s="0" t="n">
        <v>110</v>
      </c>
      <c r="L7760" s="0" t="s">
        <v>2537</v>
      </c>
      <c r="N7760" s="0" t="n">
        <v>20</v>
      </c>
      <c r="O7760" s="0" t="n">
        <v>120</v>
      </c>
      <c r="P7760" s="0" t="s">
        <v>2444</v>
      </c>
    </row>
    <row r="7761" customFormat="false" ht="15" hidden="false" customHeight="true" outlineLevel="0" collapsed="false">
      <c r="A7761" s="0" t="n">
        <v>2</v>
      </c>
      <c r="B7761" s="71" t="n">
        <v>46269</v>
      </c>
      <c r="C7761" s="0" t="n">
        <v>6</v>
      </c>
      <c r="D7761" s="0" t="s">
        <v>2553</v>
      </c>
      <c r="E7761" s="0" t="n">
        <v>48</v>
      </c>
      <c r="F7761" s="0" t="s">
        <v>153</v>
      </c>
      <c r="I7761" s="0" t="n">
        <v>2657</v>
      </c>
      <c r="J7761" s="0" t="n">
        <v>100110</v>
      </c>
      <c r="K7761" s="0" t="n">
        <v>111</v>
      </c>
      <c r="L7761" s="0" t="s">
        <v>2997</v>
      </c>
      <c r="N7761" s="0" t="n">
        <v>15</v>
      </c>
      <c r="O7761" s="0" t="n">
        <v>120</v>
      </c>
      <c r="P7761" s="0" t="s">
        <v>2444</v>
      </c>
    </row>
    <row r="7762" customFormat="false" ht="15" hidden="false" customHeight="true" outlineLevel="0" collapsed="false">
      <c r="A7762" s="0" t="n">
        <v>2</v>
      </c>
      <c r="B7762" s="71" t="n">
        <v>46269</v>
      </c>
      <c r="C7762" s="0" t="n">
        <v>6</v>
      </c>
      <c r="D7762" s="0" t="s">
        <v>2553</v>
      </c>
      <c r="E7762" s="0" t="n">
        <v>48</v>
      </c>
      <c r="F7762" s="0" t="s">
        <v>153</v>
      </c>
      <c r="I7762" s="0" t="n">
        <v>2657</v>
      </c>
      <c r="J7762" s="0" t="n">
        <v>100115</v>
      </c>
      <c r="K7762" s="0" t="n">
        <v>116</v>
      </c>
      <c r="L7762" s="0" t="s">
        <v>2694</v>
      </c>
      <c r="N7762" s="0" t="n">
        <v>15</v>
      </c>
      <c r="O7762" s="0" t="n">
        <v>160</v>
      </c>
      <c r="P7762" s="0" t="s">
        <v>2444</v>
      </c>
    </row>
    <row r="7763" customFormat="false" ht="15" hidden="false" customHeight="true" outlineLevel="0" collapsed="false">
      <c r="A7763" s="0" t="n">
        <v>2</v>
      </c>
      <c r="B7763" s="71" t="n">
        <v>46269</v>
      </c>
      <c r="C7763" s="0" t="n">
        <v>6</v>
      </c>
      <c r="D7763" s="0" t="s">
        <v>2553</v>
      </c>
      <c r="E7763" s="0" t="n">
        <v>48</v>
      </c>
      <c r="F7763" s="0" t="s">
        <v>153</v>
      </c>
      <c r="I7763" s="0" t="n">
        <v>2657</v>
      </c>
      <c r="J7763" s="0" t="n">
        <v>100116</v>
      </c>
      <c r="K7763" s="0" t="n">
        <v>117</v>
      </c>
      <c r="L7763" s="0" t="s">
        <v>2540</v>
      </c>
      <c r="N7763" s="0" t="n">
        <v>2</v>
      </c>
      <c r="O7763" s="0" t="n">
        <v>30</v>
      </c>
      <c r="P7763" s="0" t="s">
        <v>2444</v>
      </c>
    </row>
    <row r="7764" customFormat="false" ht="15" hidden="false" customHeight="true" outlineLevel="0" collapsed="false">
      <c r="A7764" s="0" t="n">
        <v>2</v>
      </c>
      <c r="B7764" s="71" t="n">
        <v>46269</v>
      </c>
      <c r="C7764" s="0" t="n">
        <v>6</v>
      </c>
      <c r="D7764" s="0" t="s">
        <v>2553</v>
      </c>
      <c r="E7764" s="0" t="n">
        <v>48</v>
      </c>
      <c r="F7764" s="0" t="s">
        <v>153</v>
      </c>
      <c r="I7764" s="0" t="n">
        <v>2657</v>
      </c>
      <c r="J7764" s="0" t="n">
        <v>100118</v>
      </c>
      <c r="K7764" s="0" t="n">
        <v>119</v>
      </c>
      <c r="L7764" s="0" t="s">
        <v>2541</v>
      </c>
      <c r="N7764" s="0" t="n">
        <v>5</v>
      </c>
      <c r="O7764" s="0" t="n">
        <v>40</v>
      </c>
      <c r="P7764" s="0" t="s">
        <v>2444</v>
      </c>
    </row>
    <row r="7765" customFormat="false" ht="15" hidden="false" customHeight="true" outlineLevel="0" collapsed="false">
      <c r="A7765" s="0" t="n">
        <v>2</v>
      </c>
      <c r="B7765" s="71" t="n">
        <v>46269</v>
      </c>
      <c r="C7765" s="0" t="n">
        <v>6</v>
      </c>
      <c r="D7765" s="0" t="s">
        <v>2553</v>
      </c>
      <c r="E7765" s="0" t="n">
        <v>48</v>
      </c>
      <c r="F7765" s="0" t="s">
        <v>153</v>
      </c>
      <c r="I7765" s="0" t="n">
        <v>2657</v>
      </c>
      <c r="J7765" s="0" t="n">
        <v>100122</v>
      </c>
      <c r="K7765" s="0" t="n">
        <v>123</v>
      </c>
      <c r="L7765" s="0" t="s">
        <v>2543</v>
      </c>
      <c r="N7765" s="0" t="n">
        <v>3</v>
      </c>
      <c r="O7765" s="0" t="n">
        <v>39</v>
      </c>
      <c r="P7765" s="0" t="s">
        <v>2444</v>
      </c>
    </row>
    <row r="7766" customFormat="false" ht="15" hidden="false" customHeight="true" outlineLevel="0" collapsed="false">
      <c r="A7766" s="0" t="n">
        <v>2</v>
      </c>
      <c r="B7766" s="71" t="n">
        <v>46269</v>
      </c>
      <c r="C7766" s="0" t="n">
        <v>6</v>
      </c>
      <c r="D7766" s="0" t="s">
        <v>2553</v>
      </c>
      <c r="E7766" s="0" t="n">
        <v>48</v>
      </c>
      <c r="F7766" s="0" t="s">
        <v>153</v>
      </c>
      <c r="I7766" s="0" t="n">
        <v>2657</v>
      </c>
      <c r="J7766" s="0" t="n">
        <v>100125</v>
      </c>
      <c r="K7766" s="0" t="n">
        <v>126</v>
      </c>
      <c r="L7766" s="0" t="s">
        <v>2597</v>
      </c>
      <c r="N7766" s="0" t="n">
        <v>20</v>
      </c>
      <c r="O7766" s="0" t="n">
        <v>160</v>
      </c>
      <c r="P7766" s="0" t="s">
        <v>2444</v>
      </c>
    </row>
    <row r="7767" customFormat="false" ht="15" hidden="false" customHeight="true" outlineLevel="0" collapsed="false">
      <c r="A7767" s="0" t="n">
        <v>2</v>
      </c>
      <c r="B7767" s="71" t="n">
        <v>46269</v>
      </c>
      <c r="C7767" s="0" t="n">
        <v>6</v>
      </c>
      <c r="D7767" s="0" t="s">
        <v>2553</v>
      </c>
      <c r="E7767" s="0" t="n">
        <v>48</v>
      </c>
      <c r="F7767" s="0" t="s">
        <v>153</v>
      </c>
      <c r="I7767" s="0" t="n">
        <v>2657</v>
      </c>
      <c r="J7767" s="0" t="n">
        <v>100129</v>
      </c>
      <c r="K7767" s="0" t="n">
        <v>130</v>
      </c>
      <c r="L7767" s="0" t="s">
        <v>2598</v>
      </c>
      <c r="N7767" s="0" t="n">
        <v>13</v>
      </c>
      <c r="O7767" s="0" t="n">
        <v>80</v>
      </c>
      <c r="P7767" s="0" t="s">
        <v>2444</v>
      </c>
    </row>
    <row r="7768" customFormat="false" ht="15" hidden="false" customHeight="true" outlineLevel="0" collapsed="false">
      <c r="A7768" s="0" t="n">
        <v>2</v>
      </c>
      <c r="B7768" s="71" t="n">
        <v>46269</v>
      </c>
      <c r="C7768" s="0" t="n">
        <v>6</v>
      </c>
      <c r="D7768" s="0" t="s">
        <v>2553</v>
      </c>
      <c r="E7768" s="0" t="n">
        <v>48</v>
      </c>
      <c r="F7768" s="0" t="s">
        <v>153</v>
      </c>
      <c r="I7768" s="0" t="n">
        <v>2657</v>
      </c>
      <c r="J7768" s="0" t="n">
        <v>100130</v>
      </c>
      <c r="K7768" s="0" t="n">
        <v>131</v>
      </c>
      <c r="L7768" s="0" t="s">
        <v>2545</v>
      </c>
      <c r="N7768" s="0" t="n">
        <v>20</v>
      </c>
      <c r="O7768" s="0" t="n">
        <v>160</v>
      </c>
      <c r="P7768" s="0" t="s">
        <v>2444</v>
      </c>
    </row>
    <row r="7769" customFormat="false" ht="15" hidden="false" customHeight="true" outlineLevel="0" collapsed="false">
      <c r="A7769" s="0" t="n">
        <v>2</v>
      </c>
      <c r="B7769" s="71" t="n">
        <v>46269</v>
      </c>
      <c r="C7769" s="0" t="n">
        <v>6</v>
      </c>
      <c r="D7769" s="0" t="s">
        <v>2553</v>
      </c>
      <c r="E7769" s="0" t="n">
        <v>48</v>
      </c>
      <c r="F7769" s="0" t="s">
        <v>153</v>
      </c>
      <c r="I7769" s="0" t="n">
        <v>2657</v>
      </c>
      <c r="J7769" s="0" t="n">
        <v>100132</v>
      </c>
      <c r="K7769" s="0" t="n">
        <v>133</v>
      </c>
      <c r="L7769" s="0" t="s">
        <v>2546</v>
      </c>
      <c r="N7769" s="0" t="n">
        <v>61.32</v>
      </c>
      <c r="O7769" s="0" t="n">
        <v>190</v>
      </c>
      <c r="P7769" s="0" t="s">
        <v>2444</v>
      </c>
    </row>
    <row r="7770" customFormat="false" ht="15" hidden="false" customHeight="true" outlineLevel="0" collapsed="false">
      <c r="A7770" s="0" t="n">
        <v>2</v>
      </c>
      <c r="B7770" s="71" t="n">
        <v>46269</v>
      </c>
      <c r="C7770" s="0" t="n">
        <v>6</v>
      </c>
      <c r="D7770" s="0" t="s">
        <v>2553</v>
      </c>
      <c r="E7770" s="0" t="n">
        <v>48</v>
      </c>
      <c r="F7770" s="0" t="s">
        <v>153</v>
      </c>
      <c r="I7770" s="0" t="n">
        <v>2657</v>
      </c>
      <c r="J7770" s="0" t="n">
        <v>100133</v>
      </c>
      <c r="K7770" s="0" t="n">
        <v>134</v>
      </c>
      <c r="L7770" s="0" t="s">
        <v>2547</v>
      </c>
      <c r="N7770" s="0" t="n">
        <v>20</v>
      </c>
      <c r="O7770" s="0" t="n">
        <v>100</v>
      </c>
      <c r="P7770" s="0" t="s">
        <v>2444</v>
      </c>
    </row>
    <row r="7771" customFormat="false" ht="15" hidden="false" customHeight="true" outlineLevel="0" collapsed="false">
      <c r="A7771" s="0" t="n">
        <v>2</v>
      </c>
      <c r="B7771" s="71" t="n">
        <v>46269</v>
      </c>
      <c r="C7771" s="0" t="n">
        <v>6</v>
      </c>
      <c r="D7771" s="0" t="s">
        <v>2553</v>
      </c>
      <c r="E7771" s="0" t="n">
        <v>48</v>
      </c>
      <c r="F7771" s="0" t="s">
        <v>153</v>
      </c>
      <c r="I7771" s="0" t="n">
        <v>2657</v>
      </c>
      <c r="J7771" s="0" t="n">
        <v>110165</v>
      </c>
      <c r="K7771" s="0" t="n">
        <v>37441</v>
      </c>
      <c r="L7771" s="0" t="s">
        <v>4682</v>
      </c>
      <c r="N7771" s="0" t="n">
        <v>10</v>
      </c>
      <c r="O7771" s="0" t="n">
        <v>75</v>
      </c>
      <c r="P7771" s="0" t="s">
        <v>2444</v>
      </c>
    </row>
    <row r="7772" customFormat="false" ht="15" hidden="false" customHeight="true" outlineLevel="0" collapsed="false">
      <c r="A7772" s="0" t="n">
        <v>2</v>
      </c>
      <c r="B7772" s="71" t="n">
        <v>46269</v>
      </c>
      <c r="C7772" s="0" t="n">
        <v>6</v>
      </c>
      <c r="D7772" s="0" t="s">
        <v>2553</v>
      </c>
      <c r="E7772" s="0" t="n">
        <v>48</v>
      </c>
      <c r="F7772" s="0" t="s">
        <v>153</v>
      </c>
      <c r="I7772" s="0" t="n">
        <v>2657</v>
      </c>
      <c r="J7772" s="0" t="n">
        <v>43627</v>
      </c>
      <c r="K7772" s="0" t="n">
        <v>1175</v>
      </c>
      <c r="L7772" s="0" t="s">
        <v>4217</v>
      </c>
      <c r="N7772" s="0" t="n">
        <v>10</v>
      </c>
      <c r="O7772" s="0" t="n">
        <v>33</v>
      </c>
      <c r="P7772" s="0" t="s">
        <v>2444</v>
      </c>
    </row>
    <row r="7773" customFormat="false" ht="15" hidden="false" customHeight="true" outlineLevel="0" collapsed="false">
      <c r="A7773" s="0" t="n">
        <v>2</v>
      </c>
      <c r="B7773" s="71" t="n">
        <v>46269</v>
      </c>
      <c r="C7773" s="0" t="n">
        <v>6</v>
      </c>
      <c r="D7773" s="0" t="s">
        <v>2553</v>
      </c>
      <c r="E7773" s="0" t="n">
        <v>48</v>
      </c>
      <c r="F7773" s="0" t="s">
        <v>153</v>
      </c>
      <c r="I7773" s="0" t="n">
        <v>2657</v>
      </c>
      <c r="J7773" s="0" t="n">
        <v>110374</v>
      </c>
      <c r="K7773" s="0" t="n">
        <v>48077</v>
      </c>
      <c r="L7773" s="0" t="s">
        <v>2696</v>
      </c>
      <c r="N7773" s="0" t="n">
        <v>5</v>
      </c>
      <c r="O7773" s="0" t="n">
        <v>40</v>
      </c>
      <c r="P7773" s="0" t="s">
        <v>2444</v>
      </c>
    </row>
    <row r="7774" customFormat="false" ht="15" hidden="false" customHeight="true" outlineLevel="0" collapsed="false">
      <c r="A7774" s="0" t="n">
        <v>2</v>
      </c>
      <c r="B7774" s="71" t="n">
        <v>46269</v>
      </c>
      <c r="C7774" s="0" t="n">
        <v>6</v>
      </c>
      <c r="D7774" s="0" t="s">
        <v>2553</v>
      </c>
      <c r="E7774" s="0" t="n">
        <v>48</v>
      </c>
      <c r="F7774" s="0" t="s">
        <v>153</v>
      </c>
      <c r="I7774" s="0" t="n">
        <v>2657</v>
      </c>
      <c r="J7774" s="0" t="n">
        <v>110489</v>
      </c>
      <c r="K7774" s="0" t="n">
        <v>54743</v>
      </c>
      <c r="L7774" s="0" t="s">
        <v>2550</v>
      </c>
      <c r="N7774" s="0" t="n">
        <v>40</v>
      </c>
      <c r="O7774" s="0" t="n">
        <v>260</v>
      </c>
      <c r="P7774" s="0" t="s">
        <v>2444</v>
      </c>
    </row>
    <row r="7775" customFormat="false" ht="15" hidden="false" customHeight="true" outlineLevel="0" collapsed="false">
      <c r="A7775" s="0" t="n">
        <v>2</v>
      </c>
      <c r="B7775" s="71" t="n">
        <v>46269</v>
      </c>
      <c r="C7775" s="0" t="n">
        <v>6</v>
      </c>
      <c r="D7775" s="0" t="s">
        <v>2553</v>
      </c>
      <c r="E7775" s="0" t="n">
        <v>48</v>
      </c>
      <c r="F7775" s="0" t="s">
        <v>153</v>
      </c>
      <c r="I7775" s="0" t="n">
        <v>2657</v>
      </c>
      <c r="J7775" s="0" t="n">
        <v>80078</v>
      </c>
      <c r="K7775" s="0" t="n">
        <v>710</v>
      </c>
      <c r="L7775" s="0" t="s">
        <v>2551</v>
      </c>
      <c r="N7775" s="0" t="n">
        <v>5</v>
      </c>
      <c r="O7775" s="0" t="n">
        <v>15</v>
      </c>
      <c r="P7775" s="0" t="s">
        <v>2444</v>
      </c>
    </row>
    <row r="7776" customFormat="false" ht="15" hidden="false" customHeight="true" outlineLevel="0" collapsed="false">
      <c r="A7776" s="0" t="n">
        <v>2</v>
      </c>
      <c r="B7776" s="71" t="n">
        <v>46269</v>
      </c>
      <c r="C7776" s="0" t="n">
        <v>6</v>
      </c>
      <c r="D7776" s="0" t="s">
        <v>2553</v>
      </c>
      <c r="E7776" s="0" t="n">
        <v>48</v>
      </c>
      <c r="F7776" s="0" t="s">
        <v>153</v>
      </c>
      <c r="I7776" s="0" t="n">
        <v>2657</v>
      </c>
      <c r="J7776" s="0" t="n">
        <v>80308</v>
      </c>
      <c r="K7776" s="0" t="n">
        <v>1250</v>
      </c>
      <c r="L7776" s="0" t="s">
        <v>2552</v>
      </c>
      <c r="N7776" s="0" t="n">
        <v>25</v>
      </c>
      <c r="O7776" s="0" t="n">
        <v>100</v>
      </c>
      <c r="P7776" s="0" t="s">
        <v>2444</v>
      </c>
    </row>
    <row r="7777" customFormat="false" ht="15" hidden="false" customHeight="true" outlineLevel="0" collapsed="false">
      <c r="A7777" s="0" t="n">
        <v>2</v>
      </c>
      <c r="B7777" s="71" t="n">
        <v>46269</v>
      </c>
      <c r="C7777" s="0" t="n">
        <v>11</v>
      </c>
      <c r="D7777" s="0" t="s">
        <v>2471</v>
      </c>
      <c r="E7777" s="0" t="n">
        <v>10018</v>
      </c>
      <c r="F7777" s="0" t="s">
        <v>216</v>
      </c>
      <c r="I7777" s="0" t="n">
        <v>378</v>
      </c>
      <c r="J7777" s="0" t="n">
        <v>102290</v>
      </c>
      <c r="K7777" s="0" t="n">
        <v>7896593500019</v>
      </c>
      <c r="L7777" s="0" t="s">
        <v>2769</v>
      </c>
      <c r="N7777" s="0" t="n">
        <v>30</v>
      </c>
      <c r="O7777" s="0" t="n">
        <v>125.7</v>
      </c>
      <c r="P7777" s="0" t="s">
        <v>2444</v>
      </c>
    </row>
    <row r="7778" customFormat="false" ht="15" hidden="false" customHeight="true" outlineLevel="0" collapsed="false">
      <c r="A7778" s="0" t="n">
        <v>2</v>
      </c>
      <c r="B7778" s="71" t="n">
        <v>46269</v>
      </c>
      <c r="C7778" s="0" t="n">
        <v>11</v>
      </c>
      <c r="D7778" s="0" t="s">
        <v>2471</v>
      </c>
      <c r="E7778" s="0" t="n">
        <v>10018</v>
      </c>
      <c r="F7778" s="0" t="s">
        <v>216</v>
      </c>
      <c r="I7778" s="0" t="n">
        <v>378</v>
      </c>
      <c r="J7778" s="0" t="n">
        <v>102592</v>
      </c>
      <c r="K7778" s="0" t="n">
        <v>7891030003467</v>
      </c>
      <c r="L7778" s="0" t="s">
        <v>2770</v>
      </c>
      <c r="N7778" s="0" t="n">
        <v>135</v>
      </c>
      <c r="O7778" s="0" t="n">
        <v>374.5</v>
      </c>
      <c r="P7778" s="0" t="s">
        <v>2444</v>
      </c>
    </row>
    <row r="7779" customFormat="false" ht="15" hidden="false" customHeight="true" outlineLevel="0" collapsed="false">
      <c r="A7779" s="0" t="n">
        <v>2</v>
      </c>
      <c r="B7779" s="71" t="n">
        <v>46269</v>
      </c>
      <c r="C7779" s="0" t="n">
        <v>11</v>
      </c>
      <c r="D7779" s="0" t="s">
        <v>2471</v>
      </c>
      <c r="E7779" s="0" t="n">
        <v>10018</v>
      </c>
      <c r="F7779" s="0" t="s">
        <v>216</v>
      </c>
      <c r="I7779" s="0" t="n">
        <v>378</v>
      </c>
      <c r="J7779" s="0" t="n">
        <v>14874</v>
      </c>
      <c r="K7779" s="0" t="n">
        <v>7896036095102</v>
      </c>
      <c r="L7779" s="0" t="s">
        <v>3279</v>
      </c>
      <c r="N7779" s="0" t="n">
        <v>24</v>
      </c>
      <c r="O7779" s="0" t="n">
        <v>110</v>
      </c>
      <c r="P7779" s="0" t="s">
        <v>2444</v>
      </c>
    </row>
    <row r="7780" customFormat="false" ht="15" hidden="false" customHeight="true" outlineLevel="0" collapsed="false">
      <c r="A7780" s="0" t="n">
        <v>2</v>
      </c>
      <c r="B7780" s="71" t="n">
        <v>46269</v>
      </c>
      <c r="C7780" s="0" t="n">
        <v>11</v>
      </c>
      <c r="D7780" s="0" t="s">
        <v>2471</v>
      </c>
      <c r="E7780" s="0" t="n">
        <v>10018</v>
      </c>
      <c r="F7780" s="0" t="s">
        <v>216</v>
      </c>
      <c r="I7780" s="0" t="n">
        <v>378</v>
      </c>
      <c r="J7780" s="0" t="n">
        <v>31871</v>
      </c>
      <c r="K7780" s="0" t="n">
        <v>7891150055070</v>
      </c>
      <c r="L7780" s="0" t="s">
        <v>5201</v>
      </c>
      <c r="N7780" s="0" t="n">
        <v>50</v>
      </c>
      <c r="O7780" s="0" t="n">
        <v>175</v>
      </c>
      <c r="P7780" s="0" t="s">
        <v>2444</v>
      </c>
    </row>
    <row r="7781" customFormat="false" ht="15" hidden="false" customHeight="true" outlineLevel="0" collapsed="false">
      <c r="A7781" s="0" t="n">
        <v>2</v>
      </c>
      <c r="B7781" s="71" t="n">
        <v>46269</v>
      </c>
      <c r="C7781" s="0" t="n">
        <v>11</v>
      </c>
      <c r="D7781" s="0" t="s">
        <v>2471</v>
      </c>
      <c r="E7781" s="0" t="n">
        <v>10018</v>
      </c>
      <c r="F7781" s="0" t="s">
        <v>216</v>
      </c>
      <c r="I7781" s="0" t="n">
        <v>378</v>
      </c>
      <c r="J7781" s="0" t="n">
        <v>81830</v>
      </c>
      <c r="K7781" s="0" t="n">
        <v>1588</v>
      </c>
      <c r="L7781" s="0" t="s">
        <v>4637</v>
      </c>
      <c r="N7781" s="0" t="n">
        <v>20</v>
      </c>
      <c r="O7781" s="0" t="n">
        <v>259.8</v>
      </c>
      <c r="P7781" s="0" t="s">
        <v>2444</v>
      </c>
    </row>
    <row r="7782" customFormat="false" ht="15" hidden="false" customHeight="true" outlineLevel="0" collapsed="false">
      <c r="A7782" s="0" t="n">
        <v>2</v>
      </c>
      <c r="B7782" s="71" t="n">
        <v>46269</v>
      </c>
      <c r="C7782" s="0" t="n">
        <v>11</v>
      </c>
      <c r="D7782" s="0" t="s">
        <v>2471</v>
      </c>
      <c r="E7782" s="0" t="n">
        <v>10035</v>
      </c>
      <c r="F7782" s="0" t="s">
        <v>86</v>
      </c>
      <c r="I7782" s="0" t="n">
        <v>427</v>
      </c>
      <c r="J7782" s="0" t="n">
        <v>38652</v>
      </c>
      <c r="K7782" s="0" t="n">
        <v>7898994684220</v>
      </c>
      <c r="L7782" s="0" t="s">
        <v>2711</v>
      </c>
      <c r="N7782" s="0" t="n">
        <v>15</v>
      </c>
      <c r="O7782" s="0" t="n">
        <v>142.5</v>
      </c>
      <c r="P7782" s="0" t="s">
        <v>2444</v>
      </c>
    </row>
    <row r="7783" customFormat="false" ht="15" hidden="false" customHeight="true" outlineLevel="0" collapsed="false">
      <c r="A7783" s="0" t="n">
        <v>2</v>
      </c>
      <c r="B7783" s="71" t="n">
        <v>46269</v>
      </c>
      <c r="C7783" s="0" t="n">
        <v>11</v>
      </c>
      <c r="D7783" s="0" t="s">
        <v>2471</v>
      </c>
      <c r="E7783" s="0" t="n">
        <v>10035</v>
      </c>
      <c r="F7783" s="0" t="s">
        <v>86</v>
      </c>
      <c r="I7783" s="0" t="n">
        <v>427</v>
      </c>
      <c r="J7783" s="0" t="n">
        <v>38653</v>
      </c>
      <c r="K7783" s="0" t="n">
        <v>7898994684275</v>
      </c>
      <c r="L7783" s="0" t="s">
        <v>2712</v>
      </c>
      <c r="N7783" s="0" t="n">
        <v>10</v>
      </c>
      <c r="O7783" s="0" t="n">
        <v>35</v>
      </c>
      <c r="P7783" s="0" t="s">
        <v>2444</v>
      </c>
    </row>
    <row r="7784" customFormat="false" ht="15" hidden="false" customHeight="true" outlineLevel="0" collapsed="false">
      <c r="A7784" s="0" t="n">
        <v>2</v>
      </c>
      <c r="B7784" s="71" t="n">
        <v>46269</v>
      </c>
      <c r="C7784" s="0" t="n">
        <v>11</v>
      </c>
      <c r="D7784" s="0" t="s">
        <v>2471</v>
      </c>
      <c r="E7784" s="0" t="n">
        <v>1955</v>
      </c>
      <c r="F7784" s="0" t="s">
        <v>2420</v>
      </c>
      <c r="I7784" s="0" t="n">
        <v>47868</v>
      </c>
      <c r="J7784" s="0" t="n">
        <v>37740</v>
      </c>
      <c r="K7784" s="0" t="n">
        <v>7899403635857</v>
      </c>
      <c r="L7784" s="0" t="s">
        <v>5224</v>
      </c>
      <c r="N7784" s="0" t="n">
        <v>5</v>
      </c>
      <c r="O7784" s="0" t="n">
        <v>55</v>
      </c>
      <c r="P7784" s="0" t="s">
        <v>2444</v>
      </c>
    </row>
    <row r="7785" customFormat="false" ht="15" hidden="false" customHeight="true" outlineLevel="0" collapsed="false">
      <c r="A7785" s="0" t="n">
        <v>2</v>
      </c>
      <c r="B7785" s="71" t="n">
        <v>46269</v>
      </c>
      <c r="C7785" s="0" t="n">
        <v>11</v>
      </c>
      <c r="D7785" s="0" t="s">
        <v>2471</v>
      </c>
      <c r="E7785" s="0" t="n">
        <v>1955</v>
      </c>
      <c r="F7785" s="0" t="s">
        <v>2420</v>
      </c>
      <c r="I7785" s="0" t="n">
        <v>47868</v>
      </c>
      <c r="J7785" s="0" t="n">
        <v>37742</v>
      </c>
      <c r="K7785" s="0" t="n">
        <v>7898575226504</v>
      </c>
      <c r="L7785" s="0" t="s">
        <v>5225</v>
      </c>
      <c r="N7785" s="0" t="n">
        <v>15</v>
      </c>
      <c r="O7785" s="0" t="n">
        <v>105</v>
      </c>
      <c r="P7785" s="0" t="s">
        <v>2444</v>
      </c>
    </row>
    <row r="7786" customFormat="false" ht="15" hidden="false" customHeight="true" outlineLevel="0" collapsed="false">
      <c r="A7786" s="0" t="n">
        <v>2</v>
      </c>
      <c r="B7786" s="71" t="n">
        <v>46269</v>
      </c>
      <c r="C7786" s="0" t="n">
        <v>11</v>
      </c>
      <c r="D7786" s="0" t="s">
        <v>2471</v>
      </c>
      <c r="E7786" s="0" t="n">
        <v>1955</v>
      </c>
      <c r="F7786" s="0" t="s">
        <v>2420</v>
      </c>
      <c r="I7786" s="0" t="n">
        <v>47868</v>
      </c>
      <c r="J7786" s="0" t="n">
        <v>37744</v>
      </c>
      <c r="K7786" s="0" t="n">
        <v>7894537020739</v>
      </c>
      <c r="L7786" s="0" t="s">
        <v>5226</v>
      </c>
      <c r="N7786" s="0" t="n">
        <v>15</v>
      </c>
      <c r="O7786" s="0" t="n">
        <v>165</v>
      </c>
      <c r="P7786" s="0" t="s">
        <v>2444</v>
      </c>
    </row>
    <row r="7787" customFormat="false" ht="15" hidden="false" customHeight="true" outlineLevel="0" collapsed="false">
      <c r="A7787" s="0" t="n">
        <v>2</v>
      </c>
      <c r="B7787" s="71" t="n">
        <v>46269</v>
      </c>
      <c r="C7787" s="0" t="n">
        <v>11</v>
      </c>
      <c r="D7787" s="0" t="s">
        <v>2471</v>
      </c>
      <c r="E7787" s="0" t="n">
        <v>1955</v>
      </c>
      <c r="F7787" s="0" t="s">
        <v>2420</v>
      </c>
      <c r="I7787" s="0" t="n">
        <v>47868</v>
      </c>
      <c r="J7787" s="0" t="n">
        <v>37744</v>
      </c>
      <c r="K7787" s="0" t="n">
        <v>7894537020739</v>
      </c>
      <c r="L7787" s="0" t="s">
        <v>5226</v>
      </c>
      <c r="N7787" s="0" t="n">
        <v>15</v>
      </c>
      <c r="O7787" s="0" t="n">
        <v>210</v>
      </c>
      <c r="P7787" s="0" t="s">
        <v>2444</v>
      </c>
    </row>
    <row r="7788" customFormat="false" ht="15" hidden="false" customHeight="true" outlineLevel="0" collapsed="false">
      <c r="A7788" s="0" t="n">
        <v>2</v>
      </c>
      <c r="B7788" s="71" t="n">
        <v>46269</v>
      </c>
      <c r="C7788" s="0" t="n">
        <v>11</v>
      </c>
      <c r="D7788" s="0" t="s">
        <v>2471</v>
      </c>
      <c r="E7788" s="0" t="n">
        <v>1955</v>
      </c>
      <c r="F7788" s="0" t="s">
        <v>2420</v>
      </c>
      <c r="I7788" s="0" t="n">
        <v>47868</v>
      </c>
      <c r="J7788" s="0" t="n">
        <v>37745</v>
      </c>
      <c r="K7788" s="0" t="n">
        <v>7894537020746</v>
      </c>
      <c r="L7788" s="0" t="s">
        <v>5227</v>
      </c>
      <c r="N7788" s="0" t="n">
        <v>15</v>
      </c>
      <c r="O7788" s="0" t="n">
        <v>105</v>
      </c>
      <c r="P7788" s="0" t="s">
        <v>2444</v>
      </c>
    </row>
    <row r="7789" customFormat="false" ht="15" hidden="false" customHeight="true" outlineLevel="0" collapsed="false">
      <c r="A7789" s="0" t="n">
        <v>2</v>
      </c>
      <c r="B7789" s="71" t="n">
        <v>46269</v>
      </c>
      <c r="C7789" s="0" t="n">
        <v>11</v>
      </c>
      <c r="D7789" s="0" t="s">
        <v>2471</v>
      </c>
      <c r="E7789" s="0" t="n">
        <v>1955</v>
      </c>
      <c r="F7789" s="0" t="s">
        <v>2420</v>
      </c>
      <c r="I7789" s="0" t="n">
        <v>47868</v>
      </c>
      <c r="J7789" s="0" t="n">
        <v>37858</v>
      </c>
      <c r="K7789" s="0" t="n">
        <v>7899403636076</v>
      </c>
      <c r="L7789" s="0" t="s">
        <v>5228</v>
      </c>
      <c r="N7789" s="0" t="n">
        <v>10</v>
      </c>
      <c r="O7789" s="0" t="n">
        <v>70</v>
      </c>
      <c r="P7789" s="0" t="s">
        <v>2444</v>
      </c>
    </row>
    <row r="7790" customFormat="false" ht="15" hidden="false" customHeight="true" outlineLevel="0" collapsed="false">
      <c r="A7790" s="0" t="n">
        <v>2</v>
      </c>
      <c r="B7790" s="71" t="n">
        <v>46269</v>
      </c>
      <c r="C7790" s="0" t="n">
        <v>11</v>
      </c>
      <c r="D7790" s="0" t="s">
        <v>2471</v>
      </c>
      <c r="E7790" s="0" t="n">
        <v>1955</v>
      </c>
      <c r="F7790" s="0" t="s">
        <v>2420</v>
      </c>
      <c r="I7790" s="0" t="n">
        <v>47868</v>
      </c>
      <c r="J7790" s="0" t="n">
        <v>50870</v>
      </c>
      <c r="K7790" s="0" t="n">
        <v>7899403636373</v>
      </c>
      <c r="L7790" s="0" t="s">
        <v>5229</v>
      </c>
      <c r="N7790" s="0" t="n">
        <v>10</v>
      </c>
      <c r="O7790" s="0" t="n">
        <v>140</v>
      </c>
      <c r="P7790" s="0" t="s">
        <v>2444</v>
      </c>
    </row>
    <row r="7791" customFormat="false" ht="15" hidden="false" customHeight="true" outlineLevel="0" collapsed="false">
      <c r="A7791" s="0" t="n">
        <v>2</v>
      </c>
      <c r="B7791" s="71" t="n">
        <v>46269</v>
      </c>
      <c r="C7791" s="0" t="n">
        <v>11</v>
      </c>
      <c r="D7791" s="0" t="s">
        <v>2471</v>
      </c>
      <c r="E7791" s="0" t="n">
        <v>1955</v>
      </c>
      <c r="F7791" s="0" t="s">
        <v>2420</v>
      </c>
      <c r="I7791" s="0" t="n">
        <v>47868</v>
      </c>
      <c r="J7791" s="0" t="n">
        <v>62812</v>
      </c>
      <c r="K7791" s="0" t="n">
        <v>7898933090877</v>
      </c>
      <c r="L7791" s="0" t="s">
        <v>5230</v>
      </c>
      <c r="N7791" s="0" t="n">
        <v>15</v>
      </c>
      <c r="O7791" s="0" t="n">
        <v>210</v>
      </c>
      <c r="P7791" s="0" t="s">
        <v>2444</v>
      </c>
    </row>
    <row r="7792" customFormat="false" ht="15" hidden="false" customHeight="true" outlineLevel="0" collapsed="false">
      <c r="A7792" s="0" t="n">
        <v>2</v>
      </c>
      <c r="B7792" s="71" t="n">
        <v>46269</v>
      </c>
      <c r="C7792" s="0" t="n">
        <v>11</v>
      </c>
      <c r="D7792" s="0" t="s">
        <v>2471</v>
      </c>
      <c r="E7792" s="0" t="n">
        <v>1955</v>
      </c>
      <c r="F7792" s="0" t="s">
        <v>2420</v>
      </c>
      <c r="I7792" s="0" t="n">
        <v>47868</v>
      </c>
      <c r="J7792" s="0" t="n">
        <v>72901</v>
      </c>
      <c r="K7792" s="0" t="n">
        <v>7898602918563</v>
      </c>
      <c r="L7792" s="0" t="s">
        <v>5231</v>
      </c>
      <c r="N7792" s="0" t="n">
        <v>15</v>
      </c>
      <c r="O7792" s="0" t="n">
        <v>165</v>
      </c>
      <c r="P7792" s="0" t="s">
        <v>2444</v>
      </c>
    </row>
    <row r="7793" customFormat="false" ht="15" hidden="false" customHeight="true" outlineLevel="0" collapsed="false">
      <c r="A7793" s="0" t="n">
        <v>2</v>
      </c>
      <c r="B7793" s="71" t="n">
        <v>46269</v>
      </c>
      <c r="C7793" s="0" t="n">
        <v>11</v>
      </c>
      <c r="D7793" s="0" t="s">
        <v>2471</v>
      </c>
      <c r="E7793" s="0" t="n">
        <v>911</v>
      </c>
      <c r="F7793" s="0" t="s">
        <v>487</v>
      </c>
      <c r="I7793" s="0" t="n">
        <v>58376</v>
      </c>
      <c r="J7793" s="0" t="n">
        <v>60347</v>
      </c>
      <c r="K7793" s="0" t="n">
        <v>7898007220728</v>
      </c>
      <c r="L7793" s="0" t="s">
        <v>5232</v>
      </c>
      <c r="N7793" s="0" t="n">
        <v>24</v>
      </c>
      <c r="O7793" s="0" t="n">
        <v>42.21</v>
      </c>
      <c r="P7793" s="0" t="s">
        <v>2444</v>
      </c>
    </row>
    <row r="7794" customFormat="false" ht="15" hidden="false" customHeight="true" outlineLevel="0" collapsed="false">
      <c r="A7794" s="0" t="n">
        <v>2</v>
      </c>
      <c r="B7794" s="71" t="n">
        <v>46269</v>
      </c>
      <c r="C7794" s="0" t="n">
        <v>11</v>
      </c>
      <c r="D7794" s="0" t="s">
        <v>2471</v>
      </c>
      <c r="E7794" s="0" t="n">
        <v>911</v>
      </c>
      <c r="F7794" s="0" t="s">
        <v>487</v>
      </c>
      <c r="I7794" s="0" t="n">
        <v>58376</v>
      </c>
      <c r="J7794" s="0" t="n">
        <v>102391</v>
      </c>
      <c r="K7794" s="0" t="n">
        <v>95188790348</v>
      </c>
      <c r="L7794" s="0" t="s">
        <v>3925</v>
      </c>
      <c r="N7794" s="0" t="n">
        <v>12</v>
      </c>
      <c r="O7794" s="0" t="n">
        <v>90</v>
      </c>
      <c r="P7794" s="0" t="s">
        <v>2444</v>
      </c>
    </row>
    <row r="7795" customFormat="false" ht="15" hidden="false" customHeight="true" outlineLevel="0" collapsed="false">
      <c r="A7795" s="0" t="n">
        <v>2</v>
      </c>
      <c r="B7795" s="71" t="n">
        <v>46269</v>
      </c>
      <c r="C7795" s="0" t="n">
        <v>11</v>
      </c>
      <c r="D7795" s="0" t="s">
        <v>2471</v>
      </c>
      <c r="E7795" s="0" t="n">
        <v>911</v>
      </c>
      <c r="F7795" s="0" t="s">
        <v>487</v>
      </c>
      <c r="I7795" s="0" t="n">
        <v>58376</v>
      </c>
      <c r="J7795" s="0" t="n">
        <v>25959</v>
      </c>
      <c r="K7795" s="0" t="n">
        <v>7898007220834</v>
      </c>
      <c r="L7795" s="0" t="s">
        <v>3028</v>
      </c>
      <c r="N7795" s="0" t="n">
        <v>12</v>
      </c>
      <c r="O7795" s="0" t="n">
        <v>47.88</v>
      </c>
      <c r="P7795" s="0" t="s">
        <v>2444</v>
      </c>
    </row>
    <row r="7796" customFormat="false" ht="15" hidden="false" customHeight="true" outlineLevel="0" collapsed="false">
      <c r="A7796" s="0" t="n">
        <v>2</v>
      </c>
      <c r="B7796" s="71" t="n">
        <v>46269</v>
      </c>
      <c r="C7796" s="0" t="n">
        <v>11</v>
      </c>
      <c r="D7796" s="0" t="s">
        <v>2471</v>
      </c>
      <c r="E7796" s="0" t="n">
        <v>911</v>
      </c>
      <c r="F7796" s="0" t="s">
        <v>487</v>
      </c>
      <c r="I7796" s="0" t="n">
        <v>58376</v>
      </c>
      <c r="J7796" s="0" t="n">
        <v>50676</v>
      </c>
      <c r="K7796" s="0" t="n">
        <v>7898007221176</v>
      </c>
      <c r="L7796" s="0" t="s">
        <v>3029</v>
      </c>
      <c r="N7796" s="0" t="n">
        <v>12</v>
      </c>
      <c r="O7796" s="0" t="n">
        <v>30.6</v>
      </c>
      <c r="P7796" s="0" t="s">
        <v>2444</v>
      </c>
    </row>
    <row r="7797" customFormat="false" ht="15" hidden="false" customHeight="true" outlineLevel="0" collapsed="false">
      <c r="A7797" s="0" t="n">
        <v>2</v>
      </c>
      <c r="B7797" s="71" t="n">
        <v>46269</v>
      </c>
      <c r="C7797" s="0" t="n">
        <v>11</v>
      </c>
      <c r="D7797" s="0" t="s">
        <v>2471</v>
      </c>
      <c r="E7797" s="0" t="n">
        <v>911</v>
      </c>
      <c r="F7797" s="0" t="s">
        <v>487</v>
      </c>
      <c r="I7797" s="0" t="n">
        <v>58376</v>
      </c>
      <c r="J7797" s="0" t="n">
        <v>60811</v>
      </c>
      <c r="K7797" s="0" t="n">
        <v>7898007220162</v>
      </c>
      <c r="L7797" s="0" t="s">
        <v>5233</v>
      </c>
      <c r="N7797" s="0" t="n">
        <v>60</v>
      </c>
      <c r="O7797" s="0" t="n">
        <v>73.82</v>
      </c>
      <c r="P7797" s="0" t="s">
        <v>2444</v>
      </c>
    </row>
    <row r="7798" customFormat="false" ht="15" hidden="false" customHeight="true" outlineLevel="0" collapsed="false">
      <c r="A7798" s="0" t="n">
        <v>2</v>
      </c>
      <c r="B7798" s="71" t="n">
        <v>46269</v>
      </c>
      <c r="C7798" s="0" t="n">
        <v>11</v>
      </c>
      <c r="D7798" s="0" t="s">
        <v>2471</v>
      </c>
      <c r="E7798" s="0" t="n">
        <v>911</v>
      </c>
      <c r="F7798" s="0" t="s">
        <v>487</v>
      </c>
      <c r="I7798" s="0" t="n">
        <v>58376</v>
      </c>
      <c r="J7798" s="0" t="n">
        <v>61432</v>
      </c>
      <c r="K7798" s="0" t="n">
        <v>95188874505</v>
      </c>
      <c r="L7798" s="0" t="s">
        <v>3030</v>
      </c>
      <c r="N7798" s="0" t="n">
        <v>24</v>
      </c>
      <c r="O7798" s="0" t="n">
        <v>104.4</v>
      </c>
      <c r="P7798" s="0" t="s">
        <v>2444</v>
      </c>
    </row>
    <row r="7799" customFormat="false" ht="15" hidden="false" customHeight="true" outlineLevel="0" collapsed="false">
      <c r="A7799" s="0" t="n">
        <v>2</v>
      </c>
      <c r="B7799" s="71" t="n">
        <v>46269</v>
      </c>
      <c r="C7799" s="0" t="n">
        <v>11</v>
      </c>
      <c r="D7799" s="0" t="s">
        <v>2471</v>
      </c>
      <c r="E7799" s="0" t="n">
        <v>911</v>
      </c>
      <c r="F7799" s="0" t="s">
        <v>487</v>
      </c>
      <c r="I7799" s="0" t="n">
        <v>58376</v>
      </c>
      <c r="J7799" s="0" t="n">
        <v>62654</v>
      </c>
      <c r="K7799" s="0" t="n">
        <v>95188872501</v>
      </c>
      <c r="L7799" s="0" t="s">
        <v>3030</v>
      </c>
      <c r="N7799" s="0" t="n">
        <v>24</v>
      </c>
      <c r="O7799" s="0" t="n">
        <v>75.6</v>
      </c>
      <c r="P7799" s="0" t="s">
        <v>2444</v>
      </c>
    </row>
    <row r="7800" customFormat="false" ht="15" hidden="false" customHeight="true" outlineLevel="0" collapsed="false">
      <c r="A7800" s="0" t="n">
        <v>2</v>
      </c>
      <c r="B7800" s="71" t="n">
        <v>46269</v>
      </c>
      <c r="C7800" s="0" t="n">
        <v>11</v>
      </c>
      <c r="D7800" s="0" t="s">
        <v>2471</v>
      </c>
      <c r="E7800" s="0" t="n">
        <v>911</v>
      </c>
      <c r="F7800" s="0" t="s">
        <v>487</v>
      </c>
      <c r="I7800" s="0" t="n">
        <v>58376</v>
      </c>
      <c r="J7800" s="0" t="n">
        <v>71186</v>
      </c>
      <c r="K7800" s="0" t="n">
        <v>7898007222142</v>
      </c>
      <c r="L7800" s="0" t="s">
        <v>3927</v>
      </c>
      <c r="N7800" s="0" t="n">
        <v>12</v>
      </c>
      <c r="O7800" s="0" t="n">
        <v>30.6</v>
      </c>
      <c r="P7800" s="0" t="s">
        <v>2444</v>
      </c>
    </row>
    <row r="7801" customFormat="false" ht="15" hidden="false" customHeight="true" outlineLevel="0" collapsed="false">
      <c r="A7801" s="0" t="n">
        <v>2</v>
      </c>
      <c r="B7801" s="71" t="n">
        <v>46269</v>
      </c>
      <c r="C7801" s="0" t="n">
        <v>11</v>
      </c>
      <c r="D7801" s="0" t="s">
        <v>2471</v>
      </c>
      <c r="E7801" s="0" t="n">
        <v>1815</v>
      </c>
      <c r="F7801" s="0" t="s">
        <v>172</v>
      </c>
      <c r="I7801" s="0" t="n">
        <v>401423</v>
      </c>
      <c r="J7801" s="0" t="n">
        <v>100054</v>
      </c>
      <c r="K7801" s="0" t="n">
        <v>55</v>
      </c>
      <c r="L7801" s="0" t="s">
        <v>5234</v>
      </c>
      <c r="N7801" s="0" t="n">
        <v>15</v>
      </c>
      <c r="O7801" s="0" t="n">
        <v>194.85</v>
      </c>
      <c r="P7801" s="0" t="s">
        <v>2444</v>
      </c>
    </row>
    <row r="7802" customFormat="false" ht="15" hidden="false" customHeight="true" outlineLevel="0" collapsed="false">
      <c r="A7802" s="0" t="n">
        <v>2</v>
      </c>
      <c r="B7802" s="71" t="n">
        <v>46269</v>
      </c>
      <c r="C7802" s="0" t="n">
        <v>11</v>
      </c>
      <c r="D7802" s="0" t="s">
        <v>2471</v>
      </c>
      <c r="E7802" s="0" t="n">
        <v>1815</v>
      </c>
      <c r="F7802" s="0" t="s">
        <v>172</v>
      </c>
      <c r="I7802" s="0" t="n">
        <v>401423</v>
      </c>
      <c r="J7802" s="0" t="n">
        <v>110191</v>
      </c>
      <c r="K7802" s="0" t="n">
        <v>37402</v>
      </c>
      <c r="L7802" s="0" t="s">
        <v>2638</v>
      </c>
      <c r="N7802" s="0" t="n">
        <v>40</v>
      </c>
      <c r="O7802" s="0" t="n">
        <v>279.6</v>
      </c>
      <c r="P7802" s="0" t="s">
        <v>2444</v>
      </c>
    </row>
    <row r="7803" customFormat="false" ht="15" hidden="false" customHeight="true" outlineLevel="0" collapsed="false">
      <c r="A7803" s="0" t="n">
        <v>2</v>
      </c>
      <c r="B7803" s="71" t="n">
        <v>46269</v>
      </c>
      <c r="C7803" s="0" t="n">
        <v>11</v>
      </c>
      <c r="D7803" s="0" t="s">
        <v>2471</v>
      </c>
      <c r="E7803" s="0" t="n">
        <v>1659</v>
      </c>
      <c r="F7803" s="0" t="s">
        <v>214</v>
      </c>
      <c r="I7803" s="0" t="n">
        <v>894544</v>
      </c>
      <c r="J7803" s="0" t="n">
        <v>102350</v>
      </c>
      <c r="K7803" s="0" t="n">
        <v>7891030003016</v>
      </c>
      <c r="L7803" s="0" t="s">
        <v>3118</v>
      </c>
      <c r="N7803" s="0" t="n">
        <v>270</v>
      </c>
      <c r="O7803" s="0" t="n">
        <v>365</v>
      </c>
      <c r="P7803" s="0" t="s">
        <v>2444</v>
      </c>
    </row>
    <row r="7804" customFormat="false" ht="15" hidden="false" customHeight="true" outlineLevel="0" collapsed="false">
      <c r="A7804" s="0" t="n">
        <v>2</v>
      </c>
      <c r="B7804" s="71" t="n">
        <v>46269</v>
      </c>
      <c r="C7804" s="0" t="n">
        <v>11</v>
      </c>
      <c r="D7804" s="0" t="s">
        <v>2471</v>
      </c>
      <c r="E7804" s="0" t="n">
        <v>1672</v>
      </c>
      <c r="F7804" s="0" t="s">
        <v>343</v>
      </c>
      <c r="I7804" s="0" t="n">
        <v>1440541</v>
      </c>
      <c r="J7804" s="0" t="n">
        <v>103165</v>
      </c>
      <c r="K7804" s="0" t="n">
        <v>7896579310106</v>
      </c>
      <c r="L7804" s="0" t="s">
        <v>3654</v>
      </c>
      <c r="N7804" s="0" t="n">
        <v>45</v>
      </c>
      <c r="O7804" s="0" t="n">
        <v>184.5</v>
      </c>
      <c r="P7804" s="0" t="s">
        <v>2444</v>
      </c>
    </row>
    <row r="7805" customFormat="false" ht="15" hidden="false" customHeight="true" outlineLevel="0" collapsed="false">
      <c r="A7805" s="0" t="n">
        <v>2</v>
      </c>
      <c r="B7805" s="71" t="n">
        <v>46269</v>
      </c>
      <c r="C7805" s="0" t="n">
        <v>11</v>
      </c>
      <c r="D7805" s="0" t="s">
        <v>2471</v>
      </c>
      <c r="E7805" s="0" t="n">
        <v>1672</v>
      </c>
      <c r="F7805" s="0" t="s">
        <v>343</v>
      </c>
      <c r="I7805" s="0" t="n">
        <v>1440541</v>
      </c>
      <c r="J7805" s="0" t="n">
        <v>103916</v>
      </c>
      <c r="K7805" s="0" t="n">
        <v>7896579330067</v>
      </c>
      <c r="L7805" s="0" t="s">
        <v>3876</v>
      </c>
      <c r="N7805" s="0" t="n">
        <v>90</v>
      </c>
      <c r="O7805" s="0" t="n">
        <v>225</v>
      </c>
      <c r="P7805" s="0" t="s">
        <v>2444</v>
      </c>
    </row>
    <row r="7806" customFormat="false" ht="15" hidden="false" customHeight="true" outlineLevel="0" collapsed="false">
      <c r="A7806" s="0" t="n">
        <v>2</v>
      </c>
      <c r="B7806" s="71" t="n">
        <v>46269</v>
      </c>
      <c r="C7806" s="0" t="n">
        <v>11</v>
      </c>
      <c r="D7806" s="0" t="s">
        <v>2471</v>
      </c>
      <c r="E7806" s="0" t="n">
        <v>1672</v>
      </c>
      <c r="F7806" s="0" t="s">
        <v>343</v>
      </c>
      <c r="I7806" s="0" t="n">
        <v>1440541</v>
      </c>
      <c r="J7806" s="0" t="n">
        <v>13184</v>
      </c>
      <c r="K7806" s="0" t="n">
        <v>7896579310113</v>
      </c>
      <c r="L7806" s="0" t="s">
        <v>2722</v>
      </c>
      <c r="N7806" s="0" t="n">
        <v>18</v>
      </c>
      <c r="O7806" s="0" t="n">
        <v>54</v>
      </c>
      <c r="P7806" s="0" t="s">
        <v>2444</v>
      </c>
    </row>
    <row r="7807" customFormat="false" ht="15" hidden="false" customHeight="true" outlineLevel="0" collapsed="false">
      <c r="A7807" s="0" t="n">
        <v>2</v>
      </c>
      <c r="B7807" s="71" t="n">
        <v>46269</v>
      </c>
      <c r="C7807" s="0" t="n">
        <v>11</v>
      </c>
      <c r="D7807" s="0" t="s">
        <v>2471</v>
      </c>
      <c r="E7807" s="0" t="n">
        <v>1672</v>
      </c>
      <c r="F7807" s="0" t="s">
        <v>343</v>
      </c>
      <c r="I7807" s="0" t="n">
        <v>1440541</v>
      </c>
      <c r="J7807" s="0" t="n">
        <v>14974</v>
      </c>
      <c r="K7807" s="0" t="n">
        <v>7896579380123</v>
      </c>
      <c r="L7807" s="0" t="s">
        <v>2723</v>
      </c>
      <c r="N7807" s="0" t="n">
        <v>45</v>
      </c>
      <c r="O7807" s="0" t="n">
        <v>135</v>
      </c>
      <c r="P7807" s="0" t="s">
        <v>2444</v>
      </c>
    </row>
    <row r="7808" customFormat="false" ht="15" hidden="false" customHeight="true" outlineLevel="0" collapsed="false">
      <c r="A7808" s="0" t="n">
        <v>2</v>
      </c>
      <c r="B7808" s="71" t="n">
        <v>46269</v>
      </c>
      <c r="C7808" s="0" t="n">
        <v>11</v>
      </c>
      <c r="D7808" s="0" t="s">
        <v>2471</v>
      </c>
      <c r="E7808" s="0" t="n">
        <v>1672</v>
      </c>
      <c r="F7808" s="0" t="s">
        <v>343</v>
      </c>
      <c r="I7808" s="0" t="n">
        <v>1440541</v>
      </c>
      <c r="J7808" s="0" t="n">
        <v>25875</v>
      </c>
      <c r="K7808" s="0" t="n">
        <v>7896579380147</v>
      </c>
      <c r="L7808" s="0" t="s">
        <v>4562</v>
      </c>
      <c r="N7808" s="0" t="n">
        <v>60</v>
      </c>
      <c r="O7808" s="0" t="n">
        <v>66</v>
      </c>
      <c r="P7808" s="0" t="s">
        <v>2444</v>
      </c>
    </row>
    <row r="7809" customFormat="false" ht="15" hidden="false" customHeight="true" outlineLevel="0" collapsed="false">
      <c r="A7809" s="0" t="n">
        <v>2</v>
      </c>
      <c r="B7809" s="71" t="n">
        <v>46269</v>
      </c>
      <c r="C7809" s="0" t="n">
        <v>11</v>
      </c>
      <c r="D7809" s="0" t="s">
        <v>2471</v>
      </c>
      <c r="E7809" s="0" t="n">
        <v>1672</v>
      </c>
      <c r="F7809" s="0" t="s">
        <v>343</v>
      </c>
      <c r="I7809" s="0" t="n">
        <v>1440541</v>
      </c>
      <c r="J7809" s="0" t="n">
        <v>26411</v>
      </c>
      <c r="K7809" s="0" t="n">
        <v>7899465200819</v>
      </c>
      <c r="L7809" s="0" t="s">
        <v>3658</v>
      </c>
      <c r="N7809" s="0" t="n">
        <v>18</v>
      </c>
      <c r="O7809" s="0" t="n">
        <v>43.2</v>
      </c>
      <c r="P7809" s="0" t="s">
        <v>2444</v>
      </c>
    </row>
    <row r="7810" customFormat="false" ht="15" hidden="false" customHeight="true" outlineLevel="0" collapsed="false">
      <c r="A7810" s="0" t="n">
        <v>2</v>
      </c>
      <c r="B7810" s="71" t="n">
        <v>46269</v>
      </c>
      <c r="C7810" s="0" t="n">
        <v>11</v>
      </c>
      <c r="D7810" s="0" t="s">
        <v>2471</v>
      </c>
      <c r="E7810" s="0" t="n">
        <v>1672</v>
      </c>
      <c r="F7810" s="0" t="s">
        <v>343</v>
      </c>
      <c r="I7810" s="0" t="n">
        <v>1440541</v>
      </c>
      <c r="J7810" s="0" t="n">
        <v>31622</v>
      </c>
      <c r="K7810" s="0" t="n">
        <v>7896579370032</v>
      </c>
      <c r="L7810" s="0" t="s">
        <v>3878</v>
      </c>
      <c r="N7810" s="0" t="n">
        <v>18</v>
      </c>
      <c r="O7810" s="0" t="n">
        <v>86.4</v>
      </c>
      <c r="P7810" s="0" t="s">
        <v>2444</v>
      </c>
    </row>
    <row r="7811" customFormat="false" ht="15" hidden="false" customHeight="true" outlineLevel="0" collapsed="false">
      <c r="A7811" s="0" t="n">
        <v>2</v>
      </c>
      <c r="B7811" s="71" t="n">
        <v>46269</v>
      </c>
      <c r="C7811" s="0" t="n">
        <v>11</v>
      </c>
      <c r="D7811" s="0" t="s">
        <v>2471</v>
      </c>
      <c r="E7811" s="0" t="n">
        <v>1672</v>
      </c>
      <c r="F7811" s="0" t="s">
        <v>343</v>
      </c>
      <c r="I7811" s="0" t="n">
        <v>1440541</v>
      </c>
      <c r="J7811" s="0" t="n">
        <v>37154</v>
      </c>
      <c r="K7811" s="0" t="n">
        <v>7896579310601</v>
      </c>
      <c r="L7811" s="0" t="s">
        <v>3660</v>
      </c>
      <c r="N7811" s="0" t="n">
        <v>45</v>
      </c>
      <c r="O7811" s="0" t="n">
        <v>202.5</v>
      </c>
      <c r="P7811" s="0" t="s">
        <v>2444</v>
      </c>
    </row>
    <row r="7812" customFormat="false" ht="15" hidden="false" customHeight="true" outlineLevel="0" collapsed="false">
      <c r="A7812" s="0" t="n">
        <v>2</v>
      </c>
      <c r="B7812" s="71" t="n">
        <v>46269</v>
      </c>
      <c r="C7812" s="0" t="n">
        <v>11</v>
      </c>
      <c r="D7812" s="0" t="s">
        <v>2471</v>
      </c>
      <c r="E7812" s="0" t="n">
        <v>1672</v>
      </c>
      <c r="F7812" s="0" t="s">
        <v>343</v>
      </c>
      <c r="I7812" s="0" t="n">
        <v>1440541</v>
      </c>
      <c r="J7812" s="0" t="n">
        <v>38315</v>
      </c>
      <c r="K7812" s="0" t="n">
        <v>7896579320242</v>
      </c>
      <c r="L7812" s="0" t="s">
        <v>2727</v>
      </c>
      <c r="N7812" s="0" t="n">
        <v>63</v>
      </c>
      <c r="O7812" s="0" t="n">
        <v>189</v>
      </c>
      <c r="P7812" s="0" t="s">
        <v>2444</v>
      </c>
    </row>
    <row r="7813" customFormat="false" ht="15" hidden="false" customHeight="true" outlineLevel="0" collapsed="false">
      <c r="A7813" s="0" t="n">
        <v>2</v>
      </c>
      <c r="B7813" s="71" t="n">
        <v>46269</v>
      </c>
      <c r="C7813" s="0" t="n">
        <v>11</v>
      </c>
      <c r="D7813" s="0" t="s">
        <v>2471</v>
      </c>
      <c r="E7813" s="0" t="n">
        <v>1672</v>
      </c>
      <c r="F7813" s="0" t="s">
        <v>343</v>
      </c>
      <c r="I7813" s="0" t="n">
        <v>1440541</v>
      </c>
      <c r="J7813" s="0" t="n">
        <v>38539</v>
      </c>
      <c r="K7813" s="0" t="n">
        <v>7896579320235</v>
      </c>
      <c r="L7813" s="0" t="s">
        <v>2728</v>
      </c>
      <c r="N7813" s="0" t="n">
        <v>63</v>
      </c>
      <c r="O7813" s="0" t="n">
        <v>258.3</v>
      </c>
      <c r="P7813" s="0" t="s">
        <v>2444</v>
      </c>
    </row>
    <row r="7814" customFormat="false" ht="15" hidden="false" customHeight="true" outlineLevel="0" collapsed="false">
      <c r="A7814" s="0" t="n">
        <v>2</v>
      </c>
      <c r="B7814" s="71" t="n">
        <v>46269</v>
      </c>
      <c r="C7814" s="0" t="n">
        <v>11</v>
      </c>
      <c r="D7814" s="0" t="s">
        <v>2471</v>
      </c>
      <c r="E7814" s="0" t="n">
        <v>1672</v>
      </c>
      <c r="F7814" s="0" t="s">
        <v>343</v>
      </c>
      <c r="I7814" s="0" t="n">
        <v>1440541</v>
      </c>
      <c r="J7814" s="0" t="n">
        <v>39422</v>
      </c>
      <c r="K7814" s="0" t="n">
        <v>7896579310434</v>
      </c>
      <c r="L7814" s="0" t="s">
        <v>5235</v>
      </c>
      <c r="N7814" s="0" t="n">
        <v>60</v>
      </c>
      <c r="O7814" s="0" t="n">
        <v>66</v>
      </c>
      <c r="P7814" s="0" t="s">
        <v>2444</v>
      </c>
    </row>
    <row r="7815" customFormat="false" ht="15" hidden="false" customHeight="true" outlineLevel="0" collapsed="false">
      <c r="A7815" s="0" t="n">
        <v>2</v>
      </c>
      <c r="B7815" s="71" t="n">
        <v>46269</v>
      </c>
      <c r="C7815" s="0" t="n">
        <v>11</v>
      </c>
      <c r="D7815" s="0" t="s">
        <v>2471</v>
      </c>
      <c r="E7815" s="0" t="n">
        <v>1672</v>
      </c>
      <c r="F7815" s="0" t="s">
        <v>343</v>
      </c>
      <c r="I7815" s="0" t="n">
        <v>1440541</v>
      </c>
      <c r="J7815" s="0" t="n">
        <v>61503</v>
      </c>
      <c r="K7815" s="0" t="n">
        <v>7896579310915</v>
      </c>
      <c r="L7815" s="0" t="s">
        <v>2731</v>
      </c>
      <c r="N7815" s="0" t="n">
        <v>10</v>
      </c>
      <c r="O7815" s="0" t="n">
        <v>80</v>
      </c>
      <c r="P7815" s="0" t="s">
        <v>2444</v>
      </c>
    </row>
    <row r="7816" customFormat="false" ht="15" hidden="false" customHeight="true" outlineLevel="0" collapsed="false">
      <c r="A7816" s="0" t="n">
        <v>2</v>
      </c>
      <c r="B7816" s="71" t="n">
        <v>46269</v>
      </c>
      <c r="C7816" s="0" t="n">
        <v>11</v>
      </c>
      <c r="D7816" s="0" t="s">
        <v>2471</v>
      </c>
      <c r="E7816" s="0" t="n">
        <v>1672</v>
      </c>
      <c r="F7816" s="0" t="s">
        <v>343</v>
      </c>
      <c r="I7816" s="0" t="n">
        <v>1440541</v>
      </c>
      <c r="J7816" s="0" t="n">
        <v>65610</v>
      </c>
      <c r="K7816" s="0" t="n">
        <v>7896579340172</v>
      </c>
      <c r="L7816" s="0" t="s">
        <v>4564</v>
      </c>
      <c r="N7816" s="0" t="n">
        <v>24</v>
      </c>
      <c r="O7816" s="0" t="n">
        <v>26</v>
      </c>
      <c r="P7816" s="0" t="s">
        <v>2444</v>
      </c>
    </row>
    <row r="7817" customFormat="false" ht="15" hidden="false" customHeight="true" outlineLevel="0" collapsed="false">
      <c r="A7817" s="0" t="n">
        <v>2</v>
      </c>
      <c r="B7817" s="71" t="n">
        <v>46269</v>
      </c>
      <c r="C7817" s="0" t="n">
        <v>11</v>
      </c>
      <c r="D7817" s="0" t="s">
        <v>2471</v>
      </c>
      <c r="E7817" s="0" t="n">
        <v>1672</v>
      </c>
      <c r="F7817" s="0" t="s">
        <v>343</v>
      </c>
      <c r="I7817" s="0" t="n">
        <v>1440541</v>
      </c>
      <c r="J7817" s="0" t="n">
        <v>79952</v>
      </c>
      <c r="K7817" s="0" t="n">
        <v>7896579390085</v>
      </c>
      <c r="L7817" s="0" t="s">
        <v>2733</v>
      </c>
      <c r="N7817" s="0" t="n">
        <v>36</v>
      </c>
      <c r="O7817" s="0" t="n">
        <v>93.6</v>
      </c>
      <c r="P7817" s="0" t="s">
        <v>2444</v>
      </c>
    </row>
    <row r="7818" customFormat="false" ht="15" hidden="false" customHeight="true" outlineLevel="0" collapsed="false">
      <c r="A7818" s="0" t="n">
        <v>2</v>
      </c>
      <c r="B7818" s="71" t="n">
        <v>46269</v>
      </c>
      <c r="C7818" s="0" t="n">
        <v>11</v>
      </c>
      <c r="D7818" s="0" t="s">
        <v>2471</v>
      </c>
      <c r="E7818" s="0" t="n">
        <v>1672</v>
      </c>
      <c r="F7818" s="0" t="s">
        <v>343</v>
      </c>
      <c r="I7818" s="0" t="n">
        <v>1440541</v>
      </c>
      <c r="J7818" s="0" t="n">
        <v>80062</v>
      </c>
      <c r="K7818" s="0" t="n">
        <v>7896579390092</v>
      </c>
      <c r="L7818" s="0" t="s">
        <v>2734</v>
      </c>
      <c r="N7818" s="0" t="n">
        <v>60</v>
      </c>
      <c r="O7818" s="0" t="n">
        <v>156</v>
      </c>
      <c r="P7818" s="0" t="s">
        <v>2444</v>
      </c>
    </row>
    <row r="7819" customFormat="false" ht="15" hidden="false" customHeight="true" outlineLevel="0" collapsed="false">
      <c r="A7819" s="0" t="n">
        <v>2</v>
      </c>
      <c r="B7819" s="71" t="n">
        <v>46269</v>
      </c>
      <c r="C7819" s="0" t="n">
        <v>11</v>
      </c>
      <c r="D7819" s="0" t="s">
        <v>2471</v>
      </c>
      <c r="E7819" s="0" t="n">
        <v>1672</v>
      </c>
      <c r="F7819" s="0" t="s">
        <v>343</v>
      </c>
      <c r="I7819" s="0" t="n">
        <v>1440541</v>
      </c>
      <c r="J7819" s="0" t="n">
        <v>81819</v>
      </c>
      <c r="K7819" s="0" t="n">
        <v>7896579390191</v>
      </c>
      <c r="L7819" s="0" t="s">
        <v>4566</v>
      </c>
      <c r="N7819" s="0" t="n">
        <v>24</v>
      </c>
      <c r="O7819" s="0" t="n">
        <v>26</v>
      </c>
      <c r="P7819" s="0" t="s">
        <v>2444</v>
      </c>
    </row>
    <row r="7820" customFormat="false" ht="15" hidden="false" customHeight="true" outlineLevel="0" collapsed="false">
      <c r="A7820" s="0" t="n">
        <v>2</v>
      </c>
      <c r="B7820" s="71" t="n">
        <v>46269</v>
      </c>
      <c r="C7820" s="0" t="n">
        <v>11</v>
      </c>
      <c r="D7820" s="0" t="s">
        <v>2471</v>
      </c>
      <c r="E7820" s="0" t="n">
        <v>1672</v>
      </c>
      <c r="F7820" s="0" t="s">
        <v>343</v>
      </c>
      <c r="I7820" s="0" t="n">
        <v>1440541</v>
      </c>
      <c r="J7820" s="0" t="n">
        <v>81820</v>
      </c>
      <c r="K7820" s="0" t="n">
        <v>7896579390184</v>
      </c>
      <c r="L7820" s="0" t="s">
        <v>4567</v>
      </c>
      <c r="N7820" s="0" t="n">
        <v>24</v>
      </c>
      <c r="O7820" s="0" t="n">
        <v>26</v>
      </c>
      <c r="P7820" s="0" t="s">
        <v>2444</v>
      </c>
    </row>
    <row r="7821" customFormat="false" ht="15" hidden="false" customHeight="true" outlineLevel="0" collapsed="false">
      <c r="A7821" s="0" t="n">
        <v>2</v>
      </c>
      <c r="B7821" s="71" t="n">
        <v>46269</v>
      </c>
      <c r="C7821" s="0" t="n">
        <v>11</v>
      </c>
      <c r="D7821" s="0" t="s">
        <v>2471</v>
      </c>
      <c r="E7821" s="0" t="n">
        <v>1613</v>
      </c>
      <c r="F7821" s="0" t="s">
        <v>50</v>
      </c>
      <c r="I7821" s="0" t="n">
        <v>1627324</v>
      </c>
      <c r="J7821" s="0" t="n">
        <v>100030</v>
      </c>
      <c r="K7821" s="0" t="n">
        <v>31</v>
      </c>
      <c r="L7821" s="0" t="s">
        <v>3898</v>
      </c>
      <c r="N7821" s="0" t="n">
        <v>13</v>
      </c>
      <c r="O7821" s="0" t="n">
        <v>274.16</v>
      </c>
      <c r="P7821" s="0" t="s">
        <v>2444</v>
      </c>
    </row>
    <row r="7822" customFormat="false" ht="15" hidden="false" customHeight="true" outlineLevel="0" collapsed="false">
      <c r="A7822" s="0" t="n">
        <v>2</v>
      </c>
      <c r="B7822" s="71" t="n">
        <v>46269</v>
      </c>
      <c r="C7822" s="0" t="n">
        <v>11</v>
      </c>
      <c r="D7822" s="0" t="s">
        <v>2471</v>
      </c>
      <c r="E7822" s="0" t="n">
        <v>1613</v>
      </c>
      <c r="F7822" s="0" t="s">
        <v>50</v>
      </c>
      <c r="I7822" s="0" t="n">
        <v>1627324</v>
      </c>
      <c r="J7822" s="0" t="n">
        <v>110883</v>
      </c>
      <c r="K7822" s="0" t="n">
        <v>45</v>
      </c>
      <c r="L7822" s="0" t="s">
        <v>2637</v>
      </c>
      <c r="N7822" s="0" t="n">
        <v>60</v>
      </c>
      <c r="O7822" s="0" t="n">
        <v>789.89</v>
      </c>
      <c r="P7822" s="0" t="s">
        <v>2444</v>
      </c>
    </row>
    <row r="7823" customFormat="false" ht="15" hidden="false" customHeight="true" outlineLevel="0" collapsed="false">
      <c r="A7823" s="0" t="n">
        <v>2</v>
      </c>
      <c r="B7823" s="71" t="n">
        <v>46269</v>
      </c>
      <c r="C7823" s="0" t="n">
        <v>11</v>
      </c>
      <c r="D7823" s="0" t="s">
        <v>2471</v>
      </c>
      <c r="E7823" s="0" t="n">
        <v>1613</v>
      </c>
      <c r="F7823" s="0" t="s">
        <v>50</v>
      </c>
      <c r="I7823" s="0" t="n">
        <v>1627324</v>
      </c>
      <c r="J7823" s="0" t="n">
        <v>100045</v>
      </c>
      <c r="K7823" s="0" t="n">
        <v>46</v>
      </c>
      <c r="L7823" s="0" t="s">
        <v>2625</v>
      </c>
      <c r="N7823" s="0" t="n">
        <v>60</v>
      </c>
      <c r="O7823" s="0" t="n">
        <v>695.4</v>
      </c>
      <c r="P7823" s="0" t="s">
        <v>2444</v>
      </c>
    </row>
    <row r="7824" customFormat="false" ht="15" hidden="false" customHeight="true" outlineLevel="0" collapsed="false">
      <c r="A7824" s="0" t="n">
        <v>2</v>
      </c>
      <c r="B7824" s="71" t="n">
        <v>46269</v>
      </c>
      <c r="C7824" s="0" t="n">
        <v>11</v>
      </c>
      <c r="D7824" s="0" t="s">
        <v>2471</v>
      </c>
      <c r="E7824" s="0" t="n">
        <v>1613</v>
      </c>
      <c r="F7824" s="0" t="s">
        <v>50</v>
      </c>
      <c r="I7824" s="0" t="n">
        <v>1627324</v>
      </c>
      <c r="J7824" s="0" t="n">
        <v>103794</v>
      </c>
      <c r="K7824" s="0" t="n">
        <v>7893000488526</v>
      </c>
      <c r="L7824" s="0" t="s">
        <v>2969</v>
      </c>
      <c r="N7824" s="0" t="n">
        <v>8</v>
      </c>
      <c r="O7824" s="0" t="n">
        <v>98.16</v>
      </c>
      <c r="P7824" s="0" t="s">
        <v>2444</v>
      </c>
    </row>
    <row r="7825" customFormat="false" ht="15" hidden="false" customHeight="true" outlineLevel="0" collapsed="false">
      <c r="A7825" s="0" t="n">
        <v>2</v>
      </c>
      <c r="B7825" s="71" t="n">
        <v>46269</v>
      </c>
      <c r="C7825" s="0" t="n">
        <v>11</v>
      </c>
      <c r="D7825" s="0" t="s">
        <v>2471</v>
      </c>
      <c r="E7825" s="0" t="n">
        <v>1613</v>
      </c>
      <c r="F7825" s="0" t="s">
        <v>50</v>
      </c>
      <c r="I7825" s="0" t="n">
        <v>1627324</v>
      </c>
      <c r="J7825" s="0" t="n">
        <v>103796</v>
      </c>
      <c r="K7825" s="0" t="n">
        <v>7893000436725</v>
      </c>
      <c r="L7825" s="0" t="s">
        <v>2971</v>
      </c>
      <c r="N7825" s="0" t="n">
        <v>12</v>
      </c>
      <c r="O7825" s="0" t="n">
        <v>150.96</v>
      </c>
      <c r="P7825" s="0" t="s">
        <v>2444</v>
      </c>
    </row>
    <row r="7826" customFormat="false" ht="15" hidden="false" customHeight="true" outlineLevel="0" collapsed="false">
      <c r="A7826" s="0" t="n">
        <v>2</v>
      </c>
      <c r="B7826" s="71" t="n">
        <v>46269</v>
      </c>
      <c r="C7826" s="0" t="n">
        <v>11</v>
      </c>
      <c r="D7826" s="0" t="s">
        <v>2471</v>
      </c>
      <c r="E7826" s="0" t="n">
        <v>1613</v>
      </c>
      <c r="F7826" s="0" t="s">
        <v>50</v>
      </c>
      <c r="I7826" s="0" t="n">
        <v>1627324</v>
      </c>
      <c r="J7826" s="0" t="n">
        <v>103848</v>
      </c>
      <c r="K7826" s="0" t="n">
        <v>7893000488878</v>
      </c>
      <c r="L7826" s="0" t="s">
        <v>2972</v>
      </c>
      <c r="N7826" s="0" t="n">
        <v>8</v>
      </c>
      <c r="O7826" s="0" t="n">
        <v>101.27</v>
      </c>
      <c r="P7826" s="0" t="s">
        <v>2444</v>
      </c>
    </row>
    <row r="7827" customFormat="false" ht="15" hidden="false" customHeight="true" outlineLevel="0" collapsed="false">
      <c r="A7827" s="0" t="n">
        <v>2</v>
      </c>
      <c r="B7827" s="71" t="n">
        <v>46269</v>
      </c>
      <c r="C7827" s="0" t="n">
        <v>11</v>
      </c>
      <c r="D7827" s="0" t="s">
        <v>2471</v>
      </c>
      <c r="E7827" s="0" t="n">
        <v>1613</v>
      </c>
      <c r="F7827" s="0" t="s">
        <v>50</v>
      </c>
      <c r="I7827" s="0" t="n">
        <v>1627324</v>
      </c>
      <c r="J7827" s="0" t="n">
        <v>103851</v>
      </c>
      <c r="K7827" s="0" t="n">
        <v>7893000482401</v>
      </c>
      <c r="L7827" s="0" t="s">
        <v>3759</v>
      </c>
      <c r="N7827" s="0" t="n">
        <v>12</v>
      </c>
      <c r="O7827" s="0" t="n">
        <v>217.08</v>
      </c>
      <c r="P7827" s="0" t="s">
        <v>2444</v>
      </c>
    </row>
    <row r="7828" customFormat="false" ht="15" hidden="false" customHeight="true" outlineLevel="0" collapsed="false">
      <c r="A7828" s="0" t="n">
        <v>2</v>
      </c>
      <c r="B7828" s="71" t="n">
        <v>46269</v>
      </c>
      <c r="C7828" s="0" t="n">
        <v>11</v>
      </c>
      <c r="D7828" s="0" t="s">
        <v>2471</v>
      </c>
      <c r="E7828" s="0" t="n">
        <v>1613</v>
      </c>
      <c r="F7828" s="0" t="s">
        <v>50</v>
      </c>
      <c r="I7828" s="0" t="n">
        <v>1627324</v>
      </c>
      <c r="J7828" s="0" t="n">
        <v>104014</v>
      </c>
      <c r="K7828" s="0" t="n">
        <v>7893000863125</v>
      </c>
      <c r="L7828" s="0" t="s">
        <v>2973</v>
      </c>
      <c r="N7828" s="0" t="n">
        <v>12</v>
      </c>
      <c r="O7828" s="0" t="n">
        <v>198</v>
      </c>
      <c r="P7828" s="0" t="s">
        <v>2444</v>
      </c>
    </row>
    <row r="7829" customFormat="false" ht="15" hidden="false" customHeight="true" outlineLevel="0" collapsed="false">
      <c r="A7829" s="0" t="n">
        <v>2</v>
      </c>
      <c r="B7829" s="71" t="n">
        <v>46269</v>
      </c>
      <c r="C7829" s="0" t="n">
        <v>11</v>
      </c>
      <c r="D7829" s="0" t="s">
        <v>2471</v>
      </c>
      <c r="E7829" s="0" t="n">
        <v>1613</v>
      </c>
      <c r="F7829" s="0" t="s">
        <v>50</v>
      </c>
      <c r="I7829" s="0" t="n">
        <v>1627324</v>
      </c>
      <c r="J7829" s="0" t="n">
        <v>105663</v>
      </c>
      <c r="K7829" s="0" t="n">
        <v>7893000980006</v>
      </c>
      <c r="L7829" s="0" t="s">
        <v>3760</v>
      </c>
      <c r="N7829" s="0" t="n">
        <v>24</v>
      </c>
      <c r="O7829" s="0" t="n">
        <v>150.8</v>
      </c>
      <c r="P7829" s="0" t="s">
        <v>2444</v>
      </c>
    </row>
    <row r="7830" customFormat="false" ht="15" hidden="false" customHeight="true" outlineLevel="0" collapsed="false">
      <c r="A7830" s="0" t="n">
        <v>2</v>
      </c>
      <c r="B7830" s="71" t="n">
        <v>46269</v>
      </c>
      <c r="C7830" s="0" t="n">
        <v>11</v>
      </c>
      <c r="D7830" s="0" t="s">
        <v>2471</v>
      </c>
      <c r="E7830" s="0" t="n">
        <v>1613</v>
      </c>
      <c r="F7830" s="0" t="s">
        <v>50</v>
      </c>
      <c r="I7830" s="0" t="n">
        <v>1627324</v>
      </c>
      <c r="J7830" s="0" t="n">
        <v>108591</v>
      </c>
      <c r="K7830" s="0" t="n">
        <v>8461</v>
      </c>
      <c r="L7830" s="0" t="s">
        <v>2974</v>
      </c>
      <c r="N7830" s="0" t="n">
        <v>15</v>
      </c>
      <c r="O7830" s="0" t="n">
        <v>228.9</v>
      </c>
      <c r="P7830" s="0" t="s">
        <v>2444</v>
      </c>
    </row>
    <row r="7831" customFormat="false" ht="15" hidden="false" customHeight="true" outlineLevel="0" collapsed="false">
      <c r="A7831" s="0" t="n">
        <v>2</v>
      </c>
      <c r="B7831" s="71" t="n">
        <v>46269</v>
      </c>
      <c r="C7831" s="0" t="n">
        <v>11</v>
      </c>
      <c r="D7831" s="0" t="s">
        <v>2471</v>
      </c>
      <c r="E7831" s="0" t="n">
        <v>1613</v>
      </c>
      <c r="F7831" s="0" t="s">
        <v>50</v>
      </c>
      <c r="I7831" s="0" t="n">
        <v>1627324</v>
      </c>
      <c r="J7831" s="0" t="n">
        <v>109076</v>
      </c>
      <c r="K7831" s="0" t="n">
        <v>7891515989408</v>
      </c>
      <c r="L7831" s="0" t="s">
        <v>2976</v>
      </c>
      <c r="N7831" s="0" t="n">
        <v>36</v>
      </c>
      <c r="O7831" s="0" t="n">
        <v>37.99</v>
      </c>
      <c r="P7831" s="0" t="s">
        <v>2444</v>
      </c>
    </row>
    <row r="7832" customFormat="false" ht="15" hidden="false" customHeight="true" outlineLevel="0" collapsed="false">
      <c r="A7832" s="0" t="n">
        <v>2</v>
      </c>
      <c r="B7832" s="71" t="n">
        <v>46269</v>
      </c>
      <c r="C7832" s="0" t="n">
        <v>11</v>
      </c>
      <c r="D7832" s="0" t="s">
        <v>2471</v>
      </c>
      <c r="E7832" s="0" t="n">
        <v>1613</v>
      </c>
      <c r="F7832" s="0" t="s">
        <v>50</v>
      </c>
      <c r="I7832" s="0" t="n">
        <v>1627324</v>
      </c>
      <c r="J7832" s="0" t="n">
        <v>109076</v>
      </c>
      <c r="K7832" s="0" t="n">
        <v>7891515989408</v>
      </c>
      <c r="L7832" s="0" t="s">
        <v>2976</v>
      </c>
      <c r="N7832" s="0" t="n">
        <v>36</v>
      </c>
      <c r="O7832" s="0" t="n">
        <v>40.41</v>
      </c>
      <c r="P7832" s="0" t="s">
        <v>2444</v>
      </c>
    </row>
    <row r="7833" customFormat="false" ht="15" hidden="false" customHeight="true" outlineLevel="0" collapsed="false">
      <c r="A7833" s="0" t="n">
        <v>2</v>
      </c>
      <c r="B7833" s="71" t="n">
        <v>46269</v>
      </c>
      <c r="C7833" s="0" t="n">
        <v>11</v>
      </c>
      <c r="D7833" s="0" t="s">
        <v>2471</v>
      </c>
      <c r="E7833" s="0" t="n">
        <v>1613</v>
      </c>
      <c r="F7833" s="0" t="s">
        <v>50</v>
      </c>
      <c r="I7833" s="0" t="n">
        <v>1627324</v>
      </c>
      <c r="J7833" s="0" t="n">
        <v>12714</v>
      </c>
      <c r="K7833" s="0" t="n">
        <v>7891515901066</v>
      </c>
      <c r="L7833" s="0" t="s">
        <v>3506</v>
      </c>
      <c r="N7833" s="0" t="n">
        <v>24</v>
      </c>
      <c r="O7833" s="0" t="n">
        <v>69.78</v>
      </c>
      <c r="P7833" s="0" t="s">
        <v>2444</v>
      </c>
    </row>
    <row r="7834" customFormat="false" ht="15" hidden="false" customHeight="true" outlineLevel="0" collapsed="false">
      <c r="A7834" s="0" t="n">
        <v>2</v>
      </c>
      <c r="B7834" s="71" t="n">
        <v>46269</v>
      </c>
      <c r="C7834" s="0" t="n">
        <v>11</v>
      </c>
      <c r="D7834" s="0" t="s">
        <v>2471</v>
      </c>
      <c r="E7834" s="0" t="n">
        <v>1613</v>
      </c>
      <c r="F7834" s="0" t="s">
        <v>50</v>
      </c>
      <c r="I7834" s="0" t="n">
        <v>1627324</v>
      </c>
      <c r="J7834" s="0" t="n">
        <v>14868</v>
      </c>
      <c r="K7834" s="0" t="n">
        <v>7891515901059</v>
      </c>
      <c r="L7834" s="0" t="s">
        <v>3507</v>
      </c>
      <c r="N7834" s="0" t="n">
        <v>12</v>
      </c>
      <c r="O7834" s="0" t="n">
        <v>66.24</v>
      </c>
      <c r="P7834" s="0" t="s">
        <v>2444</v>
      </c>
    </row>
    <row r="7835" customFormat="false" ht="15" hidden="false" customHeight="true" outlineLevel="0" collapsed="false">
      <c r="A7835" s="0" t="n">
        <v>2</v>
      </c>
      <c r="B7835" s="71" t="n">
        <v>46269</v>
      </c>
      <c r="C7835" s="0" t="n">
        <v>11</v>
      </c>
      <c r="D7835" s="0" t="s">
        <v>2471</v>
      </c>
      <c r="E7835" s="0" t="n">
        <v>1613</v>
      </c>
      <c r="F7835" s="0" t="s">
        <v>50</v>
      </c>
      <c r="I7835" s="0" t="n">
        <v>1627324</v>
      </c>
      <c r="J7835" s="0" t="n">
        <v>22157</v>
      </c>
      <c r="K7835" s="0" t="n">
        <v>7891515431938</v>
      </c>
      <c r="L7835" s="0" t="s">
        <v>5236</v>
      </c>
      <c r="N7835" s="0" t="n">
        <v>15</v>
      </c>
      <c r="O7835" s="0" t="n">
        <v>56.34</v>
      </c>
      <c r="P7835" s="0" t="s">
        <v>2444</v>
      </c>
    </row>
    <row r="7836" customFormat="false" ht="15" hidden="false" customHeight="true" outlineLevel="0" collapsed="false">
      <c r="A7836" s="0" t="n">
        <v>2</v>
      </c>
      <c r="B7836" s="71" t="n">
        <v>46269</v>
      </c>
      <c r="C7836" s="0" t="n">
        <v>11</v>
      </c>
      <c r="D7836" s="0" t="s">
        <v>2471</v>
      </c>
      <c r="E7836" s="0" t="n">
        <v>1613</v>
      </c>
      <c r="F7836" s="0" t="s">
        <v>50</v>
      </c>
      <c r="I7836" s="0" t="n">
        <v>1627324</v>
      </c>
      <c r="J7836" s="0" t="n">
        <v>23694</v>
      </c>
      <c r="K7836" s="0" t="n">
        <v>7891515474737</v>
      </c>
      <c r="L7836" s="0" t="s">
        <v>2978</v>
      </c>
      <c r="N7836" s="0" t="n">
        <v>90</v>
      </c>
      <c r="O7836" s="0" t="n">
        <v>147.38</v>
      </c>
      <c r="P7836" s="0" t="s">
        <v>2444</v>
      </c>
    </row>
    <row r="7837" customFormat="false" ht="15" hidden="false" customHeight="true" outlineLevel="0" collapsed="false">
      <c r="A7837" s="0" t="n">
        <v>2</v>
      </c>
      <c r="B7837" s="71" t="n">
        <v>46269</v>
      </c>
      <c r="C7837" s="0" t="n">
        <v>11</v>
      </c>
      <c r="D7837" s="0" t="s">
        <v>2471</v>
      </c>
      <c r="E7837" s="0" t="n">
        <v>1613</v>
      </c>
      <c r="F7837" s="0" t="s">
        <v>50</v>
      </c>
      <c r="I7837" s="0" t="n">
        <v>1627324</v>
      </c>
      <c r="J7837" s="0" t="n">
        <v>23694</v>
      </c>
      <c r="K7837" s="0" t="n">
        <v>7891515474737</v>
      </c>
      <c r="L7837" s="0" t="s">
        <v>2978</v>
      </c>
      <c r="N7837" s="0" t="n">
        <v>45</v>
      </c>
      <c r="O7837" s="0" t="n">
        <v>77.82</v>
      </c>
      <c r="P7837" s="0" t="s">
        <v>2444</v>
      </c>
    </row>
    <row r="7838" customFormat="false" ht="15" hidden="false" customHeight="true" outlineLevel="0" collapsed="false">
      <c r="A7838" s="0" t="n">
        <v>2</v>
      </c>
      <c r="B7838" s="71" t="n">
        <v>46269</v>
      </c>
      <c r="C7838" s="0" t="n">
        <v>11</v>
      </c>
      <c r="D7838" s="0" t="s">
        <v>2471</v>
      </c>
      <c r="E7838" s="0" t="n">
        <v>1613</v>
      </c>
      <c r="F7838" s="0" t="s">
        <v>50</v>
      </c>
      <c r="I7838" s="0" t="n">
        <v>1627324</v>
      </c>
      <c r="J7838" s="0" t="n">
        <v>23695</v>
      </c>
      <c r="K7838" s="0" t="n">
        <v>7891515474126</v>
      </c>
      <c r="L7838" s="0" t="s">
        <v>2979</v>
      </c>
      <c r="N7838" s="0" t="n">
        <v>90</v>
      </c>
      <c r="O7838" s="0" t="n">
        <v>147.38</v>
      </c>
      <c r="P7838" s="0" t="s">
        <v>2444</v>
      </c>
    </row>
    <row r="7839" customFormat="false" ht="15" hidden="false" customHeight="true" outlineLevel="0" collapsed="false">
      <c r="A7839" s="0" t="n">
        <v>2</v>
      </c>
      <c r="B7839" s="71" t="n">
        <v>46269</v>
      </c>
      <c r="C7839" s="0" t="n">
        <v>11</v>
      </c>
      <c r="D7839" s="0" t="s">
        <v>2471</v>
      </c>
      <c r="E7839" s="0" t="n">
        <v>1613</v>
      </c>
      <c r="F7839" s="0" t="s">
        <v>50</v>
      </c>
      <c r="I7839" s="0" t="n">
        <v>1627324</v>
      </c>
      <c r="J7839" s="0" t="n">
        <v>23695</v>
      </c>
      <c r="K7839" s="0" t="n">
        <v>7891515474126</v>
      </c>
      <c r="L7839" s="0" t="s">
        <v>2979</v>
      </c>
      <c r="N7839" s="0" t="n">
        <v>45</v>
      </c>
      <c r="O7839" s="0" t="n">
        <v>77.82</v>
      </c>
      <c r="P7839" s="0" t="s">
        <v>2444</v>
      </c>
    </row>
    <row r="7840" customFormat="false" ht="15" hidden="false" customHeight="true" outlineLevel="0" collapsed="false">
      <c r="A7840" s="0" t="n">
        <v>2</v>
      </c>
      <c r="B7840" s="71" t="n">
        <v>46269</v>
      </c>
      <c r="C7840" s="0" t="n">
        <v>11</v>
      </c>
      <c r="D7840" s="0" t="s">
        <v>2471</v>
      </c>
      <c r="E7840" s="0" t="n">
        <v>1613</v>
      </c>
      <c r="F7840" s="0" t="s">
        <v>50</v>
      </c>
      <c r="I7840" s="0" t="n">
        <v>1627324</v>
      </c>
      <c r="J7840" s="0" t="n">
        <v>29058</v>
      </c>
      <c r="K7840" s="0" t="n">
        <v>7893000436992</v>
      </c>
      <c r="L7840" s="0" t="s">
        <v>5237</v>
      </c>
      <c r="N7840" s="0" t="n">
        <v>12</v>
      </c>
      <c r="O7840" s="0" t="n">
        <v>153.68</v>
      </c>
      <c r="P7840" s="0" t="s">
        <v>2444</v>
      </c>
    </row>
    <row r="7841" customFormat="false" ht="15" hidden="false" customHeight="true" outlineLevel="0" collapsed="false">
      <c r="A7841" s="0" t="n">
        <v>2</v>
      </c>
      <c r="B7841" s="71" t="n">
        <v>46269</v>
      </c>
      <c r="C7841" s="0" t="n">
        <v>11</v>
      </c>
      <c r="D7841" s="0" t="s">
        <v>2471</v>
      </c>
      <c r="E7841" s="0" t="n">
        <v>1613</v>
      </c>
      <c r="F7841" s="0" t="s">
        <v>50</v>
      </c>
      <c r="I7841" s="0" t="n">
        <v>1627324</v>
      </c>
      <c r="J7841" s="0" t="n">
        <v>30464</v>
      </c>
      <c r="K7841" s="0" t="n">
        <v>7891515474133</v>
      </c>
      <c r="L7841" s="0" t="s">
        <v>3510</v>
      </c>
      <c r="N7841" s="0" t="n">
        <v>30</v>
      </c>
      <c r="O7841" s="0" t="n">
        <v>112.17</v>
      </c>
      <c r="P7841" s="0" t="s">
        <v>2444</v>
      </c>
    </row>
    <row r="7842" customFormat="false" ht="15" hidden="false" customHeight="true" outlineLevel="0" collapsed="false">
      <c r="A7842" s="0" t="n">
        <v>2</v>
      </c>
      <c r="B7842" s="71" t="n">
        <v>46269</v>
      </c>
      <c r="C7842" s="0" t="n">
        <v>11</v>
      </c>
      <c r="D7842" s="0" t="s">
        <v>2471</v>
      </c>
      <c r="E7842" s="0" t="n">
        <v>1613</v>
      </c>
      <c r="F7842" s="0" t="s">
        <v>50</v>
      </c>
      <c r="I7842" s="0" t="n">
        <v>1627324</v>
      </c>
      <c r="J7842" s="0" t="n">
        <v>36041</v>
      </c>
      <c r="K7842" s="0" t="n">
        <v>7891515554224</v>
      </c>
      <c r="L7842" s="0" t="s">
        <v>2980</v>
      </c>
      <c r="N7842" s="0" t="n">
        <v>36</v>
      </c>
      <c r="O7842" s="0" t="n">
        <v>34.2</v>
      </c>
      <c r="P7842" s="0" t="s">
        <v>2444</v>
      </c>
    </row>
    <row r="7843" customFormat="false" ht="15" hidden="false" customHeight="true" outlineLevel="0" collapsed="false">
      <c r="A7843" s="0" t="n">
        <v>2</v>
      </c>
      <c r="B7843" s="71" t="n">
        <v>46269</v>
      </c>
      <c r="C7843" s="0" t="n">
        <v>11</v>
      </c>
      <c r="D7843" s="0" t="s">
        <v>2471</v>
      </c>
      <c r="E7843" s="0" t="n">
        <v>1613</v>
      </c>
      <c r="F7843" s="0" t="s">
        <v>50</v>
      </c>
      <c r="I7843" s="0" t="n">
        <v>1627324</v>
      </c>
      <c r="J7843" s="0" t="n">
        <v>36041</v>
      </c>
      <c r="K7843" s="0" t="n">
        <v>7891515554224</v>
      </c>
      <c r="L7843" s="0" t="s">
        <v>2980</v>
      </c>
      <c r="N7843" s="0" t="n">
        <v>36</v>
      </c>
      <c r="O7843" s="0" t="n">
        <v>36.38</v>
      </c>
      <c r="P7843" s="0" t="s">
        <v>2444</v>
      </c>
    </row>
    <row r="7844" customFormat="false" ht="15" hidden="false" customHeight="true" outlineLevel="0" collapsed="false">
      <c r="A7844" s="0" t="n">
        <v>2</v>
      </c>
      <c r="B7844" s="71" t="n">
        <v>46269</v>
      </c>
      <c r="C7844" s="0" t="n">
        <v>11</v>
      </c>
      <c r="D7844" s="0" t="s">
        <v>2471</v>
      </c>
      <c r="E7844" s="0" t="n">
        <v>1613</v>
      </c>
      <c r="F7844" s="0" t="s">
        <v>50</v>
      </c>
      <c r="I7844" s="0" t="n">
        <v>1627324</v>
      </c>
      <c r="J7844" s="0" t="n">
        <v>36758</v>
      </c>
      <c r="K7844" s="0" t="n">
        <v>7891515484040</v>
      </c>
      <c r="L7844" s="0" t="s">
        <v>5238</v>
      </c>
      <c r="N7844" s="0" t="n">
        <v>20</v>
      </c>
      <c r="O7844" s="0" t="n">
        <v>168.76</v>
      </c>
      <c r="P7844" s="0" t="s">
        <v>2444</v>
      </c>
    </row>
    <row r="7845" customFormat="false" ht="15" hidden="false" customHeight="true" outlineLevel="0" collapsed="false">
      <c r="A7845" s="0" t="n">
        <v>2</v>
      </c>
      <c r="B7845" s="71" t="n">
        <v>46269</v>
      </c>
      <c r="C7845" s="0" t="n">
        <v>11</v>
      </c>
      <c r="D7845" s="0" t="s">
        <v>2471</v>
      </c>
      <c r="E7845" s="0" t="n">
        <v>1613</v>
      </c>
      <c r="F7845" s="0" t="s">
        <v>50</v>
      </c>
      <c r="I7845" s="0" t="n">
        <v>1627324</v>
      </c>
      <c r="J7845" s="0" t="n">
        <v>65295</v>
      </c>
      <c r="K7845" s="0" t="n">
        <v>7891164110635</v>
      </c>
      <c r="L7845" s="0" t="s">
        <v>4353</v>
      </c>
      <c r="N7845" s="0" t="n">
        <v>16</v>
      </c>
      <c r="O7845" s="0" t="n">
        <v>136.72</v>
      </c>
      <c r="P7845" s="0" t="s">
        <v>2444</v>
      </c>
    </row>
    <row r="7846" customFormat="false" ht="15" hidden="false" customHeight="true" outlineLevel="0" collapsed="false">
      <c r="A7846" s="0" t="n">
        <v>2</v>
      </c>
      <c r="B7846" s="71" t="n">
        <v>46269</v>
      </c>
      <c r="C7846" s="0" t="n">
        <v>11</v>
      </c>
      <c r="D7846" s="0" t="s">
        <v>2471</v>
      </c>
      <c r="E7846" s="0" t="n">
        <v>1613</v>
      </c>
      <c r="F7846" s="0" t="s">
        <v>50</v>
      </c>
      <c r="I7846" s="0" t="n">
        <v>1627324</v>
      </c>
      <c r="J7846" s="0" t="n">
        <v>82277</v>
      </c>
      <c r="K7846" s="0" t="n">
        <v>1441</v>
      </c>
      <c r="L7846" s="0" t="s">
        <v>5239</v>
      </c>
      <c r="N7846" s="0" t="n">
        <v>15</v>
      </c>
      <c r="O7846" s="0" t="n">
        <v>324.3</v>
      </c>
      <c r="P7846" s="0" t="s">
        <v>2444</v>
      </c>
    </row>
    <row r="7847" customFormat="false" ht="15" hidden="false" customHeight="true" outlineLevel="0" collapsed="false">
      <c r="A7847" s="0" t="n">
        <v>2</v>
      </c>
      <c r="B7847" s="71" t="n">
        <v>46269</v>
      </c>
      <c r="C7847" s="0" t="n">
        <v>11</v>
      </c>
      <c r="D7847" s="0" t="s">
        <v>2471</v>
      </c>
      <c r="E7847" s="0" t="n">
        <v>1683</v>
      </c>
      <c r="F7847" s="0" t="s">
        <v>406</v>
      </c>
      <c r="I7847" s="0" t="n">
        <v>1675430</v>
      </c>
      <c r="J7847" s="0" t="n">
        <v>109791</v>
      </c>
      <c r="K7847" s="0" t="n">
        <v>9667</v>
      </c>
      <c r="L7847" s="0" t="s">
        <v>2465</v>
      </c>
      <c r="N7847" s="0" t="n">
        <v>12</v>
      </c>
      <c r="O7847" s="0" t="n">
        <v>18</v>
      </c>
      <c r="P7847" s="0" t="s">
        <v>2444</v>
      </c>
    </row>
    <row r="7848" customFormat="false" ht="15" hidden="false" customHeight="true" outlineLevel="0" collapsed="false">
      <c r="A7848" s="0" t="n">
        <v>2</v>
      </c>
      <c r="B7848" s="71" t="n">
        <v>46269</v>
      </c>
      <c r="C7848" s="0" t="n">
        <v>11</v>
      </c>
      <c r="D7848" s="0" t="s">
        <v>2471</v>
      </c>
      <c r="E7848" s="0" t="n">
        <v>1683</v>
      </c>
      <c r="F7848" s="0" t="s">
        <v>406</v>
      </c>
      <c r="I7848" s="0" t="n">
        <v>1675430</v>
      </c>
      <c r="J7848" s="0" t="n">
        <v>37359</v>
      </c>
      <c r="K7848" s="0" t="n">
        <v>55526</v>
      </c>
      <c r="L7848" s="0" t="s">
        <v>2466</v>
      </c>
      <c r="N7848" s="0" t="n">
        <v>5</v>
      </c>
      <c r="O7848" s="0" t="n">
        <v>22.5</v>
      </c>
      <c r="P7848" s="0" t="s">
        <v>2444</v>
      </c>
    </row>
    <row r="7849" customFormat="false" ht="15" hidden="false" customHeight="true" outlineLevel="0" collapsed="false">
      <c r="A7849" s="0" t="n">
        <v>2</v>
      </c>
      <c r="B7849" s="71" t="n">
        <v>46269</v>
      </c>
      <c r="C7849" s="0" t="n">
        <v>11</v>
      </c>
      <c r="D7849" s="0" t="s">
        <v>2471</v>
      </c>
      <c r="E7849" s="0" t="n">
        <v>1683</v>
      </c>
      <c r="F7849" s="0" t="s">
        <v>406</v>
      </c>
      <c r="I7849" s="0" t="n">
        <v>1675430</v>
      </c>
      <c r="J7849" s="0" t="n">
        <v>37361</v>
      </c>
      <c r="K7849" s="0" t="n">
        <v>2240817</v>
      </c>
      <c r="L7849" s="0" t="s">
        <v>2467</v>
      </c>
      <c r="N7849" s="0" t="n">
        <v>70</v>
      </c>
      <c r="O7849" s="0" t="n">
        <v>126</v>
      </c>
      <c r="P7849" s="0" t="s">
        <v>2444</v>
      </c>
    </row>
    <row r="7850" customFormat="false" ht="15" hidden="false" customHeight="true" outlineLevel="0" collapsed="false">
      <c r="A7850" s="0" t="n">
        <v>2</v>
      </c>
      <c r="B7850" s="71" t="n">
        <v>46269</v>
      </c>
      <c r="C7850" s="0" t="n">
        <v>11</v>
      </c>
      <c r="D7850" s="0" t="s">
        <v>2471</v>
      </c>
      <c r="E7850" s="0" t="n">
        <v>1608</v>
      </c>
      <c r="F7850" s="0" t="s">
        <v>240</v>
      </c>
      <c r="I7850" s="0" t="n">
        <v>1724435</v>
      </c>
      <c r="J7850" s="0" t="n">
        <v>102213</v>
      </c>
      <c r="K7850" s="0" t="n">
        <v>7894321711171</v>
      </c>
      <c r="L7850" s="0" t="s">
        <v>4250</v>
      </c>
      <c r="N7850" s="0" t="n">
        <v>24</v>
      </c>
      <c r="O7850" s="0" t="n">
        <v>144</v>
      </c>
      <c r="P7850" s="0" t="s">
        <v>2444</v>
      </c>
    </row>
    <row r="7851" customFormat="false" ht="15" hidden="false" customHeight="true" outlineLevel="0" collapsed="false">
      <c r="A7851" s="0" t="n">
        <v>2</v>
      </c>
      <c r="B7851" s="71" t="n">
        <v>46269</v>
      </c>
      <c r="C7851" s="0" t="n">
        <v>11</v>
      </c>
      <c r="D7851" s="0" t="s">
        <v>2471</v>
      </c>
      <c r="E7851" s="0" t="n">
        <v>1608</v>
      </c>
      <c r="F7851" s="0" t="s">
        <v>240</v>
      </c>
      <c r="I7851" s="0" t="n">
        <v>1724435</v>
      </c>
      <c r="J7851" s="0" t="n">
        <v>104454</v>
      </c>
      <c r="K7851" s="0" t="n">
        <v>7892840142124</v>
      </c>
      <c r="L7851" s="0" t="s">
        <v>4251</v>
      </c>
      <c r="N7851" s="0" t="n">
        <v>25</v>
      </c>
      <c r="O7851" s="0" t="n">
        <v>55</v>
      </c>
      <c r="P7851" s="0" t="s">
        <v>2444</v>
      </c>
    </row>
    <row r="7852" customFormat="false" ht="15" hidden="false" customHeight="true" outlineLevel="0" collapsed="false">
      <c r="A7852" s="0" t="n">
        <v>2</v>
      </c>
      <c r="B7852" s="71" t="n">
        <v>46269</v>
      </c>
      <c r="C7852" s="0" t="n">
        <v>11</v>
      </c>
      <c r="D7852" s="0" t="s">
        <v>2471</v>
      </c>
      <c r="E7852" s="0" t="n">
        <v>1608</v>
      </c>
      <c r="F7852" s="0" t="s">
        <v>240</v>
      </c>
      <c r="I7852" s="0" t="n">
        <v>1724435</v>
      </c>
      <c r="J7852" s="0" t="n">
        <v>107088</v>
      </c>
      <c r="K7852" s="0" t="n">
        <v>7896828000482</v>
      </c>
      <c r="L7852" s="0" t="s">
        <v>3514</v>
      </c>
      <c r="N7852" s="0" t="n">
        <v>12</v>
      </c>
      <c r="O7852" s="0" t="n">
        <v>64.08</v>
      </c>
      <c r="P7852" s="0" t="s">
        <v>2444</v>
      </c>
    </row>
    <row r="7853" customFormat="false" ht="15" hidden="false" customHeight="true" outlineLevel="0" collapsed="false">
      <c r="A7853" s="0" t="n">
        <v>2</v>
      </c>
      <c r="B7853" s="71" t="n">
        <v>46269</v>
      </c>
      <c r="C7853" s="0" t="n">
        <v>11</v>
      </c>
      <c r="D7853" s="0" t="s">
        <v>2471</v>
      </c>
      <c r="E7853" s="0" t="n">
        <v>1608</v>
      </c>
      <c r="F7853" s="0" t="s">
        <v>240</v>
      </c>
      <c r="I7853" s="0" t="n">
        <v>1724435</v>
      </c>
      <c r="J7853" s="0" t="n">
        <v>29083</v>
      </c>
      <c r="K7853" s="0" t="n">
        <v>7892840818142</v>
      </c>
      <c r="L7853" s="0" t="s">
        <v>3516</v>
      </c>
      <c r="N7853" s="0" t="n">
        <v>5</v>
      </c>
      <c r="O7853" s="0" t="n">
        <v>58.7</v>
      </c>
      <c r="P7853" s="0" t="s">
        <v>2444</v>
      </c>
    </row>
    <row r="7854" customFormat="false" ht="15" hidden="false" customHeight="true" outlineLevel="0" collapsed="false">
      <c r="A7854" s="0" t="n">
        <v>2</v>
      </c>
      <c r="B7854" s="71" t="n">
        <v>46269</v>
      </c>
      <c r="C7854" s="0" t="n">
        <v>11</v>
      </c>
      <c r="D7854" s="0" t="s">
        <v>2471</v>
      </c>
      <c r="E7854" s="0" t="n">
        <v>1608</v>
      </c>
      <c r="F7854" s="0" t="s">
        <v>240</v>
      </c>
      <c r="I7854" s="0" t="n">
        <v>1724435</v>
      </c>
      <c r="J7854" s="0" t="n">
        <v>36474</v>
      </c>
      <c r="K7854" s="0" t="n">
        <v>7892840815745</v>
      </c>
      <c r="L7854" s="0" t="s">
        <v>3520</v>
      </c>
      <c r="N7854" s="0" t="n">
        <v>60</v>
      </c>
      <c r="O7854" s="0" t="n">
        <v>132</v>
      </c>
      <c r="P7854" s="0" t="s">
        <v>2444</v>
      </c>
    </row>
    <row r="7855" customFormat="false" ht="15" hidden="false" customHeight="true" outlineLevel="0" collapsed="false">
      <c r="A7855" s="0" t="n">
        <v>2</v>
      </c>
      <c r="B7855" s="71" t="n">
        <v>46269</v>
      </c>
      <c r="C7855" s="0" t="n">
        <v>11</v>
      </c>
      <c r="D7855" s="0" t="s">
        <v>2471</v>
      </c>
      <c r="E7855" s="0" t="n">
        <v>1608</v>
      </c>
      <c r="F7855" s="0" t="s">
        <v>240</v>
      </c>
      <c r="I7855" s="0" t="n">
        <v>1724435</v>
      </c>
      <c r="J7855" s="0" t="n">
        <v>38353</v>
      </c>
      <c r="K7855" s="0" t="n">
        <v>7892840817978</v>
      </c>
      <c r="L7855" s="0" t="s">
        <v>3521</v>
      </c>
      <c r="N7855" s="0" t="n">
        <v>5</v>
      </c>
      <c r="O7855" s="0" t="n">
        <v>58.7</v>
      </c>
      <c r="P7855" s="0" t="s">
        <v>2444</v>
      </c>
    </row>
    <row r="7856" customFormat="false" ht="15" hidden="false" customHeight="true" outlineLevel="0" collapsed="false">
      <c r="A7856" s="0" t="n">
        <v>2</v>
      </c>
      <c r="B7856" s="71" t="n">
        <v>46269</v>
      </c>
      <c r="C7856" s="0" t="n">
        <v>11</v>
      </c>
      <c r="D7856" s="0" t="s">
        <v>2471</v>
      </c>
      <c r="E7856" s="0" t="n">
        <v>1608</v>
      </c>
      <c r="F7856" s="0" t="s">
        <v>240</v>
      </c>
      <c r="I7856" s="0" t="n">
        <v>1724435</v>
      </c>
      <c r="J7856" s="0" t="n">
        <v>38354</v>
      </c>
      <c r="K7856" s="0" t="n">
        <v>7892840818159</v>
      </c>
      <c r="L7856" s="0" t="s">
        <v>3522</v>
      </c>
      <c r="N7856" s="0" t="n">
        <v>5</v>
      </c>
      <c r="O7856" s="0" t="n">
        <v>58.7</v>
      </c>
      <c r="P7856" s="0" t="s">
        <v>2444</v>
      </c>
    </row>
    <row r="7857" customFormat="false" ht="15" hidden="false" customHeight="true" outlineLevel="0" collapsed="false">
      <c r="A7857" s="0" t="n">
        <v>2</v>
      </c>
      <c r="B7857" s="71" t="n">
        <v>46269</v>
      </c>
      <c r="C7857" s="0" t="n">
        <v>11</v>
      </c>
      <c r="D7857" s="0" t="s">
        <v>2471</v>
      </c>
      <c r="E7857" s="0" t="n">
        <v>1608</v>
      </c>
      <c r="F7857" s="0" t="s">
        <v>240</v>
      </c>
      <c r="I7857" s="0" t="n">
        <v>1724435</v>
      </c>
      <c r="J7857" s="0" t="n">
        <v>42694</v>
      </c>
      <c r="K7857" s="0" t="n">
        <v>7892840814724</v>
      </c>
      <c r="L7857" s="0" t="s">
        <v>4255</v>
      </c>
      <c r="N7857" s="0" t="n">
        <v>16</v>
      </c>
      <c r="O7857" s="0" t="n">
        <v>96.16</v>
      </c>
      <c r="P7857" s="0" t="s">
        <v>2444</v>
      </c>
    </row>
    <row r="7858" customFormat="false" ht="15" hidden="false" customHeight="true" outlineLevel="0" collapsed="false">
      <c r="A7858" s="0" t="n">
        <v>2</v>
      </c>
      <c r="B7858" s="71" t="n">
        <v>46269</v>
      </c>
      <c r="C7858" s="0" t="n">
        <v>11</v>
      </c>
      <c r="D7858" s="0" t="s">
        <v>2471</v>
      </c>
      <c r="E7858" s="0" t="n">
        <v>1608</v>
      </c>
      <c r="F7858" s="0" t="s">
        <v>240</v>
      </c>
      <c r="I7858" s="0" t="n">
        <v>1724435</v>
      </c>
      <c r="J7858" s="0" t="n">
        <v>65341</v>
      </c>
      <c r="K7858" s="0" t="n">
        <v>7892840822309</v>
      </c>
      <c r="L7858" s="0" t="s">
        <v>3524</v>
      </c>
      <c r="N7858" s="0" t="n">
        <v>56</v>
      </c>
      <c r="O7858" s="0" t="n">
        <v>168</v>
      </c>
      <c r="P7858" s="0" t="s">
        <v>2444</v>
      </c>
    </row>
    <row r="7859" customFormat="false" ht="15" hidden="false" customHeight="true" outlineLevel="0" collapsed="false">
      <c r="A7859" s="0" t="n">
        <v>2</v>
      </c>
      <c r="B7859" s="71" t="n">
        <v>46269</v>
      </c>
      <c r="C7859" s="0" t="n">
        <v>11</v>
      </c>
      <c r="D7859" s="0" t="s">
        <v>2471</v>
      </c>
      <c r="E7859" s="0" t="n">
        <v>1608</v>
      </c>
      <c r="F7859" s="0" t="s">
        <v>240</v>
      </c>
      <c r="I7859" s="0" t="n">
        <v>1724435</v>
      </c>
      <c r="J7859" s="0" t="n">
        <v>65342</v>
      </c>
      <c r="K7859" s="0" t="n">
        <v>7892840822446</v>
      </c>
      <c r="L7859" s="0" t="s">
        <v>3525</v>
      </c>
      <c r="N7859" s="0" t="n">
        <v>6</v>
      </c>
      <c r="O7859" s="0" t="n">
        <v>80.04</v>
      </c>
      <c r="P7859" s="0" t="s">
        <v>2444</v>
      </c>
    </row>
    <row r="7860" customFormat="false" ht="15" hidden="false" customHeight="true" outlineLevel="0" collapsed="false">
      <c r="A7860" s="0" t="n">
        <v>2</v>
      </c>
      <c r="B7860" s="71" t="n">
        <v>46269</v>
      </c>
      <c r="C7860" s="0" t="n">
        <v>11</v>
      </c>
      <c r="D7860" s="0" t="s">
        <v>2471</v>
      </c>
      <c r="E7860" s="0" t="n">
        <v>1608</v>
      </c>
      <c r="F7860" s="0" t="s">
        <v>240</v>
      </c>
      <c r="I7860" s="0" t="n">
        <v>1724435</v>
      </c>
      <c r="J7860" s="0" t="n">
        <v>65383</v>
      </c>
      <c r="K7860" s="0" t="n">
        <v>7892840822859</v>
      </c>
      <c r="L7860" s="0" t="s">
        <v>3526</v>
      </c>
      <c r="N7860" s="0" t="n">
        <v>32</v>
      </c>
      <c r="O7860" s="0" t="n">
        <v>84.8</v>
      </c>
      <c r="P7860" s="0" t="s">
        <v>2444</v>
      </c>
    </row>
    <row r="7861" customFormat="false" ht="15" hidden="false" customHeight="true" outlineLevel="0" collapsed="false">
      <c r="A7861" s="0" t="n">
        <v>2</v>
      </c>
      <c r="B7861" s="71" t="n">
        <v>46269</v>
      </c>
      <c r="C7861" s="0" t="n">
        <v>11</v>
      </c>
      <c r="D7861" s="0" t="s">
        <v>2471</v>
      </c>
      <c r="E7861" s="0" t="n">
        <v>1608</v>
      </c>
      <c r="F7861" s="0" t="s">
        <v>240</v>
      </c>
      <c r="I7861" s="0" t="n">
        <v>1724435</v>
      </c>
      <c r="J7861" s="0" t="n">
        <v>65591</v>
      </c>
      <c r="K7861" s="0" t="n">
        <v>7892840822941</v>
      </c>
      <c r="L7861" s="0" t="s">
        <v>3527</v>
      </c>
      <c r="N7861" s="0" t="n">
        <v>6</v>
      </c>
      <c r="O7861" s="0" t="n">
        <v>80.46</v>
      </c>
      <c r="P7861" s="0" t="s">
        <v>2444</v>
      </c>
    </row>
    <row r="7862" customFormat="false" ht="15" hidden="false" customHeight="true" outlineLevel="0" collapsed="false">
      <c r="A7862" s="0" t="n">
        <v>2</v>
      </c>
      <c r="B7862" s="71" t="n">
        <v>46269</v>
      </c>
      <c r="C7862" s="0" t="n">
        <v>11</v>
      </c>
      <c r="D7862" s="0" t="s">
        <v>2471</v>
      </c>
      <c r="E7862" s="0" t="n">
        <v>1608</v>
      </c>
      <c r="F7862" s="0" t="s">
        <v>240</v>
      </c>
      <c r="I7862" s="0" t="n">
        <v>1724435</v>
      </c>
      <c r="J7862" s="0" t="n">
        <v>65592</v>
      </c>
      <c r="K7862" s="0" t="n">
        <v>7892840822286</v>
      </c>
      <c r="L7862" s="0" t="s">
        <v>3528</v>
      </c>
      <c r="N7862" s="0" t="n">
        <v>56</v>
      </c>
      <c r="O7862" s="0" t="n">
        <v>186.48</v>
      </c>
      <c r="P7862" s="0" t="s">
        <v>2444</v>
      </c>
    </row>
    <row r="7863" customFormat="false" ht="15" hidden="false" customHeight="true" outlineLevel="0" collapsed="false">
      <c r="A7863" s="0" t="n">
        <v>2</v>
      </c>
      <c r="B7863" s="71" t="n">
        <v>46269</v>
      </c>
      <c r="C7863" s="0" t="n">
        <v>11</v>
      </c>
      <c r="D7863" s="0" t="s">
        <v>2471</v>
      </c>
      <c r="E7863" s="0" t="n">
        <v>1608</v>
      </c>
      <c r="F7863" s="0" t="s">
        <v>240</v>
      </c>
      <c r="I7863" s="0" t="n">
        <v>1724435</v>
      </c>
      <c r="J7863" s="0" t="n">
        <v>65595</v>
      </c>
      <c r="K7863" s="0" t="n">
        <v>7892840823245</v>
      </c>
      <c r="L7863" s="0" t="s">
        <v>5240</v>
      </c>
      <c r="N7863" s="0" t="n">
        <v>6</v>
      </c>
      <c r="O7863" s="0" t="n">
        <v>72.12</v>
      </c>
      <c r="P7863" s="0" t="s">
        <v>2444</v>
      </c>
    </row>
    <row r="7864" customFormat="false" ht="15" hidden="false" customHeight="true" outlineLevel="0" collapsed="false">
      <c r="A7864" s="0" t="n">
        <v>2</v>
      </c>
      <c r="B7864" s="71" t="n">
        <v>46269</v>
      </c>
      <c r="C7864" s="0" t="n">
        <v>11</v>
      </c>
      <c r="D7864" s="0" t="s">
        <v>2471</v>
      </c>
      <c r="E7864" s="0" t="n">
        <v>1608</v>
      </c>
      <c r="F7864" s="0" t="s">
        <v>240</v>
      </c>
      <c r="I7864" s="0" t="n">
        <v>1724435</v>
      </c>
      <c r="J7864" s="0" t="n">
        <v>65597</v>
      </c>
      <c r="K7864" s="0" t="n">
        <v>7892840822736</v>
      </c>
      <c r="L7864" s="0" t="s">
        <v>3529</v>
      </c>
      <c r="N7864" s="0" t="n">
        <v>6</v>
      </c>
      <c r="O7864" s="0" t="n">
        <v>75.42</v>
      </c>
      <c r="P7864" s="0" t="s">
        <v>2444</v>
      </c>
    </row>
    <row r="7865" customFormat="false" ht="15" hidden="false" customHeight="true" outlineLevel="0" collapsed="false">
      <c r="A7865" s="0" t="n">
        <v>2</v>
      </c>
      <c r="B7865" s="71" t="n">
        <v>46269</v>
      </c>
      <c r="C7865" s="0" t="n">
        <v>11</v>
      </c>
      <c r="D7865" s="0" t="s">
        <v>2471</v>
      </c>
      <c r="E7865" s="0" t="n">
        <v>1608</v>
      </c>
      <c r="F7865" s="0" t="s">
        <v>240</v>
      </c>
      <c r="I7865" s="0" t="n">
        <v>1724435</v>
      </c>
      <c r="J7865" s="0" t="n">
        <v>65598</v>
      </c>
      <c r="K7865" s="0" t="n">
        <v>7892840822361</v>
      </c>
      <c r="L7865" s="0" t="s">
        <v>3530</v>
      </c>
      <c r="N7865" s="0" t="n">
        <v>15</v>
      </c>
      <c r="O7865" s="0" t="n">
        <v>117.6</v>
      </c>
      <c r="P7865" s="0" t="s">
        <v>2444</v>
      </c>
    </row>
    <row r="7866" customFormat="false" ht="15" hidden="false" customHeight="true" outlineLevel="0" collapsed="false">
      <c r="A7866" s="0" t="n">
        <v>2</v>
      </c>
      <c r="B7866" s="71" t="n">
        <v>46269</v>
      </c>
      <c r="C7866" s="0" t="n">
        <v>11</v>
      </c>
      <c r="D7866" s="0" t="s">
        <v>2471</v>
      </c>
      <c r="E7866" s="0" t="n">
        <v>1608</v>
      </c>
      <c r="F7866" s="0" t="s">
        <v>240</v>
      </c>
      <c r="I7866" s="0" t="n">
        <v>1724435</v>
      </c>
      <c r="J7866" s="0" t="n">
        <v>65725</v>
      </c>
      <c r="K7866" s="0" t="n">
        <v>7892840822866</v>
      </c>
      <c r="L7866" s="0" t="s">
        <v>5241</v>
      </c>
      <c r="N7866" s="0" t="n">
        <v>32</v>
      </c>
      <c r="O7866" s="0" t="n">
        <v>84.8</v>
      </c>
      <c r="P7866" s="0" t="s">
        <v>2444</v>
      </c>
    </row>
    <row r="7867" customFormat="false" ht="15" hidden="false" customHeight="true" outlineLevel="0" collapsed="false">
      <c r="A7867" s="0" t="n">
        <v>2</v>
      </c>
      <c r="B7867" s="71" t="n">
        <v>46269</v>
      </c>
      <c r="C7867" s="0" t="n">
        <v>11</v>
      </c>
      <c r="D7867" s="0" t="s">
        <v>2471</v>
      </c>
      <c r="E7867" s="0" t="n">
        <v>1608</v>
      </c>
      <c r="F7867" s="0" t="s">
        <v>240</v>
      </c>
      <c r="I7867" s="0" t="n">
        <v>1724435</v>
      </c>
      <c r="J7867" s="0" t="n">
        <v>65734</v>
      </c>
      <c r="K7867" s="0" t="n">
        <v>7892840823047</v>
      </c>
      <c r="L7867" s="0" t="s">
        <v>3531</v>
      </c>
      <c r="N7867" s="0" t="n">
        <v>15</v>
      </c>
      <c r="O7867" s="0" t="n">
        <v>96</v>
      </c>
      <c r="P7867" s="0" t="s">
        <v>2444</v>
      </c>
    </row>
    <row r="7868" customFormat="false" ht="15" hidden="false" customHeight="true" outlineLevel="0" collapsed="false">
      <c r="A7868" s="0" t="n">
        <v>2</v>
      </c>
      <c r="B7868" s="71" t="n">
        <v>46269</v>
      </c>
      <c r="C7868" s="0" t="n">
        <v>11</v>
      </c>
      <c r="D7868" s="0" t="s">
        <v>2471</v>
      </c>
      <c r="E7868" s="0" t="n">
        <v>1608</v>
      </c>
      <c r="F7868" s="0" t="s">
        <v>240</v>
      </c>
      <c r="I7868" s="0" t="n">
        <v>1724435</v>
      </c>
      <c r="J7868" s="0" t="n">
        <v>65736</v>
      </c>
      <c r="K7868" s="0" t="n">
        <v>7892840823054</v>
      </c>
      <c r="L7868" s="0" t="s">
        <v>3532</v>
      </c>
      <c r="N7868" s="0" t="n">
        <v>25</v>
      </c>
      <c r="O7868" s="0" t="n">
        <v>160</v>
      </c>
      <c r="P7868" s="0" t="s">
        <v>2444</v>
      </c>
    </row>
    <row r="7869" customFormat="false" ht="15" hidden="false" customHeight="true" outlineLevel="0" collapsed="false">
      <c r="A7869" s="0" t="n">
        <v>2</v>
      </c>
      <c r="B7869" s="71" t="n">
        <v>46269</v>
      </c>
      <c r="C7869" s="0" t="n">
        <v>11</v>
      </c>
      <c r="D7869" s="0" t="s">
        <v>2471</v>
      </c>
      <c r="E7869" s="0" t="n">
        <v>1608</v>
      </c>
      <c r="F7869" s="0" t="s">
        <v>240</v>
      </c>
      <c r="I7869" s="0" t="n">
        <v>1724435</v>
      </c>
      <c r="J7869" s="0" t="n">
        <v>65799</v>
      </c>
      <c r="K7869" s="0" t="n">
        <v>7892840822385</v>
      </c>
      <c r="L7869" s="0" t="s">
        <v>3533</v>
      </c>
      <c r="N7869" s="0" t="n">
        <v>58</v>
      </c>
      <c r="O7869" s="0" t="n">
        <v>196.62</v>
      </c>
      <c r="P7869" s="0" t="s">
        <v>2444</v>
      </c>
    </row>
    <row r="7870" customFormat="false" ht="15" hidden="false" customHeight="true" outlineLevel="0" collapsed="false">
      <c r="A7870" s="0" t="n">
        <v>2</v>
      </c>
      <c r="B7870" s="71" t="n">
        <v>46269</v>
      </c>
      <c r="C7870" s="0" t="n">
        <v>11</v>
      </c>
      <c r="D7870" s="0" t="s">
        <v>2471</v>
      </c>
      <c r="E7870" s="0" t="n">
        <v>1608</v>
      </c>
      <c r="F7870" s="0" t="s">
        <v>240</v>
      </c>
      <c r="I7870" s="0" t="n">
        <v>1724435</v>
      </c>
      <c r="J7870" s="0" t="n">
        <v>65964</v>
      </c>
      <c r="K7870" s="0" t="n">
        <v>7892840822422</v>
      </c>
      <c r="L7870" s="0" t="s">
        <v>3534</v>
      </c>
      <c r="N7870" s="0" t="n">
        <v>12</v>
      </c>
      <c r="O7870" s="0" t="n">
        <v>21.6</v>
      </c>
      <c r="P7870" s="0" t="s">
        <v>2444</v>
      </c>
    </row>
    <row r="7871" customFormat="false" ht="15" hidden="false" customHeight="true" outlineLevel="0" collapsed="false">
      <c r="A7871" s="0" t="n">
        <v>2</v>
      </c>
      <c r="B7871" s="71" t="n">
        <v>46269</v>
      </c>
      <c r="C7871" s="0" t="n">
        <v>11</v>
      </c>
      <c r="D7871" s="0" t="s">
        <v>2471</v>
      </c>
      <c r="E7871" s="0" t="n">
        <v>1608</v>
      </c>
      <c r="F7871" s="0" t="s">
        <v>240</v>
      </c>
      <c r="I7871" s="0" t="n">
        <v>1724435</v>
      </c>
      <c r="J7871" s="0" t="n">
        <v>65965</v>
      </c>
      <c r="K7871" s="0" t="n">
        <v>7892840822507</v>
      </c>
      <c r="L7871" s="0" t="s">
        <v>3535</v>
      </c>
      <c r="N7871" s="0" t="n">
        <v>12</v>
      </c>
      <c r="O7871" s="0" t="n">
        <v>21.6</v>
      </c>
      <c r="P7871" s="0" t="s">
        <v>2444</v>
      </c>
    </row>
    <row r="7872" customFormat="false" ht="15" hidden="false" customHeight="true" outlineLevel="0" collapsed="false">
      <c r="A7872" s="0" t="n">
        <v>2</v>
      </c>
      <c r="B7872" s="71" t="n">
        <v>46269</v>
      </c>
      <c r="C7872" s="0" t="n">
        <v>11</v>
      </c>
      <c r="D7872" s="0" t="s">
        <v>2471</v>
      </c>
      <c r="E7872" s="0" t="n">
        <v>1608</v>
      </c>
      <c r="F7872" s="0" t="s">
        <v>240</v>
      </c>
      <c r="I7872" s="0" t="n">
        <v>1724435</v>
      </c>
      <c r="J7872" s="0" t="n">
        <v>65966</v>
      </c>
      <c r="K7872" s="0" t="n">
        <v>7892840822521</v>
      </c>
      <c r="L7872" s="0" t="s">
        <v>3536</v>
      </c>
      <c r="N7872" s="0" t="n">
        <v>16</v>
      </c>
      <c r="O7872" s="0" t="n">
        <v>28.8</v>
      </c>
      <c r="P7872" s="0" t="s">
        <v>2444</v>
      </c>
    </row>
    <row r="7873" customFormat="false" ht="15" hidden="false" customHeight="true" outlineLevel="0" collapsed="false">
      <c r="A7873" s="0" t="n">
        <v>2</v>
      </c>
      <c r="B7873" s="71" t="n">
        <v>46269</v>
      </c>
      <c r="C7873" s="0" t="n">
        <v>11</v>
      </c>
      <c r="D7873" s="0" t="s">
        <v>2471</v>
      </c>
      <c r="E7873" s="0" t="n">
        <v>1608</v>
      </c>
      <c r="F7873" s="0" t="s">
        <v>240</v>
      </c>
      <c r="I7873" s="0" t="n">
        <v>1724435</v>
      </c>
      <c r="J7873" s="0" t="n">
        <v>66000</v>
      </c>
      <c r="K7873" s="0" t="n">
        <v>7892840822484</v>
      </c>
      <c r="L7873" s="0" t="s">
        <v>3537</v>
      </c>
      <c r="N7873" s="0" t="n">
        <v>26</v>
      </c>
      <c r="O7873" s="0" t="n">
        <v>46.8</v>
      </c>
      <c r="P7873" s="0" t="s">
        <v>2444</v>
      </c>
    </row>
    <row r="7874" customFormat="false" ht="15" hidden="false" customHeight="true" outlineLevel="0" collapsed="false">
      <c r="A7874" s="0" t="n">
        <v>2</v>
      </c>
      <c r="B7874" s="71" t="n">
        <v>46269</v>
      </c>
      <c r="C7874" s="0" t="n">
        <v>11</v>
      </c>
      <c r="D7874" s="0" t="s">
        <v>2471</v>
      </c>
      <c r="E7874" s="0" t="n">
        <v>1608</v>
      </c>
      <c r="F7874" s="0" t="s">
        <v>240</v>
      </c>
      <c r="I7874" s="0" t="n">
        <v>1724435</v>
      </c>
      <c r="J7874" s="0" t="n">
        <v>66089</v>
      </c>
      <c r="K7874" s="0" t="n">
        <v>7892840822323</v>
      </c>
      <c r="L7874" s="0" t="s">
        <v>3539</v>
      </c>
      <c r="N7874" s="0" t="n">
        <v>6</v>
      </c>
      <c r="O7874" s="0" t="n">
        <v>79.14</v>
      </c>
      <c r="P7874" s="0" t="s">
        <v>2444</v>
      </c>
    </row>
    <row r="7875" customFormat="false" ht="15" hidden="false" customHeight="true" outlineLevel="0" collapsed="false">
      <c r="A7875" s="0" t="n">
        <v>2</v>
      </c>
      <c r="B7875" s="71" t="n">
        <v>46269</v>
      </c>
      <c r="C7875" s="0" t="n">
        <v>11</v>
      </c>
      <c r="D7875" s="0" t="s">
        <v>2471</v>
      </c>
      <c r="E7875" s="0" t="n">
        <v>1608</v>
      </c>
      <c r="F7875" s="0" t="s">
        <v>240</v>
      </c>
      <c r="I7875" s="0" t="n">
        <v>1724435</v>
      </c>
      <c r="J7875" s="0" t="n">
        <v>66252</v>
      </c>
      <c r="K7875" s="0" t="n">
        <v>7892840822392</v>
      </c>
      <c r="L7875" s="0" t="s">
        <v>3540</v>
      </c>
      <c r="N7875" s="0" t="n">
        <v>32</v>
      </c>
      <c r="O7875" s="0" t="n">
        <v>109.44</v>
      </c>
      <c r="P7875" s="0" t="s">
        <v>2444</v>
      </c>
    </row>
    <row r="7876" customFormat="false" ht="15" hidden="false" customHeight="true" outlineLevel="0" collapsed="false">
      <c r="A7876" s="0" t="n">
        <v>2</v>
      </c>
      <c r="B7876" s="71" t="n">
        <v>46269</v>
      </c>
      <c r="C7876" s="0" t="n">
        <v>11</v>
      </c>
      <c r="D7876" s="0" t="s">
        <v>2471</v>
      </c>
      <c r="E7876" s="0" t="n">
        <v>1608</v>
      </c>
      <c r="F7876" s="0" t="s">
        <v>240</v>
      </c>
      <c r="I7876" s="0" t="n">
        <v>1724435</v>
      </c>
      <c r="J7876" s="0" t="n">
        <v>66366</v>
      </c>
      <c r="K7876" s="0" t="n">
        <v>7892840822378</v>
      </c>
      <c r="L7876" s="0" t="s">
        <v>4257</v>
      </c>
      <c r="N7876" s="0" t="n">
        <v>36</v>
      </c>
      <c r="O7876" s="0" t="n">
        <v>146.16</v>
      </c>
      <c r="P7876" s="0" t="s">
        <v>2444</v>
      </c>
    </row>
    <row r="7877" customFormat="false" ht="15" hidden="false" customHeight="true" outlineLevel="0" collapsed="false">
      <c r="A7877" s="0" t="n">
        <v>2</v>
      </c>
      <c r="B7877" s="71" t="n">
        <v>46269</v>
      </c>
      <c r="C7877" s="0" t="n">
        <v>11</v>
      </c>
      <c r="D7877" s="0" t="s">
        <v>2471</v>
      </c>
      <c r="E7877" s="0" t="n">
        <v>1608</v>
      </c>
      <c r="F7877" s="0" t="s">
        <v>240</v>
      </c>
      <c r="I7877" s="0" t="n">
        <v>1724435</v>
      </c>
      <c r="J7877" s="0" t="n">
        <v>66584</v>
      </c>
      <c r="K7877" s="0" t="n">
        <v>7892840822453</v>
      </c>
      <c r="L7877" s="0" t="s">
        <v>3541</v>
      </c>
      <c r="N7877" s="0" t="n">
        <v>12</v>
      </c>
      <c r="O7877" s="0" t="n">
        <v>21.6</v>
      </c>
      <c r="P7877" s="0" t="s">
        <v>2444</v>
      </c>
    </row>
    <row r="7878" customFormat="false" ht="15" hidden="false" customHeight="true" outlineLevel="0" collapsed="false">
      <c r="A7878" s="0" t="n">
        <v>2</v>
      </c>
      <c r="B7878" s="71" t="n">
        <v>46269</v>
      </c>
      <c r="C7878" s="0" t="n">
        <v>11</v>
      </c>
      <c r="D7878" s="0" t="s">
        <v>2471</v>
      </c>
      <c r="E7878" s="0" t="n">
        <v>1608</v>
      </c>
      <c r="F7878" s="0" t="s">
        <v>240</v>
      </c>
      <c r="I7878" s="0" t="n">
        <v>1724435</v>
      </c>
      <c r="J7878" s="0" t="n">
        <v>66993</v>
      </c>
      <c r="K7878" s="0" t="n">
        <v>7892840822347</v>
      </c>
      <c r="L7878" s="0" t="s">
        <v>3525</v>
      </c>
      <c r="N7878" s="0" t="n">
        <v>15</v>
      </c>
      <c r="O7878" s="0" t="n">
        <v>129.6</v>
      </c>
      <c r="P7878" s="0" t="s">
        <v>2444</v>
      </c>
    </row>
    <row r="7879" customFormat="false" ht="15" hidden="false" customHeight="true" outlineLevel="0" collapsed="false">
      <c r="A7879" s="0" t="n">
        <v>2</v>
      </c>
      <c r="B7879" s="71" t="n">
        <v>46269</v>
      </c>
      <c r="C7879" s="0" t="n">
        <v>11</v>
      </c>
      <c r="D7879" s="0" t="s">
        <v>2471</v>
      </c>
      <c r="E7879" s="0" t="n">
        <v>1608</v>
      </c>
      <c r="F7879" s="0" t="s">
        <v>240</v>
      </c>
      <c r="I7879" s="0" t="n">
        <v>1724435</v>
      </c>
      <c r="J7879" s="0" t="n">
        <v>67725</v>
      </c>
      <c r="K7879" s="0" t="n">
        <v>7892840822477</v>
      </c>
      <c r="L7879" s="0" t="s">
        <v>3542</v>
      </c>
      <c r="N7879" s="0" t="n">
        <v>26</v>
      </c>
      <c r="O7879" s="0" t="n">
        <v>46.8</v>
      </c>
      <c r="P7879" s="0" t="s">
        <v>2444</v>
      </c>
    </row>
    <row r="7880" customFormat="false" ht="15" hidden="false" customHeight="true" outlineLevel="0" collapsed="false">
      <c r="A7880" s="0" t="n">
        <v>2</v>
      </c>
      <c r="B7880" s="71" t="n">
        <v>46269</v>
      </c>
      <c r="C7880" s="0" t="n">
        <v>11</v>
      </c>
      <c r="D7880" s="0" t="s">
        <v>2471</v>
      </c>
      <c r="E7880" s="0" t="n">
        <v>1608</v>
      </c>
      <c r="F7880" s="0" t="s">
        <v>240</v>
      </c>
      <c r="I7880" s="0" t="n">
        <v>1724435</v>
      </c>
      <c r="J7880" s="0" t="n">
        <v>68927</v>
      </c>
      <c r="K7880" s="0" t="n">
        <v>7892840823030</v>
      </c>
      <c r="L7880" s="0" t="s">
        <v>3543</v>
      </c>
      <c r="N7880" s="0" t="n">
        <v>25</v>
      </c>
      <c r="O7880" s="0" t="n">
        <v>160</v>
      </c>
      <c r="P7880" s="0" t="s">
        <v>2444</v>
      </c>
    </row>
    <row r="7881" customFormat="false" ht="15" hidden="false" customHeight="true" outlineLevel="0" collapsed="false">
      <c r="A7881" s="0" t="n">
        <v>2</v>
      </c>
      <c r="B7881" s="71" t="n">
        <v>46269</v>
      </c>
      <c r="C7881" s="0" t="n">
        <v>11</v>
      </c>
      <c r="D7881" s="0" t="s">
        <v>2471</v>
      </c>
      <c r="E7881" s="0" t="n">
        <v>1608</v>
      </c>
      <c r="F7881" s="0" t="s">
        <v>240</v>
      </c>
      <c r="I7881" s="0" t="n">
        <v>1724435</v>
      </c>
      <c r="J7881" s="0" t="n">
        <v>80042</v>
      </c>
      <c r="K7881" s="0" t="n">
        <v>7892840825171</v>
      </c>
      <c r="L7881" s="0" t="s">
        <v>4258</v>
      </c>
      <c r="N7881" s="0" t="n">
        <v>12</v>
      </c>
      <c r="O7881" s="0" t="n">
        <v>54.96</v>
      </c>
      <c r="P7881" s="0" t="s">
        <v>2444</v>
      </c>
    </row>
    <row r="7882" customFormat="false" ht="15" hidden="false" customHeight="true" outlineLevel="0" collapsed="false">
      <c r="A7882" s="0" t="n">
        <v>2</v>
      </c>
      <c r="B7882" s="71" t="n">
        <v>46269</v>
      </c>
      <c r="C7882" s="0" t="n">
        <v>11</v>
      </c>
      <c r="D7882" s="0" t="s">
        <v>2471</v>
      </c>
      <c r="E7882" s="0" t="n">
        <v>1608</v>
      </c>
      <c r="F7882" s="0" t="s">
        <v>240</v>
      </c>
      <c r="I7882" s="0" t="n">
        <v>1724435</v>
      </c>
      <c r="J7882" s="0" t="n">
        <v>80195</v>
      </c>
      <c r="K7882" s="0" t="n">
        <v>7892840824976</v>
      </c>
      <c r="L7882" s="0" t="s">
        <v>3546</v>
      </c>
      <c r="N7882" s="0" t="n">
        <v>56</v>
      </c>
      <c r="O7882" s="0" t="n">
        <v>186.48</v>
      </c>
      <c r="P7882" s="0" t="s">
        <v>2444</v>
      </c>
    </row>
    <row r="7883" customFormat="false" ht="15" hidden="false" customHeight="true" outlineLevel="0" collapsed="false">
      <c r="A7883" s="0" t="n">
        <v>2</v>
      </c>
      <c r="B7883" s="71" t="n">
        <v>46269</v>
      </c>
      <c r="C7883" s="0" t="n">
        <v>11</v>
      </c>
      <c r="D7883" s="0" t="s">
        <v>2471</v>
      </c>
      <c r="E7883" s="0" t="n">
        <v>1608</v>
      </c>
      <c r="F7883" s="0" t="s">
        <v>240</v>
      </c>
      <c r="I7883" s="0" t="n">
        <v>1724435</v>
      </c>
      <c r="J7883" s="0" t="n">
        <v>80196</v>
      </c>
      <c r="K7883" s="0" t="n">
        <v>7892840824662</v>
      </c>
      <c r="L7883" s="0" t="s">
        <v>3547</v>
      </c>
      <c r="N7883" s="0" t="n">
        <v>50</v>
      </c>
      <c r="O7883" s="0" t="n">
        <v>166.5</v>
      </c>
      <c r="P7883" s="0" t="s">
        <v>2444</v>
      </c>
    </row>
    <row r="7884" customFormat="false" ht="15" hidden="false" customHeight="true" outlineLevel="0" collapsed="false">
      <c r="A7884" s="0" t="n">
        <v>2</v>
      </c>
      <c r="B7884" s="71" t="n">
        <v>46269</v>
      </c>
      <c r="C7884" s="0" t="n">
        <v>11</v>
      </c>
      <c r="D7884" s="0" t="s">
        <v>2471</v>
      </c>
      <c r="E7884" s="0" t="n">
        <v>1608</v>
      </c>
      <c r="F7884" s="0" t="s">
        <v>240</v>
      </c>
      <c r="I7884" s="0" t="n">
        <v>1724435</v>
      </c>
      <c r="J7884" s="0" t="n">
        <v>80197</v>
      </c>
      <c r="K7884" s="0" t="n">
        <v>7892840824648</v>
      </c>
      <c r="L7884" s="0" t="s">
        <v>3548</v>
      </c>
      <c r="N7884" s="0" t="n">
        <v>50</v>
      </c>
      <c r="O7884" s="0" t="n">
        <v>166.5</v>
      </c>
      <c r="P7884" s="0" t="s">
        <v>2444</v>
      </c>
    </row>
    <row r="7885" customFormat="false" ht="15" hidden="false" customHeight="true" outlineLevel="0" collapsed="false">
      <c r="A7885" s="0" t="n">
        <v>2</v>
      </c>
      <c r="B7885" s="71" t="n">
        <v>46269</v>
      </c>
      <c r="C7885" s="0" t="n">
        <v>11</v>
      </c>
      <c r="D7885" s="0" t="s">
        <v>2471</v>
      </c>
      <c r="E7885" s="0" t="n">
        <v>1608</v>
      </c>
      <c r="F7885" s="0" t="s">
        <v>240</v>
      </c>
      <c r="I7885" s="0" t="n">
        <v>1724435</v>
      </c>
      <c r="J7885" s="0" t="n">
        <v>80198</v>
      </c>
      <c r="K7885" s="0" t="n">
        <v>7892840824693</v>
      </c>
      <c r="L7885" s="0" t="s">
        <v>3549</v>
      </c>
      <c r="N7885" s="0" t="n">
        <v>50</v>
      </c>
      <c r="O7885" s="0" t="n">
        <v>150</v>
      </c>
      <c r="P7885" s="0" t="s">
        <v>2444</v>
      </c>
    </row>
    <row r="7886" customFormat="false" ht="15" hidden="false" customHeight="true" outlineLevel="0" collapsed="false">
      <c r="A7886" s="0" t="n">
        <v>2</v>
      </c>
      <c r="B7886" s="71" t="n">
        <v>46269</v>
      </c>
      <c r="C7886" s="0" t="n">
        <v>11</v>
      </c>
      <c r="D7886" s="0" t="s">
        <v>2471</v>
      </c>
      <c r="E7886" s="0" t="n">
        <v>1608</v>
      </c>
      <c r="F7886" s="0" t="s">
        <v>240</v>
      </c>
      <c r="I7886" s="0" t="n">
        <v>1724435</v>
      </c>
      <c r="J7886" s="0" t="n">
        <v>80199</v>
      </c>
      <c r="K7886" s="0" t="n">
        <v>7892840825218</v>
      </c>
      <c r="L7886" s="0" t="s">
        <v>5242</v>
      </c>
      <c r="N7886" s="0" t="n">
        <v>12</v>
      </c>
      <c r="O7886" s="0" t="n">
        <v>54.96</v>
      </c>
      <c r="P7886" s="0" t="s">
        <v>2444</v>
      </c>
    </row>
    <row r="7887" customFormat="false" ht="15" hidden="false" customHeight="true" outlineLevel="0" collapsed="false">
      <c r="A7887" s="0" t="n">
        <v>2</v>
      </c>
      <c r="B7887" s="71" t="n">
        <v>46269</v>
      </c>
      <c r="C7887" s="0" t="n">
        <v>11</v>
      </c>
      <c r="D7887" s="0" t="s">
        <v>2471</v>
      </c>
      <c r="E7887" s="0" t="n">
        <v>1608</v>
      </c>
      <c r="F7887" s="0" t="s">
        <v>240</v>
      </c>
      <c r="I7887" s="0" t="n">
        <v>1724435</v>
      </c>
      <c r="J7887" s="0" t="n">
        <v>80384</v>
      </c>
      <c r="K7887" s="0" t="n">
        <v>7892840824396</v>
      </c>
      <c r="L7887" s="0" t="s">
        <v>3550</v>
      </c>
      <c r="N7887" s="0" t="n">
        <v>13</v>
      </c>
      <c r="O7887" s="0" t="n">
        <v>121.29</v>
      </c>
      <c r="P7887" s="0" t="s">
        <v>2444</v>
      </c>
    </row>
    <row r="7888" customFormat="false" ht="15" hidden="false" customHeight="true" outlineLevel="0" collapsed="false">
      <c r="A7888" s="0" t="n">
        <v>2</v>
      </c>
      <c r="B7888" s="71" t="n">
        <v>46269</v>
      </c>
      <c r="C7888" s="0" t="n">
        <v>11</v>
      </c>
      <c r="D7888" s="0" t="s">
        <v>2471</v>
      </c>
      <c r="E7888" s="0" t="n">
        <v>1608</v>
      </c>
      <c r="F7888" s="0" t="s">
        <v>240</v>
      </c>
      <c r="I7888" s="0" t="n">
        <v>1724435</v>
      </c>
      <c r="J7888" s="0" t="n">
        <v>80464</v>
      </c>
      <c r="K7888" s="0" t="n">
        <v>7892840825126</v>
      </c>
      <c r="L7888" s="0" t="s">
        <v>3552</v>
      </c>
      <c r="N7888" s="0" t="n">
        <v>48</v>
      </c>
      <c r="O7888" s="0" t="n">
        <v>183.84</v>
      </c>
      <c r="P7888" s="0" t="s">
        <v>2444</v>
      </c>
    </row>
    <row r="7889" customFormat="false" ht="15" hidden="false" customHeight="true" outlineLevel="0" collapsed="false">
      <c r="A7889" s="0" t="n">
        <v>2</v>
      </c>
      <c r="B7889" s="71" t="n">
        <v>46269</v>
      </c>
      <c r="C7889" s="0" t="n">
        <v>11</v>
      </c>
      <c r="D7889" s="0" t="s">
        <v>2471</v>
      </c>
      <c r="E7889" s="0" t="n">
        <v>1608</v>
      </c>
      <c r="F7889" s="0" t="s">
        <v>240</v>
      </c>
      <c r="I7889" s="0" t="n">
        <v>1724435</v>
      </c>
      <c r="J7889" s="0" t="n">
        <v>82279</v>
      </c>
      <c r="K7889" s="0" t="n">
        <v>7892840822637</v>
      </c>
      <c r="L7889" s="0" t="s">
        <v>5243</v>
      </c>
      <c r="N7889" s="0" t="n">
        <v>12</v>
      </c>
      <c r="O7889" s="0" t="n">
        <v>33.6</v>
      </c>
      <c r="P7889" s="0" t="s">
        <v>2444</v>
      </c>
    </row>
    <row r="7890" customFormat="false" ht="15" hidden="false" customHeight="true" outlineLevel="0" collapsed="false">
      <c r="A7890" s="0" t="n">
        <v>2</v>
      </c>
      <c r="B7890" s="71" t="n">
        <v>46269</v>
      </c>
      <c r="C7890" s="0" t="n">
        <v>11</v>
      </c>
      <c r="D7890" s="0" t="s">
        <v>2471</v>
      </c>
      <c r="E7890" s="0" t="n">
        <v>1608</v>
      </c>
      <c r="F7890" s="0" t="s">
        <v>240</v>
      </c>
      <c r="I7890" s="0" t="n">
        <v>1724730</v>
      </c>
      <c r="J7890" s="0" t="n">
        <v>50232</v>
      </c>
      <c r="K7890" s="0" t="n">
        <v>7891025123057</v>
      </c>
      <c r="L7890" s="0" t="s">
        <v>2639</v>
      </c>
      <c r="N7890" s="0" t="n">
        <v>6</v>
      </c>
      <c r="O7890" s="0" t="n">
        <v>15.78</v>
      </c>
      <c r="P7890" s="0" t="s">
        <v>2444</v>
      </c>
    </row>
    <row r="7891" customFormat="false" ht="15" hidden="false" customHeight="true" outlineLevel="0" collapsed="false">
      <c r="A7891" s="0" t="n">
        <v>2</v>
      </c>
      <c r="B7891" s="71" t="n">
        <v>46269</v>
      </c>
      <c r="C7891" s="0" t="n">
        <v>11</v>
      </c>
      <c r="D7891" s="0" t="s">
        <v>2471</v>
      </c>
      <c r="E7891" s="0" t="n">
        <v>1608</v>
      </c>
      <c r="F7891" s="0" t="s">
        <v>240</v>
      </c>
      <c r="I7891" s="0" t="n">
        <v>1724730</v>
      </c>
      <c r="J7891" s="0" t="n">
        <v>19906</v>
      </c>
      <c r="K7891" s="0" t="n">
        <v>7898553442933</v>
      </c>
      <c r="L7891" s="0" t="s">
        <v>2982</v>
      </c>
      <c r="N7891" s="0" t="n">
        <v>12</v>
      </c>
      <c r="O7891" s="0" t="n">
        <v>125.76</v>
      </c>
      <c r="P7891" s="0" t="s">
        <v>2444</v>
      </c>
    </row>
    <row r="7892" customFormat="false" ht="15" hidden="false" customHeight="true" outlineLevel="0" collapsed="false">
      <c r="A7892" s="0" t="n">
        <v>2</v>
      </c>
      <c r="B7892" s="71" t="n">
        <v>46269</v>
      </c>
      <c r="C7892" s="0" t="n">
        <v>11</v>
      </c>
      <c r="D7892" s="0" t="s">
        <v>2471</v>
      </c>
      <c r="E7892" s="0" t="n">
        <v>1608</v>
      </c>
      <c r="F7892" s="0" t="s">
        <v>240</v>
      </c>
      <c r="I7892" s="0" t="n">
        <v>1724730</v>
      </c>
      <c r="J7892" s="0" t="n">
        <v>20479</v>
      </c>
      <c r="K7892" s="0" t="n">
        <v>7891025101161</v>
      </c>
      <c r="L7892" s="0" t="s">
        <v>2641</v>
      </c>
      <c r="N7892" s="0" t="n">
        <v>4</v>
      </c>
      <c r="O7892" s="0" t="n">
        <v>13.24</v>
      </c>
      <c r="P7892" s="0" t="s">
        <v>2444</v>
      </c>
    </row>
    <row r="7893" customFormat="false" ht="15" hidden="false" customHeight="true" outlineLevel="0" collapsed="false">
      <c r="A7893" s="0" t="n">
        <v>2</v>
      </c>
      <c r="B7893" s="71" t="n">
        <v>46269</v>
      </c>
      <c r="C7893" s="0" t="n">
        <v>11</v>
      </c>
      <c r="D7893" s="0" t="s">
        <v>2471</v>
      </c>
      <c r="E7893" s="0" t="n">
        <v>1608</v>
      </c>
      <c r="F7893" s="0" t="s">
        <v>240</v>
      </c>
      <c r="I7893" s="0" t="n">
        <v>1724730</v>
      </c>
      <c r="J7893" s="0" t="n">
        <v>20522</v>
      </c>
      <c r="K7893" s="0" t="n">
        <v>7891025106067</v>
      </c>
      <c r="L7893" s="0" t="s">
        <v>2642</v>
      </c>
      <c r="N7893" s="0" t="n">
        <v>4</v>
      </c>
      <c r="O7893" s="0" t="n">
        <v>11.4</v>
      </c>
      <c r="P7893" s="0" t="s">
        <v>2444</v>
      </c>
    </row>
    <row r="7894" customFormat="false" ht="15" hidden="false" customHeight="true" outlineLevel="0" collapsed="false">
      <c r="A7894" s="0" t="n">
        <v>2</v>
      </c>
      <c r="B7894" s="71" t="n">
        <v>46269</v>
      </c>
      <c r="C7894" s="0" t="n">
        <v>11</v>
      </c>
      <c r="D7894" s="0" t="s">
        <v>2471</v>
      </c>
      <c r="E7894" s="0" t="n">
        <v>1608</v>
      </c>
      <c r="F7894" s="0" t="s">
        <v>240</v>
      </c>
      <c r="I7894" s="0" t="n">
        <v>1724730</v>
      </c>
      <c r="J7894" s="0" t="n">
        <v>23791</v>
      </c>
      <c r="K7894" s="0" t="n">
        <v>7898215151302</v>
      </c>
      <c r="L7894" s="0" t="s">
        <v>4660</v>
      </c>
      <c r="N7894" s="0" t="n">
        <v>1</v>
      </c>
      <c r="O7894" s="0" t="n">
        <v>12.83</v>
      </c>
      <c r="P7894" s="0" t="s">
        <v>2444</v>
      </c>
    </row>
    <row r="7895" customFormat="false" ht="15" hidden="false" customHeight="true" outlineLevel="0" collapsed="false">
      <c r="A7895" s="0" t="n">
        <v>2</v>
      </c>
      <c r="B7895" s="71" t="n">
        <v>46269</v>
      </c>
      <c r="C7895" s="0" t="n">
        <v>11</v>
      </c>
      <c r="D7895" s="0" t="s">
        <v>2471</v>
      </c>
      <c r="E7895" s="0" t="n">
        <v>1608</v>
      </c>
      <c r="F7895" s="0" t="s">
        <v>240</v>
      </c>
      <c r="I7895" s="0" t="n">
        <v>1724730</v>
      </c>
      <c r="J7895" s="0" t="n">
        <v>24123</v>
      </c>
      <c r="K7895" s="0" t="n">
        <v>7891025109396</v>
      </c>
      <c r="L7895" s="0" t="s">
        <v>2643</v>
      </c>
      <c r="N7895" s="0" t="n">
        <v>4</v>
      </c>
      <c r="O7895" s="0" t="n">
        <v>13.44</v>
      </c>
      <c r="P7895" s="0" t="s">
        <v>2444</v>
      </c>
    </row>
    <row r="7896" customFormat="false" ht="15" hidden="false" customHeight="true" outlineLevel="0" collapsed="false">
      <c r="A7896" s="0" t="n">
        <v>2</v>
      </c>
      <c r="B7896" s="71" t="n">
        <v>46269</v>
      </c>
      <c r="C7896" s="0" t="n">
        <v>11</v>
      </c>
      <c r="D7896" s="0" t="s">
        <v>2471</v>
      </c>
      <c r="E7896" s="0" t="n">
        <v>1608</v>
      </c>
      <c r="F7896" s="0" t="s">
        <v>240</v>
      </c>
      <c r="I7896" s="0" t="n">
        <v>1724730</v>
      </c>
      <c r="J7896" s="0" t="n">
        <v>24124</v>
      </c>
      <c r="K7896" s="0" t="n">
        <v>7891025109419</v>
      </c>
      <c r="L7896" s="0" t="s">
        <v>2644</v>
      </c>
      <c r="N7896" s="0" t="n">
        <v>4</v>
      </c>
      <c r="O7896" s="0" t="n">
        <v>13.44</v>
      </c>
      <c r="P7896" s="0" t="s">
        <v>2444</v>
      </c>
    </row>
    <row r="7897" customFormat="false" ht="15" hidden="false" customHeight="true" outlineLevel="0" collapsed="false">
      <c r="A7897" s="0" t="n">
        <v>2</v>
      </c>
      <c r="B7897" s="71" t="n">
        <v>46269</v>
      </c>
      <c r="C7897" s="0" t="n">
        <v>11</v>
      </c>
      <c r="D7897" s="0" t="s">
        <v>2471</v>
      </c>
      <c r="E7897" s="0" t="n">
        <v>1608</v>
      </c>
      <c r="F7897" s="0" t="s">
        <v>240</v>
      </c>
      <c r="I7897" s="0" t="n">
        <v>1724730</v>
      </c>
      <c r="J7897" s="0" t="n">
        <v>24196</v>
      </c>
      <c r="K7897" s="0" t="n">
        <v>7891025109884</v>
      </c>
      <c r="L7897" s="0" t="s">
        <v>2645</v>
      </c>
      <c r="N7897" s="0" t="n">
        <v>3</v>
      </c>
      <c r="O7897" s="0" t="n">
        <v>26.4</v>
      </c>
      <c r="P7897" s="0" t="s">
        <v>2444</v>
      </c>
    </row>
    <row r="7898" customFormat="false" ht="15" hidden="false" customHeight="true" outlineLevel="0" collapsed="false">
      <c r="A7898" s="0" t="n">
        <v>2</v>
      </c>
      <c r="B7898" s="71" t="n">
        <v>46269</v>
      </c>
      <c r="C7898" s="0" t="n">
        <v>11</v>
      </c>
      <c r="D7898" s="0" t="s">
        <v>2471</v>
      </c>
      <c r="E7898" s="0" t="n">
        <v>1608</v>
      </c>
      <c r="F7898" s="0" t="s">
        <v>240</v>
      </c>
      <c r="I7898" s="0" t="n">
        <v>1724730</v>
      </c>
      <c r="J7898" s="0" t="n">
        <v>24832</v>
      </c>
      <c r="K7898" s="0" t="n">
        <v>7891025109891</v>
      </c>
      <c r="L7898" s="0" t="s">
        <v>2646</v>
      </c>
      <c r="N7898" s="0" t="n">
        <v>6</v>
      </c>
      <c r="O7898" s="0" t="n">
        <v>52.8</v>
      </c>
      <c r="P7898" s="0" t="s">
        <v>2444</v>
      </c>
    </row>
    <row r="7899" customFormat="false" ht="15" hidden="false" customHeight="true" outlineLevel="0" collapsed="false">
      <c r="A7899" s="0" t="n">
        <v>2</v>
      </c>
      <c r="B7899" s="71" t="n">
        <v>46269</v>
      </c>
      <c r="C7899" s="0" t="n">
        <v>11</v>
      </c>
      <c r="D7899" s="0" t="s">
        <v>2471</v>
      </c>
      <c r="E7899" s="0" t="n">
        <v>1608</v>
      </c>
      <c r="F7899" s="0" t="s">
        <v>240</v>
      </c>
      <c r="I7899" s="0" t="n">
        <v>1724730</v>
      </c>
      <c r="J7899" s="0" t="n">
        <v>27141</v>
      </c>
      <c r="K7899" s="0" t="n">
        <v>7899916900329</v>
      </c>
      <c r="L7899" s="0" t="s">
        <v>2647</v>
      </c>
      <c r="N7899" s="0" t="n">
        <v>3</v>
      </c>
      <c r="O7899" s="0" t="n">
        <v>17.79</v>
      </c>
      <c r="P7899" s="0" t="s">
        <v>2444</v>
      </c>
    </row>
    <row r="7900" customFormat="false" ht="15" hidden="false" customHeight="true" outlineLevel="0" collapsed="false">
      <c r="A7900" s="0" t="n">
        <v>2</v>
      </c>
      <c r="B7900" s="71" t="n">
        <v>46269</v>
      </c>
      <c r="C7900" s="0" t="n">
        <v>11</v>
      </c>
      <c r="D7900" s="0" t="s">
        <v>2471</v>
      </c>
      <c r="E7900" s="0" t="n">
        <v>1608</v>
      </c>
      <c r="F7900" s="0" t="s">
        <v>240</v>
      </c>
      <c r="I7900" s="0" t="n">
        <v>1724730</v>
      </c>
      <c r="J7900" s="0" t="n">
        <v>28462</v>
      </c>
      <c r="K7900" s="0" t="n">
        <v>7891025121626</v>
      </c>
      <c r="L7900" s="0" t="s">
        <v>2985</v>
      </c>
      <c r="N7900" s="0" t="n">
        <v>4</v>
      </c>
      <c r="O7900" s="0" t="n">
        <v>30.04</v>
      </c>
      <c r="P7900" s="0" t="s">
        <v>2444</v>
      </c>
    </row>
    <row r="7901" customFormat="false" ht="15" hidden="false" customHeight="true" outlineLevel="0" collapsed="false">
      <c r="A7901" s="0" t="n">
        <v>2</v>
      </c>
      <c r="B7901" s="71" t="n">
        <v>46269</v>
      </c>
      <c r="C7901" s="0" t="n">
        <v>11</v>
      </c>
      <c r="D7901" s="0" t="s">
        <v>2471</v>
      </c>
      <c r="E7901" s="0" t="n">
        <v>1608</v>
      </c>
      <c r="F7901" s="0" t="s">
        <v>240</v>
      </c>
      <c r="I7901" s="0" t="n">
        <v>1724730</v>
      </c>
      <c r="J7901" s="0" t="n">
        <v>29168</v>
      </c>
      <c r="K7901" s="0" t="n">
        <v>7891025115649</v>
      </c>
      <c r="L7901" s="0" t="s">
        <v>5244</v>
      </c>
      <c r="N7901" s="0" t="n">
        <v>4</v>
      </c>
      <c r="O7901" s="0" t="n">
        <v>25.28</v>
      </c>
      <c r="P7901" s="0" t="s">
        <v>2444</v>
      </c>
    </row>
    <row r="7902" customFormat="false" ht="15" hidden="false" customHeight="true" outlineLevel="0" collapsed="false">
      <c r="A7902" s="0" t="n">
        <v>2</v>
      </c>
      <c r="B7902" s="71" t="n">
        <v>46269</v>
      </c>
      <c r="C7902" s="0" t="n">
        <v>11</v>
      </c>
      <c r="D7902" s="0" t="s">
        <v>2471</v>
      </c>
      <c r="E7902" s="0" t="n">
        <v>1608</v>
      </c>
      <c r="F7902" s="0" t="s">
        <v>240</v>
      </c>
      <c r="I7902" s="0" t="n">
        <v>1724730</v>
      </c>
      <c r="J7902" s="0" t="n">
        <v>29169</v>
      </c>
      <c r="K7902" s="0" t="n">
        <v>7891025115656</v>
      </c>
      <c r="L7902" s="0" t="s">
        <v>2518</v>
      </c>
      <c r="N7902" s="0" t="n">
        <v>6</v>
      </c>
      <c r="O7902" s="0" t="n">
        <v>37.92</v>
      </c>
      <c r="P7902" s="0" t="s">
        <v>2444</v>
      </c>
    </row>
    <row r="7903" customFormat="false" ht="15" hidden="false" customHeight="true" outlineLevel="0" collapsed="false">
      <c r="A7903" s="0" t="n">
        <v>2</v>
      </c>
      <c r="B7903" s="71" t="n">
        <v>46269</v>
      </c>
      <c r="C7903" s="0" t="n">
        <v>11</v>
      </c>
      <c r="D7903" s="0" t="s">
        <v>2471</v>
      </c>
      <c r="E7903" s="0" t="n">
        <v>1608</v>
      </c>
      <c r="F7903" s="0" t="s">
        <v>240</v>
      </c>
      <c r="I7903" s="0" t="n">
        <v>1724730</v>
      </c>
      <c r="J7903" s="0" t="n">
        <v>29787</v>
      </c>
      <c r="K7903" s="0" t="n">
        <v>7891025115595</v>
      </c>
      <c r="L7903" s="0" t="s">
        <v>3880</v>
      </c>
      <c r="N7903" s="0" t="n">
        <v>1</v>
      </c>
      <c r="O7903" s="0" t="n">
        <v>8.88</v>
      </c>
      <c r="P7903" s="0" t="s">
        <v>2444</v>
      </c>
    </row>
    <row r="7904" customFormat="false" ht="15" hidden="false" customHeight="true" outlineLevel="0" collapsed="false">
      <c r="A7904" s="0" t="n">
        <v>2</v>
      </c>
      <c r="B7904" s="71" t="n">
        <v>46269</v>
      </c>
      <c r="C7904" s="0" t="n">
        <v>11</v>
      </c>
      <c r="D7904" s="0" t="s">
        <v>2471</v>
      </c>
      <c r="E7904" s="0" t="n">
        <v>1608</v>
      </c>
      <c r="F7904" s="0" t="s">
        <v>240</v>
      </c>
      <c r="I7904" s="0" t="n">
        <v>1724730</v>
      </c>
      <c r="J7904" s="0" t="n">
        <v>31497</v>
      </c>
      <c r="K7904" s="0" t="n">
        <v>7891025117773</v>
      </c>
      <c r="L7904" s="0" t="s">
        <v>2520</v>
      </c>
      <c r="N7904" s="0" t="n">
        <v>2</v>
      </c>
      <c r="O7904" s="0" t="n">
        <v>10.92</v>
      </c>
      <c r="P7904" s="0" t="s">
        <v>2444</v>
      </c>
    </row>
    <row r="7905" customFormat="false" ht="15" hidden="false" customHeight="true" outlineLevel="0" collapsed="false">
      <c r="A7905" s="0" t="n">
        <v>2</v>
      </c>
      <c r="B7905" s="71" t="n">
        <v>46269</v>
      </c>
      <c r="C7905" s="0" t="n">
        <v>11</v>
      </c>
      <c r="D7905" s="0" t="s">
        <v>2471</v>
      </c>
      <c r="E7905" s="0" t="n">
        <v>1608</v>
      </c>
      <c r="F7905" s="0" t="s">
        <v>240</v>
      </c>
      <c r="I7905" s="0" t="n">
        <v>1724730</v>
      </c>
      <c r="J7905" s="0" t="n">
        <v>32614</v>
      </c>
      <c r="K7905" s="0" t="n">
        <v>7891025119456</v>
      </c>
      <c r="L7905" s="0" t="s">
        <v>2650</v>
      </c>
      <c r="N7905" s="0" t="n">
        <v>6</v>
      </c>
      <c r="O7905" s="0" t="n">
        <v>18.84</v>
      </c>
      <c r="P7905" s="0" t="s">
        <v>2444</v>
      </c>
    </row>
    <row r="7906" customFormat="false" ht="15" hidden="false" customHeight="true" outlineLevel="0" collapsed="false">
      <c r="A7906" s="0" t="n">
        <v>2</v>
      </c>
      <c r="B7906" s="71" t="n">
        <v>46269</v>
      </c>
      <c r="C7906" s="0" t="n">
        <v>11</v>
      </c>
      <c r="D7906" s="0" t="s">
        <v>2471</v>
      </c>
      <c r="E7906" s="0" t="n">
        <v>1608</v>
      </c>
      <c r="F7906" s="0" t="s">
        <v>240</v>
      </c>
      <c r="I7906" s="0" t="n">
        <v>1724730</v>
      </c>
      <c r="J7906" s="0" t="n">
        <v>35359</v>
      </c>
      <c r="K7906" s="0" t="n">
        <v>7891025119869</v>
      </c>
      <c r="L7906" s="0" t="s">
        <v>2651</v>
      </c>
      <c r="N7906" s="0" t="n">
        <v>4</v>
      </c>
      <c r="O7906" s="0" t="n">
        <v>51.24</v>
      </c>
      <c r="P7906" s="0" t="s">
        <v>2444</v>
      </c>
    </row>
    <row r="7907" customFormat="false" ht="15" hidden="false" customHeight="true" outlineLevel="0" collapsed="false">
      <c r="A7907" s="0" t="n">
        <v>2</v>
      </c>
      <c r="B7907" s="71" t="n">
        <v>46269</v>
      </c>
      <c r="C7907" s="0" t="n">
        <v>11</v>
      </c>
      <c r="D7907" s="0" t="s">
        <v>2471</v>
      </c>
      <c r="E7907" s="0" t="n">
        <v>1608</v>
      </c>
      <c r="F7907" s="0" t="s">
        <v>240</v>
      </c>
      <c r="I7907" s="0" t="n">
        <v>1724730</v>
      </c>
      <c r="J7907" s="0" t="n">
        <v>35395</v>
      </c>
      <c r="K7907" s="0" t="n">
        <v>7891025119852</v>
      </c>
      <c r="L7907" s="0" t="s">
        <v>2987</v>
      </c>
      <c r="N7907" s="0" t="n">
        <v>2</v>
      </c>
      <c r="O7907" s="0" t="n">
        <v>25.62</v>
      </c>
      <c r="P7907" s="0" t="s">
        <v>2444</v>
      </c>
    </row>
    <row r="7908" customFormat="false" ht="15" hidden="false" customHeight="true" outlineLevel="0" collapsed="false">
      <c r="A7908" s="0" t="n">
        <v>2</v>
      </c>
      <c r="B7908" s="71" t="n">
        <v>46269</v>
      </c>
      <c r="C7908" s="0" t="n">
        <v>11</v>
      </c>
      <c r="D7908" s="0" t="s">
        <v>2471</v>
      </c>
      <c r="E7908" s="0" t="n">
        <v>1608</v>
      </c>
      <c r="F7908" s="0" t="s">
        <v>240</v>
      </c>
      <c r="I7908" s="0" t="n">
        <v>1724730</v>
      </c>
      <c r="J7908" s="0" t="n">
        <v>35842</v>
      </c>
      <c r="K7908" s="0" t="n">
        <v>7891025120230</v>
      </c>
      <c r="L7908" s="0" t="s">
        <v>2522</v>
      </c>
      <c r="N7908" s="0" t="n">
        <v>6</v>
      </c>
      <c r="O7908" s="0" t="n">
        <v>22.8</v>
      </c>
      <c r="P7908" s="0" t="s">
        <v>2444</v>
      </c>
    </row>
    <row r="7909" customFormat="false" ht="15" hidden="false" customHeight="true" outlineLevel="0" collapsed="false">
      <c r="A7909" s="0" t="n">
        <v>2</v>
      </c>
      <c r="B7909" s="71" t="n">
        <v>46269</v>
      </c>
      <c r="C7909" s="0" t="n">
        <v>11</v>
      </c>
      <c r="D7909" s="0" t="s">
        <v>2471</v>
      </c>
      <c r="E7909" s="0" t="n">
        <v>1608</v>
      </c>
      <c r="F7909" s="0" t="s">
        <v>240</v>
      </c>
      <c r="I7909" s="0" t="n">
        <v>1724730</v>
      </c>
      <c r="J7909" s="0" t="n">
        <v>37558</v>
      </c>
      <c r="K7909" s="0" t="n">
        <v>7891025101376</v>
      </c>
      <c r="L7909" s="0" t="s">
        <v>2652</v>
      </c>
      <c r="N7909" s="0" t="n">
        <v>6</v>
      </c>
      <c r="O7909" s="0" t="n">
        <v>19.86</v>
      </c>
      <c r="P7909" s="0" t="s">
        <v>2444</v>
      </c>
    </row>
    <row r="7910" customFormat="false" ht="15" hidden="false" customHeight="true" outlineLevel="0" collapsed="false">
      <c r="A7910" s="0" t="n">
        <v>2</v>
      </c>
      <c r="B7910" s="71" t="n">
        <v>46269</v>
      </c>
      <c r="C7910" s="0" t="n">
        <v>11</v>
      </c>
      <c r="D7910" s="0" t="s">
        <v>2471</v>
      </c>
      <c r="E7910" s="0" t="n">
        <v>1608</v>
      </c>
      <c r="F7910" s="0" t="s">
        <v>240</v>
      </c>
      <c r="I7910" s="0" t="n">
        <v>1724730</v>
      </c>
      <c r="J7910" s="0" t="n">
        <v>37980</v>
      </c>
      <c r="K7910" s="0" t="n">
        <v>7891025121640</v>
      </c>
      <c r="L7910" s="0" t="s">
        <v>2989</v>
      </c>
      <c r="N7910" s="0" t="n">
        <v>4</v>
      </c>
      <c r="O7910" s="0" t="n">
        <v>29.44</v>
      </c>
      <c r="P7910" s="0" t="s">
        <v>2444</v>
      </c>
    </row>
    <row r="7911" customFormat="false" ht="15" hidden="false" customHeight="true" outlineLevel="0" collapsed="false">
      <c r="A7911" s="0" t="n">
        <v>2</v>
      </c>
      <c r="B7911" s="71" t="n">
        <v>46269</v>
      </c>
      <c r="C7911" s="0" t="n">
        <v>11</v>
      </c>
      <c r="D7911" s="0" t="s">
        <v>2471</v>
      </c>
      <c r="E7911" s="0" t="n">
        <v>1608</v>
      </c>
      <c r="F7911" s="0" t="s">
        <v>240</v>
      </c>
      <c r="I7911" s="0" t="n">
        <v>1724730</v>
      </c>
      <c r="J7911" s="0" t="n">
        <v>48139</v>
      </c>
      <c r="K7911" s="0" t="n">
        <v>7891025122067</v>
      </c>
      <c r="L7911" s="0" t="s">
        <v>2524</v>
      </c>
      <c r="N7911" s="0" t="n">
        <v>6</v>
      </c>
      <c r="O7911" s="0" t="n">
        <v>37.92</v>
      </c>
      <c r="P7911" s="0" t="s">
        <v>2444</v>
      </c>
    </row>
    <row r="7912" customFormat="false" ht="15" hidden="false" customHeight="true" outlineLevel="0" collapsed="false">
      <c r="A7912" s="0" t="n">
        <v>2</v>
      </c>
      <c r="B7912" s="71" t="n">
        <v>46269</v>
      </c>
      <c r="C7912" s="0" t="n">
        <v>11</v>
      </c>
      <c r="D7912" s="0" t="s">
        <v>2471</v>
      </c>
      <c r="E7912" s="0" t="n">
        <v>1608</v>
      </c>
      <c r="F7912" s="0" t="s">
        <v>240</v>
      </c>
      <c r="I7912" s="0" t="n">
        <v>1724730</v>
      </c>
      <c r="J7912" s="0" t="n">
        <v>50664</v>
      </c>
      <c r="K7912" s="0" t="n">
        <v>7891025123064</v>
      </c>
      <c r="L7912" s="0" t="s">
        <v>3881</v>
      </c>
      <c r="N7912" s="0" t="n">
        <v>6</v>
      </c>
      <c r="O7912" s="0" t="n">
        <v>15.78</v>
      </c>
      <c r="P7912" s="0" t="s">
        <v>2444</v>
      </c>
    </row>
    <row r="7913" customFormat="false" ht="15" hidden="false" customHeight="true" outlineLevel="0" collapsed="false">
      <c r="A7913" s="0" t="n">
        <v>2</v>
      </c>
      <c r="B7913" s="71" t="n">
        <v>46269</v>
      </c>
      <c r="C7913" s="0" t="n">
        <v>11</v>
      </c>
      <c r="D7913" s="0" t="s">
        <v>2471</v>
      </c>
      <c r="E7913" s="0" t="n">
        <v>1608</v>
      </c>
      <c r="F7913" s="0" t="s">
        <v>240</v>
      </c>
      <c r="I7913" s="0" t="n">
        <v>1724730</v>
      </c>
      <c r="J7913" s="0" t="n">
        <v>55693</v>
      </c>
      <c r="K7913" s="0" t="n">
        <v>7891025124177</v>
      </c>
      <c r="L7913" s="0" t="s">
        <v>2991</v>
      </c>
      <c r="N7913" s="0" t="n">
        <v>2</v>
      </c>
      <c r="O7913" s="0" t="n">
        <v>28.38</v>
      </c>
      <c r="P7913" s="0" t="s">
        <v>2444</v>
      </c>
    </row>
    <row r="7914" customFormat="false" ht="15" hidden="false" customHeight="true" outlineLevel="0" collapsed="false">
      <c r="A7914" s="0" t="n">
        <v>2</v>
      </c>
      <c r="B7914" s="71" t="n">
        <v>46269</v>
      </c>
      <c r="C7914" s="0" t="n">
        <v>11</v>
      </c>
      <c r="D7914" s="0" t="s">
        <v>2471</v>
      </c>
      <c r="E7914" s="0" t="n">
        <v>1608</v>
      </c>
      <c r="F7914" s="0" t="s">
        <v>240</v>
      </c>
      <c r="I7914" s="0" t="n">
        <v>1724730</v>
      </c>
      <c r="J7914" s="0" t="n">
        <v>59361</v>
      </c>
      <c r="K7914" s="0" t="n">
        <v>7891025124252</v>
      </c>
      <c r="L7914" s="0" t="s">
        <v>5245</v>
      </c>
      <c r="N7914" s="0" t="n">
        <v>4</v>
      </c>
      <c r="O7914" s="0" t="n">
        <v>26.44</v>
      </c>
      <c r="P7914" s="0" t="s">
        <v>2444</v>
      </c>
    </row>
    <row r="7915" customFormat="false" ht="15" hidden="false" customHeight="true" outlineLevel="0" collapsed="false">
      <c r="A7915" s="0" t="n">
        <v>2</v>
      </c>
      <c r="B7915" s="71" t="n">
        <v>46269</v>
      </c>
      <c r="C7915" s="0" t="n">
        <v>11</v>
      </c>
      <c r="D7915" s="0" t="s">
        <v>2471</v>
      </c>
      <c r="E7915" s="0" t="n">
        <v>1608</v>
      </c>
      <c r="F7915" s="0" t="s">
        <v>240</v>
      </c>
      <c r="I7915" s="0" t="n">
        <v>1724730</v>
      </c>
      <c r="J7915" s="0" t="n">
        <v>59856</v>
      </c>
      <c r="K7915" s="0" t="n">
        <v>7891025124269</v>
      </c>
      <c r="L7915" s="0" t="s">
        <v>5246</v>
      </c>
      <c r="N7915" s="0" t="n">
        <v>4</v>
      </c>
      <c r="O7915" s="0" t="n">
        <v>26.44</v>
      </c>
      <c r="P7915" s="0" t="s">
        <v>2444</v>
      </c>
    </row>
    <row r="7916" customFormat="false" ht="15" hidden="false" customHeight="true" outlineLevel="0" collapsed="false">
      <c r="A7916" s="0" t="n">
        <v>2</v>
      </c>
      <c r="B7916" s="71" t="n">
        <v>46269</v>
      </c>
      <c r="C7916" s="0" t="n">
        <v>11</v>
      </c>
      <c r="D7916" s="0" t="s">
        <v>2471</v>
      </c>
      <c r="E7916" s="0" t="n">
        <v>1608</v>
      </c>
      <c r="F7916" s="0" t="s">
        <v>240</v>
      </c>
      <c r="I7916" s="0" t="n">
        <v>1724730</v>
      </c>
      <c r="J7916" s="0" t="n">
        <v>65126</v>
      </c>
      <c r="K7916" s="0" t="n">
        <v>7891025124627</v>
      </c>
      <c r="L7916" s="0" t="s">
        <v>3882</v>
      </c>
      <c r="N7916" s="0" t="n">
        <v>4</v>
      </c>
      <c r="O7916" s="0" t="n">
        <v>25.28</v>
      </c>
      <c r="P7916" s="0" t="s">
        <v>2444</v>
      </c>
    </row>
    <row r="7917" customFormat="false" ht="15" hidden="false" customHeight="true" outlineLevel="0" collapsed="false">
      <c r="A7917" s="0" t="n">
        <v>2</v>
      </c>
      <c r="B7917" s="71" t="n">
        <v>46269</v>
      </c>
      <c r="C7917" s="0" t="n">
        <v>11</v>
      </c>
      <c r="D7917" s="0" t="s">
        <v>2471</v>
      </c>
      <c r="E7917" s="0" t="n">
        <v>1608</v>
      </c>
      <c r="F7917" s="0" t="s">
        <v>240</v>
      </c>
      <c r="I7917" s="0" t="n">
        <v>1724730</v>
      </c>
      <c r="J7917" s="0" t="n">
        <v>69612</v>
      </c>
      <c r="K7917" s="0" t="n">
        <v>7891025123453</v>
      </c>
      <c r="L7917" s="0" t="s">
        <v>2525</v>
      </c>
      <c r="N7917" s="0" t="n">
        <v>2</v>
      </c>
      <c r="O7917" s="0" t="n">
        <v>25.32</v>
      </c>
      <c r="P7917" s="0" t="s">
        <v>2444</v>
      </c>
    </row>
    <row r="7918" customFormat="false" ht="15" hidden="false" customHeight="true" outlineLevel="0" collapsed="false">
      <c r="A7918" s="0" t="n">
        <v>2</v>
      </c>
      <c r="B7918" s="71" t="n">
        <v>46269</v>
      </c>
      <c r="C7918" s="0" t="n">
        <v>11</v>
      </c>
      <c r="D7918" s="0" t="s">
        <v>2471</v>
      </c>
      <c r="E7918" s="0" t="n">
        <v>1608</v>
      </c>
      <c r="F7918" s="0" t="s">
        <v>240</v>
      </c>
      <c r="I7918" s="0" t="n">
        <v>1724730</v>
      </c>
      <c r="J7918" s="0" t="n">
        <v>69613</v>
      </c>
      <c r="K7918" s="0" t="n">
        <v>7891025123460</v>
      </c>
      <c r="L7918" s="0" t="s">
        <v>2526</v>
      </c>
      <c r="N7918" s="0" t="n">
        <v>1</v>
      </c>
      <c r="O7918" s="0" t="n">
        <v>12.66</v>
      </c>
      <c r="P7918" s="0" t="s">
        <v>2444</v>
      </c>
    </row>
    <row r="7919" customFormat="false" ht="15" hidden="false" customHeight="true" outlineLevel="0" collapsed="false">
      <c r="A7919" s="0" t="n">
        <v>2</v>
      </c>
      <c r="B7919" s="71" t="n">
        <v>46269</v>
      </c>
      <c r="C7919" s="0" t="n">
        <v>11</v>
      </c>
      <c r="D7919" s="0" t="s">
        <v>2471</v>
      </c>
      <c r="E7919" s="0" t="n">
        <v>1608</v>
      </c>
      <c r="F7919" s="0" t="s">
        <v>240</v>
      </c>
      <c r="I7919" s="0" t="n">
        <v>1724730</v>
      </c>
      <c r="J7919" s="0" t="n">
        <v>80307</v>
      </c>
      <c r="K7919" s="0" t="n">
        <v>7891025125372</v>
      </c>
      <c r="L7919" s="0" t="s">
        <v>2992</v>
      </c>
      <c r="N7919" s="0" t="n">
        <v>2</v>
      </c>
      <c r="O7919" s="0" t="n">
        <v>31.74</v>
      </c>
      <c r="P7919" s="0" t="s">
        <v>2444</v>
      </c>
    </row>
    <row r="7920" customFormat="false" ht="15" hidden="false" customHeight="true" outlineLevel="0" collapsed="false">
      <c r="A7920" s="0" t="n">
        <v>2</v>
      </c>
      <c r="B7920" s="71" t="n">
        <v>46269</v>
      </c>
      <c r="C7920" s="0" t="n">
        <v>11</v>
      </c>
      <c r="D7920" s="0" t="s">
        <v>2471</v>
      </c>
      <c r="E7920" s="0" t="n">
        <v>1608</v>
      </c>
      <c r="F7920" s="0" t="s">
        <v>240</v>
      </c>
      <c r="I7920" s="0" t="n">
        <v>1724730</v>
      </c>
      <c r="J7920" s="0" t="n">
        <v>80681</v>
      </c>
      <c r="K7920" s="0" t="n">
        <v>7891025125495</v>
      </c>
      <c r="L7920" s="0" t="s">
        <v>2532</v>
      </c>
      <c r="N7920" s="0" t="n">
        <v>2</v>
      </c>
      <c r="O7920" s="0" t="n">
        <v>5.68</v>
      </c>
      <c r="P7920" s="0" t="s">
        <v>2444</v>
      </c>
    </row>
    <row r="7921" customFormat="false" ht="15" hidden="false" customHeight="true" outlineLevel="0" collapsed="false">
      <c r="A7921" s="0" t="n">
        <v>2</v>
      </c>
      <c r="B7921" s="71" t="n">
        <v>46269</v>
      </c>
      <c r="C7921" s="0" t="n">
        <v>11</v>
      </c>
      <c r="D7921" s="0" t="s">
        <v>2471</v>
      </c>
      <c r="E7921" s="0" t="n">
        <v>1608</v>
      </c>
      <c r="F7921" s="0" t="s">
        <v>240</v>
      </c>
      <c r="I7921" s="0" t="n">
        <v>1724730</v>
      </c>
      <c r="J7921" s="0" t="n">
        <v>82275</v>
      </c>
      <c r="K7921" s="0" t="n">
        <v>7899916920624</v>
      </c>
      <c r="L7921" s="0" t="s">
        <v>5247</v>
      </c>
      <c r="N7921" s="0" t="n">
        <v>3</v>
      </c>
      <c r="O7921" s="0" t="n">
        <v>12.84</v>
      </c>
      <c r="P7921" s="0" t="s">
        <v>2444</v>
      </c>
    </row>
    <row r="7922" customFormat="false" ht="15" hidden="false" customHeight="true" outlineLevel="0" collapsed="false">
      <c r="A7922" s="0" t="n">
        <v>2</v>
      </c>
      <c r="B7922" s="71" t="n">
        <v>46269</v>
      </c>
      <c r="C7922" s="0" t="n">
        <v>31</v>
      </c>
      <c r="D7922" s="0" t="s">
        <v>5068</v>
      </c>
      <c r="E7922" s="0" t="n">
        <v>48</v>
      </c>
      <c r="F7922" s="0" t="s">
        <v>153</v>
      </c>
      <c r="I7922" s="0" t="n">
        <v>2655</v>
      </c>
      <c r="J7922" s="0" t="n">
        <v>100101</v>
      </c>
      <c r="K7922" s="0" t="n">
        <v>102</v>
      </c>
      <c r="L7922" s="0" t="s">
        <v>5069</v>
      </c>
      <c r="N7922" s="0" t="n">
        <v>0.045</v>
      </c>
      <c r="O7922" s="0" t="n">
        <v>1.8</v>
      </c>
      <c r="P7922" s="0" t="s">
        <v>2444</v>
      </c>
    </row>
    <row r="7923" customFormat="false" ht="15" hidden="false" customHeight="true" outlineLevel="0" collapsed="false">
      <c r="A7923" s="0" t="n">
        <v>2</v>
      </c>
      <c r="B7923" s="71" t="n">
        <v>46269</v>
      </c>
      <c r="C7923" s="0" t="n">
        <v>31</v>
      </c>
      <c r="D7923" s="0" t="s">
        <v>5068</v>
      </c>
      <c r="E7923" s="0" t="n">
        <v>48</v>
      </c>
      <c r="F7923" s="0" t="s">
        <v>153</v>
      </c>
      <c r="I7923" s="0" t="n">
        <v>2655</v>
      </c>
      <c r="J7923" s="0" t="n">
        <v>102265</v>
      </c>
      <c r="K7923" s="0" t="n">
        <v>7896007811021</v>
      </c>
      <c r="L7923" s="0" t="s">
        <v>5248</v>
      </c>
      <c r="N7923" s="0" t="n">
        <v>1</v>
      </c>
      <c r="O7923" s="0" t="n">
        <v>3.5</v>
      </c>
      <c r="P7923" s="0" t="s">
        <v>2444</v>
      </c>
    </row>
    <row r="7924" customFormat="false" ht="15" hidden="false" customHeight="true" outlineLevel="0" collapsed="false">
      <c r="A7924" s="0" t="n">
        <v>2</v>
      </c>
      <c r="B7924" s="71" t="n">
        <v>46269</v>
      </c>
      <c r="C7924" s="0" t="n">
        <v>31</v>
      </c>
      <c r="D7924" s="0" t="s">
        <v>5068</v>
      </c>
      <c r="E7924" s="0" t="n">
        <v>48</v>
      </c>
      <c r="F7924" s="0" t="s">
        <v>153</v>
      </c>
      <c r="I7924" s="0" t="n">
        <v>2655</v>
      </c>
      <c r="J7924" s="0" t="n">
        <v>21426</v>
      </c>
      <c r="K7924" s="0" t="n">
        <v>7894900014211</v>
      </c>
      <c r="L7924" s="0" t="s">
        <v>2470</v>
      </c>
      <c r="N7924" s="0" t="n">
        <v>1</v>
      </c>
      <c r="O7924" s="0" t="n">
        <v>7.99</v>
      </c>
      <c r="P7924" s="0" t="s">
        <v>2444</v>
      </c>
    </row>
    <row r="7925" customFormat="false" ht="15" hidden="false" customHeight="true" outlineLevel="0" collapsed="false">
      <c r="A7925" s="0" t="n">
        <v>2</v>
      </c>
      <c r="B7925" s="71" t="n">
        <v>46269</v>
      </c>
      <c r="C7925" s="0" t="n">
        <v>31</v>
      </c>
      <c r="D7925" s="0" t="s">
        <v>5068</v>
      </c>
      <c r="E7925" s="0" t="n">
        <v>48</v>
      </c>
      <c r="F7925" s="0" t="s">
        <v>153</v>
      </c>
      <c r="I7925" s="0" t="n">
        <v>2655</v>
      </c>
      <c r="J7925" s="0" t="n">
        <v>21806</v>
      </c>
      <c r="K7925" s="0" t="n">
        <v>7896098900208</v>
      </c>
      <c r="L7925" s="0" t="s">
        <v>5249</v>
      </c>
      <c r="N7925" s="0" t="n">
        <v>1</v>
      </c>
      <c r="O7925" s="0" t="n">
        <v>2.99</v>
      </c>
      <c r="P7925" s="0" t="s">
        <v>2444</v>
      </c>
    </row>
    <row r="7926" customFormat="false" ht="15" hidden="false" customHeight="true" outlineLevel="0" collapsed="false">
      <c r="A7926" s="0" t="n">
        <v>2</v>
      </c>
      <c r="B7926" s="71" t="n">
        <v>46270</v>
      </c>
      <c r="C7926" s="0" t="n">
        <v>11</v>
      </c>
      <c r="D7926" s="0" t="s">
        <v>2471</v>
      </c>
      <c r="E7926" s="0" t="n">
        <v>10096</v>
      </c>
      <c r="F7926" s="0" t="s">
        <v>622</v>
      </c>
      <c r="I7926" s="0" t="n">
        <v>256</v>
      </c>
      <c r="J7926" s="0" t="n">
        <v>61580</v>
      </c>
      <c r="K7926" s="0" t="n">
        <v>2258157</v>
      </c>
      <c r="L7926" s="0" t="s">
        <v>2509</v>
      </c>
      <c r="N7926" s="0" t="n">
        <v>15</v>
      </c>
      <c r="O7926" s="0" t="n">
        <v>180</v>
      </c>
      <c r="P7926" s="0" t="s">
        <v>2444</v>
      </c>
    </row>
    <row r="7927" customFormat="false" ht="15" hidden="false" customHeight="true" outlineLevel="0" collapsed="false">
      <c r="A7927" s="0" t="n">
        <v>2</v>
      </c>
      <c r="B7927" s="71" t="n">
        <v>46270</v>
      </c>
      <c r="C7927" s="0" t="n">
        <v>11</v>
      </c>
      <c r="D7927" s="0" t="s">
        <v>2471</v>
      </c>
      <c r="E7927" s="0" t="n">
        <v>10096</v>
      </c>
      <c r="F7927" s="0" t="s">
        <v>622</v>
      </c>
      <c r="I7927" s="0" t="n">
        <v>256</v>
      </c>
      <c r="J7927" s="0" t="n">
        <v>61597</v>
      </c>
      <c r="K7927" s="0" t="n">
        <v>2258188</v>
      </c>
      <c r="L7927" s="0" t="s">
        <v>2510</v>
      </c>
      <c r="N7927" s="0" t="n">
        <v>5</v>
      </c>
      <c r="O7927" s="0" t="n">
        <v>20</v>
      </c>
      <c r="P7927" s="0" t="s">
        <v>2444</v>
      </c>
    </row>
    <row r="7928" customFormat="false" ht="15" hidden="false" customHeight="true" outlineLevel="0" collapsed="false">
      <c r="A7928" s="0" t="n">
        <v>2</v>
      </c>
      <c r="B7928" s="71" t="n">
        <v>46273</v>
      </c>
      <c r="C7928" s="0" t="n">
        <v>6</v>
      </c>
      <c r="D7928" s="0" t="s">
        <v>2553</v>
      </c>
      <c r="E7928" s="0" t="n">
        <v>48</v>
      </c>
      <c r="F7928" s="0" t="s">
        <v>153</v>
      </c>
      <c r="I7928" s="0" t="n">
        <v>2660</v>
      </c>
      <c r="J7928" s="0" t="n">
        <v>42564</v>
      </c>
      <c r="K7928" s="0" t="n">
        <v>574</v>
      </c>
      <c r="L7928" s="0" t="s">
        <v>2534</v>
      </c>
      <c r="N7928" s="0" t="n">
        <v>20</v>
      </c>
      <c r="O7928" s="0" t="n">
        <v>300</v>
      </c>
      <c r="P7928" s="0" t="s">
        <v>2444</v>
      </c>
    </row>
    <row r="7929" customFormat="false" ht="15" hidden="false" customHeight="true" outlineLevel="0" collapsed="false">
      <c r="A7929" s="0" t="n">
        <v>2</v>
      </c>
      <c r="B7929" s="71" t="n">
        <v>46273</v>
      </c>
      <c r="C7929" s="0" t="n">
        <v>6</v>
      </c>
      <c r="D7929" s="0" t="s">
        <v>2553</v>
      </c>
      <c r="E7929" s="0" t="n">
        <v>48</v>
      </c>
      <c r="F7929" s="0" t="s">
        <v>153</v>
      </c>
      <c r="I7929" s="0" t="n">
        <v>2661</v>
      </c>
      <c r="J7929" s="0" t="n">
        <v>100062</v>
      </c>
      <c r="K7929" s="0" t="n">
        <v>63</v>
      </c>
      <c r="L7929" s="0" t="s">
        <v>2535</v>
      </c>
      <c r="N7929" s="0" t="n">
        <v>13</v>
      </c>
      <c r="O7929" s="0" t="n">
        <v>94</v>
      </c>
      <c r="P7929" s="0" t="s">
        <v>2444</v>
      </c>
    </row>
    <row r="7930" customFormat="false" ht="15" hidden="false" customHeight="true" outlineLevel="0" collapsed="false">
      <c r="A7930" s="0" t="n">
        <v>2</v>
      </c>
      <c r="B7930" s="71" t="n">
        <v>46273</v>
      </c>
      <c r="C7930" s="0" t="n">
        <v>6</v>
      </c>
      <c r="D7930" s="0" t="s">
        <v>2553</v>
      </c>
      <c r="E7930" s="0" t="n">
        <v>48</v>
      </c>
      <c r="F7930" s="0" t="s">
        <v>153</v>
      </c>
      <c r="I7930" s="0" t="n">
        <v>2661</v>
      </c>
      <c r="J7930" s="0" t="n">
        <v>100105</v>
      </c>
      <c r="K7930" s="0" t="n">
        <v>106</v>
      </c>
      <c r="L7930" s="0" t="s">
        <v>2536</v>
      </c>
      <c r="N7930" s="0" t="n">
        <v>24</v>
      </c>
      <c r="O7930" s="0" t="n">
        <v>120</v>
      </c>
      <c r="P7930" s="0" t="s">
        <v>2444</v>
      </c>
    </row>
    <row r="7931" customFormat="false" ht="15" hidden="false" customHeight="true" outlineLevel="0" collapsed="false">
      <c r="A7931" s="0" t="n">
        <v>2</v>
      </c>
      <c r="B7931" s="71" t="n">
        <v>46273</v>
      </c>
      <c r="C7931" s="0" t="n">
        <v>6</v>
      </c>
      <c r="D7931" s="0" t="s">
        <v>2553</v>
      </c>
      <c r="E7931" s="0" t="n">
        <v>48</v>
      </c>
      <c r="F7931" s="0" t="s">
        <v>153</v>
      </c>
      <c r="I7931" s="0" t="n">
        <v>2661</v>
      </c>
      <c r="J7931" s="0" t="n">
        <v>100109</v>
      </c>
      <c r="K7931" s="0" t="n">
        <v>110</v>
      </c>
      <c r="L7931" s="0" t="s">
        <v>2537</v>
      </c>
      <c r="N7931" s="0" t="n">
        <v>20</v>
      </c>
      <c r="O7931" s="0" t="n">
        <v>120</v>
      </c>
      <c r="P7931" s="0" t="s">
        <v>2444</v>
      </c>
    </row>
    <row r="7932" customFormat="false" ht="15" hidden="false" customHeight="true" outlineLevel="0" collapsed="false">
      <c r="A7932" s="0" t="n">
        <v>2</v>
      </c>
      <c r="B7932" s="71" t="n">
        <v>46273</v>
      </c>
      <c r="C7932" s="0" t="n">
        <v>6</v>
      </c>
      <c r="D7932" s="0" t="s">
        <v>2553</v>
      </c>
      <c r="E7932" s="0" t="n">
        <v>48</v>
      </c>
      <c r="F7932" s="0" t="s">
        <v>153</v>
      </c>
      <c r="I7932" s="0" t="n">
        <v>2661</v>
      </c>
      <c r="J7932" s="0" t="n">
        <v>100116</v>
      </c>
      <c r="K7932" s="0" t="n">
        <v>117</v>
      </c>
      <c r="L7932" s="0" t="s">
        <v>2540</v>
      </c>
      <c r="N7932" s="0" t="n">
        <v>1</v>
      </c>
      <c r="O7932" s="0" t="n">
        <v>13</v>
      </c>
      <c r="P7932" s="0" t="s">
        <v>2444</v>
      </c>
    </row>
    <row r="7933" customFormat="false" ht="15" hidden="false" customHeight="true" outlineLevel="0" collapsed="false">
      <c r="A7933" s="0" t="n">
        <v>2</v>
      </c>
      <c r="B7933" s="71" t="n">
        <v>46273</v>
      </c>
      <c r="C7933" s="0" t="n">
        <v>6</v>
      </c>
      <c r="D7933" s="0" t="s">
        <v>2553</v>
      </c>
      <c r="E7933" s="0" t="n">
        <v>48</v>
      </c>
      <c r="F7933" s="0" t="s">
        <v>153</v>
      </c>
      <c r="I7933" s="0" t="n">
        <v>2661</v>
      </c>
      <c r="J7933" s="0" t="n">
        <v>100118</v>
      </c>
      <c r="K7933" s="0" t="n">
        <v>119</v>
      </c>
      <c r="L7933" s="0" t="s">
        <v>2541</v>
      </c>
      <c r="N7933" s="0" t="n">
        <v>20</v>
      </c>
      <c r="O7933" s="0" t="n">
        <v>100</v>
      </c>
      <c r="P7933" s="0" t="s">
        <v>2444</v>
      </c>
    </row>
    <row r="7934" customFormat="false" ht="15" hidden="false" customHeight="true" outlineLevel="0" collapsed="false">
      <c r="A7934" s="0" t="n">
        <v>2</v>
      </c>
      <c r="B7934" s="71" t="n">
        <v>46273</v>
      </c>
      <c r="C7934" s="0" t="n">
        <v>6</v>
      </c>
      <c r="D7934" s="0" t="s">
        <v>2553</v>
      </c>
      <c r="E7934" s="0" t="n">
        <v>48</v>
      </c>
      <c r="F7934" s="0" t="s">
        <v>153</v>
      </c>
      <c r="I7934" s="0" t="n">
        <v>2661</v>
      </c>
      <c r="J7934" s="0" t="n">
        <v>100121</v>
      </c>
      <c r="K7934" s="0" t="n">
        <v>122</v>
      </c>
      <c r="L7934" s="0" t="s">
        <v>2542</v>
      </c>
      <c r="N7934" s="0" t="n">
        <v>8</v>
      </c>
      <c r="O7934" s="0" t="n">
        <v>112</v>
      </c>
      <c r="P7934" s="0" t="s">
        <v>2444</v>
      </c>
    </row>
    <row r="7935" customFormat="false" ht="15" hidden="false" customHeight="true" outlineLevel="0" collapsed="false">
      <c r="A7935" s="0" t="n">
        <v>2</v>
      </c>
      <c r="B7935" s="71" t="n">
        <v>46273</v>
      </c>
      <c r="C7935" s="0" t="n">
        <v>6</v>
      </c>
      <c r="D7935" s="0" t="s">
        <v>2553</v>
      </c>
      <c r="E7935" s="0" t="n">
        <v>48</v>
      </c>
      <c r="F7935" s="0" t="s">
        <v>153</v>
      </c>
      <c r="I7935" s="0" t="n">
        <v>2661</v>
      </c>
      <c r="J7935" s="0" t="n">
        <v>100122</v>
      </c>
      <c r="K7935" s="0" t="n">
        <v>123</v>
      </c>
      <c r="L7935" s="0" t="s">
        <v>2543</v>
      </c>
      <c r="N7935" s="0" t="n">
        <v>3</v>
      </c>
      <c r="O7935" s="0" t="n">
        <v>45</v>
      </c>
      <c r="P7935" s="0" t="s">
        <v>2444</v>
      </c>
    </row>
    <row r="7936" customFormat="false" ht="15" hidden="false" customHeight="true" outlineLevel="0" collapsed="false">
      <c r="A7936" s="0" t="n">
        <v>2</v>
      </c>
      <c r="B7936" s="71" t="n">
        <v>46273</v>
      </c>
      <c r="C7936" s="0" t="n">
        <v>6</v>
      </c>
      <c r="D7936" s="0" t="s">
        <v>2553</v>
      </c>
      <c r="E7936" s="0" t="n">
        <v>48</v>
      </c>
      <c r="F7936" s="0" t="s">
        <v>153</v>
      </c>
      <c r="I7936" s="0" t="n">
        <v>2661</v>
      </c>
      <c r="J7936" s="0" t="n">
        <v>100125</v>
      </c>
      <c r="K7936" s="0" t="n">
        <v>126</v>
      </c>
      <c r="L7936" s="0" t="s">
        <v>2597</v>
      </c>
      <c r="N7936" s="0" t="n">
        <v>20</v>
      </c>
      <c r="O7936" s="0" t="n">
        <v>150</v>
      </c>
      <c r="P7936" s="0" t="s">
        <v>2444</v>
      </c>
    </row>
    <row r="7937" customFormat="false" ht="15" hidden="false" customHeight="true" outlineLevel="0" collapsed="false">
      <c r="A7937" s="0" t="n">
        <v>2</v>
      </c>
      <c r="B7937" s="71" t="n">
        <v>46273</v>
      </c>
      <c r="C7937" s="0" t="n">
        <v>6</v>
      </c>
      <c r="D7937" s="0" t="s">
        <v>2553</v>
      </c>
      <c r="E7937" s="0" t="n">
        <v>48</v>
      </c>
      <c r="F7937" s="0" t="s">
        <v>153</v>
      </c>
      <c r="I7937" s="0" t="n">
        <v>2661</v>
      </c>
      <c r="J7937" s="0" t="n">
        <v>100130</v>
      </c>
      <c r="K7937" s="0" t="n">
        <v>131</v>
      </c>
      <c r="L7937" s="0" t="s">
        <v>2545</v>
      </c>
      <c r="N7937" s="0" t="n">
        <v>25</v>
      </c>
      <c r="O7937" s="0" t="n">
        <v>200</v>
      </c>
      <c r="P7937" s="0" t="s">
        <v>2444</v>
      </c>
    </row>
    <row r="7938" customFormat="false" ht="15" hidden="false" customHeight="true" outlineLevel="0" collapsed="false">
      <c r="A7938" s="0" t="n">
        <v>2</v>
      </c>
      <c r="B7938" s="71" t="n">
        <v>46273</v>
      </c>
      <c r="C7938" s="0" t="n">
        <v>6</v>
      </c>
      <c r="D7938" s="0" t="s">
        <v>2553</v>
      </c>
      <c r="E7938" s="0" t="n">
        <v>48</v>
      </c>
      <c r="F7938" s="0" t="s">
        <v>153</v>
      </c>
      <c r="I7938" s="0" t="n">
        <v>2661</v>
      </c>
      <c r="J7938" s="0" t="n">
        <v>100132</v>
      </c>
      <c r="K7938" s="0" t="n">
        <v>133</v>
      </c>
      <c r="L7938" s="0" t="s">
        <v>2546</v>
      </c>
      <c r="N7938" s="0" t="n">
        <v>49.83</v>
      </c>
      <c r="O7938" s="0" t="n">
        <v>150</v>
      </c>
      <c r="P7938" s="0" t="s">
        <v>2444</v>
      </c>
    </row>
    <row r="7939" customFormat="false" ht="15" hidden="false" customHeight="true" outlineLevel="0" collapsed="false">
      <c r="A7939" s="0" t="n">
        <v>2</v>
      </c>
      <c r="B7939" s="71" t="n">
        <v>46273</v>
      </c>
      <c r="C7939" s="0" t="n">
        <v>6</v>
      </c>
      <c r="D7939" s="0" t="s">
        <v>2553</v>
      </c>
      <c r="E7939" s="0" t="n">
        <v>48</v>
      </c>
      <c r="F7939" s="0" t="s">
        <v>153</v>
      </c>
      <c r="I7939" s="0" t="n">
        <v>2661</v>
      </c>
      <c r="J7939" s="0" t="n">
        <v>100133</v>
      </c>
      <c r="K7939" s="0" t="n">
        <v>134</v>
      </c>
      <c r="L7939" s="0" t="s">
        <v>2547</v>
      </c>
      <c r="N7939" s="0" t="n">
        <v>20</v>
      </c>
      <c r="O7939" s="0" t="n">
        <v>100</v>
      </c>
      <c r="P7939" s="0" t="s">
        <v>2444</v>
      </c>
    </row>
    <row r="7940" customFormat="false" ht="15" hidden="false" customHeight="true" outlineLevel="0" collapsed="false">
      <c r="A7940" s="0" t="n">
        <v>2</v>
      </c>
      <c r="B7940" s="71" t="n">
        <v>46273</v>
      </c>
      <c r="C7940" s="0" t="n">
        <v>6</v>
      </c>
      <c r="D7940" s="0" t="s">
        <v>2553</v>
      </c>
      <c r="E7940" s="0" t="n">
        <v>48</v>
      </c>
      <c r="F7940" s="0" t="s">
        <v>153</v>
      </c>
      <c r="I7940" s="0" t="n">
        <v>2661</v>
      </c>
      <c r="J7940" s="0" t="n">
        <v>100135</v>
      </c>
      <c r="K7940" s="0" t="n">
        <v>136</v>
      </c>
      <c r="L7940" s="0" t="s">
        <v>2599</v>
      </c>
      <c r="N7940" s="0" t="n">
        <v>13</v>
      </c>
      <c r="O7940" s="0" t="n">
        <v>101</v>
      </c>
      <c r="P7940" s="0" t="s">
        <v>2444</v>
      </c>
    </row>
    <row r="7941" customFormat="false" ht="15" hidden="false" customHeight="true" outlineLevel="0" collapsed="false">
      <c r="A7941" s="0" t="n">
        <v>2</v>
      </c>
      <c r="B7941" s="71" t="n">
        <v>46273</v>
      </c>
      <c r="C7941" s="0" t="n">
        <v>6</v>
      </c>
      <c r="D7941" s="0" t="s">
        <v>2553</v>
      </c>
      <c r="E7941" s="0" t="n">
        <v>48</v>
      </c>
      <c r="F7941" s="0" t="s">
        <v>153</v>
      </c>
      <c r="I7941" s="0" t="n">
        <v>2661</v>
      </c>
      <c r="J7941" s="0" t="n">
        <v>110374</v>
      </c>
      <c r="K7941" s="0" t="n">
        <v>48077</v>
      </c>
      <c r="L7941" s="0" t="s">
        <v>2696</v>
      </c>
      <c r="N7941" s="0" t="n">
        <v>4</v>
      </c>
      <c r="O7941" s="0" t="n">
        <v>32</v>
      </c>
      <c r="P7941" s="0" t="s">
        <v>2444</v>
      </c>
    </row>
    <row r="7942" customFormat="false" ht="15" hidden="false" customHeight="true" outlineLevel="0" collapsed="false">
      <c r="A7942" s="0" t="n">
        <v>2</v>
      </c>
      <c r="B7942" s="71" t="n">
        <v>46273</v>
      </c>
      <c r="C7942" s="0" t="n">
        <v>6</v>
      </c>
      <c r="D7942" s="0" t="s">
        <v>2553</v>
      </c>
      <c r="E7942" s="0" t="n">
        <v>48</v>
      </c>
      <c r="F7942" s="0" t="s">
        <v>153</v>
      </c>
      <c r="I7942" s="0" t="n">
        <v>2661</v>
      </c>
      <c r="J7942" s="0" t="n">
        <v>110489</v>
      </c>
      <c r="K7942" s="0" t="n">
        <v>54743</v>
      </c>
      <c r="L7942" s="0" t="s">
        <v>2550</v>
      </c>
      <c r="N7942" s="0" t="n">
        <v>40</v>
      </c>
      <c r="O7942" s="0" t="n">
        <v>270</v>
      </c>
      <c r="P7942" s="0" t="s">
        <v>2444</v>
      </c>
    </row>
    <row r="7943" customFormat="false" ht="15" hidden="false" customHeight="true" outlineLevel="0" collapsed="false">
      <c r="A7943" s="0" t="n">
        <v>2</v>
      </c>
      <c r="B7943" s="71" t="n">
        <v>46273</v>
      </c>
      <c r="C7943" s="0" t="n">
        <v>6</v>
      </c>
      <c r="D7943" s="0" t="s">
        <v>2553</v>
      </c>
      <c r="E7943" s="0" t="n">
        <v>48</v>
      </c>
      <c r="F7943" s="0" t="s">
        <v>153</v>
      </c>
      <c r="I7943" s="0" t="n">
        <v>2661</v>
      </c>
      <c r="J7943" s="0" t="n">
        <v>80078</v>
      </c>
      <c r="K7943" s="0" t="n">
        <v>710</v>
      </c>
      <c r="L7943" s="0" t="s">
        <v>2551</v>
      </c>
      <c r="N7943" s="0" t="n">
        <v>10</v>
      </c>
      <c r="O7943" s="0" t="n">
        <v>30</v>
      </c>
      <c r="P7943" s="0" t="s">
        <v>2444</v>
      </c>
    </row>
    <row r="7944" customFormat="false" ht="15" hidden="false" customHeight="true" outlineLevel="0" collapsed="false">
      <c r="A7944" s="0" t="n">
        <v>2</v>
      </c>
      <c r="B7944" s="71" t="n">
        <v>46273</v>
      </c>
      <c r="C7944" s="0" t="n">
        <v>11</v>
      </c>
      <c r="D7944" s="0" t="s">
        <v>2471</v>
      </c>
      <c r="E7944" s="0" t="n">
        <v>901</v>
      </c>
      <c r="F7944" s="0" t="s">
        <v>332</v>
      </c>
      <c r="I7944" s="0" t="n">
        <v>502</v>
      </c>
      <c r="J7944" s="0" t="n">
        <v>59105</v>
      </c>
      <c r="K7944" s="0" t="n">
        <v>2255903</v>
      </c>
      <c r="L7944" s="0" t="s">
        <v>3985</v>
      </c>
      <c r="N7944" s="0" t="n">
        <v>44</v>
      </c>
      <c r="O7944" s="0" t="n">
        <v>660</v>
      </c>
      <c r="P7944" s="0" t="s">
        <v>2444</v>
      </c>
    </row>
    <row r="7945" customFormat="false" ht="15" hidden="false" customHeight="true" outlineLevel="0" collapsed="false">
      <c r="A7945" s="0" t="n">
        <v>2</v>
      </c>
      <c r="B7945" s="71" t="n">
        <v>46273</v>
      </c>
      <c r="C7945" s="0" t="n">
        <v>11</v>
      </c>
      <c r="D7945" s="0" t="s">
        <v>2471</v>
      </c>
      <c r="E7945" s="0" t="n">
        <v>642</v>
      </c>
      <c r="F7945" s="0" t="s">
        <v>123</v>
      </c>
      <c r="I7945" s="0" t="n">
        <v>644</v>
      </c>
      <c r="J7945" s="0" t="n">
        <v>71766</v>
      </c>
      <c r="K7945" s="0" t="n">
        <v>779180</v>
      </c>
      <c r="L7945" s="0" t="s">
        <v>2501</v>
      </c>
      <c r="N7945" s="0" t="n">
        <v>11</v>
      </c>
      <c r="O7945" s="0" t="n">
        <v>132</v>
      </c>
      <c r="P7945" s="0" t="s">
        <v>2444</v>
      </c>
    </row>
    <row r="7946" customFormat="false" ht="15" hidden="false" customHeight="true" outlineLevel="0" collapsed="false">
      <c r="A7946" s="0" t="n">
        <v>2</v>
      </c>
      <c r="B7946" s="71" t="n">
        <v>46273</v>
      </c>
      <c r="C7946" s="0" t="n">
        <v>11</v>
      </c>
      <c r="D7946" s="0" t="s">
        <v>2471</v>
      </c>
      <c r="E7946" s="0" t="n">
        <v>1292</v>
      </c>
      <c r="F7946" s="0" t="s">
        <v>209</v>
      </c>
      <c r="I7946" s="0" t="n">
        <v>4007</v>
      </c>
      <c r="J7946" s="0" t="n">
        <v>58633</v>
      </c>
      <c r="K7946" s="0" t="n">
        <v>7891164025250</v>
      </c>
      <c r="L7946" s="0" t="s">
        <v>2448</v>
      </c>
      <c r="N7946" s="0" t="n">
        <v>50</v>
      </c>
      <c r="O7946" s="0" t="n">
        <v>449.5</v>
      </c>
      <c r="P7946" s="0" t="s">
        <v>2444</v>
      </c>
    </row>
    <row r="7947" customFormat="false" ht="15" hidden="false" customHeight="true" outlineLevel="0" collapsed="false">
      <c r="A7947" s="0" t="n">
        <v>2</v>
      </c>
      <c r="B7947" s="71" t="n">
        <v>46273</v>
      </c>
      <c r="C7947" s="0" t="n">
        <v>11</v>
      </c>
      <c r="D7947" s="0" t="s">
        <v>2471</v>
      </c>
      <c r="E7947" s="0" t="n">
        <v>1292</v>
      </c>
      <c r="F7947" s="0" t="s">
        <v>209</v>
      </c>
      <c r="I7947" s="0" t="n">
        <v>4007</v>
      </c>
      <c r="J7947" s="0" t="n">
        <v>82078</v>
      </c>
      <c r="K7947" s="0" t="n">
        <v>87946594534</v>
      </c>
      <c r="L7947" s="0" t="s">
        <v>4681</v>
      </c>
      <c r="N7947" s="0" t="n">
        <v>25</v>
      </c>
      <c r="O7947" s="0" t="n">
        <v>140</v>
      </c>
      <c r="P7947" s="0" t="s">
        <v>2444</v>
      </c>
    </row>
    <row r="7948" customFormat="false" ht="15" hidden="false" customHeight="true" outlineLevel="0" collapsed="false">
      <c r="A7948" s="0" t="n">
        <v>2</v>
      </c>
      <c r="B7948" s="71" t="n">
        <v>46273</v>
      </c>
      <c r="C7948" s="0" t="n">
        <v>11</v>
      </c>
      <c r="D7948" s="0" t="s">
        <v>2471</v>
      </c>
      <c r="E7948" s="0" t="n">
        <v>1625</v>
      </c>
      <c r="F7948" s="0" t="s">
        <v>270</v>
      </c>
      <c r="I7948" s="0" t="n">
        <v>15256</v>
      </c>
      <c r="J7948" s="0" t="n">
        <v>29079</v>
      </c>
      <c r="K7948" s="0" t="n">
        <v>55515</v>
      </c>
      <c r="L7948" s="0" t="s">
        <v>2449</v>
      </c>
      <c r="N7948" s="0" t="n">
        <v>74.8</v>
      </c>
      <c r="O7948" s="0" t="n">
        <v>2393.6</v>
      </c>
      <c r="P7948" s="0" t="s">
        <v>2444</v>
      </c>
    </row>
    <row r="7949" customFormat="false" ht="15" hidden="false" customHeight="true" outlineLevel="0" collapsed="false">
      <c r="A7949" s="0" t="n">
        <v>2</v>
      </c>
      <c r="B7949" s="71" t="n">
        <v>46273</v>
      </c>
      <c r="C7949" s="0" t="n">
        <v>11</v>
      </c>
      <c r="D7949" s="0" t="s">
        <v>2471</v>
      </c>
      <c r="E7949" s="0" t="n">
        <v>1625</v>
      </c>
      <c r="F7949" s="0" t="s">
        <v>270</v>
      </c>
      <c r="I7949" s="0" t="n">
        <v>15256</v>
      </c>
      <c r="J7949" s="0" t="n">
        <v>77455</v>
      </c>
      <c r="K7949" s="0" t="n">
        <v>774567</v>
      </c>
      <c r="L7949" s="0" t="s">
        <v>2624</v>
      </c>
      <c r="N7949" s="0" t="n">
        <v>30</v>
      </c>
      <c r="O7949" s="0" t="n">
        <v>960</v>
      </c>
      <c r="P7949" s="0" t="s">
        <v>2444</v>
      </c>
    </row>
    <row r="7950" customFormat="false" ht="15" hidden="false" customHeight="true" outlineLevel="0" collapsed="false">
      <c r="A7950" s="0" t="n">
        <v>2</v>
      </c>
      <c r="B7950" s="71" t="n">
        <v>46273</v>
      </c>
      <c r="C7950" s="0" t="n">
        <v>11</v>
      </c>
      <c r="D7950" s="0" t="s">
        <v>2471</v>
      </c>
      <c r="E7950" s="0" t="n">
        <v>1625</v>
      </c>
      <c r="F7950" s="0" t="s">
        <v>270</v>
      </c>
      <c r="I7950" s="0" t="n">
        <v>15256</v>
      </c>
      <c r="J7950" s="0" t="n">
        <v>77455</v>
      </c>
      <c r="K7950" s="0" t="n">
        <v>774567</v>
      </c>
      <c r="L7950" s="0" t="s">
        <v>2624</v>
      </c>
      <c r="N7950" s="0" t="n">
        <v>22</v>
      </c>
      <c r="O7950" s="0" t="n">
        <v>704</v>
      </c>
      <c r="P7950" s="0" t="s">
        <v>2444</v>
      </c>
    </row>
    <row r="7951" customFormat="false" ht="15" hidden="false" customHeight="true" outlineLevel="0" collapsed="false">
      <c r="A7951" s="0" t="n">
        <v>2</v>
      </c>
      <c r="B7951" s="71" t="n">
        <v>46273</v>
      </c>
      <c r="C7951" s="0" t="n">
        <v>11</v>
      </c>
      <c r="D7951" s="0" t="s">
        <v>2471</v>
      </c>
      <c r="E7951" s="0" t="n">
        <v>1625</v>
      </c>
      <c r="F7951" s="0" t="s">
        <v>270</v>
      </c>
      <c r="I7951" s="0" t="n">
        <v>15274</v>
      </c>
      <c r="J7951" s="0" t="n">
        <v>29080</v>
      </c>
      <c r="K7951" s="0" t="n">
        <v>55516</v>
      </c>
      <c r="L7951" s="0" t="s">
        <v>2450</v>
      </c>
      <c r="N7951" s="0" t="n">
        <v>66.4</v>
      </c>
      <c r="O7951" s="0" t="n">
        <v>1460.8</v>
      </c>
      <c r="P7951" s="0" t="s">
        <v>2444</v>
      </c>
    </row>
    <row r="7952" customFormat="false" ht="15" hidden="false" customHeight="true" outlineLevel="0" collapsed="false">
      <c r="A7952" s="0" t="n">
        <v>2</v>
      </c>
      <c r="B7952" s="71" t="n">
        <v>46273</v>
      </c>
      <c r="C7952" s="0" t="n">
        <v>11</v>
      </c>
      <c r="D7952" s="0" t="s">
        <v>2471</v>
      </c>
      <c r="E7952" s="0" t="n">
        <v>1695</v>
      </c>
      <c r="F7952" s="0" t="s">
        <v>390</v>
      </c>
      <c r="I7952" s="0" t="n">
        <v>20278</v>
      </c>
      <c r="J7952" s="0" t="n">
        <v>102287</v>
      </c>
      <c r="K7952" s="0" t="n">
        <v>7896593500026</v>
      </c>
      <c r="L7952" s="0" t="s">
        <v>3457</v>
      </c>
      <c r="N7952" s="0" t="n">
        <v>20</v>
      </c>
      <c r="O7952" s="0" t="n">
        <v>86.4</v>
      </c>
      <c r="P7952" s="0" t="s">
        <v>2444</v>
      </c>
    </row>
    <row r="7953" customFormat="false" ht="15" hidden="false" customHeight="true" outlineLevel="0" collapsed="false">
      <c r="A7953" s="0" t="n">
        <v>2</v>
      </c>
      <c r="B7953" s="71" t="n">
        <v>46273</v>
      </c>
      <c r="C7953" s="0" t="n">
        <v>11</v>
      </c>
      <c r="D7953" s="0" t="s">
        <v>2471</v>
      </c>
      <c r="E7953" s="0" t="n">
        <v>1695</v>
      </c>
      <c r="F7953" s="0" t="s">
        <v>390</v>
      </c>
      <c r="I7953" s="0" t="n">
        <v>20278</v>
      </c>
      <c r="J7953" s="0" t="n">
        <v>102408</v>
      </c>
      <c r="K7953" s="0" t="n">
        <v>7891515602918</v>
      </c>
      <c r="L7953" s="0" t="s">
        <v>2968</v>
      </c>
      <c r="N7953" s="0" t="n">
        <v>240</v>
      </c>
      <c r="O7953" s="0" t="n">
        <v>823.2</v>
      </c>
      <c r="P7953" s="0" t="s">
        <v>2444</v>
      </c>
    </row>
    <row r="7954" customFormat="false" ht="15" hidden="false" customHeight="true" outlineLevel="0" collapsed="false">
      <c r="A7954" s="0" t="n">
        <v>2</v>
      </c>
      <c r="B7954" s="71" t="n">
        <v>46273</v>
      </c>
      <c r="C7954" s="0" t="n">
        <v>11</v>
      </c>
      <c r="D7954" s="0" t="s">
        <v>2471</v>
      </c>
      <c r="E7954" s="0" t="n">
        <v>1695</v>
      </c>
      <c r="F7954" s="0" t="s">
        <v>390</v>
      </c>
      <c r="I7954" s="0" t="n">
        <v>20278</v>
      </c>
      <c r="J7954" s="0" t="n">
        <v>104029</v>
      </c>
      <c r="K7954" s="0" t="n">
        <v>7896045512317</v>
      </c>
      <c r="L7954" s="0" t="s">
        <v>3256</v>
      </c>
      <c r="N7954" s="0" t="n">
        <v>156</v>
      </c>
      <c r="O7954" s="0" t="n">
        <v>455.52</v>
      </c>
      <c r="P7954" s="0" t="s">
        <v>2444</v>
      </c>
    </row>
    <row r="7955" customFormat="false" ht="15" hidden="false" customHeight="true" outlineLevel="0" collapsed="false">
      <c r="A7955" s="0" t="n">
        <v>2</v>
      </c>
      <c r="B7955" s="71" t="n">
        <v>46273</v>
      </c>
      <c r="C7955" s="0" t="n">
        <v>11</v>
      </c>
      <c r="D7955" s="0" t="s">
        <v>2471</v>
      </c>
      <c r="E7955" s="0" t="n">
        <v>1695</v>
      </c>
      <c r="F7955" s="0" t="s">
        <v>390</v>
      </c>
      <c r="I7955" s="0" t="n">
        <v>20278</v>
      </c>
      <c r="J7955" s="0" t="n">
        <v>105388</v>
      </c>
      <c r="K7955" s="0" t="n">
        <v>7891167021013</v>
      </c>
      <c r="L7955" s="0" t="s">
        <v>3275</v>
      </c>
      <c r="N7955" s="0" t="n">
        <v>50</v>
      </c>
      <c r="O7955" s="0" t="n">
        <v>257.5</v>
      </c>
      <c r="P7955" s="0" t="s">
        <v>2444</v>
      </c>
    </row>
    <row r="7956" customFormat="false" ht="15" hidden="false" customHeight="true" outlineLevel="0" collapsed="false">
      <c r="A7956" s="0" t="n">
        <v>2</v>
      </c>
      <c r="B7956" s="71" t="n">
        <v>46273</v>
      </c>
      <c r="C7956" s="0" t="n">
        <v>11</v>
      </c>
      <c r="D7956" s="0" t="s">
        <v>2471</v>
      </c>
      <c r="E7956" s="0" t="n">
        <v>1695</v>
      </c>
      <c r="F7956" s="0" t="s">
        <v>390</v>
      </c>
      <c r="I7956" s="0" t="n">
        <v>20278</v>
      </c>
      <c r="J7956" s="0" t="n">
        <v>109988</v>
      </c>
      <c r="K7956" s="0" t="n">
        <v>7891167023017</v>
      </c>
      <c r="L7956" s="0" t="s">
        <v>5250</v>
      </c>
      <c r="N7956" s="0" t="n">
        <v>50</v>
      </c>
      <c r="O7956" s="0" t="n">
        <v>239.5</v>
      </c>
      <c r="P7956" s="0" t="s">
        <v>2444</v>
      </c>
    </row>
    <row r="7957" customFormat="false" ht="15" hidden="false" customHeight="true" outlineLevel="0" collapsed="false">
      <c r="A7957" s="0" t="n">
        <v>2</v>
      </c>
      <c r="B7957" s="71" t="n">
        <v>46273</v>
      </c>
      <c r="C7957" s="0" t="n">
        <v>11</v>
      </c>
      <c r="D7957" s="0" t="s">
        <v>2471</v>
      </c>
      <c r="E7957" s="0" t="n">
        <v>1695</v>
      </c>
      <c r="F7957" s="0" t="s">
        <v>390</v>
      </c>
      <c r="I7957" s="0" t="n">
        <v>20278</v>
      </c>
      <c r="J7957" s="0" t="n">
        <v>14972</v>
      </c>
      <c r="K7957" s="0" t="n">
        <v>7896343070243</v>
      </c>
      <c r="L7957" s="0" t="s">
        <v>5251</v>
      </c>
      <c r="N7957" s="0" t="n">
        <v>40</v>
      </c>
      <c r="O7957" s="0" t="n">
        <v>120.8</v>
      </c>
      <c r="P7957" s="0" t="s">
        <v>2444</v>
      </c>
    </row>
    <row r="7958" customFormat="false" ht="15" hidden="false" customHeight="true" outlineLevel="0" collapsed="false">
      <c r="A7958" s="0" t="n">
        <v>2</v>
      </c>
      <c r="B7958" s="71" t="n">
        <v>46273</v>
      </c>
      <c r="C7958" s="0" t="n">
        <v>11</v>
      </c>
      <c r="D7958" s="0" t="s">
        <v>2471</v>
      </c>
      <c r="E7958" s="0" t="n">
        <v>1695</v>
      </c>
      <c r="F7958" s="0" t="s">
        <v>390</v>
      </c>
      <c r="I7958" s="0" t="n">
        <v>20278</v>
      </c>
      <c r="J7958" s="0" t="n">
        <v>24024</v>
      </c>
      <c r="K7958" s="0" t="n">
        <v>7896116900432</v>
      </c>
      <c r="L7958" s="0" t="s">
        <v>5252</v>
      </c>
      <c r="N7958" s="0" t="n">
        <v>20</v>
      </c>
      <c r="O7958" s="0" t="n">
        <v>181.4</v>
      </c>
      <c r="P7958" s="0" t="s">
        <v>2444</v>
      </c>
    </row>
    <row r="7959" customFormat="false" ht="15" hidden="false" customHeight="true" outlineLevel="0" collapsed="false">
      <c r="A7959" s="0" t="n">
        <v>2</v>
      </c>
      <c r="B7959" s="71" t="n">
        <v>46273</v>
      </c>
      <c r="C7959" s="0" t="n">
        <v>11</v>
      </c>
      <c r="D7959" s="0" t="s">
        <v>2471</v>
      </c>
      <c r="E7959" s="0" t="n">
        <v>1695</v>
      </c>
      <c r="F7959" s="0" t="s">
        <v>390</v>
      </c>
      <c r="I7959" s="0" t="n">
        <v>20278</v>
      </c>
      <c r="J7959" s="0" t="n">
        <v>24027</v>
      </c>
      <c r="K7959" s="0" t="n">
        <v>7896116900425</v>
      </c>
      <c r="L7959" s="0" t="s">
        <v>5253</v>
      </c>
      <c r="N7959" s="0" t="n">
        <v>20</v>
      </c>
      <c r="O7959" s="0" t="n">
        <v>171.4</v>
      </c>
      <c r="P7959" s="0" t="s">
        <v>2444</v>
      </c>
    </row>
    <row r="7960" customFormat="false" ht="15" hidden="false" customHeight="true" outlineLevel="0" collapsed="false">
      <c r="A7960" s="0" t="n">
        <v>2</v>
      </c>
      <c r="B7960" s="71" t="n">
        <v>46273</v>
      </c>
      <c r="C7960" s="0" t="n">
        <v>11</v>
      </c>
      <c r="D7960" s="0" t="s">
        <v>2471</v>
      </c>
      <c r="E7960" s="0" t="n">
        <v>1695</v>
      </c>
      <c r="F7960" s="0" t="s">
        <v>390</v>
      </c>
      <c r="I7960" s="0" t="n">
        <v>20278</v>
      </c>
      <c r="J7960" s="0" t="n">
        <v>31500</v>
      </c>
      <c r="K7960" s="0" t="n">
        <v>7898922012378</v>
      </c>
      <c r="L7960" s="0" t="s">
        <v>5254</v>
      </c>
      <c r="N7960" s="0" t="n">
        <v>40</v>
      </c>
      <c r="O7960" s="0" t="n">
        <v>181.6</v>
      </c>
      <c r="P7960" s="0" t="s">
        <v>2444</v>
      </c>
    </row>
    <row r="7961" customFormat="false" ht="15" hidden="false" customHeight="true" outlineLevel="0" collapsed="false">
      <c r="A7961" s="0" t="n">
        <v>2</v>
      </c>
      <c r="B7961" s="71" t="n">
        <v>46273</v>
      </c>
      <c r="C7961" s="0" t="n">
        <v>11</v>
      </c>
      <c r="D7961" s="0" t="s">
        <v>2471</v>
      </c>
      <c r="E7961" s="0" t="n">
        <v>1695</v>
      </c>
      <c r="F7961" s="0" t="s">
        <v>390</v>
      </c>
      <c r="I7961" s="0" t="n">
        <v>20278</v>
      </c>
      <c r="J7961" s="0" t="n">
        <v>50021</v>
      </c>
      <c r="K7961" s="0" t="n">
        <v>7898690980008</v>
      </c>
      <c r="L7961" s="0" t="s">
        <v>2773</v>
      </c>
      <c r="N7961" s="0" t="n">
        <v>60</v>
      </c>
      <c r="O7961" s="0" t="n">
        <v>64.2</v>
      </c>
      <c r="P7961" s="0" t="s">
        <v>2444</v>
      </c>
    </row>
    <row r="7962" customFormat="false" ht="15" hidden="false" customHeight="true" outlineLevel="0" collapsed="false">
      <c r="A7962" s="0" t="n">
        <v>2</v>
      </c>
      <c r="B7962" s="71" t="n">
        <v>46273</v>
      </c>
      <c r="C7962" s="0" t="n">
        <v>11</v>
      </c>
      <c r="D7962" s="0" t="s">
        <v>2471</v>
      </c>
      <c r="E7962" s="0" t="n">
        <v>581</v>
      </c>
      <c r="F7962" s="0" t="s">
        <v>147</v>
      </c>
      <c r="I7962" s="0" t="n">
        <v>32268</v>
      </c>
      <c r="J7962" s="0" t="n">
        <v>48008</v>
      </c>
      <c r="K7962" s="0" t="n">
        <v>798190027999</v>
      </c>
      <c r="L7962" s="0" t="s">
        <v>2579</v>
      </c>
      <c r="N7962" s="0" t="n">
        <v>20</v>
      </c>
      <c r="O7962" s="0" t="n">
        <v>130</v>
      </c>
      <c r="P7962" s="0" t="s">
        <v>2444</v>
      </c>
    </row>
    <row r="7963" customFormat="false" ht="15" hidden="false" customHeight="true" outlineLevel="0" collapsed="false">
      <c r="A7963" s="0" t="n">
        <v>2</v>
      </c>
      <c r="B7963" s="71" t="n">
        <v>46273</v>
      </c>
      <c r="C7963" s="0" t="n">
        <v>11</v>
      </c>
      <c r="D7963" s="0" t="s">
        <v>2471</v>
      </c>
      <c r="E7963" s="0" t="n">
        <v>581</v>
      </c>
      <c r="F7963" s="0" t="s">
        <v>147</v>
      </c>
      <c r="I7963" s="0" t="n">
        <v>32268</v>
      </c>
      <c r="J7963" s="0" t="n">
        <v>48009</v>
      </c>
      <c r="K7963" s="0" t="n">
        <v>798190028002</v>
      </c>
      <c r="L7963" s="0" t="s">
        <v>2580</v>
      </c>
      <c r="N7963" s="0" t="n">
        <v>20</v>
      </c>
      <c r="O7963" s="0" t="n">
        <v>69</v>
      </c>
      <c r="P7963" s="0" t="s">
        <v>2444</v>
      </c>
    </row>
    <row r="7964" customFormat="false" ht="15" hidden="false" customHeight="true" outlineLevel="0" collapsed="false">
      <c r="A7964" s="0" t="n">
        <v>2</v>
      </c>
      <c r="B7964" s="71" t="n">
        <v>46273</v>
      </c>
      <c r="C7964" s="0" t="n">
        <v>11</v>
      </c>
      <c r="D7964" s="0" t="s">
        <v>2471</v>
      </c>
      <c r="E7964" s="0" t="n">
        <v>10019</v>
      </c>
      <c r="F7964" s="0" t="s">
        <v>268</v>
      </c>
      <c r="I7964" s="0" t="n">
        <v>33408</v>
      </c>
      <c r="J7964" s="0" t="n">
        <v>100031</v>
      </c>
      <c r="K7964" s="0" t="n">
        <v>32</v>
      </c>
      <c r="L7964" s="0" t="s">
        <v>5255</v>
      </c>
      <c r="N7964" s="0" t="n">
        <v>22.258</v>
      </c>
      <c r="O7964" s="0" t="n">
        <v>311.38</v>
      </c>
      <c r="P7964" s="0" t="s">
        <v>2444</v>
      </c>
    </row>
    <row r="7965" customFormat="false" ht="15" hidden="false" customHeight="true" outlineLevel="0" collapsed="false">
      <c r="A7965" s="0" t="n">
        <v>2</v>
      </c>
      <c r="B7965" s="71" t="n">
        <v>46273</v>
      </c>
      <c r="C7965" s="0" t="n">
        <v>11</v>
      </c>
      <c r="D7965" s="0" t="s">
        <v>2471</v>
      </c>
      <c r="E7965" s="0" t="n">
        <v>10019</v>
      </c>
      <c r="F7965" s="0" t="s">
        <v>268</v>
      </c>
      <c r="I7965" s="0" t="n">
        <v>33408</v>
      </c>
      <c r="J7965" s="0" t="n">
        <v>110883</v>
      </c>
      <c r="K7965" s="0" t="n">
        <v>45</v>
      </c>
      <c r="L7965" s="0" t="s">
        <v>2637</v>
      </c>
      <c r="N7965" s="0" t="n">
        <v>22.018</v>
      </c>
      <c r="O7965" s="0" t="n">
        <v>308.03</v>
      </c>
      <c r="P7965" s="0" t="s">
        <v>2444</v>
      </c>
    </row>
    <row r="7966" customFormat="false" ht="15" hidden="false" customHeight="true" outlineLevel="0" collapsed="false">
      <c r="A7966" s="0" t="n">
        <v>2</v>
      </c>
      <c r="B7966" s="71" t="n">
        <v>46273</v>
      </c>
      <c r="C7966" s="0" t="n">
        <v>11</v>
      </c>
      <c r="D7966" s="0" t="s">
        <v>2471</v>
      </c>
      <c r="E7966" s="0" t="n">
        <v>1734</v>
      </c>
      <c r="F7966" s="0" t="s">
        <v>566</v>
      </c>
      <c r="I7966" s="0" t="n">
        <v>259439</v>
      </c>
      <c r="J7966" s="0" t="n">
        <v>38201</v>
      </c>
      <c r="K7966" s="0" t="n">
        <v>7898055451587</v>
      </c>
      <c r="L7966" s="0" t="s">
        <v>2775</v>
      </c>
      <c r="N7966" s="0" t="n">
        <v>2</v>
      </c>
      <c r="O7966" s="0" t="n">
        <v>49.72</v>
      </c>
      <c r="P7966" s="0" t="s">
        <v>2444</v>
      </c>
    </row>
    <row r="7967" customFormat="false" ht="15" hidden="false" customHeight="true" outlineLevel="0" collapsed="false">
      <c r="A7967" s="0" t="n">
        <v>2</v>
      </c>
      <c r="B7967" s="71" t="n">
        <v>46273</v>
      </c>
      <c r="C7967" s="0" t="n">
        <v>11</v>
      </c>
      <c r="D7967" s="0" t="s">
        <v>2471</v>
      </c>
      <c r="E7967" s="0" t="n">
        <v>1734</v>
      </c>
      <c r="F7967" s="0" t="s">
        <v>566</v>
      </c>
      <c r="I7967" s="0" t="n">
        <v>259439</v>
      </c>
      <c r="J7967" s="0" t="n">
        <v>38209</v>
      </c>
      <c r="K7967" s="0" t="n">
        <v>7898055451761</v>
      </c>
      <c r="L7967" s="0" t="s">
        <v>3849</v>
      </c>
      <c r="N7967" s="0" t="n">
        <v>2</v>
      </c>
      <c r="O7967" s="0" t="n">
        <v>49.72</v>
      </c>
      <c r="P7967" s="0" t="s">
        <v>2444</v>
      </c>
    </row>
    <row r="7968" customFormat="false" ht="15" hidden="false" customHeight="true" outlineLevel="0" collapsed="false">
      <c r="A7968" s="0" t="n">
        <v>2</v>
      </c>
      <c r="B7968" s="71" t="n">
        <v>46273</v>
      </c>
      <c r="C7968" s="0" t="n">
        <v>11</v>
      </c>
      <c r="D7968" s="0" t="s">
        <v>2471</v>
      </c>
      <c r="E7968" s="0" t="n">
        <v>1734</v>
      </c>
      <c r="F7968" s="0" t="s">
        <v>566</v>
      </c>
      <c r="I7968" s="0" t="n">
        <v>259439</v>
      </c>
      <c r="J7968" s="0" t="n">
        <v>38213</v>
      </c>
      <c r="K7968" s="0" t="n">
        <v>7898055450023</v>
      </c>
      <c r="L7968" s="0" t="s">
        <v>2775</v>
      </c>
      <c r="N7968" s="0" t="n">
        <v>2</v>
      </c>
      <c r="O7968" s="0" t="n">
        <v>49.72</v>
      </c>
      <c r="P7968" s="0" t="s">
        <v>2444</v>
      </c>
    </row>
    <row r="7969" customFormat="false" ht="15" hidden="false" customHeight="true" outlineLevel="0" collapsed="false">
      <c r="A7969" s="0" t="n">
        <v>2</v>
      </c>
      <c r="B7969" s="71" t="n">
        <v>46273</v>
      </c>
      <c r="C7969" s="0" t="n">
        <v>11</v>
      </c>
      <c r="D7969" s="0" t="s">
        <v>2471</v>
      </c>
      <c r="E7969" s="0" t="n">
        <v>1734</v>
      </c>
      <c r="F7969" s="0" t="s">
        <v>566</v>
      </c>
      <c r="I7969" s="0" t="n">
        <v>259439</v>
      </c>
      <c r="J7969" s="0" t="n">
        <v>38214</v>
      </c>
      <c r="K7969" s="0" t="n">
        <v>7898055452249</v>
      </c>
      <c r="L7969" s="0" t="s">
        <v>2776</v>
      </c>
      <c r="N7969" s="0" t="n">
        <v>2</v>
      </c>
      <c r="O7969" s="0" t="n">
        <v>49.72</v>
      </c>
      <c r="P7969" s="0" t="s">
        <v>2444</v>
      </c>
    </row>
    <row r="7970" customFormat="false" ht="15" hidden="false" customHeight="true" outlineLevel="0" collapsed="false">
      <c r="A7970" s="0" t="n">
        <v>2</v>
      </c>
      <c r="B7970" s="71" t="n">
        <v>46273</v>
      </c>
      <c r="C7970" s="0" t="n">
        <v>11</v>
      </c>
      <c r="D7970" s="0" t="s">
        <v>2471</v>
      </c>
      <c r="E7970" s="0" t="n">
        <v>1734</v>
      </c>
      <c r="F7970" s="0" t="s">
        <v>566</v>
      </c>
      <c r="I7970" s="0" t="n">
        <v>259439</v>
      </c>
      <c r="J7970" s="0" t="n">
        <v>38219</v>
      </c>
      <c r="K7970" s="0" t="n">
        <v>7898055452348</v>
      </c>
      <c r="L7970" s="0" t="s">
        <v>2777</v>
      </c>
      <c r="N7970" s="0" t="n">
        <v>2</v>
      </c>
      <c r="O7970" s="0" t="n">
        <v>49.72</v>
      </c>
      <c r="P7970" s="0" t="s">
        <v>2444</v>
      </c>
    </row>
    <row r="7971" customFormat="false" ht="15" hidden="false" customHeight="true" outlineLevel="0" collapsed="false">
      <c r="A7971" s="0" t="n">
        <v>2</v>
      </c>
      <c r="B7971" s="71" t="n">
        <v>46273</v>
      </c>
      <c r="C7971" s="0" t="n">
        <v>11</v>
      </c>
      <c r="D7971" s="0" t="s">
        <v>2471</v>
      </c>
      <c r="E7971" s="0" t="n">
        <v>1734</v>
      </c>
      <c r="F7971" s="0" t="s">
        <v>566</v>
      </c>
      <c r="I7971" s="0" t="n">
        <v>259439</v>
      </c>
      <c r="J7971" s="0" t="n">
        <v>38220</v>
      </c>
      <c r="K7971" s="0" t="n">
        <v>7898055452355</v>
      </c>
      <c r="L7971" s="0" t="s">
        <v>2775</v>
      </c>
      <c r="N7971" s="0" t="n">
        <v>2</v>
      </c>
      <c r="O7971" s="0" t="n">
        <v>49.72</v>
      </c>
      <c r="P7971" s="0" t="s">
        <v>2444</v>
      </c>
    </row>
    <row r="7972" customFormat="false" ht="15" hidden="false" customHeight="true" outlineLevel="0" collapsed="false">
      <c r="A7972" s="0" t="n">
        <v>2</v>
      </c>
      <c r="B7972" s="71" t="n">
        <v>46273</v>
      </c>
      <c r="C7972" s="0" t="n">
        <v>11</v>
      </c>
      <c r="D7972" s="0" t="s">
        <v>2471</v>
      </c>
      <c r="E7972" s="0" t="n">
        <v>1734</v>
      </c>
      <c r="F7972" s="0" t="s">
        <v>566</v>
      </c>
      <c r="I7972" s="0" t="n">
        <v>259439</v>
      </c>
      <c r="J7972" s="0" t="n">
        <v>38782</v>
      </c>
      <c r="K7972" s="0" t="n">
        <v>7898055450306</v>
      </c>
      <c r="L7972" s="0" t="s">
        <v>2778</v>
      </c>
      <c r="N7972" s="0" t="n">
        <v>20</v>
      </c>
      <c r="O7972" s="0" t="n">
        <v>56.65</v>
      </c>
      <c r="P7972" s="0" t="s">
        <v>2444</v>
      </c>
    </row>
    <row r="7973" customFormat="false" ht="15" hidden="false" customHeight="true" outlineLevel="0" collapsed="false">
      <c r="A7973" s="0" t="n">
        <v>2</v>
      </c>
      <c r="B7973" s="71" t="n">
        <v>46273</v>
      </c>
      <c r="C7973" s="0" t="n">
        <v>11</v>
      </c>
      <c r="D7973" s="0" t="s">
        <v>2471</v>
      </c>
      <c r="E7973" s="0" t="n">
        <v>1734</v>
      </c>
      <c r="F7973" s="0" t="s">
        <v>566</v>
      </c>
      <c r="I7973" s="0" t="n">
        <v>259439</v>
      </c>
      <c r="J7973" s="0" t="n">
        <v>39450</v>
      </c>
      <c r="K7973" s="0" t="n">
        <v>7898055450030</v>
      </c>
      <c r="L7973" s="0" t="s">
        <v>2782</v>
      </c>
      <c r="N7973" s="0" t="n">
        <v>2</v>
      </c>
      <c r="O7973" s="0" t="n">
        <v>49.72</v>
      </c>
      <c r="P7973" s="0" t="s">
        <v>2444</v>
      </c>
    </row>
    <row r="7974" customFormat="false" ht="15" hidden="false" customHeight="true" outlineLevel="0" collapsed="false">
      <c r="A7974" s="0" t="n">
        <v>2</v>
      </c>
      <c r="B7974" s="71" t="n">
        <v>46273</v>
      </c>
      <c r="C7974" s="0" t="n">
        <v>11</v>
      </c>
      <c r="D7974" s="0" t="s">
        <v>2471</v>
      </c>
      <c r="E7974" s="0" t="n">
        <v>1734</v>
      </c>
      <c r="F7974" s="0" t="s">
        <v>566</v>
      </c>
      <c r="I7974" s="0" t="n">
        <v>259439</v>
      </c>
      <c r="J7974" s="0" t="n">
        <v>41689</v>
      </c>
      <c r="K7974" s="0" t="n">
        <v>7898055450092</v>
      </c>
      <c r="L7974" s="0" t="s">
        <v>4642</v>
      </c>
      <c r="N7974" s="0" t="n">
        <v>2</v>
      </c>
      <c r="O7974" s="0" t="n">
        <v>49.72</v>
      </c>
      <c r="P7974" s="0" t="s">
        <v>2444</v>
      </c>
    </row>
    <row r="7975" customFormat="false" ht="15" hidden="false" customHeight="true" outlineLevel="0" collapsed="false">
      <c r="A7975" s="0" t="n">
        <v>2</v>
      </c>
      <c r="B7975" s="71" t="n">
        <v>46273</v>
      </c>
      <c r="C7975" s="0" t="n">
        <v>11</v>
      </c>
      <c r="D7975" s="0" t="s">
        <v>2471</v>
      </c>
      <c r="E7975" s="0" t="n">
        <v>1734</v>
      </c>
      <c r="F7975" s="0" t="s">
        <v>566</v>
      </c>
      <c r="I7975" s="0" t="n">
        <v>259439</v>
      </c>
      <c r="J7975" s="0" t="n">
        <v>43130</v>
      </c>
      <c r="K7975" s="0" t="n">
        <v>7898055450337</v>
      </c>
      <c r="L7975" s="0" t="s">
        <v>3995</v>
      </c>
      <c r="N7975" s="0" t="n">
        <v>20</v>
      </c>
      <c r="O7975" s="0" t="n">
        <v>56.65</v>
      </c>
      <c r="P7975" s="0" t="s">
        <v>2444</v>
      </c>
    </row>
    <row r="7976" customFormat="false" ht="15" hidden="false" customHeight="true" outlineLevel="0" collapsed="false">
      <c r="A7976" s="0" t="n">
        <v>2</v>
      </c>
      <c r="B7976" s="71" t="n">
        <v>46273</v>
      </c>
      <c r="C7976" s="0" t="n">
        <v>11</v>
      </c>
      <c r="D7976" s="0" t="s">
        <v>2471</v>
      </c>
      <c r="E7976" s="0" t="n">
        <v>1734</v>
      </c>
      <c r="F7976" s="0" t="s">
        <v>566</v>
      </c>
      <c r="I7976" s="0" t="n">
        <v>259439</v>
      </c>
      <c r="J7976" s="0" t="n">
        <v>49849</v>
      </c>
      <c r="K7976" s="0" t="n">
        <v>7898055450429</v>
      </c>
      <c r="L7976" s="0" t="s">
        <v>2785</v>
      </c>
      <c r="N7976" s="0" t="n">
        <v>20</v>
      </c>
      <c r="O7976" s="0" t="n">
        <v>56.65</v>
      </c>
      <c r="P7976" s="0" t="s">
        <v>2444</v>
      </c>
    </row>
    <row r="7977" customFormat="false" ht="15" hidden="false" customHeight="true" outlineLevel="0" collapsed="false">
      <c r="A7977" s="0" t="n">
        <v>2</v>
      </c>
      <c r="B7977" s="71" t="n">
        <v>46273</v>
      </c>
      <c r="C7977" s="0" t="n">
        <v>11</v>
      </c>
      <c r="D7977" s="0" t="s">
        <v>2471</v>
      </c>
      <c r="E7977" s="0" t="n">
        <v>1734</v>
      </c>
      <c r="F7977" s="0" t="s">
        <v>566</v>
      </c>
      <c r="I7977" s="0" t="n">
        <v>259439</v>
      </c>
      <c r="J7977" s="0" t="n">
        <v>56815</v>
      </c>
      <c r="K7977" s="0" t="n">
        <v>7898055455165</v>
      </c>
      <c r="L7977" s="0" t="s">
        <v>2786</v>
      </c>
      <c r="N7977" s="0" t="n">
        <v>2</v>
      </c>
      <c r="O7977" s="0" t="n">
        <v>49.72</v>
      </c>
      <c r="P7977" s="0" t="s">
        <v>2444</v>
      </c>
    </row>
    <row r="7978" customFormat="false" ht="15" hidden="false" customHeight="true" outlineLevel="0" collapsed="false">
      <c r="A7978" s="0" t="n">
        <v>2</v>
      </c>
      <c r="B7978" s="71" t="n">
        <v>46273</v>
      </c>
      <c r="C7978" s="0" t="n">
        <v>11</v>
      </c>
      <c r="D7978" s="0" t="s">
        <v>2471</v>
      </c>
      <c r="E7978" s="0" t="n">
        <v>1734</v>
      </c>
      <c r="F7978" s="0" t="s">
        <v>566</v>
      </c>
      <c r="I7978" s="0" t="n">
        <v>259439</v>
      </c>
      <c r="J7978" s="0" t="n">
        <v>57021</v>
      </c>
      <c r="K7978" s="0" t="n">
        <v>7898055455189</v>
      </c>
      <c r="L7978" s="0" t="s">
        <v>2787</v>
      </c>
      <c r="N7978" s="0" t="n">
        <v>2</v>
      </c>
      <c r="O7978" s="0" t="n">
        <v>49.72</v>
      </c>
      <c r="P7978" s="0" t="s">
        <v>2444</v>
      </c>
    </row>
    <row r="7979" customFormat="false" ht="15" hidden="false" customHeight="true" outlineLevel="0" collapsed="false">
      <c r="A7979" s="0" t="n">
        <v>2</v>
      </c>
      <c r="B7979" s="71" t="n">
        <v>46273</v>
      </c>
      <c r="C7979" s="0" t="n">
        <v>11</v>
      </c>
      <c r="D7979" s="0" t="s">
        <v>2471</v>
      </c>
      <c r="E7979" s="0" t="n">
        <v>1734</v>
      </c>
      <c r="F7979" s="0" t="s">
        <v>566</v>
      </c>
      <c r="I7979" s="0" t="n">
        <v>259439</v>
      </c>
      <c r="J7979" s="0" t="n">
        <v>57024</v>
      </c>
      <c r="K7979" s="0" t="n">
        <v>7898055455172</v>
      </c>
      <c r="L7979" s="0" t="s">
        <v>3856</v>
      </c>
      <c r="N7979" s="0" t="n">
        <v>2</v>
      </c>
      <c r="O7979" s="0" t="n">
        <v>49.72</v>
      </c>
      <c r="P7979" s="0" t="s">
        <v>2444</v>
      </c>
    </row>
    <row r="7980" customFormat="false" ht="15" hidden="false" customHeight="true" outlineLevel="0" collapsed="false">
      <c r="A7980" s="0" t="n">
        <v>2</v>
      </c>
      <c r="B7980" s="71" t="n">
        <v>46273</v>
      </c>
      <c r="C7980" s="0" t="n">
        <v>11</v>
      </c>
      <c r="D7980" s="0" t="s">
        <v>2471</v>
      </c>
      <c r="E7980" s="0" t="n">
        <v>1734</v>
      </c>
      <c r="F7980" s="0" t="s">
        <v>566</v>
      </c>
      <c r="I7980" s="0" t="n">
        <v>259439</v>
      </c>
      <c r="J7980" s="0" t="n">
        <v>57285</v>
      </c>
      <c r="K7980" s="0" t="n">
        <v>7898055455196</v>
      </c>
      <c r="L7980" s="0" t="s">
        <v>3857</v>
      </c>
      <c r="N7980" s="0" t="n">
        <v>2</v>
      </c>
      <c r="O7980" s="0" t="n">
        <v>49.72</v>
      </c>
      <c r="P7980" s="0" t="s">
        <v>2444</v>
      </c>
    </row>
    <row r="7981" customFormat="false" ht="15" hidden="false" customHeight="true" outlineLevel="0" collapsed="false">
      <c r="A7981" s="0" t="n">
        <v>2</v>
      </c>
      <c r="B7981" s="71" t="n">
        <v>46273</v>
      </c>
      <c r="C7981" s="0" t="n">
        <v>11</v>
      </c>
      <c r="D7981" s="0" t="s">
        <v>2471</v>
      </c>
      <c r="E7981" s="0" t="n">
        <v>1734</v>
      </c>
      <c r="F7981" s="0" t="s">
        <v>566</v>
      </c>
      <c r="I7981" s="0" t="n">
        <v>259439</v>
      </c>
      <c r="J7981" s="0" t="n">
        <v>57286</v>
      </c>
      <c r="K7981" s="0" t="n">
        <v>7898055455202</v>
      </c>
      <c r="L7981" s="0" t="s">
        <v>3857</v>
      </c>
      <c r="N7981" s="0" t="n">
        <v>2</v>
      </c>
      <c r="O7981" s="0" t="n">
        <v>49.72</v>
      </c>
      <c r="P7981" s="0" t="s">
        <v>2444</v>
      </c>
    </row>
    <row r="7982" customFormat="false" ht="15" hidden="false" customHeight="true" outlineLevel="0" collapsed="false">
      <c r="A7982" s="0" t="n">
        <v>2</v>
      </c>
      <c r="B7982" s="71" t="n">
        <v>46273</v>
      </c>
      <c r="C7982" s="0" t="n">
        <v>11</v>
      </c>
      <c r="D7982" s="0" t="s">
        <v>2471</v>
      </c>
      <c r="E7982" s="0" t="n">
        <v>1734</v>
      </c>
      <c r="F7982" s="0" t="s">
        <v>566</v>
      </c>
      <c r="I7982" s="0" t="n">
        <v>259439</v>
      </c>
      <c r="J7982" s="0" t="n">
        <v>59199</v>
      </c>
      <c r="K7982" s="0" t="n">
        <v>7898055450207</v>
      </c>
      <c r="L7982" s="0" t="s">
        <v>5256</v>
      </c>
      <c r="N7982" s="0" t="n">
        <v>20</v>
      </c>
      <c r="O7982" s="0" t="n">
        <v>56.65</v>
      </c>
      <c r="P7982" s="0" t="s">
        <v>2444</v>
      </c>
    </row>
    <row r="7983" customFormat="false" ht="15" hidden="false" customHeight="true" outlineLevel="0" collapsed="false">
      <c r="A7983" s="0" t="n">
        <v>2</v>
      </c>
      <c r="B7983" s="71" t="n">
        <v>46273</v>
      </c>
      <c r="C7983" s="0" t="n">
        <v>11</v>
      </c>
      <c r="D7983" s="0" t="s">
        <v>2471</v>
      </c>
      <c r="E7983" s="0" t="n">
        <v>1734</v>
      </c>
      <c r="F7983" s="0" t="s">
        <v>566</v>
      </c>
      <c r="I7983" s="0" t="n">
        <v>259439</v>
      </c>
      <c r="J7983" s="0" t="n">
        <v>59560</v>
      </c>
      <c r="K7983" s="0" t="n">
        <v>7898055455332</v>
      </c>
      <c r="L7983" s="0" t="s">
        <v>5257</v>
      </c>
      <c r="N7983" s="0" t="n">
        <v>2</v>
      </c>
      <c r="O7983" s="0" t="n">
        <v>49.72</v>
      </c>
      <c r="P7983" s="0" t="s">
        <v>2444</v>
      </c>
    </row>
    <row r="7984" customFormat="false" ht="15" hidden="false" customHeight="true" outlineLevel="0" collapsed="false">
      <c r="A7984" s="0" t="n">
        <v>2</v>
      </c>
      <c r="B7984" s="71" t="n">
        <v>46273</v>
      </c>
      <c r="C7984" s="0" t="n">
        <v>11</v>
      </c>
      <c r="D7984" s="0" t="s">
        <v>2471</v>
      </c>
      <c r="E7984" s="0" t="n">
        <v>1734</v>
      </c>
      <c r="F7984" s="0" t="s">
        <v>566</v>
      </c>
      <c r="I7984" s="0" t="n">
        <v>259439</v>
      </c>
      <c r="J7984" s="0" t="n">
        <v>78071</v>
      </c>
      <c r="K7984" s="0" t="n">
        <v>7898055455622</v>
      </c>
      <c r="L7984" s="0" t="s">
        <v>5258</v>
      </c>
      <c r="N7984" s="0" t="n">
        <v>2</v>
      </c>
      <c r="O7984" s="0" t="n">
        <v>49.72</v>
      </c>
      <c r="P7984" s="0" t="s">
        <v>2444</v>
      </c>
    </row>
    <row r="7985" customFormat="false" ht="15" hidden="false" customHeight="true" outlineLevel="0" collapsed="false">
      <c r="A7985" s="0" t="n">
        <v>2</v>
      </c>
      <c r="B7985" s="71" t="n">
        <v>46273</v>
      </c>
      <c r="C7985" s="0" t="n">
        <v>11</v>
      </c>
      <c r="D7985" s="0" t="s">
        <v>2471</v>
      </c>
      <c r="E7985" s="0" t="n">
        <v>10012</v>
      </c>
      <c r="F7985" s="0" t="s">
        <v>185</v>
      </c>
      <c r="I7985" s="0" t="n">
        <v>1968927</v>
      </c>
      <c r="J7985" s="0" t="n">
        <v>10245</v>
      </c>
      <c r="K7985" s="0" t="n">
        <v>7891010793463</v>
      </c>
      <c r="L7985" s="0" t="s">
        <v>5259</v>
      </c>
      <c r="N7985" s="0" t="n">
        <v>24</v>
      </c>
      <c r="O7985" s="0" t="n">
        <v>150.96</v>
      </c>
      <c r="P7985" s="0" t="s">
        <v>2444</v>
      </c>
    </row>
    <row r="7986" customFormat="false" ht="15" hidden="false" customHeight="true" outlineLevel="0" collapsed="false">
      <c r="A7986" s="0" t="n">
        <v>2</v>
      </c>
      <c r="B7986" s="71" t="n">
        <v>46273</v>
      </c>
      <c r="C7986" s="0" t="n">
        <v>11</v>
      </c>
      <c r="D7986" s="0" t="s">
        <v>2471</v>
      </c>
      <c r="E7986" s="0" t="n">
        <v>10012</v>
      </c>
      <c r="F7986" s="0" t="s">
        <v>185</v>
      </c>
      <c r="I7986" s="0" t="n">
        <v>1968927</v>
      </c>
      <c r="J7986" s="0" t="n">
        <v>100469</v>
      </c>
      <c r="K7986" s="0" t="n">
        <v>7896279102100</v>
      </c>
      <c r="L7986" s="0" t="s">
        <v>5260</v>
      </c>
      <c r="N7986" s="0" t="n">
        <v>6</v>
      </c>
      <c r="O7986" s="0" t="n">
        <v>52.92</v>
      </c>
      <c r="P7986" s="0" t="s">
        <v>2444</v>
      </c>
    </row>
    <row r="7987" customFormat="false" ht="15" hidden="false" customHeight="true" outlineLevel="0" collapsed="false">
      <c r="A7987" s="0" t="n">
        <v>2</v>
      </c>
      <c r="B7987" s="71" t="n">
        <v>46273</v>
      </c>
      <c r="C7987" s="0" t="n">
        <v>11</v>
      </c>
      <c r="D7987" s="0" t="s">
        <v>2471</v>
      </c>
      <c r="E7987" s="0" t="n">
        <v>10012</v>
      </c>
      <c r="F7987" s="0" t="s">
        <v>185</v>
      </c>
      <c r="I7987" s="0" t="n">
        <v>1968927</v>
      </c>
      <c r="J7987" s="0" t="n">
        <v>100472</v>
      </c>
      <c r="K7987" s="0" t="n">
        <v>7896279101509</v>
      </c>
      <c r="L7987" s="0" t="s">
        <v>5261</v>
      </c>
      <c r="N7987" s="0" t="n">
        <v>6</v>
      </c>
      <c r="O7987" s="0" t="n">
        <v>38.04</v>
      </c>
      <c r="P7987" s="0" t="s">
        <v>2444</v>
      </c>
    </row>
    <row r="7988" customFormat="false" ht="15" hidden="false" customHeight="true" outlineLevel="0" collapsed="false">
      <c r="A7988" s="0" t="n">
        <v>2</v>
      </c>
      <c r="B7988" s="71" t="n">
        <v>46273</v>
      </c>
      <c r="C7988" s="0" t="n">
        <v>11</v>
      </c>
      <c r="D7988" s="0" t="s">
        <v>2471</v>
      </c>
      <c r="E7988" s="0" t="n">
        <v>10012</v>
      </c>
      <c r="F7988" s="0" t="s">
        <v>185</v>
      </c>
      <c r="I7988" s="0" t="n">
        <v>1968927</v>
      </c>
      <c r="J7988" s="0" t="n">
        <v>100473</v>
      </c>
      <c r="K7988" s="0" t="n">
        <v>7896279101240</v>
      </c>
      <c r="L7988" s="0" t="s">
        <v>5262</v>
      </c>
      <c r="N7988" s="0" t="n">
        <v>6</v>
      </c>
      <c r="O7988" s="0" t="n">
        <v>38.04</v>
      </c>
      <c r="P7988" s="0" t="s">
        <v>2444</v>
      </c>
    </row>
    <row r="7989" customFormat="false" ht="15" hidden="false" customHeight="true" outlineLevel="0" collapsed="false">
      <c r="A7989" s="0" t="n">
        <v>2</v>
      </c>
      <c r="B7989" s="71" t="n">
        <v>46273</v>
      </c>
      <c r="C7989" s="0" t="n">
        <v>11</v>
      </c>
      <c r="D7989" s="0" t="s">
        <v>2471</v>
      </c>
      <c r="E7989" s="0" t="n">
        <v>10012</v>
      </c>
      <c r="F7989" s="0" t="s">
        <v>185</v>
      </c>
      <c r="I7989" s="0" t="n">
        <v>1968927</v>
      </c>
      <c r="J7989" s="0" t="n">
        <v>101380</v>
      </c>
      <c r="K7989" s="0" t="n">
        <v>7891010087722</v>
      </c>
      <c r="L7989" s="0" t="s">
        <v>5263</v>
      </c>
      <c r="N7989" s="0" t="n">
        <v>24</v>
      </c>
      <c r="O7989" s="0" t="n">
        <v>147.84</v>
      </c>
      <c r="P7989" s="0" t="s">
        <v>2444</v>
      </c>
    </row>
    <row r="7990" customFormat="false" ht="15" hidden="false" customHeight="true" outlineLevel="0" collapsed="false">
      <c r="A7990" s="0" t="n">
        <v>2</v>
      </c>
      <c r="B7990" s="71" t="n">
        <v>46273</v>
      </c>
      <c r="C7990" s="0" t="n">
        <v>11</v>
      </c>
      <c r="D7990" s="0" t="s">
        <v>2471</v>
      </c>
      <c r="E7990" s="0" t="n">
        <v>10012</v>
      </c>
      <c r="F7990" s="0" t="s">
        <v>185</v>
      </c>
      <c r="I7990" s="0" t="n">
        <v>1968927</v>
      </c>
      <c r="J7990" s="0" t="n">
        <v>101399</v>
      </c>
      <c r="K7990" s="0" t="n">
        <v>7891010503031</v>
      </c>
      <c r="L7990" s="0" t="s">
        <v>5264</v>
      </c>
      <c r="N7990" s="0" t="n">
        <v>48</v>
      </c>
      <c r="O7990" s="0" t="n">
        <v>157.44</v>
      </c>
      <c r="P7990" s="0" t="s">
        <v>2444</v>
      </c>
    </row>
    <row r="7991" customFormat="false" ht="15" hidden="false" customHeight="true" outlineLevel="0" collapsed="false">
      <c r="A7991" s="0" t="n">
        <v>2</v>
      </c>
      <c r="B7991" s="71" t="n">
        <v>46273</v>
      </c>
      <c r="C7991" s="0" t="n">
        <v>11</v>
      </c>
      <c r="D7991" s="0" t="s">
        <v>2471</v>
      </c>
      <c r="E7991" s="0" t="n">
        <v>10012</v>
      </c>
      <c r="F7991" s="0" t="s">
        <v>185</v>
      </c>
      <c r="I7991" s="0" t="n">
        <v>1968927</v>
      </c>
      <c r="J7991" s="0" t="n">
        <v>104652</v>
      </c>
      <c r="K7991" s="0" t="n">
        <v>7896279100878</v>
      </c>
      <c r="L7991" s="0" t="s">
        <v>5265</v>
      </c>
      <c r="N7991" s="0" t="n">
        <v>6</v>
      </c>
      <c r="O7991" s="0" t="n">
        <v>58.14</v>
      </c>
      <c r="P7991" s="0" t="s">
        <v>2444</v>
      </c>
    </row>
    <row r="7992" customFormat="false" ht="15" hidden="false" customHeight="true" outlineLevel="0" collapsed="false">
      <c r="A7992" s="0" t="n">
        <v>2</v>
      </c>
      <c r="B7992" s="71" t="n">
        <v>46273</v>
      </c>
      <c r="C7992" s="0" t="n">
        <v>11</v>
      </c>
      <c r="D7992" s="0" t="s">
        <v>2471</v>
      </c>
      <c r="E7992" s="0" t="n">
        <v>10012</v>
      </c>
      <c r="F7992" s="0" t="s">
        <v>185</v>
      </c>
      <c r="I7992" s="0" t="n">
        <v>1968927</v>
      </c>
      <c r="J7992" s="0" t="n">
        <v>16197</v>
      </c>
      <c r="K7992" s="0" t="n">
        <v>7891010973483</v>
      </c>
      <c r="L7992" s="0" t="s">
        <v>5266</v>
      </c>
      <c r="N7992" s="0" t="n">
        <v>48</v>
      </c>
      <c r="O7992" s="0" t="n">
        <v>140.16</v>
      </c>
      <c r="P7992" s="0" t="s">
        <v>2444</v>
      </c>
    </row>
    <row r="7993" customFormat="false" ht="15" hidden="false" customHeight="true" outlineLevel="0" collapsed="false">
      <c r="A7993" s="0" t="n">
        <v>2</v>
      </c>
      <c r="B7993" s="71" t="n">
        <v>46273</v>
      </c>
      <c r="C7993" s="0" t="n">
        <v>11</v>
      </c>
      <c r="D7993" s="0" t="s">
        <v>2471</v>
      </c>
      <c r="E7993" s="0" t="n">
        <v>10012</v>
      </c>
      <c r="F7993" s="0" t="s">
        <v>185</v>
      </c>
      <c r="I7993" s="0" t="n">
        <v>1968927</v>
      </c>
      <c r="J7993" s="0" t="n">
        <v>25921</v>
      </c>
      <c r="K7993" s="0" t="n">
        <v>7891010607135</v>
      </c>
      <c r="L7993" s="0" t="s">
        <v>4168</v>
      </c>
      <c r="N7993" s="0" t="n">
        <v>24</v>
      </c>
      <c r="O7993" s="0" t="n">
        <v>290.16</v>
      </c>
      <c r="P7993" s="0" t="s">
        <v>2444</v>
      </c>
    </row>
    <row r="7994" customFormat="false" ht="15" hidden="false" customHeight="true" outlineLevel="0" collapsed="false">
      <c r="A7994" s="0" t="n">
        <v>2</v>
      </c>
      <c r="B7994" s="71" t="n">
        <v>46273</v>
      </c>
      <c r="C7994" s="0" t="n">
        <v>11</v>
      </c>
      <c r="D7994" s="0" t="s">
        <v>2471</v>
      </c>
      <c r="E7994" s="0" t="n">
        <v>10012</v>
      </c>
      <c r="F7994" s="0" t="s">
        <v>185</v>
      </c>
      <c r="I7994" s="0" t="n">
        <v>1968927</v>
      </c>
      <c r="J7994" s="0" t="n">
        <v>60081</v>
      </c>
      <c r="K7994" s="0" t="n">
        <v>7898172342928</v>
      </c>
      <c r="L7994" s="0" t="s">
        <v>5267</v>
      </c>
      <c r="N7994" s="0" t="n">
        <v>6</v>
      </c>
      <c r="O7994" s="0" t="n">
        <v>35.76</v>
      </c>
      <c r="P7994" s="0" t="s">
        <v>2444</v>
      </c>
    </row>
    <row r="7995" customFormat="false" ht="15" hidden="false" customHeight="true" outlineLevel="0" collapsed="false">
      <c r="A7995" s="0" t="n">
        <v>2</v>
      </c>
      <c r="B7995" s="71" t="n">
        <v>46273</v>
      </c>
      <c r="C7995" s="0" t="n">
        <v>11</v>
      </c>
      <c r="D7995" s="0" t="s">
        <v>2471</v>
      </c>
      <c r="E7995" s="0" t="n">
        <v>10012</v>
      </c>
      <c r="F7995" s="0" t="s">
        <v>185</v>
      </c>
      <c r="I7995" s="0" t="n">
        <v>1968927</v>
      </c>
      <c r="J7995" s="0" t="n">
        <v>60082</v>
      </c>
      <c r="K7995" s="0" t="n">
        <v>7898172342911</v>
      </c>
      <c r="L7995" s="0" t="s">
        <v>5267</v>
      </c>
      <c r="N7995" s="0" t="n">
        <v>6</v>
      </c>
      <c r="O7995" s="0" t="n">
        <v>35.76</v>
      </c>
      <c r="P7995" s="0" t="s">
        <v>2444</v>
      </c>
    </row>
    <row r="7996" customFormat="false" ht="15" hidden="false" customHeight="true" outlineLevel="0" collapsed="false">
      <c r="A7996" s="0" t="n">
        <v>2</v>
      </c>
      <c r="B7996" s="71" t="n">
        <v>46273</v>
      </c>
      <c r="C7996" s="0" t="n">
        <v>11</v>
      </c>
      <c r="D7996" s="0" t="s">
        <v>2471</v>
      </c>
      <c r="E7996" s="0" t="n">
        <v>10012</v>
      </c>
      <c r="F7996" s="0" t="s">
        <v>185</v>
      </c>
      <c r="I7996" s="0" t="n">
        <v>1968927</v>
      </c>
      <c r="J7996" s="0" t="n">
        <v>76188</v>
      </c>
      <c r="K7996" s="0" t="n">
        <v>7898172342942</v>
      </c>
      <c r="L7996" s="0" t="s">
        <v>5268</v>
      </c>
      <c r="N7996" s="0" t="n">
        <v>6</v>
      </c>
      <c r="O7996" s="0" t="n">
        <v>35.7</v>
      </c>
      <c r="P7996" s="0" t="s">
        <v>2444</v>
      </c>
    </row>
    <row r="7997" customFormat="false" ht="15" hidden="false" customHeight="true" outlineLevel="0" collapsed="false">
      <c r="A7997" s="0" t="n">
        <v>2</v>
      </c>
      <c r="B7997" s="71" t="n">
        <v>46273</v>
      </c>
      <c r="C7997" s="0" t="n">
        <v>11</v>
      </c>
      <c r="D7997" s="0" t="s">
        <v>2471</v>
      </c>
      <c r="E7997" s="0" t="n">
        <v>10012</v>
      </c>
      <c r="F7997" s="0" t="s">
        <v>185</v>
      </c>
      <c r="I7997" s="0" t="n">
        <v>1968927</v>
      </c>
      <c r="J7997" s="0" t="n">
        <v>78187</v>
      </c>
      <c r="K7997" s="0" t="n">
        <v>7898172342935</v>
      </c>
      <c r="L7997" s="0" t="s">
        <v>5269</v>
      </c>
      <c r="N7997" s="0" t="n">
        <v>6</v>
      </c>
      <c r="O7997" s="0" t="n">
        <v>35.76</v>
      </c>
      <c r="P7997" s="0" t="s">
        <v>2444</v>
      </c>
    </row>
    <row r="7998" customFormat="false" ht="15" hidden="false" customHeight="true" outlineLevel="0" collapsed="false">
      <c r="A7998" s="0" t="n">
        <v>2</v>
      </c>
      <c r="B7998" s="71" t="n">
        <v>46273</v>
      </c>
      <c r="C7998" s="0" t="n">
        <v>11</v>
      </c>
      <c r="D7998" s="0" t="s">
        <v>2471</v>
      </c>
      <c r="E7998" s="0" t="n">
        <v>10012</v>
      </c>
      <c r="F7998" s="0" t="s">
        <v>185</v>
      </c>
      <c r="I7998" s="0" t="n">
        <v>1968927</v>
      </c>
      <c r="J7998" s="0" t="n">
        <v>78188</v>
      </c>
      <c r="K7998" s="0" t="n">
        <v>7898172342959</v>
      </c>
      <c r="L7998" s="0" t="s">
        <v>5270</v>
      </c>
      <c r="N7998" s="0" t="n">
        <v>6</v>
      </c>
      <c r="O7998" s="0" t="n">
        <v>41.58</v>
      </c>
      <c r="P7998" s="0" t="s">
        <v>2444</v>
      </c>
    </row>
    <row r="7999" customFormat="false" ht="15" hidden="false" customHeight="true" outlineLevel="0" collapsed="false">
      <c r="A7999" s="0" t="n">
        <v>2</v>
      </c>
      <c r="B7999" s="71" t="n">
        <v>46273</v>
      </c>
      <c r="C7999" s="0" t="n">
        <v>22</v>
      </c>
      <c r="D7999" s="0" t="s">
        <v>2479</v>
      </c>
      <c r="E7999" s="0" t="n">
        <v>48</v>
      </c>
      <c r="F7999" s="0" t="s">
        <v>153</v>
      </c>
      <c r="I7999" s="0" t="n">
        <v>2659</v>
      </c>
      <c r="J7999" s="0" t="n">
        <v>100000</v>
      </c>
      <c r="K7999" s="0" t="n">
        <v>1</v>
      </c>
      <c r="L7999" s="0" t="s">
        <v>2480</v>
      </c>
      <c r="N7999" s="0" t="n">
        <v>3.028</v>
      </c>
      <c r="O7999" s="0" t="n">
        <v>60.6</v>
      </c>
      <c r="P7999" s="0" t="s">
        <v>2444</v>
      </c>
    </row>
    <row r="8000" customFormat="false" ht="15" hidden="false" customHeight="true" outlineLevel="0" collapsed="false">
      <c r="A8000" s="0" t="n">
        <v>2</v>
      </c>
      <c r="B8000" s="71" t="n">
        <v>46273</v>
      </c>
      <c r="C8000" s="0" t="n">
        <v>22</v>
      </c>
      <c r="D8000" s="0" t="s">
        <v>2479</v>
      </c>
      <c r="E8000" s="0" t="n">
        <v>48</v>
      </c>
      <c r="F8000" s="0" t="s">
        <v>153</v>
      </c>
      <c r="I8000" s="0" t="n">
        <v>2659</v>
      </c>
      <c r="J8000" s="0" t="n">
        <v>100006</v>
      </c>
      <c r="K8000" s="0" t="n">
        <v>7</v>
      </c>
      <c r="L8000" s="0" t="s">
        <v>2485</v>
      </c>
      <c r="N8000" s="0" t="n">
        <v>2.346</v>
      </c>
      <c r="O8000" s="0" t="n">
        <v>66.52</v>
      </c>
      <c r="P8000" s="0" t="s">
        <v>2444</v>
      </c>
    </row>
    <row r="8001" customFormat="false" ht="15" hidden="false" customHeight="true" outlineLevel="0" collapsed="false">
      <c r="A8001" s="0" t="n">
        <v>2</v>
      </c>
      <c r="B8001" s="71" t="n">
        <v>46273</v>
      </c>
      <c r="C8001" s="0" t="n">
        <v>22</v>
      </c>
      <c r="D8001" s="0" t="s">
        <v>2479</v>
      </c>
      <c r="E8001" s="0" t="n">
        <v>48</v>
      </c>
      <c r="F8001" s="0" t="s">
        <v>153</v>
      </c>
      <c r="I8001" s="0" t="n">
        <v>2659</v>
      </c>
      <c r="J8001" s="0" t="n">
        <v>100007</v>
      </c>
      <c r="K8001" s="0" t="n">
        <v>8</v>
      </c>
      <c r="L8001" s="0" t="s">
        <v>2486</v>
      </c>
      <c r="N8001" s="0" t="n">
        <v>0.704</v>
      </c>
      <c r="O8001" s="0" t="n">
        <v>16.17</v>
      </c>
      <c r="P8001" s="0" t="s">
        <v>2444</v>
      </c>
    </row>
    <row r="8002" customFormat="false" ht="15" hidden="false" customHeight="true" outlineLevel="0" collapsed="false">
      <c r="A8002" s="0" t="n">
        <v>2</v>
      </c>
      <c r="B8002" s="71" t="n">
        <v>46273</v>
      </c>
      <c r="C8002" s="0" t="n">
        <v>22</v>
      </c>
      <c r="D8002" s="0" t="s">
        <v>2479</v>
      </c>
      <c r="E8002" s="0" t="n">
        <v>48</v>
      </c>
      <c r="F8002" s="0" t="s">
        <v>153</v>
      </c>
      <c r="I8002" s="0" t="n">
        <v>2659</v>
      </c>
      <c r="J8002" s="0" t="n">
        <v>100007</v>
      </c>
      <c r="K8002" s="0" t="n">
        <v>8</v>
      </c>
      <c r="L8002" s="0" t="s">
        <v>2486</v>
      </c>
      <c r="N8002" s="0" t="n">
        <v>3.368</v>
      </c>
      <c r="O8002" s="0" t="n">
        <v>84.26</v>
      </c>
      <c r="P8002" s="0" t="s">
        <v>2444</v>
      </c>
    </row>
    <row r="8003" customFormat="false" ht="15" hidden="false" customHeight="true" outlineLevel="0" collapsed="false">
      <c r="A8003" s="0" t="n">
        <v>2</v>
      </c>
      <c r="B8003" s="71" t="n">
        <v>46273</v>
      </c>
      <c r="C8003" s="0" t="n">
        <v>22</v>
      </c>
      <c r="D8003" s="0" t="s">
        <v>2479</v>
      </c>
      <c r="E8003" s="0" t="n">
        <v>48</v>
      </c>
      <c r="F8003" s="0" t="s">
        <v>153</v>
      </c>
      <c r="I8003" s="0" t="n">
        <v>2659</v>
      </c>
      <c r="J8003" s="0" t="n">
        <v>100008</v>
      </c>
      <c r="K8003" s="0" t="n">
        <v>9</v>
      </c>
      <c r="L8003" s="0" t="s">
        <v>2487</v>
      </c>
      <c r="N8003" s="0" t="n">
        <v>15.78</v>
      </c>
      <c r="O8003" s="0" t="n">
        <v>513.27</v>
      </c>
      <c r="P8003" s="0" t="s">
        <v>2444</v>
      </c>
    </row>
    <row r="8004" customFormat="false" ht="15" hidden="false" customHeight="true" outlineLevel="0" collapsed="false">
      <c r="A8004" s="0" t="n">
        <v>2</v>
      </c>
      <c r="B8004" s="71" t="n">
        <v>46273</v>
      </c>
      <c r="C8004" s="0" t="n">
        <v>22</v>
      </c>
      <c r="D8004" s="0" t="s">
        <v>2479</v>
      </c>
      <c r="E8004" s="0" t="n">
        <v>48</v>
      </c>
      <c r="F8004" s="0" t="s">
        <v>153</v>
      </c>
      <c r="I8004" s="0" t="n">
        <v>2659</v>
      </c>
      <c r="J8004" s="0" t="n">
        <v>100008</v>
      </c>
      <c r="K8004" s="0" t="n">
        <v>9</v>
      </c>
      <c r="L8004" s="0" t="s">
        <v>2487</v>
      </c>
      <c r="N8004" s="0" t="n">
        <v>40.17</v>
      </c>
      <c r="O8004" s="0" t="n">
        <v>1202.81</v>
      </c>
      <c r="P8004" s="0" t="s">
        <v>2444</v>
      </c>
    </row>
    <row r="8005" customFormat="false" ht="15" hidden="false" customHeight="true" outlineLevel="0" collapsed="false">
      <c r="A8005" s="0" t="n">
        <v>2</v>
      </c>
      <c r="B8005" s="71" t="n">
        <v>46273</v>
      </c>
      <c r="C8005" s="0" t="n">
        <v>22</v>
      </c>
      <c r="D8005" s="0" t="s">
        <v>2479</v>
      </c>
      <c r="E8005" s="0" t="n">
        <v>48</v>
      </c>
      <c r="F8005" s="0" t="s">
        <v>153</v>
      </c>
      <c r="I8005" s="0" t="n">
        <v>2659</v>
      </c>
      <c r="J8005" s="0" t="n">
        <v>100011</v>
      </c>
      <c r="K8005" s="0" t="n">
        <v>12</v>
      </c>
      <c r="L8005" s="0" t="s">
        <v>2488</v>
      </c>
      <c r="N8005" s="0" t="n">
        <v>8.94</v>
      </c>
      <c r="O8005" s="0" t="n">
        <v>335.53</v>
      </c>
      <c r="P8005" s="0" t="s">
        <v>2444</v>
      </c>
    </row>
    <row r="8006" customFormat="false" ht="15" hidden="false" customHeight="true" outlineLevel="0" collapsed="false">
      <c r="A8006" s="0" t="n">
        <v>2</v>
      </c>
      <c r="B8006" s="71" t="n">
        <v>46273</v>
      </c>
      <c r="C8006" s="0" t="n">
        <v>22</v>
      </c>
      <c r="D8006" s="0" t="s">
        <v>2479</v>
      </c>
      <c r="E8006" s="0" t="n">
        <v>48</v>
      </c>
      <c r="F8006" s="0" t="s">
        <v>153</v>
      </c>
      <c r="I8006" s="0" t="n">
        <v>2659</v>
      </c>
      <c r="J8006" s="0" t="n">
        <v>100012</v>
      </c>
      <c r="K8006" s="0" t="n">
        <v>13</v>
      </c>
      <c r="L8006" s="0" t="s">
        <v>2489</v>
      </c>
      <c r="N8006" s="0" t="n">
        <v>5.45</v>
      </c>
      <c r="O8006" s="0" t="n">
        <v>227.28</v>
      </c>
      <c r="P8006" s="0" t="s">
        <v>2444</v>
      </c>
    </row>
    <row r="8007" customFormat="false" ht="15" hidden="false" customHeight="true" outlineLevel="0" collapsed="false">
      <c r="A8007" s="0" t="n">
        <v>2</v>
      </c>
      <c r="B8007" s="71" t="n">
        <v>46273</v>
      </c>
      <c r="C8007" s="0" t="n">
        <v>22</v>
      </c>
      <c r="D8007" s="0" t="s">
        <v>2479</v>
      </c>
      <c r="E8007" s="0" t="n">
        <v>48</v>
      </c>
      <c r="F8007" s="0" t="s">
        <v>153</v>
      </c>
      <c r="I8007" s="0" t="n">
        <v>2659</v>
      </c>
      <c r="J8007" s="0" t="n">
        <v>100013</v>
      </c>
      <c r="K8007" s="0" t="n">
        <v>14</v>
      </c>
      <c r="L8007" s="0" t="s">
        <v>2490</v>
      </c>
      <c r="N8007" s="0" t="n">
        <v>11.035</v>
      </c>
      <c r="O8007" s="0" t="n">
        <v>487.81</v>
      </c>
      <c r="P8007" s="0" t="s">
        <v>2444</v>
      </c>
    </row>
    <row r="8008" customFormat="false" ht="15" hidden="false" customHeight="true" outlineLevel="0" collapsed="false">
      <c r="A8008" s="0" t="n">
        <v>2</v>
      </c>
      <c r="B8008" s="71" t="n">
        <v>46273</v>
      </c>
      <c r="C8008" s="0" t="n">
        <v>22</v>
      </c>
      <c r="D8008" s="0" t="s">
        <v>2479</v>
      </c>
      <c r="E8008" s="0" t="n">
        <v>48</v>
      </c>
      <c r="F8008" s="0" t="s">
        <v>153</v>
      </c>
      <c r="I8008" s="0" t="n">
        <v>2659</v>
      </c>
      <c r="J8008" s="0" t="n">
        <v>100014</v>
      </c>
      <c r="K8008" s="0" t="n">
        <v>15</v>
      </c>
      <c r="L8008" s="0" t="s">
        <v>2491</v>
      </c>
      <c r="N8008" s="0" t="n">
        <v>4.254</v>
      </c>
      <c r="O8008" s="0" t="n">
        <v>191.6</v>
      </c>
      <c r="P8008" s="0" t="s">
        <v>2444</v>
      </c>
    </row>
    <row r="8009" customFormat="false" ht="15" hidden="false" customHeight="true" outlineLevel="0" collapsed="false">
      <c r="A8009" s="0" t="n">
        <v>2</v>
      </c>
      <c r="B8009" s="71" t="n">
        <v>46273</v>
      </c>
      <c r="C8009" s="0" t="n">
        <v>22</v>
      </c>
      <c r="D8009" s="0" t="s">
        <v>2479</v>
      </c>
      <c r="E8009" s="0" t="n">
        <v>48</v>
      </c>
      <c r="F8009" s="0" t="s">
        <v>153</v>
      </c>
      <c r="I8009" s="0" t="n">
        <v>2659</v>
      </c>
      <c r="J8009" s="0" t="n">
        <v>100015</v>
      </c>
      <c r="K8009" s="0" t="n">
        <v>16</v>
      </c>
      <c r="L8009" s="0" t="s">
        <v>2492</v>
      </c>
      <c r="N8009" s="0" t="n">
        <v>1.66</v>
      </c>
      <c r="O8009" s="0" t="n">
        <v>66.46</v>
      </c>
      <c r="P8009" s="0" t="s">
        <v>2444</v>
      </c>
    </row>
    <row r="8010" customFormat="false" ht="15" hidden="false" customHeight="true" outlineLevel="0" collapsed="false">
      <c r="A8010" s="0" t="n">
        <v>2</v>
      </c>
      <c r="B8010" s="71" t="n">
        <v>46273</v>
      </c>
      <c r="C8010" s="0" t="n">
        <v>22</v>
      </c>
      <c r="D8010" s="0" t="s">
        <v>2479</v>
      </c>
      <c r="E8010" s="0" t="n">
        <v>48</v>
      </c>
      <c r="F8010" s="0" t="s">
        <v>153</v>
      </c>
      <c r="I8010" s="0" t="n">
        <v>2659</v>
      </c>
      <c r="J8010" s="0" t="n">
        <v>100016</v>
      </c>
      <c r="K8010" s="0" t="n">
        <v>17</v>
      </c>
      <c r="L8010" s="0" t="s">
        <v>2493</v>
      </c>
      <c r="N8010" s="0" t="n">
        <v>2.338</v>
      </c>
      <c r="O8010" s="0" t="n">
        <v>117.01</v>
      </c>
      <c r="P8010" s="0" t="s">
        <v>2444</v>
      </c>
    </row>
    <row r="8011" customFormat="false" ht="15" hidden="false" customHeight="true" outlineLevel="0" collapsed="false">
      <c r="A8011" s="0" t="n">
        <v>2</v>
      </c>
      <c r="B8011" s="71" t="n">
        <v>46273</v>
      </c>
      <c r="C8011" s="0" t="n">
        <v>22</v>
      </c>
      <c r="D8011" s="0" t="s">
        <v>2479</v>
      </c>
      <c r="E8011" s="0" t="n">
        <v>48</v>
      </c>
      <c r="F8011" s="0" t="s">
        <v>153</v>
      </c>
      <c r="I8011" s="0" t="n">
        <v>2659</v>
      </c>
      <c r="J8011" s="0" t="n">
        <v>100016</v>
      </c>
      <c r="K8011" s="0" t="n">
        <v>17</v>
      </c>
      <c r="L8011" s="0" t="s">
        <v>2493</v>
      </c>
      <c r="N8011" s="0" t="n">
        <v>5.64</v>
      </c>
      <c r="O8011" s="0" t="n">
        <v>259.72</v>
      </c>
      <c r="P8011" s="0" t="s">
        <v>2444</v>
      </c>
    </row>
    <row r="8012" customFormat="false" ht="15" hidden="false" customHeight="true" outlineLevel="0" collapsed="false">
      <c r="A8012" s="0" t="n">
        <v>2</v>
      </c>
      <c r="B8012" s="71" t="n">
        <v>46273</v>
      </c>
      <c r="C8012" s="0" t="n">
        <v>22</v>
      </c>
      <c r="D8012" s="0" t="s">
        <v>2479</v>
      </c>
      <c r="E8012" s="0" t="n">
        <v>48</v>
      </c>
      <c r="F8012" s="0" t="s">
        <v>153</v>
      </c>
      <c r="I8012" s="0" t="n">
        <v>2659</v>
      </c>
      <c r="J8012" s="0" t="n">
        <v>100017</v>
      </c>
      <c r="K8012" s="0" t="n">
        <v>18</v>
      </c>
      <c r="L8012" s="0" t="s">
        <v>2494</v>
      </c>
      <c r="N8012" s="0" t="n">
        <v>1.606</v>
      </c>
      <c r="O8012" s="0" t="n">
        <v>93.77</v>
      </c>
      <c r="P8012" s="0" t="s">
        <v>2444</v>
      </c>
    </row>
    <row r="8013" customFormat="false" ht="15" hidden="false" customHeight="true" outlineLevel="0" collapsed="false">
      <c r="A8013" s="0" t="n">
        <v>2</v>
      </c>
      <c r="B8013" s="71" t="n">
        <v>46273</v>
      </c>
      <c r="C8013" s="0" t="n">
        <v>22</v>
      </c>
      <c r="D8013" s="0" t="s">
        <v>2479</v>
      </c>
      <c r="E8013" s="0" t="n">
        <v>48</v>
      </c>
      <c r="F8013" s="0" t="s">
        <v>153</v>
      </c>
      <c r="I8013" s="0" t="n">
        <v>2659</v>
      </c>
      <c r="J8013" s="0" t="n">
        <v>100053</v>
      </c>
      <c r="K8013" s="0" t="n">
        <v>54</v>
      </c>
      <c r="L8013" s="0" t="s">
        <v>2495</v>
      </c>
      <c r="N8013" s="0" t="n">
        <v>5.486</v>
      </c>
      <c r="O8013" s="0" t="n">
        <v>185.3</v>
      </c>
      <c r="P8013" s="0" t="s">
        <v>2444</v>
      </c>
    </row>
    <row r="8014" customFormat="false" ht="15" hidden="false" customHeight="true" outlineLevel="0" collapsed="false">
      <c r="A8014" s="0" t="n">
        <v>2</v>
      </c>
      <c r="B8014" s="71" t="n">
        <v>46273</v>
      </c>
      <c r="C8014" s="0" t="n">
        <v>22</v>
      </c>
      <c r="D8014" s="0" t="s">
        <v>2479</v>
      </c>
      <c r="E8014" s="0" t="n">
        <v>48</v>
      </c>
      <c r="F8014" s="0" t="s">
        <v>153</v>
      </c>
      <c r="I8014" s="0" t="n">
        <v>2659</v>
      </c>
      <c r="J8014" s="0" t="n">
        <v>100053</v>
      </c>
      <c r="K8014" s="0" t="n">
        <v>54</v>
      </c>
      <c r="L8014" s="0" t="s">
        <v>2495</v>
      </c>
      <c r="N8014" s="0" t="n">
        <v>3.336</v>
      </c>
      <c r="O8014" s="0" t="n">
        <v>122.42</v>
      </c>
      <c r="P8014" s="0" t="s">
        <v>2444</v>
      </c>
    </row>
    <row r="8015" customFormat="false" ht="15" hidden="false" customHeight="true" outlineLevel="0" collapsed="false">
      <c r="A8015" s="0" t="n">
        <v>2</v>
      </c>
      <c r="B8015" s="71" t="n">
        <v>46273</v>
      </c>
      <c r="C8015" s="0" t="n">
        <v>22</v>
      </c>
      <c r="D8015" s="0" t="s">
        <v>2479</v>
      </c>
      <c r="E8015" s="0" t="n">
        <v>48</v>
      </c>
      <c r="F8015" s="0" t="s">
        <v>153</v>
      </c>
      <c r="I8015" s="0" t="n">
        <v>2659</v>
      </c>
      <c r="J8015" s="0" t="n">
        <v>100638</v>
      </c>
      <c r="K8015" s="0" t="n">
        <v>508</v>
      </c>
      <c r="L8015" s="0" t="s">
        <v>2496</v>
      </c>
      <c r="N8015" s="0" t="n">
        <v>1.192</v>
      </c>
      <c r="O8015" s="0" t="n">
        <v>2.97</v>
      </c>
      <c r="P8015" s="0" t="s">
        <v>2444</v>
      </c>
    </row>
    <row r="8016" customFormat="false" ht="15" hidden="false" customHeight="true" outlineLevel="0" collapsed="false">
      <c r="A8016" s="0" t="n">
        <v>2</v>
      </c>
      <c r="B8016" s="71" t="n">
        <v>46273</v>
      </c>
      <c r="C8016" s="0" t="n">
        <v>22</v>
      </c>
      <c r="D8016" s="0" t="s">
        <v>2479</v>
      </c>
      <c r="E8016" s="0" t="n">
        <v>48</v>
      </c>
      <c r="F8016" s="0" t="s">
        <v>153</v>
      </c>
      <c r="I8016" s="0" t="n">
        <v>2659</v>
      </c>
      <c r="J8016" s="0" t="n">
        <v>100520</v>
      </c>
      <c r="K8016" s="0" t="n">
        <v>507</v>
      </c>
      <c r="L8016" s="0" t="s">
        <v>2497</v>
      </c>
      <c r="N8016" s="0" t="n">
        <v>9.66</v>
      </c>
      <c r="O8016" s="0" t="n">
        <v>24.1</v>
      </c>
      <c r="P8016" s="0" t="s">
        <v>2444</v>
      </c>
    </row>
    <row r="8017" customFormat="false" ht="15" hidden="false" customHeight="true" outlineLevel="0" collapsed="false">
      <c r="A8017" s="0" t="n">
        <v>2</v>
      </c>
      <c r="B8017" s="71" t="n">
        <v>46273</v>
      </c>
      <c r="C8017" s="0" t="n">
        <v>22</v>
      </c>
      <c r="D8017" s="0" t="s">
        <v>2479</v>
      </c>
      <c r="E8017" s="0" t="n">
        <v>48</v>
      </c>
      <c r="F8017" s="0" t="s">
        <v>153</v>
      </c>
      <c r="I8017" s="0" t="n">
        <v>2659</v>
      </c>
      <c r="J8017" s="0" t="n">
        <v>110455</v>
      </c>
      <c r="K8017" s="0" t="n">
        <v>53212</v>
      </c>
      <c r="L8017" s="0" t="s">
        <v>2498</v>
      </c>
      <c r="N8017" s="0" t="n">
        <v>0.807</v>
      </c>
      <c r="O8017" s="0" t="n">
        <v>0</v>
      </c>
      <c r="P8017" s="0" t="s">
        <v>2444</v>
      </c>
    </row>
    <row r="8018" customFormat="false" ht="15" hidden="false" customHeight="true" outlineLevel="0" collapsed="false">
      <c r="A8018" s="0" t="n">
        <v>2</v>
      </c>
      <c r="B8018" s="71" t="n">
        <v>46273</v>
      </c>
      <c r="C8018" s="0" t="n">
        <v>22</v>
      </c>
      <c r="D8018" s="0" t="s">
        <v>2479</v>
      </c>
      <c r="E8018" s="0" t="n">
        <v>48</v>
      </c>
      <c r="F8018" s="0" t="s">
        <v>153</v>
      </c>
      <c r="I8018" s="0" t="n">
        <v>2663</v>
      </c>
      <c r="J8018" s="0" t="n">
        <v>100000</v>
      </c>
      <c r="K8018" s="0" t="n">
        <v>1</v>
      </c>
      <c r="L8018" s="0" t="s">
        <v>2480</v>
      </c>
      <c r="N8018" s="0" t="n">
        <v>2.888</v>
      </c>
      <c r="O8018" s="0" t="n">
        <v>54.06</v>
      </c>
      <c r="P8018" s="0" t="s">
        <v>2444</v>
      </c>
    </row>
    <row r="8019" customFormat="false" ht="15" hidden="false" customHeight="true" outlineLevel="0" collapsed="false">
      <c r="A8019" s="0" t="n">
        <v>2</v>
      </c>
      <c r="B8019" s="71" t="n">
        <v>46273</v>
      </c>
      <c r="C8019" s="0" t="n">
        <v>22</v>
      </c>
      <c r="D8019" s="0" t="s">
        <v>2479</v>
      </c>
      <c r="E8019" s="0" t="n">
        <v>48</v>
      </c>
      <c r="F8019" s="0" t="s">
        <v>153</v>
      </c>
      <c r="I8019" s="0" t="n">
        <v>2663</v>
      </c>
      <c r="J8019" s="0" t="n">
        <v>100001</v>
      </c>
      <c r="K8019" s="0" t="n">
        <v>2</v>
      </c>
      <c r="L8019" s="0" t="s">
        <v>2481</v>
      </c>
      <c r="N8019" s="0" t="n">
        <v>9.535</v>
      </c>
      <c r="O8019" s="0" t="n">
        <v>193.37</v>
      </c>
      <c r="P8019" s="0" t="s">
        <v>2444</v>
      </c>
    </row>
    <row r="8020" customFormat="false" ht="15" hidden="false" customHeight="true" outlineLevel="0" collapsed="false">
      <c r="A8020" s="0" t="n">
        <v>2</v>
      </c>
      <c r="B8020" s="71" t="n">
        <v>46273</v>
      </c>
      <c r="C8020" s="0" t="n">
        <v>22</v>
      </c>
      <c r="D8020" s="0" t="s">
        <v>2479</v>
      </c>
      <c r="E8020" s="0" t="n">
        <v>48</v>
      </c>
      <c r="F8020" s="0" t="s">
        <v>153</v>
      </c>
      <c r="I8020" s="0" t="n">
        <v>2663</v>
      </c>
      <c r="J8020" s="0" t="n">
        <v>100002</v>
      </c>
      <c r="K8020" s="0" t="n">
        <v>3</v>
      </c>
      <c r="L8020" s="0" t="s">
        <v>2482</v>
      </c>
      <c r="N8020" s="0" t="n">
        <v>20.37</v>
      </c>
      <c r="O8020" s="0" t="n">
        <v>476.69</v>
      </c>
      <c r="P8020" s="0" t="s">
        <v>2444</v>
      </c>
    </row>
    <row r="8021" customFormat="false" ht="15" hidden="false" customHeight="true" outlineLevel="0" collapsed="false">
      <c r="A8021" s="0" t="n">
        <v>2</v>
      </c>
      <c r="B8021" s="71" t="n">
        <v>46273</v>
      </c>
      <c r="C8021" s="0" t="n">
        <v>22</v>
      </c>
      <c r="D8021" s="0" t="s">
        <v>2479</v>
      </c>
      <c r="E8021" s="0" t="n">
        <v>48</v>
      </c>
      <c r="F8021" s="0" t="s">
        <v>153</v>
      </c>
      <c r="I8021" s="0" t="n">
        <v>2663</v>
      </c>
      <c r="J8021" s="0" t="n">
        <v>100003</v>
      </c>
      <c r="K8021" s="0" t="n">
        <v>4</v>
      </c>
      <c r="L8021" s="0" t="s">
        <v>2483</v>
      </c>
      <c r="N8021" s="0" t="n">
        <v>16.51</v>
      </c>
      <c r="O8021" s="0" t="n">
        <v>412.13</v>
      </c>
      <c r="P8021" s="0" t="s">
        <v>2444</v>
      </c>
    </row>
    <row r="8022" customFormat="false" ht="15" hidden="false" customHeight="true" outlineLevel="0" collapsed="false">
      <c r="A8022" s="0" t="n">
        <v>2</v>
      </c>
      <c r="B8022" s="71" t="n">
        <v>46273</v>
      </c>
      <c r="C8022" s="0" t="n">
        <v>22</v>
      </c>
      <c r="D8022" s="0" t="s">
        <v>2479</v>
      </c>
      <c r="E8022" s="0" t="n">
        <v>48</v>
      </c>
      <c r="F8022" s="0" t="s">
        <v>153</v>
      </c>
      <c r="I8022" s="0" t="n">
        <v>2663</v>
      </c>
      <c r="J8022" s="0" t="n">
        <v>100004</v>
      </c>
      <c r="K8022" s="0" t="n">
        <v>5</v>
      </c>
      <c r="L8022" s="0" t="s">
        <v>2484</v>
      </c>
      <c r="N8022" s="0" t="n">
        <v>2.266</v>
      </c>
      <c r="O8022" s="0" t="n">
        <v>49.49</v>
      </c>
      <c r="P8022" s="0" t="s">
        <v>2444</v>
      </c>
    </row>
    <row r="8023" customFormat="false" ht="15" hidden="false" customHeight="true" outlineLevel="0" collapsed="false">
      <c r="A8023" s="0" t="n">
        <v>2</v>
      </c>
      <c r="B8023" s="71" t="n">
        <v>46273</v>
      </c>
      <c r="C8023" s="0" t="n">
        <v>22</v>
      </c>
      <c r="D8023" s="0" t="s">
        <v>2479</v>
      </c>
      <c r="E8023" s="0" t="n">
        <v>48</v>
      </c>
      <c r="F8023" s="0" t="s">
        <v>153</v>
      </c>
      <c r="I8023" s="0" t="n">
        <v>2663</v>
      </c>
      <c r="J8023" s="0" t="n">
        <v>100005</v>
      </c>
      <c r="K8023" s="0" t="n">
        <v>6</v>
      </c>
      <c r="L8023" s="0" t="s">
        <v>2582</v>
      </c>
      <c r="N8023" s="0" t="n">
        <v>2.498</v>
      </c>
      <c r="O8023" s="0" t="n">
        <v>58.46</v>
      </c>
      <c r="P8023" s="0" t="s">
        <v>2444</v>
      </c>
    </row>
    <row r="8024" customFormat="false" ht="15" hidden="false" customHeight="true" outlineLevel="0" collapsed="false">
      <c r="A8024" s="0" t="n">
        <v>2</v>
      </c>
      <c r="B8024" s="71" t="n">
        <v>46273</v>
      </c>
      <c r="C8024" s="0" t="n">
        <v>22</v>
      </c>
      <c r="D8024" s="0" t="s">
        <v>2479</v>
      </c>
      <c r="E8024" s="0" t="n">
        <v>48</v>
      </c>
      <c r="F8024" s="0" t="s">
        <v>153</v>
      </c>
      <c r="I8024" s="0" t="n">
        <v>2663</v>
      </c>
      <c r="J8024" s="0" t="n">
        <v>100007</v>
      </c>
      <c r="K8024" s="0" t="n">
        <v>8</v>
      </c>
      <c r="L8024" s="0" t="s">
        <v>2486</v>
      </c>
      <c r="N8024" s="0" t="n">
        <v>3.112</v>
      </c>
      <c r="O8024" s="0" t="n">
        <v>72.83</v>
      </c>
      <c r="P8024" s="0" t="s">
        <v>2444</v>
      </c>
    </row>
    <row r="8025" customFormat="false" ht="15" hidden="false" customHeight="true" outlineLevel="0" collapsed="false">
      <c r="A8025" s="0" t="n">
        <v>2</v>
      </c>
      <c r="B8025" s="71" t="n">
        <v>46273</v>
      </c>
      <c r="C8025" s="0" t="n">
        <v>22</v>
      </c>
      <c r="D8025" s="0" t="s">
        <v>2479</v>
      </c>
      <c r="E8025" s="0" t="n">
        <v>48</v>
      </c>
      <c r="F8025" s="0" t="s">
        <v>153</v>
      </c>
      <c r="I8025" s="0" t="n">
        <v>2663</v>
      </c>
      <c r="J8025" s="0" t="n">
        <v>100019</v>
      </c>
      <c r="K8025" s="0" t="n">
        <v>20</v>
      </c>
      <c r="L8025" s="0" t="s">
        <v>3779</v>
      </c>
      <c r="N8025" s="0" t="n">
        <v>3.91</v>
      </c>
      <c r="O8025" s="0" t="n">
        <v>128.11</v>
      </c>
      <c r="P8025" s="0" t="s">
        <v>2444</v>
      </c>
    </row>
    <row r="8026" customFormat="false" ht="15" hidden="false" customHeight="true" outlineLevel="0" collapsed="false">
      <c r="A8026" s="0" t="n">
        <v>2</v>
      </c>
      <c r="B8026" s="71" t="n">
        <v>46273</v>
      </c>
      <c r="C8026" s="0" t="n">
        <v>22</v>
      </c>
      <c r="D8026" s="0" t="s">
        <v>2479</v>
      </c>
      <c r="E8026" s="0" t="n">
        <v>48</v>
      </c>
      <c r="F8026" s="0" t="s">
        <v>153</v>
      </c>
      <c r="I8026" s="0" t="n">
        <v>2663</v>
      </c>
      <c r="J8026" s="0" t="n">
        <v>100638</v>
      </c>
      <c r="K8026" s="0" t="n">
        <v>508</v>
      </c>
      <c r="L8026" s="0" t="s">
        <v>2496</v>
      </c>
      <c r="N8026" s="0" t="n">
        <v>1.664</v>
      </c>
      <c r="O8026" s="0" t="n">
        <v>3.88</v>
      </c>
      <c r="P8026" s="0" t="s">
        <v>2444</v>
      </c>
    </row>
    <row r="8027" customFormat="false" ht="15" hidden="false" customHeight="true" outlineLevel="0" collapsed="false">
      <c r="A8027" s="0" t="n">
        <v>2</v>
      </c>
      <c r="B8027" s="71" t="n">
        <v>46273</v>
      </c>
      <c r="C8027" s="0" t="n">
        <v>22</v>
      </c>
      <c r="D8027" s="0" t="s">
        <v>2479</v>
      </c>
      <c r="E8027" s="0" t="n">
        <v>48</v>
      </c>
      <c r="F8027" s="0" t="s">
        <v>153</v>
      </c>
      <c r="I8027" s="0" t="n">
        <v>2663</v>
      </c>
      <c r="J8027" s="0" t="n">
        <v>110137</v>
      </c>
      <c r="K8027" s="0" t="n">
        <v>13899</v>
      </c>
      <c r="L8027" s="0" t="s">
        <v>3780</v>
      </c>
      <c r="N8027" s="0" t="n">
        <v>3.026</v>
      </c>
      <c r="O8027" s="0" t="n">
        <v>11.78</v>
      </c>
      <c r="P8027" s="0" t="s">
        <v>2444</v>
      </c>
    </row>
    <row r="8028" customFormat="false" ht="15" hidden="false" customHeight="true" outlineLevel="0" collapsed="false">
      <c r="A8028" s="0" t="n">
        <v>2</v>
      </c>
      <c r="B8028" s="71" t="n">
        <v>46273</v>
      </c>
      <c r="C8028" s="0" t="n">
        <v>22</v>
      </c>
      <c r="D8028" s="0" t="s">
        <v>2479</v>
      </c>
      <c r="E8028" s="0" t="n">
        <v>48</v>
      </c>
      <c r="F8028" s="0" t="s">
        <v>153</v>
      </c>
      <c r="I8028" s="0" t="n">
        <v>2663</v>
      </c>
      <c r="J8028" s="0" t="n">
        <v>110455</v>
      </c>
      <c r="K8028" s="0" t="n">
        <v>53212</v>
      </c>
      <c r="L8028" s="0" t="s">
        <v>2498</v>
      </c>
      <c r="N8028" s="0" t="n">
        <v>0.621</v>
      </c>
      <c r="O8028" s="0" t="n">
        <v>0</v>
      </c>
      <c r="P8028" s="0" t="s">
        <v>2444</v>
      </c>
    </row>
    <row r="8029" customFormat="false" ht="15" hidden="false" customHeight="true" outlineLevel="0" collapsed="false">
      <c r="A8029" s="0" t="n">
        <v>2</v>
      </c>
      <c r="B8029" s="71" t="n">
        <v>46273</v>
      </c>
      <c r="C8029" s="0" t="n">
        <v>100</v>
      </c>
      <c r="D8029" s="0" t="s">
        <v>2499</v>
      </c>
      <c r="E8029" s="0" t="n">
        <v>48</v>
      </c>
      <c r="F8029" s="0" t="s">
        <v>153</v>
      </c>
      <c r="I8029" s="0" t="n">
        <v>1673063</v>
      </c>
      <c r="J8029" s="0" t="n">
        <v>100000</v>
      </c>
      <c r="K8029" s="0" t="n">
        <v>1</v>
      </c>
      <c r="L8029" s="0" t="s">
        <v>2480</v>
      </c>
      <c r="N8029" s="0" t="n">
        <v>3.028</v>
      </c>
      <c r="O8029" s="0" t="n">
        <v>60.6</v>
      </c>
      <c r="P8029" s="0" t="s">
        <v>2444</v>
      </c>
    </row>
    <row r="8030" customFormat="false" ht="15" hidden="false" customHeight="true" outlineLevel="0" collapsed="false">
      <c r="A8030" s="0" t="n">
        <v>2</v>
      </c>
      <c r="B8030" s="71" t="n">
        <v>46273</v>
      </c>
      <c r="C8030" s="0" t="n">
        <v>100</v>
      </c>
      <c r="D8030" s="0" t="s">
        <v>2499</v>
      </c>
      <c r="E8030" s="0" t="n">
        <v>48</v>
      </c>
      <c r="F8030" s="0" t="s">
        <v>153</v>
      </c>
      <c r="I8030" s="0" t="n">
        <v>1673063</v>
      </c>
      <c r="J8030" s="0" t="n">
        <v>100006</v>
      </c>
      <c r="K8030" s="0" t="n">
        <v>7</v>
      </c>
      <c r="L8030" s="0" t="s">
        <v>2485</v>
      </c>
      <c r="N8030" s="0" t="n">
        <v>2.346</v>
      </c>
      <c r="O8030" s="0" t="n">
        <v>66.52</v>
      </c>
      <c r="P8030" s="0" t="s">
        <v>2444</v>
      </c>
    </row>
    <row r="8031" customFormat="false" ht="15" hidden="false" customHeight="true" outlineLevel="0" collapsed="false">
      <c r="A8031" s="0" t="n">
        <v>2</v>
      </c>
      <c r="B8031" s="71" t="n">
        <v>46273</v>
      </c>
      <c r="C8031" s="0" t="n">
        <v>100</v>
      </c>
      <c r="D8031" s="0" t="s">
        <v>2499</v>
      </c>
      <c r="E8031" s="0" t="n">
        <v>48</v>
      </c>
      <c r="F8031" s="0" t="s">
        <v>153</v>
      </c>
      <c r="I8031" s="0" t="n">
        <v>1673063</v>
      </c>
      <c r="J8031" s="0" t="n">
        <v>100007</v>
      </c>
      <c r="K8031" s="0" t="n">
        <v>8</v>
      </c>
      <c r="L8031" s="0" t="s">
        <v>2486</v>
      </c>
      <c r="N8031" s="0" t="n">
        <v>3.368</v>
      </c>
      <c r="O8031" s="0" t="n">
        <v>84.26</v>
      </c>
      <c r="P8031" s="0" t="s">
        <v>2444</v>
      </c>
    </row>
    <row r="8032" customFormat="false" ht="15" hidden="false" customHeight="true" outlineLevel="0" collapsed="false">
      <c r="A8032" s="0" t="n">
        <v>2</v>
      </c>
      <c r="B8032" s="71" t="n">
        <v>46273</v>
      </c>
      <c r="C8032" s="0" t="n">
        <v>100</v>
      </c>
      <c r="D8032" s="0" t="s">
        <v>2499</v>
      </c>
      <c r="E8032" s="0" t="n">
        <v>48</v>
      </c>
      <c r="F8032" s="0" t="s">
        <v>153</v>
      </c>
      <c r="I8032" s="0" t="n">
        <v>1673063</v>
      </c>
      <c r="J8032" s="0" t="n">
        <v>100008</v>
      </c>
      <c r="K8032" s="0" t="n">
        <v>9</v>
      </c>
      <c r="L8032" s="0" t="s">
        <v>2487</v>
      </c>
      <c r="N8032" s="0" t="n">
        <v>15.78</v>
      </c>
      <c r="O8032" s="0" t="n">
        <v>513.27</v>
      </c>
      <c r="P8032" s="0" t="s">
        <v>2444</v>
      </c>
    </row>
    <row r="8033" customFormat="false" ht="15" hidden="false" customHeight="true" outlineLevel="0" collapsed="false">
      <c r="A8033" s="0" t="n">
        <v>2</v>
      </c>
      <c r="B8033" s="71" t="n">
        <v>46273</v>
      </c>
      <c r="C8033" s="0" t="n">
        <v>100</v>
      </c>
      <c r="D8033" s="0" t="s">
        <v>2499</v>
      </c>
      <c r="E8033" s="0" t="n">
        <v>48</v>
      </c>
      <c r="F8033" s="0" t="s">
        <v>153</v>
      </c>
      <c r="I8033" s="0" t="n">
        <v>1673063</v>
      </c>
      <c r="J8033" s="0" t="n">
        <v>100011</v>
      </c>
      <c r="K8033" s="0" t="n">
        <v>12</v>
      </c>
      <c r="L8033" s="0" t="s">
        <v>2488</v>
      </c>
      <c r="N8033" s="0" t="n">
        <v>8.94</v>
      </c>
      <c r="O8033" s="0" t="n">
        <v>335.53</v>
      </c>
      <c r="P8033" s="0" t="s">
        <v>2444</v>
      </c>
    </row>
    <row r="8034" customFormat="false" ht="15" hidden="false" customHeight="true" outlineLevel="0" collapsed="false">
      <c r="A8034" s="0" t="n">
        <v>2</v>
      </c>
      <c r="B8034" s="71" t="n">
        <v>46273</v>
      </c>
      <c r="C8034" s="0" t="n">
        <v>100</v>
      </c>
      <c r="D8034" s="0" t="s">
        <v>2499</v>
      </c>
      <c r="E8034" s="0" t="n">
        <v>48</v>
      </c>
      <c r="F8034" s="0" t="s">
        <v>153</v>
      </c>
      <c r="I8034" s="0" t="n">
        <v>1673063</v>
      </c>
      <c r="J8034" s="0" t="n">
        <v>100012</v>
      </c>
      <c r="K8034" s="0" t="n">
        <v>13</v>
      </c>
      <c r="L8034" s="0" t="s">
        <v>2489</v>
      </c>
      <c r="N8034" s="0" t="n">
        <v>5.45</v>
      </c>
      <c r="O8034" s="0" t="n">
        <v>227.28</v>
      </c>
      <c r="P8034" s="0" t="s">
        <v>2444</v>
      </c>
    </row>
    <row r="8035" customFormat="false" ht="15" hidden="false" customHeight="true" outlineLevel="0" collapsed="false">
      <c r="A8035" s="0" t="n">
        <v>2</v>
      </c>
      <c r="B8035" s="71" t="n">
        <v>46273</v>
      </c>
      <c r="C8035" s="0" t="n">
        <v>100</v>
      </c>
      <c r="D8035" s="0" t="s">
        <v>2499</v>
      </c>
      <c r="E8035" s="0" t="n">
        <v>48</v>
      </c>
      <c r="F8035" s="0" t="s">
        <v>153</v>
      </c>
      <c r="I8035" s="0" t="n">
        <v>1673063</v>
      </c>
      <c r="J8035" s="0" t="n">
        <v>100013</v>
      </c>
      <c r="K8035" s="0" t="n">
        <v>14</v>
      </c>
      <c r="L8035" s="0" t="s">
        <v>2490</v>
      </c>
      <c r="N8035" s="0" t="n">
        <v>11.035</v>
      </c>
      <c r="O8035" s="0" t="n">
        <v>487.81</v>
      </c>
      <c r="P8035" s="0" t="s">
        <v>2444</v>
      </c>
    </row>
    <row r="8036" customFormat="false" ht="15" hidden="false" customHeight="true" outlineLevel="0" collapsed="false">
      <c r="A8036" s="0" t="n">
        <v>2</v>
      </c>
      <c r="B8036" s="71" t="n">
        <v>46273</v>
      </c>
      <c r="C8036" s="0" t="n">
        <v>100</v>
      </c>
      <c r="D8036" s="0" t="s">
        <v>2499</v>
      </c>
      <c r="E8036" s="0" t="n">
        <v>48</v>
      </c>
      <c r="F8036" s="0" t="s">
        <v>153</v>
      </c>
      <c r="I8036" s="0" t="n">
        <v>1673063</v>
      </c>
      <c r="J8036" s="0" t="n">
        <v>100014</v>
      </c>
      <c r="K8036" s="0" t="n">
        <v>15</v>
      </c>
      <c r="L8036" s="0" t="s">
        <v>2491</v>
      </c>
      <c r="N8036" s="0" t="n">
        <v>4.254</v>
      </c>
      <c r="O8036" s="0" t="n">
        <v>191.6</v>
      </c>
      <c r="P8036" s="0" t="s">
        <v>2444</v>
      </c>
    </row>
    <row r="8037" customFormat="false" ht="15" hidden="false" customHeight="true" outlineLevel="0" collapsed="false">
      <c r="A8037" s="0" t="n">
        <v>2</v>
      </c>
      <c r="B8037" s="71" t="n">
        <v>46273</v>
      </c>
      <c r="C8037" s="0" t="n">
        <v>100</v>
      </c>
      <c r="D8037" s="0" t="s">
        <v>2499</v>
      </c>
      <c r="E8037" s="0" t="n">
        <v>48</v>
      </c>
      <c r="F8037" s="0" t="s">
        <v>153</v>
      </c>
      <c r="I8037" s="0" t="n">
        <v>1673063</v>
      </c>
      <c r="J8037" s="0" t="n">
        <v>100015</v>
      </c>
      <c r="K8037" s="0" t="n">
        <v>16</v>
      </c>
      <c r="L8037" s="0" t="s">
        <v>2492</v>
      </c>
      <c r="N8037" s="0" t="n">
        <v>1.66</v>
      </c>
      <c r="O8037" s="0" t="n">
        <v>66.46</v>
      </c>
      <c r="P8037" s="0" t="s">
        <v>2444</v>
      </c>
    </row>
    <row r="8038" customFormat="false" ht="15" hidden="false" customHeight="true" outlineLevel="0" collapsed="false">
      <c r="A8038" s="0" t="n">
        <v>2</v>
      </c>
      <c r="B8038" s="71" t="n">
        <v>46273</v>
      </c>
      <c r="C8038" s="0" t="n">
        <v>100</v>
      </c>
      <c r="D8038" s="0" t="s">
        <v>2499</v>
      </c>
      <c r="E8038" s="0" t="n">
        <v>48</v>
      </c>
      <c r="F8038" s="0" t="s">
        <v>153</v>
      </c>
      <c r="I8038" s="0" t="n">
        <v>1673063</v>
      </c>
      <c r="J8038" s="0" t="n">
        <v>100016</v>
      </c>
      <c r="K8038" s="0" t="n">
        <v>17</v>
      </c>
      <c r="L8038" s="0" t="s">
        <v>2493</v>
      </c>
      <c r="N8038" s="0" t="n">
        <v>2.338</v>
      </c>
      <c r="O8038" s="0" t="n">
        <v>117.01</v>
      </c>
      <c r="P8038" s="0" t="s">
        <v>2444</v>
      </c>
    </row>
    <row r="8039" customFormat="false" ht="15" hidden="false" customHeight="true" outlineLevel="0" collapsed="false">
      <c r="A8039" s="0" t="n">
        <v>2</v>
      </c>
      <c r="B8039" s="71" t="n">
        <v>46273</v>
      </c>
      <c r="C8039" s="0" t="n">
        <v>100</v>
      </c>
      <c r="D8039" s="0" t="s">
        <v>2499</v>
      </c>
      <c r="E8039" s="0" t="n">
        <v>48</v>
      </c>
      <c r="F8039" s="0" t="s">
        <v>153</v>
      </c>
      <c r="I8039" s="0" t="n">
        <v>1673063</v>
      </c>
      <c r="J8039" s="0" t="n">
        <v>100017</v>
      </c>
      <c r="K8039" s="0" t="n">
        <v>18</v>
      </c>
      <c r="L8039" s="0" t="s">
        <v>2494</v>
      </c>
      <c r="N8039" s="0" t="n">
        <v>1.606</v>
      </c>
      <c r="O8039" s="0" t="n">
        <v>93.77</v>
      </c>
      <c r="P8039" s="0" t="s">
        <v>2444</v>
      </c>
    </row>
    <row r="8040" customFormat="false" ht="15" hidden="false" customHeight="true" outlineLevel="0" collapsed="false">
      <c r="A8040" s="0" t="n">
        <v>2</v>
      </c>
      <c r="B8040" s="71" t="n">
        <v>46273</v>
      </c>
      <c r="C8040" s="0" t="n">
        <v>100</v>
      </c>
      <c r="D8040" s="0" t="s">
        <v>2499</v>
      </c>
      <c r="E8040" s="0" t="n">
        <v>48</v>
      </c>
      <c r="F8040" s="0" t="s">
        <v>153</v>
      </c>
      <c r="I8040" s="0" t="n">
        <v>1673063</v>
      </c>
      <c r="J8040" s="0" t="n">
        <v>100053</v>
      </c>
      <c r="K8040" s="0" t="n">
        <v>54</v>
      </c>
      <c r="L8040" s="0" t="s">
        <v>2495</v>
      </c>
      <c r="N8040" s="0" t="n">
        <v>3.336</v>
      </c>
      <c r="O8040" s="0" t="n">
        <v>122.42</v>
      </c>
      <c r="P8040" s="0" t="s">
        <v>2444</v>
      </c>
    </row>
    <row r="8041" customFormat="false" ht="15" hidden="false" customHeight="true" outlineLevel="0" collapsed="false">
      <c r="A8041" s="0" t="n">
        <v>2</v>
      </c>
      <c r="B8041" s="71" t="n">
        <v>46273</v>
      </c>
      <c r="C8041" s="0" t="n">
        <v>100</v>
      </c>
      <c r="D8041" s="0" t="s">
        <v>2499</v>
      </c>
      <c r="E8041" s="0" t="n">
        <v>48</v>
      </c>
      <c r="F8041" s="0" t="s">
        <v>153</v>
      </c>
      <c r="I8041" s="0" t="n">
        <v>1673063</v>
      </c>
      <c r="J8041" s="0" t="n">
        <v>100638</v>
      </c>
      <c r="K8041" s="0" t="n">
        <v>508</v>
      </c>
      <c r="L8041" s="0" t="s">
        <v>2496</v>
      </c>
      <c r="N8041" s="0" t="n">
        <v>1.192</v>
      </c>
      <c r="O8041" s="0" t="n">
        <v>2.97</v>
      </c>
      <c r="P8041" s="0" t="s">
        <v>2444</v>
      </c>
    </row>
    <row r="8042" customFormat="false" ht="15" hidden="false" customHeight="true" outlineLevel="0" collapsed="false">
      <c r="A8042" s="0" t="n">
        <v>2</v>
      </c>
      <c r="B8042" s="71" t="n">
        <v>46273</v>
      </c>
      <c r="C8042" s="0" t="n">
        <v>100</v>
      </c>
      <c r="D8042" s="0" t="s">
        <v>2499</v>
      </c>
      <c r="E8042" s="0" t="n">
        <v>48</v>
      </c>
      <c r="F8042" s="0" t="s">
        <v>153</v>
      </c>
      <c r="I8042" s="0" t="n">
        <v>1673063</v>
      </c>
      <c r="J8042" s="0" t="n">
        <v>100520</v>
      </c>
      <c r="K8042" s="0" t="n">
        <v>507</v>
      </c>
      <c r="L8042" s="0" t="s">
        <v>2497</v>
      </c>
      <c r="N8042" s="0" t="n">
        <v>9.66</v>
      </c>
      <c r="O8042" s="0" t="n">
        <v>24.1</v>
      </c>
      <c r="P8042" s="0" t="s">
        <v>2444</v>
      </c>
    </row>
    <row r="8043" customFormat="false" ht="15" hidden="false" customHeight="true" outlineLevel="0" collapsed="false">
      <c r="A8043" s="0" t="n">
        <v>2</v>
      </c>
      <c r="B8043" s="71" t="n">
        <v>46273</v>
      </c>
      <c r="C8043" s="0" t="n">
        <v>100</v>
      </c>
      <c r="D8043" s="0" t="s">
        <v>2499</v>
      </c>
      <c r="E8043" s="0" t="n">
        <v>48</v>
      </c>
      <c r="F8043" s="0" t="s">
        <v>153</v>
      </c>
      <c r="I8043" s="0" t="n">
        <v>1673063</v>
      </c>
      <c r="J8043" s="0" t="n">
        <v>110455</v>
      </c>
      <c r="K8043" s="0" t="n">
        <v>53212</v>
      </c>
      <c r="L8043" s="0" t="s">
        <v>2498</v>
      </c>
      <c r="N8043" s="0" t="n">
        <v>0.807</v>
      </c>
      <c r="O8043" s="0" t="n">
        <v>0</v>
      </c>
      <c r="P8043" s="0" t="s">
        <v>2444</v>
      </c>
    </row>
    <row r="8044" customFormat="false" ht="15" hidden="false" customHeight="true" outlineLevel="0" collapsed="false">
      <c r="A8044" s="0" t="n">
        <v>2</v>
      </c>
      <c r="B8044" s="71" t="n">
        <v>46273</v>
      </c>
      <c r="C8044" s="0" t="n">
        <v>100</v>
      </c>
      <c r="D8044" s="0" t="s">
        <v>2499</v>
      </c>
      <c r="E8044" s="0" t="n">
        <v>48</v>
      </c>
      <c r="F8044" s="0" t="s">
        <v>153</v>
      </c>
      <c r="I8044" s="0" t="n">
        <v>1673067</v>
      </c>
      <c r="J8044" s="0" t="n">
        <v>100008</v>
      </c>
      <c r="K8044" s="0" t="n">
        <v>9</v>
      </c>
      <c r="L8044" s="0" t="s">
        <v>2487</v>
      </c>
      <c r="N8044" s="0" t="n">
        <v>17.64</v>
      </c>
      <c r="O8044" s="0" t="n">
        <v>530.23</v>
      </c>
      <c r="P8044" s="0" t="s">
        <v>2444</v>
      </c>
    </row>
    <row r="8045" customFormat="false" ht="15" hidden="false" customHeight="true" outlineLevel="0" collapsed="false">
      <c r="A8045" s="0" t="n">
        <v>2</v>
      </c>
      <c r="B8045" s="71" t="n">
        <v>46273</v>
      </c>
      <c r="C8045" s="0" t="n">
        <v>100</v>
      </c>
      <c r="D8045" s="0" t="s">
        <v>2499</v>
      </c>
      <c r="E8045" s="0" t="n">
        <v>48</v>
      </c>
      <c r="F8045" s="0" t="s">
        <v>153</v>
      </c>
      <c r="I8045" s="0" t="n">
        <v>1673067</v>
      </c>
      <c r="J8045" s="0" t="n">
        <v>100016</v>
      </c>
      <c r="K8045" s="0" t="n">
        <v>17</v>
      </c>
      <c r="L8045" s="0" t="s">
        <v>2493</v>
      </c>
      <c r="N8045" s="0" t="n">
        <v>2.1</v>
      </c>
      <c r="O8045" s="0" t="n">
        <v>97.12</v>
      </c>
      <c r="P8045" s="0" t="s">
        <v>2444</v>
      </c>
    </row>
    <row r="8046" customFormat="false" ht="15" hidden="false" customHeight="true" outlineLevel="0" collapsed="false">
      <c r="A8046" s="0" t="n">
        <v>2</v>
      </c>
      <c r="B8046" s="71" t="n">
        <v>46273</v>
      </c>
      <c r="C8046" s="0" t="n">
        <v>100</v>
      </c>
      <c r="D8046" s="0" t="s">
        <v>2499</v>
      </c>
      <c r="E8046" s="0" t="n">
        <v>48</v>
      </c>
      <c r="F8046" s="0" t="s">
        <v>153</v>
      </c>
      <c r="I8046" s="0" t="n">
        <v>1673067</v>
      </c>
      <c r="J8046" s="0" t="n">
        <v>100053</v>
      </c>
      <c r="K8046" s="0" t="n">
        <v>54</v>
      </c>
      <c r="L8046" s="0" t="s">
        <v>2495</v>
      </c>
      <c r="N8046" s="0" t="n">
        <v>2.26</v>
      </c>
      <c r="O8046" s="0" t="n">
        <v>76.65</v>
      </c>
      <c r="P8046" s="0" t="s">
        <v>2444</v>
      </c>
    </row>
    <row r="8047" customFormat="false" ht="15" hidden="false" customHeight="true" outlineLevel="0" collapsed="false">
      <c r="A8047" s="0" t="n">
        <v>2</v>
      </c>
      <c r="B8047" s="71" t="n">
        <v>46273</v>
      </c>
      <c r="C8047" s="0" t="n">
        <v>100</v>
      </c>
      <c r="D8047" s="0" t="s">
        <v>2499</v>
      </c>
      <c r="E8047" s="0" t="n">
        <v>48</v>
      </c>
      <c r="F8047" s="0" t="s">
        <v>153</v>
      </c>
      <c r="I8047" s="0" t="n">
        <v>1673074</v>
      </c>
      <c r="J8047" s="0" t="n">
        <v>100007</v>
      </c>
      <c r="K8047" s="0" t="n">
        <v>8</v>
      </c>
      <c r="L8047" s="0" t="s">
        <v>2486</v>
      </c>
      <c r="N8047" s="0" t="n">
        <v>0.704</v>
      </c>
      <c r="O8047" s="0" t="n">
        <v>16.17</v>
      </c>
      <c r="P8047" s="0" t="s">
        <v>2444</v>
      </c>
    </row>
    <row r="8048" customFormat="false" ht="15" hidden="false" customHeight="true" outlineLevel="0" collapsed="false">
      <c r="A8048" s="0" t="n">
        <v>2</v>
      </c>
      <c r="B8048" s="71" t="n">
        <v>46273</v>
      </c>
      <c r="C8048" s="0" t="n">
        <v>100</v>
      </c>
      <c r="D8048" s="0" t="s">
        <v>2499</v>
      </c>
      <c r="E8048" s="0" t="n">
        <v>48</v>
      </c>
      <c r="F8048" s="0" t="s">
        <v>153</v>
      </c>
      <c r="I8048" s="0" t="n">
        <v>1673074</v>
      </c>
      <c r="J8048" s="0" t="n">
        <v>100008</v>
      </c>
      <c r="K8048" s="0" t="n">
        <v>9</v>
      </c>
      <c r="L8048" s="0" t="s">
        <v>2487</v>
      </c>
      <c r="N8048" s="0" t="n">
        <v>22.53</v>
      </c>
      <c r="O8048" s="0" t="n">
        <v>672.58</v>
      </c>
      <c r="P8048" s="0" t="s">
        <v>2444</v>
      </c>
    </row>
    <row r="8049" customFormat="false" ht="15" hidden="false" customHeight="true" outlineLevel="0" collapsed="false">
      <c r="A8049" s="0" t="n">
        <v>2</v>
      </c>
      <c r="B8049" s="71" t="n">
        <v>46273</v>
      </c>
      <c r="C8049" s="0" t="n">
        <v>100</v>
      </c>
      <c r="D8049" s="0" t="s">
        <v>2499</v>
      </c>
      <c r="E8049" s="0" t="n">
        <v>48</v>
      </c>
      <c r="F8049" s="0" t="s">
        <v>153</v>
      </c>
      <c r="I8049" s="0" t="n">
        <v>1673074</v>
      </c>
      <c r="J8049" s="0" t="n">
        <v>100016</v>
      </c>
      <c r="K8049" s="0" t="n">
        <v>17</v>
      </c>
      <c r="L8049" s="0" t="s">
        <v>2493</v>
      </c>
      <c r="N8049" s="0" t="n">
        <v>3.54</v>
      </c>
      <c r="O8049" s="0" t="n">
        <v>162.6</v>
      </c>
      <c r="P8049" s="0" t="s">
        <v>2444</v>
      </c>
    </row>
    <row r="8050" customFormat="false" ht="15" hidden="false" customHeight="true" outlineLevel="0" collapsed="false">
      <c r="A8050" s="0" t="n">
        <v>2</v>
      </c>
      <c r="B8050" s="71" t="n">
        <v>46273</v>
      </c>
      <c r="C8050" s="0" t="n">
        <v>100</v>
      </c>
      <c r="D8050" s="0" t="s">
        <v>2499</v>
      </c>
      <c r="E8050" s="0" t="n">
        <v>48</v>
      </c>
      <c r="F8050" s="0" t="s">
        <v>153</v>
      </c>
      <c r="I8050" s="0" t="n">
        <v>1673074</v>
      </c>
      <c r="J8050" s="0" t="n">
        <v>100053</v>
      </c>
      <c r="K8050" s="0" t="n">
        <v>54</v>
      </c>
      <c r="L8050" s="0" t="s">
        <v>2495</v>
      </c>
      <c r="N8050" s="0" t="n">
        <v>3.226</v>
      </c>
      <c r="O8050" s="0" t="n">
        <v>108.65</v>
      </c>
      <c r="P8050" s="0" t="s">
        <v>2444</v>
      </c>
    </row>
    <row r="8051" customFormat="false" ht="15" hidden="false" customHeight="true" outlineLevel="0" collapsed="false">
      <c r="A8051" s="0" t="n">
        <v>2</v>
      </c>
      <c r="B8051" s="71" t="n">
        <v>46273</v>
      </c>
      <c r="C8051" s="0" t="n">
        <v>100</v>
      </c>
      <c r="D8051" s="0" t="s">
        <v>2499</v>
      </c>
      <c r="E8051" s="0" t="n">
        <v>48</v>
      </c>
      <c r="F8051" s="0" t="s">
        <v>153</v>
      </c>
      <c r="I8051" s="0" t="n">
        <v>1673712</v>
      </c>
      <c r="J8051" s="0" t="n">
        <v>100000</v>
      </c>
      <c r="K8051" s="0" t="n">
        <v>1</v>
      </c>
      <c r="L8051" s="0" t="s">
        <v>2480</v>
      </c>
      <c r="N8051" s="0" t="n">
        <v>2.888</v>
      </c>
      <c r="O8051" s="0" t="n">
        <v>54.06</v>
      </c>
      <c r="P8051" s="0" t="s">
        <v>2444</v>
      </c>
    </row>
    <row r="8052" customFormat="false" ht="15" hidden="false" customHeight="true" outlineLevel="0" collapsed="false">
      <c r="A8052" s="0" t="n">
        <v>2</v>
      </c>
      <c r="B8052" s="71" t="n">
        <v>46273</v>
      </c>
      <c r="C8052" s="0" t="n">
        <v>100</v>
      </c>
      <c r="D8052" s="0" t="s">
        <v>2499</v>
      </c>
      <c r="E8052" s="0" t="n">
        <v>48</v>
      </c>
      <c r="F8052" s="0" t="s">
        <v>153</v>
      </c>
      <c r="I8052" s="0" t="n">
        <v>1673712</v>
      </c>
      <c r="J8052" s="0" t="n">
        <v>100001</v>
      </c>
      <c r="K8052" s="0" t="n">
        <v>2</v>
      </c>
      <c r="L8052" s="0" t="s">
        <v>2481</v>
      </c>
      <c r="N8052" s="0" t="n">
        <v>9.535</v>
      </c>
      <c r="O8052" s="0" t="n">
        <v>193.37</v>
      </c>
      <c r="P8052" s="0" t="s">
        <v>2444</v>
      </c>
    </row>
    <row r="8053" customFormat="false" ht="15" hidden="false" customHeight="true" outlineLevel="0" collapsed="false">
      <c r="A8053" s="0" t="n">
        <v>2</v>
      </c>
      <c r="B8053" s="71" t="n">
        <v>46273</v>
      </c>
      <c r="C8053" s="0" t="n">
        <v>100</v>
      </c>
      <c r="D8053" s="0" t="s">
        <v>2499</v>
      </c>
      <c r="E8053" s="0" t="n">
        <v>48</v>
      </c>
      <c r="F8053" s="0" t="s">
        <v>153</v>
      </c>
      <c r="I8053" s="0" t="n">
        <v>1673712</v>
      </c>
      <c r="J8053" s="0" t="n">
        <v>100002</v>
      </c>
      <c r="K8053" s="0" t="n">
        <v>3</v>
      </c>
      <c r="L8053" s="0" t="s">
        <v>2482</v>
      </c>
      <c r="N8053" s="0" t="n">
        <v>20.37</v>
      </c>
      <c r="O8053" s="0" t="n">
        <v>476.69</v>
      </c>
      <c r="P8053" s="0" t="s">
        <v>2444</v>
      </c>
    </row>
    <row r="8054" customFormat="false" ht="15" hidden="false" customHeight="true" outlineLevel="0" collapsed="false">
      <c r="A8054" s="0" t="n">
        <v>2</v>
      </c>
      <c r="B8054" s="71" t="n">
        <v>46273</v>
      </c>
      <c r="C8054" s="0" t="n">
        <v>100</v>
      </c>
      <c r="D8054" s="0" t="s">
        <v>2499</v>
      </c>
      <c r="E8054" s="0" t="n">
        <v>48</v>
      </c>
      <c r="F8054" s="0" t="s">
        <v>153</v>
      </c>
      <c r="I8054" s="0" t="n">
        <v>1673712</v>
      </c>
      <c r="J8054" s="0" t="n">
        <v>100003</v>
      </c>
      <c r="K8054" s="0" t="n">
        <v>4</v>
      </c>
      <c r="L8054" s="0" t="s">
        <v>2483</v>
      </c>
      <c r="N8054" s="0" t="n">
        <v>16.51</v>
      </c>
      <c r="O8054" s="0" t="n">
        <v>412.13</v>
      </c>
      <c r="P8054" s="0" t="s">
        <v>2444</v>
      </c>
    </row>
    <row r="8055" customFormat="false" ht="15" hidden="false" customHeight="true" outlineLevel="0" collapsed="false">
      <c r="A8055" s="0" t="n">
        <v>2</v>
      </c>
      <c r="B8055" s="71" t="n">
        <v>46273</v>
      </c>
      <c r="C8055" s="0" t="n">
        <v>100</v>
      </c>
      <c r="D8055" s="0" t="s">
        <v>2499</v>
      </c>
      <c r="E8055" s="0" t="n">
        <v>48</v>
      </c>
      <c r="F8055" s="0" t="s">
        <v>153</v>
      </c>
      <c r="I8055" s="0" t="n">
        <v>1673712</v>
      </c>
      <c r="J8055" s="0" t="n">
        <v>100004</v>
      </c>
      <c r="K8055" s="0" t="n">
        <v>5</v>
      </c>
      <c r="L8055" s="0" t="s">
        <v>2484</v>
      </c>
      <c r="N8055" s="0" t="n">
        <v>2.266</v>
      </c>
      <c r="O8055" s="0" t="n">
        <v>49.49</v>
      </c>
      <c r="P8055" s="0" t="s">
        <v>2444</v>
      </c>
    </row>
    <row r="8056" customFormat="false" ht="15" hidden="false" customHeight="true" outlineLevel="0" collapsed="false">
      <c r="A8056" s="0" t="n">
        <v>2</v>
      </c>
      <c r="B8056" s="71" t="n">
        <v>46273</v>
      </c>
      <c r="C8056" s="0" t="n">
        <v>100</v>
      </c>
      <c r="D8056" s="0" t="s">
        <v>2499</v>
      </c>
      <c r="E8056" s="0" t="n">
        <v>48</v>
      </c>
      <c r="F8056" s="0" t="s">
        <v>153</v>
      </c>
      <c r="I8056" s="0" t="n">
        <v>1673712</v>
      </c>
      <c r="J8056" s="0" t="n">
        <v>100005</v>
      </c>
      <c r="K8056" s="0" t="n">
        <v>6</v>
      </c>
      <c r="L8056" s="0" t="s">
        <v>2582</v>
      </c>
      <c r="N8056" s="0" t="n">
        <v>2.498</v>
      </c>
      <c r="O8056" s="0" t="n">
        <v>58.46</v>
      </c>
      <c r="P8056" s="0" t="s">
        <v>2444</v>
      </c>
    </row>
    <row r="8057" customFormat="false" ht="15" hidden="false" customHeight="true" outlineLevel="0" collapsed="false">
      <c r="A8057" s="0" t="n">
        <v>2</v>
      </c>
      <c r="B8057" s="71" t="n">
        <v>46273</v>
      </c>
      <c r="C8057" s="0" t="n">
        <v>100</v>
      </c>
      <c r="D8057" s="0" t="s">
        <v>2499</v>
      </c>
      <c r="E8057" s="0" t="n">
        <v>48</v>
      </c>
      <c r="F8057" s="0" t="s">
        <v>153</v>
      </c>
      <c r="I8057" s="0" t="n">
        <v>1673712</v>
      </c>
      <c r="J8057" s="0" t="n">
        <v>100007</v>
      </c>
      <c r="K8057" s="0" t="n">
        <v>8</v>
      </c>
      <c r="L8057" s="0" t="s">
        <v>2486</v>
      </c>
      <c r="N8057" s="0" t="n">
        <v>3.112</v>
      </c>
      <c r="O8057" s="0" t="n">
        <v>72.83</v>
      </c>
      <c r="P8057" s="0" t="s">
        <v>2444</v>
      </c>
    </row>
    <row r="8058" customFormat="false" ht="15" hidden="false" customHeight="true" outlineLevel="0" collapsed="false">
      <c r="A8058" s="0" t="n">
        <v>2</v>
      </c>
      <c r="B8058" s="71" t="n">
        <v>46273</v>
      </c>
      <c r="C8058" s="0" t="n">
        <v>100</v>
      </c>
      <c r="D8058" s="0" t="s">
        <v>2499</v>
      </c>
      <c r="E8058" s="0" t="n">
        <v>48</v>
      </c>
      <c r="F8058" s="0" t="s">
        <v>153</v>
      </c>
      <c r="I8058" s="0" t="n">
        <v>1673712</v>
      </c>
      <c r="J8058" s="0" t="n">
        <v>100019</v>
      </c>
      <c r="K8058" s="0" t="n">
        <v>20</v>
      </c>
      <c r="L8058" s="0" t="s">
        <v>3779</v>
      </c>
      <c r="N8058" s="0" t="n">
        <v>3.91</v>
      </c>
      <c r="O8058" s="0" t="n">
        <v>128.11</v>
      </c>
      <c r="P8058" s="0" t="s">
        <v>2444</v>
      </c>
    </row>
    <row r="8059" customFormat="false" ht="15" hidden="false" customHeight="true" outlineLevel="0" collapsed="false">
      <c r="A8059" s="0" t="n">
        <v>2</v>
      </c>
      <c r="B8059" s="71" t="n">
        <v>46273</v>
      </c>
      <c r="C8059" s="0" t="n">
        <v>100</v>
      </c>
      <c r="D8059" s="0" t="s">
        <v>2499</v>
      </c>
      <c r="E8059" s="0" t="n">
        <v>48</v>
      </c>
      <c r="F8059" s="0" t="s">
        <v>153</v>
      </c>
      <c r="I8059" s="0" t="n">
        <v>1673712</v>
      </c>
      <c r="J8059" s="0" t="n">
        <v>100638</v>
      </c>
      <c r="K8059" s="0" t="n">
        <v>508</v>
      </c>
      <c r="L8059" s="0" t="s">
        <v>2496</v>
      </c>
      <c r="N8059" s="0" t="n">
        <v>1.664</v>
      </c>
      <c r="O8059" s="0" t="n">
        <v>3.88</v>
      </c>
      <c r="P8059" s="0" t="s">
        <v>2444</v>
      </c>
    </row>
    <row r="8060" customFormat="false" ht="15" hidden="false" customHeight="true" outlineLevel="0" collapsed="false">
      <c r="A8060" s="0" t="n">
        <v>2</v>
      </c>
      <c r="B8060" s="71" t="n">
        <v>46273</v>
      </c>
      <c r="C8060" s="0" t="n">
        <v>100</v>
      </c>
      <c r="D8060" s="0" t="s">
        <v>2499</v>
      </c>
      <c r="E8060" s="0" t="n">
        <v>48</v>
      </c>
      <c r="F8060" s="0" t="s">
        <v>153</v>
      </c>
      <c r="I8060" s="0" t="n">
        <v>1673712</v>
      </c>
      <c r="J8060" s="0" t="n">
        <v>110137</v>
      </c>
      <c r="K8060" s="0" t="n">
        <v>13899</v>
      </c>
      <c r="L8060" s="0" t="s">
        <v>3780</v>
      </c>
      <c r="N8060" s="0" t="n">
        <v>3.026</v>
      </c>
      <c r="O8060" s="0" t="n">
        <v>11.78</v>
      </c>
      <c r="P8060" s="0" t="s">
        <v>2444</v>
      </c>
    </row>
    <row r="8061" customFormat="false" ht="15" hidden="false" customHeight="true" outlineLevel="0" collapsed="false">
      <c r="A8061" s="0" t="n">
        <v>2</v>
      </c>
      <c r="B8061" s="71" t="n">
        <v>46273</v>
      </c>
      <c r="C8061" s="0" t="n">
        <v>100</v>
      </c>
      <c r="D8061" s="0" t="s">
        <v>2499</v>
      </c>
      <c r="E8061" s="0" t="n">
        <v>48</v>
      </c>
      <c r="F8061" s="0" t="s">
        <v>153</v>
      </c>
      <c r="I8061" s="0" t="n">
        <v>1673712</v>
      </c>
      <c r="J8061" s="0" t="n">
        <v>110455</v>
      </c>
      <c r="K8061" s="0" t="n">
        <v>53212</v>
      </c>
      <c r="L8061" s="0" t="s">
        <v>2498</v>
      </c>
      <c r="N8061" s="0" t="n">
        <v>0.621</v>
      </c>
      <c r="O8061" s="0" t="n">
        <v>0</v>
      </c>
      <c r="P8061" s="0" t="s">
        <v>2444</v>
      </c>
    </row>
    <row r="8062" customFormat="false" ht="15" hidden="false" customHeight="true" outlineLevel="0" collapsed="false">
      <c r="A8062" s="0" t="n">
        <v>2</v>
      </c>
      <c r="B8062" s="71" t="n">
        <v>46273</v>
      </c>
      <c r="C8062" s="0" t="n">
        <v>171</v>
      </c>
      <c r="D8062" s="0" t="s">
        <v>3017</v>
      </c>
      <c r="E8062" s="0" t="n">
        <v>1616</v>
      </c>
      <c r="F8062" s="0" t="s">
        <v>64</v>
      </c>
      <c r="I8062" s="0" t="n">
        <v>657844</v>
      </c>
      <c r="J8062" s="0" t="n">
        <v>20376</v>
      </c>
      <c r="K8062" s="0" t="n">
        <v>7896022205652</v>
      </c>
      <c r="L8062" s="0" t="s">
        <v>4328</v>
      </c>
      <c r="N8062" s="0" t="n">
        <v>36</v>
      </c>
      <c r="O8062" s="0" t="n">
        <v>43</v>
      </c>
      <c r="P8062" s="0" t="s">
        <v>3019</v>
      </c>
    </row>
    <row r="8063" customFormat="false" ht="15" hidden="false" customHeight="true" outlineLevel="0" collapsed="false">
      <c r="A8063" s="0" t="n">
        <v>2</v>
      </c>
      <c r="B8063" s="71" t="n">
        <v>46273</v>
      </c>
      <c r="C8063" s="0" t="n">
        <v>171</v>
      </c>
      <c r="D8063" s="0" t="s">
        <v>3017</v>
      </c>
      <c r="E8063" s="0" t="n">
        <v>1616</v>
      </c>
      <c r="F8063" s="0" t="s">
        <v>64</v>
      </c>
      <c r="I8063" s="0" t="n">
        <v>657844</v>
      </c>
      <c r="J8063" s="0" t="n">
        <v>29388</v>
      </c>
      <c r="K8063" s="0" t="n">
        <v>7896022205201</v>
      </c>
      <c r="L8063" s="0" t="s">
        <v>4334</v>
      </c>
      <c r="N8063" s="0" t="n">
        <v>9</v>
      </c>
      <c r="O8063" s="0" t="n">
        <v>38.25</v>
      </c>
      <c r="P8063" s="0" t="s">
        <v>3019</v>
      </c>
    </row>
    <row r="8064" customFormat="false" ht="15" hidden="false" customHeight="true" outlineLevel="0" collapsed="false">
      <c r="A8064" s="0" t="n">
        <v>2</v>
      </c>
      <c r="B8064" s="71" t="n">
        <v>46274</v>
      </c>
      <c r="C8064" s="0" t="n">
        <v>6</v>
      </c>
      <c r="D8064" s="0" t="s">
        <v>2553</v>
      </c>
      <c r="E8064" s="0" t="n">
        <v>48</v>
      </c>
      <c r="F8064" s="0" t="s">
        <v>153</v>
      </c>
      <c r="I8064" s="0" t="n">
        <v>2664</v>
      </c>
      <c r="J8064" s="0" t="n">
        <v>110263</v>
      </c>
      <c r="K8064" s="0" t="n">
        <v>41228</v>
      </c>
      <c r="L8064" s="0" t="s">
        <v>2659</v>
      </c>
      <c r="N8064" s="0" t="n">
        <v>10</v>
      </c>
      <c r="O8064" s="0" t="n">
        <v>180</v>
      </c>
      <c r="P8064" s="0" t="s">
        <v>2444</v>
      </c>
    </row>
    <row r="8065" customFormat="false" ht="15" hidden="false" customHeight="true" outlineLevel="0" collapsed="false">
      <c r="A8065" s="0" t="n">
        <v>2</v>
      </c>
      <c r="B8065" s="71" t="n">
        <v>46274</v>
      </c>
      <c r="C8065" s="0" t="n">
        <v>11</v>
      </c>
      <c r="D8065" s="0" t="s">
        <v>2471</v>
      </c>
      <c r="E8065" s="0" t="n">
        <v>10065</v>
      </c>
      <c r="F8065" s="0" t="s">
        <v>911</v>
      </c>
      <c r="I8065" s="0" t="n">
        <v>95</v>
      </c>
      <c r="J8065" s="0" t="n">
        <v>80611</v>
      </c>
      <c r="K8065" s="0" t="n">
        <v>7893692001003</v>
      </c>
      <c r="L8065" s="0" t="s">
        <v>3971</v>
      </c>
      <c r="N8065" s="0" t="n">
        <v>12</v>
      </c>
      <c r="O8065" s="0" t="n">
        <v>48</v>
      </c>
      <c r="P8065" s="0" t="s">
        <v>2444</v>
      </c>
    </row>
    <row r="8066" customFormat="false" ht="15" hidden="false" customHeight="true" outlineLevel="0" collapsed="false">
      <c r="A8066" s="0" t="n">
        <v>2</v>
      </c>
      <c r="B8066" s="71" t="n">
        <v>46274</v>
      </c>
      <c r="C8066" s="0" t="n">
        <v>11</v>
      </c>
      <c r="D8066" s="0" t="s">
        <v>2471</v>
      </c>
      <c r="E8066" s="0" t="n">
        <v>10065</v>
      </c>
      <c r="F8066" s="0" t="s">
        <v>911</v>
      </c>
      <c r="I8066" s="0" t="n">
        <v>95</v>
      </c>
      <c r="J8066" s="0" t="n">
        <v>80612</v>
      </c>
      <c r="K8066" s="0" t="n">
        <v>7893960211004</v>
      </c>
      <c r="L8066" s="0" t="s">
        <v>3972</v>
      </c>
      <c r="N8066" s="0" t="n">
        <v>12</v>
      </c>
      <c r="O8066" s="0" t="n">
        <v>48</v>
      </c>
      <c r="P8066" s="0" t="s">
        <v>2444</v>
      </c>
    </row>
    <row r="8067" customFormat="false" ht="15" hidden="false" customHeight="true" outlineLevel="0" collapsed="false">
      <c r="A8067" s="0" t="n">
        <v>2</v>
      </c>
      <c r="B8067" s="71" t="n">
        <v>46274</v>
      </c>
      <c r="C8067" s="0" t="n">
        <v>11</v>
      </c>
      <c r="D8067" s="0" t="s">
        <v>2471</v>
      </c>
      <c r="E8067" s="0" t="n">
        <v>10065</v>
      </c>
      <c r="F8067" s="0" t="s">
        <v>911</v>
      </c>
      <c r="I8067" s="0" t="n">
        <v>95</v>
      </c>
      <c r="J8067" s="0" t="n">
        <v>80614</v>
      </c>
      <c r="K8067" s="0" t="n">
        <v>7896422562409</v>
      </c>
      <c r="L8067" s="0" t="s">
        <v>3974</v>
      </c>
      <c r="N8067" s="0" t="n">
        <v>12</v>
      </c>
      <c r="O8067" s="0" t="n">
        <v>48</v>
      </c>
      <c r="P8067" s="0" t="s">
        <v>2444</v>
      </c>
    </row>
    <row r="8068" customFormat="false" ht="15" hidden="false" customHeight="true" outlineLevel="0" collapsed="false">
      <c r="A8068" s="0" t="n">
        <v>2</v>
      </c>
      <c r="B8068" s="71" t="n">
        <v>46274</v>
      </c>
      <c r="C8068" s="0" t="n">
        <v>11</v>
      </c>
      <c r="D8068" s="0" t="s">
        <v>2471</v>
      </c>
      <c r="E8068" s="0" t="n">
        <v>10096</v>
      </c>
      <c r="F8068" s="0" t="s">
        <v>622</v>
      </c>
      <c r="I8068" s="0" t="n">
        <v>268</v>
      </c>
      <c r="J8068" s="0" t="n">
        <v>61580</v>
      </c>
      <c r="K8068" s="0" t="n">
        <v>2258157</v>
      </c>
      <c r="L8068" s="0" t="s">
        <v>2509</v>
      </c>
      <c r="N8068" s="0" t="n">
        <v>10</v>
      </c>
      <c r="O8068" s="0" t="n">
        <v>120</v>
      </c>
      <c r="P8068" s="0" t="s">
        <v>2444</v>
      </c>
    </row>
    <row r="8069" customFormat="false" ht="15" hidden="false" customHeight="true" outlineLevel="0" collapsed="false">
      <c r="A8069" s="0" t="n">
        <v>2</v>
      </c>
      <c r="B8069" s="71" t="n">
        <v>46274</v>
      </c>
      <c r="C8069" s="0" t="n">
        <v>11</v>
      </c>
      <c r="D8069" s="0" t="s">
        <v>2471</v>
      </c>
      <c r="E8069" s="0" t="n">
        <v>10096</v>
      </c>
      <c r="F8069" s="0" t="s">
        <v>622</v>
      </c>
      <c r="I8069" s="0" t="n">
        <v>268</v>
      </c>
      <c r="J8069" s="0" t="n">
        <v>61597</v>
      </c>
      <c r="K8069" s="0" t="n">
        <v>2258188</v>
      </c>
      <c r="L8069" s="0" t="s">
        <v>2510</v>
      </c>
      <c r="N8069" s="0" t="n">
        <v>5</v>
      </c>
      <c r="O8069" s="0" t="n">
        <v>20</v>
      </c>
      <c r="P8069" s="0" t="s">
        <v>2444</v>
      </c>
    </row>
    <row r="8070" customFormat="false" ht="15" hidden="false" customHeight="true" outlineLevel="0" collapsed="false">
      <c r="A8070" s="0" t="n">
        <v>2</v>
      </c>
      <c r="B8070" s="71" t="n">
        <v>46274</v>
      </c>
      <c r="C8070" s="0" t="n">
        <v>11</v>
      </c>
      <c r="D8070" s="0" t="s">
        <v>2471</v>
      </c>
      <c r="E8070" s="0" t="n">
        <v>1243</v>
      </c>
      <c r="F8070" s="0" t="s">
        <v>5271</v>
      </c>
      <c r="I8070" s="0" t="n">
        <v>303</v>
      </c>
      <c r="J8070" s="0" t="n">
        <v>82251</v>
      </c>
      <c r="K8070" s="0" t="n">
        <v>822527</v>
      </c>
      <c r="L8070" s="0" t="s">
        <v>5272</v>
      </c>
      <c r="N8070" s="0" t="n">
        <v>1</v>
      </c>
      <c r="O8070" s="0" t="n">
        <v>78</v>
      </c>
      <c r="P8070" s="0" t="s">
        <v>2444</v>
      </c>
    </row>
    <row r="8071" customFormat="false" ht="15" hidden="false" customHeight="true" outlineLevel="0" collapsed="false">
      <c r="A8071" s="0" t="n">
        <v>2</v>
      </c>
      <c r="B8071" s="71" t="n">
        <v>46274</v>
      </c>
      <c r="C8071" s="0" t="n">
        <v>11</v>
      </c>
      <c r="D8071" s="0" t="s">
        <v>2471</v>
      </c>
      <c r="E8071" s="0" t="n">
        <v>1243</v>
      </c>
      <c r="F8071" s="0" t="s">
        <v>5271</v>
      </c>
      <c r="I8071" s="0" t="n">
        <v>303</v>
      </c>
      <c r="J8071" s="0" t="n">
        <v>82253</v>
      </c>
      <c r="K8071" s="0" t="n">
        <v>822541</v>
      </c>
      <c r="L8071" s="0" t="s">
        <v>5273</v>
      </c>
      <c r="N8071" s="0" t="n">
        <v>1</v>
      </c>
      <c r="O8071" s="0" t="n">
        <v>150</v>
      </c>
      <c r="P8071" s="0" t="s">
        <v>2444</v>
      </c>
    </row>
    <row r="8072" customFormat="false" ht="15" hidden="false" customHeight="true" outlineLevel="0" collapsed="false">
      <c r="A8072" s="0" t="n">
        <v>2</v>
      </c>
      <c r="B8072" s="71" t="n">
        <v>46274</v>
      </c>
      <c r="C8072" s="0" t="n">
        <v>11</v>
      </c>
      <c r="D8072" s="0" t="s">
        <v>2471</v>
      </c>
      <c r="E8072" s="0" t="n">
        <v>1243</v>
      </c>
      <c r="F8072" s="0" t="s">
        <v>5271</v>
      </c>
      <c r="I8072" s="0" t="n">
        <v>303</v>
      </c>
      <c r="J8072" s="0" t="n">
        <v>82255</v>
      </c>
      <c r="K8072" s="0" t="n">
        <v>822565</v>
      </c>
      <c r="L8072" s="0" t="s">
        <v>5274</v>
      </c>
      <c r="N8072" s="0" t="n">
        <v>1</v>
      </c>
      <c r="O8072" s="0" t="n">
        <v>25</v>
      </c>
      <c r="P8072" s="0" t="s">
        <v>2444</v>
      </c>
    </row>
    <row r="8073" customFormat="false" ht="15" hidden="false" customHeight="true" outlineLevel="0" collapsed="false">
      <c r="A8073" s="0" t="n">
        <v>2</v>
      </c>
      <c r="B8073" s="71" t="n">
        <v>46274</v>
      </c>
      <c r="C8073" s="0" t="n">
        <v>11</v>
      </c>
      <c r="D8073" s="0" t="s">
        <v>2471</v>
      </c>
      <c r="E8073" s="0" t="n">
        <v>1243</v>
      </c>
      <c r="F8073" s="0" t="s">
        <v>5271</v>
      </c>
      <c r="I8073" s="0" t="n">
        <v>303</v>
      </c>
      <c r="J8073" s="0" t="n">
        <v>82257</v>
      </c>
      <c r="K8073" s="0" t="n">
        <v>822589</v>
      </c>
      <c r="L8073" s="0" t="s">
        <v>5275</v>
      </c>
      <c r="N8073" s="0" t="n">
        <v>1</v>
      </c>
      <c r="O8073" s="0" t="n">
        <v>150</v>
      </c>
      <c r="P8073" s="0" t="s">
        <v>2444</v>
      </c>
    </row>
    <row r="8074" customFormat="false" ht="15" hidden="false" customHeight="true" outlineLevel="0" collapsed="false">
      <c r="A8074" s="0" t="n">
        <v>2</v>
      </c>
      <c r="B8074" s="71" t="n">
        <v>46274</v>
      </c>
      <c r="C8074" s="0" t="n">
        <v>11</v>
      </c>
      <c r="D8074" s="0" t="s">
        <v>2471</v>
      </c>
      <c r="E8074" s="0" t="n">
        <v>1783</v>
      </c>
      <c r="F8074" s="0" t="s">
        <v>340</v>
      </c>
      <c r="I8074" s="0" t="n">
        <v>536</v>
      </c>
      <c r="J8074" s="0" t="n">
        <v>39453</v>
      </c>
      <c r="K8074" s="0" t="n">
        <v>4901088061111</v>
      </c>
      <c r="L8074" s="0" t="s">
        <v>2713</v>
      </c>
      <c r="N8074" s="0" t="n">
        <v>96</v>
      </c>
      <c r="O8074" s="0" t="n">
        <v>160.32</v>
      </c>
      <c r="P8074" s="0" t="s">
        <v>2444</v>
      </c>
    </row>
    <row r="8075" customFormat="false" ht="15" hidden="false" customHeight="true" outlineLevel="0" collapsed="false">
      <c r="A8075" s="0" t="n">
        <v>2</v>
      </c>
      <c r="B8075" s="71" t="n">
        <v>46274</v>
      </c>
      <c r="C8075" s="0" t="n">
        <v>11</v>
      </c>
      <c r="D8075" s="0" t="s">
        <v>2471</v>
      </c>
      <c r="E8075" s="0" t="n">
        <v>1899</v>
      </c>
      <c r="F8075" s="0" t="s">
        <v>204</v>
      </c>
      <c r="I8075" s="0" t="n">
        <v>794</v>
      </c>
      <c r="J8075" s="0" t="n">
        <v>77465</v>
      </c>
      <c r="K8075" s="0" t="n">
        <v>774666</v>
      </c>
      <c r="L8075" s="0" t="s">
        <v>2446</v>
      </c>
      <c r="N8075" s="0" t="n">
        <v>15</v>
      </c>
      <c r="O8075" s="0" t="n">
        <v>74.85</v>
      </c>
      <c r="P8075" s="0" t="s">
        <v>2444</v>
      </c>
    </row>
    <row r="8076" customFormat="false" ht="15" hidden="false" customHeight="true" outlineLevel="0" collapsed="false">
      <c r="A8076" s="0" t="n">
        <v>2</v>
      </c>
      <c r="B8076" s="71" t="n">
        <v>46274</v>
      </c>
      <c r="C8076" s="0" t="n">
        <v>11</v>
      </c>
      <c r="D8076" s="0" t="s">
        <v>2471</v>
      </c>
      <c r="E8076" s="0" t="n">
        <v>1899</v>
      </c>
      <c r="F8076" s="0" t="s">
        <v>204</v>
      </c>
      <c r="I8076" s="0" t="n">
        <v>794</v>
      </c>
      <c r="J8076" s="0" t="n">
        <v>78015</v>
      </c>
      <c r="K8076" s="0" t="n">
        <v>780162</v>
      </c>
      <c r="L8076" s="0" t="s">
        <v>2447</v>
      </c>
      <c r="N8076" s="0" t="n">
        <v>10</v>
      </c>
      <c r="O8076" s="0" t="n">
        <v>49.9</v>
      </c>
      <c r="P8076" s="0" t="s">
        <v>2444</v>
      </c>
    </row>
    <row r="8077" customFormat="false" ht="15" hidden="false" customHeight="true" outlineLevel="0" collapsed="false">
      <c r="A8077" s="0" t="n">
        <v>2</v>
      </c>
      <c r="B8077" s="71" t="n">
        <v>46274</v>
      </c>
      <c r="C8077" s="0" t="n">
        <v>11</v>
      </c>
      <c r="D8077" s="0" t="s">
        <v>2471</v>
      </c>
      <c r="E8077" s="0" t="n">
        <v>1899</v>
      </c>
      <c r="F8077" s="0" t="s">
        <v>204</v>
      </c>
      <c r="I8077" s="0" t="n">
        <v>797</v>
      </c>
      <c r="J8077" s="0" t="n">
        <v>77463</v>
      </c>
      <c r="K8077" s="0" t="n">
        <v>774642</v>
      </c>
      <c r="L8077" s="0" t="s">
        <v>2445</v>
      </c>
      <c r="N8077" s="0" t="n">
        <v>30</v>
      </c>
      <c r="O8077" s="0" t="n">
        <v>135</v>
      </c>
      <c r="P8077" s="0" t="s">
        <v>2444</v>
      </c>
    </row>
    <row r="8078" customFormat="false" ht="15" hidden="false" customHeight="true" outlineLevel="0" collapsed="false">
      <c r="A8078" s="0" t="n">
        <v>2</v>
      </c>
      <c r="B8078" s="71" t="n">
        <v>46274</v>
      </c>
      <c r="C8078" s="0" t="n">
        <v>11</v>
      </c>
      <c r="D8078" s="0" t="s">
        <v>2471</v>
      </c>
      <c r="E8078" s="0" t="n">
        <v>1363</v>
      </c>
      <c r="F8078" s="0" t="s">
        <v>174</v>
      </c>
      <c r="I8078" s="0" t="n">
        <v>3898</v>
      </c>
      <c r="J8078" s="0" t="n">
        <v>73511</v>
      </c>
      <c r="K8078" s="0" t="n">
        <v>609963171019</v>
      </c>
      <c r="L8078" s="0" t="s">
        <v>2585</v>
      </c>
      <c r="N8078" s="0" t="n">
        <v>2</v>
      </c>
      <c r="O8078" s="0" t="n">
        <v>12</v>
      </c>
      <c r="P8078" s="0" t="s">
        <v>2444</v>
      </c>
    </row>
    <row r="8079" customFormat="false" ht="15" hidden="false" customHeight="true" outlineLevel="0" collapsed="false">
      <c r="A8079" s="0" t="n">
        <v>2</v>
      </c>
      <c r="B8079" s="71" t="n">
        <v>46274</v>
      </c>
      <c r="C8079" s="0" t="n">
        <v>11</v>
      </c>
      <c r="D8079" s="0" t="s">
        <v>2471</v>
      </c>
      <c r="E8079" s="0" t="n">
        <v>1363</v>
      </c>
      <c r="F8079" s="0" t="s">
        <v>174</v>
      </c>
      <c r="I8079" s="0" t="n">
        <v>3898</v>
      </c>
      <c r="J8079" s="0" t="n">
        <v>65494</v>
      </c>
      <c r="K8079" s="0" t="n">
        <v>618231677535</v>
      </c>
      <c r="L8079" s="0" t="s">
        <v>2587</v>
      </c>
      <c r="N8079" s="0" t="n">
        <v>15</v>
      </c>
      <c r="O8079" s="0" t="n">
        <v>90</v>
      </c>
      <c r="P8079" s="0" t="s">
        <v>2444</v>
      </c>
    </row>
    <row r="8080" customFormat="false" ht="15" hidden="false" customHeight="true" outlineLevel="0" collapsed="false">
      <c r="A8080" s="0" t="n">
        <v>2</v>
      </c>
      <c r="B8080" s="71" t="n">
        <v>46274</v>
      </c>
      <c r="C8080" s="0" t="n">
        <v>11</v>
      </c>
      <c r="D8080" s="0" t="s">
        <v>2471</v>
      </c>
      <c r="E8080" s="0" t="n">
        <v>1363</v>
      </c>
      <c r="F8080" s="0" t="s">
        <v>174</v>
      </c>
      <c r="I8080" s="0" t="n">
        <v>3898</v>
      </c>
      <c r="J8080" s="0" t="n">
        <v>65496</v>
      </c>
      <c r="K8080" s="0" t="n">
        <v>618231677528</v>
      </c>
      <c r="L8080" s="0" t="s">
        <v>2588</v>
      </c>
      <c r="N8080" s="0" t="n">
        <v>2</v>
      </c>
      <c r="O8080" s="0" t="n">
        <v>12</v>
      </c>
      <c r="P8080" s="0" t="s">
        <v>2444</v>
      </c>
    </row>
    <row r="8081" customFormat="false" ht="15" hidden="false" customHeight="true" outlineLevel="0" collapsed="false">
      <c r="A8081" s="0" t="n">
        <v>2</v>
      </c>
      <c r="B8081" s="71" t="n">
        <v>46274</v>
      </c>
      <c r="C8081" s="0" t="n">
        <v>11</v>
      </c>
      <c r="D8081" s="0" t="s">
        <v>2471</v>
      </c>
      <c r="E8081" s="0" t="n">
        <v>1363</v>
      </c>
      <c r="F8081" s="0" t="s">
        <v>174</v>
      </c>
      <c r="I8081" s="0" t="n">
        <v>3898</v>
      </c>
      <c r="J8081" s="0" t="n">
        <v>65621</v>
      </c>
      <c r="K8081" s="0" t="n">
        <v>618231677504</v>
      </c>
      <c r="L8081" s="0" t="s">
        <v>2589</v>
      </c>
      <c r="N8081" s="0" t="n">
        <v>5</v>
      </c>
      <c r="O8081" s="0" t="n">
        <v>35</v>
      </c>
      <c r="P8081" s="0" t="s">
        <v>2444</v>
      </c>
    </row>
    <row r="8082" customFormat="false" ht="15" hidden="false" customHeight="true" outlineLevel="0" collapsed="false">
      <c r="A8082" s="0" t="n">
        <v>2</v>
      </c>
      <c r="B8082" s="71" t="n">
        <v>46274</v>
      </c>
      <c r="C8082" s="0" t="n">
        <v>11</v>
      </c>
      <c r="D8082" s="0" t="s">
        <v>2471</v>
      </c>
      <c r="E8082" s="0" t="n">
        <v>1328</v>
      </c>
      <c r="F8082" s="0" t="s">
        <v>95</v>
      </c>
      <c r="I8082" s="0" t="n">
        <v>4564</v>
      </c>
      <c r="J8082" s="0" t="n">
        <v>50310</v>
      </c>
      <c r="K8082" s="0" t="n">
        <v>7898588380101</v>
      </c>
      <c r="L8082" s="0" t="s">
        <v>2502</v>
      </c>
      <c r="N8082" s="0" t="n">
        <v>2</v>
      </c>
      <c r="O8082" s="0" t="n">
        <v>14.5</v>
      </c>
      <c r="P8082" s="0" t="s">
        <v>2444</v>
      </c>
    </row>
    <row r="8083" customFormat="false" ht="15" hidden="false" customHeight="true" outlineLevel="0" collapsed="false">
      <c r="A8083" s="0" t="n">
        <v>2</v>
      </c>
      <c r="B8083" s="71" t="n">
        <v>46274</v>
      </c>
      <c r="C8083" s="0" t="n">
        <v>11</v>
      </c>
      <c r="D8083" s="0" t="s">
        <v>2471</v>
      </c>
      <c r="E8083" s="0" t="n">
        <v>1328</v>
      </c>
      <c r="F8083" s="0" t="s">
        <v>95</v>
      </c>
      <c r="I8083" s="0" t="n">
        <v>4564</v>
      </c>
      <c r="J8083" s="0" t="n">
        <v>21045</v>
      </c>
      <c r="K8083" s="0" t="n">
        <v>7898588380255</v>
      </c>
      <c r="L8083" s="0" t="s">
        <v>2503</v>
      </c>
      <c r="N8083" s="0" t="n">
        <v>2</v>
      </c>
      <c r="O8083" s="0" t="n">
        <v>11</v>
      </c>
      <c r="P8083" s="0" t="s">
        <v>2444</v>
      </c>
    </row>
    <row r="8084" customFormat="false" ht="15" hidden="false" customHeight="true" outlineLevel="0" collapsed="false">
      <c r="A8084" s="0" t="n">
        <v>2</v>
      </c>
      <c r="B8084" s="71" t="n">
        <v>46274</v>
      </c>
      <c r="C8084" s="0" t="n">
        <v>11</v>
      </c>
      <c r="D8084" s="0" t="s">
        <v>2471</v>
      </c>
      <c r="E8084" s="0" t="n">
        <v>1328</v>
      </c>
      <c r="F8084" s="0" t="s">
        <v>95</v>
      </c>
      <c r="I8084" s="0" t="n">
        <v>4564</v>
      </c>
      <c r="J8084" s="0" t="n">
        <v>21060</v>
      </c>
      <c r="K8084" s="0" t="n">
        <v>7898588380118</v>
      </c>
      <c r="L8084" s="0" t="s">
        <v>2504</v>
      </c>
      <c r="N8084" s="0" t="n">
        <v>15</v>
      </c>
      <c r="O8084" s="0" t="n">
        <v>97.5</v>
      </c>
      <c r="P8084" s="0" t="s">
        <v>2444</v>
      </c>
    </row>
    <row r="8085" customFormat="false" ht="15" hidden="false" customHeight="true" outlineLevel="0" collapsed="false">
      <c r="A8085" s="0" t="n">
        <v>2</v>
      </c>
      <c r="B8085" s="71" t="n">
        <v>46274</v>
      </c>
      <c r="C8085" s="0" t="n">
        <v>11</v>
      </c>
      <c r="D8085" s="0" t="s">
        <v>2471</v>
      </c>
      <c r="E8085" s="0" t="n">
        <v>1328</v>
      </c>
      <c r="F8085" s="0" t="s">
        <v>95</v>
      </c>
      <c r="I8085" s="0" t="n">
        <v>4564</v>
      </c>
      <c r="J8085" s="0" t="n">
        <v>31789</v>
      </c>
      <c r="K8085" s="0" t="n">
        <v>7898588380149</v>
      </c>
      <c r="L8085" s="0" t="s">
        <v>2446</v>
      </c>
      <c r="N8085" s="0" t="n">
        <v>3</v>
      </c>
      <c r="O8085" s="0" t="n">
        <v>16.5</v>
      </c>
      <c r="P8085" s="0" t="s">
        <v>2444</v>
      </c>
    </row>
    <row r="8086" customFormat="false" ht="15" hidden="false" customHeight="true" outlineLevel="0" collapsed="false">
      <c r="A8086" s="0" t="n">
        <v>2</v>
      </c>
      <c r="B8086" s="71" t="n">
        <v>46274</v>
      </c>
      <c r="C8086" s="0" t="n">
        <v>11</v>
      </c>
      <c r="D8086" s="0" t="s">
        <v>2471</v>
      </c>
      <c r="E8086" s="0" t="n">
        <v>1328</v>
      </c>
      <c r="F8086" s="0" t="s">
        <v>95</v>
      </c>
      <c r="I8086" s="0" t="n">
        <v>4564</v>
      </c>
      <c r="J8086" s="0" t="n">
        <v>31782</v>
      </c>
      <c r="K8086" s="0" t="n">
        <v>7898588380132</v>
      </c>
      <c r="L8086" s="0" t="s">
        <v>2505</v>
      </c>
      <c r="N8086" s="0" t="n">
        <v>5</v>
      </c>
      <c r="O8086" s="0" t="n">
        <v>27.5</v>
      </c>
      <c r="P8086" s="0" t="s">
        <v>2444</v>
      </c>
    </row>
    <row r="8087" customFormat="false" ht="15" hidden="false" customHeight="true" outlineLevel="0" collapsed="false">
      <c r="A8087" s="0" t="n">
        <v>2</v>
      </c>
      <c r="B8087" s="71" t="n">
        <v>46274</v>
      </c>
      <c r="C8087" s="0" t="n">
        <v>11</v>
      </c>
      <c r="D8087" s="0" t="s">
        <v>2471</v>
      </c>
      <c r="E8087" s="0" t="n">
        <v>1328</v>
      </c>
      <c r="F8087" s="0" t="s">
        <v>95</v>
      </c>
      <c r="I8087" s="0" t="n">
        <v>4564</v>
      </c>
      <c r="J8087" s="0" t="n">
        <v>31784</v>
      </c>
      <c r="K8087" s="0" t="n">
        <v>7898588380545</v>
      </c>
      <c r="L8087" s="0" t="s">
        <v>2590</v>
      </c>
      <c r="N8087" s="0" t="n">
        <v>5</v>
      </c>
      <c r="O8087" s="0" t="n">
        <v>27.5</v>
      </c>
      <c r="P8087" s="0" t="s">
        <v>2444</v>
      </c>
    </row>
    <row r="8088" customFormat="false" ht="15" hidden="false" customHeight="true" outlineLevel="0" collapsed="false">
      <c r="A8088" s="0" t="n">
        <v>2</v>
      </c>
      <c r="B8088" s="71" t="n">
        <v>46274</v>
      </c>
      <c r="C8088" s="0" t="n">
        <v>11</v>
      </c>
      <c r="D8088" s="0" t="s">
        <v>2471</v>
      </c>
      <c r="E8088" s="0" t="n">
        <v>1328</v>
      </c>
      <c r="F8088" s="0" t="s">
        <v>95</v>
      </c>
      <c r="I8088" s="0" t="n">
        <v>4564</v>
      </c>
      <c r="J8088" s="0" t="n">
        <v>31786</v>
      </c>
      <c r="K8088" s="0" t="n">
        <v>7898588380187</v>
      </c>
      <c r="L8088" s="0" t="s">
        <v>2506</v>
      </c>
      <c r="N8088" s="0" t="n">
        <v>4</v>
      </c>
      <c r="O8088" s="0" t="n">
        <v>22</v>
      </c>
      <c r="P8088" s="0" t="s">
        <v>2444</v>
      </c>
    </row>
    <row r="8089" customFormat="false" ht="15" hidden="false" customHeight="true" outlineLevel="0" collapsed="false">
      <c r="A8089" s="0" t="n">
        <v>2</v>
      </c>
      <c r="B8089" s="71" t="n">
        <v>46274</v>
      </c>
      <c r="C8089" s="0" t="n">
        <v>11</v>
      </c>
      <c r="D8089" s="0" t="s">
        <v>2471</v>
      </c>
      <c r="E8089" s="0" t="n">
        <v>1328</v>
      </c>
      <c r="F8089" s="0" t="s">
        <v>95</v>
      </c>
      <c r="I8089" s="0" t="n">
        <v>4564</v>
      </c>
      <c r="J8089" s="0" t="n">
        <v>31787</v>
      </c>
      <c r="K8089" s="0" t="n">
        <v>7898588380125</v>
      </c>
      <c r="L8089" s="0" t="s">
        <v>2507</v>
      </c>
      <c r="N8089" s="0" t="n">
        <v>3</v>
      </c>
      <c r="O8089" s="0" t="n">
        <v>25.2</v>
      </c>
      <c r="P8089" s="0" t="s">
        <v>2444</v>
      </c>
    </row>
    <row r="8090" customFormat="false" ht="15" hidden="false" customHeight="true" outlineLevel="0" collapsed="false">
      <c r="A8090" s="0" t="n">
        <v>2</v>
      </c>
      <c r="B8090" s="71" t="n">
        <v>46274</v>
      </c>
      <c r="C8090" s="0" t="n">
        <v>11</v>
      </c>
      <c r="D8090" s="0" t="s">
        <v>2471</v>
      </c>
      <c r="E8090" s="0" t="n">
        <v>1328</v>
      </c>
      <c r="F8090" s="0" t="s">
        <v>95</v>
      </c>
      <c r="I8090" s="0" t="n">
        <v>4564</v>
      </c>
      <c r="J8090" s="0" t="n">
        <v>31790</v>
      </c>
      <c r="K8090" s="0" t="n">
        <v>7898588380231</v>
      </c>
      <c r="L8090" s="0" t="s">
        <v>2508</v>
      </c>
      <c r="N8090" s="0" t="n">
        <v>3</v>
      </c>
      <c r="O8090" s="0" t="n">
        <v>16.5</v>
      </c>
      <c r="P8090" s="0" t="s">
        <v>2444</v>
      </c>
    </row>
    <row r="8091" customFormat="false" ht="15" hidden="false" customHeight="true" outlineLevel="0" collapsed="false">
      <c r="A8091" s="0" t="n">
        <v>2</v>
      </c>
      <c r="B8091" s="71" t="n">
        <v>46274</v>
      </c>
      <c r="C8091" s="0" t="n">
        <v>11</v>
      </c>
      <c r="D8091" s="0" t="s">
        <v>2471</v>
      </c>
      <c r="E8091" s="0" t="n">
        <v>1631</v>
      </c>
      <c r="F8091" s="0" t="s">
        <v>299</v>
      </c>
      <c r="I8091" s="0" t="n">
        <v>15352</v>
      </c>
      <c r="J8091" s="0" t="n">
        <v>108539</v>
      </c>
      <c r="K8091" s="0" t="n">
        <v>7898185800170</v>
      </c>
      <c r="L8091" s="0" t="s">
        <v>2451</v>
      </c>
      <c r="N8091" s="0" t="n">
        <v>5</v>
      </c>
      <c r="O8091" s="0" t="n">
        <v>20.67</v>
      </c>
      <c r="P8091" s="0" t="s">
        <v>2444</v>
      </c>
    </row>
    <row r="8092" customFormat="false" ht="15" hidden="false" customHeight="true" outlineLevel="0" collapsed="false">
      <c r="A8092" s="0" t="n">
        <v>2</v>
      </c>
      <c r="B8092" s="71" t="n">
        <v>46274</v>
      </c>
      <c r="C8092" s="0" t="n">
        <v>11</v>
      </c>
      <c r="D8092" s="0" t="s">
        <v>2471</v>
      </c>
      <c r="E8092" s="0" t="n">
        <v>1631</v>
      </c>
      <c r="F8092" s="0" t="s">
        <v>299</v>
      </c>
      <c r="I8092" s="0" t="n">
        <v>15352</v>
      </c>
      <c r="J8092" s="0" t="n">
        <v>108570</v>
      </c>
      <c r="K8092" s="0" t="n">
        <v>7898185800255</v>
      </c>
      <c r="L8092" s="0" t="s">
        <v>2452</v>
      </c>
      <c r="N8092" s="0" t="n">
        <v>10</v>
      </c>
      <c r="O8092" s="0" t="n">
        <v>18.8</v>
      </c>
      <c r="P8092" s="0" t="s">
        <v>2444</v>
      </c>
    </row>
    <row r="8093" customFormat="false" ht="15" hidden="false" customHeight="true" outlineLevel="0" collapsed="false">
      <c r="A8093" s="0" t="n">
        <v>2</v>
      </c>
      <c r="B8093" s="71" t="n">
        <v>46274</v>
      </c>
      <c r="C8093" s="0" t="n">
        <v>11</v>
      </c>
      <c r="D8093" s="0" t="s">
        <v>2471</v>
      </c>
      <c r="E8093" s="0" t="n">
        <v>1631</v>
      </c>
      <c r="F8093" s="0" t="s">
        <v>299</v>
      </c>
      <c r="I8093" s="0" t="n">
        <v>15352</v>
      </c>
      <c r="J8093" s="0" t="n">
        <v>14393</v>
      </c>
      <c r="K8093" s="0" t="n">
        <v>7898185800125</v>
      </c>
      <c r="L8093" s="0" t="s">
        <v>2453</v>
      </c>
      <c r="N8093" s="0" t="n">
        <v>10</v>
      </c>
      <c r="O8093" s="0" t="n">
        <v>41.35</v>
      </c>
      <c r="P8093" s="0" t="s">
        <v>2444</v>
      </c>
    </row>
    <row r="8094" customFormat="false" ht="15" hidden="false" customHeight="true" outlineLevel="0" collapsed="false">
      <c r="A8094" s="0" t="n">
        <v>2</v>
      </c>
      <c r="B8094" s="71" t="n">
        <v>46274</v>
      </c>
      <c r="C8094" s="0" t="n">
        <v>11</v>
      </c>
      <c r="D8094" s="0" t="s">
        <v>2471</v>
      </c>
      <c r="E8094" s="0" t="n">
        <v>1631</v>
      </c>
      <c r="F8094" s="0" t="s">
        <v>299</v>
      </c>
      <c r="I8094" s="0" t="n">
        <v>15352</v>
      </c>
      <c r="J8094" s="0" t="n">
        <v>19881</v>
      </c>
      <c r="K8094" s="0" t="n">
        <v>7898185800279</v>
      </c>
      <c r="L8094" s="0" t="s">
        <v>5276</v>
      </c>
      <c r="N8094" s="0" t="n">
        <v>5</v>
      </c>
      <c r="O8094" s="0" t="n">
        <v>9.4</v>
      </c>
      <c r="P8094" s="0" t="s">
        <v>2444</v>
      </c>
    </row>
    <row r="8095" customFormat="false" ht="15" hidden="false" customHeight="true" outlineLevel="0" collapsed="false">
      <c r="A8095" s="0" t="n">
        <v>2</v>
      </c>
      <c r="B8095" s="71" t="n">
        <v>46274</v>
      </c>
      <c r="C8095" s="0" t="n">
        <v>11</v>
      </c>
      <c r="D8095" s="0" t="s">
        <v>2471</v>
      </c>
      <c r="E8095" s="0" t="n">
        <v>1631</v>
      </c>
      <c r="F8095" s="0" t="s">
        <v>299</v>
      </c>
      <c r="I8095" s="0" t="n">
        <v>15352</v>
      </c>
      <c r="J8095" s="0" t="n">
        <v>19882</v>
      </c>
      <c r="K8095" s="0" t="n">
        <v>7898185800156</v>
      </c>
      <c r="L8095" s="0" t="s">
        <v>2454</v>
      </c>
      <c r="N8095" s="0" t="n">
        <v>5</v>
      </c>
      <c r="O8095" s="0" t="n">
        <v>20.67</v>
      </c>
      <c r="P8095" s="0" t="s">
        <v>2444</v>
      </c>
    </row>
    <row r="8096" customFormat="false" ht="15" hidden="false" customHeight="true" outlineLevel="0" collapsed="false">
      <c r="A8096" s="0" t="n">
        <v>2</v>
      </c>
      <c r="B8096" s="71" t="n">
        <v>46274</v>
      </c>
      <c r="C8096" s="0" t="n">
        <v>11</v>
      </c>
      <c r="D8096" s="0" t="s">
        <v>2471</v>
      </c>
      <c r="E8096" s="0" t="n">
        <v>1631</v>
      </c>
      <c r="F8096" s="0" t="s">
        <v>299</v>
      </c>
      <c r="I8096" s="0" t="n">
        <v>15352</v>
      </c>
      <c r="J8096" s="0" t="n">
        <v>24098</v>
      </c>
      <c r="K8096" s="0" t="n">
        <v>7898185800385</v>
      </c>
      <c r="L8096" s="0" t="s">
        <v>2455</v>
      </c>
      <c r="N8096" s="0" t="n">
        <v>25</v>
      </c>
      <c r="O8096" s="0" t="n">
        <v>93.98</v>
      </c>
      <c r="P8096" s="0" t="s">
        <v>2444</v>
      </c>
    </row>
    <row r="8097" customFormat="false" ht="15" hidden="false" customHeight="true" outlineLevel="0" collapsed="false">
      <c r="A8097" s="0" t="n">
        <v>2</v>
      </c>
      <c r="B8097" s="71" t="n">
        <v>46274</v>
      </c>
      <c r="C8097" s="0" t="n">
        <v>11</v>
      </c>
      <c r="D8097" s="0" t="s">
        <v>2471</v>
      </c>
      <c r="E8097" s="0" t="n">
        <v>1631</v>
      </c>
      <c r="F8097" s="0" t="s">
        <v>299</v>
      </c>
      <c r="I8097" s="0" t="n">
        <v>15352</v>
      </c>
      <c r="J8097" s="0" t="n">
        <v>25555</v>
      </c>
      <c r="K8097" s="0" t="n">
        <v>7898185800200</v>
      </c>
      <c r="L8097" s="0" t="s">
        <v>2456</v>
      </c>
      <c r="N8097" s="0" t="n">
        <v>5</v>
      </c>
      <c r="O8097" s="0" t="n">
        <v>41.35</v>
      </c>
      <c r="P8097" s="0" t="s">
        <v>2444</v>
      </c>
    </row>
    <row r="8098" customFormat="false" ht="15" hidden="false" customHeight="true" outlineLevel="0" collapsed="false">
      <c r="A8098" s="0" t="n">
        <v>2</v>
      </c>
      <c r="B8098" s="71" t="n">
        <v>46274</v>
      </c>
      <c r="C8098" s="0" t="n">
        <v>11</v>
      </c>
      <c r="D8098" s="0" t="s">
        <v>2471</v>
      </c>
      <c r="E8098" s="0" t="n">
        <v>1631</v>
      </c>
      <c r="F8098" s="0" t="s">
        <v>299</v>
      </c>
      <c r="I8098" s="0" t="n">
        <v>15352</v>
      </c>
      <c r="J8098" s="0" t="n">
        <v>26573</v>
      </c>
      <c r="K8098" s="0" t="n">
        <v>7898185800347</v>
      </c>
      <c r="L8098" s="0" t="s">
        <v>2457</v>
      </c>
      <c r="N8098" s="0" t="n">
        <v>3</v>
      </c>
      <c r="O8098" s="0" t="n">
        <v>24.81</v>
      </c>
      <c r="P8098" s="0" t="s">
        <v>2444</v>
      </c>
    </row>
    <row r="8099" customFormat="false" ht="15" hidden="false" customHeight="true" outlineLevel="0" collapsed="false">
      <c r="A8099" s="0" t="n">
        <v>2</v>
      </c>
      <c r="B8099" s="71" t="n">
        <v>46274</v>
      </c>
      <c r="C8099" s="0" t="n">
        <v>11</v>
      </c>
      <c r="D8099" s="0" t="s">
        <v>2471</v>
      </c>
      <c r="E8099" s="0" t="n">
        <v>1631</v>
      </c>
      <c r="F8099" s="0" t="s">
        <v>299</v>
      </c>
      <c r="I8099" s="0" t="n">
        <v>15352</v>
      </c>
      <c r="J8099" s="0" t="n">
        <v>26574</v>
      </c>
      <c r="K8099" s="0" t="n">
        <v>7898185800217</v>
      </c>
      <c r="L8099" s="0" t="s">
        <v>2458</v>
      </c>
      <c r="N8099" s="0" t="n">
        <v>5</v>
      </c>
      <c r="O8099" s="0" t="n">
        <v>41.35</v>
      </c>
      <c r="P8099" s="0" t="s">
        <v>2444</v>
      </c>
    </row>
    <row r="8100" customFormat="false" ht="15" hidden="false" customHeight="true" outlineLevel="0" collapsed="false">
      <c r="A8100" s="0" t="n">
        <v>2</v>
      </c>
      <c r="B8100" s="71" t="n">
        <v>46274</v>
      </c>
      <c r="C8100" s="0" t="n">
        <v>11</v>
      </c>
      <c r="D8100" s="0" t="s">
        <v>2471</v>
      </c>
      <c r="E8100" s="0" t="n">
        <v>1631</v>
      </c>
      <c r="F8100" s="0" t="s">
        <v>299</v>
      </c>
      <c r="I8100" s="0" t="n">
        <v>15352</v>
      </c>
      <c r="J8100" s="0" t="n">
        <v>30684</v>
      </c>
      <c r="K8100" s="0" t="n">
        <v>7898185800453</v>
      </c>
      <c r="L8100" s="0" t="s">
        <v>2459</v>
      </c>
      <c r="N8100" s="0" t="n">
        <v>30</v>
      </c>
      <c r="O8100" s="0" t="n">
        <v>33.83</v>
      </c>
      <c r="P8100" s="0" t="s">
        <v>2444</v>
      </c>
    </row>
    <row r="8101" customFormat="false" ht="15" hidden="false" customHeight="true" outlineLevel="0" collapsed="false">
      <c r="A8101" s="0" t="n">
        <v>2</v>
      </c>
      <c r="B8101" s="71" t="n">
        <v>46274</v>
      </c>
      <c r="C8101" s="0" t="n">
        <v>11</v>
      </c>
      <c r="D8101" s="0" t="s">
        <v>2471</v>
      </c>
      <c r="E8101" s="0" t="n">
        <v>1631</v>
      </c>
      <c r="F8101" s="0" t="s">
        <v>299</v>
      </c>
      <c r="I8101" s="0" t="n">
        <v>15352</v>
      </c>
      <c r="J8101" s="0" t="n">
        <v>41356</v>
      </c>
      <c r="K8101" s="0" t="n">
        <v>7898185800163</v>
      </c>
      <c r="L8101" s="0" t="s">
        <v>2460</v>
      </c>
      <c r="N8101" s="0" t="n">
        <v>5</v>
      </c>
      <c r="O8101" s="0" t="n">
        <v>20.67</v>
      </c>
      <c r="P8101" s="0" t="s">
        <v>2444</v>
      </c>
    </row>
    <row r="8102" customFormat="false" ht="15" hidden="false" customHeight="true" outlineLevel="0" collapsed="false">
      <c r="A8102" s="0" t="n">
        <v>2</v>
      </c>
      <c r="B8102" s="71" t="n">
        <v>46274</v>
      </c>
      <c r="C8102" s="0" t="n">
        <v>11</v>
      </c>
      <c r="D8102" s="0" t="s">
        <v>2471</v>
      </c>
      <c r="E8102" s="0" t="n">
        <v>1631</v>
      </c>
      <c r="F8102" s="0" t="s">
        <v>299</v>
      </c>
      <c r="I8102" s="0" t="n">
        <v>15352</v>
      </c>
      <c r="J8102" s="0" t="n">
        <v>41359</v>
      </c>
      <c r="K8102" s="0" t="n">
        <v>7898185800132</v>
      </c>
      <c r="L8102" s="0" t="s">
        <v>2461</v>
      </c>
      <c r="N8102" s="0" t="n">
        <v>3</v>
      </c>
      <c r="O8102" s="0" t="n">
        <v>12.4</v>
      </c>
      <c r="P8102" s="0" t="s">
        <v>2444</v>
      </c>
    </row>
    <row r="8103" customFormat="false" ht="15" hidden="false" customHeight="true" outlineLevel="0" collapsed="false">
      <c r="A8103" s="0" t="n">
        <v>2</v>
      </c>
      <c r="B8103" s="71" t="n">
        <v>46274</v>
      </c>
      <c r="C8103" s="0" t="n">
        <v>11</v>
      </c>
      <c r="D8103" s="0" t="s">
        <v>2471</v>
      </c>
      <c r="E8103" s="0" t="n">
        <v>1631</v>
      </c>
      <c r="F8103" s="0" t="s">
        <v>299</v>
      </c>
      <c r="I8103" s="0" t="n">
        <v>15352</v>
      </c>
      <c r="J8103" s="0" t="n">
        <v>82030</v>
      </c>
      <c r="K8103" s="0" t="n">
        <v>7898185800286</v>
      </c>
      <c r="L8103" s="0" t="s">
        <v>5277</v>
      </c>
      <c r="N8103" s="0" t="n">
        <v>5</v>
      </c>
      <c r="O8103" s="0" t="n">
        <v>9.4</v>
      </c>
      <c r="P8103" s="0" t="s">
        <v>2444</v>
      </c>
    </row>
    <row r="8104" customFormat="false" ht="15" hidden="false" customHeight="true" outlineLevel="0" collapsed="false">
      <c r="A8104" s="0" t="n">
        <v>2</v>
      </c>
      <c r="B8104" s="71" t="n">
        <v>46274</v>
      </c>
      <c r="C8104" s="0" t="n">
        <v>11</v>
      </c>
      <c r="D8104" s="0" t="s">
        <v>2471</v>
      </c>
      <c r="E8104" s="0" t="n">
        <v>1667</v>
      </c>
      <c r="F8104" s="0" t="s">
        <v>77</v>
      </c>
      <c r="I8104" s="0" t="n">
        <v>399726</v>
      </c>
      <c r="J8104" s="0" t="n">
        <v>29802</v>
      </c>
      <c r="K8104" s="0" t="n">
        <v>7633337200015</v>
      </c>
      <c r="L8104" s="0" t="s">
        <v>5278</v>
      </c>
      <c r="N8104" s="0" t="n">
        <v>120</v>
      </c>
      <c r="O8104" s="0" t="n">
        <v>218.22</v>
      </c>
      <c r="P8104" s="0" t="s">
        <v>2444</v>
      </c>
    </row>
    <row r="8105" customFormat="false" ht="15" hidden="false" customHeight="true" outlineLevel="0" collapsed="false">
      <c r="A8105" s="0" t="n">
        <v>2</v>
      </c>
      <c r="B8105" s="71" t="n">
        <v>46274</v>
      </c>
      <c r="C8105" s="0" t="n">
        <v>11</v>
      </c>
      <c r="D8105" s="0" t="s">
        <v>2471</v>
      </c>
      <c r="E8105" s="0" t="n">
        <v>1667</v>
      </c>
      <c r="F8105" s="0" t="s">
        <v>77</v>
      </c>
      <c r="I8105" s="0" t="n">
        <v>399726</v>
      </c>
      <c r="J8105" s="0" t="n">
        <v>31532</v>
      </c>
      <c r="K8105" s="0" t="n">
        <v>7633335550426</v>
      </c>
      <c r="L8105" s="0" t="s">
        <v>5279</v>
      </c>
      <c r="N8105" s="0" t="n">
        <v>60</v>
      </c>
      <c r="O8105" s="0" t="n">
        <v>475.83</v>
      </c>
      <c r="P8105" s="0" t="s">
        <v>2444</v>
      </c>
    </row>
    <row r="8106" customFormat="false" ht="15" hidden="false" customHeight="true" outlineLevel="0" collapsed="false">
      <c r="A8106" s="0" t="n">
        <v>2</v>
      </c>
      <c r="B8106" s="71" t="n">
        <v>46274</v>
      </c>
      <c r="C8106" s="0" t="n">
        <v>11</v>
      </c>
      <c r="D8106" s="0" t="s">
        <v>2471</v>
      </c>
      <c r="E8106" s="0" t="n">
        <v>1667</v>
      </c>
      <c r="F8106" s="0" t="s">
        <v>77</v>
      </c>
      <c r="I8106" s="0" t="n">
        <v>399726</v>
      </c>
      <c r="J8106" s="0" t="n">
        <v>31533</v>
      </c>
      <c r="K8106" s="0" t="n">
        <v>7633332009057</v>
      </c>
      <c r="L8106" s="0" t="s">
        <v>5280</v>
      </c>
      <c r="N8106" s="0" t="n">
        <v>60</v>
      </c>
      <c r="O8106" s="0" t="n">
        <v>475.83</v>
      </c>
      <c r="P8106" s="0" t="s">
        <v>2444</v>
      </c>
    </row>
    <row r="8107" customFormat="false" ht="15" hidden="false" customHeight="true" outlineLevel="0" collapsed="false">
      <c r="A8107" s="0" t="n">
        <v>2</v>
      </c>
      <c r="B8107" s="71" t="n">
        <v>46274</v>
      </c>
      <c r="C8107" s="0" t="n">
        <v>11</v>
      </c>
      <c r="D8107" s="0" t="s">
        <v>2471</v>
      </c>
      <c r="E8107" s="0" t="n">
        <v>1671</v>
      </c>
      <c r="F8107" s="0" t="s">
        <v>119</v>
      </c>
      <c r="I8107" s="0" t="n">
        <v>591052</v>
      </c>
      <c r="J8107" s="0" t="n">
        <v>100195</v>
      </c>
      <c r="K8107" s="0" t="n">
        <v>7896064442565</v>
      </c>
      <c r="L8107" s="0" t="s">
        <v>5281</v>
      </c>
      <c r="N8107" s="0" t="n">
        <v>60</v>
      </c>
      <c r="O8107" s="0" t="n">
        <v>141.6</v>
      </c>
      <c r="P8107" s="0" t="s">
        <v>2444</v>
      </c>
    </row>
    <row r="8108" customFormat="false" ht="15" hidden="false" customHeight="true" outlineLevel="0" collapsed="false">
      <c r="A8108" s="0" t="n">
        <v>2</v>
      </c>
      <c r="B8108" s="71" t="n">
        <v>46274</v>
      </c>
      <c r="C8108" s="0" t="n">
        <v>11</v>
      </c>
      <c r="D8108" s="0" t="s">
        <v>2471</v>
      </c>
      <c r="E8108" s="0" t="n">
        <v>1671</v>
      </c>
      <c r="F8108" s="0" t="s">
        <v>119</v>
      </c>
      <c r="I8108" s="0" t="n">
        <v>591052</v>
      </c>
      <c r="J8108" s="0" t="n">
        <v>105144</v>
      </c>
      <c r="K8108" s="0" t="n">
        <v>7896064442206</v>
      </c>
      <c r="L8108" s="0" t="s">
        <v>5282</v>
      </c>
      <c r="N8108" s="0" t="n">
        <v>60</v>
      </c>
      <c r="O8108" s="0" t="n">
        <v>294</v>
      </c>
      <c r="P8108" s="0" t="s">
        <v>2444</v>
      </c>
    </row>
    <row r="8109" customFormat="false" ht="15" hidden="false" customHeight="true" outlineLevel="0" collapsed="false">
      <c r="A8109" s="0" t="n">
        <v>2</v>
      </c>
      <c r="B8109" s="71" t="n">
        <v>46274</v>
      </c>
      <c r="C8109" s="0" t="n">
        <v>11</v>
      </c>
      <c r="D8109" s="0" t="s">
        <v>2471</v>
      </c>
      <c r="E8109" s="0" t="n">
        <v>1671</v>
      </c>
      <c r="F8109" s="0" t="s">
        <v>119</v>
      </c>
      <c r="I8109" s="0" t="n">
        <v>591052</v>
      </c>
      <c r="J8109" s="0" t="n">
        <v>105148</v>
      </c>
      <c r="K8109" s="0" t="n">
        <v>7896064442213</v>
      </c>
      <c r="L8109" s="0" t="s">
        <v>5283</v>
      </c>
      <c r="N8109" s="0" t="n">
        <v>60</v>
      </c>
      <c r="O8109" s="0" t="n">
        <v>301.2</v>
      </c>
      <c r="P8109" s="0" t="s">
        <v>2444</v>
      </c>
    </row>
    <row r="8110" customFormat="false" ht="15" hidden="false" customHeight="true" outlineLevel="0" collapsed="false">
      <c r="A8110" s="0" t="n">
        <v>2</v>
      </c>
      <c r="B8110" s="71" t="n">
        <v>46274</v>
      </c>
      <c r="C8110" s="0" t="n">
        <v>11</v>
      </c>
      <c r="D8110" s="0" t="s">
        <v>2471</v>
      </c>
      <c r="E8110" s="0" t="n">
        <v>1671</v>
      </c>
      <c r="F8110" s="0" t="s">
        <v>119</v>
      </c>
      <c r="I8110" s="0" t="n">
        <v>591052</v>
      </c>
      <c r="J8110" s="0" t="n">
        <v>105290</v>
      </c>
      <c r="K8110" s="0" t="n">
        <v>7898437140825</v>
      </c>
      <c r="L8110" s="0" t="s">
        <v>5284</v>
      </c>
      <c r="N8110" s="0" t="n">
        <v>6</v>
      </c>
      <c r="O8110" s="0" t="n">
        <v>31.32</v>
      </c>
      <c r="P8110" s="0" t="s">
        <v>2444</v>
      </c>
    </row>
    <row r="8111" customFormat="false" ht="15" hidden="false" customHeight="true" outlineLevel="0" collapsed="false">
      <c r="A8111" s="0" t="n">
        <v>2</v>
      </c>
      <c r="B8111" s="71" t="n">
        <v>46274</v>
      </c>
      <c r="C8111" s="0" t="n">
        <v>11</v>
      </c>
      <c r="D8111" s="0" t="s">
        <v>2471</v>
      </c>
      <c r="E8111" s="0" t="n">
        <v>1671</v>
      </c>
      <c r="F8111" s="0" t="s">
        <v>119</v>
      </c>
      <c r="I8111" s="0" t="n">
        <v>591052</v>
      </c>
      <c r="J8111" s="0" t="n">
        <v>106547</v>
      </c>
      <c r="K8111" s="0" t="n">
        <v>7896064443180</v>
      </c>
      <c r="L8111" s="0" t="s">
        <v>4067</v>
      </c>
      <c r="N8111" s="0" t="n">
        <v>48</v>
      </c>
      <c r="O8111" s="0" t="n">
        <v>183.36</v>
      </c>
      <c r="P8111" s="0" t="s">
        <v>2444</v>
      </c>
    </row>
    <row r="8112" customFormat="false" ht="15" hidden="false" customHeight="true" outlineLevel="0" collapsed="false">
      <c r="A8112" s="0" t="n">
        <v>2</v>
      </c>
      <c r="B8112" s="71" t="n">
        <v>46274</v>
      </c>
      <c r="C8112" s="0" t="n">
        <v>11</v>
      </c>
      <c r="D8112" s="0" t="s">
        <v>2471</v>
      </c>
      <c r="E8112" s="0" t="n">
        <v>1671</v>
      </c>
      <c r="F8112" s="0" t="s">
        <v>119</v>
      </c>
      <c r="I8112" s="0" t="n">
        <v>591052</v>
      </c>
      <c r="J8112" s="0" t="n">
        <v>13739</v>
      </c>
      <c r="K8112" s="0" t="n">
        <v>7898437140832</v>
      </c>
      <c r="L8112" s="0" t="s">
        <v>5285</v>
      </c>
      <c r="N8112" s="0" t="n">
        <v>6</v>
      </c>
      <c r="O8112" s="0" t="n">
        <v>31.32</v>
      </c>
      <c r="P8112" s="0" t="s">
        <v>2444</v>
      </c>
    </row>
    <row r="8113" customFormat="false" ht="15" hidden="false" customHeight="true" outlineLevel="0" collapsed="false">
      <c r="A8113" s="0" t="n">
        <v>2</v>
      </c>
      <c r="B8113" s="71" t="n">
        <v>46274</v>
      </c>
      <c r="C8113" s="0" t="n">
        <v>11</v>
      </c>
      <c r="D8113" s="0" t="s">
        <v>2471</v>
      </c>
      <c r="E8113" s="0" t="n">
        <v>1671</v>
      </c>
      <c r="F8113" s="0" t="s">
        <v>119</v>
      </c>
      <c r="I8113" s="0" t="n">
        <v>591052</v>
      </c>
      <c r="J8113" s="0" t="n">
        <v>13741</v>
      </c>
      <c r="K8113" s="0" t="n">
        <v>7898437140887</v>
      </c>
      <c r="L8113" s="0" t="s">
        <v>5286</v>
      </c>
      <c r="N8113" s="0" t="n">
        <v>6</v>
      </c>
      <c r="O8113" s="0" t="n">
        <v>32.04</v>
      </c>
      <c r="P8113" s="0" t="s">
        <v>2444</v>
      </c>
    </row>
    <row r="8114" customFormat="false" ht="15" hidden="false" customHeight="true" outlineLevel="0" collapsed="false">
      <c r="A8114" s="0" t="n">
        <v>2</v>
      </c>
      <c r="B8114" s="71" t="n">
        <v>46274</v>
      </c>
      <c r="C8114" s="0" t="n">
        <v>11</v>
      </c>
      <c r="D8114" s="0" t="s">
        <v>2471</v>
      </c>
      <c r="E8114" s="0" t="n">
        <v>1671</v>
      </c>
      <c r="F8114" s="0" t="s">
        <v>119</v>
      </c>
      <c r="I8114" s="0" t="n">
        <v>591052</v>
      </c>
      <c r="J8114" s="0" t="n">
        <v>13951</v>
      </c>
      <c r="K8114" s="0" t="n">
        <v>7898437140870</v>
      </c>
      <c r="L8114" s="0" t="s">
        <v>5287</v>
      </c>
      <c r="N8114" s="0" t="n">
        <v>6</v>
      </c>
      <c r="O8114" s="0" t="n">
        <v>32.04</v>
      </c>
      <c r="P8114" s="0" t="s">
        <v>2444</v>
      </c>
    </row>
    <row r="8115" customFormat="false" ht="15" hidden="false" customHeight="true" outlineLevel="0" collapsed="false">
      <c r="A8115" s="0" t="n">
        <v>2</v>
      </c>
      <c r="B8115" s="71" t="n">
        <v>46274</v>
      </c>
      <c r="C8115" s="0" t="n">
        <v>11</v>
      </c>
      <c r="D8115" s="0" t="s">
        <v>2471</v>
      </c>
      <c r="E8115" s="0" t="n">
        <v>1671</v>
      </c>
      <c r="F8115" s="0" t="s">
        <v>119</v>
      </c>
      <c r="I8115" s="0" t="n">
        <v>591052</v>
      </c>
      <c r="J8115" s="0" t="n">
        <v>13952</v>
      </c>
      <c r="K8115" s="0" t="n">
        <v>7898437140863</v>
      </c>
      <c r="L8115" s="0" t="s">
        <v>5288</v>
      </c>
      <c r="N8115" s="0" t="n">
        <v>6</v>
      </c>
      <c r="O8115" s="0" t="n">
        <v>32.04</v>
      </c>
      <c r="P8115" s="0" t="s">
        <v>2444</v>
      </c>
    </row>
    <row r="8116" customFormat="false" ht="15" hidden="false" customHeight="true" outlineLevel="0" collapsed="false">
      <c r="A8116" s="0" t="n">
        <v>2</v>
      </c>
      <c r="B8116" s="71" t="n">
        <v>46274</v>
      </c>
      <c r="C8116" s="0" t="n">
        <v>11</v>
      </c>
      <c r="D8116" s="0" t="s">
        <v>2471</v>
      </c>
      <c r="E8116" s="0" t="n">
        <v>1671</v>
      </c>
      <c r="F8116" s="0" t="s">
        <v>119</v>
      </c>
      <c r="I8116" s="0" t="n">
        <v>591052</v>
      </c>
      <c r="J8116" s="0" t="n">
        <v>14200</v>
      </c>
      <c r="K8116" s="0" t="n">
        <v>7898437140795</v>
      </c>
      <c r="L8116" s="0" t="s">
        <v>5289</v>
      </c>
      <c r="N8116" s="0" t="n">
        <v>6</v>
      </c>
      <c r="O8116" s="0" t="n">
        <v>32.04</v>
      </c>
      <c r="P8116" s="0" t="s">
        <v>2444</v>
      </c>
    </row>
    <row r="8117" customFormat="false" ht="15" hidden="false" customHeight="true" outlineLevel="0" collapsed="false">
      <c r="A8117" s="0" t="n">
        <v>2</v>
      </c>
      <c r="B8117" s="71" t="n">
        <v>46274</v>
      </c>
      <c r="C8117" s="0" t="n">
        <v>11</v>
      </c>
      <c r="D8117" s="0" t="s">
        <v>2471</v>
      </c>
      <c r="E8117" s="0" t="n">
        <v>1671</v>
      </c>
      <c r="F8117" s="0" t="s">
        <v>119</v>
      </c>
      <c r="I8117" s="0" t="n">
        <v>591052</v>
      </c>
      <c r="J8117" s="0" t="n">
        <v>21549</v>
      </c>
      <c r="K8117" s="0" t="n">
        <v>7898437140818</v>
      </c>
      <c r="L8117" s="0" t="s">
        <v>5290</v>
      </c>
      <c r="N8117" s="0" t="n">
        <v>6</v>
      </c>
      <c r="O8117" s="0" t="n">
        <v>31.32</v>
      </c>
      <c r="P8117" s="0" t="s">
        <v>2444</v>
      </c>
    </row>
    <row r="8118" customFormat="false" ht="15" hidden="false" customHeight="true" outlineLevel="0" collapsed="false">
      <c r="A8118" s="0" t="n">
        <v>2</v>
      </c>
      <c r="B8118" s="71" t="n">
        <v>46274</v>
      </c>
      <c r="C8118" s="0" t="n">
        <v>11</v>
      </c>
      <c r="D8118" s="0" t="s">
        <v>2471</v>
      </c>
      <c r="E8118" s="0" t="n">
        <v>1671</v>
      </c>
      <c r="F8118" s="0" t="s">
        <v>119</v>
      </c>
      <c r="I8118" s="0" t="n">
        <v>591052</v>
      </c>
      <c r="J8118" s="0" t="n">
        <v>31328</v>
      </c>
      <c r="K8118" s="0" t="n">
        <v>7896064471015</v>
      </c>
      <c r="L8118" s="0" t="s">
        <v>4635</v>
      </c>
      <c r="N8118" s="0" t="n">
        <v>48</v>
      </c>
      <c r="O8118" s="0" t="n">
        <v>221.76</v>
      </c>
      <c r="P8118" s="0" t="s">
        <v>2444</v>
      </c>
    </row>
    <row r="8119" customFormat="false" ht="15" hidden="false" customHeight="true" outlineLevel="0" collapsed="false">
      <c r="A8119" s="0" t="n">
        <v>2</v>
      </c>
      <c r="B8119" s="71" t="n">
        <v>46274</v>
      </c>
      <c r="C8119" s="0" t="n">
        <v>11</v>
      </c>
      <c r="D8119" s="0" t="s">
        <v>2471</v>
      </c>
      <c r="E8119" s="0" t="n">
        <v>1671</v>
      </c>
      <c r="F8119" s="0" t="s">
        <v>119</v>
      </c>
      <c r="I8119" s="0" t="n">
        <v>591052</v>
      </c>
      <c r="J8119" s="0" t="n">
        <v>31493</v>
      </c>
      <c r="K8119" s="0" t="n">
        <v>7896064442190</v>
      </c>
      <c r="L8119" s="0" t="s">
        <v>5291</v>
      </c>
      <c r="N8119" s="0" t="n">
        <v>32</v>
      </c>
      <c r="O8119" s="0" t="n">
        <v>134.08</v>
      </c>
      <c r="P8119" s="0" t="s">
        <v>2444</v>
      </c>
    </row>
    <row r="8120" customFormat="false" ht="15" hidden="false" customHeight="true" outlineLevel="0" collapsed="false">
      <c r="A8120" s="0" t="n">
        <v>2</v>
      </c>
      <c r="B8120" s="71" t="n">
        <v>46274</v>
      </c>
      <c r="C8120" s="0" t="n">
        <v>11</v>
      </c>
      <c r="D8120" s="0" t="s">
        <v>2471</v>
      </c>
      <c r="E8120" s="0" t="n">
        <v>1671</v>
      </c>
      <c r="F8120" s="0" t="s">
        <v>119</v>
      </c>
      <c r="I8120" s="0" t="n">
        <v>591052</v>
      </c>
      <c r="J8120" s="0" t="n">
        <v>34405</v>
      </c>
      <c r="K8120" s="0" t="n">
        <v>7896064443029</v>
      </c>
      <c r="L8120" s="0" t="s">
        <v>5292</v>
      </c>
      <c r="N8120" s="0" t="n">
        <v>30</v>
      </c>
      <c r="O8120" s="0" t="n">
        <v>221.7</v>
      </c>
      <c r="P8120" s="0" t="s">
        <v>2444</v>
      </c>
    </row>
    <row r="8121" customFormat="false" ht="15" hidden="false" customHeight="true" outlineLevel="0" collapsed="false">
      <c r="A8121" s="0" t="n">
        <v>2</v>
      </c>
      <c r="B8121" s="71" t="n">
        <v>46274</v>
      </c>
      <c r="C8121" s="0" t="n">
        <v>11</v>
      </c>
      <c r="D8121" s="0" t="s">
        <v>2471</v>
      </c>
      <c r="E8121" s="0" t="n">
        <v>1621</v>
      </c>
      <c r="F8121" s="0" t="s">
        <v>232</v>
      </c>
      <c r="I8121" s="0" t="n">
        <v>996851</v>
      </c>
      <c r="J8121" s="0" t="n">
        <v>20242</v>
      </c>
      <c r="K8121" s="0" t="n">
        <v>7891149104932</v>
      </c>
      <c r="L8121" s="0" t="s">
        <v>3771</v>
      </c>
      <c r="N8121" s="0" t="n">
        <v>60</v>
      </c>
      <c r="O8121" s="0" t="n">
        <v>205.1</v>
      </c>
      <c r="P8121" s="0" t="s">
        <v>2444</v>
      </c>
    </row>
    <row r="8122" customFormat="false" ht="15" hidden="false" customHeight="true" outlineLevel="0" collapsed="false">
      <c r="A8122" s="0" t="n">
        <v>2</v>
      </c>
      <c r="B8122" s="71" t="n">
        <v>46274</v>
      </c>
      <c r="C8122" s="0" t="n">
        <v>11</v>
      </c>
      <c r="D8122" s="0" t="s">
        <v>2471</v>
      </c>
      <c r="E8122" s="0" t="n">
        <v>1621</v>
      </c>
      <c r="F8122" s="0" t="s">
        <v>232</v>
      </c>
      <c r="I8122" s="0" t="n">
        <v>996851</v>
      </c>
      <c r="J8122" s="0" t="n">
        <v>103127</v>
      </c>
      <c r="K8122" s="0" t="n">
        <v>7891991000826</v>
      </c>
      <c r="L8122" s="0" t="s">
        <v>3066</v>
      </c>
      <c r="N8122" s="0" t="n">
        <v>12</v>
      </c>
      <c r="O8122" s="0" t="n">
        <v>36.01</v>
      </c>
      <c r="P8122" s="0" t="s">
        <v>2444</v>
      </c>
    </row>
    <row r="8123" customFormat="false" ht="15" hidden="false" customHeight="true" outlineLevel="0" collapsed="false">
      <c r="A8123" s="0" t="n">
        <v>2</v>
      </c>
      <c r="B8123" s="71" t="n">
        <v>46274</v>
      </c>
      <c r="C8123" s="0" t="n">
        <v>11</v>
      </c>
      <c r="D8123" s="0" t="s">
        <v>2471</v>
      </c>
      <c r="E8123" s="0" t="n">
        <v>1621</v>
      </c>
      <c r="F8123" s="0" t="s">
        <v>232</v>
      </c>
      <c r="I8123" s="0" t="n">
        <v>996851</v>
      </c>
      <c r="J8123" s="0" t="n">
        <v>103129</v>
      </c>
      <c r="K8123" s="0" t="n">
        <v>7891991000840</v>
      </c>
      <c r="L8123" s="0" t="s">
        <v>3872</v>
      </c>
      <c r="N8123" s="0" t="n">
        <v>12</v>
      </c>
      <c r="O8123" s="0" t="n">
        <v>41.2</v>
      </c>
      <c r="P8123" s="0" t="s">
        <v>2444</v>
      </c>
    </row>
    <row r="8124" customFormat="false" ht="15" hidden="false" customHeight="true" outlineLevel="0" collapsed="false">
      <c r="A8124" s="0" t="n">
        <v>2</v>
      </c>
      <c r="B8124" s="71" t="n">
        <v>46274</v>
      </c>
      <c r="C8124" s="0" t="n">
        <v>11</v>
      </c>
      <c r="D8124" s="0" t="s">
        <v>2471</v>
      </c>
      <c r="E8124" s="0" t="n">
        <v>1621</v>
      </c>
      <c r="F8124" s="0" t="s">
        <v>232</v>
      </c>
      <c r="I8124" s="0" t="n">
        <v>996851</v>
      </c>
      <c r="J8124" s="0" t="n">
        <v>103130</v>
      </c>
      <c r="K8124" s="0" t="n">
        <v>7891149440801</v>
      </c>
      <c r="L8124" s="0" t="s">
        <v>3067</v>
      </c>
      <c r="N8124" s="0" t="n">
        <v>30</v>
      </c>
      <c r="O8124" s="0" t="n">
        <v>167.46</v>
      </c>
      <c r="P8124" s="0" t="s">
        <v>2444</v>
      </c>
    </row>
    <row r="8125" customFormat="false" ht="15" hidden="false" customHeight="true" outlineLevel="0" collapsed="false">
      <c r="A8125" s="0" t="n">
        <v>2</v>
      </c>
      <c r="B8125" s="71" t="n">
        <v>46274</v>
      </c>
      <c r="C8125" s="0" t="n">
        <v>11</v>
      </c>
      <c r="D8125" s="0" t="s">
        <v>2471</v>
      </c>
      <c r="E8125" s="0" t="n">
        <v>1621</v>
      </c>
      <c r="F8125" s="0" t="s">
        <v>232</v>
      </c>
      <c r="I8125" s="0" t="n">
        <v>996851</v>
      </c>
      <c r="J8125" s="0" t="n">
        <v>103131</v>
      </c>
      <c r="K8125" s="0" t="n">
        <v>7891991001359</v>
      </c>
      <c r="L8125" s="0" t="s">
        <v>4810</v>
      </c>
      <c r="N8125" s="0" t="n">
        <v>12</v>
      </c>
      <c r="O8125" s="0" t="n">
        <v>82.39</v>
      </c>
      <c r="P8125" s="0" t="s">
        <v>2444</v>
      </c>
    </row>
    <row r="8126" customFormat="false" ht="15" hidden="false" customHeight="true" outlineLevel="0" collapsed="false">
      <c r="A8126" s="0" t="n">
        <v>2</v>
      </c>
      <c r="B8126" s="71" t="n">
        <v>46274</v>
      </c>
      <c r="C8126" s="0" t="n">
        <v>11</v>
      </c>
      <c r="D8126" s="0" t="s">
        <v>2471</v>
      </c>
      <c r="E8126" s="0" t="n">
        <v>1621</v>
      </c>
      <c r="F8126" s="0" t="s">
        <v>232</v>
      </c>
      <c r="I8126" s="0" t="n">
        <v>996851</v>
      </c>
      <c r="J8126" s="0" t="n">
        <v>104358</v>
      </c>
      <c r="K8126" s="0" t="n">
        <v>7891149440603</v>
      </c>
      <c r="L8126" s="0" t="s">
        <v>4630</v>
      </c>
      <c r="N8126" s="0" t="n">
        <v>12</v>
      </c>
      <c r="O8126" s="0" t="n">
        <v>34.91</v>
      </c>
      <c r="P8126" s="0" t="s">
        <v>2444</v>
      </c>
    </row>
    <row r="8127" customFormat="false" ht="15" hidden="false" customHeight="true" outlineLevel="0" collapsed="false">
      <c r="A8127" s="0" t="n">
        <v>2</v>
      </c>
      <c r="B8127" s="71" t="n">
        <v>46274</v>
      </c>
      <c r="C8127" s="0" t="n">
        <v>11</v>
      </c>
      <c r="D8127" s="0" t="s">
        <v>2471</v>
      </c>
      <c r="E8127" s="0" t="n">
        <v>1621</v>
      </c>
      <c r="F8127" s="0" t="s">
        <v>232</v>
      </c>
      <c r="I8127" s="0" t="n">
        <v>996851</v>
      </c>
      <c r="J8127" s="0" t="n">
        <v>104505</v>
      </c>
      <c r="K8127" s="0" t="n">
        <v>7892840800079</v>
      </c>
      <c r="L8127" s="0" t="s">
        <v>3073</v>
      </c>
      <c r="N8127" s="0" t="n">
        <v>12</v>
      </c>
      <c r="O8127" s="0" t="n">
        <v>34.91</v>
      </c>
      <c r="P8127" s="0" t="s">
        <v>2444</v>
      </c>
    </row>
    <row r="8128" customFormat="false" ht="15" hidden="false" customHeight="true" outlineLevel="0" collapsed="false">
      <c r="A8128" s="0" t="n">
        <v>2</v>
      </c>
      <c r="B8128" s="71" t="n">
        <v>46274</v>
      </c>
      <c r="C8128" s="0" t="n">
        <v>11</v>
      </c>
      <c r="D8128" s="0" t="s">
        <v>2471</v>
      </c>
      <c r="E8128" s="0" t="n">
        <v>1621</v>
      </c>
      <c r="F8128" s="0" t="s">
        <v>232</v>
      </c>
      <c r="I8128" s="0" t="n">
        <v>996851</v>
      </c>
      <c r="J8128" s="0" t="n">
        <v>108599</v>
      </c>
      <c r="K8128" s="0" t="n">
        <v>7892840808051</v>
      </c>
      <c r="L8128" s="0" t="s">
        <v>3074</v>
      </c>
      <c r="N8128" s="0" t="n">
        <v>6</v>
      </c>
      <c r="O8128" s="0" t="n">
        <v>32.89</v>
      </c>
      <c r="P8128" s="0" t="s">
        <v>2444</v>
      </c>
    </row>
    <row r="8129" customFormat="false" ht="15" hidden="false" customHeight="true" outlineLevel="0" collapsed="false">
      <c r="A8129" s="0" t="n">
        <v>2</v>
      </c>
      <c r="B8129" s="71" t="n">
        <v>46274</v>
      </c>
      <c r="C8129" s="0" t="n">
        <v>11</v>
      </c>
      <c r="D8129" s="0" t="s">
        <v>2471</v>
      </c>
      <c r="E8129" s="0" t="n">
        <v>1621</v>
      </c>
      <c r="F8129" s="0" t="s">
        <v>232</v>
      </c>
      <c r="I8129" s="0" t="n">
        <v>996851</v>
      </c>
      <c r="J8129" s="0" t="n">
        <v>13504</v>
      </c>
      <c r="K8129" s="0" t="n">
        <v>7892840808020</v>
      </c>
      <c r="L8129" s="0" t="s">
        <v>3874</v>
      </c>
      <c r="N8129" s="0" t="n">
        <v>6</v>
      </c>
      <c r="O8129" s="0" t="n">
        <v>32.89</v>
      </c>
      <c r="P8129" s="0" t="s">
        <v>2444</v>
      </c>
    </row>
    <row r="8130" customFormat="false" ht="15" hidden="false" customHeight="true" outlineLevel="0" collapsed="false">
      <c r="A8130" s="0" t="n">
        <v>2</v>
      </c>
      <c r="B8130" s="71" t="n">
        <v>46274</v>
      </c>
      <c r="C8130" s="0" t="n">
        <v>11</v>
      </c>
      <c r="D8130" s="0" t="s">
        <v>2471</v>
      </c>
      <c r="E8130" s="0" t="n">
        <v>1621</v>
      </c>
      <c r="F8130" s="0" t="s">
        <v>232</v>
      </c>
      <c r="I8130" s="0" t="n">
        <v>996851</v>
      </c>
      <c r="J8130" s="0" t="n">
        <v>16653</v>
      </c>
      <c r="K8130" s="0" t="n">
        <v>7891149103065</v>
      </c>
      <c r="L8130" s="0" t="s">
        <v>4651</v>
      </c>
      <c r="N8130" s="0" t="n">
        <v>24</v>
      </c>
      <c r="O8130" s="0" t="n">
        <v>88.250047</v>
      </c>
      <c r="P8130" s="0" t="s">
        <v>2444</v>
      </c>
    </row>
    <row r="8131" customFormat="false" ht="15" hidden="false" customHeight="true" outlineLevel="0" collapsed="false">
      <c r="A8131" s="0" t="n">
        <v>2</v>
      </c>
      <c r="B8131" s="71" t="n">
        <v>46274</v>
      </c>
      <c r="C8131" s="0" t="n">
        <v>11</v>
      </c>
      <c r="D8131" s="0" t="s">
        <v>2471</v>
      </c>
      <c r="E8131" s="0" t="n">
        <v>1621</v>
      </c>
      <c r="F8131" s="0" t="s">
        <v>232</v>
      </c>
      <c r="I8131" s="0" t="n">
        <v>996851</v>
      </c>
      <c r="J8131" s="0" t="n">
        <v>17277</v>
      </c>
      <c r="K8131" s="0" t="n">
        <v>7892840808174</v>
      </c>
      <c r="L8131" s="0" t="s">
        <v>3076</v>
      </c>
      <c r="N8131" s="0" t="n">
        <v>6</v>
      </c>
      <c r="O8131" s="0" t="n">
        <v>32.89</v>
      </c>
      <c r="P8131" s="0" t="s">
        <v>2444</v>
      </c>
    </row>
    <row r="8132" customFormat="false" ht="15" hidden="false" customHeight="true" outlineLevel="0" collapsed="false">
      <c r="A8132" s="0" t="n">
        <v>2</v>
      </c>
      <c r="B8132" s="71" t="n">
        <v>46274</v>
      </c>
      <c r="C8132" s="0" t="n">
        <v>11</v>
      </c>
      <c r="D8132" s="0" t="s">
        <v>2471</v>
      </c>
      <c r="E8132" s="0" t="n">
        <v>1621</v>
      </c>
      <c r="F8132" s="0" t="s">
        <v>232</v>
      </c>
      <c r="I8132" s="0" t="n">
        <v>996851</v>
      </c>
      <c r="J8132" s="0" t="n">
        <v>20610</v>
      </c>
      <c r="K8132" s="0" t="n">
        <v>7891149105564</v>
      </c>
      <c r="L8132" s="0" t="s">
        <v>3078</v>
      </c>
      <c r="N8132" s="0" t="n">
        <v>16</v>
      </c>
      <c r="O8132" s="0" t="n">
        <v>91.930023</v>
      </c>
      <c r="P8132" s="0" t="s">
        <v>2444</v>
      </c>
    </row>
    <row r="8133" customFormat="false" ht="15" hidden="false" customHeight="true" outlineLevel="0" collapsed="false">
      <c r="A8133" s="0" t="n">
        <v>2</v>
      </c>
      <c r="B8133" s="71" t="n">
        <v>46274</v>
      </c>
      <c r="C8133" s="0" t="n">
        <v>11</v>
      </c>
      <c r="D8133" s="0" t="s">
        <v>2471</v>
      </c>
      <c r="E8133" s="0" t="n">
        <v>1621</v>
      </c>
      <c r="F8133" s="0" t="s">
        <v>232</v>
      </c>
      <c r="I8133" s="0" t="n">
        <v>996851</v>
      </c>
      <c r="J8133" s="0" t="n">
        <v>24129</v>
      </c>
      <c r="K8133" s="0" t="n">
        <v>7891991011877</v>
      </c>
      <c r="L8133" s="0" t="s">
        <v>3079</v>
      </c>
      <c r="N8133" s="0" t="n">
        <v>16</v>
      </c>
      <c r="O8133" s="0" t="n">
        <v>46.470022</v>
      </c>
      <c r="P8133" s="0" t="s">
        <v>2444</v>
      </c>
    </row>
    <row r="8134" customFormat="false" ht="15" hidden="false" customHeight="true" outlineLevel="0" collapsed="false">
      <c r="A8134" s="0" t="n">
        <v>2</v>
      </c>
      <c r="B8134" s="71" t="n">
        <v>46274</v>
      </c>
      <c r="C8134" s="0" t="n">
        <v>11</v>
      </c>
      <c r="D8134" s="0" t="s">
        <v>2471</v>
      </c>
      <c r="E8134" s="0" t="n">
        <v>1621</v>
      </c>
      <c r="F8134" s="0" t="s">
        <v>232</v>
      </c>
      <c r="I8134" s="0" t="n">
        <v>996851</v>
      </c>
      <c r="J8134" s="0" t="n">
        <v>26391</v>
      </c>
      <c r="K8134" s="0" t="n">
        <v>7891991010061</v>
      </c>
      <c r="L8134" s="0" t="s">
        <v>3081</v>
      </c>
      <c r="N8134" s="0" t="n">
        <v>30</v>
      </c>
      <c r="O8134" s="0" t="n">
        <v>84.540084</v>
      </c>
      <c r="P8134" s="0" t="s">
        <v>2444</v>
      </c>
    </row>
    <row r="8135" customFormat="false" ht="15" hidden="false" customHeight="true" outlineLevel="0" collapsed="false">
      <c r="A8135" s="0" t="n">
        <v>2</v>
      </c>
      <c r="B8135" s="71" t="n">
        <v>46274</v>
      </c>
      <c r="C8135" s="0" t="n">
        <v>11</v>
      </c>
      <c r="D8135" s="0" t="s">
        <v>2471</v>
      </c>
      <c r="E8135" s="0" t="n">
        <v>1621</v>
      </c>
      <c r="F8135" s="0" t="s">
        <v>232</v>
      </c>
      <c r="I8135" s="0" t="n">
        <v>996851</v>
      </c>
      <c r="J8135" s="0" t="n">
        <v>31031</v>
      </c>
      <c r="K8135" s="0" t="n">
        <v>7891149441204</v>
      </c>
      <c r="L8135" s="0" t="s">
        <v>5293</v>
      </c>
      <c r="N8135" s="0" t="n">
        <v>12</v>
      </c>
      <c r="O8135" s="0" t="n">
        <v>41.08</v>
      </c>
      <c r="P8135" s="0" t="s">
        <v>2444</v>
      </c>
    </row>
    <row r="8136" customFormat="false" ht="15" hidden="false" customHeight="true" outlineLevel="0" collapsed="false">
      <c r="A8136" s="0" t="n">
        <v>2</v>
      </c>
      <c r="B8136" s="71" t="n">
        <v>46274</v>
      </c>
      <c r="C8136" s="0" t="n">
        <v>11</v>
      </c>
      <c r="D8136" s="0" t="s">
        <v>2471</v>
      </c>
      <c r="E8136" s="0" t="n">
        <v>1621</v>
      </c>
      <c r="F8136" s="0" t="s">
        <v>232</v>
      </c>
      <c r="I8136" s="0" t="n">
        <v>996851</v>
      </c>
      <c r="J8136" s="0" t="n">
        <v>31564</v>
      </c>
      <c r="K8136" s="0" t="n">
        <v>7891149840878</v>
      </c>
      <c r="L8136" s="0" t="s">
        <v>3084</v>
      </c>
      <c r="N8136" s="0" t="n">
        <v>8</v>
      </c>
      <c r="O8136" s="0" t="n">
        <v>45.969951</v>
      </c>
      <c r="P8136" s="0" t="s">
        <v>2444</v>
      </c>
    </row>
    <row r="8137" customFormat="false" ht="15" hidden="false" customHeight="true" outlineLevel="0" collapsed="false">
      <c r="A8137" s="0" t="n">
        <v>2</v>
      </c>
      <c r="B8137" s="71" t="n">
        <v>46274</v>
      </c>
      <c r="C8137" s="0" t="n">
        <v>11</v>
      </c>
      <c r="D8137" s="0" t="s">
        <v>2471</v>
      </c>
      <c r="E8137" s="0" t="n">
        <v>1621</v>
      </c>
      <c r="F8137" s="0" t="s">
        <v>232</v>
      </c>
      <c r="I8137" s="0" t="n">
        <v>996851</v>
      </c>
      <c r="J8137" s="0" t="n">
        <v>38561</v>
      </c>
      <c r="K8137" s="0" t="n">
        <v>7891991295086</v>
      </c>
      <c r="L8137" s="0" t="s">
        <v>4652</v>
      </c>
      <c r="N8137" s="0" t="n">
        <v>15</v>
      </c>
      <c r="O8137" s="0" t="n">
        <v>50.049953</v>
      </c>
      <c r="P8137" s="0" t="s">
        <v>2444</v>
      </c>
    </row>
    <row r="8138" customFormat="false" ht="15" hidden="false" customHeight="true" outlineLevel="0" collapsed="false">
      <c r="A8138" s="0" t="n">
        <v>2</v>
      </c>
      <c r="B8138" s="71" t="n">
        <v>46274</v>
      </c>
      <c r="C8138" s="0" t="n">
        <v>11</v>
      </c>
      <c r="D8138" s="0" t="s">
        <v>2471</v>
      </c>
      <c r="E8138" s="0" t="n">
        <v>1621</v>
      </c>
      <c r="F8138" s="0" t="s">
        <v>232</v>
      </c>
      <c r="I8138" s="0" t="n">
        <v>996851</v>
      </c>
      <c r="J8138" s="0" t="n">
        <v>40508</v>
      </c>
      <c r="K8138" s="0" t="n">
        <v>7891991301138</v>
      </c>
      <c r="L8138" s="0" t="s">
        <v>3086</v>
      </c>
      <c r="N8138" s="0" t="n">
        <v>24</v>
      </c>
      <c r="O8138" s="0" t="n">
        <v>165.550123</v>
      </c>
      <c r="P8138" s="0" t="s">
        <v>2444</v>
      </c>
    </row>
    <row r="8139" customFormat="false" ht="15" hidden="false" customHeight="true" outlineLevel="0" collapsed="false">
      <c r="A8139" s="0" t="n">
        <v>2</v>
      </c>
      <c r="B8139" s="71" t="n">
        <v>46274</v>
      </c>
      <c r="C8139" s="0" t="n">
        <v>11</v>
      </c>
      <c r="D8139" s="0" t="s">
        <v>2471</v>
      </c>
      <c r="E8139" s="0" t="n">
        <v>1621</v>
      </c>
      <c r="F8139" s="0" t="s">
        <v>232</v>
      </c>
      <c r="I8139" s="0" t="n">
        <v>996851</v>
      </c>
      <c r="J8139" s="0" t="n">
        <v>46066</v>
      </c>
      <c r="K8139" s="0" t="n">
        <v>7891991295277</v>
      </c>
      <c r="L8139" s="0" t="s">
        <v>3088</v>
      </c>
      <c r="N8139" s="0" t="n">
        <v>30</v>
      </c>
      <c r="O8139" s="0" t="n">
        <v>87.129915</v>
      </c>
      <c r="P8139" s="0" t="s">
        <v>2444</v>
      </c>
    </row>
    <row r="8140" customFormat="false" ht="15" hidden="false" customHeight="true" outlineLevel="0" collapsed="false">
      <c r="A8140" s="0" t="n">
        <v>2</v>
      </c>
      <c r="B8140" s="71" t="n">
        <v>46274</v>
      </c>
      <c r="C8140" s="0" t="n">
        <v>11</v>
      </c>
      <c r="D8140" s="0" t="s">
        <v>2471</v>
      </c>
      <c r="E8140" s="0" t="n">
        <v>1621</v>
      </c>
      <c r="F8140" s="0" t="s">
        <v>232</v>
      </c>
      <c r="I8140" s="0" t="n">
        <v>996851</v>
      </c>
      <c r="J8140" s="0" t="n">
        <v>48553</v>
      </c>
      <c r="K8140" s="0" t="n">
        <v>7892840813444</v>
      </c>
      <c r="L8140" s="0" t="s">
        <v>3775</v>
      </c>
      <c r="N8140" s="0" t="n">
        <v>12</v>
      </c>
      <c r="O8140" s="0" t="n">
        <v>82.28</v>
      </c>
      <c r="P8140" s="0" t="s">
        <v>2444</v>
      </c>
    </row>
    <row r="8141" customFormat="false" ht="15" hidden="false" customHeight="true" outlineLevel="0" collapsed="false">
      <c r="A8141" s="0" t="n">
        <v>2</v>
      </c>
      <c r="B8141" s="71" t="n">
        <v>46274</v>
      </c>
      <c r="C8141" s="0" t="n">
        <v>11</v>
      </c>
      <c r="D8141" s="0" t="s">
        <v>2471</v>
      </c>
      <c r="E8141" s="0" t="n">
        <v>1621</v>
      </c>
      <c r="F8141" s="0" t="s">
        <v>232</v>
      </c>
      <c r="I8141" s="0" t="n">
        <v>996851</v>
      </c>
      <c r="J8141" s="0" t="n">
        <v>54120</v>
      </c>
      <c r="K8141" s="0" t="n">
        <v>7892840820862</v>
      </c>
      <c r="L8141" s="0" t="s">
        <v>3776</v>
      </c>
      <c r="N8141" s="0" t="n">
        <v>6</v>
      </c>
      <c r="O8141" s="0" t="n">
        <v>20.54</v>
      </c>
      <c r="P8141" s="0" t="s">
        <v>2444</v>
      </c>
    </row>
    <row r="8142" customFormat="false" ht="15" hidden="false" customHeight="true" outlineLevel="0" collapsed="false">
      <c r="A8142" s="0" t="n">
        <v>2</v>
      </c>
      <c r="B8142" s="71" t="n">
        <v>46274</v>
      </c>
      <c r="C8142" s="0" t="n">
        <v>11</v>
      </c>
      <c r="D8142" s="0" t="s">
        <v>2471</v>
      </c>
      <c r="E8142" s="0" t="n">
        <v>1621</v>
      </c>
      <c r="F8142" s="0" t="s">
        <v>232</v>
      </c>
      <c r="I8142" s="0" t="n">
        <v>996851</v>
      </c>
      <c r="J8142" s="0" t="n">
        <v>57246</v>
      </c>
      <c r="K8142" s="0" t="n">
        <v>7892840800406</v>
      </c>
      <c r="L8142" s="0" t="s">
        <v>3092</v>
      </c>
      <c r="N8142" s="0" t="n">
        <v>18</v>
      </c>
      <c r="O8142" s="0" t="n">
        <v>61.62</v>
      </c>
      <c r="P8142" s="0" t="s">
        <v>2444</v>
      </c>
    </row>
    <row r="8143" customFormat="false" ht="15" hidden="false" customHeight="true" outlineLevel="0" collapsed="false">
      <c r="A8143" s="0" t="n">
        <v>2</v>
      </c>
      <c r="B8143" s="71" t="n">
        <v>46274</v>
      </c>
      <c r="C8143" s="0" t="n">
        <v>11</v>
      </c>
      <c r="D8143" s="0" t="s">
        <v>2471</v>
      </c>
      <c r="E8143" s="0" t="n">
        <v>1621</v>
      </c>
      <c r="F8143" s="0" t="s">
        <v>232</v>
      </c>
      <c r="I8143" s="0" t="n">
        <v>996851</v>
      </c>
      <c r="J8143" s="0" t="n">
        <v>64674</v>
      </c>
      <c r="K8143" s="0" t="n">
        <v>7891991304870</v>
      </c>
      <c r="L8143" s="0" t="s">
        <v>5214</v>
      </c>
      <c r="N8143" s="0" t="n">
        <v>24</v>
      </c>
      <c r="O8143" s="0" t="n">
        <v>147.239896</v>
      </c>
      <c r="P8143" s="0" t="s">
        <v>2444</v>
      </c>
    </row>
    <row r="8144" customFormat="false" ht="15" hidden="false" customHeight="true" outlineLevel="0" collapsed="false">
      <c r="A8144" s="0" t="n">
        <v>2</v>
      </c>
      <c r="B8144" s="71" t="n">
        <v>46274</v>
      </c>
      <c r="C8144" s="0" t="n">
        <v>11</v>
      </c>
      <c r="D8144" s="0" t="s">
        <v>2471</v>
      </c>
      <c r="E8144" s="0" t="n">
        <v>1621</v>
      </c>
      <c r="F8144" s="0" t="s">
        <v>232</v>
      </c>
      <c r="I8144" s="0" t="n">
        <v>996851</v>
      </c>
      <c r="J8144" s="0" t="n">
        <v>73319</v>
      </c>
      <c r="K8144" s="0" t="n">
        <v>7891991307185</v>
      </c>
      <c r="L8144" s="0" t="s">
        <v>3097</v>
      </c>
      <c r="N8144" s="0" t="n">
        <v>8</v>
      </c>
      <c r="O8144" s="0" t="n">
        <v>45.969867</v>
      </c>
      <c r="P8144" s="0" t="s">
        <v>2444</v>
      </c>
    </row>
    <row r="8145" customFormat="false" ht="15" hidden="false" customHeight="true" outlineLevel="0" collapsed="false">
      <c r="A8145" s="0" t="n">
        <v>2</v>
      </c>
      <c r="B8145" s="71" t="n">
        <v>46274</v>
      </c>
      <c r="C8145" s="0" t="n">
        <v>11</v>
      </c>
      <c r="D8145" s="0" t="s">
        <v>2471</v>
      </c>
      <c r="E8145" s="0" t="n">
        <v>1621</v>
      </c>
      <c r="F8145" s="0" t="s">
        <v>232</v>
      </c>
      <c r="I8145" s="0" t="n">
        <v>996851</v>
      </c>
      <c r="J8145" s="0" t="n">
        <v>78062</v>
      </c>
      <c r="K8145" s="0" t="n">
        <v>7891991305440</v>
      </c>
      <c r="L8145" s="0" t="s">
        <v>3100</v>
      </c>
      <c r="N8145" s="0" t="n">
        <v>24</v>
      </c>
      <c r="O8145" s="0" t="n">
        <v>133.429999</v>
      </c>
      <c r="P8145" s="0" t="s">
        <v>2444</v>
      </c>
    </row>
    <row r="8146" customFormat="false" ht="15" hidden="false" customHeight="true" outlineLevel="0" collapsed="false">
      <c r="A8146" s="0" t="n">
        <v>2</v>
      </c>
      <c r="B8146" s="71" t="n">
        <v>46274</v>
      </c>
      <c r="C8146" s="0" t="n">
        <v>11</v>
      </c>
      <c r="D8146" s="0" t="s">
        <v>2471</v>
      </c>
      <c r="E8146" s="0" t="n">
        <v>1621</v>
      </c>
      <c r="F8146" s="0" t="s">
        <v>232</v>
      </c>
      <c r="I8146" s="0" t="n">
        <v>996851</v>
      </c>
      <c r="J8146" s="0" t="n">
        <v>78311</v>
      </c>
      <c r="K8146" s="0" t="n">
        <v>7891149108763</v>
      </c>
      <c r="L8146" s="0" t="s">
        <v>5294</v>
      </c>
      <c r="N8146" s="0" t="n">
        <v>24</v>
      </c>
      <c r="O8146" s="0" t="n">
        <v>128.109925</v>
      </c>
      <c r="P8146" s="0" t="s">
        <v>2444</v>
      </c>
    </row>
    <row r="8147" customFormat="false" ht="15" hidden="false" customHeight="true" outlineLevel="0" collapsed="false">
      <c r="A8147" s="0" t="n">
        <v>2</v>
      </c>
      <c r="B8147" s="71" t="n">
        <v>46274</v>
      </c>
      <c r="C8147" s="0" t="n">
        <v>11</v>
      </c>
      <c r="D8147" s="0" t="s">
        <v>2471</v>
      </c>
      <c r="E8147" s="0" t="n">
        <v>1621</v>
      </c>
      <c r="F8147" s="0" t="s">
        <v>232</v>
      </c>
      <c r="I8147" s="0" t="n">
        <v>996851</v>
      </c>
      <c r="J8147" s="0" t="n">
        <v>78311</v>
      </c>
      <c r="K8147" s="0" t="n">
        <v>7891149108763</v>
      </c>
      <c r="L8147" s="0" t="s">
        <v>5294</v>
      </c>
      <c r="N8147" s="0" t="n">
        <v>24</v>
      </c>
      <c r="O8147" s="0" t="n">
        <v>119.909863</v>
      </c>
      <c r="P8147" s="0" t="s">
        <v>2444</v>
      </c>
    </row>
    <row r="8148" customFormat="false" ht="15" hidden="false" customHeight="true" outlineLevel="0" collapsed="false">
      <c r="A8148" s="0" t="n">
        <v>2</v>
      </c>
      <c r="B8148" s="71" t="n">
        <v>46274</v>
      </c>
      <c r="C8148" s="0" t="n">
        <v>11</v>
      </c>
      <c r="D8148" s="0" t="s">
        <v>2471</v>
      </c>
      <c r="E8148" s="0" t="n">
        <v>1705</v>
      </c>
      <c r="F8148" s="0" t="s">
        <v>130</v>
      </c>
      <c r="I8148" s="0" t="n">
        <v>1281791</v>
      </c>
      <c r="J8148" s="0" t="n">
        <v>14312</v>
      </c>
      <c r="K8148" s="0" t="n">
        <v>7894900504002</v>
      </c>
      <c r="L8148" s="0" t="s">
        <v>4349</v>
      </c>
      <c r="N8148" s="0" t="n">
        <v>6</v>
      </c>
      <c r="O8148" s="0" t="n">
        <v>29.3</v>
      </c>
      <c r="P8148" s="0" t="s">
        <v>2444</v>
      </c>
    </row>
    <row r="8149" customFormat="false" ht="15" hidden="false" customHeight="true" outlineLevel="0" collapsed="false">
      <c r="A8149" s="0" t="n">
        <v>2</v>
      </c>
      <c r="B8149" s="71" t="n">
        <v>46274</v>
      </c>
      <c r="C8149" s="0" t="n">
        <v>11</v>
      </c>
      <c r="D8149" s="0" t="s">
        <v>2471</v>
      </c>
      <c r="E8149" s="0" t="n">
        <v>1705</v>
      </c>
      <c r="F8149" s="0" t="s">
        <v>130</v>
      </c>
      <c r="I8149" s="0" t="n">
        <v>1281791</v>
      </c>
      <c r="J8149" s="0" t="n">
        <v>14356</v>
      </c>
      <c r="K8149" s="0" t="n">
        <v>7894900501001</v>
      </c>
      <c r="L8149" s="0" t="s">
        <v>4655</v>
      </c>
      <c r="N8149" s="0" t="n">
        <v>6</v>
      </c>
      <c r="O8149" s="0" t="n">
        <v>29.3</v>
      </c>
      <c r="P8149" s="0" t="s">
        <v>2444</v>
      </c>
    </row>
    <row r="8150" customFormat="false" ht="15" hidden="false" customHeight="true" outlineLevel="0" collapsed="false">
      <c r="A8150" s="0" t="n">
        <v>2</v>
      </c>
      <c r="B8150" s="71" t="n">
        <v>46274</v>
      </c>
      <c r="C8150" s="0" t="n">
        <v>11</v>
      </c>
      <c r="D8150" s="0" t="s">
        <v>2471</v>
      </c>
      <c r="E8150" s="0" t="n">
        <v>1705</v>
      </c>
      <c r="F8150" s="0" t="s">
        <v>130</v>
      </c>
      <c r="I8150" s="0" t="n">
        <v>1281791</v>
      </c>
      <c r="J8150" s="0" t="n">
        <v>24324</v>
      </c>
      <c r="K8150" s="0" t="n">
        <v>70847022015</v>
      </c>
      <c r="L8150" s="0" t="s">
        <v>2462</v>
      </c>
      <c r="N8150" s="0" t="n">
        <v>24</v>
      </c>
      <c r="O8150" s="0" t="n">
        <v>203.42</v>
      </c>
      <c r="P8150" s="0" t="s">
        <v>2444</v>
      </c>
    </row>
    <row r="8151" customFormat="false" ht="15" hidden="false" customHeight="true" outlineLevel="0" collapsed="false">
      <c r="A8151" s="0" t="n">
        <v>2</v>
      </c>
      <c r="B8151" s="71" t="n">
        <v>46274</v>
      </c>
      <c r="C8151" s="0" t="n">
        <v>11</v>
      </c>
      <c r="D8151" s="0" t="s">
        <v>2471</v>
      </c>
      <c r="E8151" s="0" t="n">
        <v>1705</v>
      </c>
      <c r="F8151" s="0" t="s">
        <v>130</v>
      </c>
      <c r="I8151" s="0" t="n">
        <v>1281791</v>
      </c>
      <c r="J8151" s="0" t="n">
        <v>25136</v>
      </c>
      <c r="K8151" s="0" t="n">
        <v>70847022206</v>
      </c>
      <c r="L8151" s="0" t="s">
        <v>2463</v>
      </c>
      <c r="N8151" s="0" t="n">
        <v>6</v>
      </c>
      <c r="O8151" s="0" t="n">
        <v>50.85</v>
      </c>
      <c r="P8151" s="0" t="s">
        <v>2444</v>
      </c>
    </row>
    <row r="8152" customFormat="false" ht="15" hidden="false" customHeight="true" outlineLevel="0" collapsed="false">
      <c r="A8152" s="0" t="n">
        <v>2</v>
      </c>
      <c r="B8152" s="71" t="n">
        <v>46274</v>
      </c>
      <c r="C8152" s="0" t="n">
        <v>11</v>
      </c>
      <c r="D8152" s="0" t="s">
        <v>2471</v>
      </c>
      <c r="E8152" s="0" t="n">
        <v>1705</v>
      </c>
      <c r="F8152" s="0" t="s">
        <v>130</v>
      </c>
      <c r="I8152" s="0" t="n">
        <v>1281791</v>
      </c>
      <c r="J8152" s="0" t="n">
        <v>29747</v>
      </c>
      <c r="K8152" s="0" t="n">
        <v>70847022305</v>
      </c>
      <c r="L8152" s="0" t="s">
        <v>4124</v>
      </c>
      <c r="N8152" s="0" t="n">
        <v>6</v>
      </c>
      <c r="O8152" s="0" t="n">
        <v>50.85</v>
      </c>
      <c r="P8152" s="0" t="s">
        <v>2444</v>
      </c>
    </row>
    <row r="8153" customFormat="false" ht="15" hidden="false" customHeight="true" outlineLevel="0" collapsed="false">
      <c r="A8153" s="0" t="n">
        <v>2</v>
      </c>
      <c r="B8153" s="71" t="n">
        <v>46274</v>
      </c>
      <c r="C8153" s="0" t="n">
        <v>11</v>
      </c>
      <c r="D8153" s="0" t="s">
        <v>2471</v>
      </c>
      <c r="E8153" s="0" t="n">
        <v>1705</v>
      </c>
      <c r="F8153" s="0" t="s">
        <v>130</v>
      </c>
      <c r="I8153" s="0" t="n">
        <v>1281791</v>
      </c>
      <c r="J8153" s="0" t="n">
        <v>29749</v>
      </c>
      <c r="K8153" s="0" t="n">
        <v>70847033929</v>
      </c>
      <c r="L8153" s="0" t="s">
        <v>2563</v>
      </c>
      <c r="N8153" s="0" t="n">
        <v>6</v>
      </c>
      <c r="O8153" s="0" t="n">
        <v>50.85</v>
      </c>
      <c r="P8153" s="0" t="s">
        <v>2444</v>
      </c>
    </row>
    <row r="8154" customFormat="false" ht="15" hidden="false" customHeight="true" outlineLevel="0" collapsed="false">
      <c r="A8154" s="0" t="n">
        <v>2</v>
      </c>
      <c r="B8154" s="71" t="n">
        <v>46274</v>
      </c>
      <c r="C8154" s="0" t="n">
        <v>11</v>
      </c>
      <c r="D8154" s="0" t="s">
        <v>2471</v>
      </c>
      <c r="E8154" s="0" t="n">
        <v>1705</v>
      </c>
      <c r="F8154" s="0" t="s">
        <v>130</v>
      </c>
      <c r="I8154" s="0" t="n">
        <v>1281791</v>
      </c>
      <c r="J8154" s="0" t="n">
        <v>35357</v>
      </c>
      <c r="K8154" s="0" t="n">
        <v>7894900681017</v>
      </c>
      <c r="L8154" s="0" t="s">
        <v>2564</v>
      </c>
      <c r="N8154" s="0" t="n">
        <v>12</v>
      </c>
      <c r="O8154" s="0" t="n">
        <v>34.31</v>
      </c>
      <c r="P8154" s="0" t="s">
        <v>2444</v>
      </c>
    </row>
    <row r="8155" customFormat="false" ht="15" hidden="false" customHeight="true" outlineLevel="0" collapsed="false">
      <c r="A8155" s="0" t="n">
        <v>2</v>
      </c>
      <c r="B8155" s="71" t="n">
        <v>46274</v>
      </c>
      <c r="C8155" s="0" t="n">
        <v>11</v>
      </c>
      <c r="D8155" s="0" t="s">
        <v>2471</v>
      </c>
      <c r="E8155" s="0" t="n">
        <v>1705</v>
      </c>
      <c r="F8155" s="0" t="s">
        <v>130</v>
      </c>
      <c r="I8155" s="0" t="n">
        <v>1281791</v>
      </c>
      <c r="J8155" s="0" t="n">
        <v>61083</v>
      </c>
      <c r="K8155" s="0" t="n">
        <v>7894900503029</v>
      </c>
      <c r="L8155" s="0" t="s">
        <v>4352</v>
      </c>
      <c r="N8155" s="0" t="n">
        <v>6</v>
      </c>
      <c r="O8155" s="0" t="n">
        <v>29.3</v>
      </c>
      <c r="P8155" s="0" t="s">
        <v>2444</v>
      </c>
    </row>
    <row r="8156" customFormat="false" ht="15" hidden="false" customHeight="true" outlineLevel="0" collapsed="false">
      <c r="A8156" s="0" t="n">
        <v>2</v>
      </c>
      <c r="B8156" s="71" t="n">
        <v>46274</v>
      </c>
      <c r="C8156" s="0" t="n">
        <v>11</v>
      </c>
      <c r="D8156" s="0" t="s">
        <v>2471</v>
      </c>
      <c r="E8156" s="0" t="n">
        <v>1705</v>
      </c>
      <c r="F8156" s="0" t="s">
        <v>130</v>
      </c>
      <c r="I8156" s="0" t="n">
        <v>1281791</v>
      </c>
      <c r="J8156" s="0" t="n">
        <v>66038</v>
      </c>
      <c r="K8156" s="0" t="n">
        <v>7898938890076</v>
      </c>
      <c r="L8156" s="0" t="s">
        <v>3442</v>
      </c>
      <c r="N8156" s="0" t="n">
        <v>12</v>
      </c>
      <c r="O8156" s="0" t="n">
        <v>101.71</v>
      </c>
      <c r="P8156" s="0" t="s">
        <v>2444</v>
      </c>
    </row>
    <row r="8157" customFormat="false" ht="15" hidden="false" customHeight="true" outlineLevel="0" collapsed="false">
      <c r="A8157" s="0" t="n">
        <v>2</v>
      </c>
      <c r="B8157" s="71" t="n">
        <v>46274</v>
      </c>
      <c r="C8157" s="0" t="n">
        <v>11</v>
      </c>
      <c r="D8157" s="0" t="s">
        <v>2471</v>
      </c>
      <c r="E8157" s="0" t="n">
        <v>1705</v>
      </c>
      <c r="F8157" s="0" t="s">
        <v>130</v>
      </c>
      <c r="I8157" s="0" t="n">
        <v>1281791</v>
      </c>
      <c r="J8157" s="0" t="n">
        <v>78241</v>
      </c>
      <c r="K8157" s="0" t="n">
        <v>7898938890120</v>
      </c>
      <c r="L8157" s="0" t="s">
        <v>5295</v>
      </c>
      <c r="N8157" s="0" t="n">
        <v>6</v>
      </c>
      <c r="O8157" s="0" t="n">
        <v>50.85</v>
      </c>
      <c r="P8157" s="0" t="s">
        <v>2444</v>
      </c>
    </row>
    <row r="8158" customFormat="false" ht="15" hidden="false" customHeight="true" outlineLevel="0" collapsed="false">
      <c r="A8158" s="0" t="n">
        <v>2</v>
      </c>
      <c r="B8158" s="71" t="n">
        <v>46274</v>
      </c>
      <c r="C8158" s="0" t="n">
        <v>11</v>
      </c>
      <c r="D8158" s="0" t="s">
        <v>2471</v>
      </c>
      <c r="E8158" s="0" t="n">
        <v>1705</v>
      </c>
      <c r="F8158" s="0" t="s">
        <v>130</v>
      </c>
      <c r="I8158" s="0" t="n">
        <v>1281795</v>
      </c>
      <c r="J8158" s="0" t="n">
        <v>29748</v>
      </c>
      <c r="K8158" s="0" t="n">
        <v>70847033301</v>
      </c>
      <c r="L8158" s="0" t="s">
        <v>2562</v>
      </c>
      <c r="N8158" s="0" t="n">
        <v>6</v>
      </c>
      <c r="O8158" s="0" t="n">
        <v>50.85</v>
      </c>
      <c r="P8158" s="0" t="s">
        <v>2444</v>
      </c>
    </row>
    <row r="8159" customFormat="false" ht="15" hidden="false" customHeight="true" outlineLevel="0" collapsed="false">
      <c r="A8159" s="0" t="n">
        <v>2</v>
      </c>
      <c r="B8159" s="71" t="n">
        <v>46274</v>
      </c>
      <c r="C8159" s="0" t="n">
        <v>11</v>
      </c>
      <c r="D8159" s="0" t="s">
        <v>2471</v>
      </c>
      <c r="E8159" s="0" t="n">
        <v>1705</v>
      </c>
      <c r="F8159" s="0" t="s">
        <v>130</v>
      </c>
      <c r="I8159" s="0" t="n">
        <v>1281807</v>
      </c>
      <c r="J8159" s="0" t="n">
        <v>102360</v>
      </c>
      <c r="K8159" s="0" t="n">
        <v>7894900593709</v>
      </c>
      <c r="L8159" s="0" t="s">
        <v>2557</v>
      </c>
      <c r="N8159" s="0" t="n">
        <v>180</v>
      </c>
      <c r="O8159" s="0" t="n">
        <v>353.48</v>
      </c>
      <c r="P8159" s="0" t="s">
        <v>2444</v>
      </c>
    </row>
    <row r="8160" customFormat="false" ht="15" hidden="false" customHeight="true" outlineLevel="0" collapsed="false">
      <c r="A8160" s="0" t="n">
        <v>2</v>
      </c>
      <c r="B8160" s="71" t="n">
        <v>46274</v>
      </c>
      <c r="C8160" s="0" t="n">
        <v>11</v>
      </c>
      <c r="D8160" s="0" t="s">
        <v>2471</v>
      </c>
      <c r="E8160" s="0" t="n">
        <v>1705</v>
      </c>
      <c r="F8160" s="0" t="s">
        <v>130</v>
      </c>
      <c r="I8160" s="0" t="n">
        <v>1281807</v>
      </c>
      <c r="J8160" s="0" t="n">
        <v>102361</v>
      </c>
      <c r="K8160" s="0" t="n">
        <v>7894900573701</v>
      </c>
      <c r="L8160" s="0" t="s">
        <v>3923</v>
      </c>
      <c r="N8160" s="0" t="n">
        <v>24</v>
      </c>
      <c r="O8160" s="0" t="n">
        <v>47.13</v>
      </c>
      <c r="P8160" s="0" t="s">
        <v>2444</v>
      </c>
    </row>
    <row r="8161" customFormat="false" ht="15" hidden="false" customHeight="true" outlineLevel="0" collapsed="false">
      <c r="A8161" s="0" t="n">
        <v>2</v>
      </c>
      <c r="B8161" s="71" t="n">
        <v>46274</v>
      </c>
      <c r="C8161" s="0" t="n">
        <v>11</v>
      </c>
      <c r="D8161" s="0" t="s">
        <v>2471</v>
      </c>
      <c r="E8161" s="0" t="n">
        <v>1705</v>
      </c>
      <c r="F8161" s="0" t="s">
        <v>130</v>
      </c>
      <c r="I8161" s="0" t="n">
        <v>1281807</v>
      </c>
      <c r="J8161" s="0" t="n">
        <v>102362</v>
      </c>
      <c r="K8161" s="0" t="n">
        <v>7894900583700</v>
      </c>
      <c r="L8161" s="0" t="s">
        <v>3255</v>
      </c>
      <c r="N8161" s="0" t="n">
        <v>180</v>
      </c>
      <c r="O8161" s="0" t="n">
        <v>353.48</v>
      </c>
      <c r="P8161" s="0" t="s">
        <v>2444</v>
      </c>
    </row>
    <row r="8162" customFormat="false" ht="15" hidden="false" customHeight="true" outlineLevel="0" collapsed="false">
      <c r="A8162" s="0" t="n">
        <v>2</v>
      </c>
      <c r="B8162" s="71" t="n">
        <v>46274</v>
      </c>
      <c r="C8162" s="0" t="n">
        <v>11</v>
      </c>
      <c r="D8162" s="0" t="s">
        <v>2471</v>
      </c>
      <c r="E8162" s="0" t="n">
        <v>1705</v>
      </c>
      <c r="F8162" s="0" t="s">
        <v>130</v>
      </c>
      <c r="I8162" s="0" t="n">
        <v>1281807</v>
      </c>
      <c r="J8162" s="0" t="n">
        <v>102363</v>
      </c>
      <c r="K8162" s="0" t="n">
        <v>7894900563702</v>
      </c>
      <c r="L8162" s="0" t="s">
        <v>2558</v>
      </c>
      <c r="N8162" s="0" t="n">
        <v>24</v>
      </c>
      <c r="O8162" s="0" t="n">
        <v>47.13</v>
      </c>
      <c r="P8162" s="0" t="s">
        <v>2444</v>
      </c>
    </row>
    <row r="8163" customFormat="false" ht="15" hidden="false" customHeight="true" outlineLevel="0" collapsed="false">
      <c r="A8163" s="0" t="n">
        <v>2</v>
      </c>
      <c r="B8163" s="71" t="n">
        <v>46274</v>
      </c>
      <c r="C8163" s="0" t="n">
        <v>11</v>
      </c>
      <c r="D8163" s="0" t="s">
        <v>2471</v>
      </c>
      <c r="E8163" s="0" t="n">
        <v>1705</v>
      </c>
      <c r="F8163" s="0" t="s">
        <v>130</v>
      </c>
      <c r="I8163" s="0" t="n">
        <v>1281807</v>
      </c>
      <c r="J8163" s="0" t="n">
        <v>104575</v>
      </c>
      <c r="K8163" s="0" t="n">
        <v>7898341430098</v>
      </c>
      <c r="L8163" s="0" t="s">
        <v>2560</v>
      </c>
      <c r="N8163" s="0" t="n">
        <v>6</v>
      </c>
      <c r="O8163" s="0" t="n">
        <v>57.81</v>
      </c>
      <c r="P8163" s="0" t="s">
        <v>2444</v>
      </c>
    </row>
    <row r="8164" customFormat="false" ht="15" hidden="false" customHeight="true" outlineLevel="0" collapsed="false">
      <c r="A8164" s="0" t="n">
        <v>2</v>
      </c>
      <c r="B8164" s="71" t="n">
        <v>46274</v>
      </c>
      <c r="C8164" s="0" t="n">
        <v>11</v>
      </c>
      <c r="D8164" s="0" t="s">
        <v>2471</v>
      </c>
      <c r="E8164" s="0" t="n">
        <v>1705</v>
      </c>
      <c r="F8164" s="0" t="s">
        <v>130</v>
      </c>
      <c r="I8164" s="0" t="n">
        <v>1281807</v>
      </c>
      <c r="J8164" s="0" t="n">
        <v>77914</v>
      </c>
      <c r="K8164" s="0" t="n">
        <v>7894900530001</v>
      </c>
      <c r="L8164" s="0" t="s">
        <v>3257</v>
      </c>
      <c r="N8164" s="0" t="n">
        <v>12</v>
      </c>
      <c r="O8164" s="0" t="n">
        <v>15.14</v>
      </c>
      <c r="P8164" s="0" t="s">
        <v>2444</v>
      </c>
    </row>
    <row r="8165" customFormat="false" ht="15" hidden="false" customHeight="true" outlineLevel="0" collapsed="false">
      <c r="A8165" s="0" t="n">
        <v>2</v>
      </c>
      <c r="B8165" s="71" t="n">
        <v>46274</v>
      </c>
      <c r="C8165" s="0" t="n">
        <v>11</v>
      </c>
      <c r="D8165" s="0" t="s">
        <v>2471</v>
      </c>
      <c r="E8165" s="0" t="n">
        <v>1705</v>
      </c>
      <c r="F8165" s="0" t="s">
        <v>130</v>
      </c>
      <c r="I8165" s="0" t="n">
        <v>1281807</v>
      </c>
      <c r="J8165" s="0" t="n">
        <v>79334</v>
      </c>
      <c r="K8165" s="0" t="n">
        <v>7894900531305</v>
      </c>
      <c r="L8165" s="0" t="s">
        <v>4690</v>
      </c>
      <c r="N8165" s="0" t="n">
        <v>12</v>
      </c>
      <c r="O8165" s="0" t="n">
        <v>16.85</v>
      </c>
      <c r="P8165" s="0" t="s">
        <v>2444</v>
      </c>
    </row>
    <row r="8166" customFormat="false" ht="15" hidden="false" customHeight="true" outlineLevel="0" collapsed="false">
      <c r="A8166" s="0" t="n">
        <v>2</v>
      </c>
      <c r="B8166" s="71" t="n">
        <v>46274</v>
      </c>
      <c r="C8166" s="0" t="n">
        <v>11</v>
      </c>
      <c r="D8166" s="0" t="s">
        <v>2471</v>
      </c>
      <c r="E8166" s="0" t="n">
        <v>1705</v>
      </c>
      <c r="F8166" s="0" t="s">
        <v>130</v>
      </c>
      <c r="I8166" s="0" t="n">
        <v>1281807</v>
      </c>
      <c r="J8166" s="0" t="n">
        <v>80206</v>
      </c>
      <c r="K8166" s="0" t="n">
        <v>7894900506006</v>
      </c>
      <c r="L8166" s="0" t="s">
        <v>3778</v>
      </c>
      <c r="N8166" s="0" t="n">
        <v>6</v>
      </c>
      <c r="O8166" s="0" t="n">
        <v>29.3</v>
      </c>
      <c r="P8166" s="0" t="s">
        <v>2444</v>
      </c>
    </row>
    <row r="8167" customFormat="false" ht="15" hidden="false" customHeight="true" outlineLevel="0" collapsed="false">
      <c r="A8167" s="0" t="n">
        <v>2</v>
      </c>
      <c r="B8167" s="71" t="n">
        <v>46274</v>
      </c>
      <c r="C8167" s="0" t="n">
        <v>11</v>
      </c>
      <c r="D8167" s="0" t="s">
        <v>2471</v>
      </c>
      <c r="E8167" s="0" t="n">
        <v>1705</v>
      </c>
      <c r="F8167" s="0" t="s">
        <v>130</v>
      </c>
      <c r="I8167" s="0" t="n">
        <v>1281807</v>
      </c>
      <c r="J8167" s="0" t="n">
        <v>80906</v>
      </c>
      <c r="K8167" s="0" t="n">
        <v>7894900509700</v>
      </c>
      <c r="L8167" s="0" t="s">
        <v>5296</v>
      </c>
      <c r="N8167" s="0" t="n">
        <v>6</v>
      </c>
      <c r="O8167" s="0" t="n">
        <v>29.3</v>
      </c>
      <c r="P8167" s="0" t="s">
        <v>2444</v>
      </c>
    </row>
    <row r="8168" customFormat="false" ht="15" hidden="false" customHeight="true" outlineLevel="0" collapsed="false">
      <c r="A8168" s="0" t="n">
        <v>2</v>
      </c>
      <c r="B8168" s="71" t="n">
        <v>46274</v>
      </c>
      <c r="C8168" s="0" t="n">
        <v>11</v>
      </c>
      <c r="D8168" s="0" t="s">
        <v>2471</v>
      </c>
      <c r="E8168" s="0" t="n">
        <v>1683</v>
      </c>
      <c r="F8168" s="0" t="s">
        <v>406</v>
      </c>
      <c r="I8168" s="0" t="n">
        <v>1676617</v>
      </c>
      <c r="J8168" s="0" t="n">
        <v>109791</v>
      </c>
      <c r="K8168" s="0" t="n">
        <v>9667</v>
      </c>
      <c r="L8168" s="0" t="s">
        <v>2465</v>
      </c>
      <c r="N8168" s="0" t="n">
        <v>5</v>
      </c>
      <c r="O8168" s="0" t="n">
        <v>7.5</v>
      </c>
      <c r="P8168" s="0" t="s">
        <v>2444</v>
      </c>
    </row>
    <row r="8169" customFormat="false" ht="15" hidden="false" customHeight="true" outlineLevel="0" collapsed="false">
      <c r="A8169" s="0" t="n">
        <v>2</v>
      </c>
      <c r="B8169" s="71" t="n">
        <v>46274</v>
      </c>
      <c r="C8169" s="0" t="n">
        <v>11</v>
      </c>
      <c r="D8169" s="0" t="s">
        <v>2471</v>
      </c>
      <c r="E8169" s="0" t="n">
        <v>1683</v>
      </c>
      <c r="F8169" s="0" t="s">
        <v>406</v>
      </c>
      <c r="I8169" s="0" t="n">
        <v>1676617</v>
      </c>
      <c r="J8169" s="0" t="n">
        <v>37361</v>
      </c>
      <c r="K8169" s="0" t="n">
        <v>2240817</v>
      </c>
      <c r="L8169" s="0" t="s">
        <v>2467</v>
      </c>
      <c r="N8169" s="0" t="n">
        <v>60</v>
      </c>
      <c r="O8169" s="0" t="n">
        <v>108</v>
      </c>
      <c r="P8169" s="0" t="s">
        <v>2444</v>
      </c>
    </row>
    <row r="8170" customFormat="false" ht="15" hidden="false" customHeight="true" outlineLevel="0" collapsed="false">
      <c r="A8170" s="0" t="n">
        <v>2</v>
      </c>
      <c r="B8170" s="71" t="n">
        <v>46274</v>
      </c>
      <c r="C8170" s="0" t="n">
        <v>11</v>
      </c>
      <c r="D8170" s="0" t="s">
        <v>2471</v>
      </c>
      <c r="E8170" s="0" t="n">
        <v>1683</v>
      </c>
      <c r="F8170" s="0" t="s">
        <v>406</v>
      </c>
      <c r="I8170" s="0" t="n">
        <v>1676622</v>
      </c>
      <c r="J8170" s="0" t="n">
        <v>109791</v>
      </c>
      <c r="K8170" s="0" t="n">
        <v>9667</v>
      </c>
      <c r="L8170" s="0" t="s">
        <v>2465</v>
      </c>
      <c r="N8170" s="0" t="n">
        <v>20</v>
      </c>
      <c r="O8170" s="0" t="n">
        <v>30</v>
      </c>
      <c r="P8170" s="0" t="s">
        <v>2444</v>
      </c>
    </row>
    <row r="8171" customFormat="false" ht="15" hidden="false" customHeight="true" outlineLevel="0" collapsed="false">
      <c r="A8171" s="0" t="n">
        <v>2</v>
      </c>
      <c r="B8171" s="71" t="n">
        <v>46274</v>
      </c>
      <c r="C8171" s="0" t="n">
        <v>11</v>
      </c>
      <c r="D8171" s="0" t="s">
        <v>2471</v>
      </c>
      <c r="E8171" s="0" t="n">
        <v>1683</v>
      </c>
      <c r="F8171" s="0" t="s">
        <v>406</v>
      </c>
      <c r="I8171" s="0" t="n">
        <v>1676622</v>
      </c>
      <c r="J8171" s="0" t="n">
        <v>37359</v>
      </c>
      <c r="K8171" s="0" t="n">
        <v>55526</v>
      </c>
      <c r="L8171" s="0" t="s">
        <v>2466</v>
      </c>
      <c r="N8171" s="0" t="n">
        <v>6</v>
      </c>
      <c r="O8171" s="0" t="n">
        <v>27</v>
      </c>
      <c r="P8171" s="0" t="s">
        <v>2444</v>
      </c>
    </row>
    <row r="8172" customFormat="false" ht="15" hidden="false" customHeight="true" outlineLevel="0" collapsed="false">
      <c r="A8172" s="0" t="n">
        <v>2</v>
      </c>
      <c r="B8172" s="71" t="n">
        <v>46274</v>
      </c>
      <c r="C8172" s="0" t="n">
        <v>11</v>
      </c>
      <c r="D8172" s="0" t="s">
        <v>2471</v>
      </c>
      <c r="E8172" s="0" t="n">
        <v>1683</v>
      </c>
      <c r="F8172" s="0" t="s">
        <v>406</v>
      </c>
      <c r="I8172" s="0" t="n">
        <v>1676622</v>
      </c>
      <c r="J8172" s="0" t="n">
        <v>37361</v>
      </c>
      <c r="K8172" s="0" t="n">
        <v>2240817</v>
      </c>
      <c r="L8172" s="0" t="s">
        <v>2467</v>
      </c>
      <c r="N8172" s="0" t="n">
        <v>50</v>
      </c>
      <c r="O8172" s="0" t="n">
        <v>90</v>
      </c>
      <c r="P8172" s="0" t="s">
        <v>2444</v>
      </c>
    </row>
    <row r="8173" customFormat="false" ht="15" hidden="false" customHeight="true" outlineLevel="0" collapsed="false">
      <c r="A8173" s="0" t="n">
        <v>2</v>
      </c>
      <c r="B8173" s="71" t="n">
        <v>46274</v>
      </c>
      <c r="C8173" s="0" t="n">
        <v>11</v>
      </c>
      <c r="D8173" s="0" t="s">
        <v>2471</v>
      </c>
      <c r="E8173" s="0" t="n">
        <v>1683</v>
      </c>
      <c r="F8173" s="0" t="s">
        <v>406</v>
      </c>
      <c r="I8173" s="0" t="n">
        <v>1677338</v>
      </c>
      <c r="J8173" s="0" t="n">
        <v>109791</v>
      </c>
      <c r="K8173" s="0" t="n">
        <v>9667</v>
      </c>
      <c r="L8173" s="0" t="s">
        <v>2465</v>
      </c>
      <c r="N8173" s="0" t="n">
        <v>20</v>
      </c>
      <c r="O8173" s="0" t="n">
        <v>30</v>
      </c>
      <c r="P8173" s="0" t="s">
        <v>2444</v>
      </c>
    </row>
    <row r="8174" customFormat="false" ht="15" hidden="false" customHeight="true" outlineLevel="0" collapsed="false">
      <c r="A8174" s="0" t="n">
        <v>2</v>
      </c>
      <c r="B8174" s="71" t="n">
        <v>46274</v>
      </c>
      <c r="C8174" s="0" t="n">
        <v>11</v>
      </c>
      <c r="D8174" s="0" t="s">
        <v>2471</v>
      </c>
      <c r="E8174" s="0" t="n">
        <v>1683</v>
      </c>
      <c r="F8174" s="0" t="s">
        <v>406</v>
      </c>
      <c r="I8174" s="0" t="n">
        <v>1677338</v>
      </c>
      <c r="J8174" s="0" t="n">
        <v>37359</v>
      </c>
      <c r="K8174" s="0" t="n">
        <v>55526</v>
      </c>
      <c r="L8174" s="0" t="s">
        <v>2466</v>
      </c>
      <c r="N8174" s="0" t="n">
        <v>9</v>
      </c>
      <c r="O8174" s="0" t="n">
        <v>40.5</v>
      </c>
      <c r="P8174" s="0" t="s">
        <v>2444</v>
      </c>
    </row>
    <row r="8175" customFormat="false" ht="15" hidden="false" customHeight="true" outlineLevel="0" collapsed="false">
      <c r="A8175" s="0" t="n">
        <v>2</v>
      </c>
      <c r="B8175" s="71" t="n">
        <v>46274</v>
      </c>
      <c r="C8175" s="0" t="n">
        <v>11</v>
      </c>
      <c r="D8175" s="0" t="s">
        <v>2471</v>
      </c>
      <c r="E8175" s="0" t="n">
        <v>1683</v>
      </c>
      <c r="F8175" s="0" t="s">
        <v>406</v>
      </c>
      <c r="I8175" s="0" t="n">
        <v>1677338</v>
      </c>
      <c r="J8175" s="0" t="n">
        <v>37361</v>
      </c>
      <c r="K8175" s="0" t="n">
        <v>2240817</v>
      </c>
      <c r="L8175" s="0" t="s">
        <v>2467</v>
      </c>
      <c r="N8175" s="0" t="n">
        <v>60</v>
      </c>
      <c r="O8175" s="0" t="n">
        <v>108</v>
      </c>
      <c r="P8175" s="0" t="s">
        <v>2444</v>
      </c>
    </row>
    <row r="8176" customFormat="false" ht="15" hidden="false" customHeight="true" outlineLevel="0" collapsed="false">
      <c r="A8176" s="0" t="n">
        <v>2</v>
      </c>
      <c r="B8176" s="71" t="n">
        <v>46274</v>
      </c>
      <c r="C8176" s="0" t="n">
        <v>11</v>
      </c>
      <c r="D8176" s="0" t="s">
        <v>2471</v>
      </c>
      <c r="E8176" s="0" t="n">
        <v>1705</v>
      </c>
      <c r="F8176" s="0" t="s">
        <v>130</v>
      </c>
      <c r="I8176" s="0" t="n">
        <v>2029788</v>
      </c>
      <c r="J8176" s="0" t="n">
        <v>21426</v>
      </c>
      <c r="K8176" s="0" t="n">
        <v>7894900014211</v>
      </c>
      <c r="L8176" s="0" t="s">
        <v>2470</v>
      </c>
      <c r="N8176" s="0" t="n">
        <v>27</v>
      </c>
      <c r="O8176" s="0" t="n">
        <v>181.04</v>
      </c>
      <c r="P8176" s="0" t="s">
        <v>2444</v>
      </c>
    </row>
    <row r="8177" customFormat="false" ht="15" hidden="false" customHeight="true" outlineLevel="0" collapsed="false">
      <c r="A8177" s="0" t="n">
        <v>2</v>
      </c>
      <c r="B8177" s="71" t="n">
        <v>46274</v>
      </c>
      <c r="C8177" s="0" t="n">
        <v>11</v>
      </c>
      <c r="D8177" s="0" t="s">
        <v>2471</v>
      </c>
      <c r="E8177" s="0" t="n">
        <v>1705</v>
      </c>
      <c r="F8177" s="0" t="s">
        <v>130</v>
      </c>
      <c r="I8177" s="0" t="n">
        <v>2029788</v>
      </c>
      <c r="J8177" s="0" t="n">
        <v>29826</v>
      </c>
      <c r="K8177" s="0" t="n">
        <v>7894900556032</v>
      </c>
      <c r="L8177" s="0" t="s">
        <v>2574</v>
      </c>
      <c r="N8177" s="0" t="n">
        <v>6</v>
      </c>
      <c r="O8177" s="0" t="n">
        <v>36.45</v>
      </c>
      <c r="P8177" s="0" t="s">
        <v>2444</v>
      </c>
    </row>
    <row r="8178" customFormat="false" ht="15" hidden="false" customHeight="true" outlineLevel="0" collapsed="false">
      <c r="A8178" s="0" t="n">
        <v>2</v>
      </c>
      <c r="B8178" s="71" t="n">
        <v>46274</v>
      </c>
      <c r="C8178" s="0" t="n">
        <v>11</v>
      </c>
      <c r="D8178" s="0" t="s">
        <v>2471</v>
      </c>
      <c r="E8178" s="0" t="n">
        <v>1705</v>
      </c>
      <c r="F8178" s="0" t="s">
        <v>130</v>
      </c>
      <c r="I8178" s="0" t="n">
        <v>2030858</v>
      </c>
      <c r="J8178" s="0" t="n">
        <v>30186</v>
      </c>
      <c r="K8178" s="0" t="n">
        <v>78938571</v>
      </c>
      <c r="L8178" s="0" t="s">
        <v>4816</v>
      </c>
      <c r="N8178" s="0" t="n">
        <v>12</v>
      </c>
      <c r="O8178" s="0" t="n">
        <v>24.18</v>
      </c>
      <c r="P8178" s="0" t="s">
        <v>2444</v>
      </c>
    </row>
    <row r="8179" customFormat="false" ht="15" hidden="false" customHeight="true" outlineLevel="0" collapsed="false">
      <c r="A8179" s="0" t="n">
        <v>2</v>
      </c>
      <c r="B8179" s="71" t="n">
        <v>46274</v>
      </c>
      <c r="C8179" s="0" t="n">
        <v>11</v>
      </c>
      <c r="D8179" s="0" t="s">
        <v>2471</v>
      </c>
      <c r="E8179" s="0" t="n">
        <v>1705</v>
      </c>
      <c r="F8179" s="0" t="s">
        <v>130</v>
      </c>
      <c r="I8179" s="0" t="n">
        <v>2030858</v>
      </c>
      <c r="J8179" s="0" t="n">
        <v>103140</v>
      </c>
      <c r="K8179" s="0" t="n">
        <v>7894900031751</v>
      </c>
      <c r="L8179" s="0" t="s">
        <v>2655</v>
      </c>
      <c r="N8179" s="0" t="n">
        <v>18</v>
      </c>
      <c r="O8179" s="0" t="n">
        <v>101.83</v>
      </c>
      <c r="P8179" s="0" t="s">
        <v>2444</v>
      </c>
    </row>
    <row r="8180" customFormat="false" ht="15" hidden="false" customHeight="true" outlineLevel="0" collapsed="false">
      <c r="A8180" s="0" t="n">
        <v>2</v>
      </c>
      <c r="B8180" s="71" t="n">
        <v>46274</v>
      </c>
      <c r="C8180" s="0" t="n">
        <v>11</v>
      </c>
      <c r="D8180" s="0" t="s">
        <v>2471</v>
      </c>
      <c r="E8180" s="0" t="n">
        <v>1705</v>
      </c>
      <c r="F8180" s="0" t="s">
        <v>130</v>
      </c>
      <c r="I8180" s="0" t="n">
        <v>2030858</v>
      </c>
      <c r="J8180" s="0" t="n">
        <v>103145</v>
      </c>
      <c r="K8180" s="0" t="n">
        <v>7894900051513</v>
      </c>
      <c r="L8180" s="0" t="s">
        <v>2995</v>
      </c>
      <c r="N8180" s="0" t="n">
        <v>18</v>
      </c>
      <c r="O8180" s="0" t="n">
        <v>134.98</v>
      </c>
      <c r="P8180" s="0" t="s">
        <v>2444</v>
      </c>
    </row>
    <row r="8181" customFormat="false" ht="15" hidden="false" customHeight="true" outlineLevel="0" collapsed="false">
      <c r="A8181" s="0" t="n">
        <v>2</v>
      </c>
      <c r="B8181" s="71" t="n">
        <v>46274</v>
      </c>
      <c r="C8181" s="0" t="n">
        <v>11</v>
      </c>
      <c r="D8181" s="0" t="s">
        <v>2471</v>
      </c>
      <c r="E8181" s="0" t="n">
        <v>1705</v>
      </c>
      <c r="F8181" s="0" t="s">
        <v>130</v>
      </c>
      <c r="I8181" s="0" t="n">
        <v>2030858</v>
      </c>
      <c r="J8181" s="0" t="n">
        <v>103146</v>
      </c>
      <c r="K8181" s="0" t="n">
        <v>7894900031515</v>
      </c>
      <c r="L8181" s="0" t="s">
        <v>2567</v>
      </c>
      <c r="N8181" s="0" t="n">
        <v>18</v>
      </c>
      <c r="O8181" s="0" t="n">
        <v>134.98</v>
      </c>
      <c r="P8181" s="0" t="s">
        <v>2444</v>
      </c>
    </row>
    <row r="8182" customFormat="false" ht="15" hidden="false" customHeight="true" outlineLevel="0" collapsed="false">
      <c r="A8182" s="0" t="n">
        <v>2</v>
      </c>
      <c r="B8182" s="71" t="n">
        <v>46274</v>
      </c>
      <c r="C8182" s="0" t="n">
        <v>11</v>
      </c>
      <c r="D8182" s="0" t="s">
        <v>2471</v>
      </c>
      <c r="E8182" s="0" t="n">
        <v>1705</v>
      </c>
      <c r="F8182" s="0" t="s">
        <v>130</v>
      </c>
      <c r="I8182" s="0" t="n">
        <v>2030858</v>
      </c>
      <c r="J8182" s="0" t="n">
        <v>103160</v>
      </c>
      <c r="K8182" s="0" t="n">
        <v>7894900030013</v>
      </c>
      <c r="L8182" s="0" t="s">
        <v>2568</v>
      </c>
      <c r="N8182" s="0" t="n">
        <v>12</v>
      </c>
      <c r="O8182" s="0" t="n">
        <v>34.31</v>
      </c>
      <c r="P8182" s="0" t="s">
        <v>2444</v>
      </c>
    </row>
    <row r="8183" customFormat="false" ht="15" hidden="false" customHeight="true" outlineLevel="0" collapsed="false">
      <c r="A8183" s="0" t="n">
        <v>2</v>
      </c>
      <c r="B8183" s="71" t="n">
        <v>46274</v>
      </c>
      <c r="C8183" s="0" t="n">
        <v>11</v>
      </c>
      <c r="D8183" s="0" t="s">
        <v>2471</v>
      </c>
      <c r="E8183" s="0" t="n">
        <v>1705</v>
      </c>
      <c r="F8183" s="0" t="s">
        <v>130</v>
      </c>
      <c r="I8183" s="0" t="n">
        <v>2030858</v>
      </c>
      <c r="J8183" s="0" t="n">
        <v>103161</v>
      </c>
      <c r="K8183" s="0" t="n">
        <v>7894900010015</v>
      </c>
      <c r="L8183" s="0" t="s">
        <v>2569</v>
      </c>
      <c r="N8183" s="0" t="n">
        <v>48</v>
      </c>
      <c r="O8183" s="0" t="n">
        <v>153.85</v>
      </c>
      <c r="P8183" s="0" t="s">
        <v>2444</v>
      </c>
    </row>
    <row r="8184" customFormat="false" ht="15" hidden="false" customHeight="true" outlineLevel="0" collapsed="false">
      <c r="A8184" s="0" t="n">
        <v>2</v>
      </c>
      <c r="B8184" s="71" t="n">
        <v>46274</v>
      </c>
      <c r="C8184" s="0" t="n">
        <v>11</v>
      </c>
      <c r="D8184" s="0" t="s">
        <v>2471</v>
      </c>
      <c r="E8184" s="0" t="n">
        <v>1705</v>
      </c>
      <c r="F8184" s="0" t="s">
        <v>130</v>
      </c>
      <c r="I8184" s="0" t="n">
        <v>2030858</v>
      </c>
      <c r="J8184" s="0" t="n">
        <v>104051</v>
      </c>
      <c r="K8184" s="0" t="n">
        <v>7894900300017</v>
      </c>
      <c r="L8184" s="0" t="s">
        <v>4661</v>
      </c>
      <c r="N8184" s="0" t="n">
        <v>6</v>
      </c>
      <c r="O8184" s="0" t="n">
        <v>16.79</v>
      </c>
      <c r="P8184" s="0" t="s">
        <v>2444</v>
      </c>
    </row>
    <row r="8185" customFormat="false" ht="15" hidden="false" customHeight="true" outlineLevel="0" collapsed="false">
      <c r="A8185" s="0" t="n">
        <v>2</v>
      </c>
      <c r="B8185" s="71" t="n">
        <v>46274</v>
      </c>
      <c r="C8185" s="0" t="n">
        <v>11</v>
      </c>
      <c r="D8185" s="0" t="s">
        <v>2471</v>
      </c>
      <c r="E8185" s="0" t="n">
        <v>1705</v>
      </c>
      <c r="F8185" s="0" t="s">
        <v>130</v>
      </c>
      <c r="I8185" s="0" t="n">
        <v>2030858</v>
      </c>
      <c r="J8185" s="0" t="n">
        <v>104472</v>
      </c>
      <c r="K8185" s="0" t="n">
        <v>7897105200038</v>
      </c>
      <c r="L8185" s="0" t="s">
        <v>2657</v>
      </c>
      <c r="N8185" s="0" t="n">
        <v>36</v>
      </c>
      <c r="O8185" s="0" t="n">
        <v>163.37</v>
      </c>
      <c r="P8185" s="0" t="s">
        <v>2444</v>
      </c>
    </row>
    <row r="8186" customFormat="false" ht="15" hidden="false" customHeight="true" outlineLevel="0" collapsed="false">
      <c r="A8186" s="0" t="n">
        <v>2</v>
      </c>
      <c r="B8186" s="71" t="n">
        <v>46274</v>
      </c>
      <c r="C8186" s="0" t="n">
        <v>11</v>
      </c>
      <c r="D8186" s="0" t="s">
        <v>2471</v>
      </c>
      <c r="E8186" s="0" t="n">
        <v>1705</v>
      </c>
      <c r="F8186" s="0" t="s">
        <v>130</v>
      </c>
      <c r="I8186" s="0" t="n">
        <v>2030858</v>
      </c>
      <c r="J8186" s="0" t="n">
        <v>107100</v>
      </c>
      <c r="K8186" s="0" t="n">
        <v>7894900700015</v>
      </c>
      <c r="L8186" s="0" t="s">
        <v>2572</v>
      </c>
      <c r="N8186" s="0" t="n">
        <v>24</v>
      </c>
      <c r="O8186" s="0" t="n">
        <v>74.97</v>
      </c>
      <c r="P8186" s="0" t="s">
        <v>2444</v>
      </c>
    </row>
    <row r="8187" customFormat="false" ht="15" hidden="false" customHeight="true" outlineLevel="0" collapsed="false">
      <c r="A8187" s="0" t="n">
        <v>2</v>
      </c>
      <c r="B8187" s="71" t="n">
        <v>46274</v>
      </c>
      <c r="C8187" s="0" t="n">
        <v>11</v>
      </c>
      <c r="D8187" s="0" t="s">
        <v>2471</v>
      </c>
      <c r="E8187" s="0" t="n">
        <v>1705</v>
      </c>
      <c r="F8187" s="0" t="s">
        <v>130</v>
      </c>
      <c r="I8187" s="0" t="n">
        <v>2030858</v>
      </c>
      <c r="J8187" s="0" t="n">
        <v>10830</v>
      </c>
      <c r="K8187" s="0" t="n">
        <v>7894900701517</v>
      </c>
      <c r="L8187" s="0" t="s">
        <v>2573</v>
      </c>
      <c r="N8187" s="0" t="n">
        <v>30</v>
      </c>
      <c r="O8187" s="0" t="n">
        <v>256.72</v>
      </c>
      <c r="P8187" s="0" t="s">
        <v>2444</v>
      </c>
    </row>
    <row r="8188" customFormat="false" ht="15" hidden="false" customHeight="true" outlineLevel="0" collapsed="false">
      <c r="A8188" s="0" t="n">
        <v>2</v>
      </c>
      <c r="B8188" s="71" t="n">
        <v>46274</v>
      </c>
      <c r="C8188" s="0" t="n">
        <v>11</v>
      </c>
      <c r="D8188" s="0" t="s">
        <v>2471</v>
      </c>
      <c r="E8188" s="0" t="n">
        <v>1705</v>
      </c>
      <c r="F8188" s="0" t="s">
        <v>130</v>
      </c>
      <c r="I8188" s="0" t="n">
        <v>2030858</v>
      </c>
      <c r="J8188" s="0" t="n">
        <v>11678</v>
      </c>
      <c r="K8188" s="0" t="n">
        <v>7894900701593</v>
      </c>
      <c r="L8188" s="0" t="s">
        <v>2468</v>
      </c>
      <c r="N8188" s="0" t="n">
        <v>12</v>
      </c>
      <c r="O8188" s="0" t="n">
        <v>116</v>
      </c>
      <c r="P8188" s="0" t="s">
        <v>2444</v>
      </c>
    </row>
    <row r="8189" customFormat="false" ht="15" hidden="false" customHeight="true" outlineLevel="0" collapsed="false">
      <c r="A8189" s="0" t="n">
        <v>2</v>
      </c>
      <c r="B8189" s="71" t="n">
        <v>46274</v>
      </c>
      <c r="C8189" s="0" t="n">
        <v>11</v>
      </c>
      <c r="D8189" s="0" t="s">
        <v>2471</v>
      </c>
      <c r="E8189" s="0" t="n">
        <v>1705</v>
      </c>
      <c r="F8189" s="0" t="s">
        <v>130</v>
      </c>
      <c r="I8189" s="0" t="n">
        <v>2030858</v>
      </c>
      <c r="J8189" s="0" t="n">
        <v>18192</v>
      </c>
      <c r="K8189" s="0" t="n">
        <v>7894900320015</v>
      </c>
      <c r="L8189" s="0" t="s">
        <v>4632</v>
      </c>
      <c r="N8189" s="0" t="n">
        <v>12</v>
      </c>
      <c r="O8189" s="0" t="n">
        <v>38.46</v>
      </c>
      <c r="P8189" s="0" t="s">
        <v>2444</v>
      </c>
    </row>
    <row r="8190" customFormat="false" ht="15" hidden="false" customHeight="true" outlineLevel="0" collapsed="false">
      <c r="A8190" s="0" t="n">
        <v>2</v>
      </c>
      <c r="B8190" s="71" t="n">
        <v>46274</v>
      </c>
      <c r="C8190" s="0" t="n">
        <v>11</v>
      </c>
      <c r="D8190" s="0" t="s">
        <v>2471</v>
      </c>
      <c r="E8190" s="0" t="n">
        <v>1705</v>
      </c>
      <c r="F8190" s="0" t="s">
        <v>130</v>
      </c>
      <c r="I8190" s="0" t="n">
        <v>2030858</v>
      </c>
      <c r="J8190" s="0" t="n">
        <v>21426</v>
      </c>
      <c r="K8190" s="0" t="n">
        <v>7894900014211</v>
      </c>
      <c r="L8190" s="0" t="s">
        <v>2470</v>
      </c>
      <c r="N8190" s="0" t="n">
        <v>36</v>
      </c>
      <c r="O8190" s="0" t="n">
        <v>241.39</v>
      </c>
      <c r="P8190" s="0" t="s">
        <v>2444</v>
      </c>
    </row>
    <row r="8191" customFormat="false" ht="15" hidden="false" customHeight="true" outlineLevel="0" collapsed="false">
      <c r="A8191" s="0" t="n">
        <v>2</v>
      </c>
      <c r="B8191" s="71" t="n">
        <v>46274</v>
      </c>
      <c r="C8191" s="0" t="n">
        <v>11</v>
      </c>
      <c r="D8191" s="0" t="s">
        <v>2471</v>
      </c>
      <c r="E8191" s="0" t="n">
        <v>1705</v>
      </c>
      <c r="F8191" s="0" t="s">
        <v>130</v>
      </c>
      <c r="I8191" s="0" t="n">
        <v>2030858</v>
      </c>
      <c r="J8191" s="0" t="n">
        <v>30017</v>
      </c>
      <c r="K8191" s="0" t="n">
        <v>7894900680508</v>
      </c>
      <c r="L8191" s="0" t="s">
        <v>3589</v>
      </c>
      <c r="N8191" s="0" t="n">
        <v>24</v>
      </c>
      <c r="O8191" s="0" t="n">
        <v>84.25</v>
      </c>
      <c r="P8191" s="0" t="s">
        <v>2444</v>
      </c>
    </row>
    <row r="8192" customFormat="false" ht="15" hidden="false" customHeight="true" outlineLevel="0" collapsed="false">
      <c r="A8192" s="0" t="n">
        <v>2</v>
      </c>
      <c r="B8192" s="71" t="n">
        <v>46274</v>
      </c>
      <c r="C8192" s="0" t="n">
        <v>11</v>
      </c>
      <c r="D8192" s="0" t="s">
        <v>2471</v>
      </c>
      <c r="E8192" s="0" t="n">
        <v>1705</v>
      </c>
      <c r="F8192" s="0" t="s">
        <v>130</v>
      </c>
      <c r="I8192" s="0" t="n">
        <v>2030858</v>
      </c>
      <c r="J8192" s="0" t="n">
        <v>30085</v>
      </c>
      <c r="K8192" s="0" t="n">
        <v>7894900054217</v>
      </c>
      <c r="L8192" s="0" t="s">
        <v>3588</v>
      </c>
      <c r="N8192" s="0" t="n">
        <v>9</v>
      </c>
      <c r="O8192" s="0" t="n">
        <v>52.56</v>
      </c>
      <c r="P8192" s="0" t="s">
        <v>2444</v>
      </c>
    </row>
    <row r="8193" customFormat="false" ht="15" hidden="false" customHeight="true" outlineLevel="0" collapsed="false">
      <c r="A8193" s="0" t="n">
        <v>2</v>
      </c>
      <c r="B8193" s="71" t="n">
        <v>46274</v>
      </c>
      <c r="C8193" s="0" t="n">
        <v>11</v>
      </c>
      <c r="D8193" s="0" t="s">
        <v>2471</v>
      </c>
      <c r="E8193" s="0" t="n">
        <v>1705</v>
      </c>
      <c r="F8193" s="0" t="s">
        <v>130</v>
      </c>
      <c r="I8193" s="0" t="n">
        <v>2030858</v>
      </c>
      <c r="J8193" s="0" t="n">
        <v>31221</v>
      </c>
      <c r="K8193" s="0" t="n">
        <v>78940260</v>
      </c>
      <c r="L8193" s="0" t="s">
        <v>5181</v>
      </c>
      <c r="N8193" s="0" t="n">
        <v>12</v>
      </c>
      <c r="O8193" s="0" t="n">
        <v>21.73</v>
      </c>
      <c r="P8193" s="0" t="s">
        <v>2444</v>
      </c>
    </row>
    <row r="8194" customFormat="false" ht="15" hidden="false" customHeight="true" outlineLevel="0" collapsed="false">
      <c r="A8194" s="0" t="n">
        <v>2</v>
      </c>
      <c r="B8194" s="71" t="n">
        <v>46274</v>
      </c>
      <c r="C8194" s="0" t="n">
        <v>11</v>
      </c>
      <c r="D8194" s="0" t="s">
        <v>2471</v>
      </c>
      <c r="E8194" s="0" t="n">
        <v>1705</v>
      </c>
      <c r="F8194" s="0" t="s">
        <v>130</v>
      </c>
      <c r="I8194" s="0" t="n">
        <v>2030858</v>
      </c>
      <c r="J8194" s="0" t="n">
        <v>31367</v>
      </c>
      <c r="K8194" s="0" t="n">
        <v>7894900704211</v>
      </c>
      <c r="L8194" s="0" t="s">
        <v>3258</v>
      </c>
      <c r="N8194" s="0" t="n">
        <v>9</v>
      </c>
      <c r="O8194" s="0" t="n">
        <v>52.56</v>
      </c>
      <c r="P8194" s="0" t="s">
        <v>2444</v>
      </c>
    </row>
    <row r="8195" customFormat="false" ht="15" hidden="false" customHeight="true" outlineLevel="0" collapsed="false">
      <c r="A8195" s="0" t="n">
        <v>2</v>
      </c>
      <c r="B8195" s="71" t="n">
        <v>46274</v>
      </c>
      <c r="C8195" s="0" t="n">
        <v>11</v>
      </c>
      <c r="D8195" s="0" t="s">
        <v>2471</v>
      </c>
      <c r="E8195" s="0" t="n">
        <v>1705</v>
      </c>
      <c r="F8195" s="0" t="s">
        <v>130</v>
      </c>
      <c r="I8195" s="0" t="n">
        <v>2030858</v>
      </c>
      <c r="J8195" s="0" t="n">
        <v>34629</v>
      </c>
      <c r="K8195" s="0" t="n">
        <v>7894900027020</v>
      </c>
      <c r="L8195" s="0" t="s">
        <v>2478</v>
      </c>
      <c r="N8195" s="0" t="n">
        <v>30</v>
      </c>
      <c r="O8195" s="0" t="n">
        <v>297.92</v>
      </c>
      <c r="P8195" s="0" t="s">
        <v>2444</v>
      </c>
    </row>
    <row r="8196" customFormat="false" ht="15" hidden="false" customHeight="true" outlineLevel="0" collapsed="false">
      <c r="A8196" s="0" t="n">
        <v>2</v>
      </c>
      <c r="B8196" s="71" t="n">
        <v>46274</v>
      </c>
      <c r="C8196" s="0" t="n">
        <v>11</v>
      </c>
      <c r="D8196" s="0" t="s">
        <v>2471</v>
      </c>
      <c r="E8196" s="0" t="n">
        <v>1705</v>
      </c>
      <c r="F8196" s="0" t="s">
        <v>130</v>
      </c>
      <c r="I8196" s="0" t="n">
        <v>2030858</v>
      </c>
      <c r="J8196" s="0" t="n">
        <v>37279</v>
      </c>
      <c r="K8196" s="0" t="n">
        <v>7894900027013</v>
      </c>
      <c r="L8196" s="0" t="s">
        <v>2575</v>
      </c>
      <c r="N8196" s="0" t="n">
        <v>60</v>
      </c>
      <c r="O8196" s="0" t="n">
        <v>529.3</v>
      </c>
      <c r="P8196" s="0" t="s">
        <v>2444</v>
      </c>
    </row>
    <row r="8197" customFormat="false" ht="15" hidden="false" customHeight="true" outlineLevel="0" collapsed="false">
      <c r="A8197" s="0" t="n">
        <v>2</v>
      </c>
      <c r="B8197" s="71" t="n">
        <v>46274</v>
      </c>
      <c r="C8197" s="0" t="n">
        <v>11</v>
      </c>
      <c r="D8197" s="0" t="s">
        <v>2471</v>
      </c>
      <c r="E8197" s="0" t="n">
        <v>1705</v>
      </c>
      <c r="F8197" s="0" t="s">
        <v>130</v>
      </c>
      <c r="I8197" s="0" t="n">
        <v>2030858</v>
      </c>
      <c r="J8197" s="0" t="n">
        <v>38060</v>
      </c>
      <c r="K8197" s="0" t="n">
        <v>7894900701609</v>
      </c>
      <c r="L8197" s="0" t="s">
        <v>2576</v>
      </c>
      <c r="N8197" s="0" t="n">
        <v>12</v>
      </c>
      <c r="O8197" s="0" t="n">
        <v>44.08</v>
      </c>
      <c r="P8197" s="0" t="s">
        <v>2444</v>
      </c>
    </row>
    <row r="8198" customFormat="false" ht="15" hidden="false" customHeight="true" outlineLevel="0" collapsed="false">
      <c r="A8198" s="0" t="n">
        <v>2</v>
      </c>
      <c r="B8198" s="71" t="n">
        <v>46274</v>
      </c>
      <c r="C8198" s="0" t="n">
        <v>11</v>
      </c>
      <c r="D8198" s="0" t="s">
        <v>2471</v>
      </c>
      <c r="E8198" s="0" t="n">
        <v>1705</v>
      </c>
      <c r="F8198" s="0" t="s">
        <v>130</v>
      </c>
      <c r="I8198" s="0" t="n">
        <v>2030858</v>
      </c>
      <c r="J8198" s="0" t="n">
        <v>38984</v>
      </c>
      <c r="K8198" s="0" t="n">
        <v>7894900027457</v>
      </c>
      <c r="L8198" s="0" t="s">
        <v>3554</v>
      </c>
      <c r="N8198" s="0" t="n">
        <v>24</v>
      </c>
      <c r="O8198" s="0" t="n">
        <v>109.16</v>
      </c>
      <c r="P8198" s="0" t="s">
        <v>2444</v>
      </c>
    </row>
    <row r="8199" customFormat="false" ht="15" hidden="false" customHeight="true" outlineLevel="0" collapsed="false">
      <c r="A8199" s="0" t="n">
        <v>2</v>
      </c>
      <c r="B8199" s="71" t="n">
        <v>46274</v>
      </c>
      <c r="C8199" s="0" t="n">
        <v>11</v>
      </c>
      <c r="D8199" s="0" t="s">
        <v>2471</v>
      </c>
      <c r="E8199" s="0" t="n">
        <v>1705</v>
      </c>
      <c r="F8199" s="0" t="s">
        <v>130</v>
      </c>
      <c r="I8199" s="0" t="n">
        <v>2030858</v>
      </c>
      <c r="J8199" s="0" t="n">
        <v>59947</v>
      </c>
      <c r="K8199" s="0" t="n">
        <v>7894900015034</v>
      </c>
      <c r="L8199" s="0" t="s">
        <v>4548</v>
      </c>
      <c r="N8199" s="0" t="n">
        <v>48</v>
      </c>
      <c r="O8199" s="0" t="n">
        <v>131.87</v>
      </c>
      <c r="P8199" s="0" t="s">
        <v>2444</v>
      </c>
    </row>
    <row r="8200" customFormat="false" ht="15" hidden="false" customHeight="true" outlineLevel="0" collapsed="false">
      <c r="A8200" s="0" t="n">
        <v>2</v>
      </c>
      <c r="B8200" s="71" t="n">
        <v>46274</v>
      </c>
      <c r="C8200" s="0" t="n">
        <v>171</v>
      </c>
      <c r="D8200" s="0" t="s">
        <v>3017</v>
      </c>
      <c r="E8200" s="0" t="n">
        <v>1196</v>
      </c>
      <c r="F8200" s="0" t="s">
        <v>1470</v>
      </c>
      <c r="I8200" s="0" t="n">
        <v>13244</v>
      </c>
      <c r="J8200" s="0" t="n">
        <v>53324</v>
      </c>
      <c r="K8200" s="0" t="n">
        <v>7896253401472</v>
      </c>
      <c r="L8200" s="0" t="s">
        <v>4882</v>
      </c>
      <c r="N8200" s="0" t="n">
        <v>60</v>
      </c>
      <c r="O8200" s="0" t="n">
        <v>242.84</v>
      </c>
      <c r="P8200" s="0" t="s">
        <v>3019</v>
      </c>
    </row>
    <row r="8201" customFormat="false" ht="15" hidden="false" customHeight="true" outlineLevel="0" collapsed="false">
      <c r="A8201" s="0" t="n">
        <v>2</v>
      </c>
      <c r="B8201" s="71" t="n">
        <v>46275</v>
      </c>
      <c r="C8201" s="0" t="n">
        <v>6</v>
      </c>
      <c r="D8201" s="0" t="s">
        <v>2553</v>
      </c>
      <c r="E8201" s="0" t="n">
        <v>48</v>
      </c>
      <c r="F8201" s="0" t="s">
        <v>153</v>
      </c>
      <c r="I8201" s="0" t="n">
        <v>2667</v>
      </c>
      <c r="J8201" s="0" t="n">
        <v>42564</v>
      </c>
      <c r="K8201" s="0" t="n">
        <v>574</v>
      </c>
      <c r="L8201" s="0" t="s">
        <v>2534</v>
      </c>
      <c r="N8201" s="0" t="n">
        <v>20</v>
      </c>
      <c r="O8201" s="0" t="n">
        <v>300</v>
      </c>
      <c r="P8201" s="0" t="s">
        <v>2444</v>
      </c>
    </row>
    <row r="8202" customFormat="false" ht="15" hidden="false" customHeight="true" outlineLevel="0" collapsed="false">
      <c r="A8202" s="0" t="n">
        <v>2</v>
      </c>
      <c r="B8202" s="71" t="n">
        <v>46275</v>
      </c>
      <c r="C8202" s="0" t="n">
        <v>11</v>
      </c>
      <c r="D8202" s="0" t="s">
        <v>2471</v>
      </c>
      <c r="E8202" s="0" t="n">
        <v>33</v>
      </c>
      <c r="F8202" s="0" t="s">
        <v>313</v>
      </c>
      <c r="I8202" s="0" t="n">
        <v>5642</v>
      </c>
      <c r="J8202" s="0" t="n">
        <v>100035</v>
      </c>
      <c r="K8202" s="0" t="n">
        <v>36</v>
      </c>
      <c r="L8202" s="0" t="s">
        <v>2717</v>
      </c>
      <c r="N8202" s="0" t="n">
        <v>30</v>
      </c>
      <c r="O8202" s="0" t="n">
        <v>219</v>
      </c>
      <c r="P8202" s="0" t="s">
        <v>2444</v>
      </c>
    </row>
    <row r="8203" customFormat="false" ht="15" hidden="false" customHeight="true" outlineLevel="0" collapsed="false">
      <c r="A8203" s="0" t="n">
        <v>2</v>
      </c>
      <c r="B8203" s="71" t="n">
        <v>46275</v>
      </c>
      <c r="C8203" s="0" t="n">
        <v>11</v>
      </c>
      <c r="D8203" s="0" t="s">
        <v>2471</v>
      </c>
      <c r="E8203" s="0" t="n">
        <v>33</v>
      </c>
      <c r="F8203" s="0" t="s">
        <v>313</v>
      </c>
      <c r="I8203" s="0" t="n">
        <v>5642</v>
      </c>
      <c r="J8203" s="0" t="n">
        <v>100045</v>
      </c>
      <c r="K8203" s="0" t="n">
        <v>46</v>
      </c>
      <c r="L8203" s="0" t="s">
        <v>2625</v>
      </c>
      <c r="N8203" s="0" t="n">
        <v>60</v>
      </c>
      <c r="O8203" s="0" t="n">
        <v>676.2</v>
      </c>
      <c r="P8203" s="0" t="s">
        <v>2444</v>
      </c>
    </row>
    <row r="8204" customFormat="false" ht="15" hidden="false" customHeight="true" outlineLevel="0" collapsed="false">
      <c r="A8204" s="0" t="n">
        <v>2</v>
      </c>
      <c r="B8204" s="71" t="n">
        <v>46275</v>
      </c>
      <c r="C8204" s="0" t="n">
        <v>11</v>
      </c>
      <c r="D8204" s="0" t="s">
        <v>2471</v>
      </c>
      <c r="E8204" s="0" t="n">
        <v>33</v>
      </c>
      <c r="F8204" s="0" t="s">
        <v>313</v>
      </c>
      <c r="I8204" s="0" t="n">
        <v>5642</v>
      </c>
      <c r="J8204" s="0" t="n">
        <v>100073</v>
      </c>
      <c r="K8204" s="0" t="n">
        <v>74</v>
      </c>
      <c r="L8204" s="0" t="s">
        <v>2626</v>
      </c>
      <c r="N8204" s="0" t="n">
        <v>20</v>
      </c>
      <c r="O8204" s="0" t="n">
        <v>379.8</v>
      </c>
      <c r="P8204" s="0" t="s">
        <v>2444</v>
      </c>
    </row>
    <row r="8205" customFormat="false" ht="15" hidden="false" customHeight="true" outlineLevel="0" collapsed="false">
      <c r="A8205" s="0" t="n">
        <v>2</v>
      </c>
      <c r="B8205" s="71" t="n">
        <v>46275</v>
      </c>
      <c r="C8205" s="0" t="n">
        <v>11</v>
      </c>
      <c r="D8205" s="0" t="s">
        <v>2471</v>
      </c>
      <c r="E8205" s="0" t="n">
        <v>33</v>
      </c>
      <c r="F8205" s="0" t="s">
        <v>313</v>
      </c>
      <c r="I8205" s="0" t="n">
        <v>5642</v>
      </c>
      <c r="J8205" s="0" t="n">
        <v>11153</v>
      </c>
      <c r="K8205" s="0" t="n">
        <v>7897412400152</v>
      </c>
      <c r="L8205" s="0" t="s">
        <v>5297</v>
      </c>
      <c r="N8205" s="0" t="n">
        <v>48</v>
      </c>
      <c r="O8205" s="0" t="n">
        <v>35.52</v>
      </c>
      <c r="P8205" s="0" t="s">
        <v>2444</v>
      </c>
    </row>
    <row r="8206" customFormat="false" ht="15" hidden="false" customHeight="true" outlineLevel="0" collapsed="false">
      <c r="A8206" s="0" t="n">
        <v>2</v>
      </c>
      <c r="B8206" s="71" t="n">
        <v>46275</v>
      </c>
      <c r="C8206" s="0" t="n">
        <v>11</v>
      </c>
      <c r="D8206" s="0" t="s">
        <v>2471</v>
      </c>
      <c r="E8206" s="0" t="n">
        <v>33</v>
      </c>
      <c r="F8206" s="0" t="s">
        <v>313</v>
      </c>
      <c r="I8206" s="0" t="n">
        <v>5642</v>
      </c>
      <c r="J8206" s="0" t="n">
        <v>11165</v>
      </c>
      <c r="K8206" s="0" t="n">
        <v>7897412400176</v>
      </c>
      <c r="L8206" s="0" t="s">
        <v>5298</v>
      </c>
      <c r="N8206" s="0" t="n">
        <v>48</v>
      </c>
      <c r="O8206" s="0" t="n">
        <v>35.52</v>
      </c>
      <c r="P8206" s="0" t="s">
        <v>2444</v>
      </c>
    </row>
    <row r="8207" customFormat="false" ht="15" hidden="false" customHeight="true" outlineLevel="0" collapsed="false">
      <c r="A8207" s="0" t="n">
        <v>2</v>
      </c>
      <c r="B8207" s="71" t="n">
        <v>46275</v>
      </c>
      <c r="C8207" s="0" t="n">
        <v>11</v>
      </c>
      <c r="D8207" s="0" t="s">
        <v>2471</v>
      </c>
      <c r="E8207" s="0" t="n">
        <v>33</v>
      </c>
      <c r="F8207" s="0" t="s">
        <v>313</v>
      </c>
      <c r="I8207" s="0" t="n">
        <v>5642</v>
      </c>
      <c r="J8207" s="0" t="n">
        <v>11285</v>
      </c>
      <c r="K8207" s="0" t="n">
        <v>7897412400169</v>
      </c>
      <c r="L8207" s="0" t="s">
        <v>5299</v>
      </c>
      <c r="N8207" s="0" t="n">
        <v>48</v>
      </c>
      <c r="O8207" s="0" t="n">
        <v>35.52</v>
      </c>
      <c r="P8207" s="0" t="s">
        <v>2444</v>
      </c>
    </row>
    <row r="8208" customFormat="false" ht="15" hidden="false" customHeight="true" outlineLevel="0" collapsed="false">
      <c r="A8208" s="0" t="n">
        <v>2</v>
      </c>
      <c r="B8208" s="71" t="n">
        <v>46275</v>
      </c>
      <c r="C8208" s="0" t="n">
        <v>11</v>
      </c>
      <c r="D8208" s="0" t="s">
        <v>2471</v>
      </c>
      <c r="E8208" s="0" t="n">
        <v>33</v>
      </c>
      <c r="F8208" s="0" t="s">
        <v>313</v>
      </c>
      <c r="I8208" s="0" t="n">
        <v>5642</v>
      </c>
      <c r="J8208" s="0" t="n">
        <v>110184</v>
      </c>
      <c r="K8208" s="0" t="n">
        <v>37393</v>
      </c>
      <c r="L8208" s="0" t="s">
        <v>3467</v>
      </c>
      <c r="N8208" s="0" t="n">
        <v>100</v>
      </c>
      <c r="O8208" s="0" t="n">
        <v>870</v>
      </c>
      <c r="P8208" s="0" t="s">
        <v>2444</v>
      </c>
    </row>
    <row r="8209" customFormat="false" ht="15" hidden="false" customHeight="true" outlineLevel="0" collapsed="false">
      <c r="A8209" s="0" t="n">
        <v>2</v>
      </c>
      <c r="B8209" s="71" t="n">
        <v>46275</v>
      </c>
      <c r="C8209" s="0" t="n">
        <v>11</v>
      </c>
      <c r="D8209" s="0" t="s">
        <v>2471</v>
      </c>
      <c r="E8209" s="0" t="n">
        <v>33</v>
      </c>
      <c r="F8209" s="0" t="s">
        <v>313</v>
      </c>
      <c r="I8209" s="0" t="n">
        <v>5642</v>
      </c>
      <c r="J8209" s="0" t="n">
        <v>57687</v>
      </c>
      <c r="K8209" s="0" t="n">
        <v>7898286191467</v>
      </c>
      <c r="L8209" s="0" t="s">
        <v>5300</v>
      </c>
      <c r="N8209" s="0" t="n">
        <v>24</v>
      </c>
      <c r="O8209" s="0" t="n">
        <v>52.56</v>
      </c>
      <c r="P8209" s="0" t="s">
        <v>2444</v>
      </c>
    </row>
    <row r="8210" customFormat="false" ht="15" hidden="false" customHeight="true" outlineLevel="0" collapsed="false">
      <c r="A8210" s="0" t="n">
        <v>2</v>
      </c>
      <c r="B8210" s="71" t="n">
        <v>46275</v>
      </c>
      <c r="C8210" s="0" t="n">
        <v>11</v>
      </c>
      <c r="D8210" s="0" t="s">
        <v>2471</v>
      </c>
      <c r="E8210" s="0" t="n">
        <v>33</v>
      </c>
      <c r="F8210" s="0" t="s">
        <v>313</v>
      </c>
      <c r="I8210" s="0" t="n">
        <v>5642</v>
      </c>
      <c r="J8210" s="0" t="n">
        <v>73357</v>
      </c>
      <c r="K8210" s="0" t="n">
        <v>7896022208059</v>
      </c>
      <c r="L8210" s="0" t="s">
        <v>5301</v>
      </c>
      <c r="N8210" s="0" t="n">
        <v>14</v>
      </c>
      <c r="O8210" s="0" t="n">
        <v>40.04</v>
      </c>
      <c r="P8210" s="0" t="s">
        <v>2444</v>
      </c>
    </row>
    <row r="8211" customFormat="false" ht="15" hidden="false" customHeight="true" outlineLevel="0" collapsed="false">
      <c r="A8211" s="0" t="n">
        <v>2</v>
      </c>
      <c r="B8211" s="71" t="n">
        <v>46275</v>
      </c>
      <c r="C8211" s="0" t="n">
        <v>11</v>
      </c>
      <c r="D8211" s="0" t="s">
        <v>2471</v>
      </c>
      <c r="E8211" s="0" t="n">
        <v>1625</v>
      </c>
      <c r="F8211" s="0" t="s">
        <v>270</v>
      </c>
      <c r="I8211" s="0" t="n">
        <v>15323</v>
      </c>
      <c r="J8211" s="0" t="n">
        <v>29079</v>
      </c>
      <c r="K8211" s="0" t="n">
        <v>55515</v>
      </c>
      <c r="L8211" s="0" t="s">
        <v>2449</v>
      </c>
      <c r="N8211" s="0" t="n">
        <v>85.8</v>
      </c>
      <c r="O8211" s="0" t="n">
        <v>2745.6</v>
      </c>
      <c r="P8211" s="0" t="s">
        <v>2444</v>
      </c>
    </row>
    <row r="8212" customFormat="false" ht="15" hidden="false" customHeight="true" outlineLevel="0" collapsed="false">
      <c r="A8212" s="0" t="n">
        <v>2</v>
      </c>
      <c r="B8212" s="71" t="n">
        <v>46275</v>
      </c>
      <c r="C8212" s="0" t="n">
        <v>11</v>
      </c>
      <c r="D8212" s="0" t="s">
        <v>2471</v>
      </c>
      <c r="E8212" s="0" t="n">
        <v>1625</v>
      </c>
      <c r="F8212" s="0" t="s">
        <v>270</v>
      </c>
      <c r="I8212" s="0" t="n">
        <v>15323</v>
      </c>
      <c r="J8212" s="0" t="n">
        <v>29080</v>
      </c>
      <c r="K8212" s="0" t="n">
        <v>55516</v>
      </c>
      <c r="L8212" s="0" t="s">
        <v>2450</v>
      </c>
      <c r="N8212" s="0" t="n">
        <v>60.2</v>
      </c>
      <c r="O8212" s="0" t="n">
        <v>1324.4</v>
      </c>
      <c r="P8212" s="0" t="s">
        <v>2444</v>
      </c>
    </row>
    <row r="8213" customFormat="false" ht="15" hidden="false" customHeight="true" outlineLevel="0" collapsed="false">
      <c r="A8213" s="0" t="n">
        <v>2</v>
      </c>
      <c r="B8213" s="71" t="n">
        <v>46275</v>
      </c>
      <c r="C8213" s="0" t="n">
        <v>11</v>
      </c>
      <c r="D8213" s="0" t="s">
        <v>2471</v>
      </c>
      <c r="E8213" s="0" t="n">
        <v>10019</v>
      </c>
      <c r="F8213" s="0" t="s">
        <v>268</v>
      </c>
      <c r="I8213" s="0" t="n">
        <v>33492</v>
      </c>
      <c r="J8213" s="0" t="n">
        <v>100012</v>
      </c>
      <c r="K8213" s="0" t="n">
        <v>13</v>
      </c>
      <c r="L8213" s="0" t="s">
        <v>2489</v>
      </c>
      <c r="N8213" s="0" t="n">
        <v>57.63</v>
      </c>
      <c r="O8213" s="0" t="n">
        <v>2218.75</v>
      </c>
      <c r="P8213" s="0" t="s">
        <v>2444</v>
      </c>
    </row>
    <row r="8214" customFormat="false" ht="15" hidden="false" customHeight="true" outlineLevel="0" collapsed="false">
      <c r="A8214" s="0" t="n">
        <v>2</v>
      </c>
      <c r="B8214" s="71" t="n">
        <v>46275</v>
      </c>
      <c r="C8214" s="0" t="n">
        <v>11</v>
      </c>
      <c r="D8214" s="0" t="s">
        <v>2471</v>
      </c>
      <c r="E8214" s="0" t="n">
        <v>10019</v>
      </c>
      <c r="F8214" s="0" t="s">
        <v>268</v>
      </c>
      <c r="I8214" s="0" t="n">
        <v>33492</v>
      </c>
      <c r="J8214" s="0" t="n">
        <v>100013</v>
      </c>
      <c r="K8214" s="0" t="n">
        <v>14</v>
      </c>
      <c r="L8214" s="0" t="s">
        <v>2490</v>
      </c>
      <c r="N8214" s="0" t="n">
        <v>55.13</v>
      </c>
      <c r="O8214" s="0" t="n">
        <v>2122.5</v>
      </c>
      <c r="P8214" s="0" t="s">
        <v>2444</v>
      </c>
    </row>
    <row r="8215" customFormat="false" ht="15" hidden="false" customHeight="true" outlineLevel="0" collapsed="false">
      <c r="A8215" s="0" t="n">
        <v>2</v>
      </c>
      <c r="B8215" s="71" t="n">
        <v>46275</v>
      </c>
      <c r="C8215" s="0" t="n">
        <v>11</v>
      </c>
      <c r="D8215" s="0" t="s">
        <v>2471</v>
      </c>
      <c r="E8215" s="0" t="n">
        <v>10019</v>
      </c>
      <c r="F8215" s="0" t="s">
        <v>268</v>
      </c>
      <c r="I8215" s="0" t="n">
        <v>38204</v>
      </c>
      <c r="J8215" s="0" t="n">
        <v>100014</v>
      </c>
      <c r="K8215" s="0" t="n">
        <v>15</v>
      </c>
      <c r="L8215" s="0" t="s">
        <v>2491</v>
      </c>
      <c r="N8215" s="0" t="n">
        <v>20.18</v>
      </c>
      <c r="O8215" s="0" t="n">
        <v>865.52</v>
      </c>
      <c r="P8215" s="0" t="s">
        <v>2444</v>
      </c>
    </row>
    <row r="8216" customFormat="false" ht="15" hidden="false" customHeight="true" outlineLevel="0" collapsed="false">
      <c r="A8216" s="0" t="n">
        <v>2</v>
      </c>
      <c r="B8216" s="71" t="n">
        <v>46275</v>
      </c>
      <c r="C8216" s="0" t="n">
        <v>11</v>
      </c>
      <c r="D8216" s="0" t="s">
        <v>2471</v>
      </c>
      <c r="E8216" s="0" t="n">
        <v>1665</v>
      </c>
      <c r="F8216" s="0" t="s">
        <v>554</v>
      </c>
      <c r="I8216" s="0" t="n">
        <v>138039</v>
      </c>
      <c r="J8216" s="0" t="n">
        <v>25716</v>
      </c>
      <c r="K8216" s="0" t="n">
        <v>7896353301184</v>
      </c>
      <c r="L8216" s="0" t="s">
        <v>3317</v>
      </c>
      <c r="N8216" s="0" t="n">
        <v>24</v>
      </c>
      <c r="O8216" s="0" t="n">
        <v>194.4</v>
      </c>
      <c r="P8216" s="0" t="s">
        <v>2444</v>
      </c>
    </row>
    <row r="8217" customFormat="false" ht="15" hidden="false" customHeight="true" outlineLevel="0" collapsed="false">
      <c r="A8217" s="0" t="n">
        <v>2</v>
      </c>
      <c r="B8217" s="71" t="n">
        <v>46275</v>
      </c>
      <c r="C8217" s="0" t="n">
        <v>11</v>
      </c>
      <c r="D8217" s="0" t="s">
        <v>2471</v>
      </c>
      <c r="E8217" s="0" t="n">
        <v>1665</v>
      </c>
      <c r="F8217" s="0" t="s">
        <v>554</v>
      </c>
      <c r="I8217" s="0" t="n">
        <v>138039</v>
      </c>
      <c r="J8217" s="0" t="n">
        <v>25717</v>
      </c>
      <c r="K8217" s="0" t="n">
        <v>7896353301191</v>
      </c>
      <c r="L8217" s="0" t="s">
        <v>3347</v>
      </c>
      <c r="N8217" s="0" t="n">
        <v>6</v>
      </c>
      <c r="O8217" s="0" t="n">
        <v>48.6</v>
      </c>
      <c r="P8217" s="0" t="s">
        <v>2444</v>
      </c>
    </row>
    <row r="8218" customFormat="false" ht="15" hidden="false" customHeight="true" outlineLevel="0" collapsed="false">
      <c r="A8218" s="0" t="n">
        <v>2</v>
      </c>
      <c r="B8218" s="71" t="n">
        <v>46275</v>
      </c>
      <c r="C8218" s="0" t="n">
        <v>11</v>
      </c>
      <c r="D8218" s="0" t="s">
        <v>2471</v>
      </c>
      <c r="E8218" s="0" t="n">
        <v>1024</v>
      </c>
      <c r="F8218" s="0" t="s">
        <v>471</v>
      </c>
      <c r="I8218" s="0" t="n">
        <v>639283</v>
      </c>
      <c r="J8218" s="0" t="n">
        <v>103169</v>
      </c>
      <c r="K8218" s="0" t="n">
        <v>7898919635016</v>
      </c>
      <c r="L8218" s="0" t="s">
        <v>4592</v>
      </c>
      <c r="N8218" s="0" t="n">
        <v>27</v>
      </c>
      <c r="O8218" s="0" t="n">
        <v>111</v>
      </c>
      <c r="P8218" s="0" t="s">
        <v>2444</v>
      </c>
    </row>
    <row r="8219" customFormat="false" ht="15" hidden="false" customHeight="true" outlineLevel="0" collapsed="false">
      <c r="A8219" s="0" t="n">
        <v>2</v>
      </c>
      <c r="B8219" s="71" t="n">
        <v>46275</v>
      </c>
      <c r="C8219" s="0" t="n">
        <v>11</v>
      </c>
      <c r="D8219" s="0" t="s">
        <v>2471</v>
      </c>
      <c r="E8219" s="0" t="n">
        <v>1024</v>
      </c>
      <c r="F8219" s="0" t="s">
        <v>471</v>
      </c>
      <c r="I8219" s="0" t="n">
        <v>639283</v>
      </c>
      <c r="J8219" s="0" t="n">
        <v>103170</v>
      </c>
      <c r="K8219" s="0" t="n">
        <v>7896792000020</v>
      </c>
      <c r="L8219" s="0" t="s">
        <v>4593</v>
      </c>
      <c r="N8219" s="0" t="n">
        <v>27</v>
      </c>
      <c r="O8219" s="0" t="n">
        <v>111</v>
      </c>
      <c r="P8219" s="0" t="s">
        <v>2444</v>
      </c>
    </row>
    <row r="8220" customFormat="false" ht="15" hidden="false" customHeight="true" outlineLevel="0" collapsed="false">
      <c r="A8220" s="0" t="n">
        <v>2</v>
      </c>
      <c r="B8220" s="71" t="n">
        <v>46275</v>
      </c>
      <c r="C8220" s="0" t="n">
        <v>11</v>
      </c>
      <c r="D8220" s="0" t="s">
        <v>2471</v>
      </c>
      <c r="E8220" s="0" t="n">
        <v>1024</v>
      </c>
      <c r="F8220" s="0" t="s">
        <v>471</v>
      </c>
      <c r="I8220" s="0" t="n">
        <v>639283</v>
      </c>
      <c r="J8220" s="0" t="n">
        <v>28733</v>
      </c>
      <c r="K8220" s="0" t="n">
        <v>7898654710108</v>
      </c>
      <c r="L8220" s="0" t="s">
        <v>2791</v>
      </c>
      <c r="N8220" s="0" t="n">
        <v>60</v>
      </c>
      <c r="O8220" s="0" t="n">
        <v>70</v>
      </c>
      <c r="P8220" s="0" t="s">
        <v>2444</v>
      </c>
    </row>
    <row r="8221" customFormat="false" ht="15" hidden="false" customHeight="true" outlineLevel="0" collapsed="false">
      <c r="A8221" s="0" t="n">
        <v>2</v>
      </c>
      <c r="B8221" s="71" t="n">
        <v>46275</v>
      </c>
      <c r="C8221" s="0" t="n">
        <v>11</v>
      </c>
      <c r="D8221" s="0" t="s">
        <v>2471</v>
      </c>
      <c r="E8221" s="0" t="n">
        <v>1024</v>
      </c>
      <c r="F8221" s="0" t="s">
        <v>471</v>
      </c>
      <c r="I8221" s="0" t="n">
        <v>639283</v>
      </c>
      <c r="J8221" s="0" t="n">
        <v>34695</v>
      </c>
      <c r="K8221" s="0" t="n">
        <v>7898654710085</v>
      </c>
      <c r="L8221" s="0" t="s">
        <v>3701</v>
      </c>
      <c r="N8221" s="0" t="n">
        <v>60</v>
      </c>
      <c r="O8221" s="0" t="n">
        <v>70</v>
      </c>
      <c r="P8221" s="0" t="s">
        <v>2444</v>
      </c>
    </row>
    <row r="8222" customFormat="false" ht="15" hidden="false" customHeight="true" outlineLevel="0" collapsed="false">
      <c r="A8222" s="0" t="n">
        <v>2</v>
      </c>
      <c r="B8222" s="71" t="n">
        <v>46275</v>
      </c>
      <c r="C8222" s="0" t="n">
        <v>11</v>
      </c>
      <c r="D8222" s="0" t="s">
        <v>2471</v>
      </c>
      <c r="E8222" s="0" t="n">
        <v>1740</v>
      </c>
      <c r="F8222" s="0" t="s">
        <v>468</v>
      </c>
      <c r="I8222" s="0" t="n">
        <v>1268629</v>
      </c>
      <c r="J8222" s="0" t="n">
        <v>106130</v>
      </c>
      <c r="K8222" s="0" t="n">
        <v>7891000340004</v>
      </c>
      <c r="L8222" s="0" t="s">
        <v>2819</v>
      </c>
      <c r="N8222" s="0" t="n">
        <v>5</v>
      </c>
      <c r="O8222" s="0" t="n">
        <v>18.9</v>
      </c>
      <c r="P8222" s="0" t="s">
        <v>2444</v>
      </c>
    </row>
    <row r="8223" customFormat="false" ht="15" hidden="false" customHeight="true" outlineLevel="0" collapsed="false">
      <c r="A8223" s="0" t="n">
        <v>2</v>
      </c>
      <c r="B8223" s="71" t="n">
        <v>46275</v>
      </c>
      <c r="C8223" s="0" t="n">
        <v>11</v>
      </c>
      <c r="D8223" s="0" t="s">
        <v>2471</v>
      </c>
      <c r="E8223" s="0" t="n">
        <v>1740</v>
      </c>
      <c r="F8223" s="0" t="s">
        <v>468</v>
      </c>
      <c r="I8223" s="0" t="n">
        <v>1268629</v>
      </c>
      <c r="J8223" s="0" t="n">
        <v>14219</v>
      </c>
      <c r="K8223" s="0" t="n">
        <v>7891000072950</v>
      </c>
      <c r="L8223" s="0" t="s">
        <v>2820</v>
      </c>
      <c r="N8223" s="0" t="n">
        <v>3</v>
      </c>
      <c r="O8223" s="0" t="n">
        <v>13.62</v>
      </c>
      <c r="P8223" s="0" t="s">
        <v>2444</v>
      </c>
    </row>
    <row r="8224" customFormat="false" ht="15" hidden="false" customHeight="true" outlineLevel="0" collapsed="false">
      <c r="A8224" s="0" t="n">
        <v>2</v>
      </c>
      <c r="B8224" s="71" t="n">
        <v>46275</v>
      </c>
      <c r="C8224" s="0" t="n">
        <v>11</v>
      </c>
      <c r="D8224" s="0" t="s">
        <v>2471</v>
      </c>
      <c r="E8224" s="0" t="n">
        <v>1740</v>
      </c>
      <c r="F8224" s="0" t="s">
        <v>468</v>
      </c>
      <c r="I8224" s="0" t="n">
        <v>1268629</v>
      </c>
      <c r="J8224" s="0" t="n">
        <v>14220</v>
      </c>
      <c r="K8224" s="0" t="n">
        <v>7891000072998</v>
      </c>
      <c r="L8224" s="0" t="s">
        <v>4643</v>
      </c>
      <c r="N8224" s="0" t="n">
        <v>2</v>
      </c>
      <c r="O8224" s="0" t="n">
        <v>9.08</v>
      </c>
      <c r="P8224" s="0" t="s">
        <v>2444</v>
      </c>
    </row>
    <row r="8225" customFormat="false" ht="15" hidden="false" customHeight="true" outlineLevel="0" collapsed="false">
      <c r="A8225" s="0" t="n">
        <v>2</v>
      </c>
      <c r="B8225" s="71" t="n">
        <v>46275</v>
      </c>
      <c r="C8225" s="0" t="n">
        <v>11</v>
      </c>
      <c r="D8225" s="0" t="s">
        <v>2471</v>
      </c>
      <c r="E8225" s="0" t="n">
        <v>1740</v>
      </c>
      <c r="F8225" s="0" t="s">
        <v>468</v>
      </c>
      <c r="I8225" s="0" t="n">
        <v>1268629</v>
      </c>
      <c r="J8225" s="0" t="n">
        <v>16602</v>
      </c>
      <c r="K8225" s="0" t="n">
        <v>7891000084649</v>
      </c>
      <c r="L8225" s="0" t="s">
        <v>2821</v>
      </c>
      <c r="N8225" s="0" t="n">
        <v>4</v>
      </c>
      <c r="O8225" s="0" t="n">
        <v>43.96</v>
      </c>
      <c r="P8225" s="0" t="s">
        <v>2444</v>
      </c>
    </row>
    <row r="8226" customFormat="false" ht="15" hidden="false" customHeight="true" outlineLevel="0" collapsed="false">
      <c r="A8226" s="0" t="n">
        <v>2</v>
      </c>
      <c r="B8226" s="71" t="n">
        <v>46275</v>
      </c>
      <c r="C8226" s="0" t="n">
        <v>11</v>
      </c>
      <c r="D8226" s="0" t="s">
        <v>2471</v>
      </c>
      <c r="E8226" s="0" t="n">
        <v>1740</v>
      </c>
      <c r="F8226" s="0" t="s">
        <v>468</v>
      </c>
      <c r="I8226" s="0" t="n">
        <v>1268629</v>
      </c>
      <c r="J8226" s="0" t="n">
        <v>20021</v>
      </c>
      <c r="K8226" s="0" t="n">
        <v>7891000103937</v>
      </c>
      <c r="L8226" s="0" t="s">
        <v>2822</v>
      </c>
      <c r="N8226" s="0" t="n">
        <v>2</v>
      </c>
      <c r="O8226" s="0" t="n">
        <v>18.5</v>
      </c>
      <c r="P8226" s="0" t="s">
        <v>2444</v>
      </c>
    </row>
    <row r="8227" customFormat="false" ht="15" hidden="false" customHeight="true" outlineLevel="0" collapsed="false">
      <c r="A8227" s="0" t="n">
        <v>2</v>
      </c>
      <c r="B8227" s="71" t="n">
        <v>46275</v>
      </c>
      <c r="C8227" s="0" t="n">
        <v>11</v>
      </c>
      <c r="D8227" s="0" t="s">
        <v>2471</v>
      </c>
      <c r="E8227" s="0" t="n">
        <v>1740</v>
      </c>
      <c r="F8227" s="0" t="s">
        <v>468</v>
      </c>
      <c r="I8227" s="0" t="n">
        <v>1268629</v>
      </c>
      <c r="J8227" s="0" t="n">
        <v>20584</v>
      </c>
      <c r="K8227" s="0" t="n">
        <v>7891000103876</v>
      </c>
      <c r="L8227" s="0" t="s">
        <v>4644</v>
      </c>
      <c r="N8227" s="0" t="n">
        <v>4</v>
      </c>
      <c r="O8227" s="0" t="n">
        <v>13.68</v>
      </c>
      <c r="P8227" s="0" t="s">
        <v>2444</v>
      </c>
    </row>
    <row r="8228" customFormat="false" ht="15" hidden="false" customHeight="true" outlineLevel="0" collapsed="false">
      <c r="A8228" s="0" t="n">
        <v>2</v>
      </c>
      <c r="B8228" s="71" t="n">
        <v>46275</v>
      </c>
      <c r="C8228" s="0" t="n">
        <v>11</v>
      </c>
      <c r="D8228" s="0" t="s">
        <v>2471</v>
      </c>
      <c r="E8228" s="0" t="n">
        <v>1740</v>
      </c>
      <c r="F8228" s="0" t="s">
        <v>468</v>
      </c>
      <c r="I8228" s="0" t="n">
        <v>1268629</v>
      </c>
      <c r="J8228" s="0" t="n">
        <v>22055</v>
      </c>
      <c r="K8228" s="0" t="n">
        <v>78936195</v>
      </c>
      <c r="L8228" s="0" t="s">
        <v>5302</v>
      </c>
      <c r="N8228" s="0" t="n">
        <v>2</v>
      </c>
      <c r="O8228" s="0" t="n">
        <v>9.18</v>
      </c>
      <c r="P8228" s="0" t="s">
        <v>2444</v>
      </c>
    </row>
    <row r="8229" customFormat="false" ht="15" hidden="false" customHeight="true" outlineLevel="0" collapsed="false">
      <c r="A8229" s="0" t="n">
        <v>2</v>
      </c>
      <c r="B8229" s="71" t="n">
        <v>46275</v>
      </c>
      <c r="C8229" s="0" t="n">
        <v>11</v>
      </c>
      <c r="D8229" s="0" t="s">
        <v>2471</v>
      </c>
      <c r="E8229" s="0" t="n">
        <v>1740</v>
      </c>
      <c r="F8229" s="0" t="s">
        <v>468</v>
      </c>
      <c r="I8229" s="0" t="n">
        <v>1268629</v>
      </c>
      <c r="J8229" s="0" t="n">
        <v>23285</v>
      </c>
      <c r="K8229" s="0" t="n">
        <v>78936171</v>
      </c>
      <c r="L8229" s="0" t="s">
        <v>2823</v>
      </c>
      <c r="N8229" s="0" t="n">
        <v>2</v>
      </c>
      <c r="O8229" s="0" t="n">
        <v>6.98</v>
      </c>
      <c r="P8229" s="0" t="s">
        <v>2444</v>
      </c>
    </row>
    <row r="8230" customFormat="false" ht="15" hidden="false" customHeight="true" outlineLevel="0" collapsed="false">
      <c r="A8230" s="0" t="n">
        <v>2</v>
      </c>
      <c r="B8230" s="71" t="n">
        <v>46275</v>
      </c>
      <c r="C8230" s="0" t="n">
        <v>11</v>
      </c>
      <c r="D8230" s="0" t="s">
        <v>2471</v>
      </c>
      <c r="E8230" s="0" t="n">
        <v>1740</v>
      </c>
      <c r="F8230" s="0" t="s">
        <v>468</v>
      </c>
      <c r="I8230" s="0" t="n">
        <v>1268629</v>
      </c>
      <c r="J8230" s="0" t="n">
        <v>25112</v>
      </c>
      <c r="K8230" s="0" t="n">
        <v>7891000244425</v>
      </c>
      <c r="L8230" s="0" t="s">
        <v>2824</v>
      </c>
      <c r="N8230" s="0" t="n">
        <v>3</v>
      </c>
      <c r="O8230" s="0" t="n">
        <v>36.87</v>
      </c>
      <c r="P8230" s="0" t="s">
        <v>2444</v>
      </c>
    </row>
    <row r="8231" customFormat="false" ht="15" hidden="false" customHeight="true" outlineLevel="0" collapsed="false">
      <c r="A8231" s="0" t="n">
        <v>2</v>
      </c>
      <c r="B8231" s="71" t="n">
        <v>46275</v>
      </c>
      <c r="C8231" s="0" t="n">
        <v>11</v>
      </c>
      <c r="D8231" s="0" t="s">
        <v>2471</v>
      </c>
      <c r="E8231" s="0" t="n">
        <v>1740</v>
      </c>
      <c r="F8231" s="0" t="s">
        <v>468</v>
      </c>
      <c r="I8231" s="0" t="n">
        <v>1268629</v>
      </c>
      <c r="J8231" s="0" t="n">
        <v>25113</v>
      </c>
      <c r="K8231" s="0" t="n">
        <v>7891000244265</v>
      </c>
      <c r="L8231" s="0" t="s">
        <v>4746</v>
      </c>
      <c r="N8231" s="0" t="n">
        <v>5</v>
      </c>
      <c r="O8231" s="0" t="n">
        <v>14.55</v>
      </c>
      <c r="P8231" s="0" t="s">
        <v>2444</v>
      </c>
    </row>
    <row r="8232" customFormat="false" ht="15" hidden="false" customHeight="true" outlineLevel="0" collapsed="false">
      <c r="A8232" s="0" t="n">
        <v>2</v>
      </c>
      <c r="B8232" s="71" t="n">
        <v>46275</v>
      </c>
      <c r="C8232" s="0" t="n">
        <v>11</v>
      </c>
      <c r="D8232" s="0" t="s">
        <v>2471</v>
      </c>
      <c r="E8232" s="0" t="n">
        <v>1740</v>
      </c>
      <c r="F8232" s="0" t="s">
        <v>468</v>
      </c>
      <c r="I8232" s="0" t="n">
        <v>1268629</v>
      </c>
      <c r="J8232" s="0" t="n">
        <v>26554</v>
      </c>
      <c r="K8232" s="0" t="n">
        <v>7891000252819</v>
      </c>
      <c r="L8232" s="0" t="s">
        <v>2826</v>
      </c>
      <c r="N8232" s="0" t="n">
        <v>3</v>
      </c>
      <c r="O8232" s="0" t="n">
        <v>10.65</v>
      </c>
      <c r="P8232" s="0" t="s">
        <v>2444</v>
      </c>
    </row>
    <row r="8233" customFormat="false" ht="15" hidden="false" customHeight="true" outlineLevel="0" collapsed="false">
      <c r="A8233" s="0" t="n">
        <v>2</v>
      </c>
      <c r="B8233" s="71" t="n">
        <v>46275</v>
      </c>
      <c r="C8233" s="0" t="n">
        <v>11</v>
      </c>
      <c r="D8233" s="0" t="s">
        <v>2471</v>
      </c>
      <c r="E8233" s="0" t="n">
        <v>1740</v>
      </c>
      <c r="F8233" s="0" t="s">
        <v>468</v>
      </c>
      <c r="I8233" s="0" t="n">
        <v>1268629</v>
      </c>
      <c r="J8233" s="0" t="n">
        <v>27878</v>
      </c>
      <c r="K8233" s="0" t="n">
        <v>7891000261026</v>
      </c>
      <c r="L8233" s="0" t="s">
        <v>2828</v>
      </c>
      <c r="N8233" s="0" t="n">
        <v>10</v>
      </c>
      <c r="O8233" s="0" t="n">
        <v>88.5</v>
      </c>
      <c r="P8233" s="0" t="s">
        <v>2444</v>
      </c>
    </row>
    <row r="8234" customFormat="false" ht="15" hidden="false" customHeight="true" outlineLevel="0" collapsed="false">
      <c r="A8234" s="0" t="n">
        <v>2</v>
      </c>
      <c r="B8234" s="71" t="n">
        <v>46275</v>
      </c>
      <c r="C8234" s="0" t="n">
        <v>11</v>
      </c>
      <c r="D8234" s="0" t="s">
        <v>2471</v>
      </c>
      <c r="E8234" s="0" t="n">
        <v>1740</v>
      </c>
      <c r="F8234" s="0" t="s">
        <v>468</v>
      </c>
      <c r="I8234" s="0" t="n">
        <v>1268629</v>
      </c>
      <c r="J8234" s="0" t="n">
        <v>47789</v>
      </c>
      <c r="K8234" s="0" t="n">
        <v>7891000362037</v>
      </c>
      <c r="L8234" s="0" t="s">
        <v>2831</v>
      </c>
      <c r="N8234" s="0" t="n">
        <v>4</v>
      </c>
      <c r="O8234" s="0" t="n">
        <v>32.76</v>
      </c>
      <c r="P8234" s="0" t="s">
        <v>2444</v>
      </c>
    </row>
    <row r="8235" customFormat="false" ht="15" hidden="false" customHeight="true" outlineLevel="0" collapsed="false">
      <c r="A8235" s="0" t="n">
        <v>2</v>
      </c>
      <c r="B8235" s="71" t="n">
        <v>46275</v>
      </c>
      <c r="C8235" s="0" t="n">
        <v>11</v>
      </c>
      <c r="D8235" s="0" t="s">
        <v>2471</v>
      </c>
      <c r="E8235" s="0" t="n">
        <v>1740</v>
      </c>
      <c r="F8235" s="0" t="s">
        <v>468</v>
      </c>
      <c r="I8235" s="0" t="n">
        <v>1268629</v>
      </c>
      <c r="J8235" s="0" t="n">
        <v>50420</v>
      </c>
      <c r="K8235" s="0" t="n">
        <v>7898953148701</v>
      </c>
      <c r="L8235" s="0" t="s">
        <v>4646</v>
      </c>
      <c r="N8235" s="0" t="n">
        <v>6</v>
      </c>
      <c r="O8235" s="0" t="n">
        <v>25.74</v>
      </c>
      <c r="P8235" s="0" t="s">
        <v>2444</v>
      </c>
    </row>
    <row r="8236" customFormat="false" ht="15" hidden="false" customHeight="true" outlineLevel="0" collapsed="false">
      <c r="A8236" s="0" t="n">
        <v>2</v>
      </c>
      <c r="B8236" s="71" t="n">
        <v>46275</v>
      </c>
      <c r="C8236" s="0" t="n">
        <v>11</v>
      </c>
      <c r="D8236" s="0" t="s">
        <v>2471</v>
      </c>
      <c r="E8236" s="0" t="n">
        <v>1740</v>
      </c>
      <c r="F8236" s="0" t="s">
        <v>468</v>
      </c>
      <c r="I8236" s="0" t="n">
        <v>1268629</v>
      </c>
      <c r="J8236" s="0" t="n">
        <v>50424</v>
      </c>
      <c r="K8236" s="0" t="n">
        <v>7898953148169</v>
      </c>
      <c r="L8236" s="0" t="s">
        <v>4648</v>
      </c>
      <c r="N8236" s="0" t="n">
        <v>6</v>
      </c>
      <c r="O8236" s="0" t="n">
        <v>59.88</v>
      </c>
      <c r="P8236" s="0" t="s">
        <v>2444</v>
      </c>
    </row>
    <row r="8237" customFormat="false" ht="15" hidden="false" customHeight="true" outlineLevel="0" collapsed="false">
      <c r="A8237" s="0" t="n">
        <v>2</v>
      </c>
      <c r="B8237" s="71" t="n">
        <v>46275</v>
      </c>
      <c r="C8237" s="0" t="n">
        <v>11</v>
      </c>
      <c r="D8237" s="0" t="s">
        <v>2471</v>
      </c>
      <c r="E8237" s="0" t="n">
        <v>1740</v>
      </c>
      <c r="F8237" s="0" t="s">
        <v>468</v>
      </c>
      <c r="I8237" s="0" t="n">
        <v>1268629</v>
      </c>
      <c r="J8237" s="0" t="n">
        <v>56982</v>
      </c>
      <c r="K8237" s="0" t="n">
        <v>7891000382349</v>
      </c>
      <c r="L8237" s="0" t="s">
        <v>2833</v>
      </c>
      <c r="N8237" s="0" t="n">
        <v>2</v>
      </c>
      <c r="O8237" s="0" t="n">
        <v>6.98</v>
      </c>
      <c r="P8237" s="0" t="s">
        <v>2444</v>
      </c>
    </row>
    <row r="8238" customFormat="false" ht="15" hidden="false" customHeight="true" outlineLevel="0" collapsed="false">
      <c r="A8238" s="0" t="n">
        <v>2</v>
      </c>
      <c r="B8238" s="71" t="n">
        <v>46275</v>
      </c>
      <c r="C8238" s="0" t="n">
        <v>11</v>
      </c>
      <c r="D8238" s="0" t="s">
        <v>2471</v>
      </c>
      <c r="E8238" s="0" t="n">
        <v>1740</v>
      </c>
      <c r="F8238" s="0" t="s">
        <v>468</v>
      </c>
      <c r="I8238" s="0" t="n">
        <v>1268629</v>
      </c>
      <c r="J8238" s="0" t="n">
        <v>62922</v>
      </c>
      <c r="K8238" s="0" t="n">
        <v>7891000260623</v>
      </c>
      <c r="L8238" s="0" t="s">
        <v>3937</v>
      </c>
      <c r="N8238" s="0" t="n">
        <v>1</v>
      </c>
      <c r="O8238" s="0" t="n">
        <v>14.21</v>
      </c>
      <c r="P8238" s="0" t="s">
        <v>2444</v>
      </c>
    </row>
    <row r="8239" customFormat="false" ht="15" hidden="false" customHeight="true" outlineLevel="0" collapsed="false">
      <c r="A8239" s="0" t="n">
        <v>2</v>
      </c>
      <c r="B8239" s="71" t="n">
        <v>46275</v>
      </c>
      <c r="C8239" s="0" t="n">
        <v>11</v>
      </c>
      <c r="D8239" s="0" t="s">
        <v>2471</v>
      </c>
      <c r="E8239" s="0" t="n">
        <v>1740</v>
      </c>
      <c r="F8239" s="0" t="s">
        <v>468</v>
      </c>
      <c r="I8239" s="0" t="n">
        <v>1268629</v>
      </c>
      <c r="J8239" s="0" t="n">
        <v>64165</v>
      </c>
      <c r="K8239" s="0" t="n">
        <v>7891000396452</v>
      </c>
      <c r="L8239" s="0" t="s">
        <v>4747</v>
      </c>
      <c r="N8239" s="0" t="n">
        <v>3</v>
      </c>
      <c r="O8239" s="0" t="n">
        <v>13.77</v>
      </c>
      <c r="P8239" s="0" t="s">
        <v>2444</v>
      </c>
    </row>
    <row r="8240" customFormat="false" ht="15" hidden="false" customHeight="true" outlineLevel="0" collapsed="false">
      <c r="A8240" s="0" t="n">
        <v>2</v>
      </c>
      <c r="B8240" s="71" t="n">
        <v>46275</v>
      </c>
      <c r="C8240" s="0" t="n">
        <v>11</v>
      </c>
      <c r="D8240" s="0" t="s">
        <v>2471</v>
      </c>
      <c r="E8240" s="0" t="n">
        <v>1740</v>
      </c>
      <c r="F8240" s="0" t="s">
        <v>468</v>
      </c>
      <c r="I8240" s="0" t="n">
        <v>1268629</v>
      </c>
      <c r="J8240" s="0" t="n">
        <v>69214</v>
      </c>
      <c r="K8240" s="0" t="n">
        <v>7898755200041</v>
      </c>
      <c r="L8240" s="0" t="s">
        <v>4649</v>
      </c>
      <c r="N8240" s="0" t="n">
        <v>4</v>
      </c>
      <c r="O8240" s="0" t="n">
        <v>13.76</v>
      </c>
      <c r="P8240" s="0" t="s">
        <v>2444</v>
      </c>
    </row>
    <row r="8241" customFormat="false" ht="15" hidden="false" customHeight="true" outlineLevel="0" collapsed="false">
      <c r="A8241" s="0" t="n">
        <v>2</v>
      </c>
      <c r="B8241" s="71" t="n">
        <v>46275</v>
      </c>
      <c r="C8241" s="0" t="n">
        <v>11</v>
      </c>
      <c r="D8241" s="0" t="s">
        <v>2471</v>
      </c>
      <c r="E8241" s="0" t="n">
        <v>1740</v>
      </c>
      <c r="F8241" s="0" t="s">
        <v>468</v>
      </c>
      <c r="I8241" s="0" t="n">
        <v>1268629</v>
      </c>
      <c r="J8241" s="0" t="n">
        <v>80572</v>
      </c>
      <c r="K8241" s="0" t="n">
        <v>7898755200188</v>
      </c>
      <c r="L8241" s="0" t="s">
        <v>5303</v>
      </c>
      <c r="N8241" s="0" t="n">
        <v>2</v>
      </c>
      <c r="O8241" s="0" t="n">
        <v>7.36</v>
      </c>
      <c r="P8241" s="0" t="s">
        <v>2444</v>
      </c>
    </row>
    <row r="8242" customFormat="false" ht="15" hidden="false" customHeight="true" outlineLevel="0" collapsed="false">
      <c r="A8242" s="0" t="n">
        <v>2</v>
      </c>
      <c r="B8242" s="71" t="n">
        <v>46275</v>
      </c>
      <c r="C8242" s="0" t="n">
        <v>11</v>
      </c>
      <c r="D8242" s="0" t="s">
        <v>2471</v>
      </c>
      <c r="E8242" s="0" t="n">
        <v>1608</v>
      </c>
      <c r="F8242" s="0" t="s">
        <v>240</v>
      </c>
      <c r="I8242" s="0" t="n">
        <v>1726308</v>
      </c>
      <c r="J8242" s="0" t="n">
        <v>30307</v>
      </c>
      <c r="K8242" s="0" t="n">
        <v>7896009301179</v>
      </c>
      <c r="L8242" s="0" t="s">
        <v>4617</v>
      </c>
      <c r="N8242" s="0" t="n">
        <v>12</v>
      </c>
      <c r="O8242" s="0" t="n">
        <v>83.16</v>
      </c>
      <c r="P8242" s="0" t="s">
        <v>2444</v>
      </c>
    </row>
    <row r="8243" customFormat="false" ht="15" hidden="false" customHeight="true" outlineLevel="0" collapsed="false">
      <c r="A8243" s="0" t="n">
        <v>2</v>
      </c>
      <c r="B8243" s="71" t="n">
        <v>46275</v>
      </c>
      <c r="C8243" s="0" t="n">
        <v>11</v>
      </c>
      <c r="D8243" s="0" t="s">
        <v>2471</v>
      </c>
      <c r="E8243" s="0" t="n">
        <v>1608</v>
      </c>
      <c r="F8243" s="0" t="s">
        <v>240</v>
      </c>
      <c r="I8243" s="0" t="n">
        <v>1726308</v>
      </c>
      <c r="J8243" s="0" t="n">
        <v>101947</v>
      </c>
      <c r="K8243" s="0" t="n">
        <v>7891079001028</v>
      </c>
      <c r="L8243" s="0" t="s">
        <v>3703</v>
      </c>
      <c r="N8243" s="0" t="n">
        <v>50</v>
      </c>
      <c r="O8243" s="0" t="n">
        <v>108</v>
      </c>
      <c r="P8243" s="0" t="s">
        <v>2444</v>
      </c>
    </row>
    <row r="8244" customFormat="false" ht="15" hidden="false" customHeight="true" outlineLevel="0" collapsed="false">
      <c r="A8244" s="0" t="n">
        <v>2</v>
      </c>
      <c r="B8244" s="71" t="n">
        <v>46275</v>
      </c>
      <c r="C8244" s="0" t="n">
        <v>11</v>
      </c>
      <c r="D8244" s="0" t="s">
        <v>2471</v>
      </c>
      <c r="E8244" s="0" t="n">
        <v>1608</v>
      </c>
      <c r="F8244" s="0" t="s">
        <v>240</v>
      </c>
      <c r="I8244" s="0" t="n">
        <v>1726308</v>
      </c>
      <c r="J8244" s="0" t="n">
        <v>101948</v>
      </c>
      <c r="K8244" s="0" t="n">
        <v>7891079001011</v>
      </c>
      <c r="L8244" s="0" t="s">
        <v>3704</v>
      </c>
      <c r="N8244" s="0" t="n">
        <v>50</v>
      </c>
      <c r="O8244" s="0" t="n">
        <v>108</v>
      </c>
      <c r="P8244" s="0" t="s">
        <v>2444</v>
      </c>
    </row>
    <row r="8245" customFormat="false" ht="15" hidden="false" customHeight="true" outlineLevel="0" collapsed="false">
      <c r="A8245" s="0" t="n">
        <v>2</v>
      </c>
      <c r="B8245" s="71" t="n">
        <v>46275</v>
      </c>
      <c r="C8245" s="0" t="n">
        <v>11</v>
      </c>
      <c r="D8245" s="0" t="s">
        <v>2471</v>
      </c>
      <c r="E8245" s="0" t="n">
        <v>1608</v>
      </c>
      <c r="F8245" s="0" t="s">
        <v>240</v>
      </c>
      <c r="I8245" s="0" t="n">
        <v>1726308</v>
      </c>
      <c r="J8245" s="0" t="n">
        <v>101949</v>
      </c>
      <c r="K8245" s="0" t="n">
        <v>7891079001004</v>
      </c>
      <c r="L8245" s="0" t="s">
        <v>3705</v>
      </c>
      <c r="N8245" s="0" t="n">
        <v>50</v>
      </c>
      <c r="O8245" s="0" t="n">
        <v>108</v>
      </c>
      <c r="P8245" s="0" t="s">
        <v>2444</v>
      </c>
    </row>
    <row r="8246" customFormat="false" ht="15" hidden="false" customHeight="true" outlineLevel="0" collapsed="false">
      <c r="A8246" s="0" t="n">
        <v>2</v>
      </c>
      <c r="B8246" s="71" t="n">
        <v>46275</v>
      </c>
      <c r="C8246" s="0" t="n">
        <v>11</v>
      </c>
      <c r="D8246" s="0" t="s">
        <v>2471</v>
      </c>
      <c r="E8246" s="0" t="n">
        <v>1608</v>
      </c>
      <c r="F8246" s="0" t="s">
        <v>240</v>
      </c>
      <c r="I8246" s="0" t="n">
        <v>1726308</v>
      </c>
      <c r="J8246" s="0" t="n">
        <v>101953</v>
      </c>
      <c r="K8246" s="0" t="n">
        <v>7891079000229</v>
      </c>
      <c r="L8246" s="0" t="s">
        <v>3706</v>
      </c>
      <c r="N8246" s="0" t="n">
        <v>50</v>
      </c>
      <c r="O8246" s="0" t="n">
        <v>104</v>
      </c>
      <c r="P8246" s="0" t="s">
        <v>2444</v>
      </c>
    </row>
    <row r="8247" customFormat="false" ht="15" hidden="false" customHeight="true" outlineLevel="0" collapsed="false">
      <c r="A8247" s="0" t="n">
        <v>2</v>
      </c>
      <c r="B8247" s="71" t="n">
        <v>46275</v>
      </c>
      <c r="C8247" s="0" t="n">
        <v>11</v>
      </c>
      <c r="D8247" s="0" t="s">
        <v>2471</v>
      </c>
      <c r="E8247" s="0" t="n">
        <v>1608</v>
      </c>
      <c r="F8247" s="0" t="s">
        <v>240</v>
      </c>
      <c r="I8247" s="0" t="n">
        <v>1726308</v>
      </c>
      <c r="J8247" s="0" t="n">
        <v>101954</v>
      </c>
      <c r="K8247" s="0" t="n">
        <v>7891079000212</v>
      </c>
      <c r="L8247" s="0" t="s">
        <v>4618</v>
      </c>
      <c r="N8247" s="0" t="n">
        <v>50</v>
      </c>
      <c r="O8247" s="0" t="n">
        <v>104</v>
      </c>
      <c r="P8247" s="0" t="s">
        <v>2444</v>
      </c>
    </row>
    <row r="8248" customFormat="false" ht="15" hidden="false" customHeight="true" outlineLevel="0" collapsed="false">
      <c r="A8248" s="0" t="n">
        <v>2</v>
      </c>
      <c r="B8248" s="71" t="n">
        <v>46275</v>
      </c>
      <c r="C8248" s="0" t="n">
        <v>11</v>
      </c>
      <c r="D8248" s="0" t="s">
        <v>2471</v>
      </c>
      <c r="E8248" s="0" t="n">
        <v>1608</v>
      </c>
      <c r="F8248" s="0" t="s">
        <v>240</v>
      </c>
      <c r="I8248" s="0" t="n">
        <v>1726308</v>
      </c>
      <c r="J8248" s="0" t="n">
        <v>101957</v>
      </c>
      <c r="K8248" s="0" t="n">
        <v>7891079000205</v>
      </c>
      <c r="L8248" s="0" t="s">
        <v>3707</v>
      </c>
      <c r="N8248" s="0" t="n">
        <v>50</v>
      </c>
      <c r="O8248" s="0" t="n">
        <v>104</v>
      </c>
      <c r="P8248" s="0" t="s">
        <v>2444</v>
      </c>
    </row>
    <row r="8249" customFormat="false" ht="15" hidden="false" customHeight="true" outlineLevel="0" collapsed="false">
      <c r="A8249" s="0" t="n">
        <v>2</v>
      </c>
      <c r="B8249" s="71" t="n">
        <v>46275</v>
      </c>
      <c r="C8249" s="0" t="n">
        <v>11</v>
      </c>
      <c r="D8249" s="0" t="s">
        <v>2471</v>
      </c>
      <c r="E8249" s="0" t="n">
        <v>1608</v>
      </c>
      <c r="F8249" s="0" t="s">
        <v>240</v>
      </c>
      <c r="I8249" s="0" t="n">
        <v>1726308</v>
      </c>
      <c r="J8249" s="0" t="n">
        <v>103351</v>
      </c>
      <c r="K8249" s="0" t="n">
        <v>7891910000197</v>
      </c>
      <c r="L8249" s="0" t="s">
        <v>5304</v>
      </c>
      <c r="N8249" s="0" t="n">
        <v>10</v>
      </c>
      <c r="O8249" s="0" t="n">
        <v>75.9</v>
      </c>
      <c r="P8249" s="0" t="s">
        <v>2444</v>
      </c>
    </row>
    <row r="8250" customFormat="false" ht="15" hidden="false" customHeight="true" outlineLevel="0" collapsed="false">
      <c r="A8250" s="0" t="n">
        <v>2</v>
      </c>
      <c r="B8250" s="71" t="n">
        <v>46275</v>
      </c>
      <c r="C8250" s="0" t="n">
        <v>11</v>
      </c>
      <c r="D8250" s="0" t="s">
        <v>2471</v>
      </c>
      <c r="E8250" s="0" t="n">
        <v>1608</v>
      </c>
      <c r="F8250" s="0" t="s">
        <v>240</v>
      </c>
      <c r="I8250" s="0" t="n">
        <v>1726308</v>
      </c>
      <c r="J8250" s="0" t="n">
        <v>19594</v>
      </c>
      <c r="K8250" s="0" t="n">
        <v>7891079000434</v>
      </c>
      <c r="L8250" s="0" t="s">
        <v>3711</v>
      </c>
      <c r="N8250" s="0" t="n">
        <v>12</v>
      </c>
      <c r="O8250" s="0" t="n">
        <v>33.84</v>
      </c>
      <c r="P8250" s="0" t="s">
        <v>2444</v>
      </c>
    </row>
    <row r="8251" customFormat="false" ht="15" hidden="false" customHeight="true" outlineLevel="0" collapsed="false">
      <c r="A8251" s="0" t="n">
        <v>2</v>
      </c>
      <c r="B8251" s="71" t="n">
        <v>46275</v>
      </c>
      <c r="C8251" s="0" t="n">
        <v>11</v>
      </c>
      <c r="D8251" s="0" t="s">
        <v>2471</v>
      </c>
      <c r="E8251" s="0" t="n">
        <v>1608</v>
      </c>
      <c r="F8251" s="0" t="s">
        <v>240</v>
      </c>
      <c r="I8251" s="0" t="n">
        <v>1726308</v>
      </c>
      <c r="J8251" s="0" t="n">
        <v>24305</v>
      </c>
      <c r="K8251" s="0" t="n">
        <v>7891079000427</v>
      </c>
      <c r="L8251" s="0" t="s">
        <v>3713</v>
      </c>
      <c r="N8251" s="0" t="n">
        <v>12</v>
      </c>
      <c r="O8251" s="0" t="n">
        <v>33.84</v>
      </c>
      <c r="P8251" s="0" t="s">
        <v>2444</v>
      </c>
    </row>
    <row r="8252" customFormat="false" ht="15" hidden="false" customHeight="true" outlineLevel="0" collapsed="false">
      <c r="A8252" s="0" t="n">
        <v>2</v>
      </c>
      <c r="B8252" s="71" t="n">
        <v>46275</v>
      </c>
      <c r="C8252" s="0" t="n">
        <v>11</v>
      </c>
      <c r="D8252" s="0" t="s">
        <v>2471</v>
      </c>
      <c r="E8252" s="0" t="n">
        <v>1608</v>
      </c>
      <c r="F8252" s="0" t="s">
        <v>240</v>
      </c>
      <c r="I8252" s="0" t="n">
        <v>1726308</v>
      </c>
      <c r="J8252" s="0" t="n">
        <v>27996</v>
      </c>
      <c r="K8252" s="0" t="n">
        <v>7891079013083</v>
      </c>
      <c r="L8252" s="0" t="s">
        <v>3714</v>
      </c>
      <c r="N8252" s="0" t="n">
        <v>12</v>
      </c>
      <c r="O8252" s="0" t="n">
        <v>50.04</v>
      </c>
      <c r="P8252" s="0" t="s">
        <v>2444</v>
      </c>
    </row>
    <row r="8253" customFormat="false" ht="15" hidden="false" customHeight="true" outlineLevel="0" collapsed="false">
      <c r="A8253" s="0" t="n">
        <v>2</v>
      </c>
      <c r="B8253" s="71" t="n">
        <v>46275</v>
      </c>
      <c r="C8253" s="0" t="n">
        <v>11</v>
      </c>
      <c r="D8253" s="0" t="s">
        <v>2471</v>
      </c>
      <c r="E8253" s="0" t="n">
        <v>1608</v>
      </c>
      <c r="F8253" s="0" t="s">
        <v>240</v>
      </c>
      <c r="I8253" s="0" t="n">
        <v>1726308</v>
      </c>
      <c r="J8253" s="0" t="n">
        <v>27997</v>
      </c>
      <c r="K8253" s="0" t="n">
        <v>7891079013106</v>
      </c>
      <c r="L8253" s="0" t="s">
        <v>3715</v>
      </c>
      <c r="N8253" s="0" t="n">
        <v>6</v>
      </c>
      <c r="O8253" s="0" t="n">
        <v>25.02</v>
      </c>
      <c r="P8253" s="0" t="s">
        <v>2444</v>
      </c>
    </row>
    <row r="8254" customFormat="false" ht="15" hidden="false" customHeight="true" outlineLevel="0" collapsed="false">
      <c r="A8254" s="0" t="n">
        <v>2</v>
      </c>
      <c r="B8254" s="71" t="n">
        <v>46275</v>
      </c>
      <c r="C8254" s="0" t="n">
        <v>11</v>
      </c>
      <c r="D8254" s="0" t="s">
        <v>2471</v>
      </c>
      <c r="E8254" s="0" t="n">
        <v>1608</v>
      </c>
      <c r="F8254" s="0" t="s">
        <v>240</v>
      </c>
      <c r="I8254" s="0" t="n">
        <v>1726308</v>
      </c>
      <c r="J8254" s="0" t="n">
        <v>27998</v>
      </c>
      <c r="K8254" s="0" t="n">
        <v>7891079013045</v>
      </c>
      <c r="L8254" s="0" t="s">
        <v>5305</v>
      </c>
      <c r="N8254" s="0" t="n">
        <v>6</v>
      </c>
      <c r="O8254" s="0" t="n">
        <v>25.02</v>
      </c>
      <c r="P8254" s="0" t="s">
        <v>2444</v>
      </c>
    </row>
    <row r="8255" customFormat="false" ht="15" hidden="false" customHeight="true" outlineLevel="0" collapsed="false">
      <c r="A8255" s="0" t="n">
        <v>2</v>
      </c>
      <c r="B8255" s="71" t="n">
        <v>46275</v>
      </c>
      <c r="C8255" s="0" t="n">
        <v>11</v>
      </c>
      <c r="D8255" s="0" t="s">
        <v>2471</v>
      </c>
      <c r="E8255" s="0" t="n">
        <v>1608</v>
      </c>
      <c r="F8255" s="0" t="s">
        <v>240</v>
      </c>
      <c r="I8255" s="0" t="n">
        <v>1726308</v>
      </c>
      <c r="J8255" s="0" t="n">
        <v>27999</v>
      </c>
      <c r="K8255" s="0" t="n">
        <v>7891079013113</v>
      </c>
      <c r="L8255" s="0" t="s">
        <v>5306</v>
      </c>
      <c r="N8255" s="0" t="n">
        <v>6</v>
      </c>
      <c r="O8255" s="0" t="n">
        <v>25.02</v>
      </c>
      <c r="P8255" s="0" t="s">
        <v>2444</v>
      </c>
    </row>
    <row r="8256" customFormat="false" ht="15" hidden="false" customHeight="true" outlineLevel="0" collapsed="false">
      <c r="A8256" s="0" t="n">
        <v>2</v>
      </c>
      <c r="B8256" s="71" t="n">
        <v>46275</v>
      </c>
      <c r="C8256" s="0" t="n">
        <v>11</v>
      </c>
      <c r="D8256" s="0" t="s">
        <v>2471</v>
      </c>
      <c r="E8256" s="0" t="n">
        <v>1608</v>
      </c>
      <c r="F8256" s="0" t="s">
        <v>240</v>
      </c>
      <c r="I8256" s="0" t="n">
        <v>1726308</v>
      </c>
      <c r="J8256" s="0" t="n">
        <v>28032</v>
      </c>
      <c r="K8256" s="0" t="n">
        <v>7891079013038</v>
      </c>
      <c r="L8256" s="0" t="s">
        <v>3716</v>
      </c>
      <c r="N8256" s="0" t="n">
        <v>48</v>
      </c>
      <c r="O8256" s="0" t="n">
        <v>200.16</v>
      </c>
      <c r="P8256" s="0" t="s">
        <v>2444</v>
      </c>
    </row>
    <row r="8257" customFormat="false" ht="15" hidden="false" customHeight="true" outlineLevel="0" collapsed="false">
      <c r="A8257" s="0" t="n">
        <v>2</v>
      </c>
      <c r="B8257" s="71" t="n">
        <v>46275</v>
      </c>
      <c r="C8257" s="0" t="n">
        <v>11</v>
      </c>
      <c r="D8257" s="0" t="s">
        <v>2471</v>
      </c>
      <c r="E8257" s="0" t="n">
        <v>1608</v>
      </c>
      <c r="F8257" s="0" t="s">
        <v>240</v>
      </c>
      <c r="I8257" s="0" t="n">
        <v>1726308</v>
      </c>
      <c r="J8257" s="0" t="n">
        <v>28033</v>
      </c>
      <c r="K8257" s="0" t="n">
        <v>7891079013120</v>
      </c>
      <c r="L8257" s="0" t="s">
        <v>3717</v>
      </c>
      <c r="N8257" s="0" t="n">
        <v>12</v>
      </c>
      <c r="O8257" s="0" t="n">
        <v>50.04</v>
      </c>
      <c r="P8257" s="0" t="s">
        <v>2444</v>
      </c>
    </row>
    <row r="8258" customFormat="false" ht="15" hidden="false" customHeight="true" outlineLevel="0" collapsed="false">
      <c r="A8258" s="0" t="n">
        <v>2</v>
      </c>
      <c r="B8258" s="71" t="n">
        <v>46275</v>
      </c>
      <c r="C8258" s="0" t="n">
        <v>11</v>
      </c>
      <c r="D8258" s="0" t="s">
        <v>2471</v>
      </c>
      <c r="E8258" s="0" t="n">
        <v>1608</v>
      </c>
      <c r="F8258" s="0" t="s">
        <v>240</v>
      </c>
      <c r="I8258" s="0" t="n">
        <v>1726308</v>
      </c>
      <c r="J8258" s="0" t="n">
        <v>28034</v>
      </c>
      <c r="K8258" s="0" t="n">
        <v>7891079013069</v>
      </c>
      <c r="L8258" s="0" t="s">
        <v>3718</v>
      </c>
      <c r="N8258" s="0" t="n">
        <v>12</v>
      </c>
      <c r="O8258" s="0" t="n">
        <v>50.04</v>
      </c>
      <c r="P8258" s="0" t="s">
        <v>2444</v>
      </c>
    </row>
    <row r="8259" customFormat="false" ht="15" hidden="false" customHeight="true" outlineLevel="0" collapsed="false">
      <c r="A8259" s="0" t="n">
        <v>2</v>
      </c>
      <c r="B8259" s="71" t="n">
        <v>46275</v>
      </c>
      <c r="C8259" s="0" t="n">
        <v>11</v>
      </c>
      <c r="D8259" s="0" t="s">
        <v>2471</v>
      </c>
      <c r="E8259" s="0" t="n">
        <v>1608</v>
      </c>
      <c r="F8259" s="0" t="s">
        <v>240</v>
      </c>
      <c r="I8259" s="0" t="n">
        <v>1726308</v>
      </c>
      <c r="J8259" s="0" t="n">
        <v>28035</v>
      </c>
      <c r="K8259" s="0" t="n">
        <v>7891079013052</v>
      </c>
      <c r="L8259" s="0" t="s">
        <v>3719</v>
      </c>
      <c r="N8259" s="0" t="n">
        <v>48</v>
      </c>
      <c r="O8259" s="0" t="n">
        <v>200.16</v>
      </c>
      <c r="P8259" s="0" t="s">
        <v>2444</v>
      </c>
    </row>
    <row r="8260" customFormat="false" ht="15" hidden="false" customHeight="true" outlineLevel="0" collapsed="false">
      <c r="A8260" s="0" t="n">
        <v>2</v>
      </c>
      <c r="B8260" s="71" t="n">
        <v>46275</v>
      </c>
      <c r="C8260" s="0" t="n">
        <v>11</v>
      </c>
      <c r="D8260" s="0" t="s">
        <v>2471</v>
      </c>
      <c r="E8260" s="0" t="n">
        <v>1608</v>
      </c>
      <c r="F8260" s="0" t="s">
        <v>240</v>
      </c>
      <c r="I8260" s="0" t="n">
        <v>1726308</v>
      </c>
      <c r="J8260" s="0" t="n">
        <v>29473</v>
      </c>
      <c r="K8260" s="0" t="n">
        <v>7891079013090</v>
      </c>
      <c r="L8260" s="0" t="s">
        <v>5307</v>
      </c>
      <c r="N8260" s="0" t="n">
        <v>12</v>
      </c>
      <c r="O8260" s="0" t="n">
        <v>50.04</v>
      </c>
      <c r="P8260" s="0" t="s">
        <v>2444</v>
      </c>
    </row>
    <row r="8261" customFormat="false" ht="15" hidden="false" customHeight="true" outlineLevel="0" collapsed="false">
      <c r="A8261" s="0" t="n">
        <v>2</v>
      </c>
      <c r="B8261" s="71" t="n">
        <v>46275</v>
      </c>
      <c r="C8261" s="0" t="n">
        <v>11</v>
      </c>
      <c r="D8261" s="0" t="s">
        <v>2471</v>
      </c>
      <c r="E8261" s="0" t="n">
        <v>1608</v>
      </c>
      <c r="F8261" s="0" t="s">
        <v>240</v>
      </c>
      <c r="I8261" s="0" t="n">
        <v>1726308</v>
      </c>
      <c r="J8261" s="0" t="n">
        <v>29860</v>
      </c>
      <c r="K8261" s="0" t="n">
        <v>7896009301193</v>
      </c>
      <c r="L8261" s="0" t="s">
        <v>5308</v>
      </c>
      <c r="N8261" s="0" t="n">
        <v>24</v>
      </c>
      <c r="O8261" s="0" t="n">
        <v>166.32</v>
      </c>
      <c r="P8261" s="0" t="s">
        <v>2444</v>
      </c>
    </row>
    <row r="8262" customFormat="false" ht="15" hidden="false" customHeight="true" outlineLevel="0" collapsed="false">
      <c r="A8262" s="0" t="n">
        <v>2</v>
      </c>
      <c r="B8262" s="71" t="n">
        <v>46275</v>
      </c>
      <c r="C8262" s="0" t="n">
        <v>11</v>
      </c>
      <c r="D8262" s="0" t="s">
        <v>2471</v>
      </c>
      <c r="E8262" s="0" t="n">
        <v>1608</v>
      </c>
      <c r="F8262" s="0" t="s">
        <v>240</v>
      </c>
      <c r="I8262" s="0" t="n">
        <v>1726308</v>
      </c>
      <c r="J8262" s="0" t="n">
        <v>30992</v>
      </c>
      <c r="K8262" s="0" t="n">
        <v>7891079013427</v>
      </c>
      <c r="L8262" s="0" t="s">
        <v>5309</v>
      </c>
      <c r="N8262" s="0" t="n">
        <v>6</v>
      </c>
      <c r="O8262" s="0" t="n">
        <v>25.02</v>
      </c>
      <c r="P8262" s="0" t="s">
        <v>2444</v>
      </c>
    </row>
    <row r="8263" customFormat="false" ht="15" hidden="false" customHeight="true" outlineLevel="0" collapsed="false">
      <c r="A8263" s="0" t="n">
        <v>2</v>
      </c>
      <c r="B8263" s="71" t="n">
        <v>46275</v>
      </c>
      <c r="C8263" s="0" t="n">
        <v>11</v>
      </c>
      <c r="D8263" s="0" t="s">
        <v>2471</v>
      </c>
      <c r="E8263" s="0" t="n">
        <v>1608</v>
      </c>
      <c r="F8263" s="0" t="s">
        <v>240</v>
      </c>
      <c r="I8263" s="0" t="n">
        <v>1726308</v>
      </c>
      <c r="J8263" s="0" t="n">
        <v>34732</v>
      </c>
      <c r="K8263" s="0" t="n">
        <v>7896009301186</v>
      </c>
      <c r="L8263" s="0" t="s">
        <v>5310</v>
      </c>
      <c r="N8263" s="0" t="n">
        <v>6</v>
      </c>
      <c r="O8263" s="0" t="n">
        <v>41.58</v>
      </c>
      <c r="P8263" s="0" t="s">
        <v>2444</v>
      </c>
    </row>
    <row r="8264" customFormat="false" ht="15" hidden="false" customHeight="true" outlineLevel="0" collapsed="false">
      <c r="A8264" s="0" t="n">
        <v>2</v>
      </c>
      <c r="B8264" s="71" t="n">
        <v>46275</v>
      </c>
      <c r="C8264" s="0" t="n">
        <v>11</v>
      </c>
      <c r="D8264" s="0" t="s">
        <v>2471</v>
      </c>
      <c r="E8264" s="0" t="n">
        <v>1608</v>
      </c>
      <c r="F8264" s="0" t="s">
        <v>240</v>
      </c>
      <c r="I8264" s="0" t="n">
        <v>1726308</v>
      </c>
      <c r="J8264" s="0" t="n">
        <v>37391</v>
      </c>
      <c r="K8264" s="0" t="n">
        <v>7896114901738</v>
      </c>
      <c r="L8264" s="0" t="s">
        <v>5311</v>
      </c>
      <c r="N8264" s="0" t="n">
        <v>24</v>
      </c>
      <c r="O8264" s="0" t="n">
        <v>142.56</v>
      </c>
      <c r="P8264" s="0" t="s">
        <v>2444</v>
      </c>
    </row>
    <row r="8265" customFormat="false" ht="15" hidden="false" customHeight="true" outlineLevel="0" collapsed="false">
      <c r="A8265" s="0" t="n">
        <v>2</v>
      </c>
      <c r="B8265" s="71" t="n">
        <v>46275</v>
      </c>
      <c r="C8265" s="0" t="n">
        <v>11</v>
      </c>
      <c r="D8265" s="0" t="s">
        <v>2471</v>
      </c>
      <c r="E8265" s="0" t="n">
        <v>1608</v>
      </c>
      <c r="F8265" s="0" t="s">
        <v>240</v>
      </c>
      <c r="I8265" s="0" t="n">
        <v>1726308</v>
      </c>
      <c r="J8265" s="0" t="n">
        <v>61507</v>
      </c>
      <c r="K8265" s="0" t="n">
        <v>7891079014028</v>
      </c>
      <c r="L8265" s="0" t="s">
        <v>4620</v>
      </c>
      <c r="N8265" s="0" t="n">
        <v>25</v>
      </c>
      <c r="O8265" s="0" t="n">
        <v>52</v>
      </c>
      <c r="P8265" s="0" t="s">
        <v>2444</v>
      </c>
    </row>
    <row r="8266" customFormat="false" ht="15" hidden="false" customHeight="true" outlineLevel="0" collapsed="false">
      <c r="A8266" s="0" t="n">
        <v>2</v>
      </c>
      <c r="B8266" s="71" t="n">
        <v>46275</v>
      </c>
      <c r="C8266" s="0" t="n">
        <v>11</v>
      </c>
      <c r="D8266" s="0" t="s">
        <v>2471</v>
      </c>
      <c r="E8266" s="0" t="n">
        <v>1608</v>
      </c>
      <c r="F8266" s="0" t="s">
        <v>240</v>
      </c>
      <c r="I8266" s="0" t="n">
        <v>1726308</v>
      </c>
      <c r="J8266" s="0" t="n">
        <v>61853</v>
      </c>
      <c r="K8266" s="0" t="n">
        <v>7896071030021</v>
      </c>
      <c r="L8266" s="0" t="s">
        <v>5312</v>
      </c>
      <c r="N8266" s="0" t="n">
        <v>32</v>
      </c>
      <c r="O8266" s="0" t="n">
        <v>164.48</v>
      </c>
      <c r="P8266" s="0" t="s">
        <v>2444</v>
      </c>
    </row>
    <row r="8267" customFormat="false" ht="15" hidden="false" customHeight="true" outlineLevel="0" collapsed="false">
      <c r="A8267" s="0" t="n">
        <v>2</v>
      </c>
      <c r="B8267" s="71" t="n">
        <v>46275</v>
      </c>
      <c r="C8267" s="0" t="n">
        <v>11</v>
      </c>
      <c r="D8267" s="0" t="s">
        <v>2471</v>
      </c>
      <c r="E8267" s="0" t="n">
        <v>1608</v>
      </c>
      <c r="F8267" s="0" t="s">
        <v>240</v>
      </c>
      <c r="I8267" s="0" t="n">
        <v>1726308</v>
      </c>
      <c r="J8267" s="0" t="n">
        <v>62566</v>
      </c>
      <c r="K8267" s="0" t="n">
        <v>7896071030007</v>
      </c>
      <c r="L8267" s="0" t="s">
        <v>5313</v>
      </c>
      <c r="N8267" s="0" t="n">
        <v>32</v>
      </c>
      <c r="O8267" s="0" t="n">
        <v>164.48</v>
      </c>
      <c r="P8267" s="0" t="s">
        <v>2444</v>
      </c>
    </row>
    <row r="8268" customFormat="false" ht="15" hidden="false" customHeight="true" outlineLevel="0" collapsed="false">
      <c r="A8268" s="0" t="n">
        <v>2</v>
      </c>
      <c r="B8268" s="71" t="n">
        <v>46275</v>
      </c>
      <c r="C8268" s="0" t="n">
        <v>11</v>
      </c>
      <c r="D8268" s="0" t="s">
        <v>2471</v>
      </c>
      <c r="E8268" s="0" t="n">
        <v>1608</v>
      </c>
      <c r="F8268" s="0" t="s">
        <v>240</v>
      </c>
      <c r="I8268" s="0" t="n">
        <v>1726308</v>
      </c>
      <c r="J8268" s="0" t="n">
        <v>62567</v>
      </c>
      <c r="K8268" s="0" t="n">
        <v>7896071030014</v>
      </c>
      <c r="L8268" s="0" t="s">
        <v>5314</v>
      </c>
      <c r="N8268" s="0" t="n">
        <v>32</v>
      </c>
      <c r="O8268" s="0" t="n">
        <v>164.48</v>
      </c>
      <c r="P8268" s="0" t="s">
        <v>2444</v>
      </c>
    </row>
    <row r="8269" customFormat="false" ht="15" hidden="false" customHeight="true" outlineLevel="0" collapsed="false">
      <c r="A8269" s="0" t="n">
        <v>2</v>
      </c>
      <c r="B8269" s="71" t="n">
        <v>46275</v>
      </c>
      <c r="C8269" s="0" t="n">
        <v>11</v>
      </c>
      <c r="D8269" s="0" t="s">
        <v>2471</v>
      </c>
      <c r="E8269" s="0" t="n">
        <v>1608</v>
      </c>
      <c r="F8269" s="0" t="s">
        <v>240</v>
      </c>
      <c r="I8269" s="0" t="n">
        <v>1726308</v>
      </c>
      <c r="J8269" s="0" t="n">
        <v>62697</v>
      </c>
      <c r="K8269" s="0" t="n">
        <v>7896071030038</v>
      </c>
      <c r="L8269" s="0" t="s">
        <v>5315</v>
      </c>
      <c r="N8269" s="0" t="n">
        <v>16</v>
      </c>
      <c r="O8269" s="0" t="n">
        <v>82.24</v>
      </c>
      <c r="P8269" s="0" t="s">
        <v>2444</v>
      </c>
    </row>
    <row r="8270" customFormat="false" ht="15" hidden="false" customHeight="true" outlineLevel="0" collapsed="false">
      <c r="A8270" s="0" t="n">
        <v>2</v>
      </c>
      <c r="B8270" s="71" t="n">
        <v>46275</v>
      </c>
      <c r="C8270" s="0" t="n">
        <v>11</v>
      </c>
      <c r="D8270" s="0" t="s">
        <v>2471</v>
      </c>
      <c r="E8270" s="0" t="n">
        <v>1608</v>
      </c>
      <c r="F8270" s="0" t="s">
        <v>240</v>
      </c>
      <c r="I8270" s="0" t="n">
        <v>1726308</v>
      </c>
      <c r="J8270" s="0" t="n">
        <v>66635</v>
      </c>
      <c r="K8270" s="0" t="n">
        <v>7891910030330</v>
      </c>
      <c r="L8270" s="0" t="s">
        <v>3721</v>
      </c>
      <c r="N8270" s="0" t="n">
        <v>10</v>
      </c>
      <c r="O8270" s="0" t="n">
        <v>80.5</v>
      </c>
      <c r="P8270" s="0" t="s">
        <v>2444</v>
      </c>
    </row>
    <row r="8271" customFormat="false" ht="15" hidden="false" customHeight="true" outlineLevel="0" collapsed="false">
      <c r="A8271" s="0" t="n">
        <v>2</v>
      </c>
      <c r="B8271" s="71" t="n">
        <v>46275</v>
      </c>
      <c r="C8271" s="0" t="n">
        <v>11</v>
      </c>
      <c r="D8271" s="0" t="s">
        <v>2471</v>
      </c>
      <c r="E8271" s="0" t="n">
        <v>1608</v>
      </c>
      <c r="F8271" s="0" t="s">
        <v>240</v>
      </c>
      <c r="I8271" s="0" t="n">
        <v>1726308</v>
      </c>
      <c r="J8271" s="0" t="n">
        <v>71873</v>
      </c>
      <c r="K8271" s="0" t="n">
        <v>7891079013984</v>
      </c>
      <c r="L8271" s="0" t="s">
        <v>5316</v>
      </c>
      <c r="N8271" s="0" t="n">
        <v>12</v>
      </c>
      <c r="O8271" s="0" t="n">
        <v>50.04</v>
      </c>
      <c r="P8271" s="0" t="s">
        <v>2444</v>
      </c>
    </row>
    <row r="8272" customFormat="false" ht="15" hidden="false" customHeight="true" outlineLevel="0" collapsed="false">
      <c r="A8272" s="0" t="n">
        <v>2</v>
      </c>
      <c r="B8272" s="71" t="n">
        <v>46275</v>
      </c>
      <c r="C8272" s="0" t="n">
        <v>11</v>
      </c>
      <c r="D8272" s="0" t="s">
        <v>2471</v>
      </c>
      <c r="E8272" s="0" t="n">
        <v>1608</v>
      </c>
      <c r="F8272" s="0" t="s">
        <v>240</v>
      </c>
      <c r="I8272" s="0" t="n">
        <v>1726308</v>
      </c>
      <c r="J8272" s="0" t="n">
        <v>75714</v>
      </c>
      <c r="K8272" s="0" t="n">
        <v>7891079014233</v>
      </c>
      <c r="L8272" s="0" t="s">
        <v>4621</v>
      </c>
      <c r="N8272" s="0" t="n">
        <v>12</v>
      </c>
      <c r="O8272" s="0" t="n">
        <v>50.04</v>
      </c>
      <c r="P8272" s="0" t="s">
        <v>2444</v>
      </c>
    </row>
    <row r="8273" customFormat="false" ht="15" hidden="false" customHeight="true" outlineLevel="0" collapsed="false">
      <c r="A8273" s="0" t="n">
        <v>2</v>
      </c>
      <c r="B8273" s="71" t="n">
        <v>46275</v>
      </c>
      <c r="C8273" s="0" t="n">
        <v>11</v>
      </c>
      <c r="D8273" s="0" t="s">
        <v>2471</v>
      </c>
      <c r="E8273" s="0" t="n">
        <v>1608</v>
      </c>
      <c r="F8273" s="0" t="s">
        <v>240</v>
      </c>
      <c r="I8273" s="0" t="n">
        <v>1726308</v>
      </c>
      <c r="J8273" s="0" t="n">
        <v>76679</v>
      </c>
      <c r="K8273" s="0" t="n">
        <v>7891079014295</v>
      </c>
      <c r="L8273" s="0" t="s">
        <v>4622</v>
      </c>
      <c r="N8273" s="0" t="n">
        <v>8</v>
      </c>
      <c r="O8273" s="0" t="n">
        <v>16.64</v>
      </c>
      <c r="P8273" s="0" t="s">
        <v>2444</v>
      </c>
    </row>
    <row r="8274" customFormat="false" ht="15" hidden="false" customHeight="true" outlineLevel="0" collapsed="false">
      <c r="A8274" s="0" t="n">
        <v>2</v>
      </c>
      <c r="B8274" s="71" t="n">
        <v>46275</v>
      </c>
      <c r="C8274" s="0" t="n">
        <v>11</v>
      </c>
      <c r="D8274" s="0" t="s">
        <v>2471</v>
      </c>
      <c r="E8274" s="0" t="n">
        <v>1608</v>
      </c>
      <c r="F8274" s="0" t="s">
        <v>240</v>
      </c>
      <c r="I8274" s="0" t="n">
        <v>1726860</v>
      </c>
      <c r="J8274" s="0" t="n">
        <v>50232</v>
      </c>
      <c r="K8274" s="0" t="n">
        <v>7891025123057</v>
      </c>
      <c r="L8274" s="0" t="s">
        <v>2639</v>
      </c>
      <c r="N8274" s="0" t="n">
        <v>6</v>
      </c>
      <c r="O8274" s="0" t="n">
        <v>15.78</v>
      </c>
      <c r="P8274" s="0" t="s">
        <v>2444</v>
      </c>
    </row>
    <row r="8275" customFormat="false" ht="15" hidden="false" customHeight="true" outlineLevel="0" collapsed="false">
      <c r="A8275" s="0" t="n">
        <v>2</v>
      </c>
      <c r="B8275" s="71" t="n">
        <v>46275</v>
      </c>
      <c r="C8275" s="0" t="n">
        <v>11</v>
      </c>
      <c r="D8275" s="0" t="s">
        <v>2471</v>
      </c>
      <c r="E8275" s="0" t="n">
        <v>1608</v>
      </c>
      <c r="F8275" s="0" t="s">
        <v>240</v>
      </c>
      <c r="I8275" s="0" t="n">
        <v>1726860</v>
      </c>
      <c r="J8275" s="0" t="n">
        <v>18949</v>
      </c>
      <c r="K8275" s="0" t="n">
        <v>7891025699880</v>
      </c>
      <c r="L8275" s="0" t="s">
        <v>2640</v>
      </c>
      <c r="N8275" s="0" t="n">
        <v>3</v>
      </c>
      <c r="O8275" s="0" t="n">
        <v>26.67</v>
      </c>
      <c r="P8275" s="0" t="s">
        <v>2444</v>
      </c>
    </row>
    <row r="8276" customFormat="false" ht="15" hidden="false" customHeight="true" outlineLevel="0" collapsed="false">
      <c r="A8276" s="0" t="n">
        <v>2</v>
      </c>
      <c r="B8276" s="71" t="n">
        <v>46275</v>
      </c>
      <c r="C8276" s="0" t="n">
        <v>11</v>
      </c>
      <c r="D8276" s="0" t="s">
        <v>2471</v>
      </c>
      <c r="E8276" s="0" t="n">
        <v>1608</v>
      </c>
      <c r="F8276" s="0" t="s">
        <v>240</v>
      </c>
      <c r="I8276" s="0" t="n">
        <v>1726860</v>
      </c>
      <c r="J8276" s="0" t="n">
        <v>19906</v>
      </c>
      <c r="K8276" s="0" t="n">
        <v>7898553442933</v>
      </c>
      <c r="L8276" s="0" t="s">
        <v>2982</v>
      </c>
      <c r="N8276" s="0" t="n">
        <v>6</v>
      </c>
      <c r="O8276" s="0" t="n">
        <v>62.88</v>
      </c>
      <c r="P8276" s="0" t="s">
        <v>2444</v>
      </c>
    </row>
    <row r="8277" customFormat="false" ht="15" hidden="false" customHeight="true" outlineLevel="0" collapsed="false">
      <c r="A8277" s="0" t="n">
        <v>2</v>
      </c>
      <c r="B8277" s="71" t="n">
        <v>46275</v>
      </c>
      <c r="C8277" s="0" t="n">
        <v>11</v>
      </c>
      <c r="D8277" s="0" t="s">
        <v>2471</v>
      </c>
      <c r="E8277" s="0" t="n">
        <v>1608</v>
      </c>
      <c r="F8277" s="0" t="s">
        <v>240</v>
      </c>
      <c r="I8277" s="0" t="n">
        <v>1726860</v>
      </c>
      <c r="J8277" s="0" t="n">
        <v>24832</v>
      </c>
      <c r="K8277" s="0" t="n">
        <v>7891025109891</v>
      </c>
      <c r="L8277" s="0" t="s">
        <v>2646</v>
      </c>
      <c r="N8277" s="0" t="n">
        <v>3</v>
      </c>
      <c r="O8277" s="0" t="n">
        <v>22.23</v>
      </c>
      <c r="P8277" s="0" t="s">
        <v>2444</v>
      </c>
    </row>
    <row r="8278" customFormat="false" ht="15" hidden="false" customHeight="true" outlineLevel="0" collapsed="false">
      <c r="A8278" s="0" t="n">
        <v>2</v>
      </c>
      <c r="B8278" s="71" t="n">
        <v>46275</v>
      </c>
      <c r="C8278" s="0" t="n">
        <v>11</v>
      </c>
      <c r="D8278" s="0" t="s">
        <v>2471</v>
      </c>
      <c r="E8278" s="0" t="n">
        <v>1608</v>
      </c>
      <c r="F8278" s="0" t="s">
        <v>240</v>
      </c>
      <c r="I8278" s="0" t="n">
        <v>1726860</v>
      </c>
      <c r="J8278" s="0" t="n">
        <v>32614</v>
      </c>
      <c r="K8278" s="0" t="n">
        <v>7891025119456</v>
      </c>
      <c r="L8278" s="0" t="s">
        <v>2650</v>
      </c>
      <c r="N8278" s="0" t="n">
        <v>12</v>
      </c>
      <c r="O8278" s="0" t="n">
        <v>37.68</v>
      </c>
      <c r="P8278" s="0" t="s">
        <v>2444</v>
      </c>
    </row>
    <row r="8279" customFormat="false" ht="15" hidden="false" customHeight="true" outlineLevel="0" collapsed="false">
      <c r="A8279" s="0" t="n">
        <v>2</v>
      </c>
      <c r="B8279" s="71" t="n">
        <v>46275</v>
      </c>
      <c r="C8279" s="0" t="n">
        <v>11</v>
      </c>
      <c r="D8279" s="0" t="s">
        <v>2471</v>
      </c>
      <c r="E8279" s="0" t="n">
        <v>1608</v>
      </c>
      <c r="F8279" s="0" t="s">
        <v>240</v>
      </c>
      <c r="I8279" s="0" t="n">
        <v>1726860</v>
      </c>
      <c r="J8279" s="0" t="n">
        <v>35395</v>
      </c>
      <c r="K8279" s="0" t="n">
        <v>7891025119852</v>
      </c>
      <c r="L8279" s="0" t="s">
        <v>2987</v>
      </c>
      <c r="N8279" s="0" t="n">
        <v>2</v>
      </c>
      <c r="O8279" s="0" t="n">
        <v>25.62</v>
      </c>
      <c r="P8279" s="0" t="s">
        <v>2444</v>
      </c>
    </row>
    <row r="8280" customFormat="false" ht="15" hidden="false" customHeight="true" outlineLevel="0" collapsed="false">
      <c r="A8280" s="0" t="n">
        <v>2</v>
      </c>
      <c r="B8280" s="71" t="n">
        <v>46275</v>
      </c>
      <c r="C8280" s="0" t="n">
        <v>11</v>
      </c>
      <c r="D8280" s="0" t="s">
        <v>2471</v>
      </c>
      <c r="E8280" s="0" t="n">
        <v>1608</v>
      </c>
      <c r="F8280" s="0" t="s">
        <v>240</v>
      </c>
      <c r="I8280" s="0" t="n">
        <v>1726860</v>
      </c>
      <c r="J8280" s="0" t="n">
        <v>35842</v>
      </c>
      <c r="K8280" s="0" t="n">
        <v>7891025120230</v>
      </c>
      <c r="L8280" s="0" t="s">
        <v>2522</v>
      </c>
      <c r="N8280" s="0" t="n">
        <v>6</v>
      </c>
      <c r="O8280" s="0" t="n">
        <v>22.8</v>
      </c>
      <c r="P8280" s="0" t="s">
        <v>2444</v>
      </c>
    </row>
    <row r="8281" customFormat="false" ht="15" hidden="false" customHeight="true" outlineLevel="0" collapsed="false">
      <c r="A8281" s="0" t="n">
        <v>2</v>
      </c>
      <c r="B8281" s="71" t="n">
        <v>46275</v>
      </c>
      <c r="C8281" s="0" t="n">
        <v>11</v>
      </c>
      <c r="D8281" s="0" t="s">
        <v>2471</v>
      </c>
      <c r="E8281" s="0" t="n">
        <v>1608</v>
      </c>
      <c r="F8281" s="0" t="s">
        <v>240</v>
      </c>
      <c r="I8281" s="0" t="n">
        <v>1726860</v>
      </c>
      <c r="J8281" s="0" t="n">
        <v>37980</v>
      </c>
      <c r="K8281" s="0" t="n">
        <v>7891025121640</v>
      </c>
      <c r="L8281" s="0" t="s">
        <v>2989</v>
      </c>
      <c r="N8281" s="0" t="n">
        <v>6</v>
      </c>
      <c r="O8281" s="0" t="n">
        <v>44.16</v>
      </c>
      <c r="P8281" s="0" t="s">
        <v>2444</v>
      </c>
    </row>
    <row r="8282" customFormat="false" ht="15" hidden="false" customHeight="true" outlineLevel="0" collapsed="false">
      <c r="A8282" s="0" t="n">
        <v>2</v>
      </c>
      <c r="B8282" s="71" t="n">
        <v>46275</v>
      </c>
      <c r="C8282" s="0" t="n">
        <v>11</v>
      </c>
      <c r="D8282" s="0" t="s">
        <v>2471</v>
      </c>
      <c r="E8282" s="0" t="n">
        <v>1608</v>
      </c>
      <c r="F8282" s="0" t="s">
        <v>240</v>
      </c>
      <c r="I8282" s="0" t="n">
        <v>1726860</v>
      </c>
      <c r="J8282" s="0" t="n">
        <v>48139</v>
      </c>
      <c r="K8282" s="0" t="n">
        <v>7891025122067</v>
      </c>
      <c r="L8282" s="0" t="s">
        <v>2524</v>
      </c>
      <c r="N8282" s="0" t="n">
        <v>6</v>
      </c>
      <c r="O8282" s="0" t="n">
        <v>43.92</v>
      </c>
      <c r="P8282" s="0" t="s">
        <v>2444</v>
      </c>
    </row>
    <row r="8283" customFormat="false" ht="15" hidden="false" customHeight="true" outlineLevel="0" collapsed="false">
      <c r="A8283" s="0" t="n">
        <v>2</v>
      </c>
      <c r="B8283" s="71" t="n">
        <v>46275</v>
      </c>
      <c r="C8283" s="0" t="n">
        <v>11</v>
      </c>
      <c r="D8283" s="0" t="s">
        <v>2471</v>
      </c>
      <c r="E8283" s="0" t="n">
        <v>1608</v>
      </c>
      <c r="F8283" s="0" t="s">
        <v>240</v>
      </c>
      <c r="I8283" s="0" t="n">
        <v>1726860</v>
      </c>
      <c r="J8283" s="0" t="n">
        <v>80681</v>
      </c>
      <c r="K8283" s="0" t="n">
        <v>7891025125495</v>
      </c>
      <c r="L8283" s="0" t="s">
        <v>2532</v>
      </c>
      <c r="N8283" s="0" t="n">
        <v>6</v>
      </c>
      <c r="O8283" s="0" t="n">
        <v>17.04</v>
      </c>
      <c r="P8283" s="0" t="s">
        <v>2444</v>
      </c>
    </row>
    <row r="8284" customFormat="false" ht="15" hidden="false" customHeight="true" outlineLevel="0" collapsed="false">
      <c r="A8284" s="0" t="n">
        <v>2</v>
      </c>
      <c r="B8284" s="71" t="n">
        <v>46275</v>
      </c>
      <c r="C8284" s="0" t="n">
        <v>11</v>
      </c>
      <c r="D8284" s="0" t="s">
        <v>2471</v>
      </c>
      <c r="E8284" s="0" t="n">
        <v>1637</v>
      </c>
      <c r="F8284" s="0" t="s">
        <v>871</v>
      </c>
      <c r="I8284" s="0" t="n">
        <v>1930761</v>
      </c>
      <c r="J8284" s="0" t="n">
        <v>50153</v>
      </c>
      <c r="K8284" s="0" t="n">
        <v>7896005403587</v>
      </c>
      <c r="L8284" s="0" t="s">
        <v>5317</v>
      </c>
      <c r="N8284" s="0" t="n">
        <v>24</v>
      </c>
      <c r="O8284" s="0" t="n">
        <v>102.96</v>
      </c>
      <c r="P8284" s="0" t="s">
        <v>2444</v>
      </c>
    </row>
    <row r="8285" customFormat="false" ht="15" hidden="false" customHeight="true" outlineLevel="0" collapsed="false">
      <c r="A8285" s="0" t="n">
        <v>2</v>
      </c>
      <c r="B8285" s="71" t="n">
        <v>46275</v>
      </c>
      <c r="C8285" s="0" t="n">
        <v>11</v>
      </c>
      <c r="D8285" s="0" t="s">
        <v>2471</v>
      </c>
      <c r="E8285" s="0" t="n">
        <v>1637</v>
      </c>
      <c r="F8285" s="0" t="s">
        <v>871</v>
      </c>
      <c r="I8285" s="0" t="n">
        <v>1930761</v>
      </c>
      <c r="J8285" s="0" t="n">
        <v>11460</v>
      </c>
      <c r="K8285" s="0" t="n">
        <v>7896005401200</v>
      </c>
      <c r="L8285" s="0" t="s">
        <v>3891</v>
      </c>
      <c r="N8285" s="0" t="n">
        <v>54</v>
      </c>
      <c r="O8285" s="0" t="n">
        <v>64.4</v>
      </c>
      <c r="P8285" s="0" t="s">
        <v>2444</v>
      </c>
    </row>
    <row r="8286" customFormat="false" ht="15" hidden="false" customHeight="true" outlineLevel="0" collapsed="false">
      <c r="A8286" s="0" t="n">
        <v>2</v>
      </c>
      <c r="B8286" s="71" t="n">
        <v>46275</v>
      </c>
      <c r="C8286" s="0" t="n">
        <v>11</v>
      </c>
      <c r="D8286" s="0" t="s">
        <v>2471</v>
      </c>
      <c r="E8286" s="0" t="n">
        <v>1637</v>
      </c>
      <c r="F8286" s="0" t="s">
        <v>871</v>
      </c>
      <c r="I8286" s="0" t="n">
        <v>1930761</v>
      </c>
      <c r="J8286" s="0" t="n">
        <v>29088</v>
      </c>
      <c r="K8286" s="0" t="n">
        <v>7896005401279</v>
      </c>
      <c r="L8286" s="0" t="s">
        <v>5318</v>
      </c>
      <c r="N8286" s="0" t="n">
        <v>24</v>
      </c>
      <c r="O8286" s="0" t="n">
        <v>102.96</v>
      </c>
      <c r="P8286" s="0" t="s">
        <v>2444</v>
      </c>
    </row>
    <row r="8287" customFormat="false" ht="15" hidden="false" customHeight="true" outlineLevel="0" collapsed="false">
      <c r="A8287" s="0" t="n">
        <v>2</v>
      </c>
      <c r="B8287" s="71" t="n">
        <v>46275</v>
      </c>
      <c r="C8287" s="0" t="n">
        <v>11</v>
      </c>
      <c r="D8287" s="0" t="s">
        <v>2471</v>
      </c>
      <c r="E8287" s="0" t="n">
        <v>1637</v>
      </c>
      <c r="F8287" s="0" t="s">
        <v>871</v>
      </c>
      <c r="I8287" s="0" t="n">
        <v>1930761</v>
      </c>
      <c r="J8287" s="0" t="n">
        <v>48216</v>
      </c>
      <c r="K8287" s="0" t="n">
        <v>7896005403518</v>
      </c>
      <c r="L8287" s="0" t="s">
        <v>5319</v>
      </c>
      <c r="N8287" s="0" t="n">
        <v>36</v>
      </c>
      <c r="O8287" s="0" t="n">
        <v>154.44</v>
      </c>
      <c r="P8287" s="0" t="s">
        <v>2444</v>
      </c>
    </row>
    <row r="8288" customFormat="false" ht="15" hidden="false" customHeight="true" outlineLevel="0" collapsed="false">
      <c r="A8288" s="0" t="n">
        <v>2</v>
      </c>
      <c r="B8288" s="71" t="n">
        <v>46275</v>
      </c>
      <c r="C8288" s="0" t="n">
        <v>11</v>
      </c>
      <c r="D8288" s="0" t="s">
        <v>2471</v>
      </c>
      <c r="E8288" s="0" t="n">
        <v>1637</v>
      </c>
      <c r="F8288" s="0" t="s">
        <v>871</v>
      </c>
      <c r="I8288" s="0" t="n">
        <v>1930761</v>
      </c>
      <c r="J8288" s="0" t="n">
        <v>48432</v>
      </c>
      <c r="K8288" s="0" t="n">
        <v>7896005403525</v>
      </c>
      <c r="L8288" s="0" t="s">
        <v>5320</v>
      </c>
      <c r="N8288" s="0" t="n">
        <v>12</v>
      </c>
      <c r="O8288" s="0" t="n">
        <v>51.48</v>
      </c>
      <c r="P8288" s="0" t="s">
        <v>2444</v>
      </c>
    </row>
    <row r="8289" customFormat="false" ht="15" hidden="false" customHeight="true" outlineLevel="0" collapsed="false">
      <c r="A8289" s="0" t="n">
        <v>2</v>
      </c>
      <c r="B8289" s="71" t="n">
        <v>46275</v>
      </c>
      <c r="C8289" s="0" t="n">
        <v>22</v>
      </c>
      <c r="D8289" s="0" t="s">
        <v>2479</v>
      </c>
      <c r="E8289" s="0" t="n">
        <v>48</v>
      </c>
      <c r="F8289" s="0" t="s">
        <v>153</v>
      </c>
      <c r="I8289" s="0" t="n">
        <v>2666</v>
      </c>
      <c r="J8289" s="0" t="n">
        <v>100000</v>
      </c>
      <c r="K8289" s="0" t="n">
        <v>1</v>
      </c>
      <c r="L8289" s="0" t="s">
        <v>2480</v>
      </c>
      <c r="N8289" s="0" t="n">
        <v>3.21</v>
      </c>
      <c r="O8289" s="0" t="n">
        <v>63.28</v>
      </c>
      <c r="P8289" s="0" t="s">
        <v>2444</v>
      </c>
    </row>
    <row r="8290" customFormat="false" ht="15" hidden="false" customHeight="true" outlineLevel="0" collapsed="false">
      <c r="A8290" s="0" t="n">
        <v>2</v>
      </c>
      <c r="B8290" s="71" t="n">
        <v>46275</v>
      </c>
      <c r="C8290" s="0" t="n">
        <v>22</v>
      </c>
      <c r="D8290" s="0" t="s">
        <v>2479</v>
      </c>
      <c r="E8290" s="0" t="n">
        <v>48</v>
      </c>
      <c r="F8290" s="0" t="s">
        <v>153</v>
      </c>
      <c r="I8290" s="0" t="n">
        <v>2666</v>
      </c>
      <c r="J8290" s="0" t="n">
        <v>100000</v>
      </c>
      <c r="K8290" s="0" t="n">
        <v>1</v>
      </c>
      <c r="L8290" s="0" t="s">
        <v>2480</v>
      </c>
      <c r="N8290" s="0" t="n">
        <v>2.488</v>
      </c>
      <c r="O8290" s="0" t="n">
        <v>45.9</v>
      </c>
      <c r="P8290" s="0" t="s">
        <v>2444</v>
      </c>
    </row>
    <row r="8291" customFormat="false" ht="15" hidden="false" customHeight="true" outlineLevel="0" collapsed="false">
      <c r="A8291" s="0" t="n">
        <v>2</v>
      </c>
      <c r="B8291" s="71" t="n">
        <v>46275</v>
      </c>
      <c r="C8291" s="0" t="n">
        <v>22</v>
      </c>
      <c r="D8291" s="0" t="s">
        <v>2479</v>
      </c>
      <c r="E8291" s="0" t="n">
        <v>48</v>
      </c>
      <c r="F8291" s="0" t="s">
        <v>153</v>
      </c>
      <c r="I8291" s="0" t="n">
        <v>2666</v>
      </c>
      <c r="J8291" s="0" t="n">
        <v>100001</v>
      </c>
      <c r="K8291" s="0" t="n">
        <v>2</v>
      </c>
      <c r="L8291" s="0" t="s">
        <v>2481</v>
      </c>
      <c r="N8291" s="0" t="n">
        <v>10.1</v>
      </c>
      <c r="O8291" s="0" t="n">
        <v>201.86</v>
      </c>
      <c r="P8291" s="0" t="s">
        <v>2444</v>
      </c>
    </row>
    <row r="8292" customFormat="false" ht="15" hidden="false" customHeight="true" outlineLevel="0" collapsed="false">
      <c r="A8292" s="0" t="n">
        <v>2</v>
      </c>
      <c r="B8292" s="71" t="n">
        <v>46275</v>
      </c>
      <c r="C8292" s="0" t="n">
        <v>22</v>
      </c>
      <c r="D8292" s="0" t="s">
        <v>2479</v>
      </c>
      <c r="E8292" s="0" t="n">
        <v>48</v>
      </c>
      <c r="F8292" s="0" t="s">
        <v>153</v>
      </c>
      <c r="I8292" s="0" t="n">
        <v>2666</v>
      </c>
      <c r="J8292" s="0" t="n">
        <v>100002</v>
      </c>
      <c r="K8292" s="0" t="n">
        <v>3</v>
      </c>
      <c r="L8292" s="0" t="s">
        <v>2482</v>
      </c>
      <c r="N8292" s="0" t="n">
        <v>21.73</v>
      </c>
      <c r="O8292" s="0" t="n">
        <v>501.14</v>
      </c>
      <c r="P8292" s="0" t="s">
        <v>2444</v>
      </c>
    </row>
    <row r="8293" customFormat="false" ht="15" hidden="false" customHeight="true" outlineLevel="0" collapsed="false">
      <c r="A8293" s="0" t="n">
        <v>2</v>
      </c>
      <c r="B8293" s="71" t="n">
        <v>46275</v>
      </c>
      <c r="C8293" s="0" t="n">
        <v>22</v>
      </c>
      <c r="D8293" s="0" t="s">
        <v>2479</v>
      </c>
      <c r="E8293" s="0" t="n">
        <v>48</v>
      </c>
      <c r="F8293" s="0" t="s">
        <v>153</v>
      </c>
      <c r="I8293" s="0" t="n">
        <v>2666</v>
      </c>
      <c r="J8293" s="0" t="n">
        <v>100003</v>
      </c>
      <c r="K8293" s="0" t="n">
        <v>4</v>
      </c>
      <c r="L8293" s="0" t="s">
        <v>2483</v>
      </c>
      <c r="N8293" s="0" t="n">
        <v>13.54</v>
      </c>
      <c r="O8293" s="0" t="n">
        <v>333.08</v>
      </c>
      <c r="P8293" s="0" t="s">
        <v>2444</v>
      </c>
    </row>
    <row r="8294" customFormat="false" ht="15" hidden="false" customHeight="true" outlineLevel="0" collapsed="false">
      <c r="A8294" s="0" t="n">
        <v>2</v>
      </c>
      <c r="B8294" s="71" t="n">
        <v>46275</v>
      </c>
      <c r="C8294" s="0" t="n">
        <v>22</v>
      </c>
      <c r="D8294" s="0" t="s">
        <v>2479</v>
      </c>
      <c r="E8294" s="0" t="n">
        <v>48</v>
      </c>
      <c r="F8294" s="0" t="s">
        <v>153</v>
      </c>
      <c r="I8294" s="0" t="n">
        <v>2666</v>
      </c>
      <c r="J8294" s="0" t="n">
        <v>100004</v>
      </c>
      <c r="K8294" s="0" t="n">
        <v>5</v>
      </c>
      <c r="L8294" s="0" t="s">
        <v>2484</v>
      </c>
      <c r="N8294" s="0" t="n">
        <v>0.69</v>
      </c>
      <c r="O8294" s="0" t="n">
        <v>14.85</v>
      </c>
      <c r="P8294" s="0" t="s">
        <v>2444</v>
      </c>
    </row>
    <row r="8295" customFormat="false" ht="15" hidden="false" customHeight="true" outlineLevel="0" collapsed="false">
      <c r="A8295" s="0" t="n">
        <v>2</v>
      </c>
      <c r="B8295" s="71" t="n">
        <v>46275</v>
      </c>
      <c r="C8295" s="0" t="n">
        <v>22</v>
      </c>
      <c r="D8295" s="0" t="s">
        <v>2479</v>
      </c>
      <c r="E8295" s="0" t="n">
        <v>48</v>
      </c>
      <c r="F8295" s="0" t="s">
        <v>153</v>
      </c>
      <c r="I8295" s="0" t="n">
        <v>2666</v>
      </c>
      <c r="J8295" s="0" t="n">
        <v>100006</v>
      </c>
      <c r="K8295" s="0" t="n">
        <v>7</v>
      </c>
      <c r="L8295" s="0" t="s">
        <v>2485</v>
      </c>
      <c r="N8295" s="0" t="n">
        <v>2.35</v>
      </c>
      <c r="O8295" s="0" t="n">
        <v>65.64</v>
      </c>
      <c r="P8295" s="0" t="s">
        <v>2444</v>
      </c>
    </row>
    <row r="8296" customFormat="false" ht="15" hidden="false" customHeight="true" outlineLevel="0" collapsed="false">
      <c r="A8296" s="0" t="n">
        <v>2</v>
      </c>
      <c r="B8296" s="71" t="n">
        <v>46275</v>
      </c>
      <c r="C8296" s="0" t="n">
        <v>22</v>
      </c>
      <c r="D8296" s="0" t="s">
        <v>2479</v>
      </c>
      <c r="E8296" s="0" t="n">
        <v>48</v>
      </c>
      <c r="F8296" s="0" t="s">
        <v>153</v>
      </c>
      <c r="I8296" s="0" t="n">
        <v>2666</v>
      </c>
      <c r="J8296" s="0" t="n">
        <v>100007</v>
      </c>
      <c r="K8296" s="0" t="n">
        <v>8</v>
      </c>
      <c r="L8296" s="0" t="s">
        <v>2486</v>
      </c>
      <c r="N8296" s="0" t="n">
        <v>4.31</v>
      </c>
      <c r="O8296" s="0" t="n">
        <v>99.4</v>
      </c>
      <c r="P8296" s="0" t="s">
        <v>2444</v>
      </c>
    </row>
    <row r="8297" customFormat="false" ht="15" hidden="false" customHeight="true" outlineLevel="0" collapsed="false">
      <c r="A8297" s="0" t="n">
        <v>2</v>
      </c>
      <c r="B8297" s="71" t="n">
        <v>46275</v>
      </c>
      <c r="C8297" s="0" t="n">
        <v>22</v>
      </c>
      <c r="D8297" s="0" t="s">
        <v>2479</v>
      </c>
      <c r="E8297" s="0" t="n">
        <v>48</v>
      </c>
      <c r="F8297" s="0" t="s">
        <v>153</v>
      </c>
      <c r="I8297" s="0" t="n">
        <v>2666</v>
      </c>
      <c r="J8297" s="0" t="n">
        <v>100007</v>
      </c>
      <c r="K8297" s="0" t="n">
        <v>8</v>
      </c>
      <c r="L8297" s="0" t="s">
        <v>2486</v>
      </c>
      <c r="N8297" s="0" t="n">
        <v>2.414</v>
      </c>
      <c r="O8297" s="0" t="n">
        <v>59.49</v>
      </c>
      <c r="P8297" s="0" t="s">
        <v>2444</v>
      </c>
    </row>
    <row r="8298" customFormat="false" ht="15" hidden="false" customHeight="true" outlineLevel="0" collapsed="false">
      <c r="A8298" s="0" t="n">
        <v>2</v>
      </c>
      <c r="B8298" s="71" t="n">
        <v>46275</v>
      </c>
      <c r="C8298" s="0" t="n">
        <v>22</v>
      </c>
      <c r="D8298" s="0" t="s">
        <v>2479</v>
      </c>
      <c r="E8298" s="0" t="n">
        <v>48</v>
      </c>
      <c r="F8298" s="0" t="s">
        <v>153</v>
      </c>
      <c r="I8298" s="0" t="n">
        <v>2666</v>
      </c>
      <c r="J8298" s="0" t="n">
        <v>100008</v>
      </c>
      <c r="K8298" s="0" t="n">
        <v>9</v>
      </c>
      <c r="L8298" s="0" t="s">
        <v>2487</v>
      </c>
      <c r="N8298" s="0" t="n">
        <v>18.1</v>
      </c>
      <c r="O8298" s="0" t="n">
        <v>579.96</v>
      </c>
      <c r="P8298" s="0" t="s">
        <v>2444</v>
      </c>
    </row>
    <row r="8299" customFormat="false" ht="15" hidden="false" customHeight="true" outlineLevel="0" collapsed="false">
      <c r="A8299" s="0" t="n">
        <v>2</v>
      </c>
      <c r="B8299" s="71" t="n">
        <v>46275</v>
      </c>
      <c r="C8299" s="0" t="n">
        <v>22</v>
      </c>
      <c r="D8299" s="0" t="s">
        <v>2479</v>
      </c>
      <c r="E8299" s="0" t="n">
        <v>48</v>
      </c>
      <c r="F8299" s="0" t="s">
        <v>153</v>
      </c>
      <c r="I8299" s="0" t="n">
        <v>2666</v>
      </c>
      <c r="J8299" s="0" t="n">
        <v>100011</v>
      </c>
      <c r="K8299" s="0" t="n">
        <v>12</v>
      </c>
      <c r="L8299" s="0" t="s">
        <v>2488</v>
      </c>
      <c r="N8299" s="0" t="n">
        <v>11.01</v>
      </c>
      <c r="O8299" s="0" t="n">
        <v>407.07</v>
      </c>
      <c r="P8299" s="0" t="s">
        <v>2444</v>
      </c>
    </row>
    <row r="8300" customFormat="false" ht="15" hidden="false" customHeight="true" outlineLevel="0" collapsed="false">
      <c r="A8300" s="0" t="n">
        <v>2</v>
      </c>
      <c r="B8300" s="71" t="n">
        <v>46275</v>
      </c>
      <c r="C8300" s="0" t="n">
        <v>22</v>
      </c>
      <c r="D8300" s="0" t="s">
        <v>2479</v>
      </c>
      <c r="E8300" s="0" t="n">
        <v>48</v>
      </c>
      <c r="F8300" s="0" t="s">
        <v>153</v>
      </c>
      <c r="I8300" s="0" t="n">
        <v>2666</v>
      </c>
      <c r="J8300" s="0" t="n">
        <v>100012</v>
      </c>
      <c r="K8300" s="0" t="n">
        <v>13</v>
      </c>
      <c r="L8300" s="0" t="s">
        <v>2489</v>
      </c>
      <c r="N8300" s="0" t="n">
        <v>5.892</v>
      </c>
      <c r="O8300" s="0" t="n">
        <v>242.05</v>
      </c>
      <c r="P8300" s="0" t="s">
        <v>2444</v>
      </c>
    </row>
    <row r="8301" customFormat="false" ht="15" hidden="false" customHeight="true" outlineLevel="0" collapsed="false">
      <c r="A8301" s="0" t="n">
        <v>2</v>
      </c>
      <c r="B8301" s="71" t="n">
        <v>46275</v>
      </c>
      <c r="C8301" s="0" t="n">
        <v>22</v>
      </c>
      <c r="D8301" s="0" t="s">
        <v>2479</v>
      </c>
      <c r="E8301" s="0" t="n">
        <v>48</v>
      </c>
      <c r="F8301" s="0" t="s">
        <v>153</v>
      </c>
      <c r="I8301" s="0" t="n">
        <v>2666</v>
      </c>
      <c r="J8301" s="0" t="n">
        <v>100013</v>
      </c>
      <c r="K8301" s="0" t="n">
        <v>14</v>
      </c>
      <c r="L8301" s="0" t="s">
        <v>2490</v>
      </c>
      <c r="N8301" s="0" t="n">
        <v>12.875</v>
      </c>
      <c r="O8301" s="0" t="n">
        <v>560.67</v>
      </c>
      <c r="P8301" s="0" t="s">
        <v>2444</v>
      </c>
    </row>
    <row r="8302" customFormat="false" ht="15" hidden="false" customHeight="true" outlineLevel="0" collapsed="false">
      <c r="A8302" s="0" t="n">
        <v>2</v>
      </c>
      <c r="B8302" s="71" t="n">
        <v>46275</v>
      </c>
      <c r="C8302" s="0" t="n">
        <v>22</v>
      </c>
      <c r="D8302" s="0" t="s">
        <v>2479</v>
      </c>
      <c r="E8302" s="0" t="n">
        <v>48</v>
      </c>
      <c r="F8302" s="0" t="s">
        <v>153</v>
      </c>
      <c r="I8302" s="0" t="n">
        <v>2666</v>
      </c>
      <c r="J8302" s="0" t="n">
        <v>100014</v>
      </c>
      <c r="K8302" s="0" t="n">
        <v>15</v>
      </c>
      <c r="L8302" s="0" t="s">
        <v>2491</v>
      </c>
      <c r="N8302" s="0" t="n">
        <v>5.32</v>
      </c>
      <c r="O8302" s="0" t="n">
        <v>236.04</v>
      </c>
      <c r="P8302" s="0" t="s">
        <v>2444</v>
      </c>
    </row>
    <row r="8303" customFormat="false" ht="15" hidden="false" customHeight="true" outlineLevel="0" collapsed="false">
      <c r="A8303" s="0" t="n">
        <v>2</v>
      </c>
      <c r="B8303" s="71" t="n">
        <v>46275</v>
      </c>
      <c r="C8303" s="0" t="n">
        <v>22</v>
      </c>
      <c r="D8303" s="0" t="s">
        <v>2479</v>
      </c>
      <c r="E8303" s="0" t="n">
        <v>48</v>
      </c>
      <c r="F8303" s="0" t="s">
        <v>153</v>
      </c>
      <c r="I8303" s="0" t="n">
        <v>2666</v>
      </c>
      <c r="J8303" s="0" t="n">
        <v>100015</v>
      </c>
      <c r="K8303" s="0" t="n">
        <v>16</v>
      </c>
      <c r="L8303" s="0" t="s">
        <v>2492</v>
      </c>
      <c r="N8303" s="0" t="n">
        <v>1.99</v>
      </c>
      <c r="O8303" s="0" t="n">
        <v>78.48</v>
      </c>
      <c r="P8303" s="0" t="s">
        <v>2444</v>
      </c>
    </row>
    <row r="8304" customFormat="false" ht="15" hidden="false" customHeight="true" outlineLevel="0" collapsed="false">
      <c r="A8304" s="0" t="n">
        <v>2</v>
      </c>
      <c r="B8304" s="71" t="n">
        <v>46275</v>
      </c>
      <c r="C8304" s="0" t="n">
        <v>22</v>
      </c>
      <c r="D8304" s="0" t="s">
        <v>2479</v>
      </c>
      <c r="E8304" s="0" t="n">
        <v>48</v>
      </c>
      <c r="F8304" s="0" t="s">
        <v>153</v>
      </c>
      <c r="I8304" s="0" t="n">
        <v>2666</v>
      </c>
      <c r="J8304" s="0" t="n">
        <v>100016</v>
      </c>
      <c r="K8304" s="0" t="n">
        <v>17</v>
      </c>
      <c r="L8304" s="0" t="s">
        <v>2493</v>
      </c>
      <c r="N8304" s="0" t="n">
        <v>2.734</v>
      </c>
      <c r="O8304" s="0" t="n">
        <v>134.79</v>
      </c>
      <c r="P8304" s="0" t="s">
        <v>2444</v>
      </c>
    </row>
    <row r="8305" customFormat="false" ht="15" hidden="false" customHeight="true" outlineLevel="0" collapsed="false">
      <c r="A8305" s="0" t="n">
        <v>2</v>
      </c>
      <c r="B8305" s="71" t="n">
        <v>46275</v>
      </c>
      <c r="C8305" s="0" t="n">
        <v>22</v>
      </c>
      <c r="D8305" s="0" t="s">
        <v>2479</v>
      </c>
      <c r="E8305" s="0" t="n">
        <v>48</v>
      </c>
      <c r="F8305" s="0" t="s">
        <v>153</v>
      </c>
      <c r="I8305" s="0" t="n">
        <v>2666</v>
      </c>
      <c r="J8305" s="0" t="n">
        <v>100017</v>
      </c>
      <c r="K8305" s="0" t="n">
        <v>18</v>
      </c>
      <c r="L8305" s="0" t="s">
        <v>2494</v>
      </c>
      <c r="N8305" s="0" t="n">
        <v>3.116</v>
      </c>
      <c r="O8305" s="0" t="n">
        <v>179.22</v>
      </c>
      <c r="P8305" s="0" t="s">
        <v>2444</v>
      </c>
    </row>
    <row r="8306" customFormat="false" ht="15" hidden="false" customHeight="true" outlineLevel="0" collapsed="false">
      <c r="A8306" s="0" t="n">
        <v>2</v>
      </c>
      <c r="B8306" s="71" t="n">
        <v>46275</v>
      </c>
      <c r="C8306" s="0" t="n">
        <v>22</v>
      </c>
      <c r="D8306" s="0" t="s">
        <v>2479</v>
      </c>
      <c r="E8306" s="0" t="n">
        <v>48</v>
      </c>
      <c r="F8306" s="0" t="s">
        <v>153</v>
      </c>
      <c r="I8306" s="0" t="n">
        <v>2666</v>
      </c>
      <c r="J8306" s="0" t="n">
        <v>100019</v>
      </c>
      <c r="K8306" s="0" t="n">
        <v>20</v>
      </c>
      <c r="L8306" s="0" t="s">
        <v>3779</v>
      </c>
      <c r="N8306" s="0" t="n">
        <v>3.586</v>
      </c>
      <c r="O8306" s="0" t="n">
        <v>115.79</v>
      </c>
      <c r="P8306" s="0" t="s">
        <v>2444</v>
      </c>
    </row>
    <row r="8307" customFormat="false" ht="15" hidden="false" customHeight="true" outlineLevel="0" collapsed="false">
      <c r="A8307" s="0" t="n">
        <v>2</v>
      </c>
      <c r="B8307" s="71" t="n">
        <v>46275</v>
      </c>
      <c r="C8307" s="0" t="n">
        <v>22</v>
      </c>
      <c r="D8307" s="0" t="s">
        <v>2479</v>
      </c>
      <c r="E8307" s="0" t="n">
        <v>48</v>
      </c>
      <c r="F8307" s="0" t="s">
        <v>153</v>
      </c>
      <c r="I8307" s="0" t="n">
        <v>2666</v>
      </c>
      <c r="J8307" s="0" t="n">
        <v>100053</v>
      </c>
      <c r="K8307" s="0" t="n">
        <v>54</v>
      </c>
      <c r="L8307" s="0" t="s">
        <v>2495</v>
      </c>
      <c r="N8307" s="0" t="n">
        <v>2.342</v>
      </c>
      <c r="O8307" s="0" t="n">
        <v>84.67</v>
      </c>
      <c r="P8307" s="0" t="s">
        <v>2444</v>
      </c>
    </row>
    <row r="8308" customFormat="false" ht="15" hidden="false" customHeight="true" outlineLevel="0" collapsed="false">
      <c r="A8308" s="0" t="n">
        <v>2</v>
      </c>
      <c r="B8308" s="71" t="n">
        <v>46275</v>
      </c>
      <c r="C8308" s="0" t="n">
        <v>22</v>
      </c>
      <c r="D8308" s="0" t="s">
        <v>2479</v>
      </c>
      <c r="E8308" s="0" t="n">
        <v>48</v>
      </c>
      <c r="F8308" s="0" t="s">
        <v>153</v>
      </c>
      <c r="I8308" s="0" t="n">
        <v>2666</v>
      </c>
      <c r="J8308" s="0" t="n">
        <v>100638</v>
      </c>
      <c r="K8308" s="0" t="n">
        <v>508</v>
      </c>
      <c r="L8308" s="0" t="s">
        <v>2496</v>
      </c>
      <c r="N8308" s="0" t="n">
        <v>0.9</v>
      </c>
      <c r="O8308" s="0" t="n">
        <v>2.21</v>
      </c>
      <c r="P8308" s="0" t="s">
        <v>2444</v>
      </c>
    </row>
    <row r="8309" customFormat="false" ht="15" hidden="false" customHeight="true" outlineLevel="0" collapsed="false">
      <c r="A8309" s="0" t="n">
        <v>2</v>
      </c>
      <c r="B8309" s="71" t="n">
        <v>46275</v>
      </c>
      <c r="C8309" s="0" t="n">
        <v>22</v>
      </c>
      <c r="D8309" s="0" t="s">
        <v>2479</v>
      </c>
      <c r="E8309" s="0" t="n">
        <v>48</v>
      </c>
      <c r="F8309" s="0" t="s">
        <v>153</v>
      </c>
      <c r="I8309" s="0" t="n">
        <v>2666</v>
      </c>
      <c r="J8309" s="0" t="n">
        <v>100638</v>
      </c>
      <c r="K8309" s="0" t="n">
        <v>508</v>
      </c>
      <c r="L8309" s="0" t="s">
        <v>2496</v>
      </c>
      <c r="N8309" s="0" t="n">
        <v>0.8</v>
      </c>
      <c r="O8309" s="0" t="n">
        <v>1.84</v>
      </c>
      <c r="P8309" s="0" t="s">
        <v>2444</v>
      </c>
    </row>
    <row r="8310" customFormat="false" ht="15" hidden="false" customHeight="true" outlineLevel="0" collapsed="false">
      <c r="A8310" s="0" t="n">
        <v>2</v>
      </c>
      <c r="B8310" s="71" t="n">
        <v>46275</v>
      </c>
      <c r="C8310" s="0" t="n">
        <v>22</v>
      </c>
      <c r="D8310" s="0" t="s">
        <v>2479</v>
      </c>
      <c r="E8310" s="0" t="n">
        <v>48</v>
      </c>
      <c r="F8310" s="0" t="s">
        <v>153</v>
      </c>
      <c r="I8310" s="0" t="n">
        <v>2666</v>
      </c>
      <c r="J8310" s="0" t="n">
        <v>110137</v>
      </c>
      <c r="K8310" s="0" t="n">
        <v>13899</v>
      </c>
      <c r="L8310" s="0" t="s">
        <v>3780</v>
      </c>
      <c r="N8310" s="0" t="n">
        <v>12.685</v>
      </c>
      <c r="O8310" s="0" t="n">
        <v>52.02</v>
      </c>
      <c r="P8310" s="0" t="s">
        <v>2444</v>
      </c>
    </row>
    <row r="8311" customFormat="false" ht="15" hidden="false" customHeight="true" outlineLevel="0" collapsed="false">
      <c r="A8311" s="0" t="n">
        <v>2</v>
      </c>
      <c r="B8311" s="71" t="n">
        <v>46275</v>
      </c>
      <c r="C8311" s="0" t="n">
        <v>22</v>
      </c>
      <c r="D8311" s="0" t="s">
        <v>2479</v>
      </c>
      <c r="E8311" s="0" t="n">
        <v>48</v>
      </c>
      <c r="F8311" s="0" t="s">
        <v>153</v>
      </c>
      <c r="I8311" s="0" t="n">
        <v>2666</v>
      </c>
      <c r="J8311" s="0" t="n">
        <v>110137</v>
      </c>
      <c r="K8311" s="0" t="n">
        <v>13899</v>
      </c>
      <c r="L8311" s="0" t="s">
        <v>3780</v>
      </c>
      <c r="N8311" s="0" t="n">
        <v>2.748</v>
      </c>
      <c r="O8311" s="0" t="n">
        <v>10.54</v>
      </c>
      <c r="P8311" s="0" t="s">
        <v>2444</v>
      </c>
    </row>
    <row r="8312" customFormat="false" ht="15" hidden="false" customHeight="true" outlineLevel="0" collapsed="false">
      <c r="A8312" s="0" t="n">
        <v>2</v>
      </c>
      <c r="B8312" s="71" t="n">
        <v>46275</v>
      </c>
      <c r="C8312" s="0" t="n">
        <v>22</v>
      </c>
      <c r="D8312" s="0" t="s">
        <v>2479</v>
      </c>
      <c r="E8312" s="0" t="n">
        <v>48</v>
      </c>
      <c r="F8312" s="0" t="s">
        <v>153</v>
      </c>
      <c r="I8312" s="0" t="n">
        <v>2666</v>
      </c>
      <c r="J8312" s="0" t="n">
        <v>110455</v>
      </c>
      <c r="K8312" s="0" t="n">
        <v>53212</v>
      </c>
      <c r="L8312" s="0" t="s">
        <v>2498</v>
      </c>
      <c r="N8312" s="0" t="n">
        <v>0.208</v>
      </c>
      <c r="O8312" s="0" t="n">
        <v>0</v>
      </c>
      <c r="P8312" s="0" t="s">
        <v>2444</v>
      </c>
    </row>
    <row r="8313" customFormat="false" ht="15" hidden="false" customHeight="true" outlineLevel="0" collapsed="false">
      <c r="A8313" s="0" t="n">
        <v>2</v>
      </c>
      <c r="B8313" s="71" t="n">
        <v>46275</v>
      </c>
      <c r="C8313" s="0" t="n">
        <v>22</v>
      </c>
      <c r="D8313" s="0" t="s">
        <v>2479</v>
      </c>
      <c r="E8313" s="0" t="n">
        <v>48</v>
      </c>
      <c r="F8313" s="0" t="s">
        <v>153</v>
      </c>
      <c r="I8313" s="0" t="n">
        <v>2666</v>
      </c>
      <c r="J8313" s="0" t="n">
        <v>110455</v>
      </c>
      <c r="K8313" s="0" t="n">
        <v>53212</v>
      </c>
      <c r="L8313" s="0" t="s">
        <v>2498</v>
      </c>
      <c r="N8313" s="0" t="n">
        <v>0.862</v>
      </c>
      <c r="O8313" s="0" t="n">
        <v>0.01</v>
      </c>
      <c r="P8313" s="0" t="s">
        <v>2444</v>
      </c>
    </row>
    <row r="8314" customFormat="false" ht="15" hidden="false" customHeight="true" outlineLevel="0" collapsed="false">
      <c r="A8314" s="0" t="n">
        <v>2</v>
      </c>
      <c r="B8314" s="71" t="n">
        <v>46275</v>
      </c>
      <c r="C8314" s="0" t="n">
        <v>39</v>
      </c>
      <c r="D8314" s="0" t="s">
        <v>3298</v>
      </c>
      <c r="E8314" s="0" t="n">
        <v>1835</v>
      </c>
      <c r="F8314" s="0" t="s">
        <v>2010</v>
      </c>
      <c r="I8314" s="0" t="n">
        <v>110466</v>
      </c>
      <c r="J8314" s="0" t="n">
        <v>68605</v>
      </c>
      <c r="K8314" s="0" t="n">
        <v>7898595333831</v>
      </c>
      <c r="L8314" s="0" t="s">
        <v>5321</v>
      </c>
      <c r="N8314" s="0" t="n">
        <v>2</v>
      </c>
      <c r="O8314" s="0" t="n">
        <v>174.02</v>
      </c>
      <c r="P8314" s="0" t="s">
        <v>2444</v>
      </c>
    </row>
    <row r="8315" customFormat="false" ht="15" hidden="false" customHeight="true" outlineLevel="0" collapsed="false">
      <c r="A8315" s="0" t="n">
        <v>2</v>
      </c>
      <c r="B8315" s="71" t="n">
        <v>46275</v>
      </c>
      <c r="C8315" s="0" t="n">
        <v>39</v>
      </c>
      <c r="D8315" s="0" t="s">
        <v>3298</v>
      </c>
      <c r="E8315" s="0" t="n">
        <v>1835</v>
      </c>
      <c r="F8315" s="0" t="s">
        <v>2010</v>
      </c>
      <c r="I8315" s="0" t="n">
        <v>110584</v>
      </c>
      <c r="J8315" s="0" t="n">
        <v>82218</v>
      </c>
      <c r="K8315" s="0" t="n">
        <v>7898708505735</v>
      </c>
      <c r="L8315" s="0" t="s">
        <v>5182</v>
      </c>
      <c r="N8315" s="0" t="n">
        <v>4</v>
      </c>
      <c r="O8315" s="0" t="n">
        <v>341.88</v>
      </c>
      <c r="P8315" s="0" t="s">
        <v>2444</v>
      </c>
    </row>
    <row r="8316" customFormat="false" ht="15" hidden="false" customHeight="true" outlineLevel="0" collapsed="false">
      <c r="A8316" s="0" t="n">
        <v>2</v>
      </c>
      <c r="B8316" s="71" t="n">
        <v>46275</v>
      </c>
      <c r="C8316" s="0" t="n">
        <v>39</v>
      </c>
      <c r="D8316" s="0" t="s">
        <v>3298</v>
      </c>
      <c r="E8316" s="0" t="n">
        <v>1835</v>
      </c>
      <c r="F8316" s="0" t="s">
        <v>2010</v>
      </c>
      <c r="I8316" s="0" t="n">
        <v>110584</v>
      </c>
      <c r="J8316" s="0" t="n">
        <v>82293</v>
      </c>
      <c r="K8316" s="0" t="n">
        <v>7891323087969</v>
      </c>
      <c r="L8316" s="0" t="s">
        <v>5322</v>
      </c>
      <c r="N8316" s="0" t="n">
        <v>1</v>
      </c>
      <c r="O8316" s="0" t="n">
        <v>169.81</v>
      </c>
      <c r="P8316" s="0" t="s">
        <v>2444</v>
      </c>
    </row>
    <row r="8317" customFormat="false" ht="15" hidden="false" customHeight="true" outlineLevel="0" collapsed="false">
      <c r="A8317" s="0" t="n">
        <v>2</v>
      </c>
      <c r="B8317" s="71" t="n">
        <v>46275</v>
      </c>
      <c r="C8317" s="0" t="n">
        <v>39</v>
      </c>
      <c r="D8317" s="0" t="s">
        <v>3298</v>
      </c>
      <c r="E8317" s="0" t="n">
        <v>1835</v>
      </c>
      <c r="F8317" s="0" t="s">
        <v>2010</v>
      </c>
      <c r="I8317" s="0" t="n">
        <v>110584</v>
      </c>
      <c r="J8317" s="0" t="n">
        <v>82294</v>
      </c>
      <c r="K8317" s="0" t="n">
        <v>7896587022206</v>
      </c>
      <c r="L8317" s="0" t="s">
        <v>5323</v>
      </c>
      <c r="N8317" s="0" t="n">
        <v>2</v>
      </c>
      <c r="O8317" s="0" t="n">
        <v>213.78</v>
      </c>
      <c r="P8317" s="0" t="s">
        <v>2444</v>
      </c>
    </row>
    <row r="8318" customFormat="false" ht="15" hidden="false" customHeight="true" outlineLevel="0" collapsed="false">
      <c r="A8318" s="0" t="n">
        <v>2</v>
      </c>
      <c r="B8318" s="71" t="n">
        <v>46275</v>
      </c>
      <c r="C8318" s="0" t="n">
        <v>39</v>
      </c>
      <c r="D8318" s="0" t="s">
        <v>3298</v>
      </c>
      <c r="E8318" s="0" t="n">
        <v>1835</v>
      </c>
      <c r="F8318" s="0" t="s">
        <v>2010</v>
      </c>
      <c r="I8318" s="0" t="n">
        <v>110737</v>
      </c>
      <c r="J8318" s="0" t="n">
        <v>61594</v>
      </c>
      <c r="K8318" s="0" t="n">
        <v>7897255904138</v>
      </c>
      <c r="L8318" s="0" t="s">
        <v>5324</v>
      </c>
      <c r="N8318" s="0" t="n">
        <v>1</v>
      </c>
      <c r="O8318" s="0" t="n">
        <v>54.77</v>
      </c>
      <c r="P8318" s="0" t="s">
        <v>2444</v>
      </c>
    </row>
    <row r="8319" customFormat="false" ht="15" hidden="false" customHeight="true" outlineLevel="0" collapsed="false">
      <c r="A8319" s="0" t="n">
        <v>2</v>
      </c>
      <c r="B8319" s="71" t="n">
        <v>46275</v>
      </c>
      <c r="C8319" s="0" t="n">
        <v>39</v>
      </c>
      <c r="D8319" s="0" t="s">
        <v>3298</v>
      </c>
      <c r="E8319" s="0" t="n">
        <v>1835</v>
      </c>
      <c r="F8319" s="0" t="s">
        <v>2010</v>
      </c>
      <c r="I8319" s="0" t="n">
        <v>110737</v>
      </c>
      <c r="J8319" s="0" t="n">
        <v>82290</v>
      </c>
      <c r="K8319" s="0" t="n">
        <v>7908707201511</v>
      </c>
      <c r="L8319" s="0" t="s">
        <v>5325</v>
      </c>
      <c r="N8319" s="0" t="n">
        <v>2.43</v>
      </c>
      <c r="O8319" s="0" t="n">
        <v>67.8</v>
      </c>
      <c r="P8319" s="0" t="s">
        <v>2444</v>
      </c>
    </row>
    <row r="8320" customFormat="false" ht="15" hidden="false" customHeight="true" outlineLevel="0" collapsed="false">
      <c r="A8320" s="0" t="n">
        <v>2</v>
      </c>
      <c r="B8320" s="71" t="n">
        <v>46275</v>
      </c>
      <c r="C8320" s="0" t="n">
        <v>39</v>
      </c>
      <c r="D8320" s="0" t="s">
        <v>3298</v>
      </c>
      <c r="E8320" s="0" t="n">
        <v>1835</v>
      </c>
      <c r="F8320" s="0" t="s">
        <v>2010</v>
      </c>
      <c r="I8320" s="0" t="n">
        <v>111032</v>
      </c>
      <c r="J8320" s="0" t="n">
        <v>82294</v>
      </c>
      <c r="K8320" s="0" t="n">
        <v>7896587022206</v>
      </c>
      <c r="L8320" s="0" t="s">
        <v>5323</v>
      </c>
      <c r="N8320" s="0" t="n">
        <v>2</v>
      </c>
      <c r="O8320" s="0" t="n">
        <v>213.78</v>
      </c>
      <c r="P8320" s="0" t="s">
        <v>2444</v>
      </c>
    </row>
    <row r="8321" customFormat="false" ht="15" hidden="false" customHeight="true" outlineLevel="0" collapsed="false">
      <c r="A8321" s="0" t="n">
        <v>2</v>
      </c>
      <c r="B8321" s="71" t="n">
        <v>46275</v>
      </c>
      <c r="C8321" s="0" t="n">
        <v>39</v>
      </c>
      <c r="D8321" s="0" t="s">
        <v>3298</v>
      </c>
      <c r="E8321" s="0" t="n">
        <v>1958</v>
      </c>
      <c r="F8321" s="0" t="s">
        <v>66</v>
      </c>
      <c r="I8321" s="0" t="n">
        <v>174068</v>
      </c>
      <c r="J8321" s="0" t="n">
        <v>79618</v>
      </c>
      <c r="K8321" s="0" t="n">
        <v>796194</v>
      </c>
      <c r="L8321" s="0" t="s">
        <v>5326</v>
      </c>
      <c r="N8321" s="0" t="n">
        <v>1</v>
      </c>
      <c r="O8321" s="0" t="n">
        <v>68.98</v>
      </c>
      <c r="P8321" s="0" t="s">
        <v>2444</v>
      </c>
    </row>
    <row r="8322" customFormat="false" ht="15" hidden="false" customHeight="true" outlineLevel="0" collapsed="false">
      <c r="A8322" s="0" t="n">
        <v>2</v>
      </c>
      <c r="B8322" s="71" t="n">
        <v>46275</v>
      </c>
      <c r="C8322" s="0" t="n">
        <v>39</v>
      </c>
      <c r="D8322" s="0" t="s">
        <v>3298</v>
      </c>
      <c r="E8322" s="0" t="n">
        <v>1725</v>
      </c>
      <c r="F8322" s="0" t="s">
        <v>1921</v>
      </c>
      <c r="I8322" s="0" t="n">
        <v>288543</v>
      </c>
      <c r="J8322" s="0" t="n">
        <v>82295</v>
      </c>
      <c r="K8322" s="0" t="n">
        <v>7895770949368</v>
      </c>
      <c r="L8322" s="0" t="s">
        <v>5327</v>
      </c>
      <c r="N8322" s="0" t="n">
        <v>3</v>
      </c>
      <c r="O8322" s="0" t="n">
        <v>84</v>
      </c>
      <c r="P8322" s="0" t="s">
        <v>2444</v>
      </c>
    </row>
    <row r="8323" customFormat="false" ht="15" hidden="false" customHeight="true" outlineLevel="0" collapsed="false">
      <c r="A8323" s="0" t="n">
        <v>2</v>
      </c>
      <c r="B8323" s="71" t="n">
        <v>46275</v>
      </c>
      <c r="C8323" s="0" t="n">
        <v>39</v>
      </c>
      <c r="D8323" s="0" t="s">
        <v>3298</v>
      </c>
      <c r="E8323" s="0" t="n">
        <v>1960</v>
      </c>
      <c r="F8323" s="0" t="s">
        <v>93</v>
      </c>
      <c r="I8323" s="0" t="n">
        <v>448663</v>
      </c>
      <c r="J8323" s="0" t="n">
        <v>82291</v>
      </c>
      <c r="K8323" s="0" t="n">
        <v>822923</v>
      </c>
      <c r="L8323" s="0" t="s">
        <v>5328</v>
      </c>
      <c r="N8323" s="0" t="n">
        <v>1</v>
      </c>
      <c r="O8323" s="0" t="n">
        <v>70</v>
      </c>
      <c r="P8323" s="0" t="s">
        <v>2444</v>
      </c>
    </row>
    <row r="8324" customFormat="false" ht="15" hidden="false" customHeight="true" outlineLevel="0" collapsed="false">
      <c r="A8324" s="0" t="n">
        <v>2</v>
      </c>
      <c r="B8324" s="71" t="n">
        <v>46275</v>
      </c>
      <c r="C8324" s="0" t="n">
        <v>39</v>
      </c>
      <c r="D8324" s="0" t="s">
        <v>3298</v>
      </c>
      <c r="E8324" s="0" t="n">
        <v>1960</v>
      </c>
      <c r="F8324" s="0" t="s">
        <v>93</v>
      </c>
      <c r="I8324" s="0" t="n">
        <v>448974</v>
      </c>
      <c r="J8324" s="0" t="n">
        <v>67093</v>
      </c>
      <c r="K8324" s="0" t="n">
        <v>2262246</v>
      </c>
      <c r="L8324" s="0" t="s">
        <v>5329</v>
      </c>
      <c r="N8324" s="0" t="n">
        <v>1</v>
      </c>
      <c r="O8324" s="0" t="n">
        <v>60.06</v>
      </c>
      <c r="P8324" s="0" t="s">
        <v>2444</v>
      </c>
    </row>
    <row r="8325" customFormat="false" ht="15" hidden="false" customHeight="true" outlineLevel="0" collapsed="false">
      <c r="A8325" s="0" t="n">
        <v>2</v>
      </c>
      <c r="B8325" s="71" t="n">
        <v>46275</v>
      </c>
      <c r="C8325" s="0" t="n">
        <v>39</v>
      </c>
      <c r="D8325" s="0" t="s">
        <v>3298</v>
      </c>
      <c r="E8325" s="0" t="n">
        <v>1747</v>
      </c>
      <c r="F8325" s="0" t="s">
        <v>2013</v>
      </c>
      <c r="I8325" s="0" t="n">
        <v>1544516</v>
      </c>
      <c r="J8325" s="0" t="n">
        <v>60973</v>
      </c>
      <c r="K8325" s="0" t="n">
        <v>7891260170250</v>
      </c>
      <c r="L8325" s="0" t="s">
        <v>5330</v>
      </c>
      <c r="N8325" s="0" t="n">
        <v>4</v>
      </c>
      <c r="O8325" s="0" t="n">
        <v>404.78</v>
      </c>
      <c r="P8325" s="0" t="s">
        <v>2444</v>
      </c>
    </row>
    <row r="8326" customFormat="false" ht="15" hidden="false" customHeight="true" outlineLevel="0" collapsed="false">
      <c r="A8326" s="0" t="n">
        <v>2</v>
      </c>
      <c r="B8326" s="71" t="n">
        <v>46275</v>
      </c>
      <c r="C8326" s="0" t="n">
        <v>39</v>
      </c>
      <c r="D8326" s="0" t="s">
        <v>3298</v>
      </c>
      <c r="E8326" s="0" t="n">
        <v>1747</v>
      </c>
      <c r="F8326" s="0" t="s">
        <v>2013</v>
      </c>
      <c r="I8326" s="0" t="n">
        <v>1544516</v>
      </c>
      <c r="J8326" s="0" t="n">
        <v>82297</v>
      </c>
      <c r="K8326" s="0" t="n">
        <v>7898025460052</v>
      </c>
      <c r="L8326" s="0" t="s">
        <v>5331</v>
      </c>
      <c r="N8326" s="0" t="n">
        <v>1</v>
      </c>
      <c r="O8326" s="0" t="n">
        <v>80.46</v>
      </c>
      <c r="P8326" s="0" t="s">
        <v>2444</v>
      </c>
    </row>
    <row r="8327" customFormat="false" ht="15" hidden="false" customHeight="true" outlineLevel="0" collapsed="false">
      <c r="A8327" s="0" t="n">
        <v>2</v>
      </c>
      <c r="B8327" s="71" t="n">
        <v>46275</v>
      </c>
      <c r="C8327" s="0" t="n">
        <v>100</v>
      </c>
      <c r="D8327" s="0" t="s">
        <v>2499</v>
      </c>
      <c r="E8327" s="0" t="n">
        <v>48</v>
      </c>
      <c r="F8327" s="0" t="s">
        <v>153</v>
      </c>
      <c r="I8327" s="0" t="n">
        <v>1681778</v>
      </c>
      <c r="J8327" s="0" t="n">
        <v>100000</v>
      </c>
      <c r="K8327" s="0" t="n">
        <v>1</v>
      </c>
      <c r="L8327" s="0" t="s">
        <v>2480</v>
      </c>
      <c r="N8327" s="0" t="n">
        <v>3.21</v>
      </c>
      <c r="O8327" s="0" t="n">
        <v>63.28</v>
      </c>
      <c r="P8327" s="0" t="s">
        <v>2444</v>
      </c>
    </row>
    <row r="8328" customFormat="false" ht="15" hidden="false" customHeight="true" outlineLevel="0" collapsed="false">
      <c r="A8328" s="0" t="n">
        <v>2</v>
      </c>
      <c r="B8328" s="71" t="n">
        <v>46275</v>
      </c>
      <c r="C8328" s="0" t="n">
        <v>100</v>
      </c>
      <c r="D8328" s="0" t="s">
        <v>2499</v>
      </c>
      <c r="E8328" s="0" t="n">
        <v>48</v>
      </c>
      <c r="F8328" s="0" t="s">
        <v>153</v>
      </c>
      <c r="I8328" s="0" t="n">
        <v>1681778</v>
      </c>
      <c r="J8328" s="0" t="n">
        <v>100006</v>
      </c>
      <c r="K8328" s="0" t="n">
        <v>7</v>
      </c>
      <c r="L8328" s="0" t="s">
        <v>2485</v>
      </c>
      <c r="N8328" s="0" t="n">
        <v>2.35</v>
      </c>
      <c r="O8328" s="0" t="n">
        <v>65.64</v>
      </c>
      <c r="P8328" s="0" t="s">
        <v>2444</v>
      </c>
    </row>
    <row r="8329" customFormat="false" ht="15" hidden="false" customHeight="true" outlineLevel="0" collapsed="false">
      <c r="A8329" s="0" t="n">
        <v>2</v>
      </c>
      <c r="B8329" s="71" t="n">
        <v>46275</v>
      </c>
      <c r="C8329" s="0" t="n">
        <v>100</v>
      </c>
      <c r="D8329" s="0" t="s">
        <v>2499</v>
      </c>
      <c r="E8329" s="0" t="n">
        <v>48</v>
      </c>
      <c r="F8329" s="0" t="s">
        <v>153</v>
      </c>
      <c r="I8329" s="0" t="n">
        <v>1681778</v>
      </c>
      <c r="J8329" s="0" t="n">
        <v>100007</v>
      </c>
      <c r="K8329" s="0" t="n">
        <v>8</v>
      </c>
      <c r="L8329" s="0" t="s">
        <v>2486</v>
      </c>
      <c r="N8329" s="0" t="n">
        <v>2.414</v>
      </c>
      <c r="O8329" s="0" t="n">
        <v>59.49</v>
      </c>
      <c r="P8329" s="0" t="s">
        <v>2444</v>
      </c>
    </row>
    <row r="8330" customFormat="false" ht="15" hidden="false" customHeight="true" outlineLevel="0" collapsed="false">
      <c r="A8330" s="0" t="n">
        <v>2</v>
      </c>
      <c r="B8330" s="71" t="n">
        <v>46275</v>
      </c>
      <c r="C8330" s="0" t="n">
        <v>100</v>
      </c>
      <c r="D8330" s="0" t="s">
        <v>2499</v>
      </c>
      <c r="E8330" s="0" t="n">
        <v>48</v>
      </c>
      <c r="F8330" s="0" t="s">
        <v>153</v>
      </c>
      <c r="I8330" s="0" t="n">
        <v>1681778</v>
      </c>
      <c r="J8330" s="0" t="n">
        <v>100008</v>
      </c>
      <c r="K8330" s="0" t="n">
        <v>9</v>
      </c>
      <c r="L8330" s="0" t="s">
        <v>2487</v>
      </c>
      <c r="N8330" s="0" t="n">
        <v>18.1</v>
      </c>
      <c r="O8330" s="0" t="n">
        <v>579.96</v>
      </c>
      <c r="P8330" s="0" t="s">
        <v>2444</v>
      </c>
    </row>
    <row r="8331" customFormat="false" ht="15" hidden="false" customHeight="true" outlineLevel="0" collapsed="false">
      <c r="A8331" s="0" t="n">
        <v>2</v>
      </c>
      <c r="B8331" s="71" t="n">
        <v>46275</v>
      </c>
      <c r="C8331" s="0" t="n">
        <v>100</v>
      </c>
      <c r="D8331" s="0" t="s">
        <v>2499</v>
      </c>
      <c r="E8331" s="0" t="n">
        <v>48</v>
      </c>
      <c r="F8331" s="0" t="s">
        <v>153</v>
      </c>
      <c r="I8331" s="0" t="n">
        <v>1681778</v>
      </c>
      <c r="J8331" s="0" t="n">
        <v>100011</v>
      </c>
      <c r="K8331" s="0" t="n">
        <v>12</v>
      </c>
      <c r="L8331" s="0" t="s">
        <v>2488</v>
      </c>
      <c r="N8331" s="0" t="n">
        <v>11.01</v>
      </c>
      <c r="O8331" s="0" t="n">
        <v>407.07</v>
      </c>
      <c r="P8331" s="0" t="s">
        <v>2444</v>
      </c>
    </row>
    <row r="8332" customFormat="false" ht="15" hidden="false" customHeight="true" outlineLevel="0" collapsed="false">
      <c r="A8332" s="0" t="n">
        <v>2</v>
      </c>
      <c r="B8332" s="71" t="n">
        <v>46275</v>
      </c>
      <c r="C8332" s="0" t="n">
        <v>100</v>
      </c>
      <c r="D8332" s="0" t="s">
        <v>2499</v>
      </c>
      <c r="E8332" s="0" t="n">
        <v>48</v>
      </c>
      <c r="F8332" s="0" t="s">
        <v>153</v>
      </c>
      <c r="I8332" s="0" t="n">
        <v>1681778</v>
      </c>
      <c r="J8332" s="0" t="n">
        <v>100012</v>
      </c>
      <c r="K8332" s="0" t="n">
        <v>13</v>
      </c>
      <c r="L8332" s="0" t="s">
        <v>2489</v>
      </c>
      <c r="N8332" s="0" t="n">
        <v>5.892</v>
      </c>
      <c r="O8332" s="0" t="n">
        <v>242.05</v>
      </c>
      <c r="P8332" s="0" t="s">
        <v>2444</v>
      </c>
    </row>
    <row r="8333" customFormat="false" ht="15" hidden="false" customHeight="true" outlineLevel="0" collapsed="false">
      <c r="A8333" s="0" t="n">
        <v>2</v>
      </c>
      <c r="B8333" s="71" t="n">
        <v>46275</v>
      </c>
      <c r="C8333" s="0" t="n">
        <v>100</v>
      </c>
      <c r="D8333" s="0" t="s">
        <v>2499</v>
      </c>
      <c r="E8333" s="0" t="n">
        <v>48</v>
      </c>
      <c r="F8333" s="0" t="s">
        <v>153</v>
      </c>
      <c r="I8333" s="0" t="n">
        <v>1681778</v>
      </c>
      <c r="J8333" s="0" t="n">
        <v>100013</v>
      </c>
      <c r="K8333" s="0" t="n">
        <v>14</v>
      </c>
      <c r="L8333" s="0" t="s">
        <v>2490</v>
      </c>
      <c r="N8333" s="0" t="n">
        <v>12.875</v>
      </c>
      <c r="O8333" s="0" t="n">
        <v>560.67</v>
      </c>
      <c r="P8333" s="0" t="s">
        <v>2444</v>
      </c>
    </row>
    <row r="8334" customFormat="false" ht="15" hidden="false" customHeight="true" outlineLevel="0" collapsed="false">
      <c r="A8334" s="0" t="n">
        <v>2</v>
      </c>
      <c r="B8334" s="71" t="n">
        <v>46275</v>
      </c>
      <c r="C8334" s="0" t="n">
        <v>100</v>
      </c>
      <c r="D8334" s="0" t="s">
        <v>2499</v>
      </c>
      <c r="E8334" s="0" t="n">
        <v>48</v>
      </c>
      <c r="F8334" s="0" t="s">
        <v>153</v>
      </c>
      <c r="I8334" s="0" t="n">
        <v>1681778</v>
      </c>
      <c r="J8334" s="0" t="n">
        <v>100014</v>
      </c>
      <c r="K8334" s="0" t="n">
        <v>15</v>
      </c>
      <c r="L8334" s="0" t="s">
        <v>2491</v>
      </c>
      <c r="N8334" s="0" t="n">
        <v>5.32</v>
      </c>
      <c r="O8334" s="0" t="n">
        <v>236.04</v>
      </c>
      <c r="P8334" s="0" t="s">
        <v>2444</v>
      </c>
    </row>
    <row r="8335" customFormat="false" ht="15" hidden="false" customHeight="true" outlineLevel="0" collapsed="false">
      <c r="A8335" s="0" t="n">
        <v>2</v>
      </c>
      <c r="B8335" s="71" t="n">
        <v>46275</v>
      </c>
      <c r="C8335" s="0" t="n">
        <v>100</v>
      </c>
      <c r="D8335" s="0" t="s">
        <v>2499</v>
      </c>
      <c r="E8335" s="0" t="n">
        <v>48</v>
      </c>
      <c r="F8335" s="0" t="s">
        <v>153</v>
      </c>
      <c r="I8335" s="0" t="n">
        <v>1681778</v>
      </c>
      <c r="J8335" s="0" t="n">
        <v>100015</v>
      </c>
      <c r="K8335" s="0" t="n">
        <v>16</v>
      </c>
      <c r="L8335" s="0" t="s">
        <v>2492</v>
      </c>
      <c r="N8335" s="0" t="n">
        <v>1.99</v>
      </c>
      <c r="O8335" s="0" t="n">
        <v>78.48</v>
      </c>
      <c r="P8335" s="0" t="s">
        <v>2444</v>
      </c>
    </row>
    <row r="8336" customFormat="false" ht="15" hidden="false" customHeight="true" outlineLevel="0" collapsed="false">
      <c r="A8336" s="0" t="n">
        <v>2</v>
      </c>
      <c r="B8336" s="71" t="n">
        <v>46275</v>
      </c>
      <c r="C8336" s="0" t="n">
        <v>100</v>
      </c>
      <c r="D8336" s="0" t="s">
        <v>2499</v>
      </c>
      <c r="E8336" s="0" t="n">
        <v>48</v>
      </c>
      <c r="F8336" s="0" t="s">
        <v>153</v>
      </c>
      <c r="I8336" s="0" t="n">
        <v>1681778</v>
      </c>
      <c r="J8336" s="0" t="n">
        <v>100016</v>
      </c>
      <c r="K8336" s="0" t="n">
        <v>17</v>
      </c>
      <c r="L8336" s="0" t="s">
        <v>2493</v>
      </c>
      <c r="N8336" s="0" t="n">
        <v>2.734</v>
      </c>
      <c r="O8336" s="0" t="n">
        <v>134.79</v>
      </c>
      <c r="P8336" s="0" t="s">
        <v>2444</v>
      </c>
    </row>
    <row r="8337" customFormat="false" ht="15" hidden="false" customHeight="true" outlineLevel="0" collapsed="false">
      <c r="A8337" s="0" t="n">
        <v>2</v>
      </c>
      <c r="B8337" s="71" t="n">
        <v>46275</v>
      </c>
      <c r="C8337" s="0" t="n">
        <v>100</v>
      </c>
      <c r="D8337" s="0" t="s">
        <v>2499</v>
      </c>
      <c r="E8337" s="0" t="n">
        <v>48</v>
      </c>
      <c r="F8337" s="0" t="s">
        <v>153</v>
      </c>
      <c r="I8337" s="0" t="n">
        <v>1681778</v>
      </c>
      <c r="J8337" s="0" t="n">
        <v>100017</v>
      </c>
      <c r="K8337" s="0" t="n">
        <v>18</v>
      </c>
      <c r="L8337" s="0" t="s">
        <v>2494</v>
      </c>
      <c r="N8337" s="0" t="n">
        <v>3.116</v>
      </c>
      <c r="O8337" s="0" t="n">
        <v>179.22</v>
      </c>
      <c r="P8337" s="0" t="s">
        <v>2444</v>
      </c>
    </row>
    <row r="8338" customFormat="false" ht="15" hidden="false" customHeight="true" outlineLevel="0" collapsed="false">
      <c r="A8338" s="0" t="n">
        <v>2</v>
      </c>
      <c r="B8338" s="71" t="n">
        <v>46275</v>
      </c>
      <c r="C8338" s="0" t="n">
        <v>100</v>
      </c>
      <c r="D8338" s="0" t="s">
        <v>2499</v>
      </c>
      <c r="E8338" s="0" t="n">
        <v>48</v>
      </c>
      <c r="F8338" s="0" t="s">
        <v>153</v>
      </c>
      <c r="I8338" s="0" t="n">
        <v>1681778</v>
      </c>
      <c r="J8338" s="0" t="n">
        <v>100053</v>
      </c>
      <c r="K8338" s="0" t="n">
        <v>54</v>
      </c>
      <c r="L8338" s="0" t="s">
        <v>2495</v>
      </c>
      <c r="N8338" s="0" t="n">
        <v>2.342</v>
      </c>
      <c r="O8338" s="0" t="n">
        <v>84.67</v>
      </c>
      <c r="P8338" s="0" t="s">
        <v>2444</v>
      </c>
    </row>
    <row r="8339" customFormat="false" ht="15" hidden="false" customHeight="true" outlineLevel="0" collapsed="false">
      <c r="A8339" s="0" t="n">
        <v>2</v>
      </c>
      <c r="B8339" s="71" t="n">
        <v>46275</v>
      </c>
      <c r="C8339" s="0" t="n">
        <v>100</v>
      </c>
      <c r="D8339" s="0" t="s">
        <v>2499</v>
      </c>
      <c r="E8339" s="0" t="n">
        <v>48</v>
      </c>
      <c r="F8339" s="0" t="s">
        <v>153</v>
      </c>
      <c r="I8339" s="0" t="n">
        <v>1681778</v>
      </c>
      <c r="J8339" s="0" t="n">
        <v>100638</v>
      </c>
      <c r="K8339" s="0" t="n">
        <v>508</v>
      </c>
      <c r="L8339" s="0" t="s">
        <v>2496</v>
      </c>
      <c r="N8339" s="0" t="n">
        <v>0.9</v>
      </c>
      <c r="O8339" s="0" t="n">
        <v>2.21</v>
      </c>
      <c r="P8339" s="0" t="s">
        <v>2444</v>
      </c>
    </row>
    <row r="8340" customFormat="false" ht="15" hidden="false" customHeight="true" outlineLevel="0" collapsed="false">
      <c r="A8340" s="0" t="n">
        <v>2</v>
      </c>
      <c r="B8340" s="71" t="n">
        <v>46275</v>
      </c>
      <c r="C8340" s="0" t="n">
        <v>100</v>
      </c>
      <c r="D8340" s="0" t="s">
        <v>2499</v>
      </c>
      <c r="E8340" s="0" t="n">
        <v>48</v>
      </c>
      <c r="F8340" s="0" t="s">
        <v>153</v>
      </c>
      <c r="I8340" s="0" t="n">
        <v>1681778</v>
      </c>
      <c r="J8340" s="0" t="n">
        <v>110137</v>
      </c>
      <c r="K8340" s="0" t="n">
        <v>13899</v>
      </c>
      <c r="L8340" s="0" t="s">
        <v>3780</v>
      </c>
      <c r="N8340" s="0" t="n">
        <v>12.685</v>
      </c>
      <c r="O8340" s="0" t="n">
        <v>52.02</v>
      </c>
      <c r="P8340" s="0" t="s">
        <v>2444</v>
      </c>
    </row>
    <row r="8341" customFormat="false" ht="15" hidden="false" customHeight="true" outlineLevel="0" collapsed="false">
      <c r="A8341" s="0" t="n">
        <v>2</v>
      </c>
      <c r="B8341" s="71" t="n">
        <v>46275</v>
      </c>
      <c r="C8341" s="0" t="n">
        <v>100</v>
      </c>
      <c r="D8341" s="0" t="s">
        <v>2499</v>
      </c>
      <c r="E8341" s="0" t="n">
        <v>48</v>
      </c>
      <c r="F8341" s="0" t="s">
        <v>153</v>
      </c>
      <c r="I8341" s="0" t="n">
        <v>1681778</v>
      </c>
      <c r="J8341" s="0" t="n">
        <v>110455</v>
      </c>
      <c r="K8341" s="0" t="n">
        <v>53212</v>
      </c>
      <c r="L8341" s="0" t="s">
        <v>2498</v>
      </c>
      <c r="N8341" s="0" t="n">
        <v>0.862</v>
      </c>
      <c r="O8341" s="0" t="n">
        <v>0.01</v>
      </c>
      <c r="P8341" s="0" t="s">
        <v>2444</v>
      </c>
    </row>
    <row r="8342" customFormat="false" ht="15" hidden="false" customHeight="true" outlineLevel="0" collapsed="false">
      <c r="A8342" s="0" t="n">
        <v>2</v>
      </c>
      <c r="B8342" s="71" t="n">
        <v>46275</v>
      </c>
      <c r="C8342" s="0" t="n">
        <v>100</v>
      </c>
      <c r="D8342" s="0" t="s">
        <v>2499</v>
      </c>
      <c r="E8342" s="0" t="n">
        <v>48</v>
      </c>
      <c r="F8342" s="0" t="s">
        <v>153</v>
      </c>
      <c r="I8342" s="0" t="n">
        <v>1681780</v>
      </c>
      <c r="J8342" s="0" t="n">
        <v>100000</v>
      </c>
      <c r="K8342" s="0" t="n">
        <v>1</v>
      </c>
      <c r="L8342" s="0" t="s">
        <v>2480</v>
      </c>
      <c r="N8342" s="0" t="n">
        <v>2.488</v>
      </c>
      <c r="O8342" s="0" t="n">
        <v>45.9</v>
      </c>
      <c r="P8342" s="0" t="s">
        <v>2444</v>
      </c>
    </row>
    <row r="8343" customFormat="false" ht="15" hidden="false" customHeight="true" outlineLevel="0" collapsed="false">
      <c r="A8343" s="0" t="n">
        <v>2</v>
      </c>
      <c r="B8343" s="71" t="n">
        <v>46275</v>
      </c>
      <c r="C8343" s="0" t="n">
        <v>100</v>
      </c>
      <c r="D8343" s="0" t="s">
        <v>2499</v>
      </c>
      <c r="E8343" s="0" t="n">
        <v>48</v>
      </c>
      <c r="F8343" s="0" t="s">
        <v>153</v>
      </c>
      <c r="I8343" s="0" t="n">
        <v>1681780</v>
      </c>
      <c r="J8343" s="0" t="n">
        <v>100001</v>
      </c>
      <c r="K8343" s="0" t="n">
        <v>2</v>
      </c>
      <c r="L8343" s="0" t="s">
        <v>2481</v>
      </c>
      <c r="N8343" s="0" t="n">
        <v>10.1</v>
      </c>
      <c r="O8343" s="0" t="n">
        <v>201.86</v>
      </c>
      <c r="P8343" s="0" t="s">
        <v>2444</v>
      </c>
    </row>
    <row r="8344" customFormat="false" ht="15" hidden="false" customHeight="true" outlineLevel="0" collapsed="false">
      <c r="A8344" s="0" t="n">
        <v>2</v>
      </c>
      <c r="B8344" s="71" t="n">
        <v>46275</v>
      </c>
      <c r="C8344" s="0" t="n">
        <v>100</v>
      </c>
      <c r="D8344" s="0" t="s">
        <v>2499</v>
      </c>
      <c r="E8344" s="0" t="n">
        <v>48</v>
      </c>
      <c r="F8344" s="0" t="s">
        <v>153</v>
      </c>
      <c r="I8344" s="0" t="n">
        <v>1681780</v>
      </c>
      <c r="J8344" s="0" t="n">
        <v>100002</v>
      </c>
      <c r="K8344" s="0" t="n">
        <v>3</v>
      </c>
      <c r="L8344" s="0" t="s">
        <v>2482</v>
      </c>
      <c r="N8344" s="0" t="n">
        <v>21.73</v>
      </c>
      <c r="O8344" s="0" t="n">
        <v>501.14</v>
      </c>
      <c r="P8344" s="0" t="s">
        <v>2444</v>
      </c>
    </row>
    <row r="8345" customFormat="false" ht="15" hidden="false" customHeight="true" outlineLevel="0" collapsed="false">
      <c r="A8345" s="0" t="n">
        <v>2</v>
      </c>
      <c r="B8345" s="71" t="n">
        <v>46275</v>
      </c>
      <c r="C8345" s="0" t="n">
        <v>100</v>
      </c>
      <c r="D8345" s="0" t="s">
        <v>2499</v>
      </c>
      <c r="E8345" s="0" t="n">
        <v>48</v>
      </c>
      <c r="F8345" s="0" t="s">
        <v>153</v>
      </c>
      <c r="I8345" s="0" t="n">
        <v>1681780</v>
      </c>
      <c r="J8345" s="0" t="n">
        <v>100003</v>
      </c>
      <c r="K8345" s="0" t="n">
        <v>4</v>
      </c>
      <c r="L8345" s="0" t="s">
        <v>2483</v>
      </c>
      <c r="N8345" s="0" t="n">
        <v>13.54</v>
      </c>
      <c r="O8345" s="0" t="n">
        <v>333.08</v>
      </c>
      <c r="P8345" s="0" t="s">
        <v>2444</v>
      </c>
    </row>
    <row r="8346" customFormat="false" ht="15" hidden="false" customHeight="true" outlineLevel="0" collapsed="false">
      <c r="A8346" s="0" t="n">
        <v>2</v>
      </c>
      <c r="B8346" s="71" t="n">
        <v>46275</v>
      </c>
      <c r="C8346" s="0" t="n">
        <v>100</v>
      </c>
      <c r="D8346" s="0" t="s">
        <v>2499</v>
      </c>
      <c r="E8346" s="0" t="n">
        <v>48</v>
      </c>
      <c r="F8346" s="0" t="s">
        <v>153</v>
      </c>
      <c r="I8346" s="0" t="n">
        <v>1681780</v>
      </c>
      <c r="J8346" s="0" t="n">
        <v>100004</v>
      </c>
      <c r="K8346" s="0" t="n">
        <v>5</v>
      </c>
      <c r="L8346" s="0" t="s">
        <v>2484</v>
      </c>
      <c r="N8346" s="0" t="n">
        <v>0.69</v>
      </c>
      <c r="O8346" s="0" t="n">
        <v>14.85</v>
      </c>
      <c r="P8346" s="0" t="s">
        <v>2444</v>
      </c>
    </row>
    <row r="8347" customFormat="false" ht="15" hidden="false" customHeight="true" outlineLevel="0" collapsed="false">
      <c r="A8347" s="0" t="n">
        <v>2</v>
      </c>
      <c r="B8347" s="71" t="n">
        <v>46275</v>
      </c>
      <c r="C8347" s="0" t="n">
        <v>100</v>
      </c>
      <c r="D8347" s="0" t="s">
        <v>2499</v>
      </c>
      <c r="E8347" s="0" t="n">
        <v>48</v>
      </c>
      <c r="F8347" s="0" t="s">
        <v>153</v>
      </c>
      <c r="I8347" s="0" t="n">
        <v>1681780</v>
      </c>
      <c r="J8347" s="0" t="n">
        <v>100007</v>
      </c>
      <c r="K8347" s="0" t="n">
        <v>8</v>
      </c>
      <c r="L8347" s="0" t="s">
        <v>2486</v>
      </c>
      <c r="N8347" s="0" t="n">
        <v>4.31</v>
      </c>
      <c r="O8347" s="0" t="n">
        <v>99.4</v>
      </c>
      <c r="P8347" s="0" t="s">
        <v>2444</v>
      </c>
    </row>
    <row r="8348" customFormat="false" ht="15" hidden="false" customHeight="true" outlineLevel="0" collapsed="false">
      <c r="A8348" s="0" t="n">
        <v>2</v>
      </c>
      <c r="B8348" s="71" t="n">
        <v>46275</v>
      </c>
      <c r="C8348" s="0" t="n">
        <v>100</v>
      </c>
      <c r="D8348" s="0" t="s">
        <v>2499</v>
      </c>
      <c r="E8348" s="0" t="n">
        <v>48</v>
      </c>
      <c r="F8348" s="0" t="s">
        <v>153</v>
      </c>
      <c r="I8348" s="0" t="n">
        <v>1681780</v>
      </c>
      <c r="J8348" s="0" t="n">
        <v>100019</v>
      </c>
      <c r="K8348" s="0" t="n">
        <v>20</v>
      </c>
      <c r="L8348" s="0" t="s">
        <v>3779</v>
      </c>
      <c r="N8348" s="0" t="n">
        <v>3.586</v>
      </c>
      <c r="O8348" s="0" t="n">
        <v>115.79</v>
      </c>
      <c r="P8348" s="0" t="s">
        <v>2444</v>
      </c>
    </row>
    <row r="8349" customFormat="false" ht="15" hidden="false" customHeight="true" outlineLevel="0" collapsed="false">
      <c r="A8349" s="0" t="n">
        <v>2</v>
      </c>
      <c r="B8349" s="71" t="n">
        <v>46275</v>
      </c>
      <c r="C8349" s="0" t="n">
        <v>100</v>
      </c>
      <c r="D8349" s="0" t="s">
        <v>2499</v>
      </c>
      <c r="E8349" s="0" t="n">
        <v>48</v>
      </c>
      <c r="F8349" s="0" t="s">
        <v>153</v>
      </c>
      <c r="I8349" s="0" t="n">
        <v>1681780</v>
      </c>
      <c r="J8349" s="0" t="n">
        <v>100638</v>
      </c>
      <c r="K8349" s="0" t="n">
        <v>508</v>
      </c>
      <c r="L8349" s="0" t="s">
        <v>2496</v>
      </c>
      <c r="N8349" s="0" t="n">
        <v>0.8</v>
      </c>
      <c r="O8349" s="0" t="n">
        <v>1.84</v>
      </c>
      <c r="P8349" s="0" t="s">
        <v>2444</v>
      </c>
    </row>
    <row r="8350" customFormat="false" ht="15" hidden="false" customHeight="true" outlineLevel="0" collapsed="false">
      <c r="A8350" s="0" t="n">
        <v>2</v>
      </c>
      <c r="B8350" s="71" t="n">
        <v>46275</v>
      </c>
      <c r="C8350" s="0" t="n">
        <v>100</v>
      </c>
      <c r="D8350" s="0" t="s">
        <v>2499</v>
      </c>
      <c r="E8350" s="0" t="n">
        <v>48</v>
      </c>
      <c r="F8350" s="0" t="s">
        <v>153</v>
      </c>
      <c r="I8350" s="0" t="n">
        <v>1681780</v>
      </c>
      <c r="J8350" s="0" t="n">
        <v>110137</v>
      </c>
      <c r="K8350" s="0" t="n">
        <v>13899</v>
      </c>
      <c r="L8350" s="0" t="s">
        <v>3780</v>
      </c>
      <c r="N8350" s="0" t="n">
        <v>2.748</v>
      </c>
      <c r="O8350" s="0" t="n">
        <v>10.54</v>
      </c>
      <c r="P8350" s="0" t="s">
        <v>2444</v>
      </c>
    </row>
    <row r="8351" customFormat="false" ht="15" hidden="false" customHeight="true" outlineLevel="0" collapsed="false">
      <c r="A8351" s="0" t="n">
        <v>2</v>
      </c>
      <c r="B8351" s="71" t="n">
        <v>46275</v>
      </c>
      <c r="C8351" s="0" t="n">
        <v>100</v>
      </c>
      <c r="D8351" s="0" t="s">
        <v>2499</v>
      </c>
      <c r="E8351" s="0" t="n">
        <v>48</v>
      </c>
      <c r="F8351" s="0" t="s">
        <v>153</v>
      </c>
      <c r="I8351" s="0" t="n">
        <v>1681780</v>
      </c>
      <c r="J8351" s="0" t="n">
        <v>110455</v>
      </c>
      <c r="K8351" s="0" t="n">
        <v>53212</v>
      </c>
      <c r="L8351" s="0" t="s">
        <v>2498</v>
      </c>
      <c r="N8351" s="0" t="n">
        <v>0.208</v>
      </c>
      <c r="O8351" s="0" t="n">
        <v>0</v>
      </c>
      <c r="P8351" s="0" t="s">
        <v>2444</v>
      </c>
    </row>
    <row r="8352" customFormat="false" ht="15" hidden="false" customHeight="true" outlineLevel="0" collapsed="false">
      <c r="A8352" s="0" t="n">
        <v>2</v>
      </c>
      <c r="B8352" s="71" t="n">
        <v>46275</v>
      </c>
      <c r="C8352" s="0" t="n">
        <v>171</v>
      </c>
      <c r="D8352" s="0" t="s">
        <v>3017</v>
      </c>
      <c r="E8352" s="0" t="n">
        <v>1665</v>
      </c>
      <c r="F8352" s="0" t="s">
        <v>554</v>
      </c>
      <c r="I8352" s="0" t="n">
        <v>138044</v>
      </c>
      <c r="J8352" s="0" t="n">
        <v>25716</v>
      </c>
      <c r="K8352" s="0" t="n">
        <v>7896353301184</v>
      </c>
      <c r="L8352" s="0" t="s">
        <v>3317</v>
      </c>
      <c r="N8352" s="0" t="n">
        <v>4</v>
      </c>
      <c r="O8352" s="0" t="n">
        <v>32.4</v>
      </c>
      <c r="P8352" s="0" t="s">
        <v>3019</v>
      </c>
    </row>
    <row r="8353" customFormat="false" ht="15" hidden="false" customHeight="true" outlineLevel="0" collapsed="false">
      <c r="A8353" s="0" t="n">
        <v>2</v>
      </c>
      <c r="B8353" s="71" t="n">
        <v>46276</v>
      </c>
      <c r="C8353" s="0" t="n">
        <v>6</v>
      </c>
      <c r="D8353" s="0" t="s">
        <v>2553</v>
      </c>
      <c r="E8353" s="0" t="n">
        <v>48</v>
      </c>
      <c r="F8353" s="0" t="s">
        <v>153</v>
      </c>
      <c r="I8353" s="0" t="n">
        <v>2668</v>
      </c>
      <c r="J8353" s="0" t="n">
        <v>100113</v>
      </c>
      <c r="K8353" s="0" t="n">
        <v>114</v>
      </c>
      <c r="L8353" s="0" t="s">
        <v>2539</v>
      </c>
      <c r="N8353" s="0" t="n">
        <v>20</v>
      </c>
      <c r="O8353" s="0" t="n">
        <v>140</v>
      </c>
      <c r="P8353" s="0" t="s">
        <v>2444</v>
      </c>
    </row>
    <row r="8354" customFormat="false" ht="15" hidden="false" customHeight="true" outlineLevel="0" collapsed="false">
      <c r="A8354" s="0" t="n">
        <v>2</v>
      </c>
      <c r="B8354" s="71" t="n">
        <v>46276</v>
      </c>
      <c r="C8354" s="0" t="n">
        <v>6</v>
      </c>
      <c r="D8354" s="0" t="s">
        <v>2553</v>
      </c>
      <c r="E8354" s="0" t="n">
        <v>48</v>
      </c>
      <c r="F8354" s="0" t="s">
        <v>153</v>
      </c>
      <c r="I8354" s="0" t="n">
        <v>2668</v>
      </c>
      <c r="J8354" s="0" t="n">
        <v>110142</v>
      </c>
      <c r="K8354" s="0" t="n">
        <v>16699</v>
      </c>
      <c r="L8354" s="0" t="s">
        <v>2549</v>
      </c>
      <c r="N8354" s="0" t="n">
        <v>20</v>
      </c>
      <c r="O8354" s="0" t="n">
        <v>120</v>
      </c>
      <c r="P8354" s="0" t="s">
        <v>2444</v>
      </c>
    </row>
    <row r="8355" customFormat="false" ht="15" hidden="false" customHeight="true" outlineLevel="0" collapsed="false">
      <c r="A8355" s="0" t="n">
        <v>2</v>
      </c>
      <c r="B8355" s="71" t="n">
        <v>46276</v>
      </c>
      <c r="C8355" s="0" t="n">
        <v>6</v>
      </c>
      <c r="D8355" s="0" t="s">
        <v>2553</v>
      </c>
      <c r="E8355" s="0" t="n">
        <v>48</v>
      </c>
      <c r="F8355" s="0" t="s">
        <v>153</v>
      </c>
      <c r="I8355" s="0" t="n">
        <v>2669</v>
      </c>
      <c r="J8355" s="0" t="n">
        <v>100062</v>
      </c>
      <c r="K8355" s="0" t="n">
        <v>63</v>
      </c>
      <c r="L8355" s="0" t="s">
        <v>2535</v>
      </c>
      <c r="N8355" s="0" t="n">
        <v>18</v>
      </c>
      <c r="O8355" s="0" t="n">
        <v>130</v>
      </c>
      <c r="P8355" s="0" t="s">
        <v>2444</v>
      </c>
    </row>
    <row r="8356" customFormat="false" ht="15" hidden="false" customHeight="true" outlineLevel="0" collapsed="false">
      <c r="A8356" s="0" t="n">
        <v>2</v>
      </c>
      <c r="B8356" s="71" t="n">
        <v>46276</v>
      </c>
      <c r="C8356" s="0" t="n">
        <v>6</v>
      </c>
      <c r="D8356" s="0" t="s">
        <v>2553</v>
      </c>
      <c r="E8356" s="0" t="n">
        <v>48</v>
      </c>
      <c r="F8356" s="0" t="s">
        <v>153</v>
      </c>
      <c r="I8356" s="0" t="n">
        <v>2669</v>
      </c>
      <c r="J8356" s="0" t="n">
        <v>100109</v>
      </c>
      <c r="K8356" s="0" t="n">
        <v>110</v>
      </c>
      <c r="L8356" s="0" t="s">
        <v>2537</v>
      </c>
      <c r="N8356" s="0" t="n">
        <v>20</v>
      </c>
      <c r="O8356" s="0" t="n">
        <v>130</v>
      </c>
      <c r="P8356" s="0" t="s">
        <v>2444</v>
      </c>
    </row>
    <row r="8357" customFormat="false" ht="15" hidden="false" customHeight="true" outlineLevel="0" collapsed="false">
      <c r="A8357" s="0" t="n">
        <v>2</v>
      </c>
      <c r="B8357" s="71" t="n">
        <v>46276</v>
      </c>
      <c r="C8357" s="0" t="n">
        <v>6</v>
      </c>
      <c r="D8357" s="0" t="s">
        <v>2553</v>
      </c>
      <c r="E8357" s="0" t="n">
        <v>48</v>
      </c>
      <c r="F8357" s="0" t="s">
        <v>153</v>
      </c>
      <c r="I8357" s="0" t="n">
        <v>2669</v>
      </c>
      <c r="J8357" s="0" t="n">
        <v>100110</v>
      </c>
      <c r="K8357" s="0" t="n">
        <v>111</v>
      </c>
      <c r="L8357" s="0" t="s">
        <v>2997</v>
      </c>
      <c r="N8357" s="0" t="n">
        <v>20</v>
      </c>
      <c r="O8357" s="0" t="n">
        <v>160</v>
      </c>
      <c r="P8357" s="0" t="s">
        <v>2444</v>
      </c>
    </row>
    <row r="8358" customFormat="false" ht="15" hidden="false" customHeight="true" outlineLevel="0" collapsed="false">
      <c r="A8358" s="0" t="n">
        <v>2</v>
      </c>
      <c r="B8358" s="71" t="n">
        <v>46276</v>
      </c>
      <c r="C8358" s="0" t="n">
        <v>6</v>
      </c>
      <c r="D8358" s="0" t="s">
        <v>2553</v>
      </c>
      <c r="E8358" s="0" t="n">
        <v>48</v>
      </c>
      <c r="F8358" s="0" t="s">
        <v>153</v>
      </c>
      <c r="I8358" s="0" t="n">
        <v>2669</v>
      </c>
      <c r="J8358" s="0" t="n">
        <v>100112</v>
      </c>
      <c r="K8358" s="0" t="n">
        <v>113</v>
      </c>
      <c r="L8358" s="0" t="s">
        <v>2538</v>
      </c>
      <c r="N8358" s="0" t="n">
        <v>20</v>
      </c>
      <c r="O8358" s="0" t="n">
        <v>100</v>
      </c>
      <c r="P8358" s="0" t="s">
        <v>2444</v>
      </c>
    </row>
    <row r="8359" customFormat="false" ht="15" hidden="false" customHeight="true" outlineLevel="0" collapsed="false">
      <c r="A8359" s="0" t="n">
        <v>2</v>
      </c>
      <c r="B8359" s="71" t="n">
        <v>46276</v>
      </c>
      <c r="C8359" s="0" t="n">
        <v>6</v>
      </c>
      <c r="D8359" s="0" t="s">
        <v>2553</v>
      </c>
      <c r="E8359" s="0" t="n">
        <v>48</v>
      </c>
      <c r="F8359" s="0" t="s">
        <v>153</v>
      </c>
      <c r="I8359" s="0" t="n">
        <v>2669</v>
      </c>
      <c r="J8359" s="0" t="n">
        <v>100116</v>
      </c>
      <c r="K8359" s="0" t="n">
        <v>117</v>
      </c>
      <c r="L8359" s="0" t="s">
        <v>2540</v>
      </c>
      <c r="N8359" s="0" t="n">
        <v>3.5</v>
      </c>
      <c r="O8359" s="0" t="n">
        <v>35</v>
      </c>
      <c r="P8359" s="0" t="s">
        <v>2444</v>
      </c>
    </row>
    <row r="8360" customFormat="false" ht="15" hidden="false" customHeight="true" outlineLevel="0" collapsed="false">
      <c r="A8360" s="0" t="n">
        <v>2</v>
      </c>
      <c r="B8360" s="71" t="n">
        <v>46276</v>
      </c>
      <c r="C8360" s="0" t="n">
        <v>6</v>
      </c>
      <c r="D8360" s="0" t="s">
        <v>2553</v>
      </c>
      <c r="E8360" s="0" t="n">
        <v>48</v>
      </c>
      <c r="F8360" s="0" t="s">
        <v>153</v>
      </c>
      <c r="I8360" s="0" t="n">
        <v>2669</v>
      </c>
      <c r="J8360" s="0" t="n">
        <v>100118</v>
      </c>
      <c r="K8360" s="0" t="n">
        <v>119</v>
      </c>
      <c r="L8360" s="0" t="s">
        <v>2541</v>
      </c>
      <c r="N8360" s="0" t="n">
        <v>16</v>
      </c>
      <c r="O8360" s="0" t="n">
        <v>80</v>
      </c>
      <c r="P8360" s="0" t="s">
        <v>2444</v>
      </c>
    </row>
    <row r="8361" customFormat="false" ht="15" hidden="false" customHeight="true" outlineLevel="0" collapsed="false">
      <c r="A8361" s="0" t="n">
        <v>2</v>
      </c>
      <c r="B8361" s="71" t="n">
        <v>46276</v>
      </c>
      <c r="C8361" s="0" t="n">
        <v>6</v>
      </c>
      <c r="D8361" s="0" t="s">
        <v>2553</v>
      </c>
      <c r="E8361" s="0" t="n">
        <v>48</v>
      </c>
      <c r="F8361" s="0" t="s">
        <v>153</v>
      </c>
      <c r="I8361" s="0" t="n">
        <v>2669</v>
      </c>
      <c r="J8361" s="0" t="n">
        <v>100122</v>
      </c>
      <c r="K8361" s="0" t="n">
        <v>123</v>
      </c>
      <c r="L8361" s="0" t="s">
        <v>2543</v>
      </c>
      <c r="N8361" s="0" t="n">
        <v>5</v>
      </c>
      <c r="O8361" s="0" t="n">
        <v>100</v>
      </c>
      <c r="P8361" s="0" t="s">
        <v>2444</v>
      </c>
    </row>
    <row r="8362" customFormat="false" ht="15" hidden="false" customHeight="true" outlineLevel="0" collapsed="false">
      <c r="A8362" s="0" t="n">
        <v>2</v>
      </c>
      <c r="B8362" s="71" t="n">
        <v>46276</v>
      </c>
      <c r="C8362" s="0" t="n">
        <v>6</v>
      </c>
      <c r="D8362" s="0" t="s">
        <v>2553</v>
      </c>
      <c r="E8362" s="0" t="n">
        <v>48</v>
      </c>
      <c r="F8362" s="0" t="s">
        <v>153</v>
      </c>
      <c r="I8362" s="0" t="n">
        <v>2669</v>
      </c>
      <c r="J8362" s="0" t="n">
        <v>100124</v>
      </c>
      <c r="K8362" s="0" t="n">
        <v>125</v>
      </c>
      <c r="L8362" s="0" t="s">
        <v>2695</v>
      </c>
      <c r="N8362" s="0" t="n">
        <v>5</v>
      </c>
      <c r="O8362" s="0" t="n">
        <v>55</v>
      </c>
      <c r="P8362" s="0" t="s">
        <v>2444</v>
      </c>
    </row>
    <row r="8363" customFormat="false" ht="15" hidden="false" customHeight="true" outlineLevel="0" collapsed="false">
      <c r="A8363" s="0" t="n">
        <v>2</v>
      </c>
      <c r="B8363" s="71" t="n">
        <v>46276</v>
      </c>
      <c r="C8363" s="0" t="n">
        <v>6</v>
      </c>
      <c r="D8363" s="0" t="s">
        <v>2553</v>
      </c>
      <c r="E8363" s="0" t="n">
        <v>48</v>
      </c>
      <c r="F8363" s="0" t="s">
        <v>153</v>
      </c>
      <c r="I8363" s="0" t="n">
        <v>2669</v>
      </c>
      <c r="J8363" s="0" t="n">
        <v>100129</v>
      </c>
      <c r="K8363" s="0" t="n">
        <v>130</v>
      </c>
      <c r="L8363" s="0" t="s">
        <v>2598</v>
      </c>
      <c r="N8363" s="0" t="n">
        <v>13</v>
      </c>
      <c r="O8363" s="0" t="n">
        <v>80</v>
      </c>
      <c r="P8363" s="0" t="s">
        <v>2444</v>
      </c>
    </row>
    <row r="8364" customFormat="false" ht="15" hidden="false" customHeight="true" outlineLevel="0" collapsed="false">
      <c r="A8364" s="0" t="n">
        <v>2</v>
      </c>
      <c r="B8364" s="71" t="n">
        <v>46276</v>
      </c>
      <c r="C8364" s="0" t="n">
        <v>6</v>
      </c>
      <c r="D8364" s="0" t="s">
        <v>2553</v>
      </c>
      <c r="E8364" s="0" t="n">
        <v>48</v>
      </c>
      <c r="F8364" s="0" t="s">
        <v>153</v>
      </c>
      <c r="I8364" s="0" t="n">
        <v>2669</v>
      </c>
      <c r="J8364" s="0" t="n">
        <v>100130</v>
      </c>
      <c r="K8364" s="0" t="n">
        <v>131</v>
      </c>
      <c r="L8364" s="0" t="s">
        <v>2545</v>
      </c>
      <c r="N8364" s="0" t="n">
        <v>30</v>
      </c>
      <c r="O8364" s="0" t="n">
        <v>240</v>
      </c>
      <c r="P8364" s="0" t="s">
        <v>2444</v>
      </c>
    </row>
    <row r="8365" customFormat="false" ht="15" hidden="false" customHeight="true" outlineLevel="0" collapsed="false">
      <c r="A8365" s="0" t="n">
        <v>2</v>
      </c>
      <c r="B8365" s="71" t="n">
        <v>46276</v>
      </c>
      <c r="C8365" s="0" t="n">
        <v>6</v>
      </c>
      <c r="D8365" s="0" t="s">
        <v>2553</v>
      </c>
      <c r="E8365" s="0" t="n">
        <v>48</v>
      </c>
      <c r="F8365" s="0" t="s">
        <v>153</v>
      </c>
      <c r="I8365" s="0" t="n">
        <v>2669</v>
      </c>
      <c r="J8365" s="0" t="n">
        <v>100132</v>
      </c>
      <c r="K8365" s="0" t="n">
        <v>133</v>
      </c>
      <c r="L8365" s="0" t="s">
        <v>2546</v>
      </c>
      <c r="N8365" s="0" t="n">
        <v>34.095</v>
      </c>
      <c r="O8365" s="0" t="n">
        <v>114</v>
      </c>
      <c r="P8365" s="0" t="s">
        <v>2444</v>
      </c>
    </row>
    <row r="8366" customFormat="false" ht="15" hidden="false" customHeight="true" outlineLevel="0" collapsed="false">
      <c r="A8366" s="0" t="n">
        <v>2</v>
      </c>
      <c r="B8366" s="71" t="n">
        <v>46276</v>
      </c>
      <c r="C8366" s="0" t="n">
        <v>6</v>
      </c>
      <c r="D8366" s="0" t="s">
        <v>2553</v>
      </c>
      <c r="E8366" s="0" t="n">
        <v>48</v>
      </c>
      <c r="F8366" s="0" t="s">
        <v>153</v>
      </c>
      <c r="I8366" s="0" t="n">
        <v>2669</v>
      </c>
      <c r="J8366" s="0" t="n">
        <v>100133</v>
      </c>
      <c r="K8366" s="0" t="n">
        <v>134</v>
      </c>
      <c r="L8366" s="0" t="s">
        <v>2547</v>
      </c>
      <c r="N8366" s="0" t="n">
        <v>20</v>
      </c>
      <c r="O8366" s="0" t="n">
        <v>90</v>
      </c>
      <c r="P8366" s="0" t="s">
        <v>2444</v>
      </c>
    </row>
    <row r="8367" customFormat="false" ht="15" hidden="false" customHeight="true" outlineLevel="0" collapsed="false">
      <c r="A8367" s="0" t="n">
        <v>2</v>
      </c>
      <c r="B8367" s="71" t="n">
        <v>46276</v>
      </c>
      <c r="C8367" s="0" t="n">
        <v>6</v>
      </c>
      <c r="D8367" s="0" t="s">
        <v>2553</v>
      </c>
      <c r="E8367" s="0" t="n">
        <v>48</v>
      </c>
      <c r="F8367" s="0" t="s">
        <v>153</v>
      </c>
      <c r="I8367" s="0" t="n">
        <v>2669</v>
      </c>
      <c r="J8367" s="0" t="n">
        <v>100148</v>
      </c>
      <c r="K8367" s="0" t="n">
        <v>149</v>
      </c>
      <c r="L8367" s="0" t="s">
        <v>2600</v>
      </c>
      <c r="N8367" s="0" t="n">
        <v>36</v>
      </c>
      <c r="O8367" s="0" t="n">
        <v>240</v>
      </c>
      <c r="P8367" s="0" t="s">
        <v>2444</v>
      </c>
    </row>
    <row r="8368" customFormat="false" ht="15" hidden="false" customHeight="true" outlineLevel="0" collapsed="false">
      <c r="A8368" s="0" t="n">
        <v>2</v>
      </c>
      <c r="B8368" s="71" t="n">
        <v>46276</v>
      </c>
      <c r="C8368" s="0" t="n">
        <v>6</v>
      </c>
      <c r="D8368" s="0" t="s">
        <v>2553</v>
      </c>
      <c r="E8368" s="0" t="n">
        <v>48</v>
      </c>
      <c r="F8368" s="0" t="s">
        <v>153</v>
      </c>
      <c r="I8368" s="0" t="n">
        <v>2669</v>
      </c>
      <c r="J8368" s="0" t="n">
        <v>110165</v>
      </c>
      <c r="K8368" s="0" t="n">
        <v>37441</v>
      </c>
      <c r="L8368" s="0" t="s">
        <v>4682</v>
      </c>
      <c r="N8368" s="0" t="n">
        <v>10</v>
      </c>
      <c r="O8368" s="0" t="n">
        <v>100</v>
      </c>
      <c r="P8368" s="0" t="s">
        <v>2444</v>
      </c>
    </row>
    <row r="8369" customFormat="false" ht="15" hidden="false" customHeight="true" outlineLevel="0" collapsed="false">
      <c r="A8369" s="0" t="n">
        <v>2</v>
      </c>
      <c r="B8369" s="71" t="n">
        <v>46276</v>
      </c>
      <c r="C8369" s="0" t="n">
        <v>6</v>
      </c>
      <c r="D8369" s="0" t="s">
        <v>2553</v>
      </c>
      <c r="E8369" s="0" t="n">
        <v>48</v>
      </c>
      <c r="F8369" s="0" t="s">
        <v>153</v>
      </c>
      <c r="I8369" s="0" t="n">
        <v>2669</v>
      </c>
      <c r="J8369" s="0" t="n">
        <v>110489</v>
      </c>
      <c r="K8369" s="0" t="n">
        <v>54743</v>
      </c>
      <c r="L8369" s="0" t="s">
        <v>2550</v>
      </c>
      <c r="N8369" s="0" t="n">
        <v>60</v>
      </c>
      <c r="O8369" s="0" t="n">
        <v>390</v>
      </c>
      <c r="P8369" s="0" t="s">
        <v>2444</v>
      </c>
    </row>
    <row r="8370" customFormat="false" ht="15" hidden="false" customHeight="true" outlineLevel="0" collapsed="false">
      <c r="A8370" s="0" t="n">
        <v>2</v>
      </c>
      <c r="B8370" s="71" t="n">
        <v>46276</v>
      </c>
      <c r="C8370" s="0" t="n">
        <v>6</v>
      </c>
      <c r="D8370" s="0" t="s">
        <v>2553</v>
      </c>
      <c r="E8370" s="0" t="n">
        <v>48</v>
      </c>
      <c r="F8370" s="0" t="s">
        <v>153</v>
      </c>
      <c r="I8370" s="0" t="n">
        <v>2669</v>
      </c>
      <c r="J8370" s="0" t="n">
        <v>80078</v>
      </c>
      <c r="K8370" s="0" t="n">
        <v>710</v>
      </c>
      <c r="L8370" s="0" t="s">
        <v>2551</v>
      </c>
      <c r="N8370" s="0" t="n">
        <v>10</v>
      </c>
      <c r="O8370" s="0" t="n">
        <v>30</v>
      </c>
      <c r="P8370" s="0" t="s">
        <v>2444</v>
      </c>
    </row>
    <row r="8371" customFormat="false" ht="15" hidden="false" customHeight="true" outlineLevel="0" collapsed="false">
      <c r="A8371" s="0" t="n">
        <v>2</v>
      </c>
      <c r="B8371" s="71" t="n">
        <v>46276</v>
      </c>
      <c r="C8371" s="0" t="n">
        <v>6</v>
      </c>
      <c r="D8371" s="0" t="s">
        <v>2553</v>
      </c>
      <c r="E8371" s="0" t="n">
        <v>48</v>
      </c>
      <c r="F8371" s="0" t="s">
        <v>153</v>
      </c>
      <c r="I8371" s="0" t="n">
        <v>2669</v>
      </c>
      <c r="J8371" s="0" t="n">
        <v>81106</v>
      </c>
      <c r="K8371" s="0" t="n">
        <v>1168</v>
      </c>
      <c r="L8371" s="0" t="s">
        <v>4683</v>
      </c>
      <c r="N8371" s="0" t="n">
        <v>20</v>
      </c>
      <c r="O8371" s="0" t="n">
        <v>100</v>
      </c>
      <c r="P8371" s="0" t="s">
        <v>2444</v>
      </c>
    </row>
    <row r="8372" customFormat="false" ht="15" hidden="false" customHeight="true" outlineLevel="0" collapsed="false">
      <c r="A8372" s="0" t="n">
        <v>2</v>
      </c>
      <c r="B8372" s="71" t="n">
        <v>46276</v>
      </c>
      <c r="C8372" s="0" t="n">
        <v>11</v>
      </c>
      <c r="D8372" s="0" t="s">
        <v>2471</v>
      </c>
      <c r="E8372" s="0" t="n">
        <v>10096</v>
      </c>
      <c r="F8372" s="0" t="s">
        <v>622</v>
      </c>
      <c r="I8372" s="0" t="n">
        <v>278</v>
      </c>
      <c r="J8372" s="0" t="n">
        <v>61580</v>
      </c>
      <c r="K8372" s="0" t="n">
        <v>2258157</v>
      </c>
      <c r="L8372" s="0" t="s">
        <v>2509</v>
      </c>
      <c r="N8372" s="0" t="n">
        <v>15</v>
      </c>
      <c r="O8372" s="0" t="n">
        <v>180</v>
      </c>
      <c r="P8372" s="0" t="s">
        <v>2444</v>
      </c>
    </row>
    <row r="8373" customFormat="false" ht="15" hidden="false" customHeight="true" outlineLevel="0" collapsed="false">
      <c r="A8373" s="0" t="n">
        <v>2</v>
      </c>
      <c r="B8373" s="71" t="n">
        <v>46276</v>
      </c>
      <c r="C8373" s="0" t="n">
        <v>11</v>
      </c>
      <c r="D8373" s="0" t="s">
        <v>2471</v>
      </c>
      <c r="E8373" s="0" t="n">
        <v>10096</v>
      </c>
      <c r="F8373" s="0" t="s">
        <v>622</v>
      </c>
      <c r="I8373" s="0" t="n">
        <v>278</v>
      </c>
      <c r="J8373" s="0" t="n">
        <v>61597</v>
      </c>
      <c r="K8373" s="0" t="n">
        <v>2258188</v>
      </c>
      <c r="L8373" s="0" t="s">
        <v>2510</v>
      </c>
      <c r="N8373" s="0" t="n">
        <v>5</v>
      </c>
      <c r="O8373" s="0" t="n">
        <v>20</v>
      </c>
      <c r="P8373" s="0" t="s">
        <v>2444</v>
      </c>
    </row>
    <row r="8374" customFormat="false" ht="15" hidden="false" customHeight="true" outlineLevel="0" collapsed="false">
      <c r="A8374" s="0" t="n">
        <v>2</v>
      </c>
      <c r="B8374" s="71" t="n">
        <v>46276</v>
      </c>
      <c r="C8374" s="0" t="n">
        <v>11</v>
      </c>
      <c r="D8374" s="0" t="s">
        <v>2471</v>
      </c>
      <c r="E8374" s="0" t="n">
        <v>10035</v>
      </c>
      <c r="F8374" s="0" t="s">
        <v>86</v>
      </c>
      <c r="I8374" s="0" t="n">
        <v>440</v>
      </c>
      <c r="J8374" s="0" t="n">
        <v>38652</v>
      </c>
      <c r="K8374" s="0" t="n">
        <v>7898994684220</v>
      </c>
      <c r="L8374" s="0" t="s">
        <v>2711</v>
      </c>
      <c r="N8374" s="0" t="n">
        <v>20</v>
      </c>
      <c r="O8374" s="0" t="n">
        <v>190</v>
      </c>
      <c r="P8374" s="0" t="s">
        <v>2444</v>
      </c>
    </row>
    <row r="8375" customFormat="false" ht="15" hidden="false" customHeight="true" outlineLevel="0" collapsed="false">
      <c r="A8375" s="0" t="n">
        <v>2</v>
      </c>
      <c r="B8375" s="71" t="n">
        <v>46276</v>
      </c>
      <c r="C8375" s="0" t="n">
        <v>11</v>
      </c>
      <c r="D8375" s="0" t="s">
        <v>2471</v>
      </c>
      <c r="E8375" s="0" t="n">
        <v>10035</v>
      </c>
      <c r="F8375" s="0" t="s">
        <v>86</v>
      </c>
      <c r="I8375" s="0" t="n">
        <v>440</v>
      </c>
      <c r="J8375" s="0" t="n">
        <v>38653</v>
      </c>
      <c r="K8375" s="0" t="n">
        <v>7898994684275</v>
      </c>
      <c r="L8375" s="0" t="s">
        <v>2712</v>
      </c>
      <c r="N8375" s="0" t="n">
        <v>20</v>
      </c>
      <c r="O8375" s="0" t="n">
        <v>96</v>
      </c>
      <c r="P8375" s="0" t="s">
        <v>2444</v>
      </c>
    </row>
    <row r="8376" customFormat="false" ht="15" hidden="false" customHeight="true" outlineLevel="0" collapsed="false">
      <c r="A8376" s="0" t="n">
        <v>2</v>
      </c>
      <c r="B8376" s="71" t="n">
        <v>46276</v>
      </c>
      <c r="C8376" s="0" t="n">
        <v>11</v>
      </c>
      <c r="D8376" s="0" t="s">
        <v>2471</v>
      </c>
      <c r="E8376" s="0" t="n">
        <v>1899</v>
      </c>
      <c r="F8376" s="0" t="s">
        <v>204</v>
      </c>
      <c r="I8376" s="0" t="n">
        <v>802</v>
      </c>
      <c r="J8376" s="0" t="n">
        <v>77463</v>
      </c>
      <c r="K8376" s="0" t="n">
        <v>774642</v>
      </c>
      <c r="L8376" s="0" t="s">
        <v>2445</v>
      </c>
      <c r="N8376" s="0" t="n">
        <v>30</v>
      </c>
      <c r="O8376" s="0" t="n">
        <v>135</v>
      </c>
      <c r="P8376" s="0" t="s">
        <v>2444</v>
      </c>
    </row>
    <row r="8377" customFormat="false" ht="15" hidden="false" customHeight="true" outlineLevel="0" collapsed="false">
      <c r="A8377" s="0" t="n">
        <v>2</v>
      </c>
      <c r="B8377" s="71" t="n">
        <v>46276</v>
      </c>
      <c r="C8377" s="0" t="n">
        <v>11</v>
      </c>
      <c r="D8377" s="0" t="s">
        <v>2471</v>
      </c>
      <c r="E8377" s="0" t="n">
        <v>1899</v>
      </c>
      <c r="F8377" s="0" t="s">
        <v>204</v>
      </c>
      <c r="I8377" s="0" t="n">
        <v>802</v>
      </c>
      <c r="J8377" s="0" t="n">
        <v>77465</v>
      </c>
      <c r="K8377" s="0" t="n">
        <v>774666</v>
      </c>
      <c r="L8377" s="0" t="s">
        <v>2446</v>
      </c>
      <c r="N8377" s="0" t="n">
        <v>15</v>
      </c>
      <c r="O8377" s="0" t="n">
        <v>74.85</v>
      </c>
      <c r="P8377" s="0" t="s">
        <v>2444</v>
      </c>
    </row>
    <row r="8378" customFormat="false" ht="15" hidden="false" customHeight="true" outlineLevel="0" collapsed="false">
      <c r="A8378" s="0" t="n">
        <v>2</v>
      </c>
      <c r="B8378" s="71" t="n">
        <v>46276</v>
      </c>
      <c r="C8378" s="0" t="n">
        <v>11</v>
      </c>
      <c r="D8378" s="0" t="s">
        <v>2471</v>
      </c>
      <c r="E8378" s="0" t="n">
        <v>1899</v>
      </c>
      <c r="F8378" s="0" t="s">
        <v>204</v>
      </c>
      <c r="I8378" s="0" t="n">
        <v>802</v>
      </c>
      <c r="J8378" s="0" t="n">
        <v>78015</v>
      </c>
      <c r="K8378" s="0" t="n">
        <v>780162</v>
      </c>
      <c r="L8378" s="0" t="s">
        <v>2447</v>
      </c>
      <c r="N8378" s="0" t="n">
        <v>10</v>
      </c>
      <c r="O8378" s="0" t="n">
        <v>49.9</v>
      </c>
      <c r="P8378" s="0" t="s">
        <v>2444</v>
      </c>
    </row>
    <row r="8379" customFormat="false" ht="15" hidden="false" customHeight="true" outlineLevel="0" collapsed="false">
      <c r="A8379" s="0" t="n">
        <v>2</v>
      </c>
      <c r="B8379" s="71" t="n">
        <v>46276</v>
      </c>
      <c r="C8379" s="0" t="n">
        <v>11</v>
      </c>
      <c r="D8379" s="0" t="s">
        <v>2471</v>
      </c>
      <c r="E8379" s="0" t="n">
        <v>1328</v>
      </c>
      <c r="F8379" s="0" t="s">
        <v>95</v>
      </c>
      <c r="I8379" s="0" t="n">
        <v>4614</v>
      </c>
      <c r="J8379" s="0" t="n">
        <v>50310</v>
      </c>
      <c r="K8379" s="0" t="n">
        <v>7898588380101</v>
      </c>
      <c r="L8379" s="0" t="s">
        <v>2502</v>
      </c>
      <c r="N8379" s="0" t="n">
        <v>2</v>
      </c>
      <c r="O8379" s="0" t="n">
        <v>14.5</v>
      </c>
      <c r="P8379" s="0" t="s">
        <v>2444</v>
      </c>
    </row>
    <row r="8380" customFormat="false" ht="15" hidden="false" customHeight="true" outlineLevel="0" collapsed="false">
      <c r="A8380" s="0" t="n">
        <v>2</v>
      </c>
      <c r="B8380" s="71" t="n">
        <v>46276</v>
      </c>
      <c r="C8380" s="0" t="n">
        <v>11</v>
      </c>
      <c r="D8380" s="0" t="s">
        <v>2471</v>
      </c>
      <c r="E8380" s="0" t="n">
        <v>1328</v>
      </c>
      <c r="F8380" s="0" t="s">
        <v>95</v>
      </c>
      <c r="I8380" s="0" t="n">
        <v>4614</v>
      </c>
      <c r="J8380" s="0" t="n">
        <v>21060</v>
      </c>
      <c r="K8380" s="0" t="n">
        <v>7898588380118</v>
      </c>
      <c r="L8380" s="0" t="s">
        <v>2504</v>
      </c>
      <c r="N8380" s="0" t="n">
        <v>10</v>
      </c>
      <c r="O8380" s="0" t="n">
        <v>65</v>
      </c>
      <c r="P8380" s="0" t="s">
        <v>2444</v>
      </c>
    </row>
    <row r="8381" customFormat="false" ht="15" hidden="false" customHeight="true" outlineLevel="0" collapsed="false">
      <c r="A8381" s="0" t="n">
        <v>2</v>
      </c>
      <c r="B8381" s="71" t="n">
        <v>46276</v>
      </c>
      <c r="C8381" s="0" t="n">
        <v>11</v>
      </c>
      <c r="D8381" s="0" t="s">
        <v>2471</v>
      </c>
      <c r="E8381" s="0" t="n">
        <v>1328</v>
      </c>
      <c r="F8381" s="0" t="s">
        <v>95</v>
      </c>
      <c r="I8381" s="0" t="n">
        <v>4614</v>
      </c>
      <c r="J8381" s="0" t="n">
        <v>31789</v>
      </c>
      <c r="K8381" s="0" t="n">
        <v>7898588380149</v>
      </c>
      <c r="L8381" s="0" t="s">
        <v>2446</v>
      </c>
      <c r="N8381" s="0" t="n">
        <v>2</v>
      </c>
      <c r="O8381" s="0" t="n">
        <v>11</v>
      </c>
      <c r="P8381" s="0" t="s">
        <v>2444</v>
      </c>
    </row>
    <row r="8382" customFormat="false" ht="15" hidden="false" customHeight="true" outlineLevel="0" collapsed="false">
      <c r="A8382" s="0" t="n">
        <v>2</v>
      </c>
      <c r="B8382" s="71" t="n">
        <v>46276</v>
      </c>
      <c r="C8382" s="0" t="n">
        <v>11</v>
      </c>
      <c r="D8382" s="0" t="s">
        <v>2471</v>
      </c>
      <c r="E8382" s="0" t="n">
        <v>1328</v>
      </c>
      <c r="F8382" s="0" t="s">
        <v>95</v>
      </c>
      <c r="I8382" s="0" t="n">
        <v>4614</v>
      </c>
      <c r="J8382" s="0" t="n">
        <v>31782</v>
      </c>
      <c r="K8382" s="0" t="n">
        <v>7898588380132</v>
      </c>
      <c r="L8382" s="0" t="s">
        <v>2505</v>
      </c>
      <c r="N8382" s="0" t="n">
        <v>3</v>
      </c>
      <c r="O8382" s="0" t="n">
        <v>16.5</v>
      </c>
      <c r="P8382" s="0" t="s">
        <v>2444</v>
      </c>
    </row>
    <row r="8383" customFormat="false" ht="15" hidden="false" customHeight="true" outlineLevel="0" collapsed="false">
      <c r="A8383" s="0" t="n">
        <v>2</v>
      </c>
      <c r="B8383" s="71" t="n">
        <v>46276</v>
      </c>
      <c r="C8383" s="0" t="n">
        <v>11</v>
      </c>
      <c r="D8383" s="0" t="s">
        <v>2471</v>
      </c>
      <c r="E8383" s="0" t="n">
        <v>1328</v>
      </c>
      <c r="F8383" s="0" t="s">
        <v>95</v>
      </c>
      <c r="I8383" s="0" t="n">
        <v>4614</v>
      </c>
      <c r="J8383" s="0" t="n">
        <v>31784</v>
      </c>
      <c r="K8383" s="0" t="n">
        <v>7898588380545</v>
      </c>
      <c r="L8383" s="0" t="s">
        <v>2590</v>
      </c>
      <c r="N8383" s="0" t="n">
        <v>3</v>
      </c>
      <c r="O8383" s="0" t="n">
        <v>16.5</v>
      </c>
      <c r="P8383" s="0" t="s">
        <v>2444</v>
      </c>
    </row>
    <row r="8384" customFormat="false" ht="15" hidden="false" customHeight="true" outlineLevel="0" collapsed="false">
      <c r="A8384" s="0" t="n">
        <v>2</v>
      </c>
      <c r="B8384" s="71" t="n">
        <v>46276</v>
      </c>
      <c r="C8384" s="0" t="n">
        <v>11</v>
      </c>
      <c r="D8384" s="0" t="s">
        <v>2471</v>
      </c>
      <c r="E8384" s="0" t="n">
        <v>1328</v>
      </c>
      <c r="F8384" s="0" t="s">
        <v>95</v>
      </c>
      <c r="I8384" s="0" t="n">
        <v>4614</v>
      </c>
      <c r="J8384" s="0" t="n">
        <v>31786</v>
      </c>
      <c r="K8384" s="0" t="n">
        <v>7898588380187</v>
      </c>
      <c r="L8384" s="0" t="s">
        <v>2506</v>
      </c>
      <c r="N8384" s="0" t="n">
        <v>4</v>
      </c>
      <c r="O8384" s="0" t="n">
        <v>22</v>
      </c>
      <c r="P8384" s="0" t="s">
        <v>2444</v>
      </c>
    </row>
    <row r="8385" customFormat="false" ht="15" hidden="false" customHeight="true" outlineLevel="0" collapsed="false">
      <c r="A8385" s="0" t="n">
        <v>2</v>
      </c>
      <c r="B8385" s="71" t="n">
        <v>46276</v>
      </c>
      <c r="C8385" s="0" t="n">
        <v>11</v>
      </c>
      <c r="D8385" s="0" t="s">
        <v>2471</v>
      </c>
      <c r="E8385" s="0" t="n">
        <v>1328</v>
      </c>
      <c r="F8385" s="0" t="s">
        <v>95</v>
      </c>
      <c r="I8385" s="0" t="n">
        <v>4614</v>
      </c>
      <c r="J8385" s="0" t="n">
        <v>31787</v>
      </c>
      <c r="K8385" s="0" t="n">
        <v>7898588380125</v>
      </c>
      <c r="L8385" s="0" t="s">
        <v>2507</v>
      </c>
      <c r="N8385" s="0" t="n">
        <v>4</v>
      </c>
      <c r="O8385" s="0" t="n">
        <v>33.6</v>
      </c>
      <c r="P8385" s="0" t="s">
        <v>2444</v>
      </c>
    </row>
    <row r="8386" customFormat="false" ht="15" hidden="false" customHeight="true" outlineLevel="0" collapsed="false">
      <c r="A8386" s="0" t="n">
        <v>2</v>
      </c>
      <c r="B8386" s="71" t="n">
        <v>46276</v>
      </c>
      <c r="C8386" s="0" t="n">
        <v>11</v>
      </c>
      <c r="D8386" s="0" t="s">
        <v>2471</v>
      </c>
      <c r="E8386" s="0" t="n">
        <v>1328</v>
      </c>
      <c r="F8386" s="0" t="s">
        <v>95</v>
      </c>
      <c r="I8386" s="0" t="n">
        <v>4614</v>
      </c>
      <c r="J8386" s="0" t="n">
        <v>31790</v>
      </c>
      <c r="K8386" s="0" t="n">
        <v>7898588380231</v>
      </c>
      <c r="L8386" s="0" t="s">
        <v>2508</v>
      </c>
      <c r="N8386" s="0" t="n">
        <v>3</v>
      </c>
      <c r="O8386" s="0" t="n">
        <v>16.5</v>
      </c>
      <c r="P8386" s="0" t="s">
        <v>2444</v>
      </c>
    </row>
    <row r="8387" customFormat="false" ht="15" hidden="false" customHeight="true" outlineLevel="0" collapsed="false">
      <c r="A8387" s="0" t="n">
        <v>2</v>
      </c>
      <c r="B8387" s="71" t="n">
        <v>46276</v>
      </c>
      <c r="C8387" s="0" t="n">
        <v>11</v>
      </c>
      <c r="D8387" s="0" t="s">
        <v>2471</v>
      </c>
      <c r="E8387" s="0" t="n">
        <v>1328</v>
      </c>
      <c r="F8387" s="0" t="s">
        <v>95</v>
      </c>
      <c r="I8387" s="0" t="n">
        <v>4614</v>
      </c>
      <c r="J8387" s="0" t="n">
        <v>31790</v>
      </c>
      <c r="K8387" s="0" t="n">
        <v>7898588380231</v>
      </c>
      <c r="L8387" s="0" t="s">
        <v>2508</v>
      </c>
      <c r="N8387" s="0" t="n">
        <v>3</v>
      </c>
      <c r="O8387" s="0" t="n">
        <v>16.5</v>
      </c>
      <c r="P8387" s="0" t="s">
        <v>2444</v>
      </c>
    </row>
    <row r="8388" customFormat="false" ht="15" hidden="false" customHeight="true" outlineLevel="0" collapsed="false">
      <c r="A8388" s="0" t="n">
        <v>2</v>
      </c>
      <c r="B8388" s="71" t="n">
        <v>46276</v>
      </c>
      <c r="C8388" s="0" t="n">
        <v>11</v>
      </c>
      <c r="D8388" s="0" t="s">
        <v>2471</v>
      </c>
      <c r="E8388" s="0" t="n">
        <v>1692</v>
      </c>
      <c r="F8388" s="0" t="s">
        <v>1777</v>
      </c>
      <c r="I8388" s="0" t="n">
        <v>45405</v>
      </c>
      <c r="J8388" s="0" t="n">
        <v>105517</v>
      </c>
      <c r="K8388" s="0" t="n">
        <v>7897235000188</v>
      </c>
      <c r="L8388" s="0" t="s">
        <v>5332</v>
      </c>
      <c r="N8388" s="0" t="n">
        <v>40</v>
      </c>
      <c r="O8388" s="0" t="n">
        <v>244</v>
      </c>
      <c r="P8388" s="0" t="s">
        <v>2444</v>
      </c>
    </row>
    <row r="8389" customFormat="false" ht="15" hidden="false" customHeight="true" outlineLevel="0" collapsed="false">
      <c r="A8389" s="0" t="n">
        <v>2</v>
      </c>
      <c r="B8389" s="71" t="n">
        <v>46276</v>
      </c>
      <c r="C8389" s="0" t="n">
        <v>11</v>
      </c>
      <c r="D8389" s="0" t="s">
        <v>2471</v>
      </c>
      <c r="E8389" s="0" t="n">
        <v>1692</v>
      </c>
      <c r="F8389" s="0" t="s">
        <v>1777</v>
      </c>
      <c r="I8389" s="0" t="n">
        <v>45405</v>
      </c>
      <c r="J8389" s="0" t="n">
        <v>56038</v>
      </c>
      <c r="K8389" s="0" t="n">
        <v>7897235000409</v>
      </c>
      <c r="L8389" s="0" t="s">
        <v>5333</v>
      </c>
      <c r="N8389" s="0" t="n">
        <v>40</v>
      </c>
      <c r="O8389" s="0" t="n">
        <v>184</v>
      </c>
      <c r="P8389" s="0" t="s">
        <v>2444</v>
      </c>
    </row>
    <row r="8390" customFormat="false" ht="15" hidden="false" customHeight="true" outlineLevel="0" collapsed="false">
      <c r="A8390" s="0" t="n">
        <v>2</v>
      </c>
      <c r="B8390" s="71" t="n">
        <v>46276</v>
      </c>
      <c r="C8390" s="0" t="n">
        <v>11</v>
      </c>
      <c r="D8390" s="0" t="s">
        <v>2471</v>
      </c>
      <c r="E8390" s="0" t="n">
        <v>1601</v>
      </c>
      <c r="F8390" s="0" t="s">
        <v>193</v>
      </c>
      <c r="I8390" s="0" t="n">
        <v>871154</v>
      </c>
      <c r="J8390" s="0" t="n">
        <v>109635</v>
      </c>
      <c r="K8390" s="0" t="n">
        <v>7896593401262</v>
      </c>
      <c r="L8390" s="0" t="s">
        <v>5334</v>
      </c>
      <c r="N8390" s="0" t="n">
        <v>20</v>
      </c>
      <c r="O8390" s="0" t="n">
        <v>42.81</v>
      </c>
      <c r="P8390" s="0" t="s">
        <v>2444</v>
      </c>
    </row>
    <row r="8391" customFormat="false" ht="15" hidden="false" customHeight="true" outlineLevel="0" collapsed="false">
      <c r="A8391" s="0" t="n">
        <v>2</v>
      </c>
      <c r="B8391" s="71" t="n">
        <v>46276</v>
      </c>
      <c r="C8391" s="0" t="n">
        <v>11</v>
      </c>
      <c r="D8391" s="0" t="s">
        <v>2471</v>
      </c>
      <c r="E8391" s="0" t="n">
        <v>1601</v>
      </c>
      <c r="F8391" s="0" t="s">
        <v>193</v>
      </c>
      <c r="I8391" s="0" t="n">
        <v>871154</v>
      </c>
      <c r="J8391" s="0" t="n">
        <v>18478</v>
      </c>
      <c r="K8391" s="0" t="n">
        <v>7898943163011</v>
      </c>
      <c r="L8391" s="0" t="s">
        <v>3933</v>
      </c>
      <c r="N8391" s="0" t="n">
        <v>50</v>
      </c>
      <c r="O8391" s="0" t="n">
        <v>231.59</v>
      </c>
      <c r="P8391" s="0" t="s">
        <v>2444</v>
      </c>
    </row>
    <row r="8392" customFormat="false" ht="15" hidden="false" customHeight="true" outlineLevel="0" collapsed="false">
      <c r="A8392" s="0" t="n">
        <v>2</v>
      </c>
      <c r="B8392" s="71" t="n">
        <v>46276</v>
      </c>
      <c r="C8392" s="0" t="n">
        <v>11</v>
      </c>
      <c r="D8392" s="0" t="s">
        <v>2471</v>
      </c>
      <c r="E8392" s="0" t="n">
        <v>1601</v>
      </c>
      <c r="F8392" s="0" t="s">
        <v>193</v>
      </c>
      <c r="I8392" s="0" t="n">
        <v>871154</v>
      </c>
      <c r="J8392" s="0" t="n">
        <v>75062</v>
      </c>
      <c r="K8392" s="0" t="n">
        <v>7896593403839</v>
      </c>
      <c r="L8392" s="0" t="s">
        <v>5335</v>
      </c>
      <c r="N8392" s="0" t="n">
        <v>40</v>
      </c>
      <c r="O8392" s="0" t="n">
        <v>82.82</v>
      </c>
      <c r="P8392" s="0" t="s">
        <v>2444</v>
      </c>
    </row>
    <row r="8393" customFormat="false" ht="15" hidden="false" customHeight="true" outlineLevel="0" collapsed="false">
      <c r="A8393" s="0" t="n">
        <v>2</v>
      </c>
      <c r="B8393" s="71" t="n">
        <v>46276</v>
      </c>
      <c r="C8393" s="0" t="n">
        <v>11</v>
      </c>
      <c r="D8393" s="0" t="s">
        <v>2471</v>
      </c>
      <c r="E8393" s="0" t="n">
        <v>1642</v>
      </c>
      <c r="F8393" s="0" t="s">
        <v>228</v>
      </c>
      <c r="I8393" s="0" t="n">
        <v>1041221</v>
      </c>
      <c r="J8393" s="0" t="n">
        <v>105780</v>
      </c>
      <c r="K8393" s="0" t="n">
        <v>7896289210017</v>
      </c>
      <c r="L8393" s="0" t="s">
        <v>2511</v>
      </c>
      <c r="N8393" s="0" t="n">
        <v>10</v>
      </c>
      <c r="O8393" s="0" t="n">
        <v>106.7</v>
      </c>
      <c r="P8393" s="0" t="s">
        <v>2444</v>
      </c>
    </row>
    <row r="8394" customFormat="false" ht="15" hidden="false" customHeight="true" outlineLevel="0" collapsed="false">
      <c r="A8394" s="0" t="n">
        <v>2</v>
      </c>
      <c r="B8394" s="71" t="n">
        <v>46276</v>
      </c>
      <c r="C8394" s="0" t="n">
        <v>11</v>
      </c>
      <c r="D8394" s="0" t="s">
        <v>2471</v>
      </c>
      <c r="E8394" s="0" t="n">
        <v>1642</v>
      </c>
      <c r="F8394" s="0" t="s">
        <v>228</v>
      </c>
      <c r="I8394" s="0" t="n">
        <v>1041221</v>
      </c>
      <c r="J8394" s="0" t="n">
        <v>106079</v>
      </c>
      <c r="K8394" s="0" t="n">
        <v>7896289210130</v>
      </c>
      <c r="L8394" s="0" t="s">
        <v>2513</v>
      </c>
      <c r="N8394" s="0" t="n">
        <v>3</v>
      </c>
      <c r="O8394" s="0" t="n">
        <v>41.1</v>
      </c>
      <c r="P8394" s="0" t="s">
        <v>2444</v>
      </c>
    </row>
    <row r="8395" customFormat="false" ht="15" hidden="false" customHeight="true" outlineLevel="0" collapsed="false">
      <c r="A8395" s="0" t="n">
        <v>2</v>
      </c>
      <c r="B8395" s="71" t="n">
        <v>46276</v>
      </c>
      <c r="C8395" s="0" t="n">
        <v>11</v>
      </c>
      <c r="D8395" s="0" t="s">
        <v>2471</v>
      </c>
      <c r="E8395" s="0" t="n">
        <v>1642</v>
      </c>
      <c r="F8395" s="0" t="s">
        <v>228</v>
      </c>
      <c r="I8395" s="0" t="n">
        <v>1041221</v>
      </c>
      <c r="J8395" s="0" t="n">
        <v>106274</v>
      </c>
      <c r="K8395" s="0" t="n">
        <v>7896289210086</v>
      </c>
      <c r="L8395" s="0" t="s">
        <v>2514</v>
      </c>
      <c r="N8395" s="0" t="n">
        <v>4</v>
      </c>
      <c r="O8395" s="0" t="n">
        <v>50.24</v>
      </c>
      <c r="P8395" s="0" t="s">
        <v>2444</v>
      </c>
    </row>
    <row r="8396" customFormat="false" ht="15" hidden="false" customHeight="true" outlineLevel="0" collapsed="false">
      <c r="A8396" s="0" t="n">
        <v>2</v>
      </c>
      <c r="B8396" s="71" t="n">
        <v>46276</v>
      </c>
      <c r="C8396" s="0" t="n">
        <v>11</v>
      </c>
      <c r="D8396" s="0" t="s">
        <v>2471</v>
      </c>
      <c r="E8396" s="0" t="n">
        <v>1642</v>
      </c>
      <c r="F8396" s="0" t="s">
        <v>228</v>
      </c>
      <c r="I8396" s="0" t="n">
        <v>1041221</v>
      </c>
      <c r="J8396" s="0" t="n">
        <v>106280</v>
      </c>
      <c r="K8396" s="0" t="n">
        <v>7896289210062</v>
      </c>
      <c r="L8396" s="0" t="s">
        <v>2515</v>
      </c>
      <c r="N8396" s="0" t="n">
        <v>1</v>
      </c>
      <c r="O8396" s="0" t="n">
        <v>12.56</v>
      </c>
      <c r="P8396" s="0" t="s">
        <v>2444</v>
      </c>
    </row>
    <row r="8397" customFormat="false" ht="15" hidden="false" customHeight="true" outlineLevel="0" collapsed="false">
      <c r="A8397" s="0" t="n">
        <v>2</v>
      </c>
      <c r="B8397" s="71" t="n">
        <v>46276</v>
      </c>
      <c r="C8397" s="0" t="n">
        <v>11</v>
      </c>
      <c r="D8397" s="0" t="s">
        <v>2471</v>
      </c>
      <c r="E8397" s="0" t="n">
        <v>1642</v>
      </c>
      <c r="F8397" s="0" t="s">
        <v>228</v>
      </c>
      <c r="I8397" s="0" t="n">
        <v>1041221</v>
      </c>
      <c r="J8397" s="0" t="n">
        <v>106407</v>
      </c>
      <c r="K8397" s="0" t="n">
        <v>7896289210031</v>
      </c>
      <c r="L8397" s="0" t="s">
        <v>2516</v>
      </c>
      <c r="N8397" s="0" t="n">
        <v>5</v>
      </c>
      <c r="O8397" s="0" t="n">
        <v>58.2</v>
      </c>
      <c r="P8397" s="0" t="s">
        <v>2444</v>
      </c>
    </row>
    <row r="8398" customFormat="false" ht="15" hidden="false" customHeight="true" outlineLevel="0" collapsed="false">
      <c r="A8398" s="0" t="n">
        <v>2</v>
      </c>
      <c r="B8398" s="71" t="n">
        <v>46276</v>
      </c>
      <c r="C8398" s="0" t="n">
        <v>11</v>
      </c>
      <c r="D8398" s="0" t="s">
        <v>2471</v>
      </c>
      <c r="E8398" s="0" t="n">
        <v>1642</v>
      </c>
      <c r="F8398" s="0" t="s">
        <v>228</v>
      </c>
      <c r="I8398" s="0" t="n">
        <v>1041221</v>
      </c>
      <c r="J8398" s="0" t="n">
        <v>29706</v>
      </c>
      <c r="K8398" s="0" t="n">
        <v>7896289240205</v>
      </c>
      <c r="L8398" s="0" t="s">
        <v>2963</v>
      </c>
      <c r="N8398" s="0" t="n">
        <v>5</v>
      </c>
      <c r="O8398" s="0" t="n">
        <v>43</v>
      </c>
      <c r="P8398" s="0" t="s">
        <v>2444</v>
      </c>
    </row>
    <row r="8399" customFormat="false" ht="15" hidden="false" customHeight="true" outlineLevel="0" collapsed="false">
      <c r="A8399" s="0" t="n">
        <v>2</v>
      </c>
      <c r="B8399" s="71" t="n">
        <v>46276</v>
      </c>
      <c r="C8399" s="0" t="n">
        <v>11</v>
      </c>
      <c r="D8399" s="0" t="s">
        <v>2471</v>
      </c>
      <c r="E8399" s="0" t="n">
        <v>1613</v>
      </c>
      <c r="F8399" s="0" t="s">
        <v>50</v>
      </c>
      <c r="I8399" s="0" t="n">
        <v>1629386</v>
      </c>
      <c r="J8399" s="0" t="n">
        <v>100052</v>
      </c>
      <c r="K8399" s="0" t="n">
        <v>53</v>
      </c>
      <c r="L8399" s="0" t="s">
        <v>2967</v>
      </c>
      <c r="N8399" s="0" t="n">
        <v>32</v>
      </c>
      <c r="O8399" s="0" t="n">
        <v>957.44</v>
      </c>
      <c r="P8399" s="0" t="s">
        <v>2444</v>
      </c>
    </row>
    <row r="8400" customFormat="false" ht="15" hidden="false" customHeight="true" outlineLevel="0" collapsed="false">
      <c r="A8400" s="0" t="n">
        <v>2</v>
      </c>
      <c r="B8400" s="71" t="n">
        <v>46277</v>
      </c>
      <c r="C8400" s="0" t="n">
        <v>11</v>
      </c>
      <c r="D8400" s="0" t="s">
        <v>2471</v>
      </c>
      <c r="E8400" s="0" t="n">
        <v>10035</v>
      </c>
      <c r="F8400" s="0" t="s">
        <v>86</v>
      </c>
      <c r="I8400" s="0" t="n">
        <v>437</v>
      </c>
      <c r="J8400" s="0" t="n">
        <v>38652</v>
      </c>
      <c r="K8400" s="0" t="n">
        <v>7898994684220</v>
      </c>
      <c r="L8400" s="0" t="s">
        <v>2711</v>
      </c>
      <c r="N8400" s="0" t="n">
        <v>20</v>
      </c>
      <c r="O8400" s="0" t="n">
        <v>190</v>
      </c>
      <c r="P8400" s="0" t="s">
        <v>2444</v>
      </c>
    </row>
    <row r="8401" customFormat="false" ht="15" hidden="false" customHeight="true" outlineLevel="0" collapsed="false">
      <c r="A8401" s="0" t="n">
        <v>2</v>
      </c>
      <c r="B8401" s="71" t="n">
        <v>46277</v>
      </c>
      <c r="C8401" s="0" t="n">
        <v>11</v>
      </c>
      <c r="D8401" s="0" t="s">
        <v>2471</v>
      </c>
      <c r="E8401" s="0" t="n">
        <v>10035</v>
      </c>
      <c r="F8401" s="0" t="s">
        <v>86</v>
      </c>
      <c r="I8401" s="0" t="n">
        <v>437</v>
      </c>
      <c r="J8401" s="0" t="n">
        <v>38653</v>
      </c>
      <c r="K8401" s="0" t="n">
        <v>7898994684275</v>
      </c>
      <c r="L8401" s="0" t="s">
        <v>2712</v>
      </c>
      <c r="N8401" s="0" t="n">
        <v>15</v>
      </c>
      <c r="O8401" s="0" t="n">
        <v>72</v>
      </c>
      <c r="P8401" s="0" t="s">
        <v>2444</v>
      </c>
    </row>
    <row r="8402" customFormat="false" ht="15" hidden="false" customHeight="true" outlineLevel="0" collapsed="false">
      <c r="A8402" s="0" t="n">
        <v>2</v>
      </c>
      <c r="B8402" s="71" t="n">
        <v>46277</v>
      </c>
      <c r="C8402" s="0" t="n">
        <v>11</v>
      </c>
      <c r="D8402" s="0" t="s">
        <v>2471</v>
      </c>
      <c r="E8402" s="0" t="n">
        <v>10035</v>
      </c>
      <c r="F8402" s="0" t="s">
        <v>86</v>
      </c>
      <c r="I8402" s="0" t="n">
        <v>437</v>
      </c>
      <c r="J8402" s="0" t="n">
        <v>43726</v>
      </c>
      <c r="K8402" s="0" t="n">
        <v>2245461</v>
      </c>
      <c r="L8402" s="0" t="s">
        <v>5336</v>
      </c>
      <c r="N8402" s="0" t="n">
        <v>5</v>
      </c>
      <c r="O8402" s="0" t="n">
        <v>100</v>
      </c>
      <c r="P8402" s="0" t="s">
        <v>2444</v>
      </c>
    </row>
    <row r="8403" customFormat="false" ht="15" hidden="false" customHeight="true" outlineLevel="0" collapsed="false">
      <c r="A8403" s="0" t="n">
        <v>2</v>
      </c>
      <c r="B8403" s="71" t="n">
        <v>46277</v>
      </c>
      <c r="C8403" s="0" t="n">
        <v>11</v>
      </c>
      <c r="D8403" s="0" t="s">
        <v>2471</v>
      </c>
      <c r="E8403" s="0" t="n">
        <v>642</v>
      </c>
      <c r="F8403" s="0" t="s">
        <v>123</v>
      </c>
      <c r="I8403" s="0" t="n">
        <v>654</v>
      </c>
      <c r="J8403" s="0" t="n">
        <v>71766</v>
      </c>
      <c r="K8403" s="0" t="n">
        <v>779180</v>
      </c>
      <c r="L8403" s="0" t="s">
        <v>2501</v>
      </c>
      <c r="N8403" s="0" t="n">
        <v>15</v>
      </c>
      <c r="O8403" s="0" t="n">
        <v>180</v>
      </c>
      <c r="P8403" s="0" t="s">
        <v>2444</v>
      </c>
    </row>
    <row r="8404" customFormat="false" ht="15" hidden="false" customHeight="true" outlineLevel="0" collapsed="false">
      <c r="A8404" s="0" t="n">
        <v>2</v>
      </c>
      <c r="B8404" s="71" t="n">
        <v>46277</v>
      </c>
      <c r="C8404" s="0" t="n">
        <v>11</v>
      </c>
      <c r="D8404" s="0" t="s">
        <v>2471</v>
      </c>
      <c r="E8404" s="0" t="n">
        <v>1217</v>
      </c>
      <c r="F8404" s="0" t="s">
        <v>776</v>
      </c>
      <c r="I8404" s="0" t="n">
        <v>5521</v>
      </c>
      <c r="J8404" s="0" t="n">
        <v>50047</v>
      </c>
      <c r="K8404" s="0" t="n">
        <v>7891323075256</v>
      </c>
      <c r="L8404" s="0" t="s">
        <v>5337</v>
      </c>
      <c r="N8404" s="0" t="n">
        <v>12</v>
      </c>
      <c r="O8404" s="0" t="n">
        <v>53.76</v>
      </c>
      <c r="P8404" s="0" t="s">
        <v>2444</v>
      </c>
    </row>
    <row r="8405" customFormat="false" ht="15" hidden="false" customHeight="true" outlineLevel="0" collapsed="false">
      <c r="A8405" s="0" t="n">
        <v>2</v>
      </c>
      <c r="B8405" s="71" t="n">
        <v>46277</v>
      </c>
      <c r="C8405" s="0" t="n">
        <v>11</v>
      </c>
      <c r="D8405" s="0" t="s">
        <v>2471</v>
      </c>
      <c r="E8405" s="0" t="n">
        <v>1217</v>
      </c>
      <c r="F8405" s="0" t="s">
        <v>776</v>
      </c>
      <c r="I8405" s="0" t="n">
        <v>5521</v>
      </c>
      <c r="J8405" s="0" t="n">
        <v>15420</v>
      </c>
      <c r="K8405" s="0" t="n">
        <v>7891249061166</v>
      </c>
      <c r="L8405" s="0" t="s">
        <v>3802</v>
      </c>
      <c r="N8405" s="0" t="n">
        <v>10</v>
      </c>
      <c r="O8405" s="0" t="n">
        <v>209.4</v>
      </c>
      <c r="P8405" s="0" t="s">
        <v>2444</v>
      </c>
    </row>
    <row r="8406" customFormat="false" ht="15" hidden="false" customHeight="true" outlineLevel="0" collapsed="false">
      <c r="A8406" s="0" t="n">
        <v>2</v>
      </c>
      <c r="B8406" s="71" t="n">
        <v>46277</v>
      </c>
      <c r="C8406" s="0" t="n">
        <v>11</v>
      </c>
      <c r="D8406" s="0" t="s">
        <v>2471</v>
      </c>
      <c r="E8406" s="0" t="n">
        <v>1217</v>
      </c>
      <c r="F8406" s="0" t="s">
        <v>776</v>
      </c>
      <c r="I8406" s="0" t="n">
        <v>5521</v>
      </c>
      <c r="J8406" s="0" t="n">
        <v>39484</v>
      </c>
      <c r="K8406" s="0" t="n">
        <v>7891323075249</v>
      </c>
      <c r="L8406" s="0" t="s">
        <v>5338</v>
      </c>
      <c r="N8406" s="0" t="n">
        <v>12</v>
      </c>
      <c r="O8406" s="0" t="n">
        <v>53.76</v>
      </c>
      <c r="P8406" s="0" t="s">
        <v>2444</v>
      </c>
    </row>
    <row r="8407" customFormat="false" ht="15" hidden="false" customHeight="true" outlineLevel="0" collapsed="false">
      <c r="A8407" s="0" t="n">
        <v>2</v>
      </c>
      <c r="B8407" s="71" t="n">
        <v>46277</v>
      </c>
      <c r="C8407" s="0" t="n">
        <v>11</v>
      </c>
      <c r="D8407" s="0" t="s">
        <v>2471</v>
      </c>
      <c r="E8407" s="0" t="n">
        <v>1217</v>
      </c>
      <c r="F8407" s="0" t="s">
        <v>776</v>
      </c>
      <c r="I8407" s="0" t="n">
        <v>5521</v>
      </c>
      <c r="J8407" s="0" t="n">
        <v>39485</v>
      </c>
      <c r="K8407" s="0" t="n">
        <v>7891323075201</v>
      </c>
      <c r="L8407" s="0" t="s">
        <v>5339</v>
      </c>
      <c r="N8407" s="0" t="n">
        <v>12</v>
      </c>
      <c r="O8407" s="0" t="n">
        <v>54</v>
      </c>
      <c r="P8407" s="0" t="s">
        <v>2444</v>
      </c>
    </row>
    <row r="8408" customFormat="false" ht="15" hidden="false" customHeight="true" outlineLevel="0" collapsed="false">
      <c r="A8408" s="0" t="n">
        <v>2</v>
      </c>
      <c r="B8408" s="71" t="n">
        <v>46277</v>
      </c>
      <c r="C8408" s="0" t="n">
        <v>11</v>
      </c>
      <c r="D8408" s="0" t="s">
        <v>2471</v>
      </c>
      <c r="E8408" s="0" t="n">
        <v>1217</v>
      </c>
      <c r="F8408" s="0" t="s">
        <v>776</v>
      </c>
      <c r="I8408" s="0" t="n">
        <v>5521</v>
      </c>
      <c r="J8408" s="0" t="n">
        <v>39486</v>
      </c>
      <c r="K8408" s="0" t="n">
        <v>7891323075270</v>
      </c>
      <c r="L8408" s="0" t="s">
        <v>5340</v>
      </c>
      <c r="N8408" s="0" t="n">
        <v>12</v>
      </c>
      <c r="O8408" s="0" t="n">
        <v>53.64</v>
      </c>
      <c r="P8408" s="0" t="s">
        <v>2444</v>
      </c>
    </row>
    <row r="8409" customFormat="false" ht="15" hidden="false" customHeight="true" outlineLevel="0" collapsed="false">
      <c r="A8409" s="0" t="n">
        <v>2</v>
      </c>
      <c r="B8409" s="71" t="n">
        <v>46277</v>
      </c>
      <c r="C8409" s="0" t="n">
        <v>11</v>
      </c>
      <c r="D8409" s="0" t="s">
        <v>2471</v>
      </c>
      <c r="E8409" s="0" t="n">
        <v>1217</v>
      </c>
      <c r="F8409" s="0" t="s">
        <v>776</v>
      </c>
      <c r="I8409" s="0" t="n">
        <v>5521</v>
      </c>
      <c r="J8409" s="0" t="n">
        <v>39488</v>
      </c>
      <c r="K8409" s="0" t="n">
        <v>7891323075287</v>
      </c>
      <c r="L8409" s="0" t="s">
        <v>5341</v>
      </c>
      <c r="N8409" s="0" t="n">
        <v>12</v>
      </c>
      <c r="O8409" s="0" t="n">
        <v>53.64</v>
      </c>
      <c r="P8409" s="0" t="s">
        <v>2444</v>
      </c>
    </row>
    <row r="8410" customFormat="false" ht="15" hidden="false" customHeight="true" outlineLevel="0" collapsed="false">
      <c r="A8410" s="0" t="n">
        <v>2</v>
      </c>
      <c r="B8410" s="71" t="n">
        <v>46277</v>
      </c>
      <c r="C8410" s="0" t="n">
        <v>11</v>
      </c>
      <c r="D8410" s="0" t="s">
        <v>2471</v>
      </c>
      <c r="E8410" s="0" t="n">
        <v>1217</v>
      </c>
      <c r="F8410" s="0" t="s">
        <v>776</v>
      </c>
      <c r="I8410" s="0" t="n">
        <v>5521</v>
      </c>
      <c r="J8410" s="0" t="n">
        <v>44591</v>
      </c>
      <c r="K8410" s="0" t="n">
        <v>7898059540898</v>
      </c>
      <c r="L8410" s="0" t="s">
        <v>5342</v>
      </c>
      <c r="N8410" s="0" t="n">
        <v>24</v>
      </c>
      <c r="O8410" s="0" t="n">
        <v>55.68</v>
      </c>
      <c r="P8410" s="0" t="s">
        <v>2444</v>
      </c>
    </row>
    <row r="8411" customFormat="false" ht="15" hidden="false" customHeight="true" outlineLevel="0" collapsed="false">
      <c r="A8411" s="0" t="n">
        <v>2</v>
      </c>
      <c r="B8411" s="71" t="n">
        <v>46277</v>
      </c>
      <c r="C8411" s="0" t="n">
        <v>11</v>
      </c>
      <c r="D8411" s="0" t="s">
        <v>2471</v>
      </c>
      <c r="E8411" s="0" t="n">
        <v>1217</v>
      </c>
      <c r="F8411" s="0" t="s">
        <v>776</v>
      </c>
      <c r="I8411" s="0" t="n">
        <v>5521</v>
      </c>
      <c r="J8411" s="0" t="n">
        <v>46830</v>
      </c>
      <c r="K8411" s="0" t="n">
        <v>7898668360627</v>
      </c>
      <c r="L8411" s="0" t="s">
        <v>3808</v>
      </c>
      <c r="N8411" s="0" t="n">
        <v>12</v>
      </c>
      <c r="O8411" s="0" t="n">
        <v>114.6</v>
      </c>
      <c r="P8411" s="0" t="s">
        <v>2444</v>
      </c>
    </row>
    <row r="8412" customFormat="false" ht="15" hidden="false" customHeight="true" outlineLevel="0" collapsed="false">
      <c r="A8412" s="0" t="n">
        <v>2</v>
      </c>
      <c r="B8412" s="71" t="n">
        <v>46277</v>
      </c>
      <c r="C8412" s="0" t="n">
        <v>11</v>
      </c>
      <c r="D8412" s="0" t="s">
        <v>2471</v>
      </c>
      <c r="E8412" s="0" t="n">
        <v>1217</v>
      </c>
      <c r="F8412" s="0" t="s">
        <v>776</v>
      </c>
      <c r="I8412" s="0" t="n">
        <v>5521</v>
      </c>
      <c r="J8412" s="0" t="n">
        <v>53291</v>
      </c>
      <c r="K8412" s="0" t="n">
        <v>7898059548450</v>
      </c>
      <c r="L8412" s="0" t="s">
        <v>5343</v>
      </c>
      <c r="N8412" s="0" t="n">
        <v>3</v>
      </c>
      <c r="O8412" s="0" t="n">
        <v>160.98</v>
      </c>
      <c r="P8412" s="0" t="s">
        <v>2444</v>
      </c>
    </row>
    <row r="8413" customFormat="false" ht="15" hidden="false" customHeight="true" outlineLevel="0" collapsed="false">
      <c r="A8413" s="0" t="n">
        <v>2</v>
      </c>
      <c r="B8413" s="71" t="n">
        <v>46277</v>
      </c>
      <c r="C8413" s="0" t="n">
        <v>11</v>
      </c>
      <c r="D8413" s="0" t="s">
        <v>2471</v>
      </c>
      <c r="E8413" s="0" t="n">
        <v>1217</v>
      </c>
      <c r="F8413" s="0" t="s">
        <v>776</v>
      </c>
      <c r="I8413" s="0" t="n">
        <v>5521</v>
      </c>
      <c r="J8413" s="0" t="n">
        <v>53608</v>
      </c>
      <c r="K8413" s="0" t="n">
        <v>7898059543677</v>
      </c>
      <c r="L8413" s="0" t="s">
        <v>5344</v>
      </c>
      <c r="N8413" s="0" t="n">
        <v>12</v>
      </c>
      <c r="O8413" s="0" t="n">
        <v>186.96</v>
      </c>
      <c r="P8413" s="0" t="s">
        <v>2444</v>
      </c>
    </row>
    <row r="8414" customFormat="false" ht="15" hidden="false" customHeight="true" outlineLevel="0" collapsed="false">
      <c r="A8414" s="0" t="n">
        <v>2</v>
      </c>
      <c r="B8414" s="71" t="n">
        <v>46277</v>
      </c>
      <c r="C8414" s="0" t="n">
        <v>11</v>
      </c>
      <c r="D8414" s="0" t="s">
        <v>2471</v>
      </c>
      <c r="E8414" s="0" t="n">
        <v>1217</v>
      </c>
      <c r="F8414" s="0" t="s">
        <v>776</v>
      </c>
      <c r="I8414" s="0" t="n">
        <v>5521</v>
      </c>
      <c r="J8414" s="0" t="n">
        <v>56722</v>
      </c>
      <c r="K8414" s="0" t="n">
        <v>7891222045923</v>
      </c>
      <c r="L8414" s="0" t="s">
        <v>5345</v>
      </c>
      <c r="N8414" s="0" t="n">
        <v>6</v>
      </c>
      <c r="O8414" s="0" t="n">
        <v>128.1</v>
      </c>
      <c r="P8414" s="0" t="s">
        <v>2444</v>
      </c>
    </row>
    <row r="8415" customFormat="false" ht="15" hidden="false" customHeight="true" outlineLevel="0" collapsed="false">
      <c r="A8415" s="0" t="n">
        <v>2</v>
      </c>
      <c r="B8415" s="71" t="n">
        <v>46277</v>
      </c>
      <c r="C8415" s="0" t="n">
        <v>11</v>
      </c>
      <c r="D8415" s="0" t="s">
        <v>2471</v>
      </c>
      <c r="E8415" s="0" t="n">
        <v>1217</v>
      </c>
      <c r="F8415" s="0" t="s">
        <v>776</v>
      </c>
      <c r="I8415" s="0" t="n">
        <v>5521</v>
      </c>
      <c r="J8415" s="0" t="n">
        <v>56727</v>
      </c>
      <c r="K8415" s="0" t="n">
        <v>7897451414844</v>
      </c>
      <c r="L8415" s="0" t="s">
        <v>5346</v>
      </c>
      <c r="N8415" s="0" t="n">
        <v>50</v>
      </c>
      <c r="O8415" s="0" t="n">
        <v>58.5</v>
      </c>
      <c r="P8415" s="0" t="s">
        <v>2444</v>
      </c>
    </row>
    <row r="8416" customFormat="false" ht="15" hidden="false" customHeight="true" outlineLevel="0" collapsed="false">
      <c r="A8416" s="0" t="n">
        <v>2</v>
      </c>
      <c r="B8416" s="71" t="n">
        <v>46277</v>
      </c>
      <c r="C8416" s="0" t="n">
        <v>11</v>
      </c>
      <c r="D8416" s="0" t="s">
        <v>2471</v>
      </c>
      <c r="E8416" s="0" t="n">
        <v>1217</v>
      </c>
      <c r="F8416" s="0" t="s">
        <v>776</v>
      </c>
      <c r="I8416" s="0" t="n">
        <v>5521</v>
      </c>
      <c r="J8416" s="0" t="n">
        <v>56740</v>
      </c>
      <c r="K8416" s="0" t="n">
        <v>7897801300537</v>
      </c>
      <c r="L8416" s="0" t="s">
        <v>5347</v>
      </c>
      <c r="N8416" s="0" t="n">
        <v>50</v>
      </c>
      <c r="O8416" s="0" t="n">
        <v>23</v>
      </c>
      <c r="P8416" s="0" t="s">
        <v>2444</v>
      </c>
    </row>
    <row r="8417" customFormat="false" ht="15" hidden="false" customHeight="true" outlineLevel="0" collapsed="false">
      <c r="A8417" s="0" t="n">
        <v>2</v>
      </c>
      <c r="B8417" s="71" t="n">
        <v>46277</v>
      </c>
      <c r="C8417" s="0" t="n">
        <v>11</v>
      </c>
      <c r="D8417" s="0" t="s">
        <v>2471</v>
      </c>
      <c r="E8417" s="0" t="n">
        <v>1217</v>
      </c>
      <c r="F8417" s="0" t="s">
        <v>776</v>
      </c>
      <c r="I8417" s="0" t="n">
        <v>5521</v>
      </c>
      <c r="J8417" s="0" t="n">
        <v>60068</v>
      </c>
      <c r="K8417" s="0" t="n">
        <v>7898954237053</v>
      </c>
      <c r="L8417" s="0" t="s">
        <v>5348</v>
      </c>
      <c r="N8417" s="0" t="n">
        <v>6</v>
      </c>
      <c r="O8417" s="0" t="n">
        <v>45.18</v>
      </c>
      <c r="P8417" s="0" t="s">
        <v>2444</v>
      </c>
    </row>
    <row r="8418" customFormat="false" ht="15" hidden="false" customHeight="true" outlineLevel="0" collapsed="false">
      <c r="A8418" s="0" t="n">
        <v>2</v>
      </c>
      <c r="B8418" s="71" t="n">
        <v>46277</v>
      </c>
      <c r="C8418" s="0" t="n">
        <v>11</v>
      </c>
      <c r="D8418" s="0" t="s">
        <v>2471</v>
      </c>
      <c r="E8418" s="0" t="n">
        <v>1217</v>
      </c>
      <c r="F8418" s="0" t="s">
        <v>776</v>
      </c>
      <c r="I8418" s="0" t="n">
        <v>5521</v>
      </c>
      <c r="J8418" s="0" t="n">
        <v>60901</v>
      </c>
      <c r="K8418" s="0" t="n">
        <v>7898668362447</v>
      </c>
      <c r="L8418" s="0" t="s">
        <v>5349</v>
      </c>
      <c r="N8418" s="0" t="n">
        <v>3</v>
      </c>
      <c r="O8418" s="0" t="n">
        <v>91.65</v>
      </c>
      <c r="P8418" s="0" t="s">
        <v>2444</v>
      </c>
    </row>
    <row r="8419" customFormat="false" ht="15" hidden="false" customHeight="true" outlineLevel="0" collapsed="false">
      <c r="A8419" s="0" t="n">
        <v>2</v>
      </c>
      <c r="B8419" s="71" t="n">
        <v>46277</v>
      </c>
      <c r="C8419" s="0" t="n">
        <v>11</v>
      </c>
      <c r="D8419" s="0" t="s">
        <v>2471</v>
      </c>
      <c r="E8419" s="0" t="n">
        <v>1217</v>
      </c>
      <c r="F8419" s="0" t="s">
        <v>776</v>
      </c>
      <c r="I8419" s="0" t="n">
        <v>5521</v>
      </c>
      <c r="J8419" s="0" t="n">
        <v>62760</v>
      </c>
      <c r="K8419" s="0" t="n">
        <v>7897451414851</v>
      </c>
      <c r="L8419" s="0" t="s">
        <v>5350</v>
      </c>
      <c r="N8419" s="0" t="n">
        <v>50</v>
      </c>
      <c r="O8419" s="0" t="n">
        <v>58.5</v>
      </c>
      <c r="P8419" s="0" t="s">
        <v>2444</v>
      </c>
    </row>
    <row r="8420" customFormat="false" ht="15" hidden="false" customHeight="true" outlineLevel="0" collapsed="false">
      <c r="A8420" s="0" t="n">
        <v>2</v>
      </c>
      <c r="B8420" s="71" t="n">
        <v>46277</v>
      </c>
      <c r="C8420" s="0" t="n">
        <v>11</v>
      </c>
      <c r="D8420" s="0" t="s">
        <v>2471</v>
      </c>
      <c r="E8420" s="0" t="n">
        <v>1217</v>
      </c>
      <c r="F8420" s="0" t="s">
        <v>776</v>
      </c>
      <c r="I8420" s="0" t="n">
        <v>5521</v>
      </c>
      <c r="J8420" s="0" t="n">
        <v>62766</v>
      </c>
      <c r="K8420" s="0" t="n">
        <v>7898017622833</v>
      </c>
      <c r="L8420" s="0" t="s">
        <v>5351</v>
      </c>
      <c r="N8420" s="0" t="n">
        <v>12</v>
      </c>
      <c r="O8420" s="0" t="n">
        <v>36.12</v>
      </c>
      <c r="P8420" s="0" t="s">
        <v>2444</v>
      </c>
    </row>
    <row r="8421" customFormat="false" ht="15" hidden="false" customHeight="true" outlineLevel="0" collapsed="false">
      <c r="A8421" s="0" t="n">
        <v>2</v>
      </c>
      <c r="B8421" s="71" t="n">
        <v>46277</v>
      </c>
      <c r="C8421" s="0" t="n">
        <v>11</v>
      </c>
      <c r="D8421" s="0" t="s">
        <v>2471</v>
      </c>
      <c r="E8421" s="0" t="n">
        <v>1217</v>
      </c>
      <c r="F8421" s="0" t="s">
        <v>776</v>
      </c>
      <c r="I8421" s="0" t="n">
        <v>5521</v>
      </c>
      <c r="J8421" s="0" t="n">
        <v>63183</v>
      </c>
      <c r="K8421" s="0" t="n">
        <v>7898214962381</v>
      </c>
      <c r="L8421" s="0" t="s">
        <v>5352</v>
      </c>
      <c r="N8421" s="0" t="n">
        <v>20</v>
      </c>
      <c r="O8421" s="0" t="n">
        <v>60.6</v>
      </c>
      <c r="P8421" s="0" t="s">
        <v>2444</v>
      </c>
    </row>
    <row r="8422" customFormat="false" ht="15" hidden="false" customHeight="true" outlineLevel="0" collapsed="false">
      <c r="A8422" s="0" t="n">
        <v>2</v>
      </c>
      <c r="B8422" s="71" t="n">
        <v>46277</v>
      </c>
      <c r="C8422" s="0" t="n">
        <v>11</v>
      </c>
      <c r="D8422" s="0" t="s">
        <v>2471</v>
      </c>
      <c r="E8422" s="0" t="n">
        <v>1217</v>
      </c>
      <c r="F8422" s="0" t="s">
        <v>776</v>
      </c>
      <c r="I8422" s="0" t="n">
        <v>5521</v>
      </c>
      <c r="J8422" s="0" t="n">
        <v>65731</v>
      </c>
      <c r="K8422" s="0" t="n">
        <v>7898390940173</v>
      </c>
      <c r="L8422" s="0" t="s">
        <v>5353</v>
      </c>
      <c r="N8422" s="0" t="n">
        <v>24</v>
      </c>
      <c r="O8422" s="0" t="n">
        <v>71.52</v>
      </c>
      <c r="P8422" s="0" t="s">
        <v>2444</v>
      </c>
    </row>
    <row r="8423" customFormat="false" ht="15" hidden="false" customHeight="true" outlineLevel="0" collapsed="false">
      <c r="A8423" s="0" t="n">
        <v>2</v>
      </c>
      <c r="B8423" s="71" t="n">
        <v>46277</v>
      </c>
      <c r="C8423" s="0" t="n">
        <v>11</v>
      </c>
      <c r="D8423" s="0" t="s">
        <v>2471</v>
      </c>
      <c r="E8423" s="0" t="n">
        <v>1217</v>
      </c>
      <c r="F8423" s="0" t="s">
        <v>776</v>
      </c>
      <c r="I8423" s="0" t="n">
        <v>5521</v>
      </c>
      <c r="J8423" s="0" t="n">
        <v>68628</v>
      </c>
      <c r="K8423" s="0" t="n">
        <v>144735</v>
      </c>
      <c r="L8423" s="0" t="s">
        <v>5354</v>
      </c>
      <c r="N8423" s="0" t="n">
        <v>12</v>
      </c>
      <c r="O8423" s="0" t="n">
        <v>75.84</v>
      </c>
      <c r="P8423" s="0" t="s">
        <v>2444</v>
      </c>
    </row>
    <row r="8424" customFormat="false" ht="15" hidden="false" customHeight="true" outlineLevel="0" collapsed="false">
      <c r="A8424" s="0" t="n">
        <v>2</v>
      </c>
      <c r="B8424" s="71" t="n">
        <v>46277</v>
      </c>
      <c r="C8424" s="0" t="n">
        <v>11</v>
      </c>
      <c r="D8424" s="0" t="s">
        <v>2471</v>
      </c>
      <c r="E8424" s="0" t="n">
        <v>1217</v>
      </c>
      <c r="F8424" s="0" t="s">
        <v>776</v>
      </c>
      <c r="I8424" s="0" t="n">
        <v>5521</v>
      </c>
      <c r="J8424" s="0" t="n">
        <v>68755</v>
      </c>
      <c r="K8424" s="0" t="n">
        <v>7897801300506</v>
      </c>
      <c r="L8424" s="0" t="s">
        <v>5355</v>
      </c>
      <c r="N8424" s="0" t="n">
        <v>50</v>
      </c>
      <c r="O8424" s="0" t="n">
        <v>24.5</v>
      </c>
      <c r="P8424" s="0" t="s">
        <v>2444</v>
      </c>
    </row>
    <row r="8425" customFormat="false" ht="15" hidden="false" customHeight="true" outlineLevel="0" collapsed="false">
      <c r="A8425" s="0" t="n">
        <v>2</v>
      </c>
      <c r="B8425" s="71" t="n">
        <v>46277</v>
      </c>
      <c r="C8425" s="0" t="n">
        <v>11</v>
      </c>
      <c r="D8425" s="0" t="s">
        <v>2471</v>
      </c>
      <c r="E8425" s="0" t="n">
        <v>1217</v>
      </c>
      <c r="F8425" s="0" t="s">
        <v>776</v>
      </c>
      <c r="I8425" s="0" t="n">
        <v>5521</v>
      </c>
      <c r="J8425" s="0" t="n">
        <v>68891</v>
      </c>
      <c r="K8425" s="0" t="n">
        <v>7897801300520</v>
      </c>
      <c r="L8425" s="0" t="s">
        <v>5356</v>
      </c>
      <c r="N8425" s="0" t="n">
        <v>50</v>
      </c>
      <c r="O8425" s="0" t="n">
        <v>30</v>
      </c>
      <c r="P8425" s="0" t="s">
        <v>2444</v>
      </c>
    </row>
    <row r="8426" customFormat="false" ht="15" hidden="false" customHeight="true" outlineLevel="0" collapsed="false">
      <c r="A8426" s="0" t="n">
        <v>2</v>
      </c>
      <c r="B8426" s="71" t="n">
        <v>46277</v>
      </c>
      <c r="C8426" s="0" t="n">
        <v>11</v>
      </c>
      <c r="D8426" s="0" t="s">
        <v>2471</v>
      </c>
      <c r="E8426" s="0" t="n">
        <v>1217</v>
      </c>
      <c r="F8426" s="0" t="s">
        <v>776</v>
      </c>
      <c r="I8426" s="0" t="n">
        <v>5521</v>
      </c>
      <c r="J8426" s="0" t="n">
        <v>69833</v>
      </c>
      <c r="K8426" s="0" t="n">
        <v>5000001003548</v>
      </c>
      <c r="L8426" s="0" t="s">
        <v>5357</v>
      </c>
      <c r="N8426" s="0" t="n">
        <v>12</v>
      </c>
      <c r="O8426" s="0" t="n">
        <v>89.04</v>
      </c>
      <c r="P8426" s="0" t="s">
        <v>2444</v>
      </c>
    </row>
    <row r="8427" customFormat="false" ht="15" hidden="false" customHeight="true" outlineLevel="0" collapsed="false">
      <c r="A8427" s="0" t="n">
        <v>2</v>
      </c>
      <c r="B8427" s="71" t="n">
        <v>46277</v>
      </c>
      <c r="C8427" s="0" t="n">
        <v>11</v>
      </c>
      <c r="D8427" s="0" t="s">
        <v>2471</v>
      </c>
      <c r="E8427" s="0" t="n">
        <v>1217</v>
      </c>
      <c r="F8427" s="0" t="s">
        <v>776</v>
      </c>
      <c r="I8427" s="0" t="n">
        <v>5521</v>
      </c>
      <c r="J8427" s="0" t="n">
        <v>71413</v>
      </c>
      <c r="K8427" s="0" t="n">
        <v>7908642000347</v>
      </c>
      <c r="L8427" s="0" t="s">
        <v>5358</v>
      </c>
      <c r="N8427" s="0" t="n">
        <v>3</v>
      </c>
      <c r="O8427" s="0" t="n">
        <v>15.6</v>
      </c>
      <c r="P8427" s="0" t="s">
        <v>2444</v>
      </c>
    </row>
    <row r="8428" customFormat="false" ht="15" hidden="false" customHeight="true" outlineLevel="0" collapsed="false">
      <c r="A8428" s="0" t="n">
        <v>2</v>
      </c>
      <c r="B8428" s="71" t="n">
        <v>46277</v>
      </c>
      <c r="C8428" s="0" t="n">
        <v>11</v>
      </c>
      <c r="D8428" s="0" t="s">
        <v>2471</v>
      </c>
      <c r="E8428" s="0" t="n">
        <v>1217</v>
      </c>
      <c r="F8428" s="0" t="s">
        <v>776</v>
      </c>
      <c r="I8428" s="0" t="n">
        <v>5521</v>
      </c>
      <c r="J8428" s="0" t="n">
        <v>71527</v>
      </c>
      <c r="K8428" s="0" t="n">
        <v>7891323075195</v>
      </c>
      <c r="L8428" s="0" t="s">
        <v>5359</v>
      </c>
      <c r="N8428" s="0" t="n">
        <v>12</v>
      </c>
      <c r="O8428" s="0" t="n">
        <v>53.64</v>
      </c>
      <c r="P8428" s="0" t="s">
        <v>2444</v>
      </c>
    </row>
    <row r="8429" customFormat="false" ht="15" hidden="false" customHeight="true" outlineLevel="0" collapsed="false">
      <c r="A8429" s="0" t="n">
        <v>2</v>
      </c>
      <c r="B8429" s="71" t="n">
        <v>46277</v>
      </c>
      <c r="C8429" s="0" t="n">
        <v>11</v>
      </c>
      <c r="D8429" s="0" t="s">
        <v>2471</v>
      </c>
      <c r="E8429" s="0" t="n">
        <v>1217</v>
      </c>
      <c r="F8429" s="0" t="s">
        <v>776</v>
      </c>
      <c r="I8429" s="0" t="n">
        <v>5521</v>
      </c>
      <c r="J8429" s="0" t="n">
        <v>71528</v>
      </c>
      <c r="K8429" s="0" t="n">
        <v>7891323075225</v>
      </c>
      <c r="L8429" s="0" t="s">
        <v>5360</v>
      </c>
      <c r="N8429" s="0" t="n">
        <v>12</v>
      </c>
      <c r="O8429" s="0" t="n">
        <v>53.64</v>
      </c>
      <c r="P8429" s="0" t="s">
        <v>2444</v>
      </c>
    </row>
    <row r="8430" customFormat="false" ht="15" hidden="false" customHeight="true" outlineLevel="0" collapsed="false">
      <c r="A8430" s="0" t="n">
        <v>2</v>
      </c>
      <c r="B8430" s="71" t="n">
        <v>46277</v>
      </c>
      <c r="C8430" s="0" t="n">
        <v>11</v>
      </c>
      <c r="D8430" s="0" t="s">
        <v>2471</v>
      </c>
      <c r="E8430" s="0" t="n">
        <v>1217</v>
      </c>
      <c r="F8430" s="0" t="s">
        <v>776</v>
      </c>
      <c r="I8430" s="0" t="n">
        <v>5521</v>
      </c>
      <c r="J8430" s="0" t="n">
        <v>71551</v>
      </c>
      <c r="K8430" s="0" t="n">
        <v>7897613501207</v>
      </c>
      <c r="L8430" s="0" t="s">
        <v>5361</v>
      </c>
      <c r="N8430" s="0" t="n">
        <v>12</v>
      </c>
      <c r="O8430" s="0" t="n">
        <v>57.24</v>
      </c>
      <c r="P8430" s="0" t="s">
        <v>2444</v>
      </c>
    </row>
    <row r="8431" customFormat="false" ht="15" hidden="false" customHeight="true" outlineLevel="0" collapsed="false">
      <c r="A8431" s="0" t="n">
        <v>2</v>
      </c>
      <c r="B8431" s="71" t="n">
        <v>46277</v>
      </c>
      <c r="C8431" s="0" t="n">
        <v>11</v>
      </c>
      <c r="D8431" s="0" t="s">
        <v>2471</v>
      </c>
      <c r="E8431" s="0" t="n">
        <v>1217</v>
      </c>
      <c r="F8431" s="0" t="s">
        <v>776</v>
      </c>
      <c r="I8431" s="0" t="n">
        <v>5521</v>
      </c>
      <c r="J8431" s="0" t="n">
        <v>71552</v>
      </c>
      <c r="K8431" s="0" t="n">
        <v>7898493993434</v>
      </c>
      <c r="L8431" s="0" t="s">
        <v>3818</v>
      </c>
      <c r="N8431" s="0" t="n">
        <v>300</v>
      </c>
      <c r="O8431" s="0" t="n">
        <v>41.7</v>
      </c>
      <c r="P8431" s="0" t="s">
        <v>2444</v>
      </c>
    </row>
    <row r="8432" customFormat="false" ht="15" hidden="false" customHeight="true" outlineLevel="0" collapsed="false">
      <c r="A8432" s="0" t="n">
        <v>2</v>
      </c>
      <c r="B8432" s="71" t="n">
        <v>46277</v>
      </c>
      <c r="C8432" s="0" t="n">
        <v>11</v>
      </c>
      <c r="D8432" s="0" t="s">
        <v>2471</v>
      </c>
      <c r="E8432" s="0" t="n">
        <v>1217</v>
      </c>
      <c r="F8432" s="0" t="s">
        <v>776</v>
      </c>
      <c r="I8432" s="0" t="n">
        <v>5521</v>
      </c>
      <c r="J8432" s="0" t="n">
        <v>71557</v>
      </c>
      <c r="K8432" s="0" t="n">
        <v>7897613501085</v>
      </c>
      <c r="L8432" s="0" t="s">
        <v>5361</v>
      </c>
      <c r="N8432" s="0" t="n">
        <v>12</v>
      </c>
      <c r="O8432" s="0" t="n">
        <v>28.8</v>
      </c>
      <c r="P8432" s="0" t="s">
        <v>2444</v>
      </c>
    </row>
    <row r="8433" customFormat="false" ht="15" hidden="false" customHeight="true" outlineLevel="0" collapsed="false">
      <c r="A8433" s="0" t="n">
        <v>2</v>
      </c>
      <c r="B8433" s="71" t="n">
        <v>46277</v>
      </c>
      <c r="C8433" s="0" t="n">
        <v>11</v>
      </c>
      <c r="D8433" s="0" t="s">
        <v>2471</v>
      </c>
      <c r="E8433" s="0" t="n">
        <v>1217</v>
      </c>
      <c r="F8433" s="0" t="s">
        <v>776</v>
      </c>
      <c r="I8433" s="0" t="n">
        <v>5521</v>
      </c>
      <c r="J8433" s="0" t="n">
        <v>71799</v>
      </c>
      <c r="K8433" s="0" t="n">
        <v>7898017622000</v>
      </c>
      <c r="L8433" s="0" t="s">
        <v>5362</v>
      </c>
      <c r="N8433" s="0" t="n">
        <v>25</v>
      </c>
      <c r="O8433" s="0" t="n">
        <v>145</v>
      </c>
      <c r="P8433" s="0" t="s">
        <v>2444</v>
      </c>
    </row>
    <row r="8434" customFormat="false" ht="15" hidden="false" customHeight="true" outlineLevel="0" collapsed="false">
      <c r="A8434" s="0" t="n">
        <v>2</v>
      </c>
      <c r="B8434" s="71" t="n">
        <v>46277</v>
      </c>
      <c r="C8434" s="0" t="n">
        <v>11</v>
      </c>
      <c r="D8434" s="0" t="s">
        <v>2471</v>
      </c>
      <c r="E8434" s="0" t="n">
        <v>1217</v>
      </c>
      <c r="F8434" s="0" t="s">
        <v>776</v>
      </c>
      <c r="I8434" s="0" t="n">
        <v>5521</v>
      </c>
      <c r="J8434" s="0" t="n">
        <v>71800</v>
      </c>
      <c r="K8434" s="0" t="n">
        <v>7898017620495</v>
      </c>
      <c r="L8434" s="0" t="s">
        <v>5363</v>
      </c>
      <c r="N8434" s="0" t="n">
        <v>25</v>
      </c>
      <c r="O8434" s="0" t="n">
        <v>93</v>
      </c>
      <c r="P8434" s="0" t="s">
        <v>2444</v>
      </c>
    </row>
    <row r="8435" customFormat="false" ht="15" hidden="false" customHeight="true" outlineLevel="0" collapsed="false">
      <c r="A8435" s="0" t="n">
        <v>2</v>
      </c>
      <c r="B8435" s="71" t="n">
        <v>46277</v>
      </c>
      <c r="C8435" s="0" t="n">
        <v>11</v>
      </c>
      <c r="D8435" s="0" t="s">
        <v>2471</v>
      </c>
      <c r="E8435" s="0" t="n">
        <v>1217</v>
      </c>
      <c r="F8435" s="0" t="s">
        <v>776</v>
      </c>
      <c r="I8435" s="0" t="n">
        <v>5521</v>
      </c>
      <c r="J8435" s="0" t="n">
        <v>74835</v>
      </c>
      <c r="K8435" s="0" t="n">
        <v>7897613509241</v>
      </c>
      <c r="L8435" s="0" t="s">
        <v>5364</v>
      </c>
      <c r="N8435" s="0" t="n">
        <v>8</v>
      </c>
      <c r="O8435" s="0" t="n">
        <v>133.04</v>
      </c>
      <c r="P8435" s="0" t="s">
        <v>2444</v>
      </c>
    </row>
    <row r="8436" customFormat="false" ht="15" hidden="false" customHeight="true" outlineLevel="0" collapsed="false">
      <c r="A8436" s="0" t="n">
        <v>2</v>
      </c>
      <c r="B8436" s="71" t="n">
        <v>46277</v>
      </c>
      <c r="C8436" s="0" t="n">
        <v>11</v>
      </c>
      <c r="D8436" s="0" t="s">
        <v>2471</v>
      </c>
      <c r="E8436" s="0" t="n">
        <v>1217</v>
      </c>
      <c r="F8436" s="0" t="s">
        <v>776</v>
      </c>
      <c r="I8436" s="0" t="n">
        <v>5521</v>
      </c>
      <c r="J8436" s="0" t="n">
        <v>74842</v>
      </c>
      <c r="K8436" s="0" t="n">
        <v>7897613528235</v>
      </c>
      <c r="L8436" s="0" t="s">
        <v>5365</v>
      </c>
      <c r="N8436" s="0" t="n">
        <v>12</v>
      </c>
      <c r="O8436" s="0" t="n">
        <v>81.24</v>
      </c>
      <c r="P8436" s="0" t="s">
        <v>2444</v>
      </c>
    </row>
    <row r="8437" customFormat="false" ht="15" hidden="false" customHeight="true" outlineLevel="0" collapsed="false">
      <c r="A8437" s="0" t="n">
        <v>2</v>
      </c>
      <c r="B8437" s="71" t="n">
        <v>46277</v>
      </c>
      <c r="C8437" s="0" t="n">
        <v>11</v>
      </c>
      <c r="D8437" s="0" t="s">
        <v>2471</v>
      </c>
      <c r="E8437" s="0" t="n">
        <v>1217</v>
      </c>
      <c r="F8437" s="0" t="s">
        <v>776</v>
      </c>
      <c r="I8437" s="0" t="n">
        <v>5521</v>
      </c>
      <c r="J8437" s="0" t="n">
        <v>75000</v>
      </c>
      <c r="K8437" s="0" t="n">
        <v>7898017622840</v>
      </c>
      <c r="L8437" s="0" t="s">
        <v>5366</v>
      </c>
      <c r="N8437" s="0" t="n">
        <v>12</v>
      </c>
      <c r="O8437" s="0" t="n">
        <v>33.6</v>
      </c>
      <c r="P8437" s="0" t="s">
        <v>2444</v>
      </c>
    </row>
    <row r="8438" customFormat="false" ht="15" hidden="false" customHeight="true" outlineLevel="0" collapsed="false">
      <c r="A8438" s="0" t="n">
        <v>2</v>
      </c>
      <c r="B8438" s="71" t="n">
        <v>46277</v>
      </c>
      <c r="C8438" s="0" t="n">
        <v>11</v>
      </c>
      <c r="D8438" s="0" t="s">
        <v>2471</v>
      </c>
      <c r="E8438" s="0" t="n">
        <v>1217</v>
      </c>
      <c r="F8438" s="0" t="s">
        <v>776</v>
      </c>
      <c r="I8438" s="0" t="n">
        <v>5521</v>
      </c>
      <c r="J8438" s="0" t="n">
        <v>75004</v>
      </c>
      <c r="K8438" s="0" t="n">
        <v>7891222167823</v>
      </c>
      <c r="L8438" s="0" t="s">
        <v>5367</v>
      </c>
      <c r="N8438" s="0" t="n">
        <v>2</v>
      </c>
      <c r="O8438" s="0" t="n">
        <v>34.3</v>
      </c>
      <c r="P8438" s="0" t="s">
        <v>2444</v>
      </c>
    </row>
    <row r="8439" customFormat="false" ht="15" hidden="false" customHeight="true" outlineLevel="0" collapsed="false">
      <c r="A8439" s="0" t="n">
        <v>2</v>
      </c>
      <c r="B8439" s="71" t="n">
        <v>46277</v>
      </c>
      <c r="C8439" s="0" t="n">
        <v>11</v>
      </c>
      <c r="D8439" s="0" t="s">
        <v>2471</v>
      </c>
      <c r="E8439" s="0" t="n">
        <v>1217</v>
      </c>
      <c r="F8439" s="0" t="s">
        <v>776</v>
      </c>
      <c r="I8439" s="0" t="n">
        <v>5521</v>
      </c>
      <c r="J8439" s="0" t="n">
        <v>75005</v>
      </c>
      <c r="K8439" s="0" t="n">
        <v>7891222167809</v>
      </c>
      <c r="L8439" s="0" t="s">
        <v>5367</v>
      </c>
      <c r="N8439" s="0" t="n">
        <v>2</v>
      </c>
      <c r="O8439" s="0" t="n">
        <v>34</v>
      </c>
      <c r="P8439" s="0" t="s">
        <v>2444</v>
      </c>
    </row>
    <row r="8440" customFormat="false" ht="15" hidden="false" customHeight="true" outlineLevel="0" collapsed="false">
      <c r="A8440" s="0" t="n">
        <v>2</v>
      </c>
      <c r="B8440" s="71" t="n">
        <v>46277</v>
      </c>
      <c r="C8440" s="0" t="n">
        <v>11</v>
      </c>
      <c r="D8440" s="0" t="s">
        <v>2471</v>
      </c>
      <c r="E8440" s="0" t="n">
        <v>1217</v>
      </c>
      <c r="F8440" s="0" t="s">
        <v>776</v>
      </c>
      <c r="I8440" s="0" t="n">
        <v>5521</v>
      </c>
      <c r="J8440" s="0" t="n">
        <v>75534</v>
      </c>
      <c r="K8440" s="0" t="n">
        <v>7898059543660</v>
      </c>
      <c r="L8440" s="0" t="s">
        <v>5368</v>
      </c>
      <c r="N8440" s="0" t="n">
        <v>12</v>
      </c>
      <c r="O8440" s="0" t="n">
        <v>109.68</v>
      </c>
      <c r="P8440" s="0" t="s">
        <v>2444</v>
      </c>
    </row>
    <row r="8441" customFormat="false" ht="15" hidden="false" customHeight="true" outlineLevel="0" collapsed="false">
      <c r="A8441" s="0" t="n">
        <v>2</v>
      </c>
      <c r="B8441" s="71" t="n">
        <v>46277</v>
      </c>
      <c r="C8441" s="0" t="n">
        <v>11</v>
      </c>
      <c r="D8441" s="0" t="s">
        <v>2471</v>
      </c>
      <c r="E8441" s="0" t="n">
        <v>1217</v>
      </c>
      <c r="F8441" s="0" t="s">
        <v>776</v>
      </c>
      <c r="I8441" s="0" t="n">
        <v>5521</v>
      </c>
      <c r="J8441" s="0" t="n">
        <v>76691</v>
      </c>
      <c r="K8441" s="0" t="n">
        <v>7897451422924</v>
      </c>
      <c r="L8441" s="0" t="s">
        <v>5369</v>
      </c>
      <c r="N8441" s="0" t="n">
        <v>10</v>
      </c>
      <c r="O8441" s="0" t="n">
        <v>47</v>
      </c>
      <c r="P8441" s="0" t="s">
        <v>2444</v>
      </c>
    </row>
    <row r="8442" customFormat="false" ht="15" hidden="false" customHeight="true" outlineLevel="0" collapsed="false">
      <c r="A8442" s="0" t="n">
        <v>2</v>
      </c>
      <c r="B8442" s="71" t="n">
        <v>46277</v>
      </c>
      <c r="C8442" s="0" t="n">
        <v>11</v>
      </c>
      <c r="D8442" s="0" t="s">
        <v>2471</v>
      </c>
      <c r="E8442" s="0" t="n">
        <v>1217</v>
      </c>
      <c r="F8442" s="0" t="s">
        <v>776</v>
      </c>
      <c r="I8442" s="0" t="n">
        <v>5521</v>
      </c>
      <c r="J8442" s="0" t="n">
        <v>76692</v>
      </c>
      <c r="K8442" s="0" t="n">
        <v>17897451422945</v>
      </c>
      <c r="L8442" s="0" t="s">
        <v>5370</v>
      </c>
      <c r="N8442" s="0" t="n">
        <v>10</v>
      </c>
      <c r="O8442" s="0" t="n">
        <v>59.6</v>
      </c>
      <c r="P8442" s="0" t="s">
        <v>2444</v>
      </c>
    </row>
    <row r="8443" customFormat="false" ht="15" hidden="false" customHeight="true" outlineLevel="0" collapsed="false">
      <c r="A8443" s="0" t="n">
        <v>2</v>
      </c>
      <c r="B8443" s="71" t="n">
        <v>46277</v>
      </c>
      <c r="C8443" s="0" t="n">
        <v>11</v>
      </c>
      <c r="D8443" s="0" t="s">
        <v>2471</v>
      </c>
      <c r="E8443" s="0" t="n">
        <v>1217</v>
      </c>
      <c r="F8443" s="0" t="s">
        <v>776</v>
      </c>
      <c r="I8443" s="0" t="n">
        <v>5521</v>
      </c>
      <c r="J8443" s="0" t="n">
        <v>76781</v>
      </c>
      <c r="K8443" s="0" t="n">
        <v>7908642000071</v>
      </c>
      <c r="L8443" s="0" t="s">
        <v>5371</v>
      </c>
      <c r="N8443" s="0" t="n">
        <v>3</v>
      </c>
      <c r="O8443" s="0" t="n">
        <v>30.51</v>
      </c>
      <c r="P8443" s="0" t="s">
        <v>2444</v>
      </c>
    </row>
    <row r="8444" customFormat="false" ht="15" hidden="false" customHeight="true" outlineLevel="0" collapsed="false">
      <c r="A8444" s="0" t="n">
        <v>2</v>
      </c>
      <c r="B8444" s="71" t="n">
        <v>46277</v>
      </c>
      <c r="C8444" s="0" t="n">
        <v>11</v>
      </c>
      <c r="D8444" s="0" t="s">
        <v>2471</v>
      </c>
      <c r="E8444" s="0" t="n">
        <v>1217</v>
      </c>
      <c r="F8444" s="0" t="s">
        <v>776</v>
      </c>
      <c r="I8444" s="0" t="n">
        <v>5521</v>
      </c>
      <c r="J8444" s="0" t="n">
        <v>76787</v>
      </c>
      <c r="K8444" s="0" t="n">
        <v>17897451419204</v>
      </c>
      <c r="L8444" s="0" t="s">
        <v>5372</v>
      </c>
      <c r="N8444" s="0" t="n">
        <v>10</v>
      </c>
      <c r="O8444" s="0" t="n">
        <v>29.3</v>
      </c>
      <c r="P8444" s="0" t="s">
        <v>2444</v>
      </c>
    </row>
    <row r="8445" customFormat="false" ht="15" hidden="false" customHeight="true" outlineLevel="0" collapsed="false">
      <c r="A8445" s="0" t="n">
        <v>2</v>
      </c>
      <c r="B8445" s="71" t="n">
        <v>46277</v>
      </c>
      <c r="C8445" s="0" t="n">
        <v>11</v>
      </c>
      <c r="D8445" s="0" t="s">
        <v>2471</v>
      </c>
      <c r="E8445" s="0" t="n">
        <v>1217</v>
      </c>
      <c r="F8445" s="0" t="s">
        <v>776</v>
      </c>
      <c r="I8445" s="0" t="n">
        <v>5521</v>
      </c>
      <c r="J8445" s="0" t="n">
        <v>76788</v>
      </c>
      <c r="K8445" s="0" t="n">
        <v>7897451460674</v>
      </c>
      <c r="L8445" s="0" t="s">
        <v>5373</v>
      </c>
      <c r="N8445" s="0" t="n">
        <v>10</v>
      </c>
      <c r="O8445" s="0" t="n">
        <v>84.7</v>
      </c>
      <c r="P8445" s="0" t="s">
        <v>2444</v>
      </c>
    </row>
    <row r="8446" customFormat="false" ht="15" hidden="false" customHeight="true" outlineLevel="0" collapsed="false">
      <c r="A8446" s="0" t="n">
        <v>2</v>
      </c>
      <c r="B8446" s="71" t="n">
        <v>46277</v>
      </c>
      <c r="C8446" s="0" t="n">
        <v>11</v>
      </c>
      <c r="D8446" s="0" t="s">
        <v>2471</v>
      </c>
      <c r="E8446" s="0" t="n">
        <v>1217</v>
      </c>
      <c r="F8446" s="0" t="s">
        <v>776</v>
      </c>
      <c r="I8446" s="0" t="n">
        <v>5521</v>
      </c>
      <c r="J8446" s="0" t="n">
        <v>81601</v>
      </c>
      <c r="K8446" s="0" t="n">
        <v>7908642009043</v>
      </c>
      <c r="L8446" s="0" t="s">
        <v>3838</v>
      </c>
      <c r="N8446" s="0" t="n">
        <v>20</v>
      </c>
      <c r="O8446" s="0" t="n">
        <v>55.4</v>
      </c>
      <c r="P8446" s="0" t="s">
        <v>2444</v>
      </c>
    </row>
    <row r="8447" customFormat="false" ht="15" hidden="false" customHeight="true" outlineLevel="0" collapsed="false">
      <c r="A8447" s="0" t="n">
        <v>2</v>
      </c>
      <c r="B8447" s="71" t="n">
        <v>46277</v>
      </c>
      <c r="C8447" s="0" t="n">
        <v>11</v>
      </c>
      <c r="D8447" s="0" t="s">
        <v>2471</v>
      </c>
      <c r="E8447" s="0" t="n">
        <v>1217</v>
      </c>
      <c r="F8447" s="0" t="s">
        <v>776</v>
      </c>
      <c r="I8447" s="0" t="n">
        <v>5521</v>
      </c>
      <c r="J8447" s="0" t="n">
        <v>81612</v>
      </c>
      <c r="K8447" s="0" t="n">
        <v>7894023068917</v>
      </c>
      <c r="L8447" s="0" t="s">
        <v>3841</v>
      </c>
      <c r="N8447" s="0" t="n">
        <v>25</v>
      </c>
      <c r="O8447" s="0" t="n">
        <v>140.25</v>
      </c>
      <c r="P8447" s="0" t="s">
        <v>2444</v>
      </c>
    </row>
    <row r="8448" customFormat="false" ht="15" hidden="false" customHeight="true" outlineLevel="0" collapsed="false">
      <c r="A8448" s="0" t="n">
        <v>2</v>
      </c>
      <c r="B8448" s="71" t="n">
        <v>46277</v>
      </c>
      <c r="C8448" s="0" t="n">
        <v>11</v>
      </c>
      <c r="D8448" s="0" t="s">
        <v>2471</v>
      </c>
      <c r="E8448" s="0" t="n">
        <v>1217</v>
      </c>
      <c r="F8448" s="0" t="s">
        <v>776</v>
      </c>
      <c r="I8448" s="0" t="n">
        <v>5521</v>
      </c>
      <c r="J8448" s="0" t="n">
        <v>81930</v>
      </c>
      <c r="K8448" s="0" t="n">
        <v>7898472253993</v>
      </c>
      <c r="L8448" s="0" t="s">
        <v>5374</v>
      </c>
      <c r="N8448" s="0" t="n">
        <v>12</v>
      </c>
      <c r="O8448" s="0" t="n">
        <v>201.12</v>
      </c>
      <c r="P8448" s="0" t="s">
        <v>2444</v>
      </c>
    </row>
    <row r="8449" customFormat="false" ht="15" hidden="false" customHeight="true" outlineLevel="0" collapsed="false">
      <c r="A8449" s="0" t="n">
        <v>2</v>
      </c>
      <c r="B8449" s="71" t="n">
        <v>46277</v>
      </c>
      <c r="C8449" s="0" t="n">
        <v>11</v>
      </c>
      <c r="D8449" s="0" t="s">
        <v>2471</v>
      </c>
      <c r="E8449" s="0" t="n">
        <v>1217</v>
      </c>
      <c r="F8449" s="0" t="s">
        <v>776</v>
      </c>
      <c r="I8449" s="0" t="n">
        <v>5521</v>
      </c>
      <c r="J8449" s="0" t="n">
        <v>82303</v>
      </c>
      <c r="K8449" s="0" t="n">
        <v>7898668365424</v>
      </c>
      <c r="L8449" s="0" t="s">
        <v>5375</v>
      </c>
      <c r="N8449" s="0" t="n">
        <v>3</v>
      </c>
      <c r="O8449" s="0" t="n">
        <v>118.98</v>
      </c>
      <c r="P8449" s="0" t="s">
        <v>2444</v>
      </c>
    </row>
    <row r="8450" customFormat="false" ht="15" hidden="false" customHeight="true" outlineLevel="0" collapsed="false">
      <c r="A8450" s="0" t="n">
        <v>2</v>
      </c>
      <c r="B8450" s="71" t="n">
        <v>46277</v>
      </c>
      <c r="C8450" s="0" t="n">
        <v>11</v>
      </c>
      <c r="D8450" s="0" t="s">
        <v>2471</v>
      </c>
      <c r="E8450" s="0" t="n">
        <v>1217</v>
      </c>
      <c r="F8450" s="0" t="s">
        <v>776</v>
      </c>
      <c r="I8450" s="0" t="n">
        <v>5521</v>
      </c>
      <c r="J8450" s="0" t="n">
        <v>82304</v>
      </c>
      <c r="K8450" s="0" t="n">
        <v>7898668365554</v>
      </c>
      <c r="L8450" s="0" t="s">
        <v>5376</v>
      </c>
      <c r="N8450" s="0" t="n">
        <v>3</v>
      </c>
      <c r="O8450" s="0" t="n">
        <v>125.37</v>
      </c>
      <c r="P8450" s="0" t="s">
        <v>2444</v>
      </c>
    </row>
    <row r="8451" customFormat="false" ht="15" hidden="false" customHeight="true" outlineLevel="0" collapsed="false">
      <c r="A8451" s="0" t="n">
        <v>2</v>
      </c>
      <c r="B8451" s="71" t="n">
        <v>46277</v>
      </c>
      <c r="C8451" s="0" t="n">
        <v>11</v>
      </c>
      <c r="D8451" s="0" t="s">
        <v>2471</v>
      </c>
      <c r="E8451" s="0" t="n">
        <v>1217</v>
      </c>
      <c r="F8451" s="0" t="s">
        <v>776</v>
      </c>
      <c r="I8451" s="0" t="n">
        <v>5521</v>
      </c>
      <c r="J8451" s="0" t="n">
        <v>82305</v>
      </c>
      <c r="K8451" s="0" t="n">
        <v>7898668365509</v>
      </c>
      <c r="L8451" s="0" t="s">
        <v>5377</v>
      </c>
      <c r="N8451" s="0" t="n">
        <v>1</v>
      </c>
      <c r="O8451" s="0" t="n">
        <v>45.01</v>
      </c>
      <c r="P8451" s="0" t="s">
        <v>2444</v>
      </c>
    </row>
    <row r="8452" customFormat="false" ht="15" hidden="false" customHeight="true" outlineLevel="0" collapsed="false">
      <c r="A8452" s="0" t="n">
        <v>2</v>
      </c>
      <c r="B8452" s="71" t="n">
        <v>46277</v>
      </c>
      <c r="C8452" s="0" t="n">
        <v>11</v>
      </c>
      <c r="D8452" s="0" t="s">
        <v>2471</v>
      </c>
      <c r="E8452" s="0" t="n">
        <v>1217</v>
      </c>
      <c r="F8452" s="0" t="s">
        <v>776</v>
      </c>
      <c r="I8452" s="0" t="n">
        <v>5521</v>
      </c>
      <c r="J8452" s="0" t="n">
        <v>82306</v>
      </c>
      <c r="K8452" s="0" t="n">
        <v>7891222167786</v>
      </c>
      <c r="L8452" s="0" t="s">
        <v>5378</v>
      </c>
      <c r="N8452" s="0" t="n">
        <v>2</v>
      </c>
      <c r="O8452" s="0" t="n">
        <v>34.16</v>
      </c>
      <c r="P8452" s="0" t="s">
        <v>2444</v>
      </c>
    </row>
    <row r="8453" customFormat="false" ht="15" hidden="false" customHeight="true" outlineLevel="0" collapsed="false">
      <c r="A8453" s="0" t="n">
        <v>2</v>
      </c>
      <c r="B8453" s="71" t="n">
        <v>46277</v>
      </c>
      <c r="C8453" s="0" t="n">
        <v>11</v>
      </c>
      <c r="D8453" s="0" t="s">
        <v>2471</v>
      </c>
      <c r="E8453" s="0" t="n">
        <v>1217</v>
      </c>
      <c r="F8453" s="0" t="s">
        <v>776</v>
      </c>
      <c r="I8453" s="0" t="n">
        <v>5521</v>
      </c>
      <c r="J8453" s="0" t="n">
        <v>82307</v>
      </c>
      <c r="K8453" s="0" t="n">
        <v>7908642008114</v>
      </c>
      <c r="L8453" s="0" t="s">
        <v>5379</v>
      </c>
      <c r="N8453" s="0" t="n">
        <v>12</v>
      </c>
      <c r="O8453" s="0" t="n">
        <v>41.52</v>
      </c>
      <c r="P8453" s="0" t="s">
        <v>2444</v>
      </c>
    </row>
    <row r="8454" customFormat="false" ht="15" hidden="false" customHeight="true" outlineLevel="0" collapsed="false">
      <c r="A8454" s="0" t="n">
        <v>2</v>
      </c>
      <c r="B8454" s="71" t="n">
        <v>46277</v>
      </c>
      <c r="C8454" s="0" t="n">
        <v>11</v>
      </c>
      <c r="D8454" s="0" t="s">
        <v>2471</v>
      </c>
      <c r="E8454" s="0" t="n">
        <v>1217</v>
      </c>
      <c r="F8454" s="0" t="s">
        <v>776</v>
      </c>
      <c r="I8454" s="0" t="n">
        <v>5521</v>
      </c>
      <c r="J8454" s="0" t="n">
        <v>82308</v>
      </c>
      <c r="K8454" s="0" t="n">
        <v>7908642008107</v>
      </c>
      <c r="L8454" s="0" t="s">
        <v>5380</v>
      </c>
      <c r="N8454" s="0" t="n">
        <v>12</v>
      </c>
      <c r="O8454" s="0" t="n">
        <v>34.44</v>
      </c>
      <c r="P8454" s="0" t="s">
        <v>2444</v>
      </c>
    </row>
    <row r="8455" customFormat="false" ht="15" hidden="false" customHeight="true" outlineLevel="0" collapsed="false">
      <c r="A8455" s="0" t="n">
        <v>2</v>
      </c>
      <c r="B8455" s="71" t="n">
        <v>46277</v>
      </c>
      <c r="C8455" s="0" t="n">
        <v>11</v>
      </c>
      <c r="D8455" s="0" t="s">
        <v>2471</v>
      </c>
      <c r="E8455" s="0" t="n">
        <v>1217</v>
      </c>
      <c r="F8455" s="0" t="s">
        <v>776</v>
      </c>
      <c r="I8455" s="0" t="n">
        <v>5521</v>
      </c>
      <c r="J8455" s="0" t="n">
        <v>82309</v>
      </c>
      <c r="K8455" s="0" t="n">
        <v>7897613501160</v>
      </c>
      <c r="L8455" s="0" t="s">
        <v>5381</v>
      </c>
      <c r="N8455" s="0" t="n">
        <v>12</v>
      </c>
      <c r="O8455" s="0" t="n">
        <v>50.16</v>
      </c>
      <c r="P8455" s="0" t="s">
        <v>2444</v>
      </c>
    </row>
    <row r="8456" customFormat="false" ht="15" hidden="false" customHeight="true" outlineLevel="0" collapsed="false">
      <c r="A8456" s="0" t="n">
        <v>2</v>
      </c>
      <c r="B8456" s="71" t="n">
        <v>46277</v>
      </c>
      <c r="C8456" s="0" t="n">
        <v>11</v>
      </c>
      <c r="D8456" s="0" t="s">
        <v>2471</v>
      </c>
      <c r="E8456" s="0" t="n">
        <v>1217</v>
      </c>
      <c r="F8456" s="0" t="s">
        <v>776</v>
      </c>
      <c r="I8456" s="0" t="n">
        <v>5521</v>
      </c>
      <c r="J8456" s="0" t="n">
        <v>82310</v>
      </c>
      <c r="K8456" s="0" t="n">
        <v>7898711784998</v>
      </c>
      <c r="L8456" s="0" t="s">
        <v>5382</v>
      </c>
      <c r="N8456" s="0" t="n">
        <v>6</v>
      </c>
      <c r="O8456" s="0" t="n">
        <v>77.52</v>
      </c>
      <c r="P8456" s="0" t="s">
        <v>2444</v>
      </c>
    </row>
    <row r="8457" customFormat="false" ht="15" hidden="false" customHeight="true" outlineLevel="0" collapsed="false">
      <c r="A8457" s="0" t="n">
        <v>2</v>
      </c>
      <c r="B8457" s="71" t="n">
        <v>46277</v>
      </c>
      <c r="C8457" s="0" t="n">
        <v>11</v>
      </c>
      <c r="D8457" s="0" t="s">
        <v>2471</v>
      </c>
      <c r="E8457" s="0" t="n">
        <v>1217</v>
      </c>
      <c r="F8457" s="0" t="s">
        <v>776</v>
      </c>
      <c r="I8457" s="0" t="n">
        <v>5521</v>
      </c>
      <c r="J8457" s="0" t="n">
        <v>82311</v>
      </c>
      <c r="K8457" s="0" t="n">
        <v>7908244319311</v>
      </c>
      <c r="L8457" s="0" t="s">
        <v>5383</v>
      </c>
      <c r="N8457" s="0" t="n">
        <v>60</v>
      </c>
      <c r="O8457" s="0" t="n">
        <v>166.8</v>
      </c>
      <c r="P8457" s="0" t="s">
        <v>2444</v>
      </c>
    </row>
    <row r="8458" customFormat="false" ht="15" hidden="false" customHeight="true" outlineLevel="0" collapsed="false">
      <c r="A8458" s="0" t="n">
        <v>2</v>
      </c>
      <c r="B8458" s="71" t="n">
        <v>46277</v>
      </c>
      <c r="C8458" s="0" t="n">
        <v>11</v>
      </c>
      <c r="D8458" s="0" t="s">
        <v>2471</v>
      </c>
      <c r="E8458" s="0" t="n">
        <v>1217</v>
      </c>
      <c r="F8458" s="0" t="s">
        <v>776</v>
      </c>
      <c r="I8458" s="0" t="n">
        <v>5521</v>
      </c>
      <c r="J8458" s="0" t="n">
        <v>82312</v>
      </c>
      <c r="K8458" s="0" t="n">
        <v>7898017620266</v>
      </c>
      <c r="L8458" s="0" t="s">
        <v>5384</v>
      </c>
      <c r="N8458" s="0" t="n">
        <v>25</v>
      </c>
      <c r="O8458" s="0" t="n">
        <v>94</v>
      </c>
      <c r="P8458" s="0" t="s">
        <v>2444</v>
      </c>
    </row>
    <row r="8459" customFormat="false" ht="15" hidden="false" customHeight="true" outlineLevel="0" collapsed="false">
      <c r="A8459" s="0" t="n">
        <v>2</v>
      </c>
      <c r="B8459" s="71" t="n">
        <v>46277</v>
      </c>
      <c r="C8459" s="0" t="n">
        <v>11</v>
      </c>
      <c r="D8459" s="0" t="s">
        <v>2471</v>
      </c>
      <c r="E8459" s="0" t="n">
        <v>1217</v>
      </c>
      <c r="F8459" s="0" t="s">
        <v>776</v>
      </c>
      <c r="I8459" s="0" t="n">
        <v>5521</v>
      </c>
      <c r="J8459" s="0" t="n">
        <v>82313</v>
      </c>
      <c r="K8459" s="0" t="n">
        <v>7894023135381</v>
      </c>
      <c r="L8459" s="0" t="s">
        <v>5385</v>
      </c>
      <c r="N8459" s="0" t="n">
        <v>3</v>
      </c>
      <c r="O8459" s="0" t="n">
        <v>101.82</v>
      </c>
      <c r="P8459" s="0" t="s">
        <v>2444</v>
      </c>
    </row>
    <row r="8460" customFormat="false" ht="15" hidden="false" customHeight="true" outlineLevel="0" collapsed="false">
      <c r="A8460" s="0" t="n">
        <v>2</v>
      </c>
      <c r="B8460" s="71" t="n">
        <v>46277</v>
      </c>
      <c r="C8460" s="0" t="n">
        <v>11</v>
      </c>
      <c r="D8460" s="0" t="s">
        <v>2471</v>
      </c>
      <c r="E8460" s="0" t="n">
        <v>1217</v>
      </c>
      <c r="F8460" s="0" t="s">
        <v>776</v>
      </c>
      <c r="I8460" s="0" t="n">
        <v>5521</v>
      </c>
      <c r="J8460" s="0" t="n">
        <v>82314</v>
      </c>
      <c r="K8460" s="0" t="n">
        <v>7898214962343</v>
      </c>
      <c r="L8460" s="0" t="s">
        <v>5386</v>
      </c>
      <c r="N8460" s="0" t="n">
        <v>20</v>
      </c>
      <c r="O8460" s="0" t="n">
        <v>67.2</v>
      </c>
      <c r="P8460" s="0" t="s">
        <v>2444</v>
      </c>
    </row>
    <row r="8461" customFormat="false" ht="15" hidden="false" customHeight="true" outlineLevel="0" collapsed="false">
      <c r="A8461" s="0" t="n">
        <v>2</v>
      </c>
      <c r="B8461" s="71" t="n">
        <v>46277</v>
      </c>
      <c r="C8461" s="0" t="n">
        <v>11</v>
      </c>
      <c r="D8461" s="0" t="s">
        <v>2471</v>
      </c>
      <c r="E8461" s="0" t="n">
        <v>1217</v>
      </c>
      <c r="F8461" s="0" t="s">
        <v>776</v>
      </c>
      <c r="I8461" s="0" t="n">
        <v>5521</v>
      </c>
      <c r="J8461" s="0" t="n">
        <v>82315</v>
      </c>
      <c r="K8461" s="0" t="n">
        <v>7908642000477</v>
      </c>
      <c r="L8461" s="0" t="s">
        <v>5387</v>
      </c>
      <c r="N8461" s="0" t="n">
        <v>3</v>
      </c>
      <c r="O8461" s="0" t="n">
        <v>30.57</v>
      </c>
      <c r="P8461" s="0" t="s">
        <v>2444</v>
      </c>
    </row>
    <row r="8462" customFormat="false" ht="15" hidden="false" customHeight="true" outlineLevel="0" collapsed="false">
      <c r="A8462" s="0" t="n">
        <v>2</v>
      </c>
      <c r="B8462" s="71" t="n">
        <v>46277</v>
      </c>
      <c r="C8462" s="0" t="n">
        <v>11</v>
      </c>
      <c r="D8462" s="0" t="s">
        <v>2471</v>
      </c>
      <c r="E8462" s="0" t="n">
        <v>1217</v>
      </c>
      <c r="F8462" s="0" t="s">
        <v>776</v>
      </c>
      <c r="I8462" s="0" t="n">
        <v>5521</v>
      </c>
      <c r="J8462" s="0" t="n">
        <v>82316</v>
      </c>
      <c r="K8462" s="0" t="n">
        <v>7908642000408</v>
      </c>
      <c r="L8462" s="0" t="s">
        <v>5388</v>
      </c>
      <c r="N8462" s="0" t="n">
        <v>2</v>
      </c>
      <c r="O8462" s="0" t="n">
        <v>27.94</v>
      </c>
      <c r="P8462" s="0" t="s">
        <v>2444</v>
      </c>
    </row>
    <row r="8463" customFormat="false" ht="15" hidden="false" customHeight="true" outlineLevel="0" collapsed="false">
      <c r="A8463" s="0" t="n">
        <v>2</v>
      </c>
      <c r="B8463" s="71" t="n">
        <v>46277</v>
      </c>
      <c r="C8463" s="0" t="n">
        <v>11</v>
      </c>
      <c r="D8463" s="0" t="s">
        <v>2471</v>
      </c>
      <c r="E8463" s="0" t="n">
        <v>1217</v>
      </c>
      <c r="F8463" s="0" t="s">
        <v>776</v>
      </c>
      <c r="I8463" s="0" t="n">
        <v>5521</v>
      </c>
      <c r="J8463" s="0" t="n">
        <v>82317</v>
      </c>
      <c r="K8463" s="0" t="n">
        <v>7898968342750</v>
      </c>
      <c r="L8463" s="0" t="s">
        <v>5389</v>
      </c>
      <c r="N8463" s="0" t="n">
        <v>10</v>
      </c>
      <c r="O8463" s="0" t="n">
        <v>159</v>
      </c>
      <c r="P8463" s="0" t="s">
        <v>2444</v>
      </c>
    </row>
    <row r="8464" customFormat="false" ht="15" hidden="false" customHeight="true" outlineLevel="0" collapsed="false">
      <c r="A8464" s="0" t="n">
        <v>2</v>
      </c>
      <c r="B8464" s="71" t="n">
        <v>46277</v>
      </c>
      <c r="C8464" s="0" t="n">
        <v>11</v>
      </c>
      <c r="D8464" s="0" t="s">
        <v>2471</v>
      </c>
      <c r="E8464" s="0" t="n">
        <v>1217</v>
      </c>
      <c r="F8464" s="0" t="s">
        <v>776</v>
      </c>
      <c r="I8464" s="0" t="n">
        <v>5521</v>
      </c>
      <c r="J8464" s="0" t="n">
        <v>82318</v>
      </c>
      <c r="K8464" s="0" t="n">
        <v>17897451419143</v>
      </c>
      <c r="L8464" s="0" t="s">
        <v>5390</v>
      </c>
      <c r="N8464" s="0" t="n">
        <v>10</v>
      </c>
      <c r="O8464" s="0" t="n">
        <v>15.4</v>
      </c>
      <c r="P8464" s="0" t="s">
        <v>2444</v>
      </c>
    </row>
    <row r="8465" customFormat="false" ht="15" hidden="false" customHeight="true" outlineLevel="0" collapsed="false">
      <c r="A8465" s="0" t="n">
        <v>2</v>
      </c>
      <c r="B8465" s="71" t="n">
        <v>46277</v>
      </c>
      <c r="C8465" s="0" t="n">
        <v>11</v>
      </c>
      <c r="D8465" s="0" t="s">
        <v>2471</v>
      </c>
      <c r="E8465" s="0" t="n">
        <v>1217</v>
      </c>
      <c r="F8465" s="0" t="s">
        <v>776</v>
      </c>
      <c r="I8465" s="0" t="n">
        <v>5521</v>
      </c>
      <c r="J8465" s="0" t="n">
        <v>82319</v>
      </c>
      <c r="K8465" s="0" t="n">
        <v>17897451419150</v>
      </c>
      <c r="L8465" s="0" t="s">
        <v>5391</v>
      </c>
      <c r="N8465" s="0" t="n">
        <v>10</v>
      </c>
      <c r="O8465" s="0" t="n">
        <v>19.3</v>
      </c>
      <c r="P8465" s="0" t="s">
        <v>2444</v>
      </c>
    </row>
    <row r="8466" customFormat="false" ht="15" hidden="false" customHeight="true" outlineLevel="0" collapsed="false">
      <c r="A8466" s="0" t="n">
        <v>2</v>
      </c>
      <c r="B8466" s="71" t="n">
        <v>46277</v>
      </c>
      <c r="C8466" s="0" t="n">
        <v>11</v>
      </c>
      <c r="D8466" s="0" t="s">
        <v>2471</v>
      </c>
      <c r="E8466" s="0" t="n">
        <v>1217</v>
      </c>
      <c r="F8466" s="0" t="s">
        <v>776</v>
      </c>
      <c r="I8466" s="0" t="n">
        <v>5521</v>
      </c>
      <c r="J8466" s="0" t="n">
        <v>82320</v>
      </c>
      <c r="K8466" s="0" t="n">
        <v>5000001003180</v>
      </c>
      <c r="L8466" s="0" t="s">
        <v>5392</v>
      </c>
      <c r="N8466" s="0" t="n">
        <v>10</v>
      </c>
      <c r="O8466" s="0" t="n">
        <v>12.8</v>
      </c>
      <c r="P8466" s="0" t="s">
        <v>2444</v>
      </c>
    </row>
    <row r="8467" customFormat="false" ht="15" hidden="false" customHeight="true" outlineLevel="0" collapsed="false">
      <c r="A8467" s="0" t="n">
        <v>2</v>
      </c>
      <c r="B8467" s="71" t="n">
        <v>46277</v>
      </c>
      <c r="C8467" s="0" t="n">
        <v>11</v>
      </c>
      <c r="D8467" s="0" t="s">
        <v>2471</v>
      </c>
      <c r="E8467" s="0" t="n">
        <v>1217</v>
      </c>
      <c r="F8467" s="0" t="s">
        <v>776</v>
      </c>
      <c r="I8467" s="0" t="n">
        <v>5521</v>
      </c>
      <c r="J8467" s="0" t="n">
        <v>82321</v>
      </c>
      <c r="K8467" s="0" t="n">
        <v>7897451461213</v>
      </c>
      <c r="L8467" s="0" t="s">
        <v>5393</v>
      </c>
      <c r="N8467" s="0" t="n">
        <v>10</v>
      </c>
      <c r="O8467" s="0" t="n">
        <v>100.4</v>
      </c>
      <c r="P8467" s="0" t="s">
        <v>2444</v>
      </c>
    </row>
    <row r="8468" customFormat="false" ht="15" hidden="false" customHeight="true" outlineLevel="0" collapsed="false">
      <c r="A8468" s="0" t="n">
        <v>2</v>
      </c>
      <c r="B8468" s="71" t="n">
        <v>46277</v>
      </c>
      <c r="C8468" s="0" t="n">
        <v>11</v>
      </c>
      <c r="D8468" s="0" t="s">
        <v>2471</v>
      </c>
      <c r="E8468" s="0" t="n">
        <v>1217</v>
      </c>
      <c r="F8468" s="0" t="s">
        <v>776</v>
      </c>
      <c r="I8468" s="0" t="n">
        <v>5521</v>
      </c>
      <c r="J8468" s="0" t="n">
        <v>82322</v>
      </c>
      <c r="K8468" s="0" t="n">
        <v>7897451400946</v>
      </c>
      <c r="L8468" s="0" t="s">
        <v>5394</v>
      </c>
      <c r="N8468" s="0" t="n">
        <v>10</v>
      </c>
      <c r="O8468" s="0" t="n">
        <v>55.5</v>
      </c>
      <c r="P8468" s="0" t="s">
        <v>2444</v>
      </c>
    </row>
    <row r="8469" customFormat="false" ht="15" hidden="false" customHeight="true" outlineLevel="0" collapsed="false">
      <c r="A8469" s="0" t="n">
        <v>2</v>
      </c>
      <c r="B8469" s="71" t="n">
        <v>46277</v>
      </c>
      <c r="C8469" s="0" t="n">
        <v>11</v>
      </c>
      <c r="D8469" s="0" t="s">
        <v>2471</v>
      </c>
      <c r="E8469" s="0" t="n">
        <v>1217</v>
      </c>
      <c r="F8469" s="0" t="s">
        <v>776</v>
      </c>
      <c r="I8469" s="0" t="n">
        <v>5521</v>
      </c>
      <c r="J8469" s="0" t="n">
        <v>82333</v>
      </c>
      <c r="K8469" s="0" t="n">
        <v>17908642000979</v>
      </c>
      <c r="L8469" s="0" t="s">
        <v>5395</v>
      </c>
      <c r="N8469" s="0" t="n">
        <v>12</v>
      </c>
      <c r="O8469" s="0" t="n">
        <v>30.6</v>
      </c>
      <c r="P8469" s="0" t="s">
        <v>2444</v>
      </c>
    </row>
    <row r="8470" customFormat="false" ht="15" hidden="false" customHeight="true" outlineLevel="0" collapsed="false">
      <c r="A8470" s="0" t="n">
        <v>2</v>
      </c>
      <c r="B8470" s="71" t="n">
        <v>46277</v>
      </c>
      <c r="C8470" s="0" t="n">
        <v>11</v>
      </c>
      <c r="D8470" s="0" t="s">
        <v>2471</v>
      </c>
      <c r="E8470" s="0" t="n">
        <v>1609</v>
      </c>
      <c r="F8470" s="0" t="s">
        <v>84</v>
      </c>
      <c r="I8470" s="0" t="n">
        <v>6092</v>
      </c>
      <c r="J8470" s="0" t="n">
        <v>102382</v>
      </c>
      <c r="K8470" s="0" t="n">
        <v>7896981600673</v>
      </c>
      <c r="L8470" s="0" t="s">
        <v>3452</v>
      </c>
      <c r="N8470" s="0" t="n">
        <v>24</v>
      </c>
      <c r="O8470" s="0" t="n">
        <v>60</v>
      </c>
      <c r="P8470" s="0" t="s">
        <v>2444</v>
      </c>
    </row>
    <row r="8471" customFormat="false" ht="15" hidden="false" customHeight="true" outlineLevel="0" collapsed="false">
      <c r="A8471" s="0" t="n">
        <v>2</v>
      </c>
      <c r="B8471" s="71" t="n">
        <v>46277</v>
      </c>
      <c r="C8471" s="0" t="n">
        <v>11</v>
      </c>
      <c r="D8471" s="0" t="s">
        <v>2471</v>
      </c>
      <c r="E8471" s="0" t="n">
        <v>1609</v>
      </c>
      <c r="F8471" s="0" t="s">
        <v>84</v>
      </c>
      <c r="I8471" s="0" t="n">
        <v>6092</v>
      </c>
      <c r="J8471" s="0" t="n">
        <v>13225</v>
      </c>
      <c r="K8471" s="0" t="n">
        <v>7896981601151</v>
      </c>
      <c r="L8471" s="0" t="s">
        <v>3453</v>
      </c>
      <c r="N8471" s="0" t="n">
        <v>12</v>
      </c>
      <c r="O8471" s="0" t="n">
        <v>45</v>
      </c>
      <c r="P8471" s="0" t="s">
        <v>2444</v>
      </c>
    </row>
    <row r="8472" customFormat="false" ht="15" hidden="false" customHeight="true" outlineLevel="0" collapsed="false">
      <c r="A8472" s="0" t="n">
        <v>2</v>
      </c>
      <c r="B8472" s="71" t="n">
        <v>46277</v>
      </c>
      <c r="C8472" s="0" t="n">
        <v>11</v>
      </c>
      <c r="D8472" s="0" t="s">
        <v>2471</v>
      </c>
      <c r="E8472" s="0" t="n">
        <v>1609</v>
      </c>
      <c r="F8472" s="0" t="s">
        <v>84</v>
      </c>
      <c r="I8472" s="0" t="n">
        <v>6092</v>
      </c>
      <c r="J8472" s="0" t="n">
        <v>13720</v>
      </c>
      <c r="K8472" s="0" t="n">
        <v>7896981600307</v>
      </c>
      <c r="L8472" s="0" t="s">
        <v>2608</v>
      </c>
      <c r="N8472" s="0" t="n">
        <v>9</v>
      </c>
      <c r="O8472" s="0" t="n">
        <v>55</v>
      </c>
      <c r="P8472" s="0" t="s">
        <v>2444</v>
      </c>
    </row>
    <row r="8473" customFormat="false" ht="15" hidden="false" customHeight="true" outlineLevel="0" collapsed="false">
      <c r="A8473" s="0" t="n">
        <v>2</v>
      </c>
      <c r="B8473" s="71" t="n">
        <v>46277</v>
      </c>
      <c r="C8473" s="0" t="n">
        <v>11</v>
      </c>
      <c r="D8473" s="0" t="s">
        <v>2471</v>
      </c>
      <c r="E8473" s="0" t="n">
        <v>1609</v>
      </c>
      <c r="F8473" s="0" t="s">
        <v>84</v>
      </c>
      <c r="I8473" s="0" t="n">
        <v>6092</v>
      </c>
      <c r="J8473" s="0" t="n">
        <v>17163</v>
      </c>
      <c r="K8473" s="0" t="n">
        <v>7896981600567</v>
      </c>
      <c r="L8473" s="0" t="s">
        <v>2609</v>
      </c>
      <c r="N8473" s="0" t="n">
        <v>9</v>
      </c>
      <c r="O8473" s="0" t="n">
        <v>80</v>
      </c>
      <c r="P8473" s="0" t="s">
        <v>2444</v>
      </c>
    </row>
    <row r="8474" customFormat="false" ht="15" hidden="false" customHeight="true" outlineLevel="0" collapsed="false">
      <c r="A8474" s="0" t="n">
        <v>2</v>
      </c>
      <c r="B8474" s="71" t="n">
        <v>46277</v>
      </c>
      <c r="C8474" s="0" t="n">
        <v>11</v>
      </c>
      <c r="D8474" s="0" t="s">
        <v>2471</v>
      </c>
      <c r="E8474" s="0" t="n">
        <v>1609</v>
      </c>
      <c r="F8474" s="0" t="s">
        <v>84</v>
      </c>
      <c r="I8474" s="0" t="n">
        <v>6092</v>
      </c>
      <c r="J8474" s="0" t="n">
        <v>18382</v>
      </c>
      <c r="K8474" s="0" t="n">
        <v>7896878801190</v>
      </c>
      <c r="L8474" s="0" t="s">
        <v>2610</v>
      </c>
      <c r="N8474" s="0" t="n">
        <v>30</v>
      </c>
      <c r="O8474" s="0" t="n">
        <v>57</v>
      </c>
      <c r="P8474" s="0" t="s">
        <v>2444</v>
      </c>
    </row>
    <row r="8475" customFormat="false" ht="15" hidden="false" customHeight="true" outlineLevel="0" collapsed="false">
      <c r="A8475" s="0" t="n">
        <v>2</v>
      </c>
      <c r="B8475" s="71" t="n">
        <v>46277</v>
      </c>
      <c r="C8475" s="0" t="n">
        <v>11</v>
      </c>
      <c r="D8475" s="0" t="s">
        <v>2471</v>
      </c>
      <c r="E8475" s="0" t="n">
        <v>1609</v>
      </c>
      <c r="F8475" s="0" t="s">
        <v>84</v>
      </c>
      <c r="I8475" s="0" t="n">
        <v>6092</v>
      </c>
      <c r="J8475" s="0" t="n">
        <v>18383</v>
      </c>
      <c r="K8475" s="0" t="n">
        <v>7896878801138</v>
      </c>
      <c r="L8475" s="0" t="s">
        <v>2611</v>
      </c>
      <c r="N8475" s="0" t="n">
        <v>5</v>
      </c>
      <c r="O8475" s="0" t="n">
        <v>20.25</v>
      </c>
      <c r="P8475" s="0" t="s">
        <v>2444</v>
      </c>
    </row>
    <row r="8476" customFormat="false" ht="15" hidden="false" customHeight="true" outlineLevel="0" collapsed="false">
      <c r="A8476" s="0" t="n">
        <v>2</v>
      </c>
      <c r="B8476" s="71" t="n">
        <v>46277</v>
      </c>
      <c r="C8476" s="0" t="n">
        <v>11</v>
      </c>
      <c r="D8476" s="0" t="s">
        <v>2471</v>
      </c>
      <c r="E8476" s="0" t="n">
        <v>1609</v>
      </c>
      <c r="F8476" s="0" t="s">
        <v>84</v>
      </c>
      <c r="I8476" s="0" t="n">
        <v>6092</v>
      </c>
      <c r="J8476" s="0" t="n">
        <v>18384</v>
      </c>
      <c r="K8476" s="0" t="n">
        <v>7896878801206</v>
      </c>
      <c r="L8476" s="0" t="s">
        <v>2612</v>
      </c>
      <c r="N8476" s="0" t="n">
        <v>20</v>
      </c>
      <c r="O8476" s="0" t="n">
        <v>61</v>
      </c>
      <c r="P8476" s="0" t="s">
        <v>2444</v>
      </c>
    </row>
    <row r="8477" customFormat="false" ht="15" hidden="false" customHeight="true" outlineLevel="0" collapsed="false">
      <c r="A8477" s="0" t="n">
        <v>2</v>
      </c>
      <c r="B8477" s="71" t="n">
        <v>46277</v>
      </c>
      <c r="C8477" s="0" t="n">
        <v>11</v>
      </c>
      <c r="D8477" s="0" t="s">
        <v>2471</v>
      </c>
      <c r="E8477" s="0" t="n">
        <v>1609</v>
      </c>
      <c r="F8477" s="0" t="s">
        <v>84</v>
      </c>
      <c r="I8477" s="0" t="n">
        <v>6092</v>
      </c>
      <c r="J8477" s="0" t="n">
        <v>18385</v>
      </c>
      <c r="K8477" s="0" t="n">
        <v>7896878801220</v>
      </c>
      <c r="L8477" s="0" t="s">
        <v>2613</v>
      </c>
      <c r="N8477" s="0" t="n">
        <v>9</v>
      </c>
      <c r="O8477" s="0" t="n">
        <v>70.65</v>
      </c>
      <c r="P8477" s="0" t="s">
        <v>2444</v>
      </c>
    </row>
    <row r="8478" customFormat="false" ht="15" hidden="false" customHeight="true" outlineLevel="0" collapsed="false">
      <c r="A8478" s="0" t="n">
        <v>2</v>
      </c>
      <c r="B8478" s="71" t="n">
        <v>46277</v>
      </c>
      <c r="C8478" s="0" t="n">
        <v>11</v>
      </c>
      <c r="D8478" s="0" t="s">
        <v>2471</v>
      </c>
      <c r="E8478" s="0" t="n">
        <v>1609</v>
      </c>
      <c r="F8478" s="0" t="s">
        <v>84</v>
      </c>
      <c r="I8478" s="0" t="n">
        <v>6092</v>
      </c>
      <c r="J8478" s="0" t="n">
        <v>18775</v>
      </c>
      <c r="K8478" s="0" t="n">
        <v>7896878801237</v>
      </c>
      <c r="L8478" s="0" t="s">
        <v>2614</v>
      </c>
      <c r="N8478" s="0" t="n">
        <v>20</v>
      </c>
      <c r="O8478" s="0" t="n">
        <v>66</v>
      </c>
      <c r="P8478" s="0" t="s">
        <v>2444</v>
      </c>
    </row>
    <row r="8479" customFormat="false" ht="15" hidden="false" customHeight="true" outlineLevel="0" collapsed="false">
      <c r="A8479" s="0" t="n">
        <v>2</v>
      </c>
      <c r="B8479" s="71" t="n">
        <v>46277</v>
      </c>
      <c r="C8479" s="0" t="n">
        <v>11</v>
      </c>
      <c r="D8479" s="0" t="s">
        <v>2471</v>
      </c>
      <c r="E8479" s="0" t="n">
        <v>1609</v>
      </c>
      <c r="F8479" s="0" t="s">
        <v>84</v>
      </c>
      <c r="I8479" s="0" t="n">
        <v>6092</v>
      </c>
      <c r="J8479" s="0" t="n">
        <v>18910</v>
      </c>
      <c r="K8479" s="0" t="n">
        <v>7896878801176</v>
      </c>
      <c r="L8479" s="0" t="s">
        <v>2615</v>
      </c>
      <c r="N8479" s="0" t="n">
        <v>5</v>
      </c>
      <c r="O8479" s="0" t="n">
        <v>20.25</v>
      </c>
      <c r="P8479" s="0" t="s">
        <v>2444</v>
      </c>
    </row>
    <row r="8480" customFormat="false" ht="15" hidden="false" customHeight="true" outlineLevel="0" collapsed="false">
      <c r="A8480" s="0" t="n">
        <v>2</v>
      </c>
      <c r="B8480" s="71" t="n">
        <v>46277</v>
      </c>
      <c r="C8480" s="0" t="n">
        <v>11</v>
      </c>
      <c r="D8480" s="0" t="s">
        <v>2471</v>
      </c>
      <c r="E8480" s="0" t="n">
        <v>1609</v>
      </c>
      <c r="F8480" s="0" t="s">
        <v>84</v>
      </c>
      <c r="I8480" s="0" t="n">
        <v>6092</v>
      </c>
      <c r="J8480" s="0" t="n">
        <v>18968</v>
      </c>
      <c r="K8480" s="0" t="n">
        <v>7896878801244</v>
      </c>
      <c r="L8480" s="0" t="s">
        <v>2616</v>
      </c>
      <c r="N8480" s="0" t="n">
        <v>20</v>
      </c>
      <c r="O8480" s="0" t="n">
        <v>66</v>
      </c>
      <c r="P8480" s="0" t="s">
        <v>2444</v>
      </c>
    </row>
    <row r="8481" customFormat="false" ht="15" hidden="false" customHeight="true" outlineLevel="0" collapsed="false">
      <c r="A8481" s="0" t="n">
        <v>2</v>
      </c>
      <c r="B8481" s="71" t="n">
        <v>46277</v>
      </c>
      <c r="C8481" s="0" t="n">
        <v>11</v>
      </c>
      <c r="D8481" s="0" t="s">
        <v>2471</v>
      </c>
      <c r="E8481" s="0" t="n">
        <v>1609</v>
      </c>
      <c r="F8481" s="0" t="s">
        <v>84</v>
      </c>
      <c r="I8481" s="0" t="n">
        <v>6092</v>
      </c>
      <c r="J8481" s="0" t="n">
        <v>20027</v>
      </c>
      <c r="K8481" s="0" t="n">
        <v>7896878801053</v>
      </c>
      <c r="L8481" s="0" t="s">
        <v>2617</v>
      </c>
      <c r="N8481" s="0" t="n">
        <v>5</v>
      </c>
      <c r="O8481" s="0" t="n">
        <v>20.25</v>
      </c>
      <c r="P8481" s="0" t="s">
        <v>2444</v>
      </c>
    </row>
    <row r="8482" customFormat="false" ht="15" hidden="false" customHeight="true" outlineLevel="0" collapsed="false">
      <c r="A8482" s="0" t="n">
        <v>2</v>
      </c>
      <c r="B8482" s="71" t="n">
        <v>46277</v>
      </c>
      <c r="C8482" s="0" t="n">
        <v>11</v>
      </c>
      <c r="D8482" s="0" t="s">
        <v>2471</v>
      </c>
      <c r="E8482" s="0" t="n">
        <v>1609</v>
      </c>
      <c r="F8482" s="0" t="s">
        <v>84</v>
      </c>
      <c r="I8482" s="0" t="n">
        <v>6092</v>
      </c>
      <c r="J8482" s="0" t="n">
        <v>24963</v>
      </c>
      <c r="K8482" s="0" t="n">
        <v>7896878801060</v>
      </c>
      <c r="L8482" s="0" t="s">
        <v>2618</v>
      </c>
      <c r="N8482" s="0" t="n">
        <v>2</v>
      </c>
      <c r="O8482" s="0" t="n">
        <v>15.7</v>
      </c>
      <c r="P8482" s="0" t="s">
        <v>2444</v>
      </c>
    </row>
    <row r="8483" customFormat="false" ht="15" hidden="false" customHeight="true" outlineLevel="0" collapsed="false">
      <c r="A8483" s="0" t="n">
        <v>2</v>
      </c>
      <c r="B8483" s="71" t="n">
        <v>46277</v>
      </c>
      <c r="C8483" s="0" t="n">
        <v>11</v>
      </c>
      <c r="D8483" s="0" t="s">
        <v>2471</v>
      </c>
      <c r="E8483" s="0" t="n">
        <v>1609</v>
      </c>
      <c r="F8483" s="0" t="s">
        <v>84</v>
      </c>
      <c r="I8483" s="0" t="n">
        <v>6092</v>
      </c>
      <c r="J8483" s="0" t="n">
        <v>24964</v>
      </c>
      <c r="K8483" s="0" t="n">
        <v>7896878801183</v>
      </c>
      <c r="L8483" s="0" t="s">
        <v>2619</v>
      </c>
      <c r="N8483" s="0" t="n">
        <v>2</v>
      </c>
      <c r="O8483" s="0" t="n">
        <v>15.7</v>
      </c>
      <c r="P8483" s="0" t="s">
        <v>2444</v>
      </c>
    </row>
    <row r="8484" customFormat="false" ht="15" hidden="false" customHeight="true" outlineLevel="0" collapsed="false">
      <c r="A8484" s="0" t="n">
        <v>2</v>
      </c>
      <c r="B8484" s="71" t="n">
        <v>46277</v>
      </c>
      <c r="C8484" s="0" t="n">
        <v>11</v>
      </c>
      <c r="D8484" s="0" t="s">
        <v>2471</v>
      </c>
      <c r="E8484" s="0" t="n">
        <v>1609</v>
      </c>
      <c r="F8484" s="0" t="s">
        <v>84</v>
      </c>
      <c r="I8484" s="0" t="n">
        <v>6092</v>
      </c>
      <c r="J8484" s="0" t="n">
        <v>24965</v>
      </c>
      <c r="K8484" s="0" t="n">
        <v>7896878801107</v>
      </c>
      <c r="L8484" s="0" t="s">
        <v>2620</v>
      </c>
      <c r="N8484" s="0" t="n">
        <v>3</v>
      </c>
      <c r="O8484" s="0" t="n">
        <v>23.55</v>
      </c>
      <c r="P8484" s="0" t="s">
        <v>2444</v>
      </c>
    </row>
    <row r="8485" customFormat="false" ht="15" hidden="false" customHeight="true" outlineLevel="0" collapsed="false">
      <c r="A8485" s="0" t="n">
        <v>2</v>
      </c>
      <c r="B8485" s="71" t="n">
        <v>46277</v>
      </c>
      <c r="C8485" s="0" t="n">
        <v>11</v>
      </c>
      <c r="D8485" s="0" t="s">
        <v>2471</v>
      </c>
      <c r="E8485" s="0" t="n">
        <v>1609</v>
      </c>
      <c r="F8485" s="0" t="s">
        <v>84</v>
      </c>
      <c r="I8485" s="0" t="n">
        <v>6092</v>
      </c>
      <c r="J8485" s="0" t="n">
        <v>32861</v>
      </c>
      <c r="K8485" s="0" t="n">
        <v>7896878801145</v>
      </c>
      <c r="L8485" s="0" t="s">
        <v>2621</v>
      </c>
      <c r="N8485" s="0" t="n">
        <v>2</v>
      </c>
      <c r="O8485" s="0" t="n">
        <v>15.7</v>
      </c>
      <c r="P8485" s="0" t="s">
        <v>2444</v>
      </c>
    </row>
    <row r="8486" customFormat="false" ht="15" hidden="false" customHeight="true" outlineLevel="0" collapsed="false">
      <c r="A8486" s="0" t="n">
        <v>2</v>
      </c>
      <c r="B8486" s="71" t="n">
        <v>46277</v>
      </c>
      <c r="C8486" s="0" t="n">
        <v>11</v>
      </c>
      <c r="D8486" s="0" t="s">
        <v>2471</v>
      </c>
      <c r="E8486" s="0" t="n">
        <v>1609</v>
      </c>
      <c r="F8486" s="0" t="s">
        <v>84</v>
      </c>
      <c r="I8486" s="0" t="n">
        <v>6092</v>
      </c>
      <c r="J8486" s="0" t="n">
        <v>41614</v>
      </c>
      <c r="K8486" s="0" t="n">
        <v>7896878801213</v>
      </c>
      <c r="L8486" s="0" t="s">
        <v>2622</v>
      </c>
      <c r="N8486" s="0" t="n">
        <v>20</v>
      </c>
      <c r="O8486" s="0" t="n">
        <v>81</v>
      </c>
      <c r="P8486" s="0" t="s">
        <v>2444</v>
      </c>
    </row>
    <row r="8487" customFormat="false" ht="15" hidden="false" customHeight="true" outlineLevel="0" collapsed="false">
      <c r="A8487" s="0" t="n">
        <v>2</v>
      </c>
      <c r="B8487" s="71" t="n">
        <v>46277</v>
      </c>
      <c r="C8487" s="0" t="n">
        <v>11</v>
      </c>
      <c r="D8487" s="0" t="s">
        <v>2471</v>
      </c>
      <c r="E8487" s="0" t="n">
        <v>1609</v>
      </c>
      <c r="F8487" s="0" t="s">
        <v>84</v>
      </c>
      <c r="I8487" s="0" t="n">
        <v>6092</v>
      </c>
      <c r="J8487" s="0" t="n">
        <v>80962</v>
      </c>
      <c r="K8487" s="0" t="n">
        <v>7890678801091</v>
      </c>
      <c r="L8487" s="0" t="s">
        <v>2623</v>
      </c>
      <c r="N8487" s="0" t="n">
        <v>5</v>
      </c>
      <c r="O8487" s="0" t="n">
        <v>20.25</v>
      </c>
      <c r="P8487" s="0" t="s">
        <v>2444</v>
      </c>
    </row>
    <row r="8488" customFormat="false" ht="15" hidden="false" customHeight="true" outlineLevel="0" collapsed="false">
      <c r="A8488" s="0" t="n">
        <v>2</v>
      </c>
      <c r="B8488" s="71" t="n">
        <v>46277</v>
      </c>
      <c r="C8488" s="0" t="n">
        <v>11</v>
      </c>
      <c r="D8488" s="0" t="s">
        <v>2471</v>
      </c>
      <c r="E8488" s="0" t="n">
        <v>1740</v>
      </c>
      <c r="F8488" s="0" t="s">
        <v>468</v>
      </c>
      <c r="I8488" s="0" t="n">
        <v>1269729</v>
      </c>
      <c r="J8488" s="0" t="n">
        <v>100036</v>
      </c>
      <c r="K8488" s="0" t="n">
        <v>37</v>
      </c>
      <c r="L8488" s="0" t="s">
        <v>3395</v>
      </c>
      <c r="N8488" s="0" t="n">
        <v>125</v>
      </c>
      <c r="O8488" s="0" t="n">
        <v>2311.25</v>
      </c>
      <c r="P8488" s="0" t="s">
        <v>2444</v>
      </c>
    </row>
    <row r="8489" customFormat="false" ht="15" hidden="false" customHeight="true" outlineLevel="0" collapsed="false">
      <c r="A8489" s="0" t="n">
        <v>2</v>
      </c>
      <c r="B8489" s="71" t="n">
        <v>46277</v>
      </c>
      <c r="C8489" s="0" t="n">
        <v>11</v>
      </c>
      <c r="D8489" s="0" t="s">
        <v>2471</v>
      </c>
      <c r="E8489" s="0" t="n">
        <v>1683</v>
      </c>
      <c r="F8489" s="0" t="s">
        <v>406</v>
      </c>
      <c r="I8489" s="0" t="n">
        <v>1679032</v>
      </c>
      <c r="J8489" s="0" t="n">
        <v>37359</v>
      </c>
      <c r="K8489" s="0" t="n">
        <v>55526</v>
      </c>
      <c r="L8489" s="0" t="s">
        <v>2466</v>
      </c>
      <c r="N8489" s="0" t="n">
        <v>10</v>
      </c>
      <c r="O8489" s="0" t="n">
        <v>45</v>
      </c>
      <c r="P8489" s="0" t="s">
        <v>2444</v>
      </c>
    </row>
    <row r="8490" customFormat="false" ht="15" hidden="false" customHeight="true" outlineLevel="0" collapsed="false">
      <c r="A8490" s="0" t="n">
        <v>2</v>
      </c>
      <c r="B8490" s="71" t="n">
        <v>46277</v>
      </c>
      <c r="C8490" s="0" t="n">
        <v>11</v>
      </c>
      <c r="D8490" s="0" t="s">
        <v>2471</v>
      </c>
      <c r="E8490" s="0" t="n">
        <v>1683</v>
      </c>
      <c r="F8490" s="0" t="s">
        <v>406</v>
      </c>
      <c r="I8490" s="0" t="n">
        <v>1679032</v>
      </c>
      <c r="J8490" s="0" t="n">
        <v>37361</v>
      </c>
      <c r="K8490" s="0" t="n">
        <v>2240817</v>
      </c>
      <c r="L8490" s="0" t="s">
        <v>2467</v>
      </c>
      <c r="N8490" s="0" t="n">
        <v>20</v>
      </c>
      <c r="O8490" s="0" t="n">
        <v>36</v>
      </c>
      <c r="P8490" s="0" t="s">
        <v>2444</v>
      </c>
    </row>
    <row r="8491" customFormat="false" ht="15" hidden="false" customHeight="true" outlineLevel="0" collapsed="false">
      <c r="A8491" s="0" t="n">
        <v>2</v>
      </c>
      <c r="B8491" s="71" t="n">
        <v>46279</v>
      </c>
      <c r="C8491" s="0" t="n">
        <v>6</v>
      </c>
      <c r="D8491" s="0" t="s">
        <v>2553</v>
      </c>
      <c r="E8491" s="0" t="n">
        <v>48</v>
      </c>
      <c r="F8491" s="0" t="s">
        <v>153</v>
      </c>
      <c r="I8491" s="0" t="n">
        <v>2670</v>
      </c>
      <c r="J8491" s="0" t="n">
        <v>42564</v>
      </c>
      <c r="K8491" s="0" t="n">
        <v>574</v>
      </c>
      <c r="L8491" s="0" t="s">
        <v>2534</v>
      </c>
      <c r="N8491" s="0" t="n">
        <v>15</v>
      </c>
      <c r="O8491" s="0" t="n">
        <v>225</v>
      </c>
      <c r="P8491" s="0" t="s">
        <v>2444</v>
      </c>
    </row>
    <row r="8492" customFormat="false" ht="15" hidden="false" customHeight="true" outlineLevel="0" collapsed="false">
      <c r="A8492" s="0" t="n">
        <v>2</v>
      </c>
      <c r="B8492" s="71" t="n">
        <v>46279</v>
      </c>
      <c r="C8492" s="0" t="n">
        <v>6</v>
      </c>
      <c r="D8492" s="0" t="s">
        <v>2553</v>
      </c>
      <c r="E8492" s="0" t="n">
        <v>48</v>
      </c>
      <c r="F8492" s="0" t="s">
        <v>153</v>
      </c>
      <c r="I8492" s="0" t="n">
        <v>2673</v>
      </c>
      <c r="J8492" s="0" t="n">
        <v>42564</v>
      </c>
      <c r="K8492" s="0" t="n">
        <v>574</v>
      </c>
      <c r="L8492" s="0" t="s">
        <v>2534</v>
      </c>
      <c r="N8492" s="0" t="n">
        <v>20</v>
      </c>
      <c r="O8492" s="0" t="n">
        <v>300</v>
      </c>
      <c r="P8492" s="0" t="s">
        <v>2444</v>
      </c>
    </row>
    <row r="8493" customFormat="false" ht="15" hidden="false" customHeight="true" outlineLevel="0" collapsed="false">
      <c r="A8493" s="0" t="n">
        <v>2</v>
      </c>
      <c r="B8493" s="71" t="n">
        <v>46279</v>
      </c>
      <c r="C8493" s="0" t="n">
        <v>11</v>
      </c>
      <c r="D8493" s="0" t="s">
        <v>2471</v>
      </c>
      <c r="E8493" s="0" t="n">
        <v>10096</v>
      </c>
      <c r="F8493" s="0" t="s">
        <v>622</v>
      </c>
      <c r="I8493" s="0" t="n">
        <v>286</v>
      </c>
      <c r="J8493" s="0" t="n">
        <v>61580</v>
      </c>
      <c r="K8493" s="0" t="n">
        <v>2258157</v>
      </c>
      <c r="L8493" s="0" t="s">
        <v>2509</v>
      </c>
      <c r="N8493" s="0" t="n">
        <v>10</v>
      </c>
      <c r="O8493" s="0" t="n">
        <v>120</v>
      </c>
      <c r="P8493" s="0" t="s">
        <v>2444</v>
      </c>
    </row>
    <row r="8494" customFormat="false" ht="15" hidden="false" customHeight="true" outlineLevel="0" collapsed="false">
      <c r="A8494" s="0" t="n">
        <v>2</v>
      </c>
      <c r="B8494" s="71" t="n">
        <v>46279</v>
      </c>
      <c r="C8494" s="0" t="n">
        <v>11</v>
      </c>
      <c r="D8494" s="0" t="s">
        <v>2471</v>
      </c>
      <c r="E8494" s="0" t="n">
        <v>10096</v>
      </c>
      <c r="F8494" s="0" t="s">
        <v>622</v>
      </c>
      <c r="I8494" s="0" t="n">
        <v>286</v>
      </c>
      <c r="J8494" s="0" t="n">
        <v>61597</v>
      </c>
      <c r="K8494" s="0" t="n">
        <v>2258188</v>
      </c>
      <c r="L8494" s="0" t="s">
        <v>2510</v>
      </c>
      <c r="N8494" s="0" t="n">
        <v>5</v>
      </c>
      <c r="O8494" s="0" t="n">
        <v>20</v>
      </c>
      <c r="P8494" s="0" t="s">
        <v>2444</v>
      </c>
    </row>
    <row r="8495" customFormat="false" ht="15" hidden="false" customHeight="true" outlineLevel="0" collapsed="false">
      <c r="A8495" s="0" t="n">
        <v>2</v>
      </c>
      <c r="B8495" s="71" t="n">
        <v>46279</v>
      </c>
      <c r="C8495" s="0" t="n">
        <v>11</v>
      </c>
      <c r="D8495" s="0" t="s">
        <v>2471</v>
      </c>
      <c r="E8495" s="0" t="n">
        <v>1635</v>
      </c>
      <c r="F8495" s="0" t="s">
        <v>128</v>
      </c>
      <c r="I8495" s="0" t="n">
        <v>5600</v>
      </c>
      <c r="J8495" s="0" t="n">
        <v>100024</v>
      </c>
      <c r="K8495" s="0" t="n">
        <v>25</v>
      </c>
      <c r="L8495" s="0" t="s">
        <v>3345</v>
      </c>
      <c r="N8495" s="0" t="n">
        <v>75.24</v>
      </c>
      <c r="O8495" s="0" t="n">
        <v>902.13</v>
      </c>
      <c r="P8495" s="0" t="s">
        <v>2444</v>
      </c>
    </row>
    <row r="8496" customFormat="false" ht="15" hidden="false" customHeight="true" outlineLevel="0" collapsed="false">
      <c r="A8496" s="0" t="n">
        <v>2</v>
      </c>
      <c r="B8496" s="71" t="n">
        <v>46279</v>
      </c>
      <c r="C8496" s="0" t="n">
        <v>11</v>
      </c>
      <c r="D8496" s="0" t="s">
        <v>2471</v>
      </c>
      <c r="E8496" s="0" t="n">
        <v>1643</v>
      </c>
      <c r="F8496" s="0" t="s">
        <v>212</v>
      </c>
      <c r="I8496" s="0" t="n">
        <v>11011</v>
      </c>
      <c r="J8496" s="0" t="n">
        <v>63172</v>
      </c>
      <c r="K8496" s="0" t="n">
        <v>7898928536526</v>
      </c>
      <c r="L8496" s="0" t="s">
        <v>3454</v>
      </c>
      <c r="N8496" s="0" t="n">
        <v>48</v>
      </c>
      <c r="O8496" s="0" t="n">
        <v>76</v>
      </c>
      <c r="P8496" s="0" t="s">
        <v>2444</v>
      </c>
    </row>
    <row r="8497" customFormat="false" ht="15" hidden="false" customHeight="true" outlineLevel="0" collapsed="false">
      <c r="A8497" s="0" t="n">
        <v>2</v>
      </c>
      <c r="B8497" s="71" t="n">
        <v>46279</v>
      </c>
      <c r="C8497" s="0" t="n">
        <v>11</v>
      </c>
      <c r="D8497" s="0" t="s">
        <v>2471</v>
      </c>
      <c r="E8497" s="0" t="n">
        <v>1643</v>
      </c>
      <c r="F8497" s="0" t="s">
        <v>212</v>
      </c>
      <c r="I8497" s="0" t="n">
        <v>11011</v>
      </c>
      <c r="J8497" s="0" t="n">
        <v>63904</v>
      </c>
      <c r="K8497" s="0" t="n">
        <v>7898928536595</v>
      </c>
      <c r="L8497" s="0" t="s">
        <v>3455</v>
      </c>
      <c r="N8497" s="0" t="n">
        <v>48</v>
      </c>
      <c r="O8497" s="0" t="n">
        <v>76</v>
      </c>
      <c r="P8497" s="0" t="s">
        <v>2444</v>
      </c>
    </row>
    <row r="8498" customFormat="false" ht="15" hidden="false" customHeight="true" outlineLevel="0" collapsed="false">
      <c r="A8498" s="0" t="n">
        <v>2</v>
      </c>
      <c r="B8498" s="71" t="n">
        <v>46279</v>
      </c>
      <c r="C8498" s="0" t="n">
        <v>11</v>
      </c>
      <c r="D8498" s="0" t="s">
        <v>2471</v>
      </c>
      <c r="E8498" s="0" t="n">
        <v>1643</v>
      </c>
      <c r="F8498" s="0" t="s">
        <v>212</v>
      </c>
      <c r="I8498" s="0" t="n">
        <v>11011</v>
      </c>
      <c r="J8498" s="0" t="n">
        <v>64175</v>
      </c>
      <c r="K8498" s="0" t="n">
        <v>7898928536533</v>
      </c>
      <c r="L8498" s="0" t="s">
        <v>3455</v>
      </c>
      <c r="N8498" s="0" t="n">
        <v>48</v>
      </c>
      <c r="O8498" s="0" t="n">
        <v>76</v>
      </c>
      <c r="P8498" s="0" t="s">
        <v>2444</v>
      </c>
    </row>
    <row r="8499" customFormat="false" ht="15" hidden="false" customHeight="true" outlineLevel="0" collapsed="false">
      <c r="A8499" s="0" t="n">
        <v>2</v>
      </c>
      <c r="B8499" s="71" t="n">
        <v>46279</v>
      </c>
      <c r="C8499" s="0" t="n">
        <v>11</v>
      </c>
      <c r="D8499" s="0" t="s">
        <v>2471</v>
      </c>
      <c r="E8499" s="0" t="n">
        <v>1625</v>
      </c>
      <c r="F8499" s="0" t="s">
        <v>270</v>
      </c>
      <c r="I8499" s="0" t="n">
        <v>15352</v>
      </c>
      <c r="J8499" s="0" t="n">
        <v>29079</v>
      </c>
      <c r="K8499" s="0" t="n">
        <v>55515</v>
      </c>
      <c r="L8499" s="0" t="s">
        <v>2449</v>
      </c>
      <c r="N8499" s="0" t="n">
        <v>92.8</v>
      </c>
      <c r="O8499" s="0" t="n">
        <v>2969.6</v>
      </c>
      <c r="P8499" s="0" t="s">
        <v>2444</v>
      </c>
    </row>
    <row r="8500" customFormat="false" ht="15" hidden="false" customHeight="true" outlineLevel="0" collapsed="false">
      <c r="A8500" s="0" t="n">
        <v>2</v>
      </c>
      <c r="B8500" s="71" t="n">
        <v>46279</v>
      </c>
      <c r="C8500" s="0" t="n">
        <v>11</v>
      </c>
      <c r="D8500" s="0" t="s">
        <v>2471</v>
      </c>
      <c r="E8500" s="0" t="n">
        <v>1625</v>
      </c>
      <c r="F8500" s="0" t="s">
        <v>270</v>
      </c>
      <c r="I8500" s="0" t="n">
        <v>15352</v>
      </c>
      <c r="J8500" s="0" t="n">
        <v>29080</v>
      </c>
      <c r="K8500" s="0" t="n">
        <v>55516</v>
      </c>
      <c r="L8500" s="0" t="s">
        <v>2450</v>
      </c>
      <c r="N8500" s="0" t="n">
        <v>71</v>
      </c>
      <c r="O8500" s="0" t="n">
        <v>1562</v>
      </c>
      <c r="P8500" s="0" t="s">
        <v>2444</v>
      </c>
    </row>
    <row r="8501" customFormat="false" ht="15" hidden="false" customHeight="true" outlineLevel="0" collapsed="false">
      <c r="A8501" s="0" t="n">
        <v>2</v>
      </c>
      <c r="B8501" s="71" t="n">
        <v>46279</v>
      </c>
      <c r="C8501" s="0" t="n">
        <v>11</v>
      </c>
      <c r="D8501" s="0" t="s">
        <v>2471</v>
      </c>
      <c r="E8501" s="0" t="n">
        <v>10011</v>
      </c>
      <c r="F8501" s="0" t="s">
        <v>349</v>
      </c>
      <c r="I8501" s="0" t="n">
        <v>35693</v>
      </c>
      <c r="J8501" s="0" t="n">
        <v>100359</v>
      </c>
      <c r="K8501" s="0" t="n">
        <v>230</v>
      </c>
      <c r="L8501" s="0" t="s">
        <v>5396</v>
      </c>
      <c r="N8501" s="0" t="n">
        <v>50.5</v>
      </c>
      <c r="O8501" s="0" t="n">
        <v>714.75</v>
      </c>
      <c r="P8501" s="0" t="s">
        <v>2444</v>
      </c>
    </row>
    <row r="8502" customFormat="false" ht="15" hidden="false" customHeight="true" outlineLevel="0" collapsed="false">
      <c r="A8502" s="0" t="n">
        <v>2</v>
      </c>
      <c r="B8502" s="71" t="n">
        <v>46279</v>
      </c>
      <c r="C8502" s="0" t="n">
        <v>11</v>
      </c>
      <c r="D8502" s="0" t="s">
        <v>2471</v>
      </c>
      <c r="E8502" s="0" t="n">
        <v>10011</v>
      </c>
      <c r="F8502" s="0" t="s">
        <v>349</v>
      </c>
      <c r="I8502" s="0" t="n">
        <v>35693</v>
      </c>
      <c r="J8502" s="0" t="n">
        <v>100361</v>
      </c>
      <c r="K8502" s="0" t="n">
        <v>232</v>
      </c>
      <c r="L8502" s="0" t="s">
        <v>5397</v>
      </c>
      <c r="N8502" s="0" t="n">
        <v>50.5</v>
      </c>
      <c r="O8502" s="0" t="n">
        <v>714.75</v>
      </c>
      <c r="P8502" s="0" t="s">
        <v>2444</v>
      </c>
    </row>
    <row r="8503" customFormat="false" ht="15" hidden="false" customHeight="true" outlineLevel="0" collapsed="false">
      <c r="A8503" s="0" t="n">
        <v>2</v>
      </c>
      <c r="B8503" s="71" t="n">
        <v>46279</v>
      </c>
      <c r="C8503" s="0" t="n">
        <v>11</v>
      </c>
      <c r="D8503" s="0" t="s">
        <v>2471</v>
      </c>
      <c r="E8503" s="0" t="n">
        <v>10011</v>
      </c>
      <c r="F8503" s="0" t="s">
        <v>349</v>
      </c>
      <c r="I8503" s="0" t="n">
        <v>35693</v>
      </c>
      <c r="J8503" s="0" t="n">
        <v>100362</v>
      </c>
      <c r="K8503" s="0" t="n">
        <v>233</v>
      </c>
      <c r="L8503" s="0" t="s">
        <v>5398</v>
      </c>
      <c r="N8503" s="0" t="n">
        <v>75</v>
      </c>
      <c r="O8503" s="0" t="n">
        <v>722.2</v>
      </c>
      <c r="P8503" s="0" t="s">
        <v>2444</v>
      </c>
    </row>
    <row r="8504" customFormat="false" ht="15" hidden="false" customHeight="true" outlineLevel="0" collapsed="false">
      <c r="A8504" s="0" t="n">
        <v>2</v>
      </c>
      <c r="B8504" s="71" t="n">
        <v>46279</v>
      </c>
      <c r="C8504" s="0" t="n">
        <v>11</v>
      </c>
      <c r="D8504" s="0" t="s">
        <v>2471</v>
      </c>
      <c r="E8504" s="0" t="n">
        <v>10011</v>
      </c>
      <c r="F8504" s="0" t="s">
        <v>349</v>
      </c>
      <c r="I8504" s="0" t="n">
        <v>35693</v>
      </c>
      <c r="J8504" s="0" t="n">
        <v>100484</v>
      </c>
      <c r="K8504" s="0" t="n">
        <v>355</v>
      </c>
      <c r="L8504" s="0" t="s">
        <v>4589</v>
      </c>
      <c r="N8504" s="0" t="n">
        <v>75</v>
      </c>
      <c r="O8504" s="0" t="n">
        <v>685.15</v>
      </c>
      <c r="P8504" s="0" t="s">
        <v>2444</v>
      </c>
    </row>
    <row r="8505" customFormat="false" ht="15" hidden="false" customHeight="true" outlineLevel="0" collapsed="false">
      <c r="A8505" s="0" t="n">
        <v>2</v>
      </c>
      <c r="B8505" s="71" t="n">
        <v>46279</v>
      </c>
      <c r="C8505" s="0" t="n">
        <v>11</v>
      </c>
      <c r="D8505" s="0" t="s">
        <v>2471</v>
      </c>
      <c r="E8505" s="0" t="n">
        <v>10011</v>
      </c>
      <c r="F8505" s="0" t="s">
        <v>349</v>
      </c>
      <c r="I8505" s="0" t="n">
        <v>35693</v>
      </c>
      <c r="J8505" s="0" t="n">
        <v>100485</v>
      </c>
      <c r="K8505" s="0" t="n">
        <v>356</v>
      </c>
      <c r="L8505" s="0" t="s">
        <v>5399</v>
      </c>
      <c r="N8505" s="0" t="n">
        <v>75</v>
      </c>
      <c r="O8505" s="0" t="n">
        <v>603.7</v>
      </c>
      <c r="P8505" s="0" t="s">
        <v>2444</v>
      </c>
    </row>
    <row r="8506" customFormat="false" ht="15" hidden="false" customHeight="true" outlineLevel="0" collapsed="false">
      <c r="A8506" s="0" t="n">
        <v>2</v>
      </c>
      <c r="B8506" s="71" t="n">
        <v>46279</v>
      </c>
      <c r="C8506" s="0" t="n">
        <v>11</v>
      </c>
      <c r="D8506" s="0" t="s">
        <v>2471</v>
      </c>
      <c r="E8506" s="0" t="n">
        <v>10011</v>
      </c>
      <c r="F8506" s="0" t="s">
        <v>349</v>
      </c>
      <c r="I8506" s="0" t="n">
        <v>35693</v>
      </c>
      <c r="J8506" s="0" t="n">
        <v>28732</v>
      </c>
      <c r="K8506" s="0" t="n">
        <v>7896048916617</v>
      </c>
      <c r="L8506" s="0" t="s">
        <v>5400</v>
      </c>
      <c r="N8506" s="0" t="n">
        <v>18</v>
      </c>
      <c r="O8506" s="0" t="n">
        <v>42.66</v>
      </c>
      <c r="P8506" s="0" t="s">
        <v>2444</v>
      </c>
    </row>
    <row r="8507" customFormat="false" ht="15" hidden="false" customHeight="true" outlineLevel="0" collapsed="false">
      <c r="A8507" s="0" t="n">
        <v>2</v>
      </c>
      <c r="B8507" s="71" t="n">
        <v>46279</v>
      </c>
      <c r="C8507" s="0" t="n">
        <v>11</v>
      </c>
      <c r="D8507" s="0" t="s">
        <v>2471</v>
      </c>
      <c r="E8507" s="0" t="n">
        <v>10011</v>
      </c>
      <c r="F8507" s="0" t="s">
        <v>349</v>
      </c>
      <c r="I8507" s="0" t="n">
        <v>35693</v>
      </c>
      <c r="J8507" s="0" t="n">
        <v>35855</v>
      </c>
      <c r="K8507" s="0" t="n">
        <v>7896048915986</v>
      </c>
      <c r="L8507" s="0" t="s">
        <v>5401</v>
      </c>
      <c r="N8507" s="0" t="n">
        <v>54</v>
      </c>
      <c r="O8507" s="0" t="n">
        <v>127.98</v>
      </c>
      <c r="P8507" s="0" t="s">
        <v>2444</v>
      </c>
    </row>
    <row r="8508" customFormat="false" ht="15" hidden="false" customHeight="true" outlineLevel="0" collapsed="false">
      <c r="A8508" s="0" t="n">
        <v>2</v>
      </c>
      <c r="B8508" s="71" t="n">
        <v>46279</v>
      </c>
      <c r="C8508" s="0" t="n">
        <v>11</v>
      </c>
      <c r="D8508" s="0" t="s">
        <v>2471</v>
      </c>
      <c r="E8508" s="0" t="n">
        <v>10011</v>
      </c>
      <c r="F8508" s="0" t="s">
        <v>349</v>
      </c>
      <c r="I8508" s="0" t="n">
        <v>35693</v>
      </c>
      <c r="J8508" s="0" t="n">
        <v>35857</v>
      </c>
      <c r="K8508" s="0" t="n">
        <v>7896048915962</v>
      </c>
      <c r="L8508" s="0" t="s">
        <v>5402</v>
      </c>
      <c r="N8508" s="0" t="n">
        <v>54</v>
      </c>
      <c r="O8508" s="0" t="n">
        <v>127.98</v>
      </c>
      <c r="P8508" s="0" t="s">
        <v>2444</v>
      </c>
    </row>
    <row r="8509" customFormat="false" ht="15" hidden="false" customHeight="true" outlineLevel="0" collapsed="false">
      <c r="A8509" s="0" t="n">
        <v>2</v>
      </c>
      <c r="B8509" s="71" t="n">
        <v>46279</v>
      </c>
      <c r="C8509" s="0" t="n">
        <v>11</v>
      </c>
      <c r="D8509" s="0" t="s">
        <v>2471</v>
      </c>
      <c r="E8509" s="0" t="n">
        <v>10011</v>
      </c>
      <c r="F8509" s="0" t="s">
        <v>349</v>
      </c>
      <c r="I8509" s="0" t="n">
        <v>35693</v>
      </c>
      <c r="J8509" s="0" t="n">
        <v>35858</v>
      </c>
      <c r="K8509" s="0" t="n">
        <v>7896048916037</v>
      </c>
      <c r="L8509" s="0" t="s">
        <v>5403</v>
      </c>
      <c r="N8509" s="0" t="n">
        <v>54</v>
      </c>
      <c r="O8509" s="0" t="n">
        <v>127.98</v>
      </c>
      <c r="P8509" s="0" t="s">
        <v>2444</v>
      </c>
    </row>
    <row r="8510" customFormat="false" ht="15" hidden="false" customHeight="true" outlineLevel="0" collapsed="false">
      <c r="A8510" s="0" t="n">
        <v>2</v>
      </c>
      <c r="B8510" s="71" t="n">
        <v>46279</v>
      </c>
      <c r="C8510" s="0" t="n">
        <v>11</v>
      </c>
      <c r="D8510" s="0" t="s">
        <v>2471</v>
      </c>
      <c r="E8510" s="0" t="n">
        <v>10011</v>
      </c>
      <c r="F8510" s="0" t="s">
        <v>349</v>
      </c>
      <c r="I8510" s="0" t="n">
        <v>35693</v>
      </c>
      <c r="J8510" s="0" t="n">
        <v>36574</v>
      </c>
      <c r="K8510" s="0" t="n">
        <v>7896048916020</v>
      </c>
      <c r="L8510" s="0" t="s">
        <v>5404</v>
      </c>
      <c r="N8510" s="0" t="n">
        <v>18</v>
      </c>
      <c r="O8510" s="0" t="n">
        <v>42.66</v>
      </c>
      <c r="P8510" s="0" t="s">
        <v>2444</v>
      </c>
    </row>
    <row r="8511" customFormat="false" ht="15" hidden="false" customHeight="true" outlineLevel="0" collapsed="false">
      <c r="A8511" s="0" t="n">
        <v>2</v>
      </c>
      <c r="B8511" s="71" t="n">
        <v>46279</v>
      </c>
      <c r="C8511" s="0" t="n">
        <v>11</v>
      </c>
      <c r="D8511" s="0" t="s">
        <v>2471</v>
      </c>
      <c r="E8511" s="0" t="n">
        <v>10011</v>
      </c>
      <c r="F8511" s="0" t="s">
        <v>349</v>
      </c>
      <c r="I8511" s="0" t="n">
        <v>35693</v>
      </c>
      <c r="J8511" s="0" t="n">
        <v>36576</v>
      </c>
      <c r="K8511" s="0" t="n">
        <v>7896048915955</v>
      </c>
      <c r="L8511" s="0" t="s">
        <v>5405</v>
      </c>
      <c r="N8511" s="0" t="n">
        <v>36</v>
      </c>
      <c r="O8511" s="0" t="n">
        <v>85.32</v>
      </c>
      <c r="P8511" s="0" t="s">
        <v>2444</v>
      </c>
    </row>
    <row r="8512" customFormat="false" ht="15" hidden="false" customHeight="true" outlineLevel="0" collapsed="false">
      <c r="A8512" s="0" t="n">
        <v>2</v>
      </c>
      <c r="B8512" s="71" t="n">
        <v>46279</v>
      </c>
      <c r="C8512" s="0" t="n">
        <v>11</v>
      </c>
      <c r="D8512" s="0" t="s">
        <v>2471</v>
      </c>
      <c r="E8512" s="0" t="n">
        <v>10011</v>
      </c>
      <c r="F8512" s="0" t="s">
        <v>349</v>
      </c>
      <c r="I8512" s="0" t="n">
        <v>35693</v>
      </c>
      <c r="J8512" s="0" t="n">
        <v>36755</v>
      </c>
      <c r="K8512" s="0" t="n">
        <v>7896048915979</v>
      </c>
      <c r="L8512" s="0" t="s">
        <v>5406</v>
      </c>
      <c r="N8512" s="0" t="n">
        <v>54</v>
      </c>
      <c r="O8512" s="0" t="n">
        <v>127.98</v>
      </c>
      <c r="P8512" s="0" t="s">
        <v>2444</v>
      </c>
    </row>
    <row r="8513" customFormat="false" ht="15" hidden="false" customHeight="true" outlineLevel="0" collapsed="false">
      <c r="A8513" s="0" t="n">
        <v>2</v>
      </c>
      <c r="B8513" s="71" t="n">
        <v>46279</v>
      </c>
      <c r="C8513" s="0" t="n">
        <v>11</v>
      </c>
      <c r="D8513" s="0" t="s">
        <v>2471</v>
      </c>
      <c r="E8513" s="0" t="n">
        <v>10011</v>
      </c>
      <c r="F8513" s="0" t="s">
        <v>349</v>
      </c>
      <c r="I8513" s="0" t="n">
        <v>35693</v>
      </c>
      <c r="J8513" s="0" t="n">
        <v>37841</v>
      </c>
      <c r="K8513" s="0" t="n">
        <v>7896048916495</v>
      </c>
      <c r="L8513" s="0" t="s">
        <v>5407</v>
      </c>
      <c r="N8513" s="0" t="n">
        <v>54</v>
      </c>
      <c r="O8513" s="0" t="n">
        <v>127.98</v>
      </c>
      <c r="P8513" s="0" t="s">
        <v>2444</v>
      </c>
    </row>
    <row r="8514" customFormat="false" ht="15" hidden="false" customHeight="true" outlineLevel="0" collapsed="false">
      <c r="A8514" s="0" t="n">
        <v>2</v>
      </c>
      <c r="B8514" s="71" t="n">
        <v>46279</v>
      </c>
      <c r="C8514" s="0" t="n">
        <v>11</v>
      </c>
      <c r="D8514" s="0" t="s">
        <v>2471</v>
      </c>
      <c r="E8514" s="0" t="n">
        <v>10011</v>
      </c>
      <c r="F8514" s="0" t="s">
        <v>349</v>
      </c>
      <c r="I8514" s="0" t="n">
        <v>35693</v>
      </c>
      <c r="J8514" s="0" t="n">
        <v>38514</v>
      </c>
      <c r="K8514" s="0" t="n">
        <v>7896048916518</v>
      </c>
      <c r="L8514" s="0" t="s">
        <v>5408</v>
      </c>
      <c r="N8514" s="0" t="n">
        <v>54</v>
      </c>
      <c r="O8514" s="0" t="n">
        <v>127.98</v>
      </c>
      <c r="P8514" s="0" t="s">
        <v>2444</v>
      </c>
    </row>
    <row r="8515" customFormat="false" ht="15" hidden="false" customHeight="true" outlineLevel="0" collapsed="false">
      <c r="A8515" s="0" t="n">
        <v>2</v>
      </c>
      <c r="B8515" s="71" t="n">
        <v>46279</v>
      </c>
      <c r="C8515" s="0" t="n">
        <v>11</v>
      </c>
      <c r="D8515" s="0" t="s">
        <v>2471</v>
      </c>
      <c r="E8515" s="0" t="n">
        <v>1705</v>
      </c>
      <c r="F8515" s="0" t="s">
        <v>130</v>
      </c>
      <c r="I8515" s="0" t="n">
        <v>1288685</v>
      </c>
      <c r="J8515" s="0" t="n">
        <v>104576</v>
      </c>
      <c r="K8515" s="0" t="n">
        <v>7898341430111</v>
      </c>
      <c r="L8515" s="0" t="s">
        <v>2561</v>
      </c>
      <c r="N8515" s="0" t="n">
        <v>6</v>
      </c>
      <c r="O8515" s="0" t="n">
        <v>47.37</v>
      </c>
      <c r="P8515" s="0" t="s">
        <v>2444</v>
      </c>
    </row>
    <row r="8516" customFormat="false" ht="15" hidden="false" customHeight="true" outlineLevel="0" collapsed="false">
      <c r="A8516" s="0" t="n">
        <v>2</v>
      </c>
      <c r="B8516" s="71" t="n">
        <v>46279</v>
      </c>
      <c r="C8516" s="0" t="n">
        <v>11</v>
      </c>
      <c r="D8516" s="0" t="s">
        <v>2471</v>
      </c>
      <c r="E8516" s="0" t="n">
        <v>1705</v>
      </c>
      <c r="F8516" s="0" t="s">
        <v>130</v>
      </c>
      <c r="I8516" s="0" t="n">
        <v>1288687</v>
      </c>
      <c r="J8516" s="0" t="n">
        <v>21548</v>
      </c>
      <c r="K8516" s="0" t="n">
        <v>78934115</v>
      </c>
      <c r="L8516" s="0" t="s">
        <v>5081</v>
      </c>
      <c r="N8516" s="0" t="n">
        <v>6</v>
      </c>
      <c r="O8516" s="0" t="n">
        <v>28.47</v>
      </c>
      <c r="P8516" s="0" t="s">
        <v>2444</v>
      </c>
    </row>
    <row r="8517" customFormat="false" ht="15" hidden="false" customHeight="true" outlineLevel="0" collapsed="false">
      <c r="A8517" s="0" t="n">
        <v>2</v>
      </c>
      <c r="B8517" s="71" t="n">
        <v>46279</v>
      </c>
      <c r="C8517" s="0" t="n">
        <v>11</v>
      </c>
      <c r="D8517" s="0" t="s">
        <v>2471</v>
      </c>
      <c r="E8517" s="0" t="n">
        <v>1705</v>
      </c>
      <c r="F8517" s="0" t="s">
        <v>130</v>
      </c>
      <c r="I8517" s="0" t="n">
        <v>1288687</v>
      </c>
      <c r="J8517" s="0" t="n">
        <v>76553</v>
      </c>
      <c r="K8517" s="0" t="n">
        <v>7896045503476</v>
      </c>
      <c r="L8517" s="0" t="s">
        <v>3969</v>
      </c>
      <c r="N8517" s="0" t="n">
        <v>24</v>
      </c>
      <c r="O8517" s="0" t="n">
        <v>149.76</v>
      </c>
      <c r="P8517" s="0" t="s">
        <v>2444</v>
      </c>
    </row>
    <row r="8518" customFormat="false" ht="15" hidden="false" customHeight="true" outlineLevel="0" collapsed="false">
      <c r="A8518" s="0" t="n">
        <v>2</v>
      </c>
      <c r="B8518" s="71" t="n">
        <v>46279</v>
      </c>
      <c r="C8518" s="0" t="n">
        <v>11</v>
      </c>
      <c r="D8518" s="0" t="s">
        <v>2471</v>
      </c>
      <c r="E8518" s="0" t="n">
        <v>1705</v>
      </c>
      <c r="F8518" s="0" t="s">
        <v>130</v>
      </c>
      <c r="I8518" s="0" t="n">
        <v>1288687</v>
      </c>
      <c r="J8518" s="0" t="n">
        <v>76553</v>
      </c>
      <c r="K8518" s="0" t="n">
        <v>7896045503476</v>
      </c>
      <c r="L8518" s="0" t="s">
        <v>3969</v>
      </c>
      <c r="N8518" s="0" t="n">
        <v>72</v>
      </c>
      <c r="O8518" s="0" t="n">
        <v>457.14</v>
      </c>
      <c r="P8518" s="0" t="s">
        <v>2444</v>
      </c>
    </row>
    <row r="8519" customFormat="false" ht="15" hidden="false" customHeight="true" outlineLevel="0" collapsed="false">
      <c r="A8519" s="0" t="n">
        <v>2</v>
      </c>
      <c r="B8519" s="71" t="n">
        <v>46279</v>
      </c>
      <c r="C8519" s="0" t="n">
        <v>11</v>
      </c>
      <c r="D8519" s="0" t="s">
        <v>2471</v>
      </c>
      <c r="E8519" s="0" t="n">
        <v>1705</v>
      </c>
      <c r="F8519" s="0" t="s">
        <v>130</v>
      </c>
      <c r="I8519" s="0" t="n">
        <v>1288687</v>
      </c>
      <c r="J8519" s="0" t="n">
        <v>81864</v>
      </c>
      <c r="K8519" s="0" t="n">
        <v>7896045507610</v>
      </c>
      <c r="L8519" s="0" t="s">
        <v>5409</v>
      </c>
      <c r="N8519" s="0" t="n">
        <v>12</v>
      </c>
      <c r="O8519" s="0" t="n">
        <v>48.72</v>
      </c>
      <c r="P8519" s="0" t="s">
        <v>2444</v>
      </c>
    </row>
    <row r="8520" customFormat="false" ht="15" hidden="false" customHeight="true" outlineLevel="0" collapsed="false">
      <c r="A8520" s="0" t="n">
        <v>2</v>
      </c>
      <c r="B8520" s="71" t="n">
        <v>46279</v>
      </c>
      <c r="C8520" s="0" t="n">
        <v>11</v>
      </c>
      <c r="D8520" s="0" t="s">
        <v>2471</v>
      </c>
      <c r="E8520" s="0" t="n">
        <v>1705</v>
      </c>
      <c r="F8520" s="0" t="s">
        <v>130</v>
      </c>
      <c r="I8520" s="0" t="n">
        <v>1288725</v>
      </c>
      <c r="J8520" s="0" t="n">
        <v>24324</v>
      </c>
      <c r="K8520" s="0" t="n">
        <v>70847022015</v>
      </c>
      <c r="L8520" s="0" t="s">
        <v>2462</v>
      </c>
      <c r="N8520" s="0" t="n">
        <v>24</v>
      </c>
      <c r="O8520" s="0" t="n">
        <v>203.42</v>
      </c>
      <c r="P8520" s="0" t="s">
        <v>2444</v>
      </c>
    </row>
    <row r="8521" customFormat="false" ht="15" hidden="false" customHeight="true" outlineLevel="0" collapsed="false">
      <c r="A8521" s="0" t="n">
        <v>2</v>
      </c>
      <c r="B8521" s="71" t="n">
        <v>46279</v>
      </c>
      <c r="C8521" s="0" t="n">
        <v>11</v>
      </c>
      <c r="D8521" s="0" t="s">
        <v>2471</v>
      </c>
      <c r="E8521" s="0" t="n">
        <v>1705</v>
      </c>
      <c r="F8521" s="0" t="s">
        <v>130</v>
      </c>
      <c r="I8521" s="0" t="n">
        <v>1288725</v>
      </c>
      <c r="J8521" s="0" t="n">
        <v>70703</v>
      </c>
      <c r="K8521" s="0" t="n">
        <v>7898938890090</v>
      </c>
      <c r="L8521" s="0" t="s">
        <v>4812</v>
      </c>
      <c r="N8521" s="0" t="n">
        <v>6</v>
      </c>
      <c r="O8521" s="0" t="n">
        <v>50.85</v>
      </c>
      <c r="P8521" s="0" t="s">
        <v>2444</v>
      </c>
    </row>
    <row r="8522" customFormat="false" ht="15" hidden="false" customHeight="true" outlineLevel="0" collapsed="false">
      <c r="A8522" s="0" t="n">
        <v>2</v>
      </c>
      <c r="B8522" s="71" t="n">
        <v>46279</v>
      </c>
      <c r="C8522" s="0" t="n">
        <v>11</v>
      </c>
      <c r="D8522" s="0" t="s">
        <v>2471</v>
      </c>
      <c r="E8522" s="0" t="n">
        <v>1705</v>
      </c>
      <c r="F8522" s="0" t="s">
        <v>130</v>
      </c>
      <c r="I8522" s="0" t="n">
        <v>1288725</v>
      </c>
      <c r="J8522" s="0" t="n">
        <v>74598</v>
      </c>
      <c r="K8522" s="0" t="n">
        <v>7898938890113</v>
      </c>
      <c r="L8522" s="0" t="s">
        <v>4657</v>
      </c>
      <c r="N8522" s="0" t="n">
        <v>6</v>
      </c>
      <c r="O8522" s="0" t="n">
        <v>50.85</v>
      </c>
      <c r="P8522" s="0" t="s">
        <v>2444</v>
      </c>
    </row>
    <row r="8523" customFormat="false" ht="15" hidden="false" customHeight="true" outlineLevel="0" collapsed="false">
      <c r="A8523" s="0" t="n">
        <v>2</v>
      </c>
      <c r="B8523" s="71" t="n">
        <v>46279</v>
      </c>
      <c r="C8523" s="0" t="n">
        <v>11</v>
      </c>
      <c r="D8523" s="0" t="s">
        <v>2471</v>
      </c>
      <c r="E8523" s="0" t="n">
        <v>1705</v>
      </c>
      <c r="F8523" s="0" t="s">
        <v>130</v>
      </c>
      <c r="I8523" s="0" t="n">
        <v>1288725</v>
      </c>
      <c r="J8523" s="0" t="n">
        <v>81668</v>
      </c>
      <c r="K8523" s="0" t="n">
        <v>7898770420011</v>
      </c>
      <c r="L8523" s="0" t="s">
        <v>3884</v>
      </c>
      <c r="N8523" s="0" t="n">
        <v>6</v>
      </c>
      <c r="O8523" s="0" t="n">
        <v>50.85</v>
      </c>
      <c r="P8523" s="0" t="s">
        <v>2444</v>
      </c>
    </row>
    <row r="8524" customFormat="false" ht="15" hidden="false" customHeight="true" outlineLevel="0" collapsed="false">
      <c r="A8524" s="0" t="n">
        <v>2</v>
      </c>
      <c r="B8524" s="71" t="n">
        <v>46279</v>
      </c>
      <c r="C8524" s="0" t="n">
        <v>11</v>
      </c>
      <c r="D8524" s="0" t="s">
        <v>2471</v>
      </c>
      <c r="E8524" s="0" t="n">
        <v>1705</v>
      </c>
      <c r="F8524" s="0" t="s">
        <v>130</v>
      </c>
      <c r="I8524" s="0" t="n">
        <v>1288792</v>
      </c>
      <c r="J8524" s="0" t="n">
        <v>75573</v>
      </c>
      <c r="K8524" s="0" t="n">
        <v>7894900337006</v>
      </c>
      <c r="L8524" s="0" t="s">
        <v>4692</v>
      </c>
      <c r="N8524" s="0" t="n">
        <v>6</v>
      </c>
      <c r="O8524" s="0" t="n">
        <v>40.46</v>
      </c>
      <c r="P8524" s="0" t="s">
        <v>2444</v>
      </c>
    </row>
    <row r="8525" customFormat="false" ht="15" hidden="false" customHeight="true" outlineLevel="0" collapsed="false">
      <c r="A8525" s="0" t="n">
        <v>2</v>
      </c>
      <c r="B8525" s="71" t="n">
        <v>46279</v>
      </c>
      <c r="C8525" s="0" t="n">
        <v>11</v>
      </c>
      <c r="D8525" s="0" t="s">
        <v>2471</v>
      </c>
      <c r="E8525" s="0" t="n">
        <v>10009</v>
      </c>
      <c r="F8525" s="0" t="s">
        <v>464</v>
      </c>
      <c r="I8525" s="0" t="n">
        <v>1449042</v>
      </c>
      <c r="J8525" s="0" t="n">
        <v>102250</v>
      </c>
      <c r="K8525" s="0" t="n">
        <v>7891000100103</v>
      </c>
      <c r="L8525" s="0" t="s">
        <v>5410</v>
      </c>
      <c r="N8525" s="0" t="n">
        <v>27</v>
      </c>
      <c r="O8525" s="0" t="n">
        <v>287.24</v>
      </c>
      <c r="P8525" s="0" t="s">
        <v>2444</v>
      </c>
    </row>
    <row r="8526" customFormat="false" ht="15" hidden="false" customHeight="true" outlineLevel="0" collapsed="false">
      <c r="A8526" s="0" t="n">
        <v>2</v>
      </c>
      <c r="B8526" s="71" t="n">
        <v>46279</v>
      </c>
      <c r="C8526" s="0" t="n">
        <v>11</v>
      </c>
      <c r="D8526" s="0" t="s">
        <v>2471</v>
      </c>
      <c r="E8526" s="0" t="n">
        <v>10009</v>
      </c>
      <c r="F8526" s="0" t="s">
        <v>464</v>
      </c>
      <c r="I8526" s="0" t="n">
        <v>1449042</v>
      </c>
      <c r="J8526" s="0" t="n">
        <v>102576</v>
      </c>
      <c r="K8526" s="0" t="n">
        <v>7891000126905</v>
      </c>
      <c r="L8526" s="0" t="s">
        <v>4357</v>
      </c>
      <c r="N8526" s="0" t="n">
        <v>27</v>
      </c>
      <c r="O8526" s="0" t="n">
        <v>118.51</v>
      </c>
      <c r="P8526" s="0" t="s">
        <v>2444</v>
      </c>
    </row>
    <row r="8527" customFormat="false" ht="15" hidden="false" customHeight="true" outlineLevel="0" collapsed="false">
      <c r="A8527" s="0" t="n">
        <v>2</v>
      </c>
      <c r="B8527" s="71" t="n">
        <v>46279</v>
      </c>
      <c r="C8527" s="0" t="n">
        <v>11</v>
      </c>
      <c r="D8527" s="0" t="s">
        <v>2471</v>
      </c>
      <c r="E8527" s="0" t="n">
        <v>10009</v>
      </c>
      <c r="F8527" s="0" t="s">
        <v>464</v>
      </c>
      <c r="I8527" s="0" t="n">
        <v>1449042</v>
      </c>
      <c r="J8527" s="0" t="n">
        <v>14234</v>
      </c>
      <c r="K8527" s="0" t="n">
        <v>7891000081501</v>
      </c>
      <c r="L8527" s="0" t="s">
        <v>3136</v>
      </c>
      <c r="N8527" s="0" t="n">
        <v>12</v>
      </c>
      <c r="O8527" s="0" t="n">
        <v>137.43</v>
      </c>
      <c r="P8527" s="0" t="s">
        <v>2444</v>
      </c>
    </row>
    <row r="8528" customFormat="false" ht="15" hidden="false" customHeight="true" outlineLevel="0" collapsed="false">
      <c r="A8528" s="0" t="n">
        <v>2</v>
      </c>
      <c r="B8528" s="71" t="n">
        <v>46279</v>
      </c>
      <c r="C8528" s="0" t="n">
        <v>11</v>
      </c>
      <c r="D8528" s="0" t="s">
        <v>2471</v>
      </c>
      <c r="E8528" s="0" t="n">
        <v>10009</v>
      </c>
      <c r="F8528" s="0" t="s">
        <v>464</v>
      </c>
      <c r="I8528" s="0" t="n">
        <v>1449042</v>
      </c>
      <c r="J8528" s="0" t="n">
        <v>36097</v>
      </c>
      <c r="K8528" s="0" t="n">
        <v>7891000305553</v>
      </c>
      <c r="L8528" s="0" t="s">
        <v>4360</v>
      </c>
      <c r="N8528" s="0" t="n">
        <v>27</v>
      </c>
      <c r="O8528" s="0" t="n">
        <v>168.92</v>
      </c>
      <c r="P8528" s="0" t="s">
        <v>2444</v>
      </c>
    </row>
    <row r="8529" customFormat="false" ht="15" hidden="false" customHeight="true" outlineLevel="0" collapsed="false">
      <c r="A8529" s="0" t="n">
        <v>2</v>
      </c>
      <c r="B8529" s="71" t="n">
        <v>46279</v>
      </c>
      <c r="C8529" s="0" t="n">
        <v>11</v>
      </c>
      <c r="D8529" s="0" t="s">
        <v>2471</v>
      </c>
      <c r="E8529" s="0" t="n">
        <v>10009</v>
      </c>
      <c r="F8529" s="0" t="s">
        <v>464</v>
      </c>
      <c r="I8529" s="0" t="n">
        <v>1449042</v>
      </c>
      <c r="J8529" s="0" t="n">
        <v>61564</v>
      </c>
      <c r="K8529" s="0" t="n">
        <v>7891000366141</v>
      </c>
      <c r="L8529" s="0" t="s">
        <v>3165</v>
      </c>
      <c r="N8529" s="0" t="n">
        <v>27</v>
      </c>
      <c r="O8529" s="0" t="n">
        <v>70.68</v>
      </c>
      <c r="P8529" s="0" t="s">
        <v>2444</v>
      </c>
    </row>
    <row r="8530" customFormat="false" ht="15" hidden="false" customHeight="true" outlineLevel="0" collapsed="false">
      <c r="A8530" s="0" t="n">
        <v>2</v>
      </c>
      <c r="B8530" s="71" t="n">
        <v>46279</v>
      </c>
      <c r="C8530" s="0" t="n">
        <v>11</v>
      </c>
      <c r="D8530" s="0" t="s">
        <v>2471</v>
      </c>
      <c r="E8530" s="0" t="n">
        <v>1683</v>
      </c>
      <c r="F8530" s="0" t="s">
        <v>406</v>
      </c>
      <c r="I8530" s="0" t="n">
        <v>1679781</v>
      </c>
      <c r="J8530" s="0" t="n">
        <v>109791</v>
      </c>
      <c r="K8530" s="0" t="n">
        <v>9667</v>
      </c>
      <c r="L8530" s="0" t="s">
        <v>2465</v>
      </c>
      <c r="N8530" s="0" t="n">
        <v>13</v>
      </c>
      <c r="O8530" s="0" t="n">
        <v>19.5</v>
      </c>
      <c r="P8530" s="0" t="s">
        <v>2444</v>
      </c>
    </row>
    <row r="8531" customFormat="false" ht="15" hidden="false" customHeight="true" outlineLevel="0" collapsed="false">
      <c r="A8531" s="0" t="n">
        <v>2</v>
      </c>
      <c r="B8531" s="71" t="n">
        <v>46279</v>
      </c>
      <c r="C8531" s="0" t="n">
        <v>11</v>
      </c>
      <c r="D8531" s="0" t="s">
        <v>2471</v>
      </c>
      <c r="E8531" s="0" t="n">
        <v>1683</v>
      </c>
      <c r="F8531" s="0" t="s">
        <v>406</v>
      </c>
      <c r="I8531" s="0" t="n">
        <v>1679781</v>
      </c>
      <c r="J8531" s="0" t="n">
        <v>37359</v>
      </c>
      <c r="K8531" s="0" t="n">
        <v>55526</v>
      </c>
      <c r="L8531" s="0" t="s">
        <v>2466</v>
      </c>
      <c r="N8531" s="0" t="n">
        <v>4</v>
      </c>
      <c r="O8531" s="0" t="n">
        <v>18</v>
      </c>
      <c r="P8531" s="0" t="s">
        <v>2444</v>
      </c>
    </row>
    <row r="8532" customFormat="false" ht="15" hidden="false" customHeight="true" outlineLevel="0" collapsed="false">
      <c r="A8532" s="0" t="n">
        <v>2</v>
      </c>
      <c r="B8532" s="71" t="n">
        <v>46279</v>
      </c>
      <c r="C8532" s="0" t="n">
        <v>11</v>
      </c>
      <c r="D8532" s="0" t="s">
        <v>2471</v>
      </c>
      <c r="E8532" s="0" t="n">
        <v>1683</v>
      </c>
      <c r="F8532" s="0" t="s">
        <v>406</v>
      </c>
      <c r="I8532" s="0" t="n">
        <v>1679781</v>
      </c>
      <c r="J8532" s="0" t="n">
        <v>37361</v>
      </c>
      <c r="K8532" s="0" t="n">
        <v>2240817</v>
      </c>
      <c r="L8532" s="0" t="s">
        <v>2467</v>
      </c>
      <c r="N8532" s="0" t="n">
        <v>50</v>
      </c>
      <c r="O8532" s="0" t="n">
        <v>90</v>
      </c>
      <c r="P8532" s="0" t="s">
        <v>2444</v>
      </c>
    </row>
    <row r="8533" customFormat="false" ht="15" hidden="false" customHeight="true" outlineLevel="0" collapsed="false">
      <c r="A8533" s="0" t="n">
        <v>2</v>
      </c>
      <c r="B8533" s="71" t="n">
        <v>46279</v>
      </c>
      <c r="C8533" s="0" t="n">
        <v>11</v>
      </c>
      <c r="D8533" s="0" t="s">
        <v>2471</v>
      </c>
      <c r="E8533" s="0" t="n">
        <v>1683</v>
      </c>
      <c r="F8533" s="0" t="s">
        <v>406</v>
      </c>
      <c r="I8533" s="0" t="n">
        <v>1679944</v>
      </c>
      <c r="J8533" s="0" t="n">
        <v>109791</v>
      </c>
      <c r="K8533" s="0" t="n">
        <v>9667</v>
      </c>
      <c r="L8533" s="0" t="s">
        <v>2465</v>
      </c>
      <c r="N8533" s="0" t="n">
        <v>14</v>
      </c>
      <c r="O8533" s="0" t="n">
        <v>21</v>
      </c>
      <c r="P8533" s="0" t="s">
        <v>2444</v>
      </c>
    </row>
    <row r="8534" customFormat="false" ht="15" hidden="false" customHeight="true" outlineLevel="0" collapsed="false">
      <c r="A8534" s="0" t="n">
        <v>2</v>
      </c>
      <c r="B8534" s="71" t="n">
        <v>46279</v>
      </c>
      <c r="C8534" s="0" t="n">
        <v>11</v>
      </c>
      <c r="D8534" s="0" t="s">
        <v>2471</v>
      </c>
      <c r="E8534" s="0" t="n">
        <v>1683</v>
      </c>
      <c r="F8534" s="0" t="s">
        <v>406</v>
      </c>
      <c r="I8534" s="0" t="n">
        <v>1679944</v>
      </c>
      <c r="J8534" s="0" t="n">
        <v>37359</v>
      </c>
      <c r="K8534" s="0" t="n">
        <v>55526</v>
      </c>
      <c r="L8534" s="0" t="s">
        <v>2466</v>
      </c>
      <c r="N8534" s="0" t="n">
        <v>4</v>
      </c>
      <c r="O8534" s="0" t="n">
        <v>18</v>
      </c>
      <c r="P8534" s="0" t="s">
        <v>2444</v>
      </c>
    </row>
    <row r="8535" customFormat="false" ht="15" hidden="false" customHeight="true" outlineLevel="0" collapsed="false">
      <c r="A8535" s="0" t="n">
        <v>2</v>
      </c>
      <c r="B8535" s="71" t="n">
        <v>46279</v>
      </c>
      <c r="C8535" s="0" t="n">
        <v>11</v>
      </c>
      <c r="D8535" s="0" t="s">
        <v>2471</v>
      </c>
      <c r="E8535" s="0" t="n">
        <v>1683</v>
      </c>
      <c r="F8535" s="0" t="s">
        <v>406</v>
      </c>
      <c r="I8535" s="0" t="n">
        <v>1679944</v>
      </c>
      <c r="J8535" s="0" t="n">
        <v>37361</v>
      </c>
      <c r="K8535" s="0" t="n">
        <v>2240817</v>
      </c>
      <c r="L8535" s="0" t="s">
        <v>2467</v>
      </c>
      <c r="N8535" s="0" t="n">
        <v>70</v>
      </c>
      <c r="O8535" s="0" t="n">
        <v>126</v>
      </c>
      <c r="P8535" s="0" t="s">
        <v>2444</v>
      </c>
    </row>
    <row r="8536" customFormat="false" ht="15" hidden="false" customHeight="true" outlineLevel="0" collapsed="false">
      <c r="A8536" s="0" t="n">
        <v>2</v>
      </c>
      <c r="B8536" s="71" t="n">
        <v>46279</v>
      </c>
      <c r="C8536" s="0" t="n">
        <v>11</v>
      </c>
      <c r="D8536" s="0" t="s">
        <v>2471</v>
      </c>
      <c r="E8536" s="0" t="n">
        <v>1705</v>
      </c>
      <c r="F8536" s="0" t="s">
        <v>130</v>
      </c>
      <c r="I8536" s="0" t="n">
        <v>2039865</v>
      </c>
      <c r="J8536" s="0" t="n">
        <v>29826</v>
      </c>
      <c r="K8536" s="0" t="n">
        <v>7894900556032</v>
      </c>
      <c r="L8536" s="0" t="s">
        <v>2574</v>
      </c>
      <c r="N8536" s="0" t="n">
        <v>6</v>
      </c>
      <c r="O8536" s="0" t="n">
        <v>29.85</v>
      </c>
      <c r="P8536" s="0" t="s">
        <v>2444</v>
      </c>
    </row>
    <row r="8537" customFormat="false" ht="15" hidden="false" customHeight="true" outlineLevel="0" collapsed="false">
      <c r="A8537" s="0" t="n">
        <v>2</v>
      </c>
      <c r="B8537" s="71" t="n">
        <v>46279</v>
      </c>
      <c r="C8537" s="0" t="n">
        <v>11</v>
      </c>
      <c r="D8537" s="0" t="s">
        <v>2471</v>
      </c>
      <c r="E8537" s="0" t="n">
        <v>1705</v>
      </c>
      <c r="F8537" s="0" t="s">
        <v>130</v>
      </c>
      <c r="I8537" s="0" t="n">
        <v>2039974</v>
      </c>
      <c r="J8537" s="0" t="n">
        <v>37279</v>
      </c>
      <c r="K8537" s="0" t="n">
        <v>7894900027013</v>
      </c>
      <c r="L8537" s="0" t="s">
        <v>2575</v>
      </c>
      <c r="N8537" s="0" t="n">
        <v>36</v>
      </c>
      <c r="O8537" s="0" t="n">
        <v>317.58</v>
      </c>
      <c r="P8537" s="0" t="s">
        <v>2444</v>
      </c>
    </row>
    <row r="8538" customFormat="false" ht="15" hidden="false" customHeight="true" outlineLevel="0" collapsed="false">
      <c r="A8538" s="0" t="n">
        <v>2</v>
      </c>
      <c r="B8538" s="71" t="n">
        <v>46279</v>
      </c>
      <c r="C8538" s="0" t="n">
        <v>11</v>
      </c>
      <c r="D8538" s="0" t="s">
        <v>2471</v>
      </c>
      <c r="E8538" s="0" t="n">
        <v>1705</v>
      </c>
      <c r="F8538" s="0" t="s">
        <v>130</v>
      </c>
      <c r="I8538" s="0" t="n">
        <v>2040862</v>
      </c>
      <c r="J8538" s="0" t="n">
        <v>103140</v>
      </c>
      <c r="K8538" s="0" t="n">
        <v>7894900031751</v>
      </c>
      <c r="L8538" s="0" t="s">
        <v>2655</v>
      </c>
      <c r="N8538" s="0" t="n">
        <v>12</v>
      </c>
      <c r="O8538" s="0" t="n">
        <v>67.89</v>
      </c>
      <c r="P8538" s="0" t="s">
        <v>2444</v>
      </c>
    </row>
    <row r="8539" customFormat="false" ht="15" hidden="false" customHeight="true" outlineLevel="0" collapsed="false">
      <c r="A8539" s="0" t="n">
        <v>2</v>
      </c>
      <c r="B8539" s="71" t="n">
        <v>46279</v>
      </c>
      <c r="C8539" s="0" t="n">
        <v>11</v>
      </c>
      <c r="D8539" s="0" t="s">
        <v>2471</v>
      </c>
      <c r="E8539" s="0" t="n">
        <v>1705</v>
      </c>
      <c r="F8539" s="0" t="s">
        <v>130</v>
      </c>
      <c r="I8539" s="0" t="n">
        <v>2040862</v>
      </c>
      <c r="J8539" s="0" t="n">
        <v>103142</v>
      </c>
      <c r="K8539" s="0" t="n">
        <v>7894900011753</v>
      </c>
      <c r="L8539" s="0" t="s">
        <v>2581</v>
      </c>
      <c r="N8539" s="0" t="n">
        <v>60</v>
      </c>
      <c r="O8539" s="0" t="n">
        <v>381.56</v>
      </c>
      <c r="P8539" s="0" t="s">
        <v>2444</v>
      </c>
    </row>
    <row r="8540" customFormat="false" ht="15" hidden="false" customHeight="true" outlineLevel="0" collapsed="false">
      <c r="A8540" s="0" t="n">
        <v>2</v>
      </c>
      <c r="B8540" s="71" t="n">
        <v>46279</v>
      </c>
      <c r="C8540" s="0" t="n">
        <v>11</v>
      </c>
      <c r="D8540" s="0" t="s">
        <v>2471</v>
      </c>
      <c r="E8540" s="0" t="n">
        <v>1705</v>
      </c>
      <c r="F8540" s="0" t="s">
        <v>130</v>
      </c>
      <c r="I8540" s="0" t="n">
        <v>2040862</v>
      </c>
      <c r="J8540" s="0" t="n">
        <v>103159</v>
      </c>
      <c r="K8540" s="0" t="n">
        <v>7894900050011</v>
      </c>
      <c r="L8540" s="0" t="s">
        <v>2656</v>
      </c>
      <c r="N8540" s="0" t="n">
        <v>24</v>
      </c>
      <c r="O8540" s="0" t="n">
        <v>67.89</v>
      </c>
      <c r="P8540" s="0" t="s">
        <v>2444</v>
      </c>
    </row>
    <row r="8541" customFormat="false" ht="15" hidden="false" customHeight="true" outlineLevel="0" collapsed="false">
      <c r="A8541" s="0" t="n">
        <v>2</v>
      </c>
      <c r="B8541" s="71" t="n">
        <v>46279</v>
      </c>
      <c r="C8541" s="0" t="n">
        <v>11</v>
      </c>
      <c r="D8541" s="0" t="s">
        <v>2471</v>
      </c>
      <c r="E8541" s="0" t="n">
        <v>1705</v>
      </c>
      <c r="F8541" s="0" t="s">
        <v>130</v>
      </c>
      <c r="I8541" s="0" t="n">
        <v>2040862</v>
      </c>
      <c r="J8541" s="0" t="n">
        <v>103160</v>
      </c>
      <c r="K8541" s="0" t="n">
        <v>7894900030013</v>
      </c>
      <c r="L8541" s="0" t="s">
        <v>2568</v>
      </c>
      <c r="N8541" s="0" t="n">
        <v>24</v>
      </c>
      <c r="O8541" s="0" t="n">
        <v>67.89</v>
      </c>
      <c r="P8541" s="0" t="s">
        <v>2444</v>
      </c>
    </row>
    <row r="8542" customFormat="false" ht="15" hidden="false" customHeight="true" outlineLevel="0" collapsed="false">
      <c r="A8542" s="0" t="n">
        <v>2</v>
      </c>
      <c r="B8542" s="71" t="n">
        <v>46279</v>
      </c>
      <c r="C8542" s="0" t="n">
        <v>11</v>
      </c>
      <c r="D8542" s="0" t="s">
        <v>2471</v>
      </c>
      <c r="E8542" s="0" t="n">
        <v>1705</v>
      </c>
      <c r="F8542" s="0" t="s">
        <v>130</v>
      </c>
      <c r="I8542" s="0" t="n">
        <v>2040862</v>
      </c>
      <c r="J8542" s="0" t="n">
        <v>103161</v>
      </c>
      <c r="K8542" s="0" t="n">
        <v>7894900010015</v>
      </c>
      <c r="L8542" s="0" t="s">
        <v>2569</v>
      </c>
      <c r="N8542" s="0" t="n">
        <v>60</v>
      </c>
      <c r="O8542" s="0" t="n">
        <v>190.48</v>
      </c>
      <c r="P8542" s="0" t="s">
        <v>2444</v>
      </c>
    </row>
    <row r="8543" customFormat="false" ht="15" hidden="false" customHeight="true" outlineLevel="0" collapsed="false">
      <c r="A8543" s="0" t="n">
        <v>2</v>
      </c>
      <c r="B8543" s="71" t="n">
        <v>46279</v>
      </c>
      <c r="C8543" s="0" t="n">
        <v>11</v>
      </c>
      <c r="D8543" s="0" t="s">
        <v>2471</v>
      </c>
      <c r="E8543" s="0" t="n">
        <v>1705</v>
      </c>
      <c r="F8543" s="0" t="s">
        <v>130</v>
      </c>
      <c r="I8543" s="0" t="n">
        <v>2040862</v>
      </c>
      <c r="J8543" s="0" t="n">
        <v>105323</v>
      </c>
      <c r="K8543" s="0" t="n">
        <v>7894900701753</v>
      </c>
      <c r="L8543" s="0" t="s">
        <v>2570</v>
      </c>
      <c r="N8543" s="0" t="n">
        <v>30</v>
      </c>
      <c r="O8543" s="0" t="n">
        <v>182.84</v>
      </c>
      <c r="P8543" s="0" t="s">
        <v>2444</v>
      </c>
    </row>
    <row r="8544" customFormat="false" ht="15" hidden="false" customHeight="true" outlineLevel="0" collapsed="false">
      <c r="A8544" s="0" t="n">
        <v>2</v>
      </c>
      <c r="B8544" s="71" t="n">
        <v>46279</v>
      </c>
      <c r="C8544" s="0" t="n">
        <v>11</v>
      </c>
      <c r="D8544" s="0" t="s">
        <v>2471</v>
      </c>
      <c r="E8544" s="0" t="n">
        <v>1705</v>
      </c>
      <c r="F8544" s="0" t="s">
        <v>130</v>
      </c>
      <c r="I8544" s="0" t="n">
        <v>2040862</v>
      </c>
      <c r="J8544" s="0" t="n">
        <v>105631</v>
      </c>
      <c r="K8544" s="0" t="n">
        <v>7894900011609</v>
      </c>
      <c r="L8544" s="0" t="s">
        <v>2571</v>
      </c>
      <c r="N8544" s="0" t="n">
        <v>60</v>
      </c>
      <c r="O8544" s="0" t="n">
        <v>247.25</v>
      </c>
      <c r="P8544" s="0" t="s">
        <v>2444</v>
      </c>
    </row>
    <row r="8545" customFormat="false" ht="15" hidden="false" customHeight="true" outlineLevel="0" collapsed="false">
      <c r="A8545" s="0" t="n">
        <v>2</v>
      </c>
      <c r="B8545" s="71" t="n">
        <v>46279</v>
      </c>
      <c r="C8545" s="0" t="n">
        <v>11</v>
      </c>
      <c r="D8545" s="0" t="s">
        <v>2471</v>
      </c>
      <c r="E8545" s="0" t="n">
        <v>1705</v>
      </c>
      <c r="F8545" s="0" t="s">
        <v>130</v>
      </c>
      <c r="I8545" s="0" t="n">
        <v>2040862</v>
      </c>
      <c r="J8545" s="0" t="n">
        <v>107100</v>
      </c>
      <c r="K8545" s="0" t="n">
        <v>7894900700015</v>
      </c>
      <c r="L8545" s="0" t="s">
        <v>2572</v>
      </c>
      <c r="N8545" s="0" t="n">
        <v>36</v>
      </c>
      <c r="O8545" s="0" t="n">
        <v>111.36</v>
      </c>
      <c r="P8545" s="0" t="s">
        <v>2444</v>
      </c>
    </row>
    <row r="8546" customFormat="false" ht="15" hidden="false" customHeight="true" outlineLevel="0" collapsed="false">
      <c r="A8546" s="0" t="n">
        <v>2</v>
      </c>
      <c r="B8546" s="71" t="n">
        <v>46279</v>
      </c>
      <c r="C8546" s="0" t="n">
        <v>11</v>
      </c>
      <c r="D8546" s="0" t="s">
        <v>2471</v>
      </c>
      <c r="E8546" s="0" t="n">
        <v>1705</v>
      </c>
      <c r="F8546" s="0" t="s">
        <v>130</v>
      </c>
      <c r="I8546" s="0" t="n">
        <v>2040862</v>
      </c>
      <c r="J8546" s="0" t="n">
        <v>10830</v>
      </c>
      <c r="K8546" s="0" t="n">
        <v>7894900701517</v>
      </c>
      <c r="L8546" s="0" t="s">
        <v>2573</v>
      </c>
      <c r="N8546" s="0" t="n">
        <v>30</v>
      </c>
      <c r="O8546" s="0" t="n">
        <v>256.72</v>
      </c>
      <c r="P8546" s="0" t="s">
        <v>2444</v>
      </c>
    </row>
    <row r="8547" customFormat="false" ht="15" hidden="false" customHeight="true" outlineLevel="0" collapsed="false">
      <c r="A8547" s="0" t="n">
        <v>2</v>
      </c>
      <c r="B8547" s="71" t="n">
        <v>46279</v>
      </c>
      <c r="C8547" s="0" t="n">
        <v>11</v>
      </c>
      <c r="D8547" s="0" t="s">
        <v>2471</v>
      </c>
      <c r="E8547" s="0" t="n">
        <v>1705</v>
      </c>
      <c r="F8547" s="0" t="s">
        <v>130</v>
      </c>
      <c r="I8547" s="0" t="n">
        <v>2040862</v>
      </c>
      <c r="J8547" s="0" t="n">
        <v>21425</v>
      </c>
      <c r="K8547" s="0" t="n">
        <v>7894900034219</v>
      </c>
      <c r="L8547" s="0" t="s">
        <v>2469</v>
      </c>
      <c r="N8547" s="0" t="n">
        <v>9</v>
      </c>
      <c r="O8547" s="0" t="n">
        <v>52.11</v>
      </c>
      <c r="P8547" s="0" t="s">
        <v>2444</v>
      </c>
    </row>
    <row r="8548" customFormat="false" ht="15" hidden="false" customHeight="true" outlineLevel="0" collapsed="false">
      <c r="A8548" s="0" t="n">
        <v>2</v>
      </c>
      <c r="B8548" s="71" t="n">
        <v>46279</v>
      </c>
      <c r="C8548" s="0" t="n">
        <v>11</v>
      </c>
      <c r="D8548" s="0" t="s">
        <v>2471</v>
      </c>
      <c r="E8548" s="0" t="n">
        <v>1705</v>
      </c>
      <c r="F8548" s="0" t="s">
        <v>130</v>
      </c>
      <c r="I8548" s="0" t="n">
        <v>2040862</v>
      </c>
      <c r="J8548" s="0" t="n">
        <v>21426</v>
      </c>
      <c r="K8548" s="0" t="n">
        <v>7894900014211</v>
      </c>
      <c r="L8548" s="0" t="s">
        <v>2470</v>
      </c>
      <c r="N8548" s="0" t="n">
        <v>18</v>
      </c>
      <c r="O8548" s="0" t="n">
        <v>119.78</v>
      </c>
      <c r="P8548" s="0" t="s">
        <v>2444</v>
      </c>
    </row>
    <row r="8549" customFormat="false" ht="15" hidden="false" customHeight="true" outlineLevel="0" collapsed="false">
      <c r="A8549" s="0" t="n">
        <v>2</v>
      </c>
      <c r="B8549" s="71" t="n">
        <v>46279</v>
      </c>
      <c r="C8549" s="0" t="n">
        <v>11</v>
      </c>
      <c r="D8549" s="0" t="s">
        <v>2471</v>
      </c>
      <c r="E8549" s="0" t="n">
        <v>1705</v>
      </c>
      <c r="F8549" s="0" t="s">
        <v>130</v>
      </c>
      <c r="I8549" s="0" t="n">
        <v>2040862</v>
      </c>
      <c r="J8549" s="0" t="n">
        <v>27673</v>
      </c>
      <c r="K8549" s="0" t="n">
        <v>7894900701715</v>
      </c>
      <c r="L8549" s="0" t="s">
        <v>2660</v>
      </c>
      <c r="N8549" s="0" t="n">
        <v>18</v>
      </c>
      <c r="O8549" s="0" t="n">
        <v>98.72</v>
      </c>
      <c r="P8549" s="0" t="s">
        <v>2444</v>
      </c>
    </row>
    <row r="8550" customFormat="false" ht="15" hidden="false" customHeight="true" outlineLevel="0" collapsed="false">
      <c r="A8550" s="0" t="n">
        <v>2</v>
      </c>
      <c r="B8550" s="71" t="n">
        <v>46279</v>
      </c>
      <c r="C8550" s="0" t="n">
        <v>11</v>
      </c>
      <c r="D8550" s="0" t="s">
        <v>2471</v>
      </c>
      <c r="E8550" s="0" t="n">
        <v>1705</v>
      </c>
      <c r="F8550" s="0" t="s">
        <v>130</v>
      </c>
      <c r="I8550" s="0" t="n">
        <v>2040862</v>
      </c>
      <c r="J8550" s="0" t="n">
        <v>28739</v>
      </c>
      <c r="K8550" s="0" t="n">
        <v>7894900027044</v>
      </c>
      <c r="L8550" s="0" t="s">
        <v>2658</v>
      </c>
      <c r="N8550" s="0" t="n">
        <v>30</v>
      </c>
      <c r="O8550" s="0" t="n">
        <v>169.72</v>
      </c>
      <c r="P8550" s="0" t="s">
        <v>2444</v>
      </c>
    </row>
    <row r="8551" customFormat="false" ht="15" hidden="false" customHeight="true" outlineLevel="0" collapsed="false">
      <c r="A8551" s="0" t="n">
        <v>2</v>
      </c>
      <c r="B8551" s="71" t="n">
        <v>46279</v>
      </c>
      <c r="C8551" s="0" t="n">
        <v>11</v>
      </c>
      <c r="D8551" s="0" t="s">
        <v>2471</v>
      </c>
      <c r="E8551" s="0" t="n">
        <v>1705</v>
      </c>
      <c r="F8551" s="0" t="s">
        <v>130</v>
      </c>
      <c r="I8551" s="0" t="n">
        <v>2040862</v>
      </c>
      <c r="J8551" s="0" t="n">
        <v>29509</v>
      </c>
      <c r="K8551" s="0" t="n">
        <v>78933873</v>
      </c>
      <c r="L8551" s="0" t="s">
        <v>3258</v>
      </c>
      <c r="N8551" s="0" t="n">
        <v>24</v>
      </c>
      <c r="O8551" s="0" t="n">
        <v>41.27</v>
      </c>
      <c r="P8551" s="0" t="s">
        <v>2444</v>
      </c>
    </row>
    <row r="8552" customFormat="false" ht="15" hidden="false" customHeight="true" outlineLevel="0" collapsed="false">
      <c r="A8552" s="0" t="n">
        <v>2</v>
      </c>
      <c r="B8552" s="71" t="n">
        <v>46279</v>
      </c>
      <c r="C8552" s="0" t="n">
        <v>11</v>
      </c>
      <c r="D8552" s="0" t="s">
        <v>2471</v>
      </c>
      <c r="E8552" s="0" t="n">
        <v>1705</v>
      </c>
      <c r="F8552" s="0" t="s">
        <v>130</v>
      </c>
      <c r="I8552" s="0" t="n">
        <v>2040862</v>
      </c>
      <c r="J8552" s="0" t="n">
        <v>29575</v>
      </c>
      <c r="K8552" s="0" t="n">
        <v>78936478</v>
      </c>
      <c r="L8552" s="0" t="s">
        <v>4817</v>
      </c>
      <c r="N8552" s="0" t="n">
        <v>12</v>
      </c>
      <c r="O8552" s="0" t="n">
        <v>20.51</v>
      </c>
      <c r="P8552" s="0" t="s">
        <v>2444</v>
      </c>
    </row>
    <row r="8553" customFormat="false" ht="15" hidden="false" customHeight="true" outlineLevel="0" collapsed="false">
      <c r="A8553" s="0" t="n">
        <v>2</v>
      </c>
      <c r="B8553" s="71" t="n">
        <v>46279</v>
      </c>
      <c r="C8553" s="0" t="n">
        <v>11</v>
      </c>
      <c r="D8553" s="0" t="s">
        <v>2471</v>
      </c>
      <c r="E8553" s="0" t="n">
        <v>1705</v>
      </c>
      <c r="F8553" s="0" t="s">
        <v>130</v>
      </c>
      <c r="I8553" s="0" t="n">
        <v>2040862</v>
      </c>
      <c r="J8553" s="0" t="n">
        <v>30085</v>
      </c>
      <c r="K8553" s="0" t="n">
        <v>7894900054217</v>
      </c>
      <c r="L8553" s="0" t="s">
        <v>3588</v>
      </c>
      <c r="N8553" s="0" t="n">
        <v>9</v>
      </c>
      <c r="O8553" s="0" t="n">
        <v>52.11</v>
      </c>
      <c r="P8553" s="0" t="s">
        <v>2444</v>
      </c>
    </row>
    <row r="8554" customFormat="false" ht="15" hidden="false" customHeight="true" outlineLevel="0" collapsed="false">
      <c r="A8554" s="0" t="n">
        <v>2</v>
      </c>
      <c r="B8554" s="71" t="n">
        <v>46279</v>
      </c>
      <c r="C8554" s="0" t="n">
        <v>11</v>
      </c>
      <c r="D8554" s="0" t="s">
        <v>2471</v>
      </c>
      <c r="E8554" s="0" t="n">
        <v>1705</v>
      </c>
      <c r="F8554" s="0" t="s">
        <v>130</v>
      </c>
      <c r="I8554" s="0" t="n">
        <v>2040862</v>
      </c>
      <c r="J8554" s="0" t="n">
        <v>31767</v>
      </c>
      <c r="K8554" s="0" t="n">
        <v>7897105250095</v>
      </c>
      <c r="L8554" s="0" t="s">
        <v>3888</v>
      </c>
      <c r="N8554" s="0" t="n">
        <v>9</v>
      </c>
      <c r="O8554" s="0" t="n">
        <v>33.06</v>
      </c>
      <c r="P8554" s="0" t="s">
        <v>2444</v>
      </c>
    </row>
    <row r="8555" customFormat="false" ht="15" hidden="false" customHeight="true" outlineLevel="0" collapsed="false">
      <c r="A8555" s="0" t="n">
        <v>2</v>
      </c>
      <c r="B8555" s="71" t="n">
        <v>46279</v>
      </c>
      <c r="C8555" s="0" t="n">
        <v>11</v>
      </c>
      <c r="D8555" s="0" t="s">
        <v>2471</v>
      </c>
      <c r="E8555" s="0" t="n">
        <v>1705</v>
      </c>
      <c r="F8555" s="0" t="s">
        <v>130</v>
      </c>
      <c r="I8555" s="0" t="n">
        <v>2040862</v>
      </c>
      <c r="J8555" s="0" t="n">
        <v>37279</v>
      </c>
      <c r="K8555" s="0" t="n">
        <v>7894900027013</v>
      </c>
      <c r="L8555" s="0" t="s">
        <v>2575</v>
      </c>
      <c r="N8555" s="0" t="n">
        <v>36</v>
      </c>
      <c r="O8555" s="0" t="n">
        <v>317.58</v>
      </c>
      <c r="P8555" s="0" t="s">
        <v>2444</v>
      </c>
    </row>
    <row r="8556" customFormat="false" ht="15" hidden="false" customHeight="true" outlineLevel="0" collapsed="false">
      <c r="A8556" s="0" t="n">
        <v>2</v>
      </c>
      <c r="B8556" s="71" t="n">
        <v>46279</v>
      </c>
      <c r="C8556" s="0" t="n">
        <v>11</v>
      </c>
      <c r="D8556" s="0" t="s">
        <v>2471</v>
      </c>
      <c r="E8556" s="0" t="n">
        <v>1705</v>
      </c>
      <c r="F8556" s="0" t="s">
        <v>130</v>
      </c>
      <c r="I8556" s="0" t="n">
        <v>2040862</v>
      </c>
      <c r="J8556" s="0" t="n">
        <v>41322</v>
      </c>
      <c r="K8556" s="0" t="n">
        <v>7897105200076</v>
      </c>
      <c r="L8556" s="0" t="s">
        <v>2661</v>
      </c>
      <c r="N8556" s="0" t="n">
        <v>30</v>
      </c>
      <c r="O8556" s="0" t="n">
        <v>102.26</v>
      </c>
      <c r="P8556" s="0" t="s">
        <v>2444</v>
      </c>
    </row>
    <row r="8557" customFormat="false" ht="15" hidden="false" customHeight="true" outlineLevel="0" collapsed="false">
      <c r="A8557" s="0" t="n">
        <v>2</v>
      </c>
      <c r="B8557" s="71" t="n">
        <v>46279</v>
      </c>
      <c r="C8557" s="0" t="n">
        <v>11</v>
      </c>
      <c r="D8557" s="0" t="s">
        <v>2471</v>
      </c>
      <c r="E8557" s="0" t="n">
        <v>1705</v>
      </c>
      <c r="F8557" s="0" t="s">
        <v>130</v>
      </c>
      <c r="I8557" s="0" t="n">
        <v>2040862</v>
      </c>
      <c r="J8557" s="0" t="n">
        <v>64291</v>
      </c>
      <c r="K8557" s="0" t="n">
        <v>78938595</v>
      </c>
      <c r="L8557" s="0" t="s">
        <v>5411</v>
      </c>
      <c r="N8557" s="0" t="n">
        <v>12</v>
      </c>
      <c r="O8557" s="0" t="n">
        <v>20.88</v>
      </c>
      <c r="P8557" s="0" t="s">
        <v>2444</v>
      </c>
    </row>
    <row r="8558" customFormat="false" ht="15" hidden="false" customHeight="true" outlineLevel="0" collapsed="false">
      <c r="A8558" s="0" t="n">
        <v>2</v>
      </c>
      <c r="B8558" s="71" t="n">
        <v>46279</v>
      </c>
      <c r="C8558" s="0" t="n">
        <v>11</v>
      </c>
      <c r="D8558" s="0" t="s">
        <v>2471</v>
      </c>
      <c r="E8558" s="0" t="n">
        <v>1705</v>
      </c>
      <c r="F8558" s="0" t="s">
        <v>130</v>
      </c>
      <c r="I8558" s="0" t="n">
        <v>2040862</v>
      </c>
      <c r="J8558" s="0" t="n">
        <v>77527</v>
      </c>
      <c r="K8558" s="0" t="n">
        <v>7897105250293</v>
      </c>
      <c r="L8558" s="0" t="s">
        <v>5412</v>
      </c>
      <c r="N8558" s="0" t="n">
        <v>6</v>
      </c>
      <c r="O8558" s="0" t="n">
        <v>15.54</v>
      </c>
      <c r="P8558" s="0" t="s">
        <v>2444</v>
      </c>
    </row>
    <row r="8559" customFormat="false" ht="15" hidden="false" customHeight="true" outlineLevel="0" collapsed="false">
      <c r="A8559" s="0" t="n">
        <v>2</v>
      </c>
      <c r="B8559" s="71" t="n">
        <v>46279</v>
      </c>
      <c r="C8559" s="0" t="n">
        <v>22</v>
      </c>
      <c r="D8559" s="0" t="s">
        <v>2479</v>
      </c>
      <c r="E8559" s="0" t="n">
        <v>48</v>
      </c>
      <c r="F8559" s="0" t="s">
        <v>153</v>
      </c>
      <c r="I8559" s="0" t="n">
        <v>2672</v>
      </c>
      <c r="J8559" s="0" t="n">
        <v>100000</v>
      </c>
      <c r="K8559" s="0" t="n">
        <v>1</v>
      </c>
      <c r="L8559" s="0" t="s">
        <v>2480</v>
      </c>
      <c r="N8559" s="0" t="n">
        <v>2.954</v>
      </c>
      <c r="O8559" s="0" t="n">
        <v>53.69</v>
      </c>
      <c r="P8559" s="0" t="s">
        <v>2444</v>
      </c>
    </row>
    <row r="8560" customFormat="false" ht="15" hidden="false" customHeight="true" outlineLevel="0" collapsed="false">
      <c r="A8560" s="0" t="n">
        <v>2</v>
      </c>
      <c r="B8560" s="71" t="n">
        <v>46279</v>
      </c>
      <c r="C8560" s="0" t="n">
        <v>22</v>
      </c>
      <c r="D8560" s="0" t="s">
        <v>2479</v>
      </c>
      <c r="E8560" s="0" t="n">
        <v>48</v>
      </c>
      <c r="F8560" s="0" t="s">
        <v>153</v>
      </c>
      <c r="I8560" s="0" t="n">
        <v>2672</v>
      </c>
      <c r="J8560" s="0" t="n">
        <v>100000</v>
      </c>
      <c r="K8560" s="0" t="n">
        <v>1</v>
      </c>
      <c r="L8560" s="0" t="s">
        <v>2480</v>
      </c>
      <c r="N8560" s="0" t="n">
        <v>3.3</v>
      </c>
      <c r="O8560" s="0" t="n">
        <v>66.27</v>
      </c>
      <c r="P8560" s="0" t="s">
        <v>2444</v>
      </c>
    </row>
    <row r="8561" customFormat="false" ht="15" hidden="false" customHeight="true" outlineLevel="0" collapsed="false">
      <c r="A8561" s="0" t="n">
        <v>2</v>
      </c>
      <c r="B8561" s="71" t="n">
        <v>46279</v>
      </c>
      <c r="C8561" s="0" t="n">
        <v>22</v>
      </c>
      <c r="D8561" s="0" t="s">
        <v>2479</v>
      </c>
      <c r="E8561" s="0" t="n">
        <v>48</v>
      </c>
      <c r="F8561" s="0" t="s">
        <v>153</v>
      </c>
      <c r="I8561" s="0" t="n">
        <v>2672</v>
      </c>
      <c r="J8561" s="0" t="n">
        <v>100001</v>
      </c>
      <c r="K8561" s="0" t="n">
        <v>2</v>
      </c>
      <c r="L8561" s="0" t="s">
        <v>2481</v>
      </c>
      <c r="N8561" s="0" t="n">
        <v>11.295</v>
      </c>
      <c r="O8561" s="0" t="n">
        <v>222.43</v>
      </c>
      <c r="P8561" s="0" t="s">
        <v>2444</v>
      </c>
    </row>
    <row r="8562" customFormat="false" ht="15" hidden="false" customHeight="true" outlineLevel="0" collapsed="false">
      <c r="A8562" s="0" t="n">
        <v>2</v>
      </c>
      <c r="B8562" s="71" t="n">
        <v>46279</v>
      </c>
      <c r="C8562" s="0" t="n">
        <v>22</v>
      </c>
      <c r="D8562" s="0" t="s">
        <v>2479</v>
      </c>
      <c r="E8562" s="0" t="n">
        <v>48</v>
      </c>
      <c r="F8562" s="0" t="s">
        <v>153</v>
      </c>
      <c r="I8562" s="0" t="n">
        <v>2672</v>
      </c>
      <c r="J8562" s="0" t="n">
        <v>100002</v>
      </c>
      <c r="K8562" s="0" t="n">
        <v>3</v>
      </c>
      <c r="L8562" s="0" t="s">
        <v>2482</v>
      </c>
      <c r="N8562" s="0" t="n">
        <v>24.5</v>
      </c>
      <c r="O8562" s="0" t="n">
        <v>556.72</v>
      </c>
      <c r="P8562" s="0" t="s">
        <v>2444</v>
      </c>
    </row>
    <row r="8563" customFormat="false" ht="15" hidden="false" customHeight="true" outlineLevel="0" collapsed="false">
      <c r="A8563" s="0" t="n">
        <v>2</v>
      </c>
      <c r="B8563" s="71" t="n">
        <v>46279</v>
      </c>
      <c r="C8563" s="0" t="n">
        <v>22</v>
      </c>
      <c r="D8563" s="0" t="s">
        <v>2479</v>
      </c>
      <c r="E8563" s="0" t="n">
        <v>48</v>
      </c>
      <c r="F8563" s="0" t="s">
        <v>153</v>
      </c>
      <c r="I8563" s="0" t="n">
        <v>2672</v>
      </c>
      <c r="J8563" s="0" t="n">
        <v>100003</v>
      </c>
      <c r="K8563" s="0" t="n">
        <v>4</v>
      </c>
      <c r="L8563" s="0" t="s">
        <v>2483</v>
      </c>
      <c r="N8563" s="0" t="n">
        <v>16.84</v>
      </c>
      <c r="O8563" s="0" t="n">
        <v>408.18</v>
      </c>
      <c r="P8563" s="0" t="s">
        <v>2444</v>
      </c>
    </row>
    <row r="8564" customFormat="false" ht="15" hidden="false" customHeight="true" outlineLevel="0" collapsed="false">
      <c r="A8564" s="0" t="n">
        <v>2</v>
      </c>
      <c r="B8564" s="71" t="n">
        <v>46279</v>
      </c>
      <c r="C8564" s="0" t="n">
        <v>22</v>
      </c>
      <c r="D8564" s="0" t="s">
        <v>2479</v>
      </c>
      <c r="E8564" s="0" t="n">
        <v>48</v>
      </c>
      <c r="F8564" s="0" t="s">
        <v>153</v>
      </c>
      <c r="I8564" s="0" t="n">
        <v>2672</v>
      </c>
      <c r="J8564" s="0" t="n">
        <v>100004</v>
      </c>
      <c r="K8564" s="0" t="n">
        <v>5</v>
      </c>
      <c r="L8564" s="0" t="s">
        <v>2484</v>
      </c>
      <c r="N8564" s="0" t="n">
        <v>1.062</v>
      </c>
      <c r="O8564" s="0" t="n">
        <v>22.52</v>
      </c>
      <c r="P8564" s="0" t="s">
        <v>2444</v>
      </c>
    </row>
    <row r="8565" customFormat="false" ht="15" hidden="false" customHeight="true" outlineLevel="0" collapsed="false">
      <c r="A8565" s="0" t="n">
        <v>2</v>
      </c>
      <c r="B8565" s="71" t="n">
        <v>46279</v>
      </c>
      <c r="C8565" s="0" t="n">
        <v>22</v>
      </c>
      <c r="D8565" s="0" t="s">
        <v>2479</v>
      </c>
      <c r="E8565" s="0" t="n">
        <v>48</v>
      </c>
      <c r="F8565" s="0" t="s">
        <v>153</v>
      </c>
      <c r="I8565" s="0" t="n">
        <v>2672</v>
      </c>
      <c r="J8565" s="0" t="n">
        <v>100005</v>
      </c>
      <c r="K8565" s="0" t="n">
        <v>6</v>
      </c>
      <c r="L8565" s="0" t="s">
        <v>2582</v>
      </c>
      <c r="N8565" s="0" t="n">
        <v>3.77</v>
      </c>
      <c r="O8565" s="0" t="n">
        <v>85.67</v>
      </c>
      <c r="P8565" s="0" t="s">
        <v>2444</v>
      </c>
    </row>
    <row r="8566" customFormat="false" ht="15" hidden="false" customHeight="true" outlineLevel="0" collapsed="false">
      <c r="A8566" s="0" t="n">
        <v>2</v>
      </c>
      <c r="B8566" s="71" t="n">
        <v>46279</v>
      </c>
      <c r="C8566" s="0" t="n">
        <v>22</v>
      </c>
      <c r="D8566" s="0" t="s">
        <v>2479</v>
      </c>
      <c r="E8566" s="0" t="n">
        <v>48</v>
      </c>
      <c r="F8566" s="0" t="s">
        <v>153</v>
      </c>
      <c r="I8566" s="0" t="n">
        <v>2672</v>
      </c>
      <c r="J8566" s="0" t="n">
        <v>100006</v>
      </c>
      <c r="K8566" s="0" t="n">
        <v>7</v>
      </c>
      <c r="L8566" s="0" t="s">
        <v>2485</v>
      </c>
      <c r="N8566" s="0" t="n">
        <v>3.3</v>
      </c>
      <c r="O8566" s="0" t="n">
        <v>93.89</v>
      </c>
      <c r="P8566" s="0" t="s">
        <v>2444</v>
      </c>
    </row>
    <row r="8567" customFormat="false" ht="15" hidden="false" customHeight="true" outlineLevel="0" collapsed="false">
      <c r="A8567" s="0" t="n">
        <v>2</v>
      </c>
      <c r="B8567" s="71" t="n">
        <v>46279</v>
      </c>
      <c r="C8567" s="0" t="n">
        <v>22</v>
      </c>
      <c r="D8567" s="0" t="s">
        <v>2479</v>
      </c>
      <c r="E8567" s="0" t="n">
        <v>48</v>
      </c>
      <c r="F8567" s="0" t="s">
        <v>153</v>
      </c>
      <c r="I8567" s="0" t="n">
        <v>2672</v>
      </c>
      <c r="J8567" s="0" t="n">
        <v>100007</v>
      </c>
      <c r="K8567" s="0" t="n">
        <v>8</v>
      </c>
      <c r="L8567" s="0" t="s">
        <v>2486</v>
      </c>
      <c r="N8567" s="0" t="n">
        <v>2.546</v>
      </c>
      <c r="O8567" s="0" t="n">
        <v>57.85</v>
      </c>
      <c r="P8567" s="0" t="s">
        <v>2444</v>
      </c>
    </row>
    <row r="8568" customFormat="false" ht="15" hidden="false" customHeight="true" outlineLevel="0" collapsed="false">
      <c r="A8568" s="0" t="n">
        <v>2</v>
      </c>
      <c r="B8568" s="71" t="n">
        <v>46279</v>
      </c>
      <c r="C8568" s="0" t="n">
        <v>22</v>
      </c>
      <c r="D8568" s="0" t="s">
        <v>2479</v>
      </c>
      <c r="E8568" s="0" t="n">
        <v>48</v>
      </c>
      <c r="F8568" s="0" t="s">
        <v>153</v>
      </c>
      <c r="I8568" s="0" t="n">
        <v>2672</v>
      </c>
      <c r="J8568" s="0" t="n">
        <v>100007</v>
      </c>
      <c r="K8568" s="0" t="n">
        <v>8</v>
      </c>
      <c r="L8568" s="0" t="s">
        <v>2486</v>
      </c>
      <c r="N8568" s="0" t="n">
        <v>3</v>
      </c>
      <c r="O8568" s="0" t="n">
        <v>75.31</v>
      </c>
      <c r="P8568" s="0" t="s">
        <v>2444</v>
      </c>
    </row>
    <row r="8569" customFormat="false" ht="15" hidden="false" customHeight="true" outlineLevel="0" collapsed="false">
      <c r="A8569" s="0" t="n">
        <v>2</v>
      </c>
      <c r="B8569" s="71" t="n">
        <v>46279</v>
      </c>
      <c r="C8569" s="0" t="n">
        <v>22</v>
      </c>
      <c r="D8569" s="0" t="s">
        <v>2479</v>
      </c>
      <c r="E8569" s="0" t="n">
        <v>48</v>
      </c>
      <c r="F8569" s="0" t="s">
        <v>153</v>
      </c>
      <c r="I8569" s="0" t="n">
        <v>2672</v>
      </c>
      <c r="J8569" s="0" t="n">
        <v>100008</v>
      </c>
      <c r="K8569" s="0" t="n">
        <v>9</v>
      </c>
      <c r="L8569" s="0" t="s">
        <v>2487</v>
      </c>
      <c r="N8569" s="0" t="n">
        <v>18.4</v>
      </c>
      <c r="O8569" s="0" t="n">
        <v>600.55</v>
      </c>
      <c r="P8569" s="0" t="s">
        <v>2444</v>
      </c>
    </row>
    <row r="8570" customFormat="false" ht="15" hidden="false" customHeight="true" outlineLevel="0" collapsed="false">
      <c r="A8570" s="0" t="n">
        <v>2</v>
      </c>
      <c r="B8570" s="71" t="n">
        <v>46279</v>
      </c>
      <c r="C8570" s="0" t="n">
        <v>22</v>
      </c>
      <c r="D8570" s="0" t="s">
        <v>2479</v>
      </c>
      <c r="E8570" s="0" t="n">
        <v>48</v>
      </c>
      <c r="F8570" s="0" t="s">
        <v>153</v>
      </c>
      <c r="I8570" s="0" t="n">
        <v>2672</v>
      </c>
      <c r="J8570" s="0" t="n">
        <v>100011</v>
      </c>
      <c r="K8570" s="0" t="n">
        <v>12</v>
      </c>
      <c r="L8570" s="0" t="s">
        <v>2488</v>
      </c>
      <c r="N8570" s="0" t="n">
        <v>12.3</v>
      </c>
      <c r="O8570" s="0" t="n">
        <v>463.23</v>
      </c>
      <c r="P8570" s="0" t="s">
        <v>2444</v>
      </c>
    </row>
    <row r="8571" customFormat="false" ht="15" hidden="false" customHeight="true" outlineLevel="0" collapsed="false">
      <c r="A8571" s="0" t="n">
        <v>2</v>
      </c>
      <c r="B8571" s="71" t="n">
        <v>46279</v>
      </c>
      <c r="C8571" s="0" t="n">
        <v>22</v>
      </c>
      <c r="D8571" s="0" t="s">
        <v>2479</v>
      </c>
      <c r="E8571" s="0" t="n">
        <v>48</v>
      </c>
      <c r="F8571" s="0" t="s">
        <v>153</v>
      </c>
      <c r="I8571" s="0" t="n">
        <v>2672</v>
      </c>
      <c r="J8571" s="0" t="n">
        <v>100012</v>
      </c>
      <c r="K8571" s="0" t="n">
        <v>13</v>
      </c>
      <c r="L8571" s="0" t="s">
        <v>2489</v>
      </c>
      <c r="N8571" s="0" t="n">
        <v>6.3</v>
      </c>
      <c r="O8571" s="0" t="n">
        <v>263.63</v>
      </c>
      <c r="P8571" s="0" t="s">
        <v>2444</v>
      </c>
    </row>
    <row r="8572" customFormat="false" ht="15" hidden="false" customHeight="true" outlineLevel="0" collapsed="false">
      <c r="A8572" s="0" t="n">
        <v>2</v>
      </c>
      <c r="B8572" s="71" t="n">
        <v>46279</v>
      </c>
      <c r="C8572" s="0" t="n">
        <v>22</v>
      </c>
      <c r="D8572" s="0" t="s">
        <v>2479</v>
      </c>
      <c r="E8572" s="0" t="n">
        <v>48</v>
      </c>
      <c r="F8572" s="0" t="s">
        <v>153</v>
      </c>
      <c r="I8572" s="0" t="n">
        <v>2672</v>
      </c>
      <c r="J8572" s="0" t="n">
        <v>100013</v>
      </c>
      <c r="K8572" s="0" t="n">
        <v>14</v>
      </c>
      <c r="L8572" s="0" t="s">
        <v>2490</v>
      </c>
      <c r="N8572" s="0" t="n">
        <v>14</v>
      </c>
      <c r="O8572" s="0" t="n">
        <v>621.01</v>
      </c>
      <c r="P8572" s="0" t="s">
        <v>2444</v>
      </c>
    </row>
    <row r="8573" customFormat="false" ht="15" hidden="false" customHeight="true" outlineLevel="0" collapsed="false">
      <c r="A8573" s="0" t="n">
        <v>2</v>
      </c>
      <c r="B8573" s="71" t="n">
        <v>46279</v>
      </c>
      <c r="C8573" s="0" t="n">
        <v>22</v>
      </c>
      <c r="D8573" s="0" t="s">
        <v>2479</v>
      </c>
      <c r="E8573" s="0" t="n">
        <v>48</v>
      </c>
      <c r="F8573" s="0" t="s">
        <v>153</v>
      </c>
      <c r="I8573" s="0" t="n">
        <v>2672</v>
      </c>
      <c r="J8573" s="0" t="n">
        <v>100014</v>
      </c>
      <c r="K8573" s="0" t="n">
        <v>15</v>
      </c>
      <c r="L8573" s="0" t="s">
        <v>2491</v>
      </c>
      <c r="N8573" s="0" t="n">
        <v>5.4</v>
      </c>
      <c r="O8573" s="0" t="n">
        <v>244.05</v>
      </c>
      <c r="P8573" s="0" t="s">
        <v>2444</v>
      </c>
    </row>
    <row r="8574" customFormat="false" ht="15" hidden="false" customHeight="true" outlineLevel="0" collapsed="false">
      <c r="A8574" s="0" t="n">
        <v>2</v>
      </c>
      <c r="B8574" s="71" t="n">
        <v>46279</v>
      </c>
      <c r="C8574" s="0" t="n">
        <v>22</v>
      </c>
      <c r="D8574" s="0" t="s">
        <v>2479</v>
      </c>
      <c r="E8574" s="0" t="n">
        <v>48</v>
      </c>
      <c r="F8574" s="0" t="s">
        <v>153</v>
      </c>
      <c r="I8574" s="0" t="n">
        <v>2672</v>
      </c>
      <c r="J8574" s="0" t="n">
        <v>100015</v>
      </c>
      <c r="K8574" s="0" t="n">
        <v>16</v>
      </c>
      <c r="L8574" s="0" t="s">
        <v>2492</v>
      </c>
      <c r="N8574" s="0" t="n">
        <v>2.3</v>
      </c>
      <c r="O8574" s="0" t="n">
        <v>92.4</v>
      </c>
      <c r="P8574" s="0" t="s">
        <v>2444</v>
      </c>
    </row>
    <row r="8575" customFormat="false" ht="15" hidden="false" customHeight="true" outlineLevel="0" collapsed="false">
      <c r="A8575" s="0" t="n">
        <v>2</v>
      </c>
      <c r="B8575" s="71" t="n">
        <v>46279</v>
      </c>
      <c r="C8575" s="0" t="n">
        <v>22</v>
      </c>
      <c r="D8575" s="0" t="s">
        <v>2479</v>
      </c>
      <c r="E8575" s="0" t="n">
        <v>48</v>
      </c>
      <c r="F8575" s="0" t="s">
        <v>153</v>
      </c>
      <c r="I8575" s="0" t="n">
        <v>2672</v>
      </c>
      <c r="J8575" s="0" t="n">
        <v>100016</v>
      </c>
      <c r="K8575" s="0" t="n">
        <v>17</v>
      </c>
      <c r="L8575" s="0" t="s">
        <v>2493</v>
      </c>
      <c r="N8575" s="0" t="n">
        <v>2.8</v>
      </c>
      <c r="O8575" s="0" t="n">
        <v>140.61</v>
      </c>
      <c r="P8575" s="0" t="s">
        <v>2444</v>
      </c>
    </row>
    <row r="8576" customFormat="false" ht="15" hidden="false" customHeight="true" outlineLevel="0" collapsed="false">
      <c r="A8576" s="0" t="n">
        <v>2</v>
      </c>
      <c r="B8576" s="71" t="n">
        <v>46279</v>
      </c>
      <c r="C8576" s="0" t="n">
        <v>22</v>
      </c>
      <c r="D8576" s="0" t="s">
        <v>2479</v>
      </c>
      <c r="E8576" s="0" t="n">
        <v>48</v>
      </c>
      <c r="F8576" s="0" t="s">
        <v>153</v>
      </c>
      <c r="I8576" s="0" t="n">
        <v>2672</v>
      </c>
      <c r="J8576" s="0" t="n">
        <v>100017</v>
      </c>
      <c r="K8576" s="0" t="n">
        <v>18</v>
      </c>
      <c r="L8576" s="0" t="s">
        <v>2494</v>
      </c>
      <c r="N8576" s="0" t="n">
        <v>2</v>
      </c>
      <c r="O8576" s="0" t="n">
        <v>117.18</v>
      </c>
      <c r="P8576" s="0" t="s">
        <v>2444</v>
      </c>
    </row>
    <row r="8577" customFormat="false" ht="15" hidden="false" customHeight="true" outlineLevel="0" collapsed="false">
      <c r="A8577" s="0" t="n">
        <v>2</v>
      </c>
      <c r="B8577" s="71" t="n">
        <v>46279</v>
      </c>
      <c r="C8577" s="0" t="n">
        <v>22</v>
      </c>
      <c r="D8577" s="0" t="s">
        <v>2479</v>
      </c>
      <c r="E8577" s="0" t="n">
        <v>48</v>
      </c>
      <c r="F8577" s="0" t="s">
        <v>153</v>
      </c>
      <c r="I8577" s="0" t="n">
        <v>2672</v>
      </c>
      <c r="J8577" s="0" t="n">
        <v>100019</v>
      </c>
      <c r="K8577" s="0" t="n">
        <v>20</v>
      </c>
      <c r="L8577" s="0" t="s">
        <v>3779</v>
      </c>
      <c r="N8577" s="0" t="n">
        <v>1.56</v>
      </c>
      <c r="O8577" s="0" t="n">
        <v>54.83</v>
      </c>
      <c r="P8577" s="0" t="s">
        <v>2444</v>
      </c>
    </row>
    <row r="8578" customFormat="false" ht="15" hidden="false" customHeight="true" outlineLevel="0" collapsed="false">
      <c r="A8578" s="0" t="n">
        <v>2</v>
      </c>
      <c r="B8578" s="71" t="n">
        <v>46279</v>
      </c>
      <c r="C8578" s="0" t="n">
        <v>22</v>
      </c>
      <c r="D8578" s="0" t="s">
        <v>2479</v>
      </c>
      <c r="E8578" s="0" t="n">
        <v>48</v>
      </c>
      <c r="F8578" s="0" t="s">
        <v>153</v>
      </c>
      <c r="I8578" s="0" t="n">
        <v>2672</v>
      </c>
      <c r="J8578" s="0" t="n">
        <v>100019</v>
      </c>
      <c r="K8578" s="0" t="n">
        <v>20</v>
      </c>
      <c r="L8578" s="0" t="s">
        <v>3779</v>
      </c>
      <c r="N8578" s="0" t="n">
        <v>4.566</v>
      </c>
      <c r="O8578" s="0" t="n">
        <v>145.27</v>
      </c>
      <c r="P8578" s="0" t="s">
        <v>2444</v>
      </c>
    </row>
    <row r="8579" customFormat="false" ht="15" hidden="false" customHeight="true" outlineLevel="0" collapsed="false">
      <c r="A8579" s="0" t="n">
        <v>2</v>
      </c>
      <c r="B8579" s="71" t="n">
        <v>46279</v>
      </c>
      <c r="C8579" s="0" t="n">
        <v>22</v>
      </c>
      <c r="D8579" s="0" t="s">
        <v>2479</v>
      </c>
      <c r="E8579" s="0" t="n">
        <v>48</v>
      </c>
      <c r="F8579" s="0" t="s">
        <v>153</v>
      </c>
      <c r="I8579" s="0" t="n">
        <v>2672</v>
      </c>
      <c r="J8579" s="0" t="n">
        <v>100053</v>
      </c>
      <c r="K8579" s="0" t="n">
        <v>54</v>
      </c>
      <c r="L8579" s="0" t="s">
        <v>2495</v>
      </c>
      <c r="N8579" s="0" t="n">
        <v>2.1</v>
      </c>
      <c r="O8579" s="0" t="n">
        <v>77.33</v>
      </c>
      <c r="P8579" s="0" t="s">
        <v>2444</v>
      </c>
    </row>
    <row r="8580" customFormat="false" ht="15" hidden="false" customHeight="true" outlineLevel="0" collapsed="false">
      <c r="A8580" s="0" t="n">
        <v>2</v>
      </c>
      <c r="B8580" s="71" t="n">
        <v>46279</v>
      </c>
      <c r="C8580" s="0" t="n">
        <v>22</v>
      </c>
      <c r="D8580" s="0" t="s">
        <v>2479</v>
      </c>
      <c r="E8580" s="0" t="n">
        <v>48</v>
      </c>
      <c r="F8580" s="0" t="s">
        <v>153</v>
      </c>
      <c r="I8580" s="0" t="n">
        <v>2672</v>
      </c>
      <c r="J8580" s="0" t="n">
        <v>100638</v>
      </c>
      <c r="K8580" s="0" t="n">
        <v>508</v>
      </c>
      <c r="L8580" s="0" t="s">
        <v>2496</v>
      </c>
      <c r="N8580" s="0" t="n">
        <v>3</v>
      </c>
      <c r="O8580" s="0" t="n">
        <v>7.51</v>
      </c>
      <c r="P8580" s="0" t="s">
        <v>2444</v>
      </c>
    </row>
    <row r="8581" customFormat="false" ht="15" hidden="false" customHeight="true" outlineLevel="0" collapsed="false">
      <c r="A8581" s="0" t="n">
        <v>2</v>
      </c>
      <c r="B8581" s="71" t="n">
        <v>46279</v>
      </c>
      <c r="C8581" s="0" t="n">
        <v>22</v>
      </c>
      <c r="D8581" s="0" t="s">
        <v>2479</v>
      </c>
      <c r="E8581" s="0" t="n">
        <v>48</v>
      </c>
      <c r="F8581" s="0" t="s">
        <v>153</v>
      </c>
      <c r="I8581" s="0" t="n">
        <v>2672</v>
      </c>
      <c r="J8581" s="0" t="n">
        <v>100638</v>
      </c>
      <c r="K8581" s="0" t="n">
        <v>508</v>
      </c>
      <c r="L8581" s="0" t="s">
        <v>2496</v>
      </c>
      <c r="N8581" s="0" t="n">
        <v>0.294</v>
      </c>
      <c r="O8581" s="0" t="n">
        <v>0.67</v>
      </c>
      <c r="P8581" s="0" t="s">
        <v>2444</v>
      </c>
    </row>
    <row r="8582" customFormat="false" ht="15" hidden="false" customHeight="true" outlineLevel="0" collapsed="false">
      <c r="A8582" s="0" t="n">
        <v>2</v>
      </c>
      <c r="B8582" s="71" t="n">
        <v>46279</v>
      </c>
      <c r="C8582" s="0" t="n">
        <v>22</v>
      </c>
      <c r="D8582" s="0" t="s">
        <v>2479</v>
      </c>
      <c r="E8582" s="0" t="n">
        <v>48</v>
      </c>
      <c r="F8582" s="0" t="s">
        <v>153</v>
      </c>
      <c r="I8582" s="0" t="n">
        <v>2672</v>
      </c>
      <c r="J8582" s="0" t="n">
        <v>110137</v>
      </c>
      <c r="K8582" s="0" t="n">
        <v>13899</v>
      </c>
      <c r="L8582" s="0" t="s">
        <v>3780</v>
      </c>
      <c r="N8582" s="0" t="n">
        <v>12.4</v>
      </c>
      <c r="O8582" s="0" t="n">
        <v>51.8</v>
      </c>
      <c r="P8582" s="0" t="s">
        <v>2444</v>
      </c>
    </row>
    <row r="8583" customFormat="false" ht="15" hidden="false" customHeight="true" outlineLevel="0" collapsed="false">
      <c r="A8583" s="0" t="n">
        <v>2</v>
      </c>
      <c r="B8583" s="71" t="n">
        <v>46279</v>
      </c>
      <c r="C8583" s="0" t="n">
        <v>22</v>
      </c>
      <c r="D8583" s="0" t="s">
        <v>2479</v>
      </c>
      <c r="E8583" s="0" t="n">
        <v>48</v>
      </c>
      <c r="F8583" s="0" t="s">
        <v>153</v>
      </c>
      <c r="I8583" s="0" t="n">
        <v>2672</v>
      </c>
      <c r="J8583" s="0" t="n">
        <v>110137</v>
      </c>
      <c r="K8583" s="0" t="n">
        <v>13899</v>
      </c>
      <c r="L8583" s="0" t="s">
        <v>3780</v>
      </c>
      <c r="N8583" s="0" t="n">
        <v>2.382</v>
      </c>
      <c r="O8583" s="0" t="n">
        <v>9.01</v>
      </c>
      <c r="P8583" s="0" t="s">
        <v>2444</v>
      </c>
    </row>
    <row r="8584" customFormat="false" ht="15" hidden="false" customHeight="true" outlineLevel="0" collapsed="false">
      <c r="A8584" s="0" t="n">
        <v>2</v>
      </c>
      <c r="B8584" s="71" t="n">
        <v>46279</v>
      </c>
      <c r="C8584" s="0" t="n">
        <v>22</v>
      </c>
      <c r="D8584" s="0" t="s">
        <v>2479</v>
      </c>
      <c r="E8584" s="0" t="n">
        <v>48</v>
      </c>
      <c r="F8584" s="0" t="s">
        <v>153</v>
      </c>
      <c r="I8584" s="0" t="n">
        <v>2672</v>
      </c>
      <c r="J8584" s="0" t="n">
        <v>110455</v>
      </c>
      <c r="K8584" s="0" t="n">
        <v>53212</v>
      </c>
      <c r="L8584" s="0" t="s">
        <v>2498</v>
      </c>
      <c r="N8584" s="0" t="n">
        <v>0.791</v>
      </c>
      <c r="O8584" s="0" t="n">
        <v>0</v>
      </c>
      <c r="P8584" s="0" t="s">
        <v>2444</v>
      </c>
    </row>
    <row r="8585" customFormat="false" ht="15" hidden="false" customHeight="true" outlineLevel="0" collapsed="false">
      <c r="A8585" s="0" t="n">
        <v>2</v>
      </c>
      <c r="B8585" s="71" t="n">
        <v>46279</v>
      </c>
      <c r="C8585" s="0" t="n">
        <v>22</v>
      </c>
      <c r="D8585" s="0" t="s">
        <v>2479</v>
      </c>
      <c r="E8585" s="0" t="n">
        <v>48</v>
      </c>
      <c r="F8585" s="0" t="s">
        <v>153</v>
      </c>
      <c r="I8585" s="0" t="n">
        <v>2672</v>
      </c>
      <c r="J8585" s="0" t="n">
        <v>110455</v>
      </c>
      <c r="K8585" s="0" t="n">
        <v>53212</v>
      </c>
      <c r="L8585" s="0" t="s">
        <v>2498</v>
      </c>
      <c r="N8585" s="0" t="n">
        <v>0.64</v>
      </c>
      <c r="O8585" s="0" t="n">
        <v>0</v>
      </c>
      <c r="P8585" s="0" t="s">
        <v>2444</v>
      </c>
    </row>
    <row r="8586" customFormat="false" ht="15" hidden="false" customHeight="true" outlineLevel="0" collapsed="false">
      <c r="A8586" s="0" t="n">
        <v>2</v>
      </c>
      <c r="B8586" s="71" t="n">
        <v>46279</v>
      </c>
      <c r="C8586" s="0" t="n">
        <v>100</v>
      </c>
      <c r="D8586" s="0" t="s">
        <v>2499</v>
      </c>
      <c r="E8586" s="0" t="n">
        <v>48</v>
      </c>
      <c r="F8586" s="0" t="s">
        <v>153</v>
      </c>
      <c r="I8586" s="0" t="n">
        <v>1701599</v>
      </c>
      <c r="J8586" s="0" t="n">
        <v>100000</v>
      </c>
      <c r="K8586" s="0" t="n">
        <v>1</v>
      </c>
      <c r="L8586" s="0" t="s">
        <v>2480</v>
      </c>
      <c r="N8586" s="0" t="n">
        <v>3.3</v>
      </c>
      <c r="O8586" s="0" t="n">
        <v>66.27</v>
      </c>
      <c r="P8586" s="0" t="s">
        <v>2444</v>
      </c>
    </row>
    <row r="8587" customFormat="false" ht="15" hidden="false" customHeight="true" outlineLevel="0" collapsed="false">
      <c r="A8587" s="0" t="n">
        <v>2</v>
      </c>
      <c r="B8587" s="71" t="n">
        <v>46279</v>
      </c>
      <c r="C8587" s="0" t="n">
        <v>100</v>
      </c>
      <c r="D8587" s="0" t="s">
        <v>2499</v>
      </c>
      <c r="E8587" s="0" t="n">
        <v>48</v>
      </c>
      <c r="F8587" s="0" t="s">
        <v>153</v>
      </c>
      <c r="I8587" s="0" t="n">
        <v>1701599</v>
      </c>
      <c r="J8587" s="0" t="n">
        <v>100006</v>
      </c>
      <c r="K8587" s="0" t="n">
        <v>7</v>
      </c>
      <c r="L8587" s="0" t="s">
        <v>2485</v>
      </c>
      <c r="N8587" s="0" t="n">
        <v>3.3</v>
      </c>
      <c r="O8587" s="0" t="n">
        <v>93.89</v>
      </c>
      <c r="P8587" s="0" t="s">
        <v>2444</v>
      </c>
    </row>
    <row r="8588" customFormat="false" ht="15" hidden="false" customHeight="true" outlineLevel="0" collapsed="false">
      <c r="A8588" s="0" t="n">
        <v>2</v>
      </c>
      <c r="B8588" s="71" t="n">
        <v>46279</v>
      </c>
      <c r="C8588" s="0" t="n">
        <v>100</v>
      </c>
      <c r="D8588" s="0" t="s">
        <v>2499</v>
      </c>
      <c r="E8588" s="0" t="n">
        <v>48</v>
      </c>
      <c r="F8588" s="0" t="s">
        <v>153</v>
      </c>
      <c r="I8588" s="0" t="n">
        <v>1701599</v>
      </c>
      <c r="J8588" s="0" t="n">
        <v>100007</v>
      </c>
      <c r="K8588" s="0" t="n">
        <v>8</v>
      </c>
      <c r="L8588" s="0" t="s">
        <v>2486</v>
      </c>
      <c r="N8588" s="0" t="n">
        <v>3</v>
      </c>
      <c r="O8588" s="0" t="n">
        <v>75.31</v>
      </c>
      <c r="P8588" s="0" t="s">
        <v>2444</v>
      </c>
    </row>
    <row r="8589" customFormat="false" ht="15" hidden="false" customHeight="true" outlineLevel="0" collapsed="false">
      <c r="A8589" s="0" t="n">
        <v>2</v>
      </c>
      <c r="B8589" s="71" t="n">
        <v>46279</v>
      </c>
      <c r="C8589" s="0" t="n">
        <v>100</v>
      </c>
      <c r="D8589" s="0" t="s">
        <v>2499</v>
      </c>
      <c r="E8589" s="0" t="n">
        <v>48</v>
      </c>
      <c r="F8589" s="0" t="s">
        <v>153</v>
      </c>
      <c r="I8589" s="0" t="n">
        <v>1701599</v>
      </c>
      <c r="J8589" s="0" t="n">
        <v>100008</v>
      </c>
      <c r="K8589" s="0" t="n">
        <v>9</v>
      </c>
      <c r="L8589" s="0" t="s">
        <v>2487</v>
      </c>
      <c r="N8589" s="0" t="n">
        <v>18.4</v>
      </c>
      <c r="O8589" s="0" t="n">
        <v>600.55</v>
      </c>
      <c r="P8589" s="0" t="s">
        <v>2444</v>
      </c>
    </row>
    <row r="8590" customFormat="false" ht="15" hidden="false" customHeight="true" outlineLevel="0" collapsed="false">
      <c r="A8590" s="0" t="n">
        <v>2</v>
      </c>
      <c r="B8590" s="71" t="n">
        <v>46279</v>
      </c>
      <c r="C8590" s="0" t="n">
        <v>100</v>
      </c>
      <c r="D8590" s="0" t="s">
        <v>2499</v>
      </c>
      <c r="E8590" s="0" t="n">
        <v>48</v>
      </c>
      <c r="F8590" s="0" t="s">
        <v>153</v>
      </c>
      <c r="I8590" s="0" t="n">
        <v>1701599</v>
      </c>
      <c r="J8590" s="0" t="n">
        <v>100011</v>
      </c>
      <c r="K8590" s="0" t="n">
        <v>12</v>
      </c>
      <c r="L8590" s="0" t="s">
        <v>2488</v>
      </c>
      <c r="N8590" s="0" t="n">
        <v>12.3</v>
      </c>
      <c r="O8590" s="0" t="n">
        <v>463.23</v>
      </c>
      <c r="P8590" s="0" t="s">
        <v>2444</v>
      </c>
    </row>
    <row r="8591" customFormat="false" ht="15" hidden="false" customHeight="true" outlineLevel="0" collapsed="false">
      <c r="A8591" s="0" t="n">
        <v>2</v>
      </c>
      <c r="B8591" s="71" t="n">
        <v>46279</v>
      </c>
      <c r="C8591" s="0" t="n">
        <v>100</v>
      </c>
      <c r="D8591" s="0" t="s">
        <v>2499</v>
      </c>
      <c r="E8591" s="0" t="n">
        <v>48</v>
      </c>
      <c r="F8591" s="0" t="s">
        <v>153</v>
      </c>
      <c r="I8591" s="0" t="n">
        <v>1701599</v>
      </c>
      <c r="J8591" s="0" t="n">
        <v>100012</v>
      </c>
      <c r="K8591" s="0" t="n">
        <v>13</v>
      </c>
      <c r="L8591" s="0" t="s">
        <v>2489</v>
      </c>
      <c r="N8591" s="0" t="n">
        <v>6.3</v>
      </c>
      <c r="O8591" s="0" t="n">
        <v>263.63</v>
      </c>
      <c r="P8591" s="0" t="s">
        <v>2444</v>
      </c>
    </row>
    <row r="8592" customFormat="false" ht="15" hidden="false" customHeight="true" outlineLevel="0" collapsed="false">
      <c r="A8592" s="0" t="n">
        <v>2</v>
      </c>
      <c r="B8592" s="71" t="n">
        <v>46279</v>
      </c>
      <c r="C8592" s="0" t="n">
        <v>100</v>
      </c>
      <c r="D8592" s="0" t="s">
        <v>2499</v>
      </c>
      <c r="E8592" s="0" t="n">
        <v>48</v>
      </c>
      <c r="F8592" s="0" t="s">
        <v>153</v>
      </c>
      <c r="I8592" s="0" t="n">
        <v>1701599</v>
      </c>
      <c r="J8592" s="0" t="n">
        <v>100013</v>
      </c>
      <c r="K8592" s="0" t="n">
        <v>14</v>
      </c>
      <c r="L8592" s="0" t="s">
        <v>2490</v>
      </c>
      <c r="N8592" s="0" t="n">
        <v>14</v>
      </c>
      <c r="O8592" s="0" t="n">
        <v>621.01</v>
      </c>
      <c r="P8592" s="0" t="s">
        <v>2444</v>
      </c>
    </row>
    <row r="8593" customFormat="false" ht="15" hidden="false" customHeight="true" outlineLevel="0" collapsed="false">
      <c r="A8593" s="0" t="n">
        <v>2</v>
      </c>
      <c r="B8593" s="71" t="n">
        <v>46279</v>
      </c>
      <c r="C8593" s="0" t="n">
        <v>100</v>
      </c>
      <c r="D8593" s="0" t="s">
        <v>2499</v>
      </c>
      <c r="E8593" s="0" t="n">
        <v>48</v>
      </c>
      <c r="F8593" s="0" t="s">
        <v>153</v>
      </c>
      <c r="I8593" s="0" t="n">
        <v>1701599</v>
      </c>
      <c r="J8593" s="0" t="n">
        <v>100014</v>
      </c>
      <c r="K8593" s="0" t="n">
        <v>15</v>
      </c>
      <c r="L8593" s="0" t="s">
        <v>2491</v>
      </c>
      <c r="N8593" s="0" t="n">
        <v>5.4</v>
      </c>
      <c r="O8593" s="0" t="n">
        <v>244.05</v>
      </c>
      <c r="P8593" s="0" t="s">
        <v>2444</v>
      </c>
    </row>
    <row r="8594" customFormat="false" ht="15" hidden="false" customHeight="true" outlineLevel="0" collapsed="false">
      <c r="A8594" s="0" t="n">
        <v>2</v>
      </c>
      <c r="B8594" s="71" t="n">
        <v>46279</v>
      </c>
      <c r="C8594" s="0" t="n">
        <v>100</v>
      </c>
      <c r="D8594" s="0" t="s">
        <v>2499</v>
      </c>
      <c r="E8594" s="0" t="n">
        <v>48</v>
      </c>
      <c r="F8594" s="0" t="s">
        <v>153</v>
      </c>
      <c r="I8594" s="0" t="n">
        <v>1701599</v>
      </c>
      <c r="J8594" s="0" t="n">
        <v>100015</v>
      </c>
      <c r="K8594" s="0" t="n">
        <v>16</v>
      </c>
      <c r="L8594" s="0" t="s">
        <v>2492</v>
      </c>
      <c r="N8594" s="0" t="n">
        <v>2.3</v>
      </c>
      <c r="O8594" s="0" t="n">
        <v>92.4</v>
      </c>
      <c r="P8594" s="0" t="s">
        <v>2444</v>
      </c>
    </row>
    <row r="8595" customFormat="false" ht="15" hidden="false" customHeight="true" outlineLevel="0" collapsed="false">
      <c r="A8595" s="0" t="n">
        <v>2</v>
      </c>
      <c r="B8595" s="71" t="n">
        <v>46279</v>
      </c>
      <c r="C8595" s="0" t="n">
        <v>100</v>
      </c>
      <c r="D8595" s="0" t="s">
        <v>2499</v>
      </c>
      <c r="E8595" s="0" t="n">
        <v>48</v>
      </c>
      <c r="F8595" s="0" t="s">
        <v>153</v>
      </c>
      <c r="I8595" s="0" t="n">
        <v>1701599</v>
      </c>
      <c r="J8595" s="0" t="n">
        <v>100016</v>
      </c>
      <c r="K8595" s="0" t="n">
        <v>17</v>
      </c>
      <c r="L8595" s="0" t="s">
        <v>2493</v>
      </c>
      <c r="N8595" s="0" t="n">
        <v>2.8</v>
      </c>
      <c r="O8595" s="0" t="n">
        <v>140.61</v>
      </c>
      <c r="P8595" s="0" t="s">
        <v>2444</v>
      </c>
    </row>
    <row r="8596" customFormat="false" ht="15" hidden="false" customHeight="true" outlineLevel="0" collapsed="false">
      <c r="A8596" s="0" t="n">
        <v>2</v>
      </c>
      <c r="B8596" s="71" t="n">
        <v>46279</v>
      </c>
      <c r="C8596" s="0" t="n">
        <v>100</v>
      </c>
      <c r="D8596" s="0" t="s">
        <v>2499</v>
      </c>
      <c r="E8596" s="0" t="n">
        <v>48</v>
      </c>
      <c r="F8596" s="0" t="s">
        <v>153</v>
      </c>
      <c r="I8596" s="0" t="n">
        <v>1701599</v>
      </c>
      <c r="J8596" s="0" t="n">
        <v>100017</v>
      </c>
      <c r="K8596" s="0" t="n">
        <v>18</v>
      </c>
      <c r="L8596" s="0" t="s">
        <v>2494</v>
      </c>
      <c r="N8596" s="0" t="n">
        <v>2</v>
      </c>
      <c r="O8596" s="0" t="n">
        <v>117.18</v>
      </c>
      <c r="P8596" s="0" t="s">
        <v>2444</v>
      </c>
    </row>
    <row r="8597" customFormat="false" ht="15" hidden="false" customHeight="true" outlineLevel="0" collapsed="false">
      <c r="A8597" s="0" t="n">
        <v>2</v>
      </c>
      <c r="B8597" s="71" t="n">
        <v>46279</v>
      </c>
      <c r="C8597" s="0" t="n">
        <v>100</v>
      </c>
      <c r="D8597" s="0" t="s">
        <v>2499</v>
      </c>
      <c r="E8597" s="0" t="n">
        <v>48</v>
      </c>
      <c r="F8597" s="0" t="s">
        <v>153</v>
      </c>
      <c r="I8597" s="0" t="n">
        <v>1701599</v>
      </c>
      <c r="J8597" s="0" t="n">
        <v>100019</v>
      </c>
      <c r="K8597" s="0" t="n">
        <v>20</v>
      </c>
      <c r="L8597" s="0" t="s">
        <v>3779</v>
      </c>
      <c r="N8597" s="0" t="n">
        <v>1.56</v>
      </c>
      <c r="O8597" s="0" t="n">
        <v>54.83</v>
      </c>
      <c r="P8597" s="0" t="s">
        <v>2444</v>
      </c>
    </row>
    <row r="8598" customFormat="false" ht="15" hidden="false" customHeight="true" outlineLevel="0" collapsed="false">
      <c r="A8598" s="0" t="n">
        <v>2</v>
      </c>
      <c r="B8598" s="71" t="n">
        <v>46279</v>
      </c>
      <c r="C8598" s="0" t="n">
        <v>100</v>
      </c>
      <c r="D8598" s="0" t="s">
        <v>2499</v>
      </c>
      <c r="E8598" s="0" t="n">
        <v>48</v>
      </c>
      <c r="F8598" s="0" t="s">
        <v>153</v>
      </c>
      <c r="I8598" s="0" t="n">
        <v>1701599</v>
      </c>
      <c r="J8598" s="0" t="n">
        <v>100053</v>
      </c>
      <c r="K8598" s="0" t="n">
        <v>54</v>
      </c>
      <c r="L8598" s="0" t="s">
        <v>2495</v>
      </c>
      <c r="N8598" s="0" t="n">
        <v>2.1</v>
      </c>
      <c r="O8598" s="0" t="n">
        <v>77.33</v>
      </c>
      <c r="P8598" s="0" t="s">
        <v>2444</v>
      </c>
    </row>
    <row r="8599" customFormat="false" ht="15" hidden="false" customHeight="true" outlineLevel="0" collapsed="false">
      <c r="A8599" s="0" t="n">
        <v>2</v>
      </c>
      <c r="B8599" s="71" t="n">
        <v>46279</v>
      </c>
      <c r="C8599" s="0" t="n">
        <v>100</v>
      </c>
      <c r="D8599" s="0" t="s">
        <v>2499</v>
      </c>
      <c r="E8599" s="0" t="n">
        <v>48</v>
      </c>
      <c r="F8599" s="0" t="s">
        <v>153</v>
      </c>
      <c r="I8599" s="0" t="n">
        <v>1701599</v>
      </c>
      <c r="J8599" s="0" t="n">
        <v>100638</v>
      </c>
      <c r="K8599" s="0" t="n">
        <v>508</v>
      </c>
      <c r="L8599" s="0" t="s">
        <v>2496</v>
      </c>
      <c r="N8599" s="0" t="n">
        <v>3</v>
      </c>
      <c r="O8599" s="0" t="n">
        <v>7.51</v>
      </c>
      <c r="P8599" s="0" t="s">
        <v>2444</v>
      </c>
    </row>
    <row r="8600" customFormat="false" ht="15" hidden="false" customHeight="true" outlineLevel="0" collapsed="false">
      <c r="A8600" s="0" t="n">
        <v>2</v>
      </c>
      <c r="B8600" s="71" t="n">
        <v>46279</v>
      </c>
      <c r="C8600" s="0" t="n">
        <v>100</v>
      </c>
      <c r="D8600" s="0" t="s">
        <v>2499</v>
      </c>
      <c r="E8600" s="0" t="n">
        <v>48</v>
      </c>
      <c r="F8600" s="0" t="s">
        <v>153</v>
      </c>
      <c r="I8600" s="0" t="n">
        <v>1701599</v>
      </c>
      <c r="J8600" s="0" t="n">
        <v>110137</v>
      </c>
      <c r="K8600" s="0" t="n">
        <v>13899</v>
      </c>
      <c r="L8600" s="0" t="s">
        <v>3780</v>
      </c>
      <c r="N8600" s="0" t="n">
        <v>12.4</v>
      </c>
      <c r="O8600" s="0" t="n">
        <v>51.8</v>
      </c>
      <c r="P8600" s="0" t="s">
        <v>2444</v>
      </c>
    </row>
    <row r="8601" customFormat="false" ht="15" hidden="false" customHeight="true" outlineLevel="0" collapsed="false">
      <c r="A8601" s="0" t="n">
        <v>2</v>
      </c>
      <c r="B8601" s="71" t="n">
        <v>46279</v>
      </c>
      <c r="C8601" s="0" t="n">
        <v>100</v>
      </c>
      <c r="D8601" s="0" t="s">
        <v>2499</v>
      </c>
      <c r="E8601" s="0" t="n">
        <v>48</v>
      </c>
      <c r="F8601" s="0" t="s">
        <v>153</v>
      </c>
      <c r="I8601" s="0" t="n">
        <v>1701599</v>
      </c>
      <c r="J8601" s="0" t="n">
        <v>110455</v>
      </c>
      <c r="K8601" s="0" t="n">
        <v>53212</v>
      </c>
      <c r="L8601" s="0" t="s">
        <v>2498</v>
      </c>
      <c r="N8601" s="0" t="n">
        <v>0.64</v>
      </c>
      <c r="O8601" s="0" t="n">
        <v>0</v>
      </c>
      <c r="P8601" s="0" t="s">
        <v>2444</v>
      </c>
    </row>
    <row r="8602" customFormat="false" ht="15" hidden="false" customHeight="true" outlineLevel="0" collapsed="false">
      <c r="A8602" s="0" t="n">
        <v>2</v>
      </c>
      <c r="B8602" s="71" t="n">
        <v>46279</v>
      </c>
      <c r="C8602" s="0" t="n">
        <v>100</v>
      </c>
      <c r="D8602" s="0" t="s">
        <v>2499</v>
      </c>
      <c r="E8602" s="0" t="n">
        <v>48</v>
      </c>
      <c r="F8602" s="0" t="s">
        <v>153</v>
      </c>
      <c r="I8602" s="0" t="n">
        <v>1701602</v>
      </c>
      <c r="J8602" s="0" t="n">
        <v>100000</v>
      </c>
      <c r="K8602" s="0" t="n">
        <v>1</v>
      </c>
      <c r="L8602" s="0" t="s">
        <v>2480</v>
      </c>
      <c r="N8602" s="0" t="n">
        <v>2.954</v>
      </c>
      <c r="O8602" s="0" t="n">
        <v>53.69</v>
      </c>
      <c r="P8602" s="0" t="s">
        <v>2444</v>
      </c>
    </row>
    <row r="8603" customFormat="false" ht="15" hidden="false" customHeight="true" outlineLevel="0" collapsed="false">
      <c r="A8603" s="0" t="n">
        <v>2</v>
      </c>
      <c r="B8603" s="71" t="n">
        <v>46279</v>
      </c>
      <c r="C8603" s="0" t="n">
        <v>100</v>
      </c>
      <c r="D8603" s="0" t="s">
        <v>2499</v>
      </c>
      <c r="E8603" s="0" t="n">
        <v>48</v>
      </c>
      <c r="F8603" s="0" t="s">
        <v>153</v>
      </c>
      <c r="I8603" s="0" t="n">
        <v>1701602</v>
      </c>
      <c r="J8603" s="0" t="n">
        <v>100001</v>
      </c>
      <c r="K8603" s="0" t="n">
        <v>2</v>
      </c>
      <c r="L8603" s="0" t="s">
        <v>2481</v>
      </c>
      <c r="N8603" s="0" t="n">
        <v>11.295</v>
      </c>
      <c r="O8603" s="0" t="n">
        <v>222.43</v>
      </c>
      <c r="P8603" s="0" t="s">
        <v>2444</v>
      </c>
    </row>
    <row r="8604" customFormat="false" ht="15" hidden="false" customHeight="true" outlineLevel="0" collapsed="false">
      <c r="A8604" s="0" t="n">
        <v>2</v>
      </c>
      <c r="B8604" s="71" t="n">
        <v>46279</v>
      </c>
      <c r="C8604" s="0" t="n">
        <v>100</v>
      </c>
      <c r="D8604" s="0" t="s">
        <v>2499</v>
      </c>
      <c r="E8604" s="0" t="n">
        <v>48</v>
      </c>
      <c r="F8604" s="0" t="s">
        <v>153</v>
      </c>
      <c r="I8604" s="0" t="n">
        <v>1701602</v>
      </c>
      <c r="J8604" s="0" t="n">
        <v>100002</v>
      </c>
      <c r="K8604" s="0" t="n">
        <v>3</v>
      </c>
      <c r="L8604" s="0" t="s">
        <v>2482</v>
      </c>
      <c r="N8604" s="0" t="n">
        <v>24.5</v>
      </c>
      <c r="O8604" s="0" t="n">
        <v>556.72</v>
      </c>
      <c r="P8604" s="0" t="s">
        <v>2444</v>
      </c>
    </row>
    <row r="8605" customFormat="false" ht="15" hidden="false" customHeight="true" outlineLevel="0" collapsed="false">
      <c r="A8605" s="0" t="n">
        <v>2</v>
      </c>
      <c r="B8605" s="71" t="n">
        <v>46279</v>
      </c>
      <c r="C8605" s="0" t="n">
        <v>100</v>
      </c>
      <c r="D8605" s="0" t="s">
        <v>2499</v>
      </c>
      <c r="E8605" s="0" t="n">
        <v>48</v>
      </c>
      <c r="F8605" s="0" t="s">
        <v>153</v>
      </c>
      <c r="I8605" s="0" t="n">
        <v>1701602</v>
      </c>
      <c r="J8605" s="0" t="n">
        <v>100003</v>
      </c>
      <c r="K8605" s="0" t="n">
        <v>4</v>
      </c>
      <c r="L8605" s="0" t="s">
        <v>2483</v>
      </c>
      <c r="N8605" s="0" t="n">
        <v>16.84</v>
      </c>
      <c r="O8605" s="0" t="n">
        <v>408.18</v>
      </c>
      <c r="P8605" s="0" t="s">
        <v>2444</v>
      </c>
    </row>
    <row r="8606" customFormat="false" ht="15" hidden="false" customHeight="true" outlineLevel="0" collapsed="false">
      <c r="A8606" s="0" t="n">
        <v>2</v>
      </c>
      <c r="B8606" s="71" t="n">
        <v>46279</v>
      </c>
      <c r="C8606" s="0" t="n">
        <v>100</v>
      </c>
      <c r="D8606" s="0" t="s">
        <v>2499</v>
      </c>
      <c r="E8606" s="0" t="n">
        <v>48</v>
      </c>
      <c r="F8606" s="0" t="s">
        <v>153</v>
      </c>
      <c r="I8606" s="0" t="n">
        <v>1701602</v>
      </c>
      <c r="J8606" s="0" t="n">
        <v>100004</v>
      </c>
      <c r="K8606" s="0" t="n">
        <v>5</v>
      </c>
      <c r="L8606" s="0" t="s">
        <v>2484</v>
      </c>
      <c r="N8606" s="0" t="n">
        <v>1.062</v>
      </c>
      <c r="O8606" s="0" t="n">
        <v>22.52</v>
      </c>
      <c r="P8606" s="0" t="s">
        <v>2444</v>
      </c>
    </row>
    <row r="8607" customFormat="false" ht="15" hidden="false" customHeight="true" outlineLevel="0" collapsed="false">
      <c r="A8607" s="0" t="n">
        <v>2</v>
      </c>
      <c r="B8607" s="71" t="n">
        <v>46279</v>
      </c>
      <c r="C8607" s="0" t="n">
        <v>100</v>
      </c>
      <c r="D8607" s="0" t="s">
        <v>2499</v>
      </c>
      <c r="E8607" s="0" t="n">
        <v>48</v>
      </c>
      <c r="F8607" s="0" t="s">
        <v>153</v>
      </c>
      <c r="I8607" s="0" t="n">
        <v>1701602</v>
      </c>
      <c r="J8607" s="0" t="n">
        <v>100005</v>
      </c>
      <c r="K8607" s="0" t="n">
        <v>6</v>
      </c>
      <c r="L8607" s="0" t="s">
        <v>2582</v>
      </c>
      <c r="N8607" s="0" t="n">
        <v>3.77</v>
      </c>
      <c r="O8607" s="0" t="n">
        <v>85.67</v>
      </c>
      <c r="P8607" s="0" t="s">
        <v>2444</v>
      </c>
    </row>
    <row r="8608" customFormat="false" ht="15" hidden="false" customHeight="true" outlineLevel="0" collapsed="false">
      <c r="A8608" s="0" t="n">
        <v>2</v>
      </c>
      <c r="B8608" s="71" t="n">
        <v>46279</v>
      </c>
      <c r="C8608" s="0" t="n">
        <v>100</v>
      </c>
      <c r="D8608" s="0" t="s">
        <v>2499</v>
      </c>
      <c r="E8608" s="0" t="n">
        <v>48</v>
      </c>
      <c r="F8608" s="0" t="s">
        <v>153</v>
      </c>
      <c r="I8608" s="0" t="n">
        <v>1701602</v>
      </c>
      <c r="J8608" s="0" t="n">
        <v>100007</v>
      </c>
      <c r="K8608" s="0" t="n">
        <v>8</v>
      </c>
      <c r="L8608" s="0" t="s">
        <v>2486</v>
      </c>
      <c r="N8608" s="0" t="n">
        <v>2.546</v>
      </c>
      <c r="O8608" s="0" t="n">
        <v>57.85</v>
      </c>
      <c r="P8608" s="0" t="s">
        <v>2444</v>
      </c>
    </row>
    <row r="8609" customFormat="false" ht="15" hidden="false" customHeight="true" outlineLevel="0" collapsed="false">
      <c r="A8609" s="0" t="n">
        <v>2</v>
      </c>
      <c r="B8609" s="71" t="n">
        <v>46279</v>
      </c>
      <c r="C8609" s="0" t="n">
        <v>100</v>
      </c>
      <c r="D8609" s="0" t="s">
        <v>2499</v>
      </c>
      <c r="E8609" s="0" t="n">
        <v>48</v>
      </c>
      <c r="F8609" s="0" t="s">
        <v>153</v>
      </c>
      <c r="I8609" s="0" t="n">
        <v>1701602</v>
      </c>
      <c r="J8609" s="0" t="n">
        <v>100019</v>
      </c>
      <c r="K8609" s="0" t="n">
        <v>20</v>
      </c>
      <c r="L8609" s="0" t="s">
        <v>3779</v>
      </c>
      <c r="N8609" s="0" t="n">
        <v>4.566</v>
      </c>
      <c r="O8609" s="0" t="n">
        <v>145.27</v>
      </c>
      <c r="P8609" s="0" t="s">
        <v>2444</v>
      </c>
    </row>
    <row r="8610" customFormat="false" ht="15" hidden="false" customHeight="true" outlineLevel="0" collapsed="false">
      <c r="A8610" s="0" t="n">
        <v>2</v>
      </c>
      <c r="B8610" s="71" t="n">
        <v>46279</v>
      </c>
      <c r="C8610" s="0" t="n">
        <v>100</v>
      </c>
      <c r="D8610" s="0" t="s">
        <v>2499</v>
      </c>
      <c r="E8610" s="0" t="n">
        <v>48</v>
      </c>
      <c r="F8610" s="0" t="s">
        <v>153</v>
      </c>
      <c r="I8610" s="0" t="n">
        <v>1701602</v>
      </c>
      <c r="J8610" s="0" t="n">
        <v>100638</v>
      </c>
      <c r="K8610" s="0" t="n">
        <v>508</v>
      </c>
      <c r="L8610" s="0" t="s">
        <v>2496</v>
      </c>
      <c r="N8610" s="0" t="n">
        <v>0.294</v>
      </c>
      <c r="O8610" s="0" t="n">
        <v>0.67</v>
      </c>
      <c r="P8610" s="0" t="s">
        <v>2444</v>
      </c>
    </row>
    <row r="8611" customFormat="false" ht="15" hidden="false" customHeight="true" outlineLevel="0" collapsed="false">
      <c r="A8611" s="0" t="n">
        <v>2</v>
      </c>
      <c r="B8611" s="71" t="n">
        <v>46279</v>
      </c>
      <c r="C8611" s="0" t="n">
        <v>100</v>
      </c>
      <c r="D8611" s="0" t="s">
        <v>2499</v>
      </c>
      <c r="E8611" s="0" t="n">
        <v>48</v>
      </c>
      <c r="F8611" s="0" t="s">
        <v>153</v>
      </c>
      <c r="I8611" s="0" t="n">
        <v>1701602</v>
      </c>
      <c r="J8611" s="0" t="n">
        <v>110137</v>
      </c>
      <c r="K8611" s="0" t="n">
        <v>13899</v>
      </c>
      <c r="L8611" s="0" t="s">
        <v>3780</v>
      </c>
      <c r="N8611" s="0" t="n">
        <v>2.382</v>
      </c>
      <c r="O8611" s="0" t="n">
        <v>9.01</v>
      </c>
      <c r="P8611" s="0" t="s">
        <v>2444</v>
      </c>
    </row>
    <row r="8612" customFormat="false" ht="15" hidden="false" customHeight="true" outlineLevel="0" collapsed="false">
      <c r="A8612" s="0" t="n">
        <v>2</v>
      </c>
      <c r="B8612" s="71" t="n">
        <v>46279</v>
      </c>
      <c r="C8612" s="0" t="n">
        <v>100</v>
      </c>
      <c r="D8612" s="0" t="s">
        <v>2499</v>
      </c>
      <c r="E8612" s="0" t="n">
        <v>48</v>
      </c>
      <c r="F8612" s="0" t="s">
        <v>153</v>
      </c>
      <c r="I8612" s="0" t="n">
        <v>1701602</v>
      </c>
      <c r="J8612" s="0" t="n">
        <v>110455</v>
      </c>
      <c r="K8612" s="0" t="n">
        <v>53212</v>
      </c>
      <c r="L8612" s="0" t="s">
        <v>2498</v>
      </c>
      <c r="N8612" s="0" t="n">
        <v>0.791</v>
      </c>
      <c r="O8612" s="0" t="n">
        <v>0</v>
      </c>
      <c r="P8612" s="0" t="s">
        <v>2444</v>
      </c>
    </row>
    <row r="8613" customFormat="false" ht="15" hidden="false" customHeight="true" outlineLevel="0" collapsed="false">
      <c r="A8613" s="0" t="n">
        <v>2</v>
      </c>
      <c r="B8613" s="71" t="n">
        <v>46280</v>
      </c>
      <c r="C8613" s="0" t="n">
        <v>6</v>
      </c>
      <c r="D8613" s="0" t="s">
        <v>2553</v>
      </c>
      <c r="E8613" s="0" t="n">
        <v>48</v>
      </c>
      <c r="F8613" s="0" t="s">
        <v>153</v>
      </c>
      <c r="I8613" s="0" t="n">
        <v>2674</v>
      </c>
      <c r="J8613" s="0" t="n">
        <v>100113</v>
      </c>
      <c r="K8613" s="0" t="n">
        <v>114</v>
      </c>
      <c r="L8613" s="0" t="s">
        <v>2539</v>
      </c>
      <c r="N8613" s="0" t="n">
        <v>40</v>
      </c>
      <c r="O8613" s="0" t="n">
        <v>330</v>
      </c>
      <c r="P8613" s="0" t="s">
        <v>2444</v>
      </c>
    </row>
    <row r="8614" customFormat="false" ht="15" hidden="false" customHeight="true" outlineLevel="0" collapsed="false">
      <c r="A8614" s="0" t="n">
        <v>2</v>
      </c>
      <c r="B8614" s="71" t="n">
        <v>46280</v>
      </c>
      <c r="C8614" s="0" t="n">
        <v>6</v>
      </c>
      <c r="D8614" s="0" t="s">
        <v>2553</v>
      </c>
      <c r="E8614" s="0" t="n">
        <v>48</v>
      </c>
      <c r="F8614" s="0" t="s">
        <v>153</v>
      </c>
      <c r="I8614" s="0" t="n">
        <v>2674</v>
      </c>
      <c r="J8614" s="0" t="n">
        <v>110142</v>
      </c>
      <c r="K8614" s="0" t="n">
        <v>16699</v>
      </c>
      <c r="L8614" s="0" t="s">
        <v>2549</v>
      </c>
      <c r="N8614" s="0" t="n">
        <v>40</v>
      </c>
      <c r="O8614" s="0" t="n">
        <v>240</v>
      </c>
      <c r="P8614" s="0" t="s">
        <v>2444</v>
      </c>
    </row>
    <row r="8615" customFormat="false" ht="15" hidden="false" customHeight="true" outlineLevel="0" collapsed="false">
      <c r="A8615" s="0" t="n">
        <v>2</v>
      </c>
      <c r="B8615" s="71" t="n">
        <v>46280</v>
      </c>
      <c r="C8615" s="0" t="n">
        <v>6</v>
      </c>
      <c r="D8615" s="0" t="s">
        <v>2553</v>
      </c>
      <c r="E8615" s="0" t="n">
        <v>48</v>
      </c>
      <c r="F8615" s="0" t="s">
        <v>153</v>
      </c>
      <c r="I8615" s="0" t="n">
        <v>2676</v>
      </c>
      <c r="J8615" s="0" t="n">
        <v>100062</v>
      </c>
      <c r="K8615" s="0" t="n">
        <v>63</v>
      </c>
      <c r="L8615" s="0" t="s">
        <v>2535</v>
      </c>
      <c r="N8615" s="0" t="n">
        <v>18</v>
      </c>
      <c r="O8615" s="0" t="n">
        <v>120</v>
      </c>
      <c r="P8615" s="0" t="s">
        <v>2444</v>
      </c>
    </row>
    <row r="8616" customFormat="false" ht="15" hidden="false" customHeight="true" outlineLevel="0" collapsed="false">
      <c r="A8616" s="0" t="n">
        <v>2</v>
      </c>
      <c r="B8616" s="71" t="n">
        <v>46280</v>
      </c>
      <c r="C8616" s="0" t="n">
        <v>6</v>
      </c>
      <c r="D8616" s="0" t="s">
        <v>2553</v>
      </c>
      <c r="E8616" s="0" t="n">
        <v>48</v>
      </c>
      <c r="F8616" s="0" t="s">
        <v>153</v>
      </c>
      <c r="I8616" s="0" t="n">
        <v>2676</v>
      </c>
      <c r="J8616" s="0" t="n">
        <v>100100</v>
      </c>
      <c r="K8616" s="0" t="n">
        <v>101</v>
      </c>
      <c r="L8616" s="0" t="s">
        <v>2693</v>
      </c>
      <c r="N8616" s="0" t="n">
        <v>4</v>
      </c>
      <c r="O8616" s="0" t="n">
        <v>32</v>
      </c>
      <c r="P8616" s="0" t="s">
        <v>2444</v>
      </c>
    </row>
    <row r="8617" customFormat="false" ht="15" hidden="false" customHeight="true" outlineLevel="0" collapsed="false">
      <c r="A8617" s="0" t="n">
        <v>2</v>
      </c>
      <c r="B8617" s="71" t="n">
        <v>46280</v>
      </c>
      <c r="C8617" s="0" t="n">
        <v>6</v>
      </c>
      <c r="D8617" s="0" t="s">
        <v>2553</v>
      </c>
      <c r="E8617" s="0" t="n">
        <v>48</v>
      </c>
      <c r="F8617" s="0" t="s">
        <v>153</v>
      </c>
      <c r="I8617" s="0" t="n">
        <v>2676</v>
      </c>
      <c r="J8617" s="0" t="n">
        <v>100105</v>
      </c>
      <c r="K8617" s="0" t="n">
        <v>106</v>
      </c>
      <c r="L8617" s="0" t="s">
        <v>2536</v>
      </c>
      <c r="N8617" s="0" t="n">
        <v>24</v>
      </c>
      <c r="O8617" s="0" t="n">
        <v>140</v>
      </c>
      <c r="P8617" s="0" t="s">
        <v>2444</v>
      </c>
    </row>
    <row r="8618" customFormat="false" ht="15" hidden="false" customHeight="true" outlineLevel="0" collapsed="false">
      <c r="A8618" s="0" t="n">
        <v>2</v>
      </c>
      <c r="B8618" s="71" t="n">
        <v>46280</v>
      </c>
      <c r="C8618" s="0" t="n">
        <v>6</v>
      </c>
      <c r="D8618" s="0" t="s">
        <v>2553</v>
      </c>
      <c r="E8618" s="0" t="n">
        <v>48</v>
      </c>
      <c r="F8618" s="0" t="s">
        <v>153</v>
      </c>
      <c r="I8618" s="0" t="n">
        <v>2676</v>
      </c>
      <c r="J8618" s="0" t="n">
        <v>100109</v>
      </c>
      <c r="K8618" s="0" t="n">
        <v>110</v>
      </c>
      <c r="L8618" s="0" t="s">
        <v>2537</v>
      </c>
      <c r="N8618" s="0" t="n">
        <v>20</v>
      </c>
      <c r="O8618" s="0" t="n">
        <v>130</v>
      </c>
      <c r="P8618" s="0" t="s">
        <v>2444</v>
      </c>
    </row>
    <row r="8619" customFormat="false" ht="15" hidden="false" customHeight="true" outlineLevel="0" collapsed="false">
      <c r="A8619" s="0" t="n">
        <v>2</v>
      </c>
      <c r="B8619" s="71" t="n">
        <v>46280</v>
      </c>
      <c r="C8619" s="0" t="n">
        <v>6</v>
      </c>
      <c r="D8619" s="0" t="s">
        <v>2553</v>
      </c>
      <c r="E8619" s="0" t="n">
        <v>48</v>
      </c>
      <c r="F8619" s="0" t="s">
        <v>153</v>
      </c>
      <c r="I8619" s="0" t="n">
        <v>2676</v>
      </c>
      <c r="J8619" s="0" t="n">
        <v>100115</v>
      </c>
      <c r="K8619" s="0" t="n">
        <v>116</v>
      </c>
      <c r="L8619" s="0" t="s">
        <v>2694</v>
      </c>
      <c r="N8619" s="0" t="n">
        <v>15</v>
      </c>
      <c r="O8619" s="0" t="n">
        <v>160</v>
      </c>
      <c r="P8619" s="0" t="s">
        <v>2444</v>
      </c>
    </row>
    <row r="8620" customFormat="false" ht="15" hidden="false" customHeight="true" outlineLevel="0" collapsed="false">
      <c r="A8620" s="0" t="n">
        <v>2</v>
      </c>
      <c r="B8620" s="71" t="n">
        <v>46280</v>
      </c>
      <c r="C8620" s="0" t="n">
        <v>6</v>
      </c>
      <c r="D8620" s="0" t="s">
        <v>2553</v>
      </c>
      <c r="E8620" s="0" t="n">
        <v>48</v>
      </c>
      <c r="F8620" s="0" t="s">
        <v>153</v>
      </c>
      <c r="I8620" s="0" t="n">
        <v>2676</v>
      </c>
      <c r="J8620" s="0" t="n">
        <v>100121</v>
      </c>
      <c r="K8620" s="0" t="n">
        <v>122</v>
      </c>
      <c r="L8620" s="0" t="s">
        <v>2542</v>
      </c>
      <c r="N8620" s="0" t="n">
        <v>3</v>
      </c>
      <c r="O8620" s="0" t="n">
        <v>75</v>
      </c>
      <c r="P8620" s="0" t="s">
        <v>2444</v>
      </c>
    </row>
    <row r="8621" customFormat="false" ht="15" hidden="false" customHeight="true" outlineLevel="0" collapsed="false">
      <c r="A8621" s="0" t="n">
        <v>2</v>
      </c>
      <c r="B8621" s="71" t="n">
        <v>46280</v>
      </c>
      <c r="C8621" s="0" t="n">
        <v>6</v>
      </c>
      <c r="D8621" s="0" t="s">
        <v>2553</v>
      </c>
      <c r="E8621" s="0" t="n">
        <v>48</v>
      </c>
      <c r="F8621" s="0" t="s">
        <v>153</v>
      </c>
      <c r="I8621" s="0" t="n">
        <v>2676</v>
      </c>
      <c r="J8621" s="0" t="n">
        <v>100122</v>
      </c>
      <c r="K8621" s="0" t="n">
        <v>123</v>
      </c>
      <c r="L8621" s="0" t="s">
        <v>2543</v>
      </c>
      <c r="N8621" s="0" t="n">
        <v>3</v>
      </c>
      <c r="O8621" s="0" t="n">
        <v>54</v>
      </c>
      <c r="P8621" s="0" t="s">
        <v>2444</v>
      </c>
    </row>
    <row r="8622" customFormat="false" ht="15" hidden="false" customHeight="true" outlineLevel="0" collapsed="false">
      <c r="A8622" s="0" t="n">
        <v>2</v>
      </c>
      <c r="B8622" s="71" t="n">
        <v>46280</v>
      </c>
      <c r="C8622" s="0" t="n">
        <v>6</v>
      </c>
      <c r="D8622" s="0" t="s">
        <v>2553</v>
      </c>
      <c r="E8622" s="0" t="n">
        <v>48</v>
      </c>
      <c r="F8622" s="0" t="s">
        <v>153</v>
      </c>
      <c r="I8622" s="0" t="n">
        <v>2676</v>
      </c>
      <c r="J8622" s="0" t="n">
        <v>100124</v>
      </c>
      <c r="K8622" s="0" t="n">
        <v>125</v>
      </c>
      <c r="L8622" s="0" t="s">
        <v>2695</v>
      </c>
      <c r="N8622" s="0" t="n">
        <v>5</v>
      </c>
      <c r="O8622" s="0" t="n">
        <v>55</v>
      </c>
      <c r="P8622" s="0" t="s">
        <v>2444</v>
      </c>
    </row>
    <row r="8623" customFormat="false" ht="15" hidden="false" customHeight="true" outlineLevel="0" collapsed="false">
      <c r="A8623" s="0" t="n">
        <v>2</v>
      </c>
      <c r="B8623" s="71" t="n">
        <v>46280</v>
      </c>
      <c r="C8623" s="0" t="n">
        <v>6</v>
      </c>
      <c r="D8623" s="0" t="s">
        <v>2553</v>
      </c>
      <c r="E8623" s="0" t="n">
        <v>48</v>
      </c>
      <c r="F8623" s="0" t="s">
        <v>153</v>
      </c>
      <c r="I8623" s="0" t="n">
        <v>2676</v>
      </c>
      <c r="J8623" s="0" t="n">
        <v>100125</v>
      </c>
      <c r="K8623" s="0" t="n">
        <v>126</v>
      </c>
      <c r="L8623" s="0" t="s">
        <v>2597</v>
      </c>
      <c r="N8623" s="0" t="n">
        <v>20</v>
      </c>
      <c r="O8623" s="0" t="n">
        <v>150</v>
      </c>
      <c r="P8623" s="0" t="s">
        <v>2444</v>
      </c>
    </row>
    <row r="8624" customFormat="false" ht="15" hidden="false" customHeight="true" outlineLevel="0" collapsed="false">
      <c r="A8624" s="0" t="n">
        <v>2</v>
      </c>
      <c r="B8624" s="71" t="n">
        <v>46280</v>
      </c>
      <c r="C8624" s="0" t="n">
        <v>6</v>
      </c>
      <c r="D8624" s="0" t="s">
        <v>2553</v>
      </c>
      <c r="E8624" s="0" t="n">
        <v>48</v>
      </c>
      <c r="F8624" s="0" t="s">
        <v>153</v>
      </c>
      <c r="I8624" s="0" t="n">
        <v>2676</v>
      </c>
      <c r="J8624" s="0" t="n">
        <v>100132</v>
      </c>
      <c r="K8624" s="0" t="n">
        <v>133</v>
      </c>
      <c r="L8624" s="0" t="s">
        <v>2546</v>
      </c>
      <c r="N8624" s="0" t="n">
        <v>68.2</v>
      </c>
      <c r="O8624" s="0" t="n">
        <v>175</v>
      </c>
      <c r="P8624" s="0" t="s">
        <v>2444</v>
      </c>
    </row>
    <row r="8625" customFormat="false" ht="15" hidden="false" customHeight="true" outlineLevel="0" collapsed="false">
      <c r="A8625" s="0" t="n">
        <v>2</v>
      </c>
      <c r="B8625" s="71" t="n">
        <v>46280</v>
      </c>
      <c r="C8625" s="0" t="n">
        <v>6</v>
      </c>
      <c r="D8625" s="0" t="s">
        <v>2553</v>
      </c>
      <c r="E8625" s="0" t="n">
        <v>48</v>
      </c>
      <c r="F8625" s="0" t="s">
        <v>153</v>
      </c>
      <c r="I8625" s="0" t="n">
        <v>2676</v>
      </c>
      <c r="J8625" s="0" t="n">
        <v>100133</v>
      </c>
      <c r="K8625" s="0" t="n">
        <v>134</v>
      </c>
      <c r="L8625" s="0" t="s">
        <v>2547</v>
      </c>
      <c r="N8625" s="0" t="n">
        <v>20</v>
      </c>
      <c r="O8625" s="0" t="n">
        <v>75</v>
      </c>
      <c r="P8625" s="0" t="s">
        <v>2444</v>
      </c>
    </row>
    <row r="8626" customFormat="false" ht="15" hidden="false" customHeight="true" outlineLevel="0" collapsed="false">
      <c r="A8626" s="0" t="n">
        <v>2</v>
      </c>
      <c r="B8626" s="71" t="n">
        <v>46280</v>
      </c>
      <c r="C8626" s="0" t="n">
        <v>6</v>
      </c>
      <c r="D8626" s="0" t="s">
        <v>2553</v>
      </c>
      <c r="E8626" s="0" t="n">
        <v>48</v>
      </c>
      <c r="F8626" s="0" t="s">
        <v>153</v>
      </c>
      <c r="I8626" s="0" t="n">
        <v>2676</v>
      </c>
      <c r="J8626" s="0" t="n">
        <v>100135</v>
      </c>
      <c r="K8626" s="0" t="n">
        <v>136</v>
      </c>
      <c r="L8626" s="0" t="s">
        <v>2599</v>
      </c>
      <c r="N8626" s="0" t="n">
        <v>18</v>
      </c>
      <c r="O8626" s="0" t="n">
        <v>140</v>
      </c>
      <c r="P8626" s="0" t="s">
        <v>2444</v>
      </c>
    </row>
    <row r="8627" customFormat="false" ht="15" hidden="false" customHeight="true" outlineLevel="0" collapsed="false">
      <c r="A8627" s="0" t="n">
        <v>2</v>
      </c>
      <c r="B8627" s="71" t="n">
        <v>46280</v>
      </c>
      <c r="C8627" s="0" t="n">
        <v>6</v>
      </c>
      <c r="D8627" s="0" t="s">
        <v>2553</v>
      </c>
      <c r="E8627" s="0" t="n">
        <v>48</v>
      </c>
      <c r="F8627" s="0" t="s">
        <v>153</v>
      </c>
      <c r="I8627" s="0" t="n">
        <v>2676</v>
      </c>
      <c r="J8627" s="0" t="n">
        <v>110374</v>
      </c>
      <c r="K8627" s="0" t="n">
        <v>48077</v>
      </c>
      <c r="L8627" s="0" t="s">
        <v>2696</v>
      </c>
      <c r="N8627" s="0" t="n">
        <v>4</v>
      </c>
      <c r="O8627" s="0" t="n">
        <v>32</v>
      </c>
      <c r="P8627" s="0" t="s">
        <v>2444</v>
      </c>
    </row>
    <row r="8628" customFormat="false" ht="15" hidden="false" customHeight="true" outlineLevel="0" collapsed="false">
      <c r="A8628" s="0" t="n">
        <v>2</v>
      </c>
      <c r="B8628" s="71" t="n">
        <v>46280</v>
      </c>
      <c r="C8628" s="0" t="n">
        <v>6</v>
      </c>
      <c r="D8628" s="0" t="s">
        <v>2553</v>
      </c>
      <c r="E8628" s="0" t="n">
        <v>48</v>
      </c>
      <c r="F8628" s="0" t="s">
        <v>153</v>
      </c>
      <c r="I8628" s="0" t="n">
        <v>2676</v>
      </c>
      <c r="J8628" s="0" t="n">
        <v>110489</v>
      </c>
      <c r="K8628" s="0" t="n">
        <v>54743</v>
      </c>
      <c r="L8628" s="0" t="s">
        <v>2550</v>
      </c>
      <c r="N8628" s="0" t="n">
        <v>60</v>
      </c>
      <c r="O8628" s="0" t="n">
        <v>390</v>
      </c>
      <c r="P8628" s="0" t="s">
        <v>2444</v>
      </c>
    </row>
    <row r="8629" customFormat="false" ht="15" hidden="false" customHeight="true" outlineLevel="0" collapsed="false">
      <c r="A8629" s="0" t="n">
        <v>2</v>
      </c>
      <c r="B8629" s="71" t="n">
        <v>46280</v>
      </c>
      <c r="C8629" s="0" t="n">
        <v>6</v>
      </c>
      <c r="D8629" s="0" t="s">
        <v>2553</v>
      </c>
      <c r="E8629" s="0" t="n">
        <v>48</v>
      </c>
      <c r="F8629" s="0" t="s">
        <v>153</v>
      </c>
      <c r="I8629" s="0" t="n">
        <v>2676</v>
      </c>
      <c r="J8629" s="0" t="n">
        <v>80078</v>
      </c>
      <c r="K8629" s="0" t="n">
        <v>710</v>
      </c>
      <c r="L8629" s="0" t="s">
        <v>2551</v>
      </c>
      <c r="N8629" s="0" t="n">
        <v>10</v>
      </c>
      <c r="O8629" s="0" t="n">
        <v>30</v>
      </c>
      <c r="P8629" s="0" t="s">
        <v>2444</v>
      </c>
    </row>
    <row r="8630" customFormat="false" ht="15" hidden="false" customHeight="true" outlineLevel="0" collapsed="false">
      <c r="A8630" s="0" t="n">
        <v>2</v>
      </c>
      <c r="B8630" s="71" t="n">
        <v>46280</v>
      </c>
      <c r="C8630" s="0" t="n">
        <v>6</v>
      </c>
      <c r="D8630" s="0" t="s">
        <v>2553</v>
      </c>
      <c r="E8630" s="0" t="n">
        <v>48</v>
      </c>
      <c r="F8630" s="0" t="s">
        <v>153</v>
      </c>
      <c r="I8630" s="0" t="n">
        <v>2677</v>
      </c>
      <c r="J8630" s="0" t="n">
        <v>100024</v>
      </c>
      <c r="K8630" s="0" t="n">
        <v>25</v>
      </c>
      <c r="L8630" s="0" t="s">
        <v>3345</v>
      </c>
      <c r="N8630" s="0" t="n">
        <v>5.406</v>
      </c>
      <c r="O8630" s="0" t="n">
        <v>62.373</v>
      </c>
      <c r="P8630" s="0" t="s">
        <v>2444</v>
      </c>
    </row>
    <row r="8631" customFormat="false" ht="15" hidden="false" customHeight="true" outlineLevel="0" collapsed="false">
      <c r="A8631" s="0" t="n">
        <v>2</v>
      </c>
      <c r="B8631" s="71" t="n">
        <v>46280</v>
      </c>
      <c r="C8631" s="0" t="n">
        <v>6</v>
      </c>
      <c r="D8631" s="0" t="s">
        <v>2553</v>
      </c>
      <c r="E8631" s="0" t="n">
        <v>48</v>
      </c>
      <c r="F8631" s="0" t="s">
        <v>153</v>
      </c>
      <c r="I8631" s="0" t="n">
        <v>2677</v>
      </c>
      <c r="J8631" s="0" t="n">
        <v>100025</v>
      </c>
      <c r="K8631" s="0" t="n">
        <v>26</v>
      </c>
      <c r="L8631" s="0" t="s">
        <v>3962</v>
      </c>
      <c r="N8631" s="0" t="n">
        <v>2.254</v>
      </c>
      <c r="O8631" s="0" t="n">
        <v>22.517</v>
      </c>
      <c r="P8631" s="0" t="s">
        <v>2444</v>
      </c>
    </row>
    <row r="8632" customFormat="false" ht="15" hidden="false" customHeight="true" outlineLevel="0" collapsed="false">
      <c r="A8632" s="0" t="n">
        <v>2</v>
      </c>
      <c r="B8632" s="71" t="n">
        <v>46280</v>
      </c>
      <c r="C8632" s="0" t="n">
        <v>6</v>
      </c>
      <c r="D8632" s="0" t="s">
        <v>2553</v>
      </c>
      <c r="E8632" s="0" t="n">
        <v>48</v>
      </c>
      <c r="F8632" s="0" t="s">
        <v>153</v>
      </c>
      <c r="I8632" s="0" t="n">
        <v>2677</v>
      </c>
      <c r="J8632" s="0" t="n">
        <v>100026</v>
      </c>
      <c r="K8632" s="0" t="n">
        <v>27</v>
      </c>
      <c r="L8632" s="0" t="s">
        <v>3963</v>
      </c>
      <c r="N8632" s="0" t="n">
        <v>2.678</v>
      </c>
      <c r="O8632" s="0" t="n">
        <v>22.747</v>
      </c>
      <c r="P8632" s="0" t="s">
        <v>2444</v>
      </c>
    </row>
    <row r="8633" customFormat="false" ht="15" hidden="false" customHeight="true" outlineLevel="0" collapsed="false">
      <c r="A8633" s="0" t="n">
        <v>2</v>
      </c>
      <c r="B8633" s="71" t="n">
        <v>46280</v>
      </c>
      <c r="C8633" s="0" t="n">
        <v>6</v>
      </c>
      <c r="D8633" s="0" t="s">
        <v>2553</v>
      </c>
      <c r="E8633" s="0" t="n">
        <v>48</v>
      </c>
      <c r="F8633" s="0" t="s">
        <v>153</v>
      </c>
      <c r="I8633" s="0" t="n">
        <v>2677</v>
      </c>
      <c r="J8633" s="0" t="n">
        <v>100027</v>
      </c>
      <c r="K8633" s="0" t="n">
        <v>28</v>
      </c>
      <c r="L8633" s="0" t="s">
        <v>3964</v>
      </c>
      <c r="N8633" s="0" t="n">
        <v>12.055</v>
      </c>
      <c r="O8633" s="0" t="n">
        <v>66.303</v>
      </c>
      <c r="P8633" s="0" t="s">
        <v>2444</v>
      </c>
    </row>
    <row r="8634" customFormat="false" ht="15" hidden="false" customHeight="true" outlineLevel="0" collapsed="false">
      <c r="A8634" s="0" t="n">
        <v>2</v>
      </c>
      <c r="B8634" s="71" t="n">
        <v>46280</v>
      </c>
      <c r="C8634" s="0" t="n">
        <v>6</v>
      </c>
      <c r="D8634" s="0" t="s">
        <v>2553</v>
      </c>
      <c r="E8634" s="0" t="n">
        <v>48</v>
      </c>
      <c r="F8634" s="0" t="s">
        <v>153</v>
      </c>
      <c r="I8634" s="0" t="n">
        <v>2677</v>
      </c>
      <c r="J8634" s="0" t="n">
        <v>100028</v>
      </c>
      <c r="K8634" s="0" t="n">
        <v>29</v>
      </c>
      <c r="L8634" s="0" t="s">
        <v>3965</v>
      </c>
      <c r="N8634" s="0" t="n">
        <v>17.75</v>
      </c>
      <c r="O8634" s="0" t="n">
        <v>97.625</v>
      </c>
      <c r="P8634" s="0" t="s">
        <v>2444</v>
      </c>
    </row>
    <row r="8635" customFormat="false" ht="15" hidden="false" customHeight="true" outlineLevel="0" collapsed="false">
      <c r="A8635" s="0" t="n">
        <v>2</v>
      </c>
      <c r="B8635" s="71" t="n">
        <v>46280</v>
      </c>
      <c r="C8635" s="0" t="n">
        <v>6</v>
      </c>
      <c r="D8635" s="0" t="s">
        <v>2553</v>
      </c>
      <c r="E8635" s="0" t="n">
        <v>48</v>
      </c>
      <c r="F8635" s="0" t="s">
        <v>153</v>
      </c>
      <c r="I8635" s="0" t="n">
        <v>2677</v>
      </c>
      <c r="J8635" s="0" t="n">
        <v>100638</v>
      </c>
      <c r="K8635" s="0" t="n">
        <v>508</v>
      </c>
      <c r="L8635" s="0" t="s">
        <v>2496</v>
      </c>
      <c r="N8635" s="0" t="n">
        <v>0.846</v>
      </c>
      <c r="O8635" s="0" t="n">
        <v>1.684</v>
      </c>
      <c r="P8635" s="0" t="s">
        <v>2444</v>
      </c>
    </row>
    <row r="8636" customFormat="false" ht="15" hidden="false" customHeight="true" outlineLevel="0" collapsed="false">
      <c r="A8636" s="0" t="n">
        <v>2</v>
      </c>
      <c r="B8636" s="71" t="n">
        <v>46280</v>
      </c>
      <c r="C8636" s="0" t="n">
        <v>6</v>
      </c>
      <c r="D8636" s="0" t="s">
        <v>2553</v>
      </c>
      <c r="E8636" s="0" t="n">
        <v>48</v>
      </c>
      <c r="F8636" s="0" t="s">
        <v>153</v>
      </c>
      <c r="I8636" s="0" t="n">
        <v>2677</v>
      </c>
      <c r="J8636" s="0" t="n">
        <v>110175</v>
      </c>
      <c r="K8636" s="0" t="n">
        <v>37383</v>
      </c>
      <c r="L8636" s="0" t="s">
        <v>5042</v>
      </c>
      <c r="N8636" s="0" t="n">
        <v>1.332</v>
      </c>
      <c r="O8636" s="0" t="n">
        <v>7.326</v>
      </c>
      <c r="P8636" s="0" t="s">
        <v>2444</v>
      </c>
    </row>
    <row r="8637" customFormat="false" ht="15" hidden="false" customHeight="true" outlineLevel="0" collapsed="false">
      <c r="A8637" s="0" t="n">
        <v>2</v>
      </c>
      <c r="B8637" s="71" t="n">
        <v>46280</v>
      </c>
      <c r="C8637" s="0" t="n">
        <v>6</v>
      </c>
      <c r="D8637" s="0" t="s">
        <v>2553</v>
      </c>
      <c r="E8637" s="0" t="n">
        <v>48</v>
      </c>
      <c r="F8637" s="0" t="s">
        <v>153</v>
      </c>
      <c r="I8637" s="0" t="n">
        <v>2677</v>
      </c>
      <c r="J8637" s="0" t="n">
        <v>110515</v>
      </c>
      <c r="K8637" s="0" t="n">
        <v>56821</v>
      </c>
      <c r="L8637" s="0" t="s">
        <v>3966</v>
      </c>
      <c r="N8637" s="0" t="n">
        <v>4.868</v>
      </c>
      <c r="O8637" s="0" t="n">
        <v>19.423</v>
      </c>
      <c r="P8637" s="0" t="s">
        <v>2444</v>
      </c>
    </row>
    <row r="8638" customFormat="false" ht="15" hidden="false" customHeight="true" outlineLevel="0" collapsed="false">
      <c r="A8638" s="0" t="n">
        <v>2</v>
      </c>
      <c r="B8638" s="71" t="n">
        <v>46280</v>
      </c>
      <c r="C8638" s="0" t="n">
        <v>11</v>
      </c>
      <c r="D8638" s="0" t="s">
        <v>2471</v>
      </c>
      <c r="E8638" s="0" t="n">
        <v>10018</v>
      </c>
      <c r="F8638" s="0" t="s">
        <v>216</v>
      </c>
      <c r="I8638" s="0" t="n">
        <v>383</v>
      </c>
      <c r="J8638" s="0" t="n">
        <v>100933</v>
      </c>
      <c r="K8638" s="0" t="n">
        <v>7896982100059</v>
      </c>
      <c r="L8638" s="0" t="s">
        <v>2500</v>
      </c>
      <c r="N8638" s="0" t="n">
        <v>1080</v>
      </c>
      <c r="O8638" s="0" t="n">
        <v>509.7</v>
      </c>
      <c r="P8638" s="0" t="s">
        <v>2444</v>
      </c>
    </row>
    <row r="8639" customFormat="false" ht="15" hidden="false" customHeight="true" outlineLevel="0" collapsed="false">
      <c r="A8639" s="0" t="n">
        <v>2</v>
      </c>
      <c r="B8639" s="71" t="n">
        <v>46280</v>
      </c>
      <c r="C8639" s="0" t="n">
        <v>11</v>
      </c>
      <c r="D8639" s="0" t="s">
        <v>2471</v>
      </c>
      <c r="E8639" s="0" t="n">
        <v>10018</v>
      </c>
      <c r="F8639" s="0" t="s">
        <v>216</v>
      </c>
      <c r="I8639" s="0" t="n">
        <v>383</v>
      </c>
      <c r="J8639" s="0" t="n">
        <v>81830</v>
      </c>
      <c r="K8639" s="0" t="n">
        <v>1588</v>
      </c>
      <c r="L8639" s="0" t="s">
        <v>4637</v>
      </c>
      <c r="N8639" s="0" t="n">
        <v>20</v>
      </c>
      <c r="O8639" s="0" t="n">
        <v>259.8</v>
      </c>
      <c r="P8639" s="0" t="s">
        <v>2444</v>
      </c>
    </row>
    <row r="8640" customFormat="false" ht="15" hidden="false" customHeight="true" outlineLevel="0" collapsed="false">
      <c r="A8640" s="0" t="n">
        <v>2</v>
      </c>
      <c r="B8640" s="71" t="n">
        <v>46280</v>
      </c>
      <c r="C8640" s="0" t="n">
        <v>11</v>
      </c>
      <c r="D8640" s="0" t="s">
        <v>2471</v>
      </c>
      <c r="E8640" s="0" t="n">
        <v>10033</v>
      </c>
      <c r="F8640" s="0" t="s">
        <v>668</v>
      </c>
      <c r="I8640" s="0" t="n">
        <v>107635</v>
      </c>
      <c r="J8640" s="0" t="n">
        <v>100367</v>
      </c>
      <c r="K8640" s="0" t="n">
        <v>7896806700014</v>
      </c>
      <c r="L8640" s="0" t="s">
        <v>4061</v>
      </c>
      <c r="N8640" s="0" t="n">
        <v>24</v>
      </c>
      <c r="O8640" s="0" t="n">
        <v>51.36</v>
      </c>
      <c r="P8640" s="0" t="s">
        <v>2444</v>
      </c>
    </row>
    <row r="8641" customFormat="false" ht="15" hidden="false" customHeight="true" outlineLevel="0" collapsed="false">
      <c r="A8641" s="0" t="n">
        <v>2</v>
      </c>
      <c r="B8641" s="71" t="n">
        <v>46280</v>
      </c>
      <c r="C8641" s="0" t="n">
        <v>11</v>
      </c>
      <c r="D8641" s="0" t="s">
        <v>2471</v>
      </c>
      <c r="E8641" s="0" t="n">
        <v>10033</v>
      </c>
      <c r="F8641" s="0" t="s">
        <v>668</v>
      </c>
      <c r="I8641" s="0" t="n">
        <v>107635</v>
      </c>
      <c r="J8641" s="0" t="n">
        <v>100371</v>
      </c>
      <c r="K8641" s="0" t="n">
        <v>7896806700021</v>
      </c>
      <c r="L8641" s="0" t="s">
        <v>5413</v>
      </c>
      <c r="N8641" s="0" t="n">
        <v>24</v>
      </c>
      <c r="O8641" s="0" t="n">
        <v>72.72</v>
      </c>
      <c r="P8641" s="0" t="s">
        <v>2444</v>
      </c>
    </row>
    <row r="8642" customFormat="false" ht="15" hidden="false" customHeight="true" outlineLevel="0" collapsed="false">
      <c r="A8642" s="0" t="n">
        <v>2</v>
      </c>
      <c r="B8642" s="71" t="n">
        <v>46280</v>
      </c>
      <c r="C8642" s="0" t="n">
        <v>11</v>
      </c>
      <c r="D8642" s="0" t="s">
        <v>2471</v>
      </c>
      <c r="E8642" s="0" t="n">
        <v>10033</v>
      </c>
      <c r="F8642" s="0" t="s">
        <v>668</v>
      </c>
      <c r="I8642" s="0" t="n">
        <v>107635</v>
      </c>
      <c r="J8642" s="0" t="n">
        <v>36337</v>
      </c>
      <c r="K8642" s="0" t="n">
        <v>7898633380575</v>
      </c>
      <c r="L8642" s="0" t="s">
        <v>3236</v>
      </c>
      <c r="N8642" s="0" t="n">
        <v>72</v>
      </c>
      <c r="O8642" s="0" t="n">
        <v>198.72</v>
      </c>
      <c r="P8642" s="0" t="s">
        <v>2444</v>
      </c>
    </row>
    <row r="8643" customFormat="false" ht="15" hidden="false" customHeight="true" outlineLevel="0" collapsed="false">
      <c r="A8643" s="0" t="n">
        <v>2</v>
      </c>
      <c r="B8643" s="71" t="n">
        <v>46280</v>
      </c>
      <c r="C8643" s="0" t="n">
        <v>11</v>
      </c>
      <c r="D8643" s="0" t="s">
        <v>2471</v>
      </c>
      <c r="E8643" s="0" t="n">
        <v>1667</v>
      </c>
      <c r="F8643" s="0" t="s">
        <v>77</v>
      </c>
      <c r="I8643" s="0" t="n">
        <v>400026</v>
      </c>
      <c r="J8643" s="0" t="n">
        <v>101932</v>
      </c>
      <c r="K8643" s="0" t="n">
        <v>7891000582107</v>
      </c>
      <c r="L8643" s="0" t="s">
        <v>3124</v>
      </c>
      <c r="N8643" s="0" t="n">
        <v>24</v>
      </c>
      <c r="O8643" s="0" t="n">
        <v>148.56</v>
      </c>
      <c r="P8643" s="0" t="s">
        <v>2444</v>
      </c>
    </row>
    <row r="8644" customFormat="false" ht="15" hidden="false" customHeight="true" outlineLevel="0" collapsed="false">
      <c r="A8644" s="0" t="n">
        <v>2</v>
      </c>
      <c r="B8644" s="71" t="n">
        <v>46280</v>
      </c>
      <c r="C8644" s="0" t="n">
        <v>11</v>
      </c>
      <c r="D8644" s="0" t="s">
        <v>2471</v>
      </c>
      <c r="E8644" s="0" t="n">
        <v>1667</v>
      </c>
      <c r="F8644" s="0" t="s">
        <v>77</v>
      </c>
      <c r="I8644" s="0" t="n">
        <v>400026</v>
      </c>
      <c r="J8644" s="0" t="n">
        <v>25807</v>
      </c>
      <c r="K8644" s="0" t="n">
        <v>7896256600780</v>
      </c>
      <c r="L8644" s="0" t="s">
        <v>3006</v>
      </c>
      <c r="N8644" s="0" t="n">
        <v>54</v>
      </c>
      <c r="O8644" s="0" t="n">
        <v>156.06</v>
      </c>
      <c r="P8644" s="0" t="s">
        <v>2444</v>
      </c>
    </row>
    <row r="8645" customFormat="false" ht="15" hidden="false" customHeight="true" outlineLevel="0" collapsed="false">
      <c r="A8645" s="0" t="n">
        <v>2</v>
      </c>
      <c r="B8645" s="71" t="n">
        <v>46280</v>
      </c>
      <c r="C8645" s="0" t="n">
        <v>11</v>
      </c>
      <c r="D8645" s="0" t="s">
        <v>2471</v>
      </c>
      <c r="E8645" s="0" t="n">
        <v>1667</v>
      </c>
      <c r="F8645" s="0" t="s">
        <v>77</v>
      </c>
      <c r="I8645" s="0" t="n">
        <v>400026</v>
      </c>
      <c r="J8645" s="0" t="n">
        <v>29491</v>
      </c>
      <c r="K8645" s="0" t="n">
        <v>7896256604962</v>
      </c>
      <c r="L8645" s="0" t="s">
        <v>3007</v>
      </c>
      <c r="N8645" s="0" t="n">
        <v>54</v>
      </c>
      <c r="O8645" s="0" t="n">
        <v>296.46</v>
      </c>
      <c r="P8645" s="0" t="s">
        <v>2444</v>
      </c>
    </row>
    <row r="8646" customFormat="false" ht="15" hidden="false" customHeight="true" outlineLevel="0" collapsed="false">
      <c r="A8646" s="0" t="n">
        <v>2</v>
      </c>
      <c r="B8646" s="71" t="n">
        <v>46280</v>
      </c>
      <c r="C8646" s="0" t="n">
        <v>11</v>
      </c>
      <c r="D8646" s="0" t="s">
        <v>2471</v>
      </c>
      <c r="E8646" s="0" t="n">
        <v>1667</v>
      </c>
      <c r="F8646" s="0" t="s">
        <v>77</v>
      </c>
      <c r="I8646" s="0" t="n">
        <v>400026</v>
      </c>
      <c r="J8646" s="0" t="n">
        <v>31337</v>
      </c>
      <c r="K8646" s="0" t="n">
        <v>7896256603743</v>
      </c>
      <c r="L8646" s="0" t="s">
        <v>5414</v>
      </c>
      <c r="N8646" s="0" t="n">
        <v>25</v>
      </c>
      <c r="O8646" s="0" t="n">
        <v>324.75</v>
      </c>
      <c r="P8646" s="0" t="s">
        <v>2444</v>
      </c>
    </row>
    <row r="8647" customFormat="false" ht="15" hidden="false" customHeight="true" outlineLevel="0" collapsed="false">
      <c r="A8647" s="0" t="n">
        <v>2</v>
      </c>
      <c r="B8647" s="71" t="n">
        <v>46280</v>
      </c>
      <c r="C8647" s="0" t="n">
        <v>11</v>
      </c>
      <c r="D8647" s="0" t="s">
        <v>2471</v>
      </c>
      <c r="E8647" s="0" t="n">
        <v>1667</v>
      </c>
      <c r="F8647" s="0" t="s">
        <v>77</v>
      </c>
      <c r="I8647" s="0" t="n">
        <v>400026</v>
      </c>
      <c r="J8647" s="0" t="n">
        <v>41734</v>
      </c>
      <c r="K8647" s="0" t="n">
        <v>7898330152000</v>
      </c>
      <c r="L8647" s="0" t="s">
        <v>5415</v>
      </c>
      <c r="N8647" s="0" t="n">
        <v>20</v>
      </c>
      <c r="O8647" s="0" t="n">
        <v>64.87</v>
      </c>
      <c r="P8647" s="0" t="s">
        <v>2444</v>
      </c>
    </row>
    <row r="8648" customFormat="false" ht="15" hidden="false" customHeight="true" outlineLevel="0" collapsed="false">
      <c r="A8648" s="0" t="n">
        <v>2</v>
      </c>
      <c r="B8648" s="71" t="n">
        <v>46280</v>
      </c>
      <c r="C8648" s="0" t="n">
        <v>11</v>
      </c>
      <c r="D8648" s="0" t="s">
        <v>2471</v>
      </c>
      <c r="E8648" s="0" t="n">
        <v>1667</v>
      </c>
      <c r="F8648" s="0" t="s">
        <v>77</v>
      </c>
      <c r="I8648" s="0" t="n">
        <v>400026</v>
      </c>
      <c r="J8648" s="0" t="n">
        <v>45670</v>
      </c>
      <c r="K8648" s="0" t="n">
        <v>7898330151997</v>
      </c>
      <c r="L8648" s="0" t="s">
        <v>5416</v>
      </c>
      <c r="N8648" s="0" t="n">
        <v>20</v>
      </c>
      <c r="O8648" s="0" t="n">
        <v>62.53</v>
      </c>
      <c r="P8648" s="0" t="s">
        <v>2444</v>
      </c>
    </row>
    <row r="8649" customFormat="false" ht="15" hidden="false" customHeight="true" outlineLevel="0" collapsed="false">
      <c r="A8649" s="0" t="n">
        <v>2</v>
      </c>
      <c r="B8649" s="71" t="n">
        <v>46280</v>
      </c>
      <c r="C8649" s="0" t="n">
        <v>11</v>
      </c>
      <c r="D8649" s="0" t="s">
        <v>2471</v>
      </c>
      <c r="E8649" s="0" t="n">
        <v>1667</v>
      </c>
      <c r="F8649" s="0" t="s">
        <v>77</v>
      </c>
      <c r="I8649" s="0" t="n">
        <v>400026</v>
      </c>
      <c r="J8649" s="0" t="n">
        <v>47560</v>
      </c>
      <c r="K8649" s="0" t="n">
        <v>7891000319505</v>
      </c>
      <c r="L8649" s="0" t="s">
        <v>3755</v>
      </c>
      <c r="N8649" s="0" t="n">
        <v>84</v>
      </c>
      <c r="O8649" s="0" t="n">
        <v>414.96</v>
      </c>
      <c r="P8649" s="0" t="s">
        <v>2444</v>
      </c>
    </row>
    <row r="8650" customFormat="false" ht="15" hidden="false" customHeight="true" outlineLevel="0" collapsed="false">
      <c r="A8650" s="0" t="n">
        <v>2</v>
      </c>
      <c r="B8650" s="71" t="n">
        <v>46280</v>
      </c>
      <c r="C8650" s="0" t="n">
        <v>11</v>
      </c>
      <c r="D8650" s="0" t="s">
        <v>2471</v>
      </c>
      <c r="E8650" s="0" t="n">
        <v>1667</v>
      </c>
      <c r="F8650" s="0" t="s">
        <v>77</v>
      </c>
      <c r="I8650" s="0" t="n">
        <v>400026</v>
      </c>
      <c r="J8650" s="0" t="n">
        <v>47563</v>
      </c>
      <c r="K8650" s="0" t="n">
        <v>7891000319543</v>
      </c>
      <c r="L8650" s="0" t="s">
        <v>3756</v>
      </c>
      <c r="N8650" s="0" t="n">
        <v>72</v>
      </c>
      <c r="O8650" s="0" t="n">
        <v>355.68</v>
      </c>
      <c r="P8650" s="0" t="s">
        <v>2444</v>
      </c>
    </row>
    <row r="8651" customFormat="false" ht="15" hidden="false" customHeight="true" outlineLevel="0" collapsed="false">
      <c r="A8651" s="0" t="n">
        <v>2</v>
      </c>
      <c r="B8651" s="71" t="n">
        <v>46280</v>
      </c>
      <c r="C8651" s="0" t="n">
        <v>11</v>
      </c>
      <c r="D8651" s="0" t="s">
        <v>2471</v>
      </c>
      <c r="E8651" s="0" t="n">
        <v>1667</v>
      </c>
      <c r="F8651" s="0" t="s">
        <v>77</v>
      </c>
      <c r="I8651" s="0" t="n">
        <v>400026</v>
      </c>
      <c r="J8651" s="0" t="n">
        <v>47564</v>
      </c>
      <c r="K8651" s="0" t="n">
        <v>7891000319628</v>
      </c>
      <c r="L8651" s="0" t="s">
        <v>3757</v>
      </c>
      <c r="N8651" s="0" t="n">
        <v>36</v>
      </c>
      <c r="O8651" s="0" t="n">
        <v>177.84</v>
      </c>
      <c r="P8651" s="0" t="s">
        <v>2444</v>
      </c>
    </row>
    <row r="8652" customFormat="false" ht="15" hidden="false" customHeight="true" outlineLevel="0" collapsed="false">
      <c r="A8652" s="0" t="n">
        <v>2</v>
      </c>
      <c r="B8652" s="71" t="n">
        <v>46280</v>
      </c>
      <c r="C8652" s="0" t="n">
        <v>11</v>
      </c>
      <c r="D8652" s="0" t="s">
        <v>2471</v>
      </c>
      <c r="E8652" s="0" t="n">
        <v>1667</v>
      </c>
      <c r="F8652" s="0" t="s">
        <v>77</v>
      </c>
      <c r="I8652" s="0" t="n">
        <v>400026</v>
      </c>
      <c r="J8652" s="0" t="n">
        <v>57381</v>
      </c>
      <c r="K8652" s="0" t="n">
        <v>7896016441417</v>
      </c>
      <c r="L8652" s="0" t="s">
        <v>3011</v>
      </c>
      <c r="N8652" s="0" t="n">
        <v>24</v>
      </c>
      <c r="O8652" s="0" t="n">
        <v>103.05</v>
      </c>
      <c r="P8652" s="0" t="s">
        <v>2444</v>
      </c>
    </row>
    <row r="8653" customFormat="false" ht="15" hidden="false" customHeight="true" outlineLevel="0" collapsed="false">
      <c r="A8653" s="0" t="n">
        <v>2</v>
      </c>
      <c r="B8653" s="71" t="n">
        <v>46280</v>
      </c>
      <c r="C8653" s="0" t="n">
        <v>11</v>
      </c>
      <c r="D8653" s="0" t="s">
        <v>2471</v>
      </c>
      <c r="E8653" s="0" t="n">
        <v>1667</v>
      </c>
      <c r="F8653" s="0" t="s">
        <v>77</v>
      </c>
      <c r="I8653" s="0" t="n">
        <v>400026</v>
      </c>
      <c r="J8653" s="0" t="n">
        <v>59767</v>
      </c>
      <c r="K8653" s="0" t="n">
        <v>7898330152550</v>
      </c>
      <c r="L8653" s="0" t="s">
        <v>5417</v>
      </c>
      <c r="N8653" s="0" t="n">
        <v>10</v>
      </c>
      <c r="O8653" s="0" t="n">
        <v>75.67</v>
      </c>
      <c r="P8653" s="0" t="s">
        <v>2444</v>
      </c>
    </row>
    <row r="8654" customFormat="false" ht="15" hidden="false" customHeight="true" outlineLevel="0" collapsed="false">
      <c r="A8654" s="0" t="n">
        <v>2</v>
      </c>
      <c r="B8654" s="71" t="n">
        <v>46280</v>
      </c>
      <c r="C8654" s="0" t="n">
        <v>11</v>
      </c>
      <c r="D8654" s="0" t="s">
        <v>2471</v>
      </c>
      <c r="E8654" s="0" t="n">
        <v>1666</v>
      </c>
      <c r="F8654" s="0" t="s">
        <v>266</v>
      </c>
      <c r="I8654" s="0" t="n">
        <v>573768</v>
      </c>
      <c r="J8654" s="0" t="n">
        <v>24990</v>
      </c>
      <c r="K8654" s="0" t="n">
        <v>78935761</v>
      </c>
      <c r="L8654" s="0" t="s">
        <v>2746</v>
      </c>
      <c r="N8654" s="0" t="n">
        <v>130</v>
      </c>
      <c r="O8654" s="0" t="n">
        <v>2202.23</v>
      </c>
      <c r="P8654" s="0" t="s">
        <v>2444</v>
      </c>
    </row>
    <row r="8655" customFormat="false" ht="15" hidden="false" customHeight="true" outlineLevel="0" collapsed="false">
      <c r="A8655" s="0" t="n">
        <v>2</v>
      </c>
      <c r="B8655" s="71" t="n">
        <v>46280</v>
      </c>
      <c r="C8655" s="0" t="n">
        <v>11</v>
      </c>
      <c r="D8655" s="0" t="s">
        <v>2471</v>
      </c>
      <c r="E8655" s="0" t="n">
        <v>1666</v>
      </c>
      <c r="F8655" s="0" t="s">
        <v>266</v>
      </c>
      <c r="I8655" s="0" t="n">
        <v>573768</v>
      </c>
      <c r="J8655" s="0" t="n">
        <v>40750</v>
      </c>
      <c r="K8655" s="0" t="n">
        <v>78943032</v>
      </c>
      <c r="L8655" s="0" t="s">
        <v>2751</v>
      </c>
      <c r="N8655" s="0" t="n">
        <v>40</v>
      </c>
      <c r="O8655" s="0" t="n">
        <v>639.97</v>
      </c>
      <c r="P8655" s="0" t="s">
        <v>2444</v>
      </c>
    </row>
    <row r="8656" customFormat="false" ht="15" hidden="false" customHeight="true" outlineLevel="0" collapsed="false">
      <c r="A8656" s="0" t="n">
        <v>2</v>
      </c>
      <c r="B8656" s="71" t="n">
        <v>46280</v>
      </c>
      <c r="C8656" s="0" t="n">
        <v>11</v>
      </c>
      <c r="D8656" s="0" t="s">
        <v>2471</v>
      </c>
      <c r="E8656" s="0" t="n">
        <v>1666</v>
      </c>
      <c r="F8656" s="0" t="s">
        <v>266</v>
      </c>
      <c r="I8656" s="0" t="n">
        <v>573768</v>
      </c>
      <c r="J8656" s="0" t="n">
        <v>67177</v>
      </c>
      <c r="K8656" s="0" t="n">
        <v>78944466</v>
      </c>
      <c r="L8656" s="0" t="s">
        <v>2757</v>
      </c>
      <c r="N8656" s="0" t="n">
        <v>200</v>
      </c>
      <c r="O8656" s="0" t="n">
        <v>2635.16</v>
      </c>
      <c r="P8656" s="0" t="s">
        <v>2444</v>
      </c>
    </row>
    <row r="8657" customFormat="false" ht="15" hidden="false" customHeight="true" outlineLevel="0" collapsed="false">
      <c r="A8657" s="0" t="n">
        <v>2</v>
      </c>
      <c r="B8657" s="71" t="n">
        <v>46280</v>
      </c>
      <c r="C8657" s="0" t="n">
        <v>11</v>
      </c>
      <c r="D8657" s="0" t="s">
        <v>2471</v>
      </c>
      <c r="E8657" s="0" t="n">
        <v>1666</v>
      </c>
      <c r="F8657" s="0" t="s">
        <v>266</v>
      </c>
      <c r="I8657" s="0" t="n">
        <v>573768</v>
      </c>
      <c r="J8657" s="0" t="n">
        <v>67622</v>
      </c>
      <c r="K8657" s="0" t="n">
        <v>78944503</v>
      </c>
      <c r="L8657" s="0" t="s">
        <v>2758</v>
      </c>
      <c r="N8657" s="0" t="n">
        <v>20</v>
      </c>
      <c r="O8657" s="0" t="n">
        <v>244.69</v>
      </c>
      <c r="P8657" s="0" t="s">
        <v>2444</v>
      </c>
    </row>
    <row r="8658" customFormat="false" ht="15" hidden="false" customHeight="true" outlineLevel="0" collapsed="false">
      <c r="A8658" s="0" t="n">
        <v>2</v>
      </c>
      <c r="B8658" s="71" t="n">
        <v>46280</v>
      </c>
      <c r="C8658" s="0" t="n">
        <v>11</v>
      </c>
      <c r="D8658" s="0" t="s">
        <v>2471</v>
      </c>
      <c r="E8658" s="0" t="n">
        <v>1666</v>
      </c>
      <c r="F8658" s="0" t="s">
        <v>266</v>
      </c>
      <c r="I8658" s="0" t="n">
        <v>573768</v>
      </c>
      <c r="J8658" s="0" t="n">
        <v>77084</v>
      </c>
      <c r="K8658" s="0" t="n">
        <v>78947535</v>
      </c>
      <c r="L8658" s="0" t="s">
        <v>2760</v>
      </c>
      <c r="N8658" s="0" t="n">
        <v>60</v>
      </c>
      <c r="O8658" s="0" t="n">
        <v>1044.65</v>
      </c>
      <c r="P8658" s="0" t="s">
        <v>2444</v>
      </c>
    </row>
    <row r="8659" customFormat="false" ht="15" hidden="false" customHeight="true" outlineLevel="0" collapsed="false">
      <c r="A8659" s="0" t="n">
        <v>2</v>
      </c>
      <c r="B8659" s="71" t="n">
        <v>46280</v>
      </c>
      <c r="C8659" s="0" t="n">
        <v>11</v>
      </c>
      <c r="D8659" s="0" t="s">
        <v>2471</v>
      </c>
      <c r="E8659" s="0" t="n">
        <v>1666</v>
      </c>
      <c r="F8659" s="0" t="s">
        <v>266</v>
      </c>
      <c r="I8659" s="0" t="n">
        <v>573768</v>
      </c>
      <c r="J8659" s="0" t="n">
        <v>78026</v>
      </c>
      <c r="K8659" s="0" t="n">
        <v>78947504</v>
      </c>
      <c r="L8659" s="0" t="s">
        <v>2761</v>
      </c>
      <c r="N8659" s="0" t="n">
        <v>90</v>
      </c>
      <c r="O8659" s="0" t="n">
        <v>1355.22</v>
      </c>
      <c r="P8659" s="0" t="s">
        <v>2444</v>
      </c>
    </row>
    <row r="8660" customFormat="false" ht="15" hidden="false" customHeight="true" outlineLevel="0" collapsed="false">
      <c r="A8660" s="0" t="n">
        <v>2</v>
      </c>
      <c r="B8660" s="71" t="n">
        <v>46280</v>
      </c>
      <c r="C8660" s="0" t="n">
        <v>11</v>
      </c>
      <c r="D8660" s="0" t="s">
        <v>2471</v>
      </c>
      <c r="E8660" s="0" t="n">
        <v>1666</v>
      </c>
      <c r="F8660" s="0" t="s">
        <v>266</v>
      </c>
      <c r="I8660" s="0" t="n">
        <v>573768</v>
      </c>
      <c r="J8660" s="0" t="n">
        <v>81691</v>
      </c>
      <c r="K8660" s="0" t="n">
        <v>78947610</v>
      </c>
      <c r="L8660" s="0" t="s">
        <v>4053</v>
      </c>
      <c r="N8660" s="0" t="n">
        <v>30</v>
      </c>
      <c r="O8660" s="0" t="n">
        <v>310.57</v>
      </c>
      <c r="P8660" s="0" t="s">
        <v>2444</v>
      </c>
    </row>
    <row r="8661" customFormat="false" ht="15" hidden="false" customHeight="true" outlineLevel="0" collapsed="false">
      <c r="A8661" s="0" t="n">
        <v>2</v>
      </c>
      <c r="B8661" s="71" t="n">
        <v>46281</v>
      </c>
      <c r="C8661" s="0" t="n">
        <v>6</v>
      </c>
      <c r="D8661" s="0" t="s">
        <v>2553</v>
      </c>
      <c r="E8661" s="0" t="n">
        <v>48</v>
      </c>
      <c r="F8661" s="0" t="s">
        <v>153</v>
      </c>
      <c r="I8661" s="0" t="n">
        <v>2678</v>
      </c>
      <c r="J8661" s="0" t="n">
        <v>42564</v>
      </c>
      <c r="K8661" s="0" t="n">
        <v>574</v>
      </c>
      <c r="L8661" s="0" t="s">
        <v>2534</v>
      </c>
      <c r="N8661" s="0" t="n">
        <v>20</v>
      </c>
      <c r="O8661" s="0" t="n">
        <v>300</v>
      </c>
      <c r="P8661" s="0" t="s">
        <v>2444</v>
      </c>
    </row>
    <row r="8662" customFormat="false" ht="15" hidden="false" customHeight="true" outlineLevel="0" collapsed="false">
      <c r="A8662" s="0" t="n">
        <v>2</v>
      </c>
      <c r="B8662" s="71" t="n">
        <v>46281</v>
      </c>
      <c r="C8662" s="0" t="n">
        <v>11</v>
      </c>
      <c r="D8662" s="0" t="s">
        <v>2471</v>
      </c>
      <c r="E8662" s="0" t="n">
        <v>1363</v>
      </c>
      <c r="F8662" s="0" t="s">
        <v>174</v>
      </c>
      <c r="I8662" s="0" t="n">
        <v>3941</v>
      </c>
      <c r="J8662" s="0" t="n">
        <v>73511</v>
      </c>
      <c r="K8662" s="0" t="n">
        <v>609963171019</v>
      </c>
      <c r="L8662" s="0" t="s">
        <v>2585</v>
      </c>
      <c r="N8662" s="0" t="n">
        <v>2</v>
      </c>
      <c r="O8662" s="0" t="n">
        <v>12</v>
      </c>
      <c r="P8662" s="0" t="s">
        <v>2444</v>
      </c>
    </row>
    <row r="8663" customFormat="false" ht="15" hidden="false" customHeight="true" outlineLevel="0" collapsed="false">
      <c r="A8663" s="0" t="n">
        <v>2</v>
      </c>
      <c r="B8663" s="71" t="n">
        <v>46281</v>
      </c>
      <c r="C8663" s="0" t="n">
        <v>11</v>
      </c>
      <c r="D8663" s="0" t="s">
        <v>2471</v>
      </c>
      <c r="E8663" s="0" t="n">
        <v>1363</v>
      </c>
      <c r="F8663" s="0" t="s">
        <v>174</v>
      </c>
      <c r="I8663" s="0" t="n">
        <v>3941</v>
      </c>
      <c r="J8663" s="0" t="n">
        <v>65494</v>
      </c>
      <c r="K8663" s="0" t="n">
        <v>618231677535</v>
      </c>
      <c r="L8663" s="0" t="s">
        <v>2587</v>
      </c>
      <c r="N8663" s="0" t="n">
        <v>15</v>
      </c>
      <c r="O8663" s="0" t="n">
        <v>90</v>
      </c>
      <c r="P8663" s="0" t="s">
        <v>2444</v>
      </c>
    </row>
    <row r="8664" customFormat="false" ht="15" hidden="false" customHeight="true" outlineLevel="0" collapsed="false">
      <c r="A8664" s="0" t="n">
        <v>2</v>
      </c>
      <c r="B8664" s="71" t="n">
        <v>46281</v>
      </c>
      <c r="C8664" s="0" t="n">
        <v>11</v>
      </c>
      <c r="D8664" s="0" t="s">
        <v>2471</v>
      </c>
      <c r="E8664" s="0" t="n">
        <v>1363</v>
      </c>
      <c r="F8664" s="0" t="s">
        <v>174</v>
      </c>
      <c r="I8664" s="0" t="n">
        <v>3941</v>
      </c>
      <c r="J8664" s="0" t="n">
        <v>65496</v>
      </c>
      <c r="K8664" s="0" t="n">
        <v>618231677528</v>
      </c>
      <c r="L8664" s="0" t="s">
        <v>2588</v>
      </c>
      <c r="N8664" s="0" t="n">
        <v>2</v>
      </c>
      <c r="O8664" s="0" t="n">
        <v>12</v>
      </c>
      <c r="P8664" s="0" t="s">
        <v>2444</v>
      </c>
    </row>
    <row r="8665" customFormat="false" ht="15" hidden="false" customHeight="true" outlineLevel="0" collapsed="false">
      <c r="A8665" s="0" t="n">
        <v>2</v>
      </c>
      <c r="B8665" s="71" t="n">
        <v>46281</v>
      </c>
      <c r="C8665" s="0" t="n">
        <v>11</v>
      </c>
      <c r="D8665" s="0" t="s">
        <v>2471</v>
      </c>
      <c r="E8665" s="0" t="n">
        <v>1363</v>
      </c>
      <c r="F8665" s="0" t="s">
        <v>174</v>
      </c>
      <c r="I8665" s="0" t="n">
        <v>3941</v>
      </c>
      <c r="J8665" s="0" t="n">
        <v>65621</v>
      </c>
      <c r="K8665" s="0" t="n">
        <v>618231677504</v>
      </c>
      <c r="L8665" s="0" t="s">
        <v>2589</v>
      </c>
      <c r="N8665" s="0" t="n">
        <v>2</v>
      </c>
      <c r="O8665" s="0" t="n">
        <v>14</v>
      </c>
      <c r="P8665" s="0" t="s">
        <v>2444</v>
      </c>
    </row>
    <row r="8666" customFormat="false" ht="15" hidden="false" customHeight="true" outlineLevel="0" collapsed="false">
      <c r="A8666" s="0" t="n">
        <v>2</v>
      </c>
      <c r="B8666" s="71" t="n">
        <v>46281</v>
      </c>
      <c r="C8666" s="0" t="n">
        <v>11</v>
      </c>
      <c r="D8666" s="0" t="s">
        <v>2471</v>
      </c>
      <c r="E8666" s="0" t="n">
        <v>1664</v>
      </c>
      <c r="F8666" s="0" t="s">
        <v>825</v>
      </c>
      <c r="I8666" s="0" t="n">
        <v>81837</v>
      </c>
      <c r="J8666" s="0" t="n">
        <v>30574</v>
      </c>
      <c r="K8666" s="0" t="n">
        <v>7898080662668</v>
      </c>
      <c r="L8666" s="0" t="s">
        <v>5418</v>
      </c>
      <c r="N8666" s="0" t="n">
        <v>6</v>
      </c>
      <c r="O8666" s="0" t="n">
        <v>81.54</v>
      </c>
      <c r="P8666" s="0" t="s">
        <v>2444</v>
      </c>
    </row>
    <row r="8667" customFormat="false" ht="15" hidden="false" customHeight="true" outlineLevel="0" collapsed="false">
      <c r="A8667" s="0" t="n">
        <v>2</v>
      </c>
      <c r="B8667" s="71" t="n">
        <v>46281</v>
      </c>
      <c r="C8667" s="0" t="n">
        <v>11</v>
      </c>
      <c r="D8667" s="0" t="s">
        <v>2471</v>
      </c>
      <c r="E8667" s="0" t="n">
        <v>1664</v>
      </c>
      <c r="F8667" s="0" t="s">
        <v>825</v>
      </c>
      <c r="I8667" s="0" t="n">
        <v>81837</v>
      </c>
      <c r="J8667" s="0" t="n">
        <v>44180</v>
      </c>
      <c r="K8667" s="0" t="n">
        <v>7898080663733</v>
      </c>
      <c r="L8667" s="0" t="s">
        <v>5419</v>
      </c>
      <c r="N8667" s="0" t="n">
        <v>6</v>
      </c>
      <c r="O8667" s="0" t="n">
        <v>40.62</v>
      </c>
      <c r="P8667" s="0" t="s">
        <v>2444</v>
      </c>
    </row>
    <row r="8668" customFormat="false" ht="15" hidden="false" customHeight="true" outlineLevel="0" collapsed="false">
      <c r="A8668" s="0" t="n">
        <v>2</v>
      </c>
      <c r="B8668" s="71" t="n">
        <v>46281</v>
      </c>
      <c r="C8668" s="0" t="n">
        <v>11</v>
      </c>
      <c r="D8668" s="0" t="s">
        <v>2471</v>
      </c>
      <c r="E8668" s="0" t="n">
        <v>1664</v>
      </c>
      <c r="F8668" s="0" t="s">
        <v>825</v>
      </c>
      <c r="I8668" s="0" t="n">
        <v>81837</v>
      </c>
      <c r="J8668" s="0" t="n">
        <v>47394</v>
      </c>
      <c r="K8668" s="0" t="n">
        <v>7898080664846</v>
      </c>
      <c r="L8668" s="0" t="s">
        <v>5420</v>
      </c>
      <c r="N8668" s="0" t="n">
        <v>6</v>
      </c>
      <c r="O8668" s="0" t="n">
        <v>40.62</v>
      </c>
      <c r="P8668" s="0" t="s">
        <v>2444</v>
      </c>
    </row>
    <row r="8669" customFormat="false" ht="15" hidden="false" customHeight="true" outlineLevel="0" collapsed="false">
      <c r="A8669" s="0" t="n">
        <v>2</v>
      </c>
      <c r="B8669" s="71" t="n">
        <v>46281</v>
      </c>
      <c r="C8669" s="0" t="n">
        <v>11</v>
      </c>
      <c r="D8669" s="0" t="s">
        <v>2471</v>
      </c>
      <c r="E8669" s="0" t="n">
        <v>1664</v>
      </c>
      <c r="F8669" s="0" t="s">
        <v>825</v>
      </c>
      <c r="I8669" s="0" t="n">
        <v>81837</v>
      </c>
      <c r="J8669" s="0" t="n">
        <v>47398</v>
      </c>
      <c r="K8669" s="0" t="n">
        <v>7898080664389</v>
      </c>
      <c r="L8669" s="0" t="s">
        <v>5421</v>
      </c>
      <c r="N8669" s="0" t="n">
        <v>6</v>
      </c>
      <c r="O8669" s="0" t="n">
        <v>81.54</v>
      </c>
      <c r="P8669" s="0" t="s">
        <v>2444</v>
      </c>
    </row>
    <row r="8670" customFormat="false" ht="15" hidden="false" customHeight="true" outlineLevel="0" collapsed="false">
      <c r="A8670" s="0" t="n">
        <v>2</v>
      </c>
      <c r="B8670" s="71" t="n">
        <v>46281</v>
      </c>
      <c r="C8670" s="0" t="n">
        <v>11</v>
      </c>
      <c r="D8670" s="0" t="s">
        <v>2471</v>
      </c>
      <c r="E8670" s="0" t="n">
        <v>1664</v>
      </c>
      <c r="F8670" s="0" t="s">
        <v>825</v>
      </c>
      <c r="I8670" s="0" t="n">
        <v>81837</v>
      </c>
      <c r="J8670" s="0" t="n">
        <v>53891</v>
      </c>
      <c r="K8670" s="0" t="n">
        <v>7898080665010</v>
      </c>
      <c r="L8670" s="0" t="s">
        <v>3769</v>
      </c>
      <c r="N8670" s="0" t="n">
        <v>6</v>
      </c>
      <c r="O8670" s="0" t="n">
        <v>81.54</v>
      </c>
      <c r="P8670" s="0" t="s">
        <v>2444</v>
      </c>
    </row>
    <row r="8671" customFormat="false" ht="15" hidden="false" customHeight="true" outlineLevel="0" collapsed="false">
      <c r="A8671" s="0" t="n">
        <v>2</v>
      </c>
      <c r="B8671" s="71" t="n">
        <v>46281</v>
      </c>
      <c r="C8671" s="0" t="n">
        <v>11</v>
      </c>
      <c r="D8671" s="0" t="s">
        <v>2471</v>
      </c>
      <c r="E8671" s="0" t="n">
        <v>1664</v>
      </c>
      <c r="F8671" s="0" t="s">
        <v>825</v>
      </c>
      <c r="I8671" s="0" t="n">
        <v>81837</v>
      </c>
      <c r="J8671" s="0" t="n">
        <v>58699</v>
      </c>
      <c r="K8671" s="0" t="n">
        <v>7898080664563</v>
      </c>
      <c r="L8671" s="0" t="s">
        <v>5422</v>
      </c>
      <c r="N8671" s="0" t="n">
        <v>6</v>
      </c>
      <c r="O8671" s="0" t="n">
        <v>81.54</v>
      </c>
      <c r="P8671" s="0" t="s">
        <v>2444</v>
      </c>
    </row>
    <row r="8672" customFormat="false" ht="15" hidden="false" customHeight="true" outlineLevel="0" collapsed="false">
      <c r="A8672" s="0" t="n">
        <v>2</v>
      </c>
      <c r="B8672" s="71" t="n">
        <v>46281</v>
      </c>
      <c r="C8672" s="0" t="n">
        <v>11</v>
      </c>
      <c r="D8672" s="0" t="s">
        <v>2471</v>
      </c>
      <c r="E8672" s="0" t="n">
        <v>1664</v>
      </c>
      <c r="F8672" s="0" t="s">
        <v>825</v>
      </c>
      <c r="I8672" s="0" t="n">
        <v>81837</v>
      </c>
      <c r="J8672" s="0" t="n">
        <v>81244</v>
      </c>
      <c r="K8672" s="0" t="n">
        <v>7898080666161</v>
      </c>
      <c r="L8672" s="0" t="s">
        <v>3770</v>
      </c>
      <c r="N8672" s="0" t="n">
        <v>6</v>
      </c>
      <c r="O8672" s="0" t="n">
        <v>81.54</v>
      </c>
      <c r="P8672" s="0" t="s">
        <v>2444</v>
      </c>
    </row>
    <row r="8673" customFormat="false" ht="15" hidden="false" customHeight="true" outlineLevel="0" collapsed="false">
      <c r="A8673" s="0" t="n">
        <v>2</v>
      </c>
      <c r="B8673" s="71" t="n">
        <v>46281</v>
      </c>
      <c r="C8673" s="0" t="n">
        <v>11</v>
      </c>
      <c r="D8673" s="0" t="s">
        <v>2471</v>
      </c>
      <c r="E8673" s="0" t="n">
        <v>1024</v>
      </c>
      <c r="F8673" s="0" t="s">
        <v>471</v>
      </c>
      <c r="I8673" s="0" t="n">
        <v>644000</v>
      </c>
      <c r="J8673" s="0" t="n">
        <v>60866</v>
      </c>
      <c r="K8673" s="0" t="n">
        <v>7898654710474</v>
      </c>
      <c r="L8673" s="0" t="s">
        <v>2793</v>
      </c>
      <c r="N8673" s="0" t="n">
        <v>90</v>
      </c>
      <c r="O8673" s="0" t="n">
        <v>240</v>
      </c>
      <c r="P8673" s="0" t="s">
        <v>2444</v>
      </c>
    </row>
    <row r="8674" customFormat="false" ht="15" hidden="false" customHeight="true" outlineLevel="0" collapsed="false">
      <c r="A8674" s="0" t="n">
        <v>2</v>
      </c>
      <c r="B8674" s="71" t="n">
        <v>46281</v>
      </c>
      <c r="C8674" s="0" t="n">
        <v>11</v>
      </c>
      <c r="D8674" s="0" t="s">
        <v>2471</v>
      </c>
      <c r="E8674" s="0" t="n">
        <v>1683</v>
      </c>
      <c r="F8674" s="0" t="s">
        <v>406</v>
      </c>
      <c r="I8674" s="0" t="n">
        <v>1681547</v>
      </c>
      <c r="J8674" s="0" t="n">
        <v>37359</v>
      </c>
      <c r="K8674" s="0" t="n">
        <v>55526</v>
      </c>
      <c r="L8674" s="0" t="s">
        <v>2466</v>
      </c>
      <c r="N8674" s="0" t="n">
        <v>10</v>
      </c>
      <c r="O8674" s="0" t="n">
        <v>50</v>
      </c>
      <c r="P8674" s="0" t="s">
        <v>2444</v>
      </c>
    </row>
    <row r="8675" customFormat="false" ht="15" hidden="false" customHeight="true" outlineLevel="0" collapsed="false">
      <c r="A8675" s="0" t="n">
        <v>2</v>
      </c>
      <c r="B8675" s="71" t="n">
        <v>46281</v>
      </c>
      <c r="C8675" s="0" t="n">
        <v>11</v>
      </c>
      <c r="D8675" s="0" t="s">
        <v>2471</v>
      </c>
      <c r="E8675" s="0" t="n">
        <v>1683</v>
      </c>
      <c r="F8675" s="0" t="s">
        <v>406</v>
      </c>
      <c r="I8675" s="0" t="n">
        <v>1681547</v>
      </c>
      <c r="J8675" s="0" t="n">
        <v>37361</v>
      </c>
      <c r="K8675" s="0" t="n">
        <v>2240817</v>
      </c>
      <c r="L8675" s="0" t="s">
        <v>2467</v>
      </c>
      <c r="N8675" s="0" t="n">
        <v>40</v>
      </c>
      <c r="O8675" s="0" t="n">
        <v>72</v>
      </c>
      <c r="P8675" s="0" t="s">
        <v>2444</v>
      </c>
    </row>
    <row r="8676" customFormat="false" ht="15" hidden="false" customHeight="true" outlineLevel="0" collapsed="false">
      <c r="A8676" s="0" t="n">
        <v>2</v>
      </c>
      <c r="B8676" s="71" t="n">
        <v>46281</v>
      </c>
      <c r="C8676" s="0" t="n">
        <v>171</v>
      </c>
      <c r="D8676" s="0" t="s">
        <v>3017</v>
      </c>
      <c r="E8676" s="0" t="n">
        <v>1664</v>
      </c>
      <c r="F8676" s="0" t="s">
        <v>825</v>
      </c>
      <c r="I8676" s="0" t="n">
        <v>81838</v>
      </c>
      <c r="J8676" s="0" t="n">
        <v>30574</v>
      </c>
      <c r="K8676" s="0" t="n">
        <v>7898080662668</v>
      </c>
      <c r="L8676" s="0" t="s">
        <v>5418</v>
      </c>
      <c r="N8676" s="0" t="n">
        <v>6</v>
      </c>
      <c r="O8676" s="0" t="n">
        <v>79.68</v>
      </c>
      <c r="P8676" s="0" t="s">
        <v>3019</v>
      </c>
    </row>
    <row r="8677" customFormat="false" ht="15" hidden="false" customHeight="true" outlineLevel="0" collapsed="false">
      <c r="A8677" s="0" t="n">
        <v>2</v>
      </c>
      <c r="B8677" s="71" t="n">
        <v>46281</v>
      </c>
      <c r="C8677" s="0" t="n">
        <v>171</v>
      </c>
      <c r="D8677" s="0" t="s">
        <v>3017</v>
      </c>
      <c r="E8677" s="0" t="n">
        <v>1664</v>
      </c>
      <c r="F8677" s="0" t="s">
        <v>825</v>
      </c>
      <c r="I8677" s="0" t="n">
        <v>81838</v>
      </c>
      <c r="J8677" s="0" t="n">
        <v>73961</v>
      </c>
      <c r="K8677" s="0" t="n">
        <v>7898080665379</v>
      </c>
      <c r="L8677" s="0" t="s">
        <v>5423</v>
      </c>
      <c r="N8677" s="0" t="n">
        <v>6</v>
      </c>
      <c r="O8677" s="0" t="n">
        <v>32.58</v>
      </c>
      <c r="P8677" s="0" t="s">
        <v>3019</v>
      </c>
    </row>
    <row r="8678" customFormat="false" ht="15" hidden="false" customHeight="true" outlineLevel="0" collapsed="false">
      <c r="A8678" s="0" t="n">
        <v>2</v>
      </c>
      <c r="B8678" s="71" t="n">
        <v>46282</v>
      </c>
      <c r="C8678" s="0" t="n">
        <v>11</v>
      </c>
      <c r="D8678" s="0" t="s">
        <v>2471</v>
      </c>
      <c r="E8678" s="0" t="n">
        <v>10096</v>
      </c>
      <c r="F8678" s="0" t="s">
        <v>622</v>
      </c>
      <c r="I8678" s="0" t="n">
        <v>304</v>
      </c>
      <c r="J8678" s="0" t="n">
        <v>61580</v>
      </c>
      <c r="K8678" s="0" t="n">
        <v>2258157</v>
      </c>
      <c r="L8678" s="0" t="s">
        <v>2509</v>
      </c>
      <c r="N8678" s="0" t="n">
        <v>15</v>
      </c>
      <c r="O8678" s="0" t="n">
        <v>180</v>
      </c>
      <c r="P8678" s="0" t="s">
        <v>2444</v>
      </c>
    </row>
    <row r="8679" customFormat="false" ht="15" hidden="false" customHeight="true" outlineLevel="0" collapsed="false">
      <c r="A8679" s="0" t="n">
        <v>2</v>
      </c>
      <c r="B8679" s="71" t="n">
        <v>46282</v>
      </c>
      <c r="C8679" s="0" t="n">
        <v>11</v>
      </c>
      <c r="D8679" s="0" t="s">
        <v>2471</v>
      </c>
      <c r="E8679" s="0" t="n">
        <v>10096</v>
      </c>
      <c r="F8679" s="0" t="s">
        <v>622</v>
      </c>
      <c r="I8679" s="0" t="n">
        <v>304</v>
      </c>
      <c r="J8679" s="0" t="n">
        <v>61597</v>
      </c>
      <c r="K8679" s="0" t="n">
        <v>2258188</v>
      </c>
      <c r="L8679" s="0" t="s">
        <v>2510</v>
      </c>
      <c r="N8679" s="0" t="n">
        <v>5</v>
      </c>
      <c r="O8679" s="0" t="n">
        <v>20</v>
      </c>
      <c r="P8679" s="0" t="s">
        <v>2444</v>
      </c>
    </row>
    <row r="8680" customFormat="false" ht="15" hidden="false" customHeight="true" outlineLevel="0" collapsed="false">
      <c r="A8680" s="0" t="n">
        <v>2</v>
      </c>
      <c r="B8680" s="71" t="n">
        <v>46282</v>
      </c>
      <c r="C8680" s="0" t="n">
        <v>11</v>
      </c>
      <c r="D8680" s="0" t="s">
        <v>2471</v>
      </c>
      <c r="E8680" s="0" t="n">
        <v>1899</v>
      </c>
      <c r="F8680" s="0" t="s">
        <v>204</v>
      </c>
      <c r="I8680" s="0" t="n">
        <v>807</v>
      </c>
      <c r="J8680" s="0" t="n">
        <v>44588</v>
      </c>
      <c r="K8680" s="0" t="n">
        <v>7898904331091</v>
      </c>
      <c r="L8680" s="0" t="s">
        <v>2443</v>
      </c>
      <c r="N8680" s="0" t="n">
        <v>5</v>
      </c>
      <c r="O8680" s="0" t="n">
        <v>24.95</v>
      </c>
      <c r="P8680" s="0" t="s">
        <v>2444</v>
      </c>
    </row>
    <row r="8681" customFormat="false" ht="15" hidden="false" customHeight="true" outlineLevel="0" collapsed="false">
      <c r="A8681" s="0" t="n">
        <v>2</v>
      </c>
      <c r="B8681" s="71" t="n">
        <v>46282</v>
      </c>
      <c r="C8681" s="0" t="n">
        <v>11</v>
      </c>
      <c r="D8681" s="0" t="s">
        <v>2471</v>
      </c>
      <c r="E8681" s="0" t="n">
        <v>1899</v>
      </c>
      <c r="F8681" s="0" t="s">
        <v>204</v>
      </c>
      <c r="I8681" s="0" t="n">
        <v>807</v>
      </c>
      <c r="J8681" s="0" t="n">
        <v>77463</v>
      </c>
      <c r="K8681" s="0" t="n">
        <v>774642</v>
      </c>
      <c r="L8681" s="0" t="s">
        <v>2445</v>
      </c>
      <c r="N8681" s="0" t="n">
        <v>20</v>
      </c>
      <c r="O8681" s="0" t="n">
        <v>90</v>
      </c>
      <c r="P8681" s="0" t="s">
        <v>2444</v>
      </c>
    </row>
    <row r="8682" customFormat="false" ht="15" hidden="false" customHeight="true" outlineLevel="0" collapsed="false">
      <c r="A8682" s="0" t="n">
        <v>2</v>
      </c>
      <c r="B8682" s="71" t="n">
        <v>46282</v>
      </c>
      <c r="C8682" s="0" t="n">
        <v>11</v>
      </c>
      <c r="D8682" s="0" t="s">
        <v>2471</v>
      </c>
      <c r="E8682" s="0" t="n">
        <v>1899</v>
      </c>
      <c r="F8682" s="0" t="s">
        <v>204</v>
      </c>
      <c r="I8682" s="0" t="n">
        <v>807</v>
      </c>
      <c r="J8682" s="0" t="n">
        <v>77903</v>
      </c>
      <c r="K8682" s="0" t="n">
        <v>779043</v>
      </c>
      <c r="L8682" s="0" t="s">
        <v>2945</v>
      </c>
      <c r="N8682" s="0" t="n">
        <v>5</v>
      </c>
      <c r="O8682" s="0" t="n">
        <v>22.5</v>
      </c>
      <c r="P8682" s="0" t="s">
        <v>2444</v>
      </c>
    </row>
    <row r="8683" customFormat="false" ht="15" hidden="false" customHeight="true" outlineLevel="0" collapsed="false">
      <c r="A8683" s="0" t="n">
        <v>2</v>
      </c>
      <c r="B8683" s="71" t="n">
        <v>46282</v>
      </c>
      <c r="C8683" s="0" t="n">
        <v>11</v>
      </c>
      <c r="D8683" s="0" t="s">
        <v>2471</v>
      </c>
      <c r="E8683" s="0" t="n">
        <v>1899</v>
      </c>
      <c r="F8683" s="0" t="s">
        <v>204</v>
      </c>
      <c r="I8683" s="0" t="n">
        <v>807</v>
      </c>
      <c r="J8683" s="0" t="n">
        <v>78013</v>
      </c>
      <c r="K8683" s="0" t="n">
        <v>780148</v>
      </c>
      <c r="L8683" s="0" t="s">
        <v>2584</v>
      </c>
      <c r="N8683" s="0" t="n">
        <v>5</v>
      </c>
      <c r="O8683" s="0" t="n">
        <v>22.5</v>
      </c>
      <c r="P8683" s="0" t="s">
        <v>2444</v>
      </c>
    </row>
    <row r="8684" customFormat="false" ht="15" hidden="false" customHeight="true" outlineLevel="0" collapsed="false">
      <c r="A8684" s="0" t="n">
        <v>2</v>
      </c>
      <c r="B8684" s="71" t="n">
        <v>46282</v>
      </c>
      <c r="C8684" s="0" t="n">
        <v>11</v>
      </c>
      <c r="D8684" s="0" t="s">
        <v>2471</v>
      </c>
      <c r="E8684" s="0" t="n">
        <v>581</v>
      </c>
      <c r="F8684" s="0" t="s">
        <v>147</v>
      </c>
      <c r="I8684" s="0" t="n">
        <v>32429</v>
      </c>
      <c r="J8684" s="0" t="n">
        <v>48008</v>
      </c>
      <c r="K8684" s="0" t="n">
        <v>798190027999</v>
      </c>
      <c r="L8684" s="0" t="s">
        <v>2579</v>
      </c>
      <c r="N8684" s="0" t="n">
        <v>20</v>
      </c>
      <c r="O8684" s="0" t="n">
        <v>130</v>
      </c>
      <c r="P8684" s="0" t="s">
        <v>2444</v>
      </c>
    </row>
    <row r="8685" customFormat="false" ht="15" hidden="false" customHeight="true" outlineLevel="0" collapsed="false">
      <c r="A8685" s="0" t="n">
        <v>2</v>
      </c>
      <c r="B8685" s="71" t="n">
        <v>46282</v>
      </c>
      <c r="C8685" s="0" t="n">
        <v>11</v>
      </c>
      <c r="D8685" s="0" t="s">
        <v>2471</v>
      </c>
      <c r="E8685" s="0" t="n">
        <v>581</v>
      </c>
      <c r="F8685" s="0" t="s">
        <v>147</v>
      </c>
      <c r="I8685" s="0" t="n">
        <v>32429</v>
      </c>
      <c r="J8685" s="0" t="n">
        <v>48009</v>
      </c>
      <c r="K8685" s="0" t="n">
        <v>798190028002</v>
      </c>
      <c r="L8685" s="0" t="s">
        <v>2580</v>
      </c>
      <c r="N8685" s="0" t="n">
        <v>20</v>
      </c>
      <c r="O8685" s="0" t="n">
        <v>69</v>
      </c>
      <c r="P8685" s="0" t="s">
        <v>2444</v>
      </c>
    </row>
    <row r="8686" customFormat="false" ht="15" hidden="false" customHeight="true" outlineLevel="0" collapsed="false">
      <c r="A8686" s="0" t="n">
        <v>2</v>
      </c>
      <c r="B8686" s="71" t="n">
        <v>46282</v>
      </c>
      <c r="C8686" s="0" t="n">
        <v>11</v>
      </c>
      <c r="D8686" s="0" t="s">
        <v>2471</v>
      </c>
      <c r="E8686" s="0" t="n">
        <v>10019</v>
      </c>
      <c r="F8686" s="0" t="s">
        <v>268</v>
      </c>
      <c r="I8686" s="0" t="n">
        <v>33639</v>
      </c>
      <c r="J8686" s="0" t="n">
        <v>100031</v>
      </c>
      <c r="K8686" s="0" t="n">
        <v>32</v>
      </c>
      <c r="L8686" s="0" t="s">
        <v>5255</v>
      </c>
      <c r="N8686" s="0" t="n">
        <v>47.94</v>
      </c>
      <c r="O8686" s="0" t="n">
        <v>670.68</v>
      </c>
      <c r="P8686" s="0" t="s">
        <v>2444</v>
      </c>
    </row>
    <row r="8687" customFormat="false" ht="15" hidden="false" customHeight="true" outlineLevel="0" collapsed="false">
      <c r="A8687" s="0" t="n">
        <v>2</v>
      </c>
      <c r="B8687" s="71" t="n">
        <v>46282</v>
      </c>
      <c r="C8687" s="0" t="n">
        <v>11</v>
      </c>
      <c r="D8687" s="0" t="s">
        <v>2471</v>
      </c>
      <c r="E8687" s="0" t="n">
        <v>10019</v>
      </c>
      <c r="F8687" s="0" t="s">
        <v>268</v>
      </c>
      <c r="I8687" s="0" t="n">
        <v>33639</v>
      </c>
      <c r="J8687" s="0" t="n">
        <v>110883</v>
      </c>
      <c r="K8687" s="0" t="n">
        <v>45</v>
      </c>
      <c r="L8687" s="0" t="s">
        <v>2637</v>
      </c>
      <c r="N8687" s="0" t="n">
        <v>43.34</v>
      </c>
      <c r="O8687" s="0" t="n">
        <v>606.32</v>
      </c>
      <c r="P8687" s="0" t="s">
        <v>2444</v>
      </c>
    </row>
    <row r="8688" customFormat="false" ht="15" hidden="false" customHeight="true" outlineLevel="0" collapsed="false">
      <c r="A8688" s="0" t="n">
        <v>2</v>
      </c>
      <c r="B8688" s="71" t="n">
        <v>46282</v>
      </c>
      <c r="C8688" s="0" t="n">
        <v>11</v>
      </c>
      <c r="D8688" s="0" t="s">
        <v>2471</v>
      </c>
      <c r="E8688" s="0" t="n">
        <v>1659</v>
      </c>
      <c r="F8688" s="0" t="s">
        <v>214</v>
      </c>
      <c r="I8688" s="0" t="n">
        <v>895938</v>
      </c>
      <c r="J8688" s="0" t="n">
        <v>70265</v>
      </c>
      <c r="K8688" s="0" t="n">
        <v>7896022205836</v>
      </c>
      <c r="L8688" s="0" t="s">
        <v>5424</v>
      </c>
      <c r="N8688" s="0" t="n">
        <v>40</v>
      </c>
      <c r="O8688" s="0" t="n">
        <v>153.14</v>
      </c>
      <c r="P8688" s="0" t="s">
        <v>2444</v>
      </c>
    </row>
    <row r="8689" customFormat="false" ht="15" hidden="false" customHeight="true" outlineLevel="0" collapsed="false">
      <c r="A8689" s="0" t="n">
        <v>2</v>
      </c>
      <c r="B8689" s="71" t="n">
        <v>46282</v>
      </c>
      <c r="C8689" s="0" t="n">
        <v>11</v>
      </c>
      <c r="D8689" s="0" t="s">
        <v>2471</v>
      </c>
      <c r="E8689" s="0" t="n">
        <v>1659</v>
      </c>
      <c r="F8689" s="0" t="s">
        <v>214</v>
      </c>
      <c r="I8689" s="0" t="n">
        <v>895938</v>
      </c>
      <c r="J8689" s="0" t="n">
        <v>101269</v>
      </c>
      <c r="K8689" s="0" t="n">
        <v>7896006400011</v>
      </c>
      <c r="L8689" s="0" t="s">
        <v>5425</v>
      </c>
      <c r="N8689" s="0" t="n">
        <v>50</v>
      </c>
      <c r="O8689" s="0" t="n">
        <v>93.62</v>
      </c>
      <c r="P8689" s="0" t="s">
        <v>2444</v>
      </c>
    </row>
    <row r="8690" customFormat="false" ht="15" hidden="false" customHeight="true" outlineLevel="0" collapsed="false">
      <c r="A8690" s="0" t="n">
        <v>2</v>
      </c>
      <c r="B8690" s="71" t="n">
        <v>46282</v>
      </c>
      <c r="C8690" s="0" t="n">
        <v>11</v>
      </c>
      <c r="D8690" s="0" t="s">
        <v>2471</v>
      </c>
      <c r="E8690" s="0" t="n">
        <v>1659</v>
      </c>
      <c r="F8690" s="0" t="s">
        <v>214</v>
      </c>
      <c r="I8690" s="0" t="n">
        <v>895938</v>
      </c>
      <c r="J8690" s="0" t="n">
        <v>103386</v>
      </c>
      <c r="K8690" s="0" t="n">
        <v>7896006413851</v>
      </c>
      <c r="L8690" s="0" t="s">
        <v>3103</v>
      </c>
      <c r="N8690" s="0" t="n">
        <v>36</v>
      </c>
      <c r="O8690" s="0" t="n">
        <v>129.81</v>
      </c>
      <c r="P8690" s="0" t="s">
        <v>2444</v>
      </c>
    </row>
    <row r="8691" customFormat="false" ht="15" hidden="false" customHeight="true" outlineLevel="0" collapsed="false">
      <c r="A8691" s="0" t="n">
        <v>2</v>
      </c>
      <c r="B8691" s="71" t="n">
        <v>46282</v>
      </c>
      <c r="C8691" s="0" t="n">
        <v>11</v>
      </c>
      <c r="D8691" s="0" t="s">
        <v>2471</v>
      </c>
      <c r="E8691" s="0" t="n">
        <v>1659</v>
      </c>
      <c r="F8691" s="0" t="s">
        <v>214</v>
      </c>
      <c r="I8691" s="0" t="n">
        <v>895938</v>
      </c>
      <c r="J8691" s="0" t="n">
        <v>105721</v>
      </c>
      <c r="K8691" s="0" t="n">
        <v>7896006420415</v>
      </c>
      <c r="L8691" s="0" t="s">
        <v>5426</v>
      </c>
      <c r="N8691" s="0" t="n">
        <v>30</v>
      </c>
      <c r="O8691" s="0" t="n">
        <v>79.99</v>
      </c>
      <c r="P8691" s="0" t="s">
        <v>2444</v>
      </c>
    </row>
    <row r="8692" customFormat="false" ht="15" hidden="false" customHeight="true" outlineLevel="0" collapsed="false">
      <c r="A8692" s="0" t="n">
        <v>2</v>
      </c>
      <c r="B8692" s="71" t="n">
        <v>46282</v>
      </c>
      <c r="C8692" s="0" t="n">
        <v>11</v>
      </c>
      <c r="D8692" s="0" t="s">
        <v>2471</v>
      </c>
      <c r="E8692" s="0" t="n">
        <v>1659</v>
      </c>
      <c r="F8692" s="0" t="s">
        <v>214</v>
      </c>
      <c r="I8692" s="0" t="n">
        <v>895938</v>
      </c>
      <c r="J8692" s="0" t="n">
        <v>31312</v>
      </c>
      <c r="K8692" s="0" t="n">
        <v>7891030300306</v>
      </c>
      <c r="L8692" s="0" t="s">
        <v>3119</v>
      </c>
      <c r="N8692" s="0" t="n">
        <v>162</v>
      </c>
      <c r="O8692" s="0" t="n">
        <v>293.04</v>
      </c>
      <c r="P8692" s="0" t="s">
        <v>2444</v>
      </c>
    </row>
    <row r="8693" customFormat="false" ht="15" hidden="false" customHeight="true" outlineLevel="0" collapsed="false">
      <c r="A8693" s="0" t="n">
        <v>2</v>
      </c>
      <c r="B8693" s="71" t="n">
        <v>46282</v>
      </c>
      <c r="C8693" s="0" t="n">
        <v>11</v>
      </c>
      <c r="D8693" s="0" t="s">
        <v>2471</v>
      </c>
      <c r="E8693" s="0" t="n">
        <v>1659</v>
      </c>
      <c r="F8693" s="0" t="s">
        <v>214</v>
      </c>
      <c r="I8693" s="0" t="n">
        <v>895938</v>
      </c>
      <c r="J8693" s="0" t="n">
        <v>36562</v>
      </c>
      <c r="K8693" s="0" t="n">
        <v>7896006420347</v>
      </c>
      <c r="L8693" s="0" t="s">
        <v>5427</v>
      </c>
      <c r="N8693" s="0" t="n">
        <v>18</v>
      </c>
      <c r="O8693" s="0" t="n">
        <v>200.67</v>
      </c>
      <c r="P8693" s="0" t="s">
        <v>2444</v>
      </c>
    </row>
    <row r="8694" customFormat="false" ht="15" hidden="false" customHeight="true" outlineLevel="0" collapsed="false">
      <c r="A8694" s="0" t="n">
        <v>2</v>
      </c>
      <c r="B8694" s="71" t="n">
        <v>46282</v>
      </c>
      <c r="C8694" s="0" t="n">
        <v>11</v>
      </c>
      <c r="D8694" s="0" t="s">
        <v>2471</v>
      </c>
      <c r="E8694" s="0" t="n">
        <v>1659</v>
      </c>
      <c r="F8694" s="0" t="s">
        <v>214</v>
      </c>
      <c r="I8694" s="0" t="n">
        <v>895938</v>
      </c>
      <c r="J8694" s="0" t="n">
        <v>45822</v>
      </c>
      <c r="K8694" s="0" t="n">
        <v>7898962794166</v>
      </c>
      <c r="L8694" s="0" t="s">
        <v>5428</v>
      </c>
      <c r="N8694" s="0" t="n">
        <v>6</v>
      </c>
      <c r="O8694" s="0" t="n">
        <v>119.3</v>
      </c>
      <c r="P8694" s="0" t="s">
        <v>2444</v>
      </c>
    </row>
    <row r="8695" customFormat="false" ht="15" hidden="false" customHeight="true" outlineLevel="0" collapsed="false">
      <c r="A8695" s="0" t="n">
        <v>2</v>
      </c>
      <c r="B8695" s="71" t="n">
        <v>46282</v>
      </c>
      <c r="C8695" s="0" t="n">
        <v>11</v>
      </c>
      <c r="D8695" s="0" t="s">
        <v>2471</v>
      </c>
      <c r="E8695" s="0" t="n">
        <v>1659</v>
      </c>
      <c r="F8695" s="0" t="s">
        <v>214</v>
      </c>
      <c r="I8695" s="0" t="n">
        <v>895938</v>
      </c>
      <c r="J8695" s="0" t="n">
        <v>46545</v>
      </c>
      <c r="K8695" s="0" t="n">
        <v>7898962794234</v>
      </c>
      <c r="L8695" s="0" t="s">
        <v>5429</v>
      </c>
      <c r="N8695" s="0" t="n">
        <v>48</v>
      </c>
      <c r="O8695" s="0" t="n">
        <v>103.72</v>
      </c>
      <c r="P8695" s="0" t="s">
        <v>2444</v>
      </c>
    </row>
    <row r="8696" customFormat="false" ht="15" hidden="false" customHeight="true" outlineLevel="0" collapsed="false">
      <c r="A8696" s="0" t="n">
        <v>2</v>
      </c>
      <c r="B8696" s="71" t="n">
        <v>46282</v>
      </c>
      <c r="C8696" s="0" t="n">
        <v>11</v>
      </c>
      <c r="D8696" s="0" t="s">
        <v>2471</v>
      </c>
      <c r="E8696" s="0" t="n">
        <v>1659</v>
      </c>
      <c r="F8696" s="0" t="s">
        <v>214</v>
      </c>
      <c r="I8696" s="0" t="n">
        <v>895938</v>
      </c>
      <c r="J8696" s="0" t="n">
        <v>66637</v>
      </c>
      <c r="K8696" s="0" t="n">
        <v>7896022206376</v>
      </c>
      <c r="L8696" s="0" t="s">
        <v>5430</v>
      </c>
      <c r="N8696" s="0" t="n">
        <v>72</v>
      </c>
      <c r="O8696" s="0" t="n">
        <v>109.18</v>
      </c>
      <c r="P8696" s="0" t="s">
        <v>2444</v>
      </c>
    </row>
    <row r="8697" customFormat="false" ht="15" hidden="false" customHeight="true" outlineLevel="0" collapsed="false">
      <c r="A8697" s="0" t="n">
        <v>2</v>
      </c>
      <c r="B8697" s="71" t="n">
        <v>46282</v>
      </c>
      <c r="C8697" s="0" t="n">
        <v>11</v>
      </c>
      <c r="D8697" s="0" t="s">
        <v>2471</v>
      </c>
      <c r="E8697" s="0" t="n">
        <v>1659</v>
      </c>
      <c r="F8697" s="0" t="s">
        <v>214</v>
      </c>
      <c r="I8697" s="0" t="n">
        <v>895938</v>
      </c>
      <c r="J8697" s="0" t="n">
        <v>67534</v>
      </c>
      <c r="K8697" s="0" t="n">
        <v>7896022206826</v>
      </c>
      <c r="L8697" s="0" t="s">
        <v>5430</v>
      </c>
      <c r="N8697" s="0" t="n">
        <v>72</v>
      </c>
      <c r="O8697" s="0" t="n">
        <v>109.18</v>
      </c>
      <c r="P8697" s="0" t="s">
        <v>2444</v>
      </c>
    </row>
    <row r="8698" customFormat="false" ht="15" hidden="false" customHeight="true" outlineLevel="0" collapsed="false">
      <c r="A8698" s="0" t="n">
        <v>2</v>
      </c>
      <c r="B8698" s="71" t="n">
        <v>46282</v>
      </c>
      <c r="C8698" s="0" t="n">
        <v>11</v>
      </c>
      <c r="D8698" s="0" t="s">
        <v>2471</v>
      </c>
      <c r="E8698" s="0" t="n">
        <v>1659</v>
      </c>
      <c r="F8698" s="0" t="s">
        <v>214</v>
      </c>
      <c r="I8698" s="0" t="n">
        <v>895938</v>
      </c>
      <c r="J8698" s="0" t="n">
        <v>69100</v>
      </c>
      <c r="K8698" s="0" t="n">
        <v>7896022206369</v>
      </c>
      <c r="L8698" s="0" t="s">
        <v>5430</v>
      </c>
      <c r="N8698" s="0" t="n">
        <v>72</v>
      </c>
      <c r="O8698" s="0" t="n">
        <v>109.18</v>
      </c>
      <c r="P8698" s="0" t="s">
        <v>2444</v>
      </c>
    </row>
    <row r="8699" customFormat="false" ht="15" hidden="false" customHeight="true" outlineLevel="0" collapsed="false">
      <c r="A8699" s="0" t="n">
        <v>2</v>
      </c>
      <c r="B8699" s="71" t="n">
        <v>46282</v>
      </c>
      <c r="C8699" s="0" t="n">
        <v>11</v>
      </c>
      <c r="D8699" s="0" t="s">
        <v>2471</v>
      </c>
      <c r="E8699" s="0" t="n">
        <v>1659</v>
      </c>
      <c r="F8699" s="0" t="s">
        <v>214</v>
      </c>
      <c r="I8699" s="0" t="n">
        <v>895938</v>
      </c>
      <c r="J8699" s="0" t="n">
        <v>71783</v>
      </c>
      <c r="K8699" s="0" t="n">
        <v>7896022205683</v>
      </c>
      <c r="L8699" s="0" t="s">
        <v>5431</v>
      </c>
      <c r="N8699" s="0" t="n">
        <v>20</v>
      </c>
      <c r="O8699" s="0" t="n">
        <v>74.43</v>
      </c>
      <c r="P8699" s="0" t="s">
        <v>2444</v>
      </c>
    </row>
    <row r="8700" customFormat="false" ht="15" hidden="false" customHeight="true" outlineLevel="0" collapsed="false">
      <c r="A8700" s="0" t="n">
        <v>2</v>
      </c>
      <c r="B8700" s="71" t="n">
        <v>46282</v>
      </c>
      <c r="C8700" s="0" t="n">
        <v>11</v>
      </c>
      <c r="D8700" s="0" t="s">
        <v>2471</v>
      </c>
      <c r="E8700" s="0" t="n">
        <v>1659</v>
      </c>
      <c r="F8700" s="0" t="s">
        <v>214</v>
      </c>
      <c r="I8700" s="0" t="n">
        <v>895938</v>
      </c>
      <c r="J8700" s="0" t="n">
        <v>71792</v>
      </c>
      <c r="K8700" s="0" t="n">
        <v>7896022207878</v>
      </c>
      <c r="L8700" s="0" t="s">
        <v>5432</v>
      </c>
      <c r="N8700" s="0" t="n">
        <v>20</v>
      </c>
      <c r="O8700" s="0" t="n">
        <v>67.89</v>
      </c>
      <c r="P8700" s="0" t="s">
        <v>2444</v>
      </c>
    </row>
    <row r="8701" customFormat="false" ht="15" hidden="false" customHeight="true" outlineLevel="0" collapsed="false">
      <c r="A8701" s="0" t="n">
        <v>2</v>
      </c>
      <c r="B8701" s="71" t="n">
        <v>46282</v>
      </c>
      <c r="C8701" s="0" t="n">
        <v>11</v>
      </c>
      <c r="D8701" s="0" t="s">
        <v>2471</v>
      </c>
      <c r="E8701" s="0" t="n">
        <v>1659</v>
      </c>
      <c r="F8701" s="0" t="s">
        <v>214</v>
      </c>
      <c r="I8701" s="0" t="n">
        <v>895938</v>
      </c>
      <c r="J8701" s="0" t="n">
        <v>72709</v>
      </c>
      <c r="K8701" s="0" t="n">
        <v>7896022207885</v>
      </c>
      <c r="L8701" s="0" t="s">
        <v>5432</v>
      </c>
      <c r="N8701" s="0" t="n">
        <v>20</v>
      </c>
      <c r="O8701" s="0" t="n">
        <v>67.89</v>
      </c>
      <c r="P8701" s="0" t="s">
        <v>2444</v>
      </c>
    </row>
    <row r="8702" customFormat="false" ht="15" hidden="false" customHeight="true" outlineLevel="0" collapsed="false">
      <c r="A8702" s="0" t="n">
        <v>2</v>
      </c>
      <c r="B8702" s="71" t="n">
        <v>46282</v>
      </c>
      <c r="C8702" s="0" t="n">
        <v>11</v>
      </c>
      <c r="D8702" s="0" t="s">
        <v>2471</v>
      </c>
      <c r="E8702" s="0" t="n">
        <v>1659</v>
      </c>
      <c r="F8702" s="0" t="s">
        <v>214</v>
      </c>
      <c r="I8702" s="0" t="n">
        <v>895938</v>
      </c>
      <c r="J8702" s="0" t="n">
        <v>73358</v>
      </c>
      <c r="K8702" s="0" t="n">
        <v>7896022205867</v>
      </c>
      <c r="L8702" s="0" t="s">
        <v>5433</v>
      </c>
      <c r="N8702" s="0" t="n">
        <v>100</v>
      </c>
      <c r="O8702" s="0" t="n">
        <v>397.6</v>
      </c>
      <c r="P8702" s="0" t="s">
        <v>2444</v>
      </c>
    </row>
    <row r="8703" customFormat="false" ht="15" hidden="false" customHeight="true" outlineLevel="0" collapsed="false">
      <c r="A8703" s="0" t="n">
        <v>2</v>
      </c>
      <c r="B8703" s="71" t="n">
        <v>46282</v>
      </c>
      <c r="C8703" s="0" t="n">
        <v>11</v>
      </c>
      <c r="D8703" s="0" t="s">
        <v>2471</v>
      </c>
      <c r="E8703" s="0" t="n">
        <v>1659</v>
      </c>
      <c r="F8703" s="0" t="s">
        <v>214</v>
      </c>
      <c r="I8703" s="0" t="n">
        <v>895938</v>
      </c>
      <c r="J8703" s="0" t="n">
        <v>55527</v>
      </c>
      <c r="K8703" s="0" t="n">
        <v>7896022205843</v>
      </c>
      <c r="L8703" s="0" t="s">
        <v>5434</v>
      </c>
      <c r="N8703" s="0" t="n">
        <v>20</v>
      </c>
      <c r="O8703" s="0" t="n">
        <v>82.17</v>
      </c>
      <c r="P8703" s="0" t="s">
        <v>2444</v>
      </c>
    </row>
    <row r="8704" customFormat="false" ht="15" hidden="false" customHeight="true" outlineLevel="0" collapsed="false">
      <c r="A8704" s="0" t="n">
        <v>2</v>
      </c>
      <c r="B8704" s="71" t="n">
        <v>46282</v>
      </c>
      <c r="C8704" s="0" t="n">
        <v>11</v>
      </c>
      <c r="D8704" s="0" t="s">
        <v>2471</v>
      </c>
      <c r="E8704" s="0" t="n">
        <v>1659</v>
      </c>
      <c r="F8704" s="0" t="s">
        <v>214</v>
      </c>
      <c r="I8704" s="0" t="n">
        <v>895938</v>
      </c>
      <c r="J8704" s="0" t="n">
        <v>82054</v>
      </c>
      <c r="K8704" s="0" t="n">
        <v>7896022208158</v>
      </c>
      <c r="L8704" s="0" t="s">
        <v>5435</v>
      </c>
      <c r="N8704" s="0" t="n">
        <v>24</v>
      </c>
      <c r="O8704" s="0" t="n">
        <v>92.8</v>
      </c>
      <c r="P8704" s="0" t="s">
        <v>2444</v>
      </c>
    </row>
    <row r="8705" customFormat="false" ht="15" hidden="false" customHeight="true" outlineLevel="0" collapsed="false">
      <c r="A8705" s="0" t="n">
        <v>2</v>
      </c>
      <c r="B8705" s="71" t="n">
        <v>46282</v>
      </c>
      <c r="C8705" s="0" t="n">
        <v>11</v>
      </c>
      <c r="D8705" s="0" t="s">
        <v>2471</v>
      </c>
      <c r="E8705" s="0" t="n">
        <v>1659</v>
      </c>
      <c r="F8705" s="0" t="s">
        <v>214</v>
      </c>
      <c r="I8705" s="0" t="n">
        <v>895938</v>
      </c>
      <c r="J8705" s="0" t="n">
        <v>82055</v>
      </c>
      <c r="K8705" s="0" t="n">
        <v>7896022208141</v>
      </c>
      <c r="L8705" s="0" t="s">
        <v>5436</v>
      </c>
      <c r="N8705" s="0" t="n">
        <v>24</v>
      </c>
      <c r="O8705" s="0" t="n">
        <v>92.8</v>
      </c>
      <c r="P8705" s="0" t="s">
        <v>2444</v>
      </c>
    </row>
    <row r="8706" customFormat="false" ht="15" hidden="false" customHeight="true" outlineLevel="0" collapsed="false">
      <c r="A8706" s="0" t="n">
        <v>2</v>
      </c>
      <c r="B8706" s="71" t="n">
        <v>46282</v>
      </c>
      <c r="C8706" s="0" t="n">
        <v>11</v>
      </c>
      <c r="D8706" s="0" t="s">
        <v>2471</v>
      </c>
      <c r="E8706" s="0" t="n">
        <v>1659</v>
      </c>
      <c r="F8706" s="0" t="s">
        <v>214</v>
      </c>
      <c r="I8706" s="0" t="n">
        <v>895938</v>
      </c>
      <c r="J8706" s="0" t="n">
        <v>82056</v>
      </c>
      <c r="K8706" s="0" t="n">
        <v>7896022205676</v>
      </c>
      <c r="L8706" s="0" t="s">
        <v>5437</v>
      </c>
      <c r="N8706" s="0" t="n">
        <v>20</v>
      </c>
      <c r="O8706" s="0" t="n">
        <v>82.17</v>
      </c>
      <c r="P8706" s="0" t="s">
        <v>2444</v>
      </c>
    </row>
    <row r="8707" customFormat="false" ht="15" hidden="false" customHeight="true" outlineLevel="0" collapsed="false">
      <c r="A8707" s="0" t="n">
        <v>2</v>
      </c>
      <c r="B8707" s="71" t="n">
        <v>46282</v>
      </c>
      <c r="C8707" s="0" t="n">
        <v>11</v>
      </c>
      <c r="D8707" s="0" t="s">
        <v>2471</v>
      </c>
      <c r="E8707" s="0" t="n">
        <v>1659</v>
      </c>
      <c r="F8707" s="0" t="s">
        <v>214</v>
      </c>
      <c r="I8707" s="0" t="n">
        <v>895938</v>
      </c>
      <c r="J8707" s="0" t="n">
        <v>82426</v>
      </c>
      <c r="K8707" s="0" t="n">
        <v>7896022205669</v>
      </c>
      <c r="L8707" s="0" t="s">
        <v>5438</v>
      </c>
      <c r="N8707" s="0" t="n">
        <v>100</v>
      </c>
      <c r="O8707" s="0" t="n">
        <v>397.6</v>
      </c>
      <c r="P8707" s="0" t="s">
        <v>2444</v>
      </c>
    </row>
    <row r="8708" customFormat="false" ht="15" hidden="false" customHeight="true" outlineLevel="0" collapsed="false">
      <c r="A8708" s="0" t="n">
        <v>2</v>
      </c>
      <c r="B8708" s="71" t="n">
        <v>46282</v>
      </c>
      <c r="C8708" s="0" t="n">
        <v>11</v>
      </c>
      <c r="D8708" s="0" t="s">
        <v>2471</v>
      </c>
      <c r="E8708" s="0" t="n">
        <v>1659</v>
      </c>
      <c r="F8708" s="0" t="s">
        <v>214</v>
      </c>
      <c r="I8708" s="0" t="n">
        <v>895938</v>
      </c>
      <c r="J8708" s="0" t="n">
        <v>82427</v>
      </c>
      <c r="K8708" s="0" t="n">
        <v>7896022205706</v>
      </c>
      <c r="L8708" s="0" t="s">
        <v>5439</v>
      </c>
      <c r="N8708" s="0" t="n">
        <v>40</v>
      </c>
      <c r="O8708" s="0" t="n">
        <v>75.28</v>
      </c>
      <c r="P8708" s="0" t="s">
        <v>2444</v>
      </c>
    </row>
    <row r="8709" customFormat="false" ht="15" hidden="false" customHeight="true" outlineLevel="0" collapsed="false">
      <c r="A8709" s="0" t="n">
        <v>2</v>
      </c>
      <c r="B8709" s="71" t="n">
        <v>46282</v>
      </c>
      <c r="C8709" s="0" t="n">
        <v>11</v>
      </c>
      <c r="D8709" s="0" t="s">
        <v>2471</v>
      </c>
      <c r="E8709" s="0" t="n">
        <v>1659</v>
      </c>
      <c r="F8709" s="0" t="s">
        <v>214</v>
      </c>
      <c r="I8709" s="0" t="n">
        <v>895938</v>
      </c>
      <c r="J8709" s="0" t="n">
        <v>82428</v>
      </c>
      <c r="K8709" s="0" t="n">
        <v>7896022205713</v>
      </c>
      <c r="L8709" s="0" t="s">
        <v>5440</v>
      </c>
      <c r="N8709" s="0" t="n">
        <v>40</v>
      </c>
      <c r="O8709" s="0" t="n">
        <v>75.28</v>
      </c>
      <c r="P8709" s="0" t="s">
        <v>2444</v>
      </c>
    </row>
    <row r="8710" customFormat="false" ht="15" hidden="false" customHeight="true" outlineLevel="0" collapsed="false">
      <c r="A8710" s="0" t="n">
        <v>2</v>
      </c>
      <c r="B8710" s="71" t="n">
        <v>46282</v>
      </c>
      <c r="C8710" s="0" t="n">
        <v>11</v>
      </c>
      <c r="D8710" s="0" t="s">
        <v>2471</v>
      </c>
      <c r="E8710" s="0" t="n">
        <v>1659</v>
      </c>
      <c r="F8710" s="0" t="s">
        <v>214</v>
      </c>
      <c r="I8710" s="0" t="n">
        <v>895938</v>
      </c>
      <c r="J8710" s="0" t="n">
        <v>82429</v>
      </c>
      <c r="K8710" s="0" t="n">
        <v>7896022208134</v>
      </c>
      <c r="L8710" s="0" t="s">
        <v>5441</v>
      </c>
      <c r="N8710" s="0" t="n">
        <v>40</v>
      </c>
      <c r="O8710" s="0" t="n">
        <v>205.06</v>
      </c>
      <c r="P8710" s="0" t="s">
        <v>2444</v>
      </c>
    </row>
    <row r="8711" customFormat="false" ht="15" hidden="false" customHeight="true" outlineLevel="0" collapsed="false">
      <c r="A8711" s="0" t="n">
        <v>2</v>
      </c>
      <c r="B8711" s="71" t="n">
        <v>46282</v>
      </c>
      <c r="C8711" s="0" t="n">
        <v>11</v>
      </c>
      <c r="D8711" s="0" t="s">
        <v>2471</v>
      </c>
      <c r="E8711" s="0" t="n">
        <v>1659</v>
      </c>
      <c r="F8711" s="0" t="s">
        <v>214</v>
      </c>
      <c r="I8711" s="0" t="n">
        <v>895938</v>
      </c>
      <c r="J8711" s="0" t="n">
        <v>82430</v>
      </c>
      <c r="K8711" s="0" t="n">
        <v>7896022208172</v>
      </c>
      <c r="L8711" s="0" t="s">
        <v>5442</v>
      </c>
      <c r="N8711" s="0" t="n">
        <v>20</v>
      </c>
      <c r="O8711" s="0" t="n">
        <v>67.89</v>
      </c>
      <c r="P8711" s="0" t="s">
        <v>2444</v>
      </c>
    </row>
    <row r="8712" customFormat="false" ht="15" hidden="false" customHeight="true" outlineLevel="0" collapsed="false">
      <c r="A8712" s="0" t="n">
        <v>2</v>
      </c>
      <c r="B8712" s="71" t="n">
        <v>46282</v>
      </c>
      <c r="C8712" s="0" t="n">
        <v>11</v>
      </c>
      <c r="D8712" s="0" t="s">
        <v>2471</v>
      </c>
      <c r="E8712" s="0" t="n">
        <v>1659</v>
      </c>
      <c r="F8712" s="0" t="s">
        <v>214</v>
      </c>
      <c r="I8712" s="0" t="n">
        <v>895938</v>
      </c>
      <c r="J8712" s="0" t="n">
        <v>82431</v>
      </c>
      <c r="K8712" s="0" t="n">
        <v>7896022205850</v>
      </c>
      <c r="L8712" s="0" t="s">
        <v>5443</v>
      </c>
      <c r="N8712" s="0" t="n">
        <v>20</v>
      </c>
      <c r="O8712" s="0" t="n">
        <v>84.39</v>
      </c>
      <c r="P8712" s="0" t="s">
        <v>2444</v>
      </c>
    </row>
    <row r="8713" customFormat="false" ht="15" hidden="false" customHeight="true" outlineLevel="0" collapsed="false">
      <c r="A8713" s="0" t="n">
        <v>2</v>
      </c>
      <c r="B8713" s="71" t="n">
        <v>46282</v>
      </c>
      <c r="C8713" s="0" t="n">
        <v>11</v>
      </c>
      <c r="D8713" s="0" t="s">
        <v>2471</v>
      </c>
      <c r="E8713" s="0" t="n">
        <v>10009</v>
      </c>
      <c r="F8713" s="0" t="s">
        <v>464</v>
      </c>
      <c r="I8713" s="0" t="n">
        <v>1448339</v>
      </c>
      <c r="J8713" s="0" t="n">
        <v>102114</v>
      </c>
      <c r="K8713" s="0" t="n">
        <v>7891000008119</v>
      </c>
      <c r="L8713" s="0" t="s">
        <v>5444</v>
      </c>
      <c r="N8713" s="0" t="n">
        <v>6</v>
      </c>
      <c r="O8713" s="0" t="n">
        <v>70.22</v>
      </c>
      <c r="P8713" s="0" t="s">
        <v>2444</v>
      </c>
    </row>
    <row r="8714" customFormat="false" ht="15" hidden="false" customHeight="true" outlineLevel="0" collapsed="false">
      <c r="A8714" s="0" t="n">
        <v>2</v>
      </c>
      <c r="B8714" s="71" t="n">
        <v>46282</v>
      </c>
      <c r="C8714" s="0" t="n">
        <v>11</v>
      </c>
      <c r="D8714" s="0" t="s">
        <v>2471</v>
      </c>
      <c r="E8714" s="0" t="n">
        <v>10009</v>
      </c>
      <c r="F8714" s="0" t="s">
        <v>464</v>
      </c>
      <c r="I8714" s="0" t="n">
        <v>1448339</v>
      </c>
      <c r="J8714" s="0" t="n">
        <v>103473</v>
      </c>
      <c r="K8714" s="0" t="n">
        <v>7891000367506</v>
      </c>
      <c r="L8714" s="0" t="s">
        <v>3127</v>
      </c>
      <c r="N8714" s="0" t="n">
        <v>64</v>
      </c>
      <c r="O8714" s="0" t="n">
        <v>105.52</v>
      </c>
      <c r="P8714" s="0" t="s">
        <v>2444</v>
      </c>
    </row>
    <row r="8715" customFormat="false" ht="15" hidden="false" customHeight="true" outlineLevel="0" collapsed="false">
      <c r="A8715" s="0" t="n">
        <v>2</v>
      </c>
      <c r="B8715" s="71" t="n">
        <v>46282</v>
      </c>
      <c r="C8715" s="0" t="n">
        <v>11</v>
      </c>
      <c r="D8715" s="0" t="s">
        <v>2471</v>
      </c>
      <c r="E8715" s="0" t="n">
        <v>10009</v>
      </c>
      <c r="F8715" s="0" t="s">
        <v>464</v>
      </c>
      <c r="I8715" s="0" t="n">
        <v>1448339</v>
      </c>
      <c r="J8715" s="0" t="n">
        <v>11844</v>
      </c>
      <c r="K8715" s="0" t="n">
        <v>7891000070673</v>
      </c>
      <c r="L8715" s="0" t="s">
        <v>3130</v>
      </c>
      <c r="N8715" s="0" t="n">
        <v>20</v>
      </c>
      <c r="O8715" s="0" t="n">
        <v>111.45</v>
      </c>
      <c r="P8715" s="0" t="s">
        <v>2444</v>
      </c>
    </row>
    <row r="8716" customFormat="false" ht="15" hidden="false" customHeight="true" outlineLevel="0" collapsed="false">
      <c r="A8716" s="0" t="n">
        <v>2</v>
      </c>
      <c r="B8716" s="71" t="n">
        <v>46282</v>
      </c>
      <c r="C8716" s="0" t="n">
        <v>11</v>
      </c>
      <c r="D8716" s="0" t="s">
        <v>2471</v>
      </c>
      <c r="E8716" s="0" t="n">
        <v>10009</v>
      </c>
      <c r="F8716" s="0" t="s">
        <v>464</v>
      </c>
      <c r="I8716" s="0" t="n">
        <v>1448339</v>
      </c>
      <c r="J8716" s="0" t="n">
        <v>12411</v>
      </c>
      <c r="K8716" s="0" t="n">
        <v>7891000050927</v>
      </c>
      <c r="L8716" s="0" t="s">
        <v>3131</v>
      </c>
      <c r="N8716" s="0" t="n">
        <v>20</v>
      </c>
      <c r="O8716" s="0" t="n">
        <v>111.44</v>
      </c>
      <c r="P8716" s="0" t="s">
        <v>2444</v>
      </c>
    </row>
    <row r="8717" customFormat="false" ht="15" hidden="false" customHeight="true" outlineLevel="0" collapsed="false">
      <c r="A8717" s="0" t="n">
        <v>2</v>
      </c>
      <c r="B8717" s="71" t="n">
        <v>46282</v>
      </c>
      <c r="C8717" s="0" t="n">
        <v>11</v>
      </c>
      <c r="D8717" s="0" t="s">
        <v>2471</v>
      </c>
      <c r="E8717" s="0" t="n">
        <v>10009</v>
      </c>
      <c r="F8717" s="0" t="s">
        <v>464</v>
      </c>
      <c r="I8717" s="0" t="n">
        <v>1448339</v>
      </c>
      <c r="J8717" s="0" t="n">
        <v>12803</v>
      </c>
      <c r="K8717" s="0" t="n">
        <v>7891000050880</v>
      </c>
      <c r="L8717" s="0" t="s">
        <v>3134</v>
      </c>
      <c r="N8717" s="0" t="n">
        <v>20</v>
      </c>
      <c r="O8717" s="0" t="n">
        <v>111.45</v>
      </c>
      <c r="P8717" s="0" t="s">
        <v>2444</v>
      </c>
    </row>
    <row r="8718" customFormat="false" ht="15" hidden="false" customHeight="true" outlineLevel="0" collapsed="false">
      <c r="A8718" s="0" t="n">
        <v>2</v>
      </c>
      <c r="B8718" s="71" t="n">
        <v>46282</v>
      </c>
      <c r="C8718" s="0" t="n">
        <v>11</v>
      </c>
      <c r="D8718" s="0" t="s">
        <v>2471</v>
      </c>
      <c r="E8718" s="0" t="n">
        <v>10009</v>
      </c>
      <c r="F8718" s="0" t="s">
        <v>464</v>
      </c>
      <c r="I8718" s="0" t="n">
        <v>1448339</v>
      </c>
      <c r="J8718" s="0" t="n">
        <v>26982</v>
      </c>
      <c r="K8718" s="0" t="n">
        <v>7891000255445</v>
      </c>
      <c r="L8718" s="0" t="s">
        <v>3149</v>
      </c>
      <c r="N8718" s="0" t="n">
        <v>20</v>
      </c>
      <c r="O8718" s="0" t="n">
        <v>111.44</v>
      </c>
      <c r="P8718" s="0" t="s">
        <v>2444</v>
      </c>
    </row>
    <row r="8719" customFormat="false" ht="15" hidden="false" customHeight="true" outlineLevel="0" collapsed="false">
      <c r="A8719" s="0" t="n">
        <v>2</v>
      </c>
      <c r="B8719" s="71" t="n">
        <v>46282</v>
      </c>
      <c r="C8719" s="0" t="n">
        <v>11</v>
      </c>
      <c r="D8719" s="0" t="s">
        <v>2471</v>
      </c>
      <c r="E8719" s="0" t="n">
        <v>10009</v>
      </c>
      <c r="F8719" s="0" t="s">
        <v>464</v>
      </c>
      <c r="I8719" s="0" t="n">
        <v>1448339</v>
      </c>
      <c r="J8719" s="0" t="n">
        <v>43621</v>
      </c>
      <c r="K8719" s="0" t="n">
        <v>7891000357460</v>
      </c>
      <c r="L8719" s="0" t="s">
        <v>5445</v>
      </c>
      <c r="N8719" s="0" t="n">
        <v>6</v>
      </c>
      <c r="O8719" s="0" t="n">
        <v>52.12</v>
      </c>
      <c r="P8719" s="0" t="s">
        <v>2444</v>
      </c>
    </row>
    <row r="8720" customFormat="false" ht="15" hidden="false" customHeight="true" outlineLevel="0" collapsed="false">
      <c r="A8720" s="0" t="n">
        <v>2</v>
      </c>
      <c r="B8720" s="71" t="n">
        <v>46282</v>
      </c>
      <c r="C8720" s="0" t="n">
        <v>11</v>
      </c>
      <c r="D8720" s="0" t="s">
        <v>2471</v>
      </c>
      <c r="E8720" s="0" t="n">
        <v>10009</v>
      </c>
      <c r="F8720" s="0" t="s">
        <v>464</v>
      </c>
      <c r="I8720" s="0" t="n">
        <v>1448339</v>
      </c>
      <c r="J8720" s="0" t="n">
        <v>44193</v>
      </c>
      <c r="K8720" s="0" t="n">
        <v>7891000356838</v>
      </c>
      <c r="L8720" s="0" t="s">
        <v>5446</v>
      </c>
      <c r="N8720" s="0" t="n">
        <v>4</v>
      </c>
      <c r="O8720" s="0" t="n">
        <v>62.7</v>
      </c>
      <c r="P8720" s="0" t="s">
        <v>2444</v>
      </c>
    </row>
    <row r="8721" customFormat="false" ht="15" hidden="false" customHeight="true" outlineLevel="0" collapsed="false">
      <c r="A8721" s="0" t="n">
        <v>2</v>
      </c>
      <c r="B8721" s="71" t="n">
        <v>46282</v>
      </c>
      <c r="C8721" s="0" t="n">
        <v>11</v>
      </c>
      <c r="D8721" s="0" t="s">
        <v>2471</v>
      </c>
      <c r="E8721" s="0" t="n">
        <v>10009</v>
      </c>
      <c r="F8721" s="0" t="s">
        <v>464</v>
      </c>
      <c r="I8721" s="0" t="n">
        <v>1448339</v>
      </c>
      <c r="J8721" s="0" t="n">
        <v>44416</v>
      </c>
      <c r="K8721" s="0" t="n">
        <v>7891000356791</v>
      </c>
      <c r="L8721" s="0" t="s">
        <v>5447</v>
      </c>
      <c r="N8721" s="0" t="n">
        <v>6</v>
      </c>
      <c r="O8721" s="0" t="n">
        <v>93.95</v>
      </c>
      <c r="P8721" s="0" t="s">
        <v>2444</v>
      </c>
    </row>
    <row r="8722" customFormat="false" ht="15" hidden="false" customHeight="true" outlineLevel="0" collapsed="false">
      <c r="A8722" s="0" t="n">
        <v>2</v>
      </c>
      <c r="B8722" s="71" t="n">
        <v>46282</v>
      </c>
      <c r="C8722" s="0" t="n">
        <v>11</v>
      </c>
      <c r="D8722" s="0" t="s">
        <v>2471</v>
      </c>
      <c r="E8722" s="0" t="n">
        <v>10009</v>
      </c>
      <c r="F8722" s="0" t="s">
        <v>464</v>
      </c>
      <c r="I8722" s="0" t="n">
        <v>1448339</v>
      </c>
      <c r="J8722" s="0" t="n">
        <v>76659</v>
      </c>
      <c r="K8722" s="0" t="n">
        <v>7891000423806</v>
      </c>
      <c r="L8722" s="0" t="s">
        <v>5448</v>
      </c>
      <c r="N8722" s="0" t="n">
        <v>64</v>
      </c>
      <c r="O8722" s="0" t="n">
        <v>105.52</v>
      </c>
      <c r="P8722" s="0" t="s">
        <v>2444</v>
      </c>
    </row>
    <row r="8723" customFormat="false" ht="15" hidden="false" customHeight="true" outlineLevel="0" collapsed="false">
      <c r="A8723" s="0" t="n">
        <v>2</v>
      </c>
      <c r="B8723" s="71" t="n">
        <v>46282</v>
      </c>
      <c r="C8723" s="0" t="n">
        <v>11</v>
      </c>
      <c r="D8723" s="0" t="s">
        <v>2471</v>
      </c>
      <c r="E8723" s="0" t="n">
        <v>1637</v>
      </c>
      <c r="F8723" s="0" t="s">
        <v>871</v>
      </c>
      <c r="I8723" s="0" t="n">
        <v>1936305</v>
      </c>
      <c r="J8723" s="0" t="n">
        <v>101859</v>
      </c>
      <c r="K8723" s="0" t="n">
        <v>7896224807098</v>
      </c>
      <c r="L8723" s="0" t="s">
        <v>4663</v>
      </c>
      <c r="N8723" s="0" t="n">
        <v>60</v>
      </c>
      <c r="O8723" s="0" t="n">
        <v>779.4</v>
      </c>
      <c r="P8723" s="0" t="s">
        <v>2444</v>
      </c>
    </row>
    <row r="8724" customFormat="false" ht="15" hidden="false" customHeight="true" outlineLevel="0" collapsed="false">
      <c r="A8724" s="0" t="n">
        <v>2</v>
      </c>
      <c r="B8724" s="71" t="n">
        <v>46282</v>
      </c>
      <c r="C8724" s="0" t="n">
        <v>11</v>
      </c>
      <c r="D8724" s="0" t="s">
        <v>2471</v>
      </c>
      <c r="E8724" s="0" t="n">
        <v>1637</v>
      </c>
      <c r="F8724" s="0" t="s">
        <v>871</v>
      </c>
      <c r="I8724" s="0" t="n">
        <v>1936305</v>
      </c>
      <c r="J8724" s="0" t="n">
        <v>101877</v>
      </c>
      <c r="K8724" s="0" t="n">
        <v>7896224813082</v>
      </c>
      <c r="L8724" s="0" t="s">
        <v>2768</v>
      </c>
      <c r="N8724" s="0" t="n">
        <v>20</v>
      </c>
      <c r="O8724" s="0" t="n">
        <v>263.8</v>
      </c>
      <c r="P8724" s="0" t="s">
        <v>2444</v>
      </c>
    </row>
    <row r="8725" customFormat="false" ht="15" hidden="false" customHeight="true" outlineLevel="0" collapsed="false">
      <c r="A8725" s="0" t="n">
        <v>2</v>
      </c>
      <c r="B8725" s="71" t="n">
        <v>46282</v>
      </c>
      <c r="C8725" s="0" t="n">
        <v>11</v>
      </c>
      <c r="D8725" s="0" t="s">
        <v>2471</v>
      </c>
      <c r="E8725" s="0" t="n">
        <v>1637</v>
      </c>
      <c r="F8725" s="0" t="s">
        <v>871</v>
      </c>
      <c r="I8725" s="0" t="n">
        <v>1936306</v>
      </c>
      <c r="J8725" s="0" t="n">
        <v>101859</v>
      </c>
      <c r="K8725" s="0" t="n">
        <v>7896224807098</v>
      </c>
      <c r="L8725" s="0" t="s">
        <v>4663</v>
      </c>
      <c r="N8725" s="0" t="n">
        <v>20</v>
      </c>
      <c r="O8725" s="0" t="n">
        <v>259.8</v>
      </c>
      <c r="P8725" s="0" t="s">
        <v>2444</v>
      </c>
    </row>
    <row r="8726" customFormat="false" ht="15" hidden="false" customHeight="true" outlineLevel="0" collapsed="false">
      <c r="A8726" s="0" t="n">
        <v>2</v>
      </c>
      <c r="B8726" s="71" t="n">
        <v>46282</v>
      </c>
      <c r="C8726" s="0" t="n">
        <v>11</v>
      </c>
      <c r="D8726" s="0" t="s">
        <v>2471</v>
      </c>
      <c r="E8726" s="0" t="n">
        <v>1637</v>
      </c>
      <c r="F8726" s="0" t="s">
        <v>871</v>
      </c>
      <c r="I8726" s="0" t="n">
        <v>1936306</v>
      </c>
      <c r="J8726" s="0" t="n">
        <v>101877</v>
      </c>
      <c r="K8726" s="0" t="n">
        <v>7896224813082</v>
      </c>
      <c r="L8726" s="0" t="s">
        <v>2768</v>
      </c>
      <c r="N8726" s="0" t="n">
        <v>40</v>
      </c>
      <c r="O8726" s="0" t="n">
        <v>527.6</v>
      </c>
      <c r="P8726" s="0" t="s">
        <v>2444</v>
      </c>
    </row>
    <row r="8727" customFormat="false" ht="15" hidden="false" customHeight="true" outlineLevel="0" collapsed="false">
      <c r="A8727" s="0" t="n">
        <v>2</v>
      </c>
      <c r="B8727" s="71" t="n">
        <v>46282</v>
      </c>
      <c r="C8727" s="0" t="n">
        <v>11</v>
      </c>
      <c r="D8727" s="0" t="s">
        <v>2471</v>
      </c>
      <c r="E8727" s="0" t="n">
        <v>1637</v>
      </c>
      <c r="F8727" s="0" t="s">
        <v>871</v>
      </c>
      <c r="I8727" s="0" t="n">
        <v>1936307</v>
      </c>
      <c r="J8727" s="0" t="n">
        <v>101859</v>
      </c>
      <c r="K8727" s="0" t="n">
        <v>7896224807098</v>
      </c>
      <c r="L8727" s="0" t="s">
        <v>4663</v>
      </c>
      <c r="N8727" s="0" t="n">
        <v>20</v>
      </c>
      <c r="O8727" s="0" t="n">
        <v>259.8</v>
      </c>
      <c r="P8727" s="0" t="s">
        <v>2444</v>
      </c>
    </row>
    <row r="8728" customFormat="false" ht="15" hidden="false" customHeight="true" outlineLevel="0" collapsed="false">
      <c r="A8728" s="0" t="n">
        <v>2</v>
      </c>
      <c r="B8728" s="71" t="n">
        <v>46282</v>
      </c>
      <c r="C8728" s="0" t="n">
        <v>11</v>
      </c>
      <c r="D8728" s="0" t="s">
        <v>2471</v>
      </c>
      <c r="E8728" s="0" t="n">
        <v>1637</v>
      </c>
      <c r="F8728" s="0" t="s">
        <v>871</v>
      </c>
      <c r="I8728" s="0" t="n">
        <v>1936307</v>
      </c>
      <c r="J8728" s="0" t="n">
        <v>101877</v>
      </c>
      <c r="K8728" s="0" t="n">
        <v>7896224813082</v>
      </c>
      <c r="L8728" s="0" t="s">
        <v>2768</v>
      </c>
      <c r="N8728" s="0" t="n">
        <v>40</v>
      </c>
      <c r="O8728" s="0" t="n">
        <v>527.6</v>
      </c>
      <c r="P8728" s="0" t="s">
        <v>2444</v>
      </c>
    </row>
    <row r="8729" customFormat="false" ht="15" hidden="false" customHeight="true" outlineLevel="0" collapsed="false">
      <c r="A8729" s="0" t="n">
        <v>2</v>
      </c>
      <c r="B8729" s="71" t="n">
        <v>46282</v>
      </c>
      <c r="C8729" s="0" t="n">
        <v>171</v>
      </c>
      <c r="D8729" s="0" t="s">
        <v>3017</v>
      </c>
      <c r="E8729" s="0" t="n">
        <v>1659</v>
      </c>
      <c r="F8729" s="0" t="s">
        <v>214</v>
      </c>
      <c r="I8729" s="0" t="n">
        <v>895937</v>
      </c>
      <c r="J8729" s="0" t="n">
        <v>82055</v>
      </c>
      <c r="K8729" s="0" t="n">
        <v>7896022208141</v>
      </c>
      <c r="L8729" s="0" t="s">
        <v>5436</v>
      </c>
      <c r="N8729" s="0" t="n">
        <v>12</v>
      </c>
      <c r="O8729" s="0" t="n">
        <v>46.4</v>
      </c>
      <c r="P8729" s="0" t="s">
        <v>3019</v>
      </c>
    </row>
    <row r="8730" customFormat="false" ht="15" hidden="false" customHeight="true" outlineLevel="0" collapsed="false">
      <c r="A8730" s="0" t="n">
        <v>2</v>
      </c>
      <c r="B8730" s="71" t="n">
        <v>46282</v>
      </c>
      <c r="C8730" s="0" t="n">
        <v>171</v>
      </c>
      <c r="D8730" s="0" t="s">
        <v>3017</v>
      </c>
      <c r="E8730" s="0" t="n">
        <v>1659</v>
      </c>
      <c r="F8730" s="0" t="s">
        <v>214</v>
      </c>
      <c r="I8730" s="0" t="n">
        <v>895937</v>
      </c>
      <c r="J8730" s="0" t="n">
        <v>82426</v>
      </c>
      <c r="K8730" s="0" t="n">
        <v>7896022205669</v>
      </c>
      <c r="L8730" s="0" t="s">
        <v>5438</v>
      </c>
      <c r="N8730" s="0" t="n">
        <v>20</v>
      </c>
      <c r="O8730" s="0" t="n">
        <v>79.52</v>
      </c>
      <c r="P8730" s="0" t="s">
        <v>3019</v>
      </c>
    </row>
    <row r="8731" customFormat="false" ht="15" hidden="false" customHeight="true" outlineLevel="0" collapsed="false">
      <c r="A8731" s="0" t="n">
        <v>2</v>
      </c>
      <c r="B8731" s="71" t="n">
        <v>46282</v>
      </c>
      <c r="C8731" s="0" t="n">
        <v>171</v>
      </c>
      <c r="D8731" s="0" t="s">
        <v>3017</v>
      </c>
      <c r="E8731" s="0" t="n">
        <v>1659</v>
      </c>
      <c r="F8731" s="0" t="s">
        <v>214</v>
      </c>
      <c r="I8731" s="0" t="n">
        <v>895937</v>
      </c>
      <c r="J8731" s="0" t="n">
        <v>82428</v>
      </c>
      <c r="K8731" s="0" t="n">
        <v>7896022205713</v>
      </c>
      <c r="L8731" s="0" t="s">
        <v>5440</v>
      </c>
      <c r="N8731" s="0" t="n">
        <v>40</v>
      </c>
      <c r="O8731" s="0" t="n">
        <v>71.55</v>
      </c>
      <c r="P8731" s="0" t="s">
        <v>3019</v>
      </c>
    </row>
    <row r="8732" customFormat="false" ht="15" hidden="false" customHeight="true" outlineLevel="0" collapsed="false">
      <c r="A8732" s="0" t="n">
        <v>2</v>
      </c>
      <c r="B8732" s="71" t="n">
        <v>46282</v>
      </c>
      <c r="C8732" s="0" t="n">
        <v>171</v>
      </c>
      <c r="D8732" s="0" t="s">
        <v>3017</v>
      </c>
      <c r="E8732" s="0" t="n">
        <v>1659</v>
      </c>
      <c r="F8732" s="0" t="s">
        <v>214</v>
      </c>
      <c r="I8732" s="0" t="n">
        <v>895937</v>
      </c>
      <c r="J8732" s="0" t="n">
        <v>82429</v>
      </c>
      <c r="K8732" s="0" t="n">
        <v>7896022208134</v>
      </c>
      <c r="L8732" s="0" t="s">
        <v>5441</v>
      </c>
      <c r="N8732" s="0" t="n">
        <v>20</v>
      </c>
      <c r="O8732" s="0" t="n">
        <v>102.53</v>
      </c>
      <c r="P8732" s="0" t="s">
        <v>3019</v>
      </c>
    </row>
    <row r="8733" customFormat="false" ht="15" hidden="false" customHeight="true" outlineLevel="0" collapsed="false">
      <c r="A8733" s="0" t="n">
        <v>2</v>
      </c>
      <c r="B8733" s="71" t="n">
        <v>46283</v>
      </c>
      <c r="C8733" s="0" t="n">
        <v>6</v>
      </c>
      <c r="D8733" s="0" t="s">
        <v>2553</v>
      </c>
      <c r="E8733" s="0" t="n">
        <v>48</v>
      </c>
      <c r="F8733" s="0" t="s">
        <v>153</v>
      </c>
      <c r="I8733" s="0" t="n">
        <v>2679</v>
      </c>
      <c r="J8733" s="0" t="n">
        <v>110142</v>
      </c>
      <c r="K8733" s="0" t="n">
        <v>16699</v>
      </c>
      <c r="L8733" s="0" t="s">
        <v>2549</v>
      </c>
      <c r="N8733" s="0" t="n">
        <v>20</v>
      </c>
      <c r="O8733" s="0" t="n">
        <v>120</v>
      </c>
      <c r="P8733" s="0" t="s">
        <v>2444</v>
      </c>
    </row>
    <row r="8734" customFormat="false" ht="15" hidden="false" customHeight="true" outlineLevel="0" collapsed="false">
      <c r="A8734" s="0" t="n">
        <v>2</v>
      </c>
      <c r="B8734" s="71" t="n">
        <v>46283</v>
      </c>
      <c r="C8734" s="0" t="n">
        <v>6</v>
      </c>
      <c r="D8734" s="0" t="s">
        <v>2553</v>
      </c>
      <c r="E8734" s="0" t="n">
        <v>48</v>
      </c>
      <c r="F8734" s="0" t="s">
        <v>153</v>
      </c>
      <c r="I8734" s="0" t="n">
        <v>2683</v>
      </c>
      <c r="J8734" s="0" t="n">
        <v>100115</v>
      </c>
      <c r="K8734" s="0" t="n">
        <v>116</v>
      </c>
      <c r="L8734" s="0" t="s">
        <v>2694</v>
      </c>
      <c r="N8734" s="0" t="n">
        <v>15</v>
      </c>
      <c r="O8734" s="0" t="n">
        <v>170</v>
      </c>
      <c r="P8734" s="0" t="s">
        <v>2444</v>
      </c>
    </row>
    <row r="8735" customFormat="false" ht="15" hidden="false" customHeight="true" outlineLevel="0" collapsed="false">
      <c r="A8735" s="0" t="n">
        <v>2</v>
      </c>
      <c r="B8735" s="71" t="n">
        <v>46283</v>
      </c>
      <c r="C8735" s="0" t="n">
        <v>6</v>
      </c>
      <c r="D8735" s="0" t="s">
        <v>2553</v>
      </c>
      <c r="E8735" s="0" t="n">
        <v>48</v>
      </c>
      <c r="F8735" s="0" t="s">
        <v>153</v>
      </c>
      <c r="I8735" s="0" t="n">
        <v>2683</v>
      </c>
      <c r="J8735" s="0" t="n">
        <v>100129</v>
      </c>
      <c r="K8735" s="0" t="n">
        <v>130</v>
      </c>
      <c r="L8735" s="0" t="s">
        <v>2598</v>
      </c>
      <c r="N8735" s="0" t="n">
        <v>15</v>
      </c>
      <c r="O8735" s="0" t="n">
        <v>83</v>
      </c>
      <c r="P8735" s="0" t="s">
        <v>2444</v>
      </c>
    </row>
    <row r="8736" customFormat="false" ht="15" hidden="false" customHeight="true" outlineLevel="0" collapsed="false">
      <c r="A8736" s="0" t="n">
        <v>2</v>
      </c>
      <c r="B8736" s="71" t="n">
        <v>46283</v>
      </c>
      <c r="C8736" s="0" t="n">
        <v>6</v>
      </c>
      <c r="D8736" s="0" t="s">
        <v>2553</v>
      </c>
      <c r="E8736" s="0" t="n">
        <v>48</v>
      </c>
      <c r="F8736" s="0" t="s">
        <v>153</v>
      </c>
      <c r="I8736" s="0" t="n">
        <v>2683</v>
      </c>
      <c r="J8736" s="0" t="n">
        <v>100130</v>
      </c>
      <c r="K8736" s="0" t="n">
        <v>131</v>
      </c>
      <c r="L8736" s="0" t="s">
        <v>2545</v>
      </c>
      <c r="N8736" s="0" t="n">
        <v>10</v>
      </c>
      <c r="O8736" s="0" t="n">
        <v>80</v>
      </c>
      <c r="P8736" s="0" t="s">
        <v>2444</v>
      </c>
    </row>
    <row r="8737" customFormat="false" ht="15" hidden="false" customHeight="true" outlineLevel="0" collapsed="false">
      <c r="A8737" s="0" t="n">
        <v>2</v>
      </c>
      <c r="B8737" s="71" t="n">
        <v>46283</v>
      </c>
      <c r="C8737" s="0" t="n">
        <v>6</v>
      </c>
      <c r="D8737" s="0" t="s">
        <v>2553</v>
      </c>
      <c r="E8737" s="0" t="n">
        <v>48</v>
      </c>
      <c r="F8737" s="0" t="s">
        <v>153</v>
      </c>
      <c r="I8737" s="0" t="n">
        <v>2683</v>
      </c>
      <c r="J8737" s="0" t="n">
        <v>100132</v>
      </c>
      <c r="K8737" s="0" t="n">
        <v>133</v>
      </c>
      <c r="L8737" s="0" t="s">
        <v>2546</v>
      </c>
      <c r="N8737" s="0" t="n">
        <v>50</v>
      </c>
      <c r="O8737" s="0" t="n">
        <v>138.5</v>
      </c>
      <c r="P8737" s="0" t="s">
        <v>2444</v>
      </c>
    </row>
    <row r="8738" customFormat="false" ht="15" hidden="false" customHeight="true" outlineLevel="0" collapsed="false">
      <c r="A8738" s="0" t="n">
        <v>2</v>
      </c>
      <c r="B8738" s="71" t="n">
        <v>46283</v>
      </c>
      <c r="C8738" s="0" t="n">
        <v>6</v>
      </c>
      <c r="D8738" s="0" t="s">
        <v>2553</v>
      </c>
      <c r="E8738" s="0" t="n">
        <v>48</v>
      </c>
      <c r="F8738" s="0" t="s">
        <v>153</v>
      </c>
      <c r="I8738" s="0" t="n">
        <v>2683</v>
      </c>
      <c r="J8738" s="0" t="n">
        <v>100133</v>
      </c>
      <c r="K8738" s="0" t="n">
        <v>134</v>
      </c>
      <c r="L8738" s="0" t="s">
        <v>2547</v>
      </c>
      <c r="N8738" s="0" t="n">
        <v>20</v>
      </c>
      <c r="O8738" s="0" t="n">
        <v>60</v>
      </c>
      <c r="P8738" s="0" t="s">
        <v>2444</v>
      </c>
    </row>
    <row r="8739" customFormat="false" ht="15" hidden="false" customHeight="true" outlineLevel="0" collapsed="false">
      <c r="A8739" s="0" t="n">
        <v>2</v>
      </c>
      <c r="B8739" s="71" t="n">
        <v>46283</v>
      </c>
      <c r="C8739" s="0" t="n">
        <v>6</v>
      </c>
      <c r="D8739" s="0" t="s">
        <v>2553</v>
      </c>
      <c r="E8739" s="0" t="n">
        <v>48</v>
      </c>
      <c r="F8739" s="0" t="s">
        <v>153</v>
      </c>
      <c r="I8739" s="0" t="n">
        <v>2683</v>
      </c>
      <c r="J8739" s="0" t="n">
        <v>110165</v>
      </c>
      <c r="K8739" s="0" t="n">
        <v>37441</v>
      </c>
      <c r="L8739" s="0" t="s">
        <v>4682</v>
      </c>
      <c r="N8739" s="0" t="n">
        <v>20</v>
      </c>
      <c r="O8739" s="0" t="n">
        <v>200</v>
      </c>
      <c r="P8739" s="0" t="s">
        <v>2444</v>
      </c>
    </row>
    <row r="8740" customFormat="false" ht="15" hidden="false" customHeight="true" outlineLevel="0" collapsed="false">
      <c r="A8740" s="0" t="n">
        <v>2</v>
      </c>
      <c r="B8740" s="71" t="n">
        <v>46283</v>
      </c>
      <c r="C8740" s="0" t="n">
        <v>6</v>
      </c>
      <c r="D8740" s="0" t="s">
        <v>2553</v>
      </c>
      <c r="E8740" s="0" t="n">
        <v>48</v>
      </c>
      <c r="F8740" s="0" t="s">
        <v>153</v>
      </c>
      <c r="I8740" s="0" t="n">
        <v>2683</v>
      </c>
      <c r="J8740" s="0" t="n">
        <v>110489</v>
      </c>
      <c r="K8740" s="0" t="n">
        <v>54743</v>
      </c>
      <c r="L8740" s="0" t="s">
        <v>2550</v>
      </c>
      <c r="N8740" s="0" t="n">
        <v>40</v>
      </c>
      <c r="O8740" s="0" t="n">
        <v>260</v>
      </c>
      <c r="P8740" s="0" t="s">
        <v>2444</v>
      </c>
    </row>
    <row r="8741" customFormat="false" ht="15" hidden="false" customHeight="true" outlineLevel="0" collapsed="false">
      <c r="A8741" s="0" t="n">
        <v>2</v>
      </c>
      <c r="B8741" s="71" t="n">
        <v>46283</v>
      </c>
      <c r="C8741" s="0" t="n">
        <v>6</v>
      </c>
      <c r="D8741" s="0" t="s">
        <v>2553</v>
      </c>
      <c r="E8741" s="0" t="n">
        <v>48</v>
      </c>
      <c r="F8741" s="0" t="s">
        <v>153</v>
      </c>
      <c r="I8741" s="0" t="n">
        <v>2683</v>
      </c>
      <c r="J8741" s="0" t="n">
        <v>74674</v>
      </c>
      <c r="K8741" s="0" t="n">
        <v>741</v>
      </c>
      <c r="L8741" s="0" t="s">
        <v>2738</v>
      </c>
      <c r="N8741" s="0" t="n">
        <v>20</v>
      </c>
      <c r="O8741" s="0" t="n">
        <v>260</v>
      </c>
      <c r="P8741" s="0" t="s">
        <v>2444</v>
      </c>
    </row>
    <row r="8742" customFormat="false" ht="15" hidden="false" customHeight="true" outlineLevel="0" collapsed="false">
      <c r="A8742" s="0" t="n">
        <v>2</v>
      </c>
      <c r="B8742" s="71" t="n">
        <v>46283</v>
      </c>
      <c r="C8742" s="0" t="n">
        <v>6</v>
      </c>
      <c r="D8742" s="0" t="s">
        <v>2553</v>
      </c>
      <c r="E8742" s="0" t="n">
        <v>48</v>
      </c>
      <c r="F8742" s="0" t="s">
        <v>153</v>
      </c>
      <c r="I8742" s="0" t="n">
        <v>2683</v>
      </c>
      <c r="J8742" s="0" t="n">
        <v>80078</v>
      </c>
      <c r="K8742" s="0" t="n">
        <v>710</v>
      </c>
      <c r="L8742" s="0" t="s">
        <v>2551</v>
      </c>
      <c r="N8742" s="0" t="n">
        <v>10</v>
      </c>
      <c r="O8742" s="0" t="n">
        <v>30</v>
      </c>
      <c r="P8742" s="0" t="s">
        <v>2444</v>
      </c>
    </row>
    <row r="8743" customFormat="false" ht="15" hidden="false" customHeight="true" outlineLevel="0" collapsed="false">
      <c r="A8743" s="0" t="n">
        <v>2</v>
      </c>
      <c r="B8743" s="71" t="n">
        <v>46283</v>
      </c>
      <c r="C8743" s="0" t="n">
        <v>6</v>
      </c>
      <c r="D8743" s="0" t="s">
        <v>2553</v>
      </c>
      <c r="E8743" s="0" t="n">
        <v>48</v>
      </c>
      <c r="F8743" s="0" t="s">
        <v>153</v>
      </c>
      <c r="I8743" s="0" t="n">
        <v>2683</v>
      </c>
      <c r="J8743" s="0" t="n">
        <v>81699</v>
      </c>
      <c r="K8743" s="0" t="n">
        <v>1311</v>
      </c>
      <c r="L8743" s="0" t="s">
        <v>4045</v>
      </c>
      <c r="N8743" s="0" t="n">
        <v>20</v>
      </c>
      <c r="O8743" s="0" t="n">
        <v>80</v>
      </c>
      <c r="P8743" s="0" t="s">
        <v>2444</v>
      </c>
    </row>
    <row r="8744" customFormat="false" ht="15" hidden="false" customHeight="true" outlineLevel="0" collapsed="false">
      <c r="A8744" s="0" t="n">
        <v>2</v>
      </c>
      <c r="B8744" s="71" t="n">
        <v>46283</v>
      </c>
      <c r="C8744" s="0" t="n">
        <v>6</v>
      </c>
      <c r="D8744" s="0" t="s">
        <v>2553</v>
      </c>
      <c r="E8744" s="0" t="n">
        <v>48</v>
      </c>
      <c r="F8744" s="0" t="s">
        <v>153</v>
      </c>
      <c r="I8744" s="0" t="n">
        <v>2683</v>
      </c>
      <c r="J8744" s="0" t="n">
        <v>82200</v>
      </c>
      <c r="K8744" s="0" t="n">
        <v>1366</v>
      </c>
      <c r="L8744" s="0" t="s">
        <v>5449</v>
      </c>
      <c r="N8744" s="0" t="n">
        <v>40</v>
      </c>
      <c r="O8744" s="0" t="n">
        <v>200</v>
      </c>
      <c r="P8744" s="0" t="s">
        <v>2444</v>
      </c>
    </row>
    <row r="8745" customFormat="false" ht="15" hidden="false" customHeight="true" outlineLevel="0" collapsed="false">
      <c r="A8745" s="0" t="n">
        <v>2</v>
      </c>
      <c r="B8745" s="71" t="n">
        <v>46283</v>
      </c>
      <c r="C8745" s="0" t="n">
        <v>11</v>
      </c>
      <c r="D8745" s="0" t="s">
        <v>2471</v>
      </c>
      <c r="E8745" s="0" t="n">
        <v>10035</v>
      </c>
      <c r="F8745" s="0" t="s">
        <v>86</v>
      </c>
      <c r="I8745" s="0" t="n">
        <v>444</v>
      </c>
      <c r="J8745" s="0" t="n">
        <v>38652</v>
      </c>
      <c r="K8745" s="0" t="n">
        <v>7898994684220</v>
      </c>
      <c r="L8745" s="0" t="s">
        <v>2711</v>
      </c>
      <c r="N8745" s="0" t="n">
        <v>25</v>
      </c>
      <c r="O8745" s="0" t="n">
        <v>237.5</v>
      </c>
      <c r="P8745" s="0" t="s">
        <v>2444</v>
      </c>
    </row>
    <row r="8746" customFormat="false" ht="15" hidden="false" customHeight="true" outlineLevel="0" collapsed="false">
      <c r="A8746" s="0" t="n">
        <v>2</v>
      </c>
      <c r="B8746" s="71" t="n">
        <v>46283</v>
      </c>
      <c r="C8746" s="0" t="n">
        <v>11</v>
      </c>
      <c r="D8746" s="0" t="s">
        <v>2471</v>
      </c>
      <c r="E8746" s="0" t="n">
        <v>10035</v>
      </c>
      <c r="F8746" s="0" t="s">
        <v>86</v>
      </c>
      <c r="I8746" s="0" t="n">
        <v>444</v>
      </c>
      <c r="J8746" s="0" t="n">
        <v>38653</v>
      </c>
      <c r="K8746" s="0" t="n">
        <v>7898994684275</v>
      </c>
      <c r="L8746" s="0" t="s">
        <v>2712</v>
      </c>
      <c r="N8746" s="0" t="n">
        <v>15</v>
      </c>
      <c r="O8746" s="0" t="n">
        <v>72</v>
      </c>
      <c r="P8746" s="0" t="s">
        <v>2444</v>
      </c>
    </row>
    <row r="8747" customFormat="false" ht="15" hidden="false" customHeight="true" outlineLevel="0" collapsed="false">
      <c r="A8747" s="0" t="n">
        <v>2</v>
      </c>
      <c r="B8747" s="71" t="n">
        <v>46283</v>
      </c>
      <c r="C8747" s="0" t="n">
        <v>11</v>
      </c>
      <c r="D8747" s="0" t="s">
        <v>2471</v>
      </c>
      <c r="E8747" s="0" t="n">
        <v>1263</v>
      </c>
      <c r="F8747" s="0" t="s">
        <v>666</v>
      </c>
      <c r="I8747" s="0" t="n">
        <v>994</v>
      </c>
      <c r="J8747" s="0" t="n">
        <v>82436</v>
      </c>
      <c r="K8747" s="0" t="n">
        <v>7898124508259</v>
      </c>
      <c r="L8747" s="0" t="s">
        <v>5450</v>
      </c>
      <c r="N8747" s="0" t="n">
        <v>3</v>
      </c>
      <c r="O8747" s="0" t="n">
        <v>68.43</v>
      </c>
      <c r="P8747" s="0" t="s">
        <v>2444</v>
      </c>
    </row>
    <row r="8748" customFormat="false" ht="15" hidden="false" customHeight="true" outlineLevel="0" collapsed="false">
      <c r="A8748" s="0" t="n">
        <v>2</v>
      </c>
      <c r="B8748" s="71" t="n">
        <v>46283</v>
      </c>
      <c r="C8748" s="0" t="n">
        <v>11</v>
      </c>
      <c r="D8748" s="0" t="s">
        <v>2471</v>
      </c>
      <c r="E8748" s="0" t="n">
        <v>1263</v>
      </c>
      <c r="F8748" s="0" t="s">
        <v>666</v>
      </c>
      <c r="I8748" s="0" t="n">
        <v>994</v>
      </c>
      <c r="J8748" s="0" t="n">
        <v>82437</v>
      </c>
      <c r="K8748" s="0" t="n">
        <v>7899074790336</v>
      </c>
      <c r="L8748" s="0" t="s">
        <v>5451</v>
      </c>
      <c r="N8748" s="0" t="n">
        <v>6</v>
      </c>
      <c r="O8748" s="0" t="n">
        <v>94.2</v>
      </c>
      <c r="P8748" s="0" t="s">
        <v>2444</v>
      </c>
    </row>
    <row r="8749" customFormat="false" ht="15" hidden="false" customHeight="true" outlineLevel="0" collapsed="false">
      <c r="A8749" s="0" t="n">
        <v>2</v>
      </c>
      <c r="B8749" s="71" t="n">
        <v>46283</v>
      </c>
      <c r="C8749" s="0" t="n">
        <v>11</v>
      </c>
      <c r="D8749" s="0" t="s">
        <v>2471</v>
      </c>
      <c r="E8749" s="0" t="n">
        <v>1263</v>
      </c>
      <c r="F8749" s="0" t="s">
        <v>666</v>
      </c>
      <c r="I8749" s="0" t="n">
        <v>994</v>
      </c>
      <c r="J8749" s="0" t="n">
        <v>82438</v>
      </c>
      <c r="K8749" s="0" t="n">
        <v>7899074724263</v>
      </c>
      <c r="L8749" s="0" t="s">
        <v>5452</v>
      </c>
      <c r="N8749" s="0" t="n">
        <v>6</v>
      </c>
      <c r="O8749" s="0" t="n">
        <v>94.2</v>
      </c>
      <c r="P8749" s="0" t="s">
        <v>2444</v>
      </c>
    </row>
    <row r="8750" customFormat="false" ht="15" hidden="false" customHeight="true" outlineLevel="0" collapsed="false">
      <c r="A8750" s="0" t="n">
        <v>2</v>
      </c>
      <c r="B8750" s="71" t="n">
        <v>46283</v>
      </c>
      <c r="C8750" s="0" t="n">
        <v>11</v>
      </c>
      <c r="D8750" s="0" t="s">
        <v>2471</v>
      </c>
      <c r="E8750" s="0" t="n">
        <v>1263</v>
      </c>
      <c r="F8750" s="0" t="s">
        <v>666</v>
      </c>
      <c r="I8750" s="0" t="n">
        <v>994</v>
      </c>
      <c r="J8750" s="0" t="n">
        <v>82439</v>
      </c>
      <c r="K8750" s="0" t="n">
        <v>7899074724072</v>
      </c>
      <c r="L8750" s="0" t="s">
        <v>5453</v>
      </c>
      <c r="N8750" s="0" t="n">
        <v>6</v>
      </c>
      <c r="O8750" s="0" t="n">
        <v>143.4</v>
      </c>
      <c r="P8750" s="0" t="s">
        <v>2444</v>
      </c>
    </row>
    <row r="8751" customFormat="false" ht="15" hidden="false" customHeight="true" outlineLevel="0" collapsed="false">
      <c r="A8751" s="0" t="n">
        <v>2</v>
      </c>
      <c r="B8751" s="71" t="n">
        <v>46283</v>
      </c>
      <c r="C8751" s="0" t="n">
        <v>11</v>
      </c>
      <c r="D8751" s="0" t="s">
        <v>2471</v>
      </c>
      <c r="E8751" s="0" t="n">
        <v>1263</v>
      </c>
      <c r="F8751" s="0" t="s">
        <v>666</v>
      </c>
      <c r="I8751" s="0" t="n">
        <v>994</v>
      </c>
      <c r="J8751" s="0" t="n">
        <v>82457</v>
      </c>
      <c r="K8751" s="0" t="n">
        <v>9999999018510</v>
      </c>
      <c r="L8751" s="0" t="s">
        <v>5454</v>
      </c>
      <c r="N8751" s="0" t="n">
        <v>8</v>
      </c>
      <c r="O8751" s="0" t="n">
        <v>171.68</v>
      </c>
      <c r="P8751" s="0" t="s">
        <v>2444</v>
      </c>
    </row>
    <row r="8752" customFormat="false" ht="15" hidden="false" customHeight="true" outlineLevel="0" collapsed="false">
      <c r="A8752" s="0" t="n">
        <v>2</v>
      </c>
      <c r="B8752" s="71" t="n">
        <v>46283</v>
      </c>
      <c r="C8752" s="0" t="n">
        <v>11</v>
      </c>
      <c r="D8752" s="0" t="s">
        <v>2471</v>
      </c>
      <c r="E8752" s="0" t="n">
        <v>607</v>
      </c>
      <c r="F8752" s="0" t="s">
        <v>281</v>
      </c>
      <c r="I8752" s="0" t="n">
        <v>11681</v>
      </c>
      <c r="J8752" s="0" t="n">
        <v>110429</v>
      </c>
      <c r="K8752" s="0" t="n">
        <v>51748</v>
      </c>
      <c r="L8752" s="0" t="s">
        <v>3612</v>
      </c>
      <c r="N8752" s="0" t="n">
        <v>151.5</v>
      </c>
      <c r="O8752" s="0" t="n">
        <v>1088.4</v>
      </c>
      <c r="P8752" s="0" t="s">
        <v>2444</v>
      </c>
    </row>
    <row r="8753" customFormat="false" ht="15" hidden="false" customHeight="true" outlineLevel="0" collapsed="false">
      <c r="A8753" s="0" t="n">
        <v>2</v>
      </c>
      <c r="B8753" s="71" t="n">
        <v>46283</v>
      </c>
      <c r="C8753" s="0" t="n">
        <v>11</v>
      </c>
      <c r="D8753" s="0" t="s">
        <v>2471</v>
      </c>
      <c r="E8753" s="0" t="n">
        <v>607</v>
      </c>
      <c r="F8753" s="0" t="s">
        <v>281</v>
      </c>
      <c r="I8753" s="0" t="n">
        <v>11681</v>
      </c>
      <c r="J8753" s="0" t="n">
        <v>110524</v>
      </c>
      <c r="K8753" s="0" t="n">
        <v>57100</v>
      </c>
      <c r="L8753" s="0" t="s">
        <v>3613</v>
      </c>
      <c r="N8753" s="0" t="n">
        <v>151.5</v>
      </c>
      <c r="O8753" s="0" t="n">
        <v>977.55</v>
      </c>
      <c r="P8753" s="0" t="s">
        <v>2444</v>
      </c>
    </row>
    <row r="8754" customFormat="false" ht="15" hidden="false" customHeight="true" outlineLevel="0" collapsed="false">
      <c r="A8754" s="0" t="n">
        <v>2</v>
      </c>
      <c r="B8754" s="71" t="n">
        <v>46283</v>
      </c>
      <c r="C8754" s="0" t="n">
        <v>11</v>
      </c>
      <c r="D8754" s="0" t="s">
        <v>2471</v>
      </c>
      <c r="E8754" s="0" t="n">
        <v>607</v>
      </c>
      <c r="F8754" s="0" t="s">
        <v>281</v>
      </c>
      <c r="I8754" s="0" t="n">
        <v>11681</v>
      </c>
      <c r="J8754" s="0" t="n">
        <v>110547</v>
      </c>
      <c r="K8754" s="0" t="n">
        <v>59436</v>
      </c>
      <c r="L8754" s="0" t="s">
        <v>3614</v>
      </c>
      <c r="N8754" s="0" t="n">
        <v>101</v>
      </c>
      <c r="O8754" s="0" t="n">
        <v>748.9</v>
      </c>
      <c r="P8754" s="0" t="s">
        <v>2444</v>
      </c>
    </row>
    <row r="8755" customFormat="false" ht="15" hidden="false" customHeight="true" outlineLevel="0" collapsed="false">
      <c r="A8755" s="0" t="n">
        <v>2</v>
      </c>
      <c r="B8755" s="71" t="n">
        <v>46283</v>
      </c>
      <c r="C8755" s="0" t="n">
        <v>11</v>
      </c>
      <c r="D8755" s="0" t="s">
        <v>2471</v>
      </c>
      <c r="E8755" s="0" t="n">
        <v>607</v>
      </c>
      <c r="F8755" s="0" t="s">
        <v>281</v>
      </c>
      <c r="I8755" s="0" t="n">
        <v>11681</v>
      </c>
      <c r="J8755" s="0" t="n">
        <v>73858</v>
      </c>
      <c r="K8755" s="0" t="n">
        <v>7898674093052</v>
      </c>
      <c r="L8755" s="0" t="s">
        <v>5455</v>
      </c>
      <c r="N8755" s="0" t="n">
        <v>2</v>
      </c>
      <c r="O8755" s="0" t="n">
        <v>206.26</v>
      </c>
      <c r="P8755" s="0" t="s">
        <v>2444</v>
      </c>
    </row>
    <row r="8756" customFormat="false" ht="15" hidden="false" customHeight="true" outlineLevel="0" collapsed="false">
      <c r="A8756" s="0" t="n">
        <v>2</v>
      </c>
      <c r="B8756" s="71" t="n">
        <v>46283</v>
      </c>
      <c r="C8756" s="0" t="n">
        <v>11</v>
      </c>
      <c r="D8756" s="0" t="s">
        <v>2471</v>
      </c>
      <c r="E8756" s="0" t="n">
        <v>607</v>
      </c>
      <c r="F8756" s="0" t="s">
        <v>281</v>
      </c>
      <c r="I8756" s="0" t="n">
        <v>11681</v>
      </c>
      <c r="J8756" s="0" t="n">
        <v>81788</v>
      </c>
      <c r="K8756" s="0" t="n">
        <v>7898674093472</v>
      </c>
      <c r="L8756" s="0" t="s">
        <v>5456</v>
      </c>
      <c r="N8756" s="0" t="n">
        <v>54</v>
      </c>
      <c r="O8756" s="0" t="n">
        <v>110.22</v>
      </c>
      <c r="P8756" s="0" t="s">
        <v>2444</v>
      </c>
    </row>
    <row r="8757" customFormat="false" ht="15" hidden="false" customHeight="true" outlineLevel="0" collapsed="false">
      <c r="A8757" s="0" t="n">
        <v>2</v>
      </c>
      <c r="B8757" s="71" t="n">
        <v>46283</v>
      </c>
      <c r="C8757" s="0" t="n">
        <v>11</v>
      </c>
      <c r="D8757" s="0" t="s">
        <v>2471</v>
      </c>
      <c r="E8757" s="0" t="n">
        <v>607</v>
      </c>
      <c r="F8757" s="0" t="s">
        <v>281</v>
      </c>
      <c r="I8757" s="0" t="n">
        <v>11681</v>
      </c>
      <c r="J8757" s="0" t="n">
        <v>81789</v>
      </c>
      <c r="K8757" s="0" t="n">
        <v>7898674093427</v>
      </c>
      <c r="L8757" s="0" t="s">
        <v>5457</v>
      </c>
      <c r="N8757" s="0" t="n">
        <v>54</v>
      </c>
      <c r="O8757" s="0" t="n">
        <v>110.22</v>
      </c>
      <c r="P8757" s="0" t="s">
        <v>2444</v>
      </c>
    </row>
    <row r="8758" customFormat="false" ht="15" hidden="false" customHeight="true" outlineLevel="0" collapsed="false">
      <c r="A8758" s="0" t="n">
        <v>2</v>
      </c>
      <c r="B8758" s="71" t="n">
        <v>46283</v>
      </c>
      <c r="C8758" s="0" t="n">
        <v>11</v>
      </c>
      <c r="D8758" s="0" t="s">
        <v>2471</v>
      </c>
      <c r="E8758" s="0" t="n">
        <v>607</v>
      </c>
      <c r="F8758" s="0" t="s">
        <v>281</v>
      </c>
      <c r="I8758" s="0" t="n">
        <v>11681</v>
      </c>
      <c r="J8758" s="0" t="n">
        <v>81790</v>
      </c>
      <c r="K8758" s="0" t="n">
        <v>7898674093465</v>
      </c>
      <c r="L8758" s="0" t="s">
        <v>5458</v>
      </c>
      <c r="N8758" s="0" t="n">
        <v>54</v>
      </c>
      <c r="O8758" s="0" t="n">
        <v>110.22</v>
      </c>
      <c r="P8758" s="0" t="s">
        <v>2444</v>
      </c>
    </row>
    <row r="8759" customFormat="false" ht="15" hidden="false" customHeight="true" outlineLevel="0" collapsed="false">
      <c r="A8759" s="0" t="n">
        <v>2</v>
      </c>
      <c r="B8759" s="71" t="n">
        <v>46283</v>
      </c>
      <c r="C8759" s="0" t="n">
        <v>11</v>
      </c>
      <c r="D8759" s="0" t="s">
        <v>2471</v>
      </c>
      <c r="E8759" s="0" t="n">
        <v>607</v>
      </c>
      <c r="F8759" s="0" t="s">
        <v>281</v>
      </c>
      <c r="I8759" s="0" t="n">
        <v>11681</v>
      </c>
      <c r="J8759" s="0" t="n">
        <v>82390</v>
      </c>
      <c r="K8759" s="0" t="n">
        <v>7898674093410</v>
      </c>
      <c r="L8759" s="0" t="s">
        <v>5459</v>
      </c>
      <c r="N8759" s="0" t="n">
        <v>54</v>
      </c>
      <c r="O8759" s="0" t="n">
        <v>110.22</v>
      </c>
      <c r="P8759" s="0" t="s">
        <v>2444</v>
      </c>
    </row>
    <row r="8760" customFormat="false" ht="15" hidden="false" customHeight="true" outlineLevel="0" collapsed="false">
      <c r="A8760" s="0" t="n">
        <v>2</v>
      </c>
      <c r="B8760" s="71" t="n">
        <v>46283</v>
      </c>
      <c r="C8760" s="0" t="n">
        <v>11</v>
      </c>
      <c r="D8760" s="0" t="s">
        <v>2471</v>
      </c>
      <c r="E8760" s="0" t="n">
        <v>607</v>
      </c>
      <c r="F8760" s="0" t="s">
        <v>281</v>
      </c>
      <c r="I8760" s="0" t="n">
        <v>11681</v>
      </c>
      <c r="J8760" s="0" t="n">
        <v>82391</v>
      </c>
      <c r="K8760" s="0" t="n">
        <v>7898674093441</v>
      </c>
      <c r="L8760" s="0" t="s">
        <v>5460</v>
      </c>
      <c r="N8760" s="0" t="n">
        <v>54</v>
      </c>
      <c r="O8760" s="0" t="n">
        <v>110.22</v>
      </c>
      <c r="P8760" s="0" t="s">
        <v>2444</v>
      </c>
    </row>
    <row r="8761" customFormat="false" ht="15" hidden="false" customHeight="true" outlineLevel="0" collapsed="false">
      <c r="A8761" s="0" t="n">
        <v>2</v>
      </c>
      <c r="B8761" s="71" t="n">
        <v>46283</v>
      </c>
      <c r="C8761" s="0" t="n">
        <v>11</v>
      </c>
      <c r="D8761" s="0" t="s">
        <v>2471</v>
      </c>
      <c r="E8761" s="0" t="n">
        <v>607</v>
      </c>
      <c r="F8761" s="0" t="s">
        <v>281</v>
      </c>
      <c r="I8761" s="0" t="n">
        <v>11681</v>
      </c>
      <c r="J8761" s="0" t="n">
        <v>82412</v>
      </c>
      <c r="K8761" s="0" t="n">
        <v>7898674093991</v>
      </c>
      <c r="L8761" s="0" t="s">
        <v>5461</v>
      </c>
      <c r="N8761" s="0" t="n">
        <v>2</v>
      </c>
      <c r="O8761" s="0" t="n">
        <v>216.56</v>
      </c>
      <c r="P8761" s="0" t="s">
        <v>2444</v>
      </c>
    </row>
    <row r="8762" customFormat="false" ht="15" hidden="false" customHeight="true" outlineLevel="0" collapsed="false">
      <c r="A8762" s="0" t="n">
        <v>2</v>
      </c>
      <c r="B8762" s="71" t="n">
        <v>46283</v>
      </c>
      <c r="C8762" s="0" t="n">
        <v>11</v>
      </c>
      <c r="D8762" s="0" t="s">
        <v>2471</v>
      </c>
      <c r="E8762" s="0" t="n">
        <v>607</v>
      </c>
      <c r="F8762" s="0" t="s">
        <v>281</v>
      </c>
      <c r="I8762" s="0" t="n">
        <v>11681</v>
      </c>
      <c r="J8762" s="0" t="n">
        <v>82488</v>
      </c>
      <c r="K8762" s="0" t="n">
        <v>7898674093007</v>
      </c>
      <c r="L8762" s="0" t="s">
        <v>5462</v>
      </c>
      <c r="N8762" s="0" t="n">
        <v>5</v>
      </c>
      <c r="O8762" s="0" t="n">
        <v>930.7</v>
      </c>
      <c r="P8762" s="0" t="s">
        <v>2444</v>
      </c>
    </row>
    <row r="8763" customFormat="false" ht="15" hidden="false" customHeight="true" outlineLevel="0" collapsed="false">
      <c r="A8763" s="0" t="n">
        <v>2</v>
      </c>
      <c r="B8763" s="71" t="n">
        <v>46283</v>
      </c>
      <c r="C8763" s="0" t="n">
        <v>11</v>
      </c>
      <c r="D8763" s="0" t="s">
        <v>2471</v>
      </c>
      <c r="E8763" s="0" t="n">
        <v>1625</v>
      </c>
      <c r="F8763" s="0" t="s">
        <v>270</v>
      </c>
      <c r="I8763" s="0" t="n">
        <v>15388</v>
      </c>
      <c r="J8763" s="0" t="n">
        <v>29079</v>
      </c>
      <c r="K8763" s="0" t="n">
        <v>55515</v>
      </c>
      <c r="L8763" s="0" t="s">
        <v>2449</v>
      </c>
      <c r="N8763" s="0" t="n">
        <v>66.6</v>
      </c>
      <c r="O8763" s="0" t="n">
        <v>2131.2</v>
      </c>
      <c r="P8763" s="0" t="s">
        <v>2444</v>
      </c>
    </row>
    <row r="8764" customFormat="false" ht="15" hidden="false" customHeight="true" outlineLevel="0" collapsed="false">
      <c r="A8764" s="0" t="n">
        <v>2</v>
      </c>
      <c r="B8764" s="71" t="n">
        <v>46283</v>
      </c>
      <c r="C8764" s="0" t="n">
        <v>11</v>
      </c>
      <c r="D8764" s="0" t="s">
        <v>2471</v>
      </c>
      <c r="E8764" s="0" t="n">
        <v>1625</v>
      </c>
      <c r="F8764" s="0" t="s">
        <v>270</v>
      </c>
      <c r="I8764" s="0" t="n">
        <v>15388</v>
      </c>
      <c r="J8764" s="0" t="n">
        <v>29080</v>
      </c>
      <c r="K8764" s="0" t="n">
        <v>55516</v>
      </c>
      <c r="L8764" s="0" t="s">
        <v>2450</v>
      </c>
      <c r="N8764" s="0" t="n">
        <v>59.6</v>
      </c>
      <c r="O8764" s="0" t="n">
        <v>1311.2</v>
      </c>
      <c r="P8764" s="0" t="s">
        <v>2444</v>
      </c>
    </row>
    <row r="8765" customFormat="false" ht="15" hidden="false" customHeight="true" outlineLevel="0" collapsed="false">
      <c r="A8765" s="0" t="n">
        <v>2</v>
      </c>
      <c r="B8765" s="71" t="n">
        <v>46283</v>
      </c>
      <c r="C8765" s="0" t="n">
        <v>11</v>
      </c>
      <c r="D8765" s="0" t="s">
        <v>2471</v>
      </c>
      <c r="E8765" s="0" t="n">
        <v>1621</v>
      </c>
      <c r="F8765" s="0" t="s">
        <v>232</v>
      </c>
      <c r="I8765" s="0" t="n">
        <v>16306</v>
      </c>
      <c r="J8765" s="0" t="n">
        <v>20242</v>
      </c>
      <c r="K8765" s="0" t="n">
        <v>7891149104932</v>
      </c>
      <c r="L8765" s="0" t="s">
        <v>3771</v>
      </c>
      <c r="N8765" s="0" t="n">
        <v>36</v>
      </c>
      <c r="O8765" s="0" t="n">
        <v>123.05</v>
      </c>
      <c r="P8765" s="0" t="s">
        <v>2444</v>
      </c>
    </row>
    <row r="8766" customFormat="false" ht="15" hidden="false" customHeight="true" outlineLevel="0" collapsed="false">
      <c r="A8766" s="0" t="n">
        <v>2</v>
      </c>
      <c r="B8766" s="71" t="n">
        <v>46283</v>
      </c>
      <c r="C8766" s="0" t="n">
        <v>11</v>
      </c>
      <c r="D8766" s="0" t="s">
        <v>2471</v>
      </c>
      <c r="E8766" s="0" t="n">
        <v>1621</v>
      </c>
      <c r="F8766" s="0" t="s">
        <v>232</v>
      </c>
      <c r="I8766" s="0" t="n">
        <v>16306</v>
      </c>
      <c r="J8766" s="0" t="n">
        <v>103630</v>
      </c>
      <c r="K8766" s="0" t="n">
        <v>7891991004107</v>
      </c>
      <c r="L8766" s="0" t="s">
        <v>3070</v>
      </c>
      <c r="N8766" s="0" t="n">
        <v>90</v>
      </c>
      <c r="O8766" s="0" t="n">
        <v>412.2</v>
      </c>
      <c r="P8766" s="0" t="s">
        <v>2444</v>
      </c>
    </row>
    <row r="8767" customFormat="false" ht="15" hidden="false" customHeight="true" outlineLevel="0" collapsed="false">
      <c r="A8767" s="0" t="n">
        <v>2</v>
      </c>
      <c r="B8767" s="71" t="n">
        <v>46283</v>
      </c>
      <c r="C8767" s="0" t="n">
        <v>11</v>
      </c>
      <c r="D8767" s="0" t="s">
        <v>2471</v>
      </c>
      <c r="E8767" s="0" t="n">
        <v>1621</v>
      </c>
      <c r="F8767" s="0" t="s">
        <v>232</v>
      </c>
      <c r="I8767" s="0" t="n">
        <v>16306</v>
      </c>
      <c r="J8767" s="0" t="n">
        <v>103792</v>
      </c>
      <c r="K8767" s="0" t="n">
        <v>7891149010509</v>
      </c>
      <c r="L8767" s="0" t="s">
        <v>3599</v>
      </c>
      <c r="N8767" s="0" t="n">
        <v>48</v>
      </c>
      <c r="O8767" s="0" t="n">
        <v>155.839992</v>
      </c>
      <c r="P8767" s="0" t="s">
        <v>2444</v>
      </c>
    </row>
    <row r="8768" customFormat="false" ht="15" hidden="false" customHeight="true" outlineLevel="0" collapsed="false">
      <c r="A8768" s="0" t="n">
        <v>2</v>
      </c>
      <c r="B8768" s="71" t="n">
        <v>46283</v>
      </c>
      <c r="C8768" s="0" t="n">
        <v>11</v>
      </c>
      <c r="D8768" s="0" t="s">
        <v>2471</v>
      </c>
      <c r="E8768" s="0" t="n">
        <v>1621</v>
      </c>
      <c r="F8768" s="0" t="s">
        <v>232</v>
      </c>
      <c r="I8768" s="0" t="n">
        <v>16306</v>
      </c>
      <c r="J8768" s="0" t="n">
        <v>26391</v>
      </c>
      <c r="K8768" s="0" t="n">
        <v>7891991010061</v>
      </c>
      <c r="L8768" s="0" t="s">
        <v>3081</v>
      </c>
      <c r="N8768" s="0" t="n">
        <v>15</v>
      </c>
      <c r="O8768" s="0" t="n">
        <v>42.269899</v>
      </c>
      <c r="P8768" s="0" t="s">
        <v>2444</v>
      </c>
    </row>
    <row r="8769" customFormat="false" ht="15" hidden="false" customHeight="true" outlineLevel="0" collapsed="false">
      <c r="A8769" s="0" t="n">
        <v>2</v>
      </c>
      <c r="B8769" s="71" t="n">
        <v>46283</v>
      </c>
      <c r="C8769" s="0" t="n">
        <v>11</v>
      </c>
      <c r="D8769" s="0" t="s">
        <v>2471</v>
      </c>
      <c r="E8769" s="0" t="n">
        <v>1621</v>
      </c>
      <c r="F8769" s="0" t="s">
        <v>232</v>
      </c>
      <c r="I8769" s="0" t="n">
        <v>16306</v>
      </c>
      <c r="J8769" s="0" t="n">
        <v>32100</v>
      </c>
      <c r="K8769" s="0" t="n">
        <v>7891991015493</v>
      </c>
      <c r="L8769" s="0" t="s">
        <v>3774</v>
      </c>
      <c r="N8769" s="0" t="n">
        <v>48</v>
      </c>
      <c r="O8769" s="0" t="n">
        <v>192.840063</v>
      </c>
      <c r="P8769" s="0" t="s">
        <v>2444</v>
      </c>
    </row>
    <row r="8770" customFormat="false" ht="15" hidden="false" customHeight="true" outlineLevel="0" collapsed="false">
      <c r="A8770" s="0" t="n">
        <v>2</v>
      </c>
      <c r="B8770" s="71" t="n">
        <v>46283</v>
      </c>
      <c r="C8770" s="0" t="n">
        <v>11</v>
      </c>
      <c r="D8770" s="0" t="s">
        <v>2471</v>
      </c>
      <c r="E8770" s="0" t="n">
        <v>1621</v>
      </c>
      <c r="F8770" s="0" t="s">
        <v>232</v>
      </c>
      <c r="I8770" s="0" t="n">
        <v>16306</v>
      </c>
      <c r="J8770" s="0" t="n">
        <v>35190</v>
      </c>
      <c r="K8770" s="0" t="n">
        <v>7891991016223</v>
      </c>
      <c r="L8770" s="0" t="s">
        <v>5212</v>
      </c>
      <c r="N8770" s="0" t="n">
        <v>8</v>
      </c>
      <c r="O8770" s="0" t="n">
        <v>33.859932</v>
      </c>
      <c r="P8770" s="0" t="s">
        <v>2444</v>
      </c>
    </row>
    <row r="8771" customFormat="false" ht="15" hidden="false" customHeight="true" outlineLevel="0" collapsed="false">
      <c r="A8771" s="0" t="n">
        <v>2</v>
      </c>
      <c r="B8771" s="71" t="n">
        <v>46283</v>
      </c>
      <c r="C8771" s="0" t="n">
        <v>11</v>
      </c>
      <c r="D8771" s="0" t="s">
        <v>2471</v>
      </c>
      <c r="E8771" s="0" t="n">
        <v>1621</v>
      </c>
      <c r="F8771" s="0" t="s">
        <v>232</v>
      </c>
      <c r="I8771" s="0" t="n">
        <v>16306</v>
      </c>
      <c r="J8771" s="0" t="n">
        <v>48997</v>
      </c>
      <c r="K8771" s="0" t="n">
        <v>7891991302029</v>
      </c>
      <c r="L8771" s="0" t="s">
        <v>5463</v>
      </c>
      <c r="N8771" s="0" t="n">
        <v>32</v>
      </c>
      <c r="O8771" s="0" t="n">
        <v>150.650128</v>
      </c>
      <c r="P8771" s="0" t="s">
        <v>2444</v>
      </c>
    </row>
    <row r="8772" customFormat="false" ht="15" hidden="false" customHeight="true" outlineLevel="0" collapsed="false">
      <c r="A8772" s="0" t="n">
        <v>2</v>
      </c>
      <c r="B8772" s="71" t="n">
        <v>46283</v>
      </c>
      <c r="C8772" s="0" t="n">
        <v>11</v>
      </c>
      <c r="D8772" s="0" t="s">
        <v>2471</v>
      </c>
      <c r="E8772" s="0" t="n">
        <v>1621</v>
      </c>
      <c r="F8772" s="0" t="s">
        <v>232</v>
      </c>
      <c r="I8772" s="0" t="n">
        <v>16306</v>
      </c>
      <c r="J8772" s="0" t="n">
        <v>48997</v>
      </c>
      <c r="K8772" s="0" t="n">
        <v>7891991302029</v>
      </c>
      <c r="L8772" s="0" t="s">
        <v>5463</v>
      </c>
      <c r="N8772" s="0" t="n">
        <v>8</v>
      </c>
      <c r="O8772" s="0" t="n">
        <v>34.580005</v>
      </c>
      <c r="P8772" s="0" t="s">
        <v>2444</v>
      </c>
    </row>
    <row r="8773" customFormat="false" ht="15" hidden="false" customHeight="true" outlineLevel="0" collapsed="false">
      <c r="A8773" s="0" t="n">
        <v>2</v>
      </c>
      <c r="B8773" s="71" t="n">
        <v>46283</v>
      </c>
      <c r="C8773" s="0" t="n">
        <v>11</v>
      </c>
      <c r="D8773" s="0" t="s">
        <v>2471</v>
      </c>
      <c r="E8773" s="0" t="n">
        <v>1621</v>
      </c>
      <c r="F8773" s="0" t="s">
        <v>232</v>
      </c>
      <c r="I8773" s="0" t="n">
        <v>16306</v>
      </c>
      <c r="J8773" s="0" t="n">
        <v>78038</v>
      </c>
      <c r="K8773" s="0" t="n">
        <v>7891991010481</v>
      </c>
      <c r="L8773" s="0" t="s">
        <v>3099</v>
      </c>
      <c r="N8773" s="0" t="n">
        <v>48</v>
      </c>
      <c r="O8773" s="0" t="n">
        <v>176.399916</v>
      </c>
      <c r="P8773" s="0" t="s">
        <v>2444</v>
      </c>
    </row>
    <row r="8774" customFormat="false" ht="15" hidden="false" customHeight="true" outlineLevel="0" collapsed="false">
      <c r="A8774" s="0" t="n">
        <v>2</v>
      </c>
      <c r="B8774" s="71" t="n">
        <v>46283</v>
      </c>
      <c r="C8774" s="0" t="n">
        <v>11</v>
      </c>
      <c r="D8774" s="0" t="s">
        <v>2471</v>
      </c>
      <c r="E8774" s="0" t="n">
        <v>911</v>
      </c>
      <c r="F8774" s="0" t="s">
        <v>487</v>
      </c>
      <c r="I8774" s="0" t="n">
        <v>59578</v>
      </c>
      <c r="J8774" s="0" t="n">
        <v>60347</v>
      </c>
      <c r="K8774" s="0" t="n">
        <v>7898007220728</v>
      </c>
      <c r="L8774" s="0" t="s">
        <v>5232</v>
      </c>
      <c r="N8774" s="0" t="n">
        <v>24</v>
      </c>
      <c r="O8774" s="0" t="n">
        <v>44.32</v>
      </c>
      <c r="P8774" s="0" t="s">
        <v>2444</v>
      </c>
    </row>
    <row r="8775" customFormat="false" ht="15" hidden="false" customHeight="true" outlineLevel="0" collapsed="false">
      <c r="A8775" s="0" t="n">
        <v>2</v>
      </c>
      <c r="B8775" s="71" t="n">
        <v>46283</v>
      </c>
      <c r="C8775" s="0" t="n">
        <v>11</v>
      </c>
      <c r="D8775" s="0" t="s">
        <v>2471</v>
      </c>
      <c r="E8775" s="0" t="n">
        <v>911</v>
      </c>
      <c r="F8775" s="0" t="s">
        <v>487</v>
      </c>
      <c r="I8775" s="0" t="n">
        <v>59578</v>
      </c>
      <c r="J8775" s="0" t="n">
        <v>102391</v>
      </c>
      <c r="K8775" s="0" t="n">
        <v>95188790348</v>
      </c>
      <c r="L8775" s="0" t="s">
        <v>3925</v>
      </c>
      <c r="N8775" s="0" t="n">
        <v>6</v>
      </c>
      <c r="O8775" s="0" t="n">
        <v>45</v>
      </c>
      <c r="P8775" s="0" t="s">
        <v>2444</v>
      </c>
    </row>
    <row r="8776" customFormat="false" ht="15" hidden="false" customHeight="true" outlineLevel="0" collapsed="false">
      <c r="A8776" s="0" t="n">
        <v>2</v>
      </c>
      <c r="B8776" s="71" t="n">
        <v>46283</v>
      </c>
      <c r="C8776" s="0" t="n">
        <v>11</v>
      </c>
      <c r="D8776" s="0" t="s">
        <v>2471</v>
      </c>
      <c r="E8776" s="0" t="n">
        <v>911</v>
      </c>
      <c r="F8776" s="0" t="s">
        <v>487</v>
      </c>
      <c r="I8776" s="0" t="n">
        <v>59578</v>
      </c>
      <c r="J8776" s="0" t="n">
        <v>50676</v>
      </c>
      <c r="K8776" s="0" t="n">
        <v>7898007221176</v>
      </c>
      <c r="L8776" s="0" t="s">
        <v>3029</v>
      </c>
      <c r="N8776" s="0" t="n">
        <v>12</v>
      </c>
      <c r="O8776" s="0" t="n">
        <v>30.6</v>
      </c>
      <c r="P8776" s="0" t="s">
        <v>2444</v>
      </c>
    </row>
    <row r="8777" customFormat="false" ht="15" hidden="false" customHeight="true" outlineLevel="0" collapsed="false">
      <c r="A8777" s="0" t="n">
        <v>2</v>
      </c>
      <c r="B8777" s="71" t="n">
        <v>46283</v>
      </c>
      <c r="C8777" s="0" t="n">
        <v>11</v>
      </c>
      <c r="D8777" s="0" t="s">
        <v>2471</v>
      </c>
      <c r="E8777" s="0" t="n">
        <v>911</v>
      </c>
      <c r="F8777" s="0" t="s">
        <v>487</v>
      </c>
      <c r="I8777" s="0" t="n">
        <v>59578</v>
      </c>
      <c r="J8777" s="0" t="n">
        <v>60811</v>
      </c>
      <c r="K8777" s="0" t="n">
        <v>7898007220162</v>
      </c>
      <c r="L8777" s="0" t="s">
        <v>5233</v>
      </c>
      <c r="N8777" s="0" t="n">
        <v>120</v>
      </c>
      <c r="O8777" s="0" t="n">
        <v>155.02</v>
      </c>
      <c r="P8777" s="0" t="s">
        <v>2444</v>
      </c>
    </row>
    <row r="8778" customFormat="false" ht="15" hidden="false" customHeight="true" outlineLevel="0" collapsed="false">
      <c r="A8778" s="0" t="n">
        <v>2</v>
      </c>
      <c r="B8778" s="71" t="n">
        <v>46283</v>
      </c>
      <c r="C8778" s="0" t="n">
        <v>11</v>
      </c>
      <c r="D8778" s="0" t="s">
        <v>2471</v>
      </c>
      <c r="E8778" s="0" t="n">
        <v>911</v>
      </c>
      <c r="F8778" s="0" t="s">
        <v>487</v>
      </c>
      <c r="I8778" s="0" t="n">
        <v>59578</v>
      </c>
      <c r="J8778" s="0" t="n">
        <v>63644</v>
      </c>
      <c r="K8778" s="0" t="n">
        <v>95188870507</v>
      </c>
      <c r="L8778" s="0" t="s">
        <v>3926</v>
      </c>
      <c r="N8778" s="0" t="n">
        <v>6</v>
      </c>
      <c r="O8778" s="0" t="n">
        <v>59.94</v>
      </c>
      <c r="P8778" s="0" t="s">
        <v>2444</v>
      </c>
    </row>
    <row r="8779" customFormat="false" ht="15" hidden="false" customHeight="true" outlineLevel="0" collapsed="false">
      <c r="A8779" s="0" t="n">
        <v>2</v>
      </c>
      <c r="B8779" s="71" t="n">
        <v>46283</v>
      </c>
      <c r="C8779" s="0" t="n">
        <v>11</v>
      </c>
      <c r="D8779" s="0" t="s">
        <v>2471</v>
      </c>
      <c r="E8779" s="0" t="n">
        <v>911</v>
      </c>
      <c r="F8779" s="0" t="s">
        <v>487</v>
      </c>
      <c r="I8779" s="0" t="n">
        <v>59578</v>
      </c>
      <c r="J8779" s="0" t="n">
        <v>65695</v>
      </c>
      <c r="K8779" s="0" t="n">
        <v>7898007221312</v>
      </c>
      <c r="L8779" s="0" t="s">
        <v>3031</v>
      </c>
      <c r="N8779" s="0" t="n">
        <v>12</v>
      </c>
      <c r="O8779" s="0" t="n">
        <v>30.6</v>
      </c>
      <c r="P8779" s="0" t="s">
        <v>2444</v>
      </c>
    </row>
    <row r="8780" customFormat="false" ht="15" hidden="false" customHeight="true" outlineLevel="0" collapsed="false">
      <c r="A8780" s="0" t="n">
        <v>2</v>
      </c>
      <c r="B8780" s="71" t="n">
        <v>46283</v>
      </c>
      <c r="C8780" s="0" t="n">
        <v>11</v>
      </c>
      <c r="D8780" s="0" t="s">
        <v>2471</v>
      </c>
      <c r="E8780" s="0" t="n">
        <v>1626</v>
      </c>
      <c r="F8780" s="0" t="s">
        <v>77</v>
      </c>
      <c r="I8780" s="0" t="n">
        <v>321762</v>
      </c>
      <c r="J8780" s="0" t="n">
        <v>100058</v>
      </c>
      <c r="K8780" s="0" t="n">
        <v>59</v>
      </c>
      <c r="L8780" s="0" t="s">
        <v>3580</v>
      </c>
      <c r="N8780" s="0" t="n">
        <v>30</v>
      </c>
      <c r="O8780" s="0" t="n">
        <v>569.7</v>
      </c>
      <c r="P8780" s="0" t="s">
        <v>2444</v>
      </c>
    </row>
    <row r="8781" customFormat="false" ht="15" hidden="false" customHeight="true" outlineLevel="0" collapsed="false">
      <c r="A8781" s="0" t="n">
        <v>2</v>
      </c>
      <c r="B8781" s="71" t="n">
        <v>46283</v>
      </c>
      <c r="C8781" s="0" t="n">
        <v>11</v>
      </c>
      <c r="D8781" s="0" t="s">
        <v>2471</v>
      </c>
      <c r="E8781" s="0" t="n">
        <v>1626</v>
      </c>
      <c r="F8781" s="0" t="s">
        <v>77</v>
      </c>
      <c r="I8781" s="0" t="n">
        <v>321762</v>
      </c>
      <c r="J8781" s="0" t="n">
        <v>103851</v>
      </c>
      <c r="K8781" s="0" t="n">
        <v>7893000482401</v>
      </c>
      <c r="L8781" s="0" t="s">
        <v>3759</v>
      </c>
      <c r="N8781" s="0" t="n">
        <v>24</v>
      </c>
      <c r="O8781" s="0" t="n">
        <v>383.76</v>
      </c>
      <c r="P8781" s="0" t="s">
        <v>2444</v>
      </c>
    </row>
    <row r="8782" customFormat="false" ht="15" hidden="false" customHeight="true" outlineLevel="0" collapsed="false">
      <c r="A8782" s="0" t="n">
        <v>2</v>
      </c>
      <c r="B8782" s="71" t="n">
        <v>46283</v>
      </c>
      <c r="C8782" s="0" t="n">
        <v>11</v>
      </c>
      <c r="D8782" s="0" t="s">
        <v>2471</v>
      </c>
      <c r="E8782" s="0" t="n">
        <v>1626</v>
      </c>
      <c r="F8782" s="0" t="s">
        <v>77</v>
      </c>
      <c r="I8782" s="0" t="n">
        <v>321762</v>
      </c>
      <c r="J8782" s="0" t="n">
        <v>16273</v>
      </c>
      <c r="K8782" s="0" t="n">
        <v>7894904003495</v>
      </c>
      <c r="L8782" s="0" t="s">
        <v>4057</v>
      </c>
      <c r="N8782" s="0" t="n">
        <v>72</v>
      </c>
      <c r="O8782" s="0" t="n">
        <v>115.48</v>
      </c>
      <c r="P8782" s="0" t="s">
        <v>2444</v>
      </c>
    </row>
    <row r="8783" customFormat="false" ht="15" hidden="false" customHeight="true" outlineLevel="0" collapsed="false">
      <c r="A8783" s="0" t="n">
        <v>2</v>
      </c>
      <c r="B8783" s="71" t="n">
        <v>46283</v>
      </c>
      <c r="C8783" s="0" t="n">
        <v>11</v>
      </c>
      <c r="D8783" s="0" t="s">
        <v>2471</v>
      </c>
      <c r="E8783" s="0" t="n">
        <v>1626</v>
      </c>
      <c r="F8783" s="0" t="s">
        <v>77</v>
      </c>
      <c r="I8783" s="0" t="n">
        <v>321762</v>
      </c>
      <c r="J8783" s="0" t="n">
        <v>16681</v>
      </c>
      <c r="K8783" s="0" t="n">
        <v>7894904082704</v>
      </c>
      <c r="L8783" s="0" t="s">
        <v>3581</v>
      </c>
      <c r="N8783" s="0" t="n">
        <v>10</v>
      </c>
      <c r="O8783" s="0" t="n">
        <v>155.25</v>
      </c>
      <c r="P8783" s="0" t="s">
        <v>2444</v>
      </c>
    </row>
    <row r="8784" customFormat="false" ht="15" hidden="false" customHeight="true" outlineLevel="0" collapsed="false">
      <c r="A8784" s="0" t="n">
        <v>2</v>
      </c>
      <c r="B8784" s="71" t="n">
        <v>46283</v>
      </c>
      <c r="C8784" s="0" t="n">
        <v>11</v>
      </c>
      <c r="D8784" s="0" t="s">
        <v>2471</v>
      </c>
      <c r="E8784" s="0" t="n">
        <v>1626</v>
      </c>
      <c r="F8784" s="0" t="s">
        <v>77</v>
      </c>
      <c r="I8784" s="0" t="n">
        <v>321762</v>
      </c>
      <c r="J8784" s="0" t="n">
        <v>16832</v>
      </c>
      <c r="K8784" s="0" t="n">
        <v>7894904500116</v>
      </c>
      <c r="L8784" s="0" t="s">
        <v>2601</v>
      </c>
      <c r="N8784" s="0" t="n">
        <v>16</v>
      </c>
      <c r="O8784" s="0" t="n">
        <v>112.23</v>
      </c>
      <c r="P8784" s="0" t="s">
        <v>2444</v>
      </c>
    </row>
    <row r="8785" customFormat="false" ht="15" hidden="false" customHeight="true" outlineLevel="0" collapsed="false">
      <c r="A8785" s="0" t="n">
        <v>2</v>
      </c>
      <c r="B8785" s="71" t="n">
        <v>46283</v>
      </c>
      <c r="C8785" s="0" t="n">
        <v>11</v>
      </c>
      <c r="D8785" s="0" t="s">
        <v>2471</v>
      </c>
      <c r="E8785" s="0" t="n">
        <v>1626</v>
      </c>
      <c r="F8785" s="0" t="s">
        <v>77</v>
      </c>
      <c r="I8785" s="0" t="n">
        <v>321762</v>
      </c>
      <c r="J8785" s="0" t="n">
        <v>21348</v>
      </c>
      <c r="K8785" s="0" t="n">
        <v>7891143013193</v>
      </c>
      <c r="L8785" s="0" t="s">
        <v>3582</v>
      </c>
      <c r="N8785" s="0" t="n">
        <v>12</v>
      </c>
      <c r="O8785" s="0" t="n">
        <v>95.19</v>
      </c>
      <c r="P8785" s="0" t="s">
        <v>2444</v>
      </c>
    </row>
    <row r="8786" customFormat="false" ht="15" hidden="false" customHeight="true" outlineLevel="0" collapsed="false">
      <c r="A8786" s="0" t="n">
        <v>2</v>
      </c>
      <c r="B8786" s="71" t="n">
        <v>46283</v>
      </c>
      <c r="C8786" s="0" t="n">
        <v>11</v>
      </c>
      <c r="D8786" s="0" t="s">
        <v>2471</v>
      </c>
      <c r="E8786" s="0" t="n">
        <v>1626</v>
      </c>
      <c r="F8786" s="0" t="s">
        <v>77</v>
      </c>
      <c r="I8786" s="0" t="n">
        <v>321762</v>
      </c>
      <c r="J8786" s="0" t="n">
        <v>23413</v>
      </c>
      <c r="K8786" s="0" t="n">
        <v>7898542022900</v>
      </c>
      <c r="L8786" s="0" t="s">
        <v>3308</v>
      </c>
      <c r="N8786" s="0" t="n">
        <v>72</v>
      </c>
      <c r="O8786" s="0" t="n">
        <v>101.51</v>
      </c>
      <c r="P8786" s="0" t="s">
        <v>2444</v>
      </c>
    </row>
    <row r="8787" customFormat="false" ht="15" hidden="false" customHeight="true" outlineLevel="0" collapsed="false">
      <c r="A8787" s="0" t="n">
        <v>2</v>
      </c>
      <c r="B8787" s="71" t="n">
        <v>46283</v>
      </c>
      <c r="C8787" s="0" t="n">
        <v>11</v>
      </c>
      <c r="D8787" s="0" t="s">
        <v>2471</v>
      </c>
      <c r="E8787" s="0" t="n">
        <v>1626</v>
      </c>
      <c r="F8787" s="0" t="s">
        <v>77</v>
      </c>
      <c r="I8787" s="0" t="n">
        <v>321762</v>
      </c>
      <c r="J8787" s="0" t="n">
        <v>28140</v>
      </c>
      <c r="K8787" s="0" t="n">
        <v>7894904985500</v>
      </c>
      <c r="L8787" s="0" t="s">
        <v>5464</v>
      </c>
      <c r="N8787" s="0" t="n">
        <v>36</v>
      </c>
      <c r="O8787" s="0" t="n">
        <v>394.37</v>
      </c>
      <c r="P8787" s="0" t="s">
        <v>2444</v>
      </c>
    </row>
    <row r="8788" customFormat="false" ht="15" hidden="false" customHeight="true" outlineLevel="0" collapsed="false">
      <c r="A8788" s="0" t="n">
        <v>2</v>
      </c>
      <c r="B8788" s="71" t="n">
        <v>46283</v>
      </c>
      <c r="C8788" s="0" t="n">
        <v>11</v>
      </c>
      <c r="D8788" s="0" t="s">
        <v>2471</v>
      </c>
      <c r="E8788" s="0" t="n">
        <v>1626</v>
      </c>
      <c r="F8788" s="0" t="s">
        <v>77</v>
      </c>
      <c r="I8788" s="0" t="n">
        <v>321762</v>
      </c>
      <c r="J8788" s="0" t="n">
        <v>36202</v>
      </c>
      <c r="K8788" s="0" t="n">
        <v>7898268720531</v>
      </c>
      <c r="L8788" s="0" t="s">
        <v>4058</v>
      </c>
      <c r="N8788" s="0" t="n">
        <v>12</v>
      </c>
      <c r="O8788" s="0" t="n">
        <v>71.79</v>
      </c>
      <c r="P8788" s="0" t="s">
        <v>2444</v>
      </c>
    </row>
    <row r="8789" customFormat="false" ht="15" hidden="false" customHeight="true" outlineLevel="0" collapsed="false">
      <c r="A8789" s="0" t="n">
        <v>2</v>
      </c>
      <c r="B8789" s="71" t="n">
        <v>46283</v>
      </c>
      <c r="C8789" s="0" t="n">
        <v>11</v>
      </c>
      <c r="D8789" s="0" t="s">
        <v>2471</v>
      </c>
      <c r="E8789" s="0" t="n">
        <v>1626</v>
      </c>
      <c r="F8789" s="0" t="s">
        <v>77</v>
      </c>
      <c r="I8789" s="0" t="n">
        <v>321762</v>
      </c>
      <c r="J8789" s="0" t="n">
        <v>56951</v>
      </c>
      <c r="K8789" s="0" t="n">
        <v>7894904280001</v>
      </c>
      <c r="L8789" s="0" t="s">
        <v>3587</v>
      </c>
      <c r="N8789" s="0" t="n">
        <v>25</v>
      </c>
      <c r="O8789" s="0" t="n">
        <v>106.25</v>
      </c>
      <c r="P8789" s="0" t="s">
        <v>2444</v>
      </c>
    </row>
    <row r="8790" customFormat="false" ht="15" hidden="false" customHeight="true" outlineLevel="0" collapsed="false">
      <c r="A8790" s="0" t="n">
        <v>2</v>
      </c>
      <c r="B8790" s="71" t="n">
        <v>46283</v>
      </c>
      <c r="C8790" s="0" t="n">
        <v>11</v>
      </c>
      <c r="D8790" s="0" t="s">
        <v>2471</v>
      </c>
      <c r="E8790" s="0" t="n">
        <v>1626</v>
      </c>
      <c r="F8790" s="0" t="s">
        <v>77</v>
      </c>
      <c r="I8790" s="0" t="n">
        <v>321762</v>
      </c>
      <c r="J8790" s="0" t="n">
        <v>79706</v>
      </c>
      <c r="K8790" s="0" t="n">
        <v>7894904605002</v>
      </c>
      <c r="L8790" s="0" t="s">
        <v>4059</v>
      </c>
      <c r="N8790" s="0" t="n">
        <v>12</v>
      </c>
      <c r="O8790" s="0" t="n">
        <v>107.83</v>
      </c>
      <c r="P8790" s="0" t="s">
        <v>2444</v>
      </c>
    </row>
    <row r="8791" customFormat="false" ht="15" hidden="false" customHeight="true" outlineLevel="0" collapsed="false">
      <c r="A8791" s="0" t="n">
        <v>2</v>
      </c>
      <c r="B8791" s="71" t="n">
        <v>46283</v>
      </c>
      <c r="C8791" s="0" t="n">
        <v>11</v>
      </c>
      <c r="D8791" s="0" t="s">
        <v>2471</v>
      </c>
      <c r="E8791" s="0" t="n">
        <v>1675</v>
      </c>
      <c r="F8791" s="0" t="s">
        <v>289</v>
      </c>
      <c r="I8791" s="0" t="n">
        <v>515341</v>
      </c>
      <c r="J8791" s="0" t="n">
        <v>101986</v>
      </c>
      <c r="K8791" s="0" t="n">
        <v>7896005286524</v>
      </c>
      <c r="L8791" s="0" t="s">
        <v>4401</v>
      </c>
      <c r="N8791" s="0" t="n">
        <v>72</v>
      </c>
      <c r="O8791" s="0" t="n">
        <v>308.88</v>
      </c>
      <c r="P8791" s="0" t="s">
        <v>2444</v>
      </c>
    </row>
    <row r="8792" customFormat="false" ht="15" hidden="false" customHeight="true" outlineLevel="0" collapsed="false">
      <c r="A8792" s="0" t="n">
        <v>2</v>
      </c>
      <c r="B8792" s="71" t="n">
        <v>46283</v>
      </c>
      <c r="C8792" s="0" t="n">
        <v>11</v>
      </c>
      <c r="D8792" s="0" t="s">
        <v>2471</v>
      </c>
      <c r="E8792" s="0" t="n">
        <v>1675</v>
      </c>
      <c r="F8792" s="0" t="s">
        <v>289</v>
      </c>
      <c r="I8792" s="0" t="n">
        <v>515341</v>
      </c>
      <c r="J8792" s="0" t="n">
        <v>46984</v>
      </c>
      <c r="K8792" s="0" t="n">
        <v>7896005286593</v>
      </c>
      <c r="L8792" s="0" t="s">
        <v>5465</v>
      </c>
      <c r="N8792" s="0" t="n">
        <v>24</v>
      </c>
      <c r="O8792" s="0" t="n">
        <v>116.4</v>
      </c>
      <c r="P8792" s="0" t="s">
        <v>2444</v>
      </c>
    </row>
    <row r="8793" customFormat="false" ht="15" hidden="false" customHeight="true" outlineLevel="0" collapsed="false">
      <c r="A8793" s="0" t="n">
        <v>2</v>
      </c>
      <c r="B8793" s="71" t="n">
        <v>46283</v>
      </c>
      <c r="C8793" s="0" t="n">
        <v>11</v>
      </c>
      <c r="D8793" s="0" t="s">
        <v>2471</v>
      </c>
      <c r="E8793" s="0" t="n">
        <v>1675</v>
      </c>
      <c r="F8793" s="0" t="s">
        <v>289</v>
      </c>
      <c r="I8793" s="0" t="n">
        <v>515341</v>
      </c>
      <c r="J8793" s="0" t="n">
        <v>67456</v>
      </c>
      <c r="K8793" s="0" t="n">
        <v>7896005281710</v>
      </c>
      <c r="L8793" s="0" t="s">
        <v>5466</v>
      </c>
      <c r="N8793" s="0" t="n">
        <v>24</v>
      </c>
      <c r="O8793" s="0" t="n">
        <v>116.4</v>
      </c>
      <c r="P8793" s="0" t="s">
        <v>2444</v>
      </c>
    </row>
    <row r="8794" customFormat="false" ht="15" hidden="false" customHeight="true" outlineLevel="0" collapsed="false">
      <c r="A8794" s="0" t="n">
        <v>2</v>
      </c>
      <c r="B8794" s="71" t="n">
        <v>46283</v>
      </c>
      <c r="C8794" s="0" t="n">
        <v>11</v>
      </c>
      <c r="D8794" s="0" t="s">
        <v>2471</v>
      </c>
      <c r="E8794" s="0" t="n">
        <v>1642</v>
      </c>
      <c r="F8794" s="0" t="s">
        <v>228</v>
      </c>
      <c r="I8794" s="0" t="n">
        <v>1042436</v>
      </c>
      <c r="J8794" s="0" t="n">
        <v>105779</v>
      </c>
      <c r="K8794" s="0" t="n">
        <v>7896289211274</v>
      </c>
      <c r="L8794" s="0" t="s">
        <v>5467</v>
      </c>
      <c r="N8794" s="0" t="n">
        <v>1</v>
      </c>
      <c r="O8794" s="0" t="n">
        <v>16.87</v>
      </c>
      <c r="P8794" s="0" t="s">
        <v>2444</v>
      </c>
    </row>
    <row r="8795" customFormat="false" ht="15" hidden="false" customHeight="true" outlineLevel="0" collapsed="false">
      <c r="A8795" s="0" t="n">
        <v>2</v>
      </c>
      <c r="B8795" s="71" t="n">
        <v>46283</v>
      </c>
      <c r="C8795" s="0" t="n">
        <v>11</v>
      </c>
      <c r="D8795" s="0" t="s">
        <v>2471</v>
      </c>
      <c r="E8795" s="0" t="n">
        <v>1642</v>
      </c>
      <c r="F8795" s="0" t="s">
        <v>228</v>
      </c>
      <c r="I8795" s="0" t="n">
        <v>1042436</v>
      </c>
      <c r="J8795" s="0" t="n">
        <v>105780</v>
      </c>
      <c r="K8795" s="0" t="n">
        <v>7896289210017</v>
      </c>
      <c r="L8795" s="0" t="s">
        <v>2511</v>
      </c>
      <c r="N8795" s="0" t="n">
        <v>10</v>
      </c>
      <c r="O8795" s="0" t="n">
        <v>106.7</v>
      </c>
      <c r="P8795" s="0" t="s">
        <v>2444</v>
      </c>
    </row>
    <row r="8796" customFormat="false" ht="15" hidden="false" customHeight="true" outlineLevel="0" collapsed="false">
      <c r="A8796" s="0" t="n">
        <v>2</v>
      </c>
      <c r="B8796" s="71" t="n">
        <v>46283</v>
      </c>
      <c r="C8796" s="0" t="n">
        <v>11</v>
      </c>
      <c r="D8796" s="0" t="s">
        <v>2471</v>
      </c>
      <c r="E8796" s="0" t="n">
        <v>1642</v>
      </c>
      <c r="F8796" s="0" t="s">
        <v>228</v>
      </c>
      <c r="I8796" s="0" t="n">
        <v>1042436</v>
      </c>
      <c r="J8796" s="0" t="n">
        <v>105782</v>
      </c>
      <c r="K8796" s="0" t="n">
        <v>7896289210352</v>
      </c>
      <c r="L8796" s="0" t="s">
        <v>2512</v>
      </c>
      <c r="N8796" s="0" t="n">
        <v>5</v>
      </c>
      <c r="O8796" s="0" t="n">
        <v>34.3</v>
      </c>
      <c r="P8796" s="0" t="s">
        <v>2444</v>
      </c>
    </row>
    <row r="8797" customFormat="false" ht="15" hidden="false" customHeight="true" outlineLevel="0" collapsed="false">
      <c r="A8797" s="0" t="n">
        <v>2</v>
      </c>
      <c r="B8797" s="71" t="n">
        <v>46283</v>
      </c>
      <c r="C8797" s="0" t="n">
        <v>11</v>
      </c>
      <c r="D8797" s="0" t="s">
        <v>2471</v>
      </c>
      <c r="E8797" s="0" t="n">
        <v>1642</v>
      </c>
      <c r="F8797" s="0" t="s">
        <v>228</v>
      </c>
      <c r="I8797" s="0" t="n">
        <v>1042436</v>
      </c>
      <c r="J8797" s="0" t="n">
        <v>106079</v>
      </c>
      <c r="K8797" s="0" t="n">
        <v>7896289210130</v>
      </c>
      <c r="L8797" s="0" t="s">
        <v>2513</v>
      </c>
      <c r="N8797" s="0" t="n">
        <v>2</v>
      </c>
      <c r="O8797" s="0" t="n">
        <v>27.4</v>
      </c>
      <c r="P8797" s="0" t="s">
        <v>2444</v>
      </c>
    </row>
    <row r="8798" customFormat="false" ht="15" hidden="false" customHeight="true" outlineLevel="0" collapsed="false">
      <c r="A8798" s="0" t="n">
        <v>2</v>
      </c>
      <c r="B8798" s="71" t="n">
        <v>46283</v>
      </c>
      <c r="C8798" s="0" t="n">
        <v>11</v>
      </c>
      <c r="D8798" s="0" t="s">
        <v>2471</v>
      </c>
      <c r="E8798" s="0" t="n">
        <v>1642</v>
      </c>
      <c r="F8798" s="0" t="s">
        <v>228</v>
      </c>
      <c r="I8798" s="0" t="n">
        <v>1042436</v>
      </c>
      <c r="J8798" s="0" t="n">
        <v>106274</v>
      </c>
      <c r="K8798" s="0" t="n">
        <v>7896289210086</v>
      </c>
      <c r="L8798" s="0" t="s">
        <v>2514</v>
      </c>
      <c r="N8798" s="0" t="n">
        <v>4</v>
      </c>
      <c r="O8798" s="0" t="n">
        <v>50.24</v>
      </c>
      <c r="P8798" s="0" t="s">
        <v>2444</v>
      </c>
    </row>
    <row r="8799" customFormat="false" ht="15" hidden="false" customHeight="true" outlineLevel="0" collapsed="false">
      <c r="A8799" s="0" t="n">
        <v>2</v>
      </c>
      <c r="B8799" s="71" t="n">
        <v>46283</v>
      </c>
      <c r="C8799" s="0" t="n">
        <v>11</v>
      </c>
      <c r="D8799" s="0" t="s">
        <v>2471</v>
      </c>
      <c r="E8799" s="0" t="n">
        <v>1642</v>
      </c>
      <c r="F8799" s="0" t="s">
        <v>228</v>
      </c>
      <c r="I8799" s="0" t="n">
        <v>1042436</v>
      </c>
      <c r="J8799" s="0" t="n">
        <v>106280</v>
      </c>
      <c r="K8799" s="0" t="n">
        <v>7896289210062</v>
      </c>
      <c r="L8799" s="0" t="s">
        <v>2515</v>
      </c>
      <c r="N8799" s="0" t="n">
        <v>3</v>
      </c>
      <c r="O8799" s="0" t="n">
        <v>37.68</v>
      </c>
      <c r="P8799" s="0" t="s">
        <v>2444</v>
      </c>
    </row>
    <row r="8800" customFormat="false" ht="15" hidden="false" customHeight="true" outlineLevel="0" collapsed="false">
      <c r="A8800" s="0" t="n">
        <v>2</v>
      </c>
      <c r="B8800" s="71" t="n">
        <v>46283</v>
      </c>
      <c r="C8800" s="0" t="n">
        <v>11</v>
      </c>
      <c r="D8800" s="0" t="s">
        <v>2471</v>
      </c>
      <c r="E8800" s="0" t="n">
        <v>1642</v>
      </c>
      <c r="F8800" s="0" t="s">
        <v>228</v>
      </c>
      <c r="I8800" s="0" t="n">
        <v>1042436</v>
      </c>
      <c r="J8800" s="0" t="n">
        <v>106407</v>
      </c>
      <c r="K8800" s="0" t="n">
        <v>7896289210031</v>
      </c>
      <c r="L8800" s="0" t="s">
        <v>2516</v>
      </c>
      <c r="N8800" s="0" t="n">
        <v>5</v>
      </c>
      <c r="O8800" s="0" t="n">
        <v>58.2</v>
      </c>
      <c r="P8800" s="0" t="s">
        <v>2444</v>
      </c>
    </row>
    <row r="8801" customFormat="false" ht="15" hidden="false" customHeight="true" outlineLevel="0" collapsed="false">
      <c r="A8801" s="0" t="n">
        <v>2</v>
      </c>
      <c r="B8801" s="71" t="n">
        <v>46283</v>
      </c>
      <c r="C8801" s="0" t="n">
        <v>11</v>
      </c>
      <c r="D8801" s="0" t="s">
        <v>2471</v>
      </c>
      <c r="E8801" s="0" t="n">
        <v>1705</v>
      </c>
      <c r="F8801" s="0" t="s">
        <v>130</v>
      </c>
      <c r="I8801" s="0" t="n">
        <v>1294293</v>
      </c>
      <c r="J8801" s="0" t="n">
        <v>21183</v>
      </c>
      <c r="K8801" s="0" t="n">
        <v>7894900556063</v>
      </c>
      <c r="L8801" s="0" t="s">
        <v>4364</v>
      </c>
      <c r="N8801" s="0" t="n">
        <v>6</v>
      </c>
      <c r="O8801" s="0" t="n">
        <v>43.22</v>
      </c>
      <c r="P8801" s="0" t="s">
        <v>2444</v>
      </c>
    </row>
    <row r="8802" customFormat="false" ht="15" hidden="false" customHeight="true" outlineLevel="0" collapsed="false">
      <c r="A8802" s="0" t="n">
        <v>2</v>
      </c>
      <c r="B8802" s="71" t="n">
        <v>46283</v>
      </c>
      <c r="C8802" s="0" t="n">
        <v>11</v>
      </c>
      <c r="D8802" s="0" t="s">
        <v>2471</v>
      </c>
      <c r="E8802" s="0" t="n">
        <v>1705</v>
      </c>
      <c r="F8802" s="0" t="s">
        <v>130</v>
      </c>
      <c r="I8802" s="0" t="n">
        <v>1294293</v>
      </c>
      <c r="J8802" s="0" t="n">
        <v>22346</v>
      </c>
      <c r="K8802" s="0" t="n">
        <v>7894900150018</v>
      </c>
      <c r="L8802" s="0" t="s">
        <v>5468</v>
      </c>
      <c r="N8802" s="0" t="n">
        <v>6</v>
      </c>
      <c r="O8802" s="0" t="n">
        <v>17.34</v>
      </c>
      <c r="P8802" s="0" t="s">
        <v>2444</v>
      </c>
    </row>
    <row r="8803" customFormat="false" ht="15" hidden="false" customHeight="true" outlineLevel="0" collapsed="false">
      <c r="A8803" s="0" t="n">
        <v>2</v>
      </c>
      <c r="B8803" s="71" t="n">
        <v>46283</v>
      </c>
      <c r="C8803" s="0" t="n">
        <v>11</v>
      </c>
      <c r="D8803" s="0" t="s">
        <v>2471</v>
      </c>
      <c r="E8803" s="0" t="n">
        <v>1705</v>
      </c>
      <c r="F8803" s="0" t="s">
        <v>130</v>
      </c>
      <c r="I8803" s="0" t="n">
        <v>1294293</v>
      </c>
      <c r="J8803" s="0" t="n">
        <v>22893</v>
      </c>
      <c r="K8803" s="0" t="n">
        <v>7894900550061</v>
      </c>
      <c r="L8803" s="0" t="s">
        <v>3885</v>
      </c>
      <c r="N8803" s="0" t="n">
        <v>6</v>
      </c>
      <c r="O8803" s="0" t="n">
        <v>43.22</v>
      </c>
      <c r="P8803" s="0" t="s">
        <v>2444</v>
      </c>
    </row>
    <row r="8804" customFormat="false" ht="15" hidden="false" customHeight="true" outlineLevel="0" collapsed="false">
      <c r="A8804" s="0" t="n">
        <v>2</v>
      </c>
      <c r="B8804" s="71" t="n">
        <v>46283</v>
      </c>
      <c r="C8804" s="0" t="n">
        <v>11</v>
      </c>
      <c r="D8804" s="0" t="s">
        <v>2471</v>
      </c>
      <c r="E8804" s="0" t="n">
        <v>1705</v>
      </c>
      <c r="F8804" s="0" t="s">
        <v>130</v>
      </c>
      <c r="I8804" s="0" t="n">
        <v>1294293</v>
      </c>
      <c r="J8804" s="0" t="n">
        <v>29614</v>
      </c>
      <c r="K8804" s="0" t="n">
        <v>7894900550030</v>
      </c>
      <c r="L8804" s="0" t="s">
        <v>3553</v>
      </c>
      <c r="N8804" s="0" t="n">
        <v>12</v>
      </c>
      <c r="O8804" s="0" t="n">
        <v>72.89</v>
      </c>
      <c r="P8804" s="0" t="s">
        <v>2444</v>
      </c>
    </row>
    <row r="8805" customFormat="false" ht="15" hidden="false" customHeight="true" outlineLevel="0" collapsed="false">
      <c r="A8805" s="0" t="n">
        <v>2</v>
      </c>
      <c r="B8805" s="71" t="n">
        <v>46283</v>
      </c>
      <c r="C8805" s="0" t="n">
        <v>11</v>
      </c>
      <c r="D8805" s="0" t="s">
        <v>2471</v>
      </c>
      <c r="E8805" s="0" t="n">
        <v>1705</v>
      </c>
      <c r="F8805" s="0" t="s">
        <v>130</v>
      </c>
      <c r="I8805" s="0" t="n">
        <v>1295018</v>
      </c>
      <c r="J8805" s="0" t="n">
        <v>24324</v>
      </c>
      <c r="K8805" s="0" t="n">
        <v>70847022015</v>
      </c>
      <c r="L8805" s="0" t="s">
        <v>2462</v>
      </c>
      <c r="N8805" s="0" t="n">
        <v>72</v>
      </c>
      <c r="O8805" s="0" t="n">
        <v>610.26</v>
      </c>
      <c r="P8805" s="0" t="s">
        <v>2444</v>
      </c>
    </row>
    <row r="8806" customFormat="false" ht="15" hidden="false" customHeight="true" outlineLevel="0" collapsed="false">
      <c r="A8806" s="0" t="n">
        <v>2</v>
      </c>
      <c r="B8806" s="71" t="n">
        <v>46283</v>
      </c>
      <c r="C8806" s="0" t="n">
        <v>11</v>
      </c>
      <c r="D8806" s="0" t="s">
        <v>2471</v>
      </c>
      <c r="E8806" s="0" t="n">
        <v>1705</v>
      </c>
      <c r="F8806" s="0" t="s">
        <v>130</v>
      </c>
      <c r="I8806" s="0" t="n">
        <v>1295018</v>
      </c>
      <c r="J8806" s="0" t="n">
        <v>74598</v>
      </c>
      <c r="K8806" s="0" t="n">
        <v>7898938890113</v>
      </c>
      <c r="L8806" s="0" t="s">
        <v>4657</v>
      </c>
      <c r="N8806" s="0" t="n">
        <v>12</v>
      </c>
      <c r="O8806" s="0" t="n">
        <v>101.71</v>
      </c>
      <c r="P8806" s="0" t="s">
        <v>2444</v>
      </c>
    </row>
    <row r="8807" customFormat="false" ht="15" hidden="false" customHeight="true" outlineLevel="0" collapsed="false">
      <c r="A8807" s="0" t="n">
        <v>2</v>
      </c>
      <c r="B8807" s="71" t="n">
        <v>46283</v>
      </c>
      <c r="C8807" s="0" t="n">
        <v>11</v>
      </c>
      <c r="D8807" s="0" t="s">
        <v>2471</v>
      </c>
      <c r="E8807" s="0" t="n">
        <v>1705</v>
      </c>
      <c r="F8807" s="0" t="s">
        <v>130</v>
      </c>
      <c r="I8807" s="0" t="n">
        <v>1295018</v>
      </c>
      <c r="J8807" s="0" t="n">
        <v>78241</v>
      </c>
      <c r="K8807" s="0" t="n">
        <v>7898938890120</v>
      </c>
      <c r="L8807" s="0" t="s">
        <v>5295</v>
      </c>
      <c r="N8807" s="0" t="n">
        <v>12</v>
      </c>
      <c r="O8807" s="0" t="n">
        <v>101.71</v>
      </c>
      <c r="P8807" s="0" t="s">
        <v>2444</v>
      </c>
    </row>
    <row r="8808" customFormat="false" ht="15" hidden="false" customHeight="true" outlineLevel="0" collapsed="false">
      <c r="A8808" s="0" t="n">
        <v>2</v>
      </c>
      <c r="B8808" s="71" t="n">
        <v>46283</v>
      </c>
      <c r="C8808" s="0" t="n">
        <v>11</v>
      </c>
      <c r="D8808" s="0" t="s">
        <v>2471</v>
      </c>
      <c r="E8808" s="0" t="n">
        <v>1705</v>
      </c>
      <c r="F8808" s="0" t="s">
        <v>130</v>
      </c>
      <c r="I8808" s="0" t="n">
        <v>1295018</v>
      </c>
      <c r="J8808" s="0" t="n">
        <v>81668</v>
      </c>
      <c r="K8808" s="0" t="n">
        <v>7898770420011</v>
      </c>
      <c r="L8808" s="0" t="s">
        <v>3884</v>
      </c>
      <c r="N8808" s="0" t="n">
        <v>12</v>
      </c>
      <c r="O8808" s="0" t="n">
        <v>101.71</v>
      </c>
      <c r="P8808" s="0" t="s">
        <v>2444</v>
      </c>
    </row>
    <row r="8809" customFormat="false" ht="15" hidden="false" customHeight="true" outlineLevel="0" collapsed="false">
      <c r="A8809" s="0" t="n">
        <v>2</v>
      </c>
      <c r="B8809" s="71" t="n">
        <v>46283</v>
      </c>
      <c r="C8809" s="0" t="n">
        <v>11</v>
      </c>
      <c r="D8809" s="0" t="s">
        <v>2471</v>
      </c>
      <c r="E8809" s="0" t="n">
        <v>1613</v>
      </c>
      <c r="F8809" s="0" t="s">
        <v>50</v>
      </c>
      <c r="I8809" s="0" t="n">
        <v>1632482</v>
      </c>
      <c r="J8809" s="0" t="n">
        <v>103795</v>
      </c>
      <c r="K8809" s="0" t="n">
        <v>7893000436800</v>
      </c>
      <c r="L8809" s="0" t="s">
        <v>2970</v>
      </c>
      <c r="N8809" s="0" t="n">
        <v>12</v>
      </c>
      <c r="O8809" s="0" t="n">
        <v>116.76</v>
      </c>
      <c r="P8809" s="0" t="s">
        <v>2444</v>
      </c>
    </row>
    <row r="8810" customFormat="false" ht="15" hidden="false" customHeight="true" outlineLevel="0" collapsed="false">
      <c r="A8810" s="0" t="n">
        <v>2</v>
      </c>
      <c r="B8810" s="71" t="n">
        <v>46283</v>
      </c>
      <c r="C8810" s="0" t="n">
        <v>11</v>
      </c>
      <c r="D8810" s="0" t="s">
        <v>2471</v>
      </c>
      <c r="E8810" s="0" t="n">
        <v>1613</v>
      </c>
      <c r="F8810" s="0" t="s">
        <v>50</v>
      </c>
      <c r="I8810" s="0" t="n">
        <v>1632482</v>
      </c>
      <c r="J8810" s="0" t="n">
        <v>104014</v>
      </c>
      <c r="K8810" s="0" t="n">
        <v>7893000863125</v>
      </c>
      <c r="L8810" s="0" t="s">
        <v>2973</v>
      </c>
      <c r="N8810" s="0" t="n">
        <v>12</v>
      </c>
      <c r="O8810" s="0" t="n">
        <v>183.12</v>
      </c>
      <c r="P8810" s="0" t="s">
        <v>2444</v>
      </c>
    </row>
    <row r="8811" customFormat="false" ht="15" hidden="false" customHeight="true" outlineLevel="0" collapsed="false">
      <c r="A8811" s="0" t="n">
        <v>2</v>
      </c>
      <c r="B8811" s="71" t="n">
        <v>46283</v>
      </c>
      <c r="C8811" s="0" t="n">
        <v>11</v>
      </c>
      <c r="D8811" s="0" t="s">
        <v>2471</v>
      </c>
      <c r="E8811" s="0" t="n">
        <v>1613</v>
      </c>
      <c r="F8811" s="0" t="s">
        <v>50</v>
      </c>
      <c r="I8811" s="0" t="n">
        <v>1632482</v>
      </c>
      <c r="J8811" s="0" t="n">
        <v>108550</v>
      </c>
      <c r="K8811" s="0" t="n">
        <v>7893000674233</v>
      </c>
      <c r="L8811" s="0" t="s">
        <v>3761</v>
      </c>
      <c r="N8811" s="0" t="n">
        <v>12</v>
      </c>
      <c r="O8811" s="0" t="n">
        <v>123.37</v>
      </c>
      <c r="P8811" s="0" t="s">
        <v>2444</v>
      </c>
    </row>
    <row r="8812" customFormat="false" ht="15" hidden="false" customHeight="true" outlineLevel="0" collapsed="false">
      <c r="A8812" s="0" t="n">
        <v>2</v>
      </c>
      <c r="B8812" s="71" t="n">
        <v>46283</v>
      </c>
      <c r="C8812" s="0" t="n">
        <v>11</v>
      </c>
      <c r="D8812" s="0" t="s">
        <v>2471</v>
      </c>
      <c r="E8812" s="0" t="n">
        <v>1613</v>
      </c>
      <c r="F8812" s="0" t="s">
        <v>50</v>
      </c>
      <c r="I8812" s="0" t="n">
        <v>1632482</v>
      </c>
      <c r="J8812" s="0" t="n">
        <v>108581</v>
      </c>
      <c r="K8812" s="0" t="n">
        <v>7893000949355</v>
      </c>
      <c r="L8812" s="0" t="s">
        <v>2975</v>
      </c>
      <c r="N8812" s="0" t="n">
        <v>16</v>
      </c>
      <c r="O8812" s="0" t="n">
        <v>136.72</v>
      </c>
      <c r="P8812" s="0" t="s">
        <v>2444</v>
      </c>
    </row>
    <row r="8813" customFormat="false" ht="15" hidden="false" customHeight="true" outlineLevel="0" collapsed="false">
      <c r="A8813" s="0" t="n">
        <v>2</v>
      </c>
      <c r="B8813" s="71" t="n">
        <v>46283</v>
      </c>
      <c r="C8813" s="0" t="n">
        <v>11</v>
      </c>
      <c r="D8813" s="0" t="s">
        <v>2471</v>
      </c>
      <c r="E8813" s="0" t="n">
        <v>1613</v>
      </c>
      <c r="F8813" s="0" t="s">
        <v>50</v>
      </c>
      <c r="I8813" s="0" t="n">
        <v>1632482</v>
      </c>
      <c r="J8813" s="0" t="n">
        <v>23694</v>
      </c>
      <c r="K8813" s="0" t="n">
        <v>7891515474737</v>
      </c>
      <c r="L8813" s="0" t="s">
        <v>2978</v>
      </c>
      <c r="N8813" s="0" t="n">
        <v>90</v>
      </c>
      <c r="O8813" s="0" t="n">
        <v>139.62</v>
      </c>
      <c r="P8813" s="0" t="s">
        <v>2444</v>
      </c>
    </row>
    <row r="8814" customFormat="false" ht="15" hidden="false" customHeight="true" outlineLevel="0" collapsed="false">
      <c r="A8814" s="0" t="n">
        <v>2</v>
      </c>
      <c r="B8814" s="71" t="n">
        <v>46283</v>
      </c>
      <c r="C8814" s="0" t="n">
        <v>11</v>
      </c>
      <c r="D8814" s="0" t="s">
        <v>2471</v>
      </c>
      <c r="E8814" s="0" t="n">
        <v>1613</v>
      </c>
      <c r="F8814" s="0" t="s">
        <v>50</v>
      </c>
      <c r="I8814" s="0" t="n">
        <v>1632482</v>
      </c>
      <c r="J8814" s="0" t="n">
        <v>23695</v>
      </c>
      <c r="K8814" s="0" t="n">
        <v>7891515474126</v>
      </c>
      <c r="L8814" s="0" t="s">
        <v>2979</v>
      </c>
      <c r="N8814" s="0" t="n">
        <v>90</v>
      </c>
      <c r="O8814" s="0" t="n">
        <v>147.38</v>
      </c>
      <c r="P8814" s="0" t="s">
        <v>2444</v>
      </c>
    </row>
    <row r="8815" customFormat="false" ht="15" hidden="false" customHeight="true" outlineLevel="0" collapsed="false">
      <c r="A8815" s="0" t="n">
        <v>2</v>
      </c>
      <c r="B8815" s="71" t="n">
        <v>46283</v>
      </c>
      <c r="C8815" s="0" t="n">
        <v>11</v>
      </c>
      <c r="D8815" s="0" t="s">
        <v>2471</v>
      </c>
      <c r="E8815" s="0" t="n">
        <v>1613</v>
      </c>
      <c r="F8815" s="0" t="s">
        <v>50</v>
      </c>
      <c r="I8815" s="0" t="n">
        <v>1632482</v>
      </c>
      <c r="J8815" s="0" t="n">
        <v>36042</v>
      </c>
      <c r="K8815" s="0" t="n">
        <v>7891515428617</v>
      </c>
      <c r="L8815" s="0" t="s">
        <v>5469</v>
      </c>
      <c r="N8815" s="0" t="n">
        <v>15</v>
      </c>
      <c r="O8815" s="0" t="n">
        <v>59.76</v>
      </c>
      <c r="P8815" s="0" t="s">
        <v>2444</v>
      </c>
    </row>
    <row r="8816" customFormat="false" ht="15" hidden="false" customHeight="true" outlineLevel="0" collapsed="false">
      <c r="A8816" s="0" t="n">
        <v>2</v>
      </c>
      <c r="B8816" s="71" t="n">
        <v>46283</v>
      </c>
      <c r="C8816" s="0" t="n">
        <v>11</v>
      </c>
      <c r="D8816" s="0" t="s">
        <v>2471</v>
      </c>
      <c r="E8816" s="0" t="n">
        <v>1705</v>
      </c>
      <c r="F8816" s="0" t="s">
        <v>130</v>
      </c>
      <c r="I8816" s="0" t="n">
        <v>2047847</v>
      </c>
      <c r="J8816" s="0" t="n">
        <v>103139</v>
      </c>
      <c r="K8816" s="0" t="n">
        <v>7894900051759</v>
      </c>
      <c r="L8816" s="0" t="s">
        <v>2654</v>
      </c>
      <c r="N8816" s="0" t="n">
        <v>18</v>
      </c>
      <c r="O8816" s="0" t="n">
        <v>101.83</v>
      </c>
      <c r="P8816" s="0" t="s">
        <v>2444</v>
      </c>
    </row>
    <row r="8817" customFormat="false" ht="15" hidden="false" customHeight="true" outlineLevel="0" collapsed="false">
      <c r="A8817" s="0" t="n">
        <v>2</v>
      </c>
      <c r="B8817" s="71" t="n">
        <v>46283</v>
      </c>
      <c r="C8817" s="0" t="n">
        <v>11</v>
      </c>
      <c r="D8817" s="0" t="s">
        <v>2471</v>
      </c>
      <c r="E8817" s="0" t="n">
        <v>1705</v>
      </c>
      <c r="F8817" s="0" t="s">
        <v>130</v>
      </c>
      <c r="I8817" s="0" t="n">
        <v>2047847</v>
      </c>
      <c r="J8817" s="0" t="n">
        <v>103140</v>
      </c>
      <c r="K8817" s="0" t="n">
        <v>7894900031751</v>
      </c>
      <c r="L8817" s="0" t="s">
        <v>2655</v>
      </c>
      <c r="N8817" s="0" t="n">
        <v>18</v>
      </c>
      <c r="O8817" s="0" t="n">
        <v>101.83</v>
      </c>
      <c r="P8817" s="0" t="s">
        <v>2444</v>
      </c>
    </row>
    <row r="8818" customFormat="false" ht="15" hidden="false" customHeight="true" outlineLevel="0" collapsed="false">
      <c r="A8818" s="0" t="n">
        <v>2</v>
      </c>
      <c r="B8818" s="71" t="n">
        <v>46283</v>
      </c>
      <c r="C8818" s="0" t="n">
        <v>11</v>
      </c>
      <c r="D8818" s="0" t="s">
        <v>2471</v>
      </c>
      <c r="E8818" s="0" t="n">
        <v>1705</v>
      </c>
      <c r="F8818" s="0" t="s">
        <v>130</v>
      </c>
      <c r="I8818" s="0" t="n">
        <v>2047847</v>
      </c>
      <c r="J8818" s="0" t="n">
        <v>103145</v>
      </c>
      <c r="K8818" s="0" t="n">
        <v>7894900051513</v>
      </c>
      <c r="L8818" s="0" t="s">
        <v>2995</v>
      </c>
      <c r="N8818" s="0" t="n">
        <v>12</v>
      </c>
      <c r="O8818" s="0" t="n">
        <v>89.99</v>
      </c>
      <c r="P8818" s="0" t="s">
        <v>2444</v>
      </c>
    </row>
    <row r="8819" customFormat="false" ht="15" hidden="false" customHeight="true" outlineLevel="0" collapsed="false">
      <c r="A8819" s="0" t="n">
        <v>2</v>
      </c>
      <c r="B8819" s="71" t="n">
        <v>46283</v>
      </c>
      <c r="C8819" s="0" t="n">
        <v>11</v>
      </c>
      <c r="D8819" s="0" t="s">
        <v>2471</v>
      </c>
      <c r="E8819" s="0" t="n">
        <v>1705</v>
      </c>
      <c r="F8819" s="0" t="s">
        <v>130</v>
      </c>
      <c r="I8819" s="0" t="n">
        <v>2047847</v>
      </c>
      <c r="J8819" s="0" t="n">
        <v>103161</v>
      </c>
      <c r="K8819" s="0" t="n">
        <v>7894900010015</v>
      </c>
      <c r="L8819" s="0" t="s">
        <v>2569</v>
      </c>
      <c r="N8819" s="0" t="n">
        <v>60</v>
      </c>
      <c r="O8819" s="0" t="n">
        <v>192.31</v>
      </c>
      <c r="P8819" s="0" t="s">
        <v>2444</v>
      </c>
    </row>
    <row r="8820" customFormat="false" ht="15" hidden="false" customHeight="true" outlineLevel="0" collapsed="false">
      <c r="A8820" s="0" t="n">
        <v>2</v>
      </c>
      <c r="B8820" s="71" t="n">
        <v>46283</v>
      </c>
      <c r="C8820" s="0" t="n">
        <v>11</v>
      </c>
      <c r="D8820" s="0" t="s">
        <v>2471</v>
      </c>
      <c r="E8820" s="0" t="n">
        <v>1705</v>
      </c>
      <c r="F8820" s="0" t="s">
        <v>130</v>
      </c>
      <c r="I8820" s="0" t="n">
        <v>2047847</v>
      </c>
      <c r="J8820" s="0" t="n">
        <v>105323</v>
      </c>
      <c r="K8820" s="0" t="n">
        <v>7894900701753</v>
      </c>
      <c r="L8820" s="0" t="s">
        <v>2570</v>
      </c>
      <c r="N8820" s="0" t="n">
        <v>30</v>
      </c>
      <c r="O8820" s="0" t="n">
        <v>182.84</v>
      </c>
      <c r="P8820" s="0" t="s">
        <v>2444</v>
      </c>
    </row>
    <row r="8821" customFormat="false" ht="15" hidden="false" customHeight="true" outlineLevel="0" collapsed="false">
      <c r="A8821" s="0" t="n">
        <v>2</v>
      </c>
      <c r="B8821" s="71" t="n">
        <v>46283</v>
      </c>
      <c r="C8821" s="0" t="n">
        <v>11</v>
      </c>
      <c r="D8821" s="0" t="s">
        <v>2471</v>
      </c>
      <c r="E8821" s="0" t="n">
        <v>1705</v>
      </c>
      <c r="F8821" s="0" t="s">
        <v>130</v>
      </c>
      <c r="I8821" s="0" t="n">
        <v>2047847</v>
      </c>
      <c r="J8821" s="0" t="n">
        <v>107100</v>
      </c>
      <c r="K8821" s="0" t="n">
        <v>7894900700015</v>
      </c>
      <c r="L8821" s="0" t="s">
        <v>2572</v>
      </c>
      <c r="N8821" s="0" t="n">
        <v>24</v>
      </c>
      <c r="O8821" s="0" t="n">
        <v>74.97</v>
      </c>
      <c r="P8821" s="0" t="s">
        <v>2444</v>
      </c>
    </row>
    <row r="8822" customFormat="false" ht="15" hidden="false" customHeight="true" outlineLevel="0" collapsed="false">
      <c r="A8822" s="0" t="n">
        <v>2</v>
      </c>
      <c r="B8822" s="71" t="n">
        <v>46283</v>
      </c>
      <c r="C8822" s="0" t="n">
        <v>11</v>
      </c>
      <c r="D8822" s="0" t="s">
        <v>2471</v>
      </c>
      <c r="E8822" s="0" t="n">
        <v>1705</v>
      </c>
      <c r="F8822" s="0" t="s">
        <v>130</v>
      </c>
      <c r="I8822" s="0" t="n">
        <v>2047847</v>
      </c>
      <c r="J8822" s="0" t="n">
        <v>10830</v>
      </c>
      <c r="K8822" s="0" t="n">
        <v>7894900701517</v>
      </c>
      <c r="L8822" s="0" t="s">
        <v>2573</v>
      </c>
      <c r="N8822" s="0" t="n">
        <v>30</v>
      </c>
      <c r="O8822" s="0" t="n">
        <v>256.72</v>
      </c>
      <c r="P8822" s="0" t="s">
        <v>2444</v>
      </c>
    </row>
    <row r="8823" customFormat="false" ht="15" hidden="false" customHeight="true" outlineLevel="0" collapsed="false">
      <c r="A8823" s="0" t="n">
        <v>2</v>
      </c>
      <c r="B8823" s="71" t="n">
        <v>46283</v>
      </c>
      <c r="C8823" s="0" t="n">
        <v>11</v>
      </c>
      <c r="D8823" s="0" t="s">
        <v>2471</v>
      </c>
      <c r="E8823" s="0" t="n">
        <v>1705</v>
      </c>
      <c r="F8823" s="0" t="s">
        <v>130</v>
      </c>
      <c r="I8823" s="0" t="n">
        <v>2047847</v>
      </c>
      <c r="J8823" s="0" t="n">
        <v>11678</v>
      </c>
      <c r="K8823" s="0" t="n">
        <v>7894900701593</v>
      </c>
      <c r="L8823" s="0" t="s">
        <v>2468</v>
      </c>
      <c r="N8823" s="0" t="n">
        <v>30</v>
      </c>
      <c r="O8823" s="0" t="n">
        <v>289.99</v>
      </c>
      <c r="P8823" s="0" t="s">
        <v>2444</v>
      </c>
    </row>
    <row r="8824" customFormat="false" ht="15" hidden="false" customHeight="true" outlineLevel="0" collapsed="false">
      <c r="A8824" s="0" t="n">
        <v>2</v>
      </c>
      <c r="B8824" s="71" t="n">
        <v>46283</v>
      </c>
      <c r="C8824" s="0" t="n">
        <v>11</v>
      </c>
      <c r="D8824" s="0" t="s">
        <v>2471</v>
      </c>
      <c r="E8824" s="0" t="n">
        <v>1705</v>
      </c>
      <c r="F8824" s="0" t="s">
        <v>130</v>
      </c>
      <c r="I8824" s="0" t="n">
        <v>2047847</v>
      </c>
      <c r="J8824" s="0" t="n">
        <v>21425</v>
      </c>
      <c r="K8824" s="0" t="n">
        <v>7894900034219</v>
      </c>
      <c r="L8824" s="0" t="s">
        <v>2469</v>
      </c>
      <c r="N8824" s="0" t="n">
        <v>9</v>
      </c>
      <c r="O8824" s="0" t="n">
        <v>52.56</v>
      </c>
      <c r="P8824" s="0" t="s">
        <v>2444</v>
      </c>
    </row>
    <row r="8825" customFormat="false" ht="15" hidden="false" customHeight="true" outlineLevel="0" collapsed="false">
      <c r="A8825" s="0" t="n">
        <v>2</v>
      </c>
      <c r="B8825" s="71" t="n">
        <v>46283</v>
      </c>
      <c r="C8825" s="0" t="n">
        <v>11</v>
      </c>
      <c r="D8825" s="0" t="s">
        <v>2471</v>
      </c>
      <c r="E8825" s="0" t="n">
        <v>1705</v>
      </c>
      <c r="F8825" s="0" t="s">
        <v>130</v>
      </c>
      <c r="I8825" s="0" t="n">
        <v>2047847</v>
      </c>
      <c r="J8825" s="0" t="n">
        <v>21426</v>
      </c>
      <c r="K8825" s="0" t="n">
        <v>7894900014211</v>
      </c>
      <c r="L8825" s="0" t="s">
        <v>2470</v>
      </c>
      <c r="N8825" s="0" t="n">
        <v>45</v>
      </c>
      <c r="O8825" s="0" t="n">
        <v>301.74</v>
      </c>
      <c r="P8825" s="0" t="s">
        <v>2444</v>
      </c>
    </row>
    <row r="8826" customFormat="false" ht="15" hidden="false" customHeight="true" outlineLevel="0" collapsed="false">
      <c r="A8826" s="0" t="n">
        <v>2</v>
      </c>
      <c r="B8826" s="71" t="n">
        <v>46283</v>
      </c>
      <c r="C8826" s="0" t="n">
        <v>11</v>
      </c>
      <c r="D8826" s="0" t="s">
        <v>2471</v>
      </c>
      <c r="E8826" s="0" t="n">
        <v>1705</v>
      </c>
      <c r="F8826" s="0" t="s">
        <v>130</v>
      </c>
      <c r="I8826" s="0" t="n">
        <v>2047847</v>
      </c>
      <c r="J8826" s="0" t="n">
        <v>27673</v>
      </c>
      <c r="K8826" s="0" t="n">
        <v>7894900701715</v>
      </c>
      <c r="L8826" s="0" t="s">
        <v>2660</v>
      </c>
      <c r="N8826" s="0" t="n">
        <v>30</v>
      </c>
      <c r="O8826" s="0" t="n">
        <v>182.23</v>
      </c>
      <c r="P8826" s="0" t="s">
        <v>2444</v>
      </c>
    </row>
    <row r="8827" customFormat="false" ht="15" hidden="false" customHeight="true" outlineLevel="0" collapsed="false">
      <c r="A8827" s="0" t="n">
        <v>2</v>
      </c>
      <c r="B8827" s="71" t="n">
        <v>46283</v>
      </c>
      <c r="C8827" s="0" t="n">
        <v>11</v>
      </c>
      <c r="D8827" s="0" t="s">
        <v>2471</v>
      </c>
      <c r="E8827" s="0" t="n">
        <v>1705</v>
      </c>
      <c r="F8827" s="0" t="s">
        <v>130</v>
      </c>
      <c r="I8827" s="0" t="n">
        <v>2047847</v>
      </c>
      <c r="J8827" s="0" t="n">
        <v>28739</v>
      </c>
      <c r="K8827" s="0" t="n">
        <v>7894900027044</v>
      </c>
      <c r="L8827" s="0" t="s">
        <v>2658</v>
      </c>
      <c r="N8827" s="0" t="n">
        <v>48</v>
      </c>
      <c r="O8827" s="0" t="n">
        <v>306.23</v>
      </c>
      <c r="P8827" s="0" t="s">
        <v>2444</v>
      </c>
    </row>
    <row r="8828" customFormat="false" ht="15" hidden="false" customHeight="true" outlineLevel="0" collapsed="false">
      <c r="A8828" s="0" t="n">
        <v>2</v>
      </c>
      <c r="B8828" s="71" t="n">
        <v>46283</v>
      </c>
      <c r="C8828" s="0" t="n">
        <v>11</v>
      </c>
      <c r="D8828" s="0" t="s">
        <v>2471</v>
      </c>
      <c r="E8828" s="0" t="n">
        <v>1705</v>
      </c>
      <c r="F8828" s="0" t="s">
        <v>130</v>
      </c>
      <c r="I8828" s="0" t="n">
        <v>2047847</v>
      </c>
      <c r="J8828" s="0" t="n">
        <v>34629</v>
      </c>
      <c r="K8828" s="0" t="n">
        <v>7894900027020</v>
      </c>
      <c r="L8828" s="0" t="s">
        <v>2478</v>
      </c>
      <c r="N8828" s="0" t="n">
        <v>30</v>
      </c>
      <c r="O8828" s="0" t="n">
        <v>297.92</v>
      </c>
      <c r="P8828" s="0" t="s">
        <v>2444</v>
      </c>
    </row>
    <row r="8829" customFormat="false" ht="15" hidden="false" customHeight="true" outlineLevel="0" collapsed="false">
      <c r="A8829" s="0" t="n">
        <v>2</v>
      </c>
      <c r="B8829" s="71" t="n">
        <v>46283</v>
      </c>
      <c r="C8829" s="0" t="n">
        <v>11</v>
      </c>
      <c r="D8829" s="0" t="s">
        <v>2471</v>
      </c>
      <c r="E8829" s="0" t="n">
        <v>1705</v>
      </c>
      <c r="F8829" s="0" t="s">
        <v>130</v>
      </c>
      <c r="I8829" s="0" t="n">
        <v>2047847</v>
      </c>
      <c r="J8829" s="0" t="n">
        <v>37279</v>
      </c>
      <c r="K8829" s="0" t="n">
        <v>7894900027013</v>
      </c>
      <c r="L8829" s="0" t="s">
        <v>2575</v>
      </c>
      <c r="N8829" s="0" t="n">
        <v>60</v>
      </c>
      <c r="O8829" s="0" t="n">
        <v>529.3</v>
      </c>
      <c r="P8829" s="0" t="s">
        <v>2444</v>
      </c>
    </row>
    <row r="8830" customFormat="false" ht="15" hidden="false" customHeight="true" outlineLevel="0" collapsed="false">
      <c r="A8830" s="0" t="n">
        <v>2</v>
      </c>
      <c r="B8830" s="71" t="n">
        <v>46283</v>
      </c>
      <c r="C8830" s="0" t="n">
        <v>11</v>
      </c>
      <c r="D8830" s="0" t="s">
        <v>2471</v>
      </c>
      <c r="E8830" s="0" t="n">
        <v>1705</v>
      </c>
      <c r="F8830" s="0" t="s">
        <v>130</v>
      </c>
      <c r="I8830" s="0" t="n">
        <v>2047847</v>
      </c>
      <c r="J8830" s="0" t="n">
        <v>38060</v>
      </c>
      <c r="K8830" s="0" t="n">
        <v>7894900701609</v>
      </c>
      <c r="L8830" s="0" t="s">
        <v>2576</v>
      </c>
      <c r="N8830" s="0" t="n">
        <v>12</v>
      </c>
      <c r="O8830" s="0" t="n">
        <v>44.08</v>
      </c>
      <c r="P8830" s="0" t="s">
        <v>2444</v>
      </c>
    </row>
    <row r="8831" customFormat="false" ht="15" hidden="false" customHeight="true" outlineLevel="0" collapsed="false">
      <c r="A8831" s="0" t="n">
        <v>2</v>
      </c>
      <c r="B8831" s="71" t="n">
        <v>46283</v>
      </c>
      <c r="C8831" s="0" t="n">
        <v>11</v>
      </c>
      <c r="D8831" s="0" t="s">
        <v>2471</v>
      </c>
      <c r="E8831" s="0" t="n">
        <v>1705</v>
      </c>
      <c r="F8831" s="0" t="s">
        <v>130</v>
      </c>
      <c r="I8831" s="0" t="n">
        <v>2047847</v>
      </c>
      <c r="J8831" s="0" t="n">
        <v>41322</v>
      </c>
      <c r="K8831" s="0" t="n">
        <v>7897105200076</v>
      </c>
      <c r="L8831" s="0" t="s">
        <v>2661</v>
      </c>
      <c r="N8831" s="0" t="n">
        <v>18</v>
      </c>
      <c r="O8831" s="0" t="n">
        <v>61.36</v>
      </c>
      <c r="P8831" s="0" t="s">
        <v>2444</v>
      </c>
    </row>
    <row r="8832" customFormat="false" ht="15" hidden="false" customHeight="true" outlineLevel="0" collapsed="false">
      <c r="A8832" s="0" t="n">
        <v>2</v>
      </c>
      <c r="B8832" s="71" t="n">
        <v>46283</v>
      </c>
      <c r="C8832" s="0" t="n">
        <v>22</v>
      </c>
      <c r="D8832" s="0" t="s">
        <v>2479</v>
      </c>
      <c r="E8832" s="0" t="n">
        <v>48</v>
      </c>
      <c r="F8832" s="0" t="s">
        <v>153</v>
      </c>
      <c r="I8832" s="0" t="n">
        <v>2681</v>
      </c>
      <c r="J8832" s="0" t="n">
        <v>100000</v>
      </c>
      <c r="K8832" s="0" t="n">
        <v>1</v>
      </c>
      <c r="L8832" s="0" t="s">
        <v>2480</v>
      </c>
      <c r="N8832" s="0" t="n">
        <v>2.53</v>
      </c>
      <c r="O8832" s="0" t="n">
        <v>46.47</v>
      </c>
      <c r="P8832" s="0" t="s">
        <v>2444</v>
      </c>
    </row>
    <row r="8833" customFormat="false" ht="15" hidden="false" customHeight="true" outlineLevel="0" collapsed="false">
      <c r="A8833" s="0" t="n">
        <v>2</v>
      </c>
      <c r="B8833" s="71" t="n">
        <v>46283</v>
      </c>
      <c r="C8833" s="0" t="n">
        <v>22</v>
      </c>
      <c r="D8833" s="0" t="s">
        <v>2479</v>
      </c>
      <c r="E8833" s="0" t="n">
        <v>48</v>
      </c>
      <c r="F8833" s="0" t="s">
        <v>153</v>
      </c>
      <c r="I8833" s="0" t="n">
        <v>2681</v>
      </c>
      <c r="J8833" s="0" t="n">
        <v>100000</v>
      </c>
      <c r="K8833" s="0" t="n">
        <v>1</v>
      </c>
      <c r="L8833" s="0" t="s">
        <v>2480</v>
      </c>
      <c r="N8833" s="0" t="n">
        <v>2.774</v>
      </c>
      <c r="O8833" s="0" t="n">
        <v>55.31</v>
      </c>
      <c r="P8833" s="0" t="s">
        <v>2444</v>
      </c>
    </row>
    <row r="8834" customFormat="false" ht="15" hidden="false" customHeight="true" outlineLevel="0" collapsed="false">
      <c r="A8834" s="0" t="n">
        <v>2</v>
      </c>
      <c r="B8834" s="71" t="n">
        <v>46283</v>
      </c>
      <c r="C8834" s="0" t="n">
        <v>22</v>
      </c>
      <c r="D8834" s="0" t="s">
        <v>2479</v>
      </c>
      <c r="E8834" s="0" t="n">
        <v>48</v>
      </c>
      <c r="F8834" s="0" t="s">
        <v>153</v>
      </c>
      <c r="I8834" s="0" t="n">
        <v>2681</v>
      </c>
      <c r="J8834" s="0" t="n">
        <v>100001</v>
      </c>
      <c r="K8834" s="0" t="n">
        <v>2</v>
      </c>
      <c r="L8834" s="0" t="s">
        <v>2481</v>
      </c>
      <c r="N8834" s="0" t="n">
        <v>11.15</v>
      </c>
      <c r="O8834" s="0" t="n">
        <v>221.85</v>
      </c>
      <c r="P8834" s="0" t="s">
        <v>2444</v>
      </c>
    </row>
    <row r="8835" customFormat="false" ht="15" hidden="false" customHeight="true" outlineLevel="0" collapsed="false">
      <c r="A8835" s="0" t="n">
        <v>2</v>
      </c>
      <c r="B8835" s="71" t="n">
        <v>46283</v>
      </c>
      <c r="C8835" s="0" t="n">
        <v>22</v>
      </c>
      <c r="D8835" s="0" t="s">
        <v>2479</v>
      </c>
      <c r="E8835" s="0" t="n">
        <v>48</v>
      </c>
      <c r="F8835" s="0" t="s">
        <v>153</v>
      </c>
      <c r="I8835" s="0" t="n">
        <v>2681</v>
      </c>
      <c r="J8835" s="0" t="n">
        <v>100002</v>
      </c>
      <c r="K8835" s="0" t="n">
        <v>3</v>
      </c>
      <c r="L8835" s="0" t="s">
        <v>2482</v>
      </c>
      <c r="N8835" s="0" t="n">
        <v>18.54</v>
      </c>
      <c r="O8835" s="0" t="n">
        <v>425.67</v>
      </c>
      <c r="P8835" s="0" t="s">
        <v>2444</v>
      </c>
    </row>
    <row r="8836" customFormat="false" ht="15" hidden="false" customHeight="true" outlineLevel="0" collapsed="false">
      <c r="A8836" s="0" t="n">
        <v>2</v>
      </c>
      <c r="B8836" s="71" t="n">
        <v>46283</v>
      </c>
      <c r="C8836" s="0" t="n">
        <v>22</v>
      </c>
      <c r="D8836" s="0" t="s">
        <v>2479</v>
      </c>
      <c r="E8836" s="0" t="n">
        <v>48</v>
      </c>
      <c r="F8836" s="0" t="s">
        <v>153</v>
      </c>
      <c r="I8836" s="0" t="n">
        <v>2681</v>
      </c>
      <c r="J8836" s="0" t="n">
        <v>100003</v>
      </c>
      <c r="K8836" s="0" t="n">
        <v>4</v>
      </c>
      <c r="L8836" s="0" t="s">
        <v>2483</v>
      </c>
      <c r="N8836" s="0" t="n">
        <v>15.25</v>
      </c>
      <c r="O8836" s="0" t="n">
        <v>373.48</v>
      </c>
      <c r="P8836" s="0" t="s">
        <v>2444</v>
      </c>
    </row>
    <row r="8837" customFormat="false" ht="15" hidden="false" customHeight="true" outlineLevel="0" collapsed="false">
      <c r="A8837" s="0" t="n">
        <v>2</v>
      </c>
      <c r="B8837" s="71" t="n">
        <v>46283</v>
      </c>
      <c r="C8837" s="0" t="n">
        <v>22</v>
      </c>
      <c r="D8837" s="0" t="s">
        <v>2479</v>
      </c>
      <c r="E8837" s="0" t="n">
        <v>48</v>
      </c>
      <c r="F8837" s="0" t="s">
        <v>153</v>
      </c>
      <c r="I8837" s="0" t="n">
        <v>2681</v>
      </c>
      <c r="J8837" s="0" t="n">
        <v>100004</v>
      </c>
      <c r="K8837" s="0" t="n">
        <v>5</v>
      </c>
      <c r="L8837" s="0" t="s">
        <v>2484</v>
      </c>
      <c r="N8837" s="0" t="n">
        <v>1.11</v>
      </c>
      <c r="O8837" s="0" t="n">
        <v>23.79</v>
      </c>
      <c r="P8837" s="0" t="s">
        <v>2444</v>
      </c>
    </row>
    <row r="8838" customFormat="false" ht="15" hidden="false" customHeight="true" outlineLevel="0" collapsed="false">
      <c r="A8838" s="0" t="n">
        <v>2</v>
      </c>
      <c r="B8838" s="71" t="n">
        <v>46283</v>
      </c>
      <c r="C8838" s="0" t="n">
        <v>22</v>
      </c>
      <c r="D8838" s="0" t="s">
        <v>2479</v>
      </c>
      <c r="E8838" s="0" t="n">
        <v>48</v>
      </c>
      <c r="F8838" s="0" t="s">
        <v>153</v>
      </c>
      <c r="I8838" s="0" t="n">
        <v>2681</v>
      </c>
      <c r="J8838" s="0" t="n">
        <v>100005</v>
      </c>
      <c r="K8838" s="0" t="n">
        <v>6</v>
      </c>
      <c r="L8838" s="0" t="s">
        <v>2582</v>
      </c>
      <c r="N8838" s="0" t="n">
        <v>3.5</v>
      </c>
      <c r="O8838" s="0" t="n">
        <v>80.36</v>
      </c>
      <c r="P8838" s="0" t="s">
        <v>2444</v>
      </c>
    </row>
    <row r="8839" customFormat="false" ht="15" hidden="false" customHeight="true" outlineLevel="0" collapsed="false">
      <c r="A8839" s="0" t="n">
        <v>2</v>
      </c>
      <c r="B8839" s="71" t="n">
        <v>46283</v>
      </c>
      <c r="C8839" s="0" t="n">
        <v>22</v>
      </c>
      <c r="D8839" s="0" t="s">
        <v>2479</v>
      </c>
      <c r="E8839" s="0" t="n">
        <v>48</v>
      </c>
      <c r="F8839" s="0" t="s">
        <v>153</v>
      </c>
      <c r="I8839" s="0" t="n">
        <v>2681</v>
      </c>
      <c r="J8839" s="0" t="n">
        <v>100006</v>
      </c>
      <c r="K8839" s="0" t="n">
        <v>7</v>
      </c>
      <c r="L8839" s="0" t="s">
        <v>2485</v>
      </c>
      <c r="N8839" s="0" t="n">
        <v>2.274</v>
      </c>
      <c r="O8839" s="0" t="n">
        <v>64.24</v>
      </c>
      <c r="P8839" s="0" t="s">
        <v>2444</v>
      </c>
    </row>
    <row r="8840" customFormat="false" ht="15" hidden="false" customHeight="true" outlineLevel="0" collapsed="false">
      <c r="A8840" s="0" t="n">
        <v>2</v>
      </c>
      <c r="B8840" s="71" t="n">
        <v>46283</v>
      </c>
      <c r="C8840" s="0" t="n">
        <v>22</v>
      </c>
      <c r="D8840" s="0" t="s">
        <v>2479</v>
      </c>
      <c r="E8840" s="0" t="n">
        <v>48</v>
      </c>
      <c r="F8840" s="0" t="s">
        <v>153</v>
      </c>
      <c r="I8840" s="0" t="n">
        <v>2681</v>
      </c>
      <c r="J8840" s="0" t="n">
        <v>100007</v>
      </c>
      <c r="K8840" s="0" t="n">
        <v>8</v>
      </c>
      <c r="L8840" s="0" t="s">
        <v>2486</v>
      </c>
      <c r="N8840" s="0" t="n">
        <v>1.19</v>
      </c>
      <c r="O8840" s="0" t="n">
        <v>29.66</v>
      </c>
      <c r="P8840" s="0" t="s">
        <v>2444</v>
      </c>
    </row>
    <row r="8841" customFormat="false" ht="15" hidden="false" customHeight="true" outlineLevel="0" collapsed="false">
      <c r="A8841" s="0" t="n">
        <v>2</v>
      </c>
      <c r="B8841" s="71" t="n">
        <v>46283</v>
      </c>
      <c r="C8841" s="0" t="n">
        <v>22</v>
      </c>
      <c r="D8841" s="0" t="s">
        <v>2479</v>
      </c>
      <c r="E8841" s="0" t="n">
        <v>48</v>
      </c>
      <c r="F8841" s="0" t="s">
        <v>153</v>
      </c>
      <c r="I8841" s="0" t="n">
        <v>2681</v>
      </c>
      <c r="J8841" s="0" t="n">
        <v>100008</v>
      </c>
      <c r="K8841" s="0" t="n">
        <v>9</v>
      </c>
      <c r="L8841" s="0" t="s">
        <v>2487</v>
      </c>
      <c r="N8841" s="0" t="n">
        <v>12.13</v>
      </c>
      <c r="O8841" s="0" t="n">
        <v>393.05</v>
      </c>
      <c r="P8841" s="0" t="s">
        <v>2444</v>
      </c>
    </row>
    <row r="8842" customFormat="false" ht="15" hidden="false" customHeight="true" outlineLevel="0" collapsed="false">
      <c r="A8842" s="0" t="n">
        <v>2</v>
      </c>
      <c r="B8842" s="71" t="n">
        <v>46283</v>
      </c>
      <c r="C8842" s="0" t="n">
        <v>22</v>
      </c>
      <c r="D8842" s="0" t="s">
        <v>2479</v>
      </c>
      <c r="E8842" s="0" t="n">
        <v>48</v>
      </c>
      <c r="F8842" s="0" t="s">
        <v>153</v>
      </c>
      <c r="I8842" s="0" t="n">
        <v>2681</v>
      </c>
      <c r="J8842" s="0" t="n">
        <v>100011</v>
      </c>
      <c r="K8842" s="0" t="n">
        <v>12</v>
      </c>
      <c r="L8842" s="0" t="s">
        <v>2488</v>
      </c>
      <c r="N8842" s="0" t="n">
        <v>8.865</v>
      </c>
      <c r="O8842" s="0" t="n">
        <v>331.46</v>
      </c>
      <c r="P8842" s="0" t="s">
        <v>2444</v>
      </c>
    </row>
    <row r="8843" customFormat="false" ht="15" hidden="false" customHeight="true" outlineLevel="0" collapsed="false">
      <c r="A8843" s="0" t="n">
        <v>2</v>
      </c>
      <c r="B8843" s="71" t="n">
        <v>46283</v>
      </c>
      <c r="C8843" s="0" t="n">
        <v>22</v>
      </c>
      <c r="D8843" s="0" t="s">
        <v>2479</v>
      </c>
      <c r="E8843" s="0" t="n">
        <v>48</v>
      </c>
      <c r="F8843" s="0" t="s">
        <v>153</v>
      </c>
      <c r="I8843" s="0" t="n">
        <v>2681</v>
      </c>
      <c r="J8843" s="0" t="n">
        <v>100012</v>
      </c>
      <c r="K8843" s="0" t="n">
        <v>13</v>
      </c>
      <c r="L8843" s="0" t="s">
        <v>2489</v>
      </c>
      <c r="N8843" s="0" t="n">
        <v>6</v>
      </c>
      <c r="O8843" s="0" t="n">
        <v>249.27</v>
      </c>
      <c r="P8843" s="0" t="s">
        <v>2444</v>
      </c>
    </row>
    <row r="8844" customFormat="false" ht="15" hidden="false" customHeight="true" outlineLevel="0" collapsed="false">
      <c r="A8844" s="0" t="n">
        <v>2</v>
      </c>
      <c r="B8844" s="71" t="n">
        <v>46283</v>
      </c>
      <c r="C8844" s="0" t="n">
        <v>22</v>
      </c>
      <c r="D8844" s="0" t="s">
        <v>2479</v>
      </c>
      <c r="E8844" s="0" t="n">
        <v>48</v>
      </c>
      <c r="F8844" s="0" t="s">
        <v>153</v>
      </c>
      <c r="I8844" s="0" t="n">
        <v>2681</v>
      </c>
      <c r="J8844" s="0" t="n">
        <v>100013</v>
      </c>
      <c r="K8844" s="0" t="n">
        <v>14</v>
      </c>
      <c r="L8844" s="0" t="s">
        <v>2490</v>
      </c>
      <c r="N8844" s="0" t="n">
        <v>10</v>
      </c>
      <c r="O8844" s="0" t="n">
        <v>440.38</v>
      </c>
      <c r="P8844" s="0" t="s">
        <v>2444</v>
      </c>
    </row>
    <row r="8845" customFormat="false" ht="15" hidden="false" customHeight="true" outlineLevel="0" collapsed="false">
      <c r="A8845" s="0" t="n">
        <v>2</v>
      </c>
      <c r="B8845" s="71" t="n">
        <v>46283</v>
      </c>
      <c r="C8845" s="0" t="n">
        <v>22</v>
      </c>
      <c r="D8845" s="0" t="s">
        <v>2479</v>
      </c>
      <c r="E8845" s="0" t="n">
        <v>48</v>
      </c>
      <c r="F8845" s="0" t="s">
        <v>153</v>
      </c>
      <c r="I8845" s="0" t="n">
        <v>2681</v>
      </c>
      <c r="J8845" s="0" t="n">
        <v>100014</v>
      </c>
      <c r="K8845" s="0" t="n">
        <v>15</v>
      </c>
      <c r="L8845" s="0" t="s">
        <v>2491</v>
      </c>
      <c r="N8845" s="0" t="n">
        <v>4.334</v>
      </c>
      <c r="O8845" s="0" t="n">
        <v>194.46</v>
      </c>
      <c r="P8845" s="0" t="s">
        <v>2444</v>
      </c>
    </row>
    <row r="8846" customFormat="false" ht="15" hidden="false" customHeight="true" outlineLevel="0" collapsed="false">
      <c r="A8846" s="0" t="n">
        <v>2</v>
      </c>
      <c r="B8846" s="71" t="n">
        <v>46283</v>
      </c>
      <c r="C8846" s="0" t="n">
        <v>22</v>
      </c>
      <c r="D8846" s="0" t="s">
        <v>2479</v>
      </c>
      <c r="E8846" s="0" t="n">
        <v>48</v>
      </c>
      <c r="F8846" s="0" t="s">
        <v>153</v>
      </c>
      <c r="I8846" s="0" t="n">
        <v>2681</v>
      </c>
      <c r="J8846" s="0" t="n">
        <v>100015</v>
      </c>
      <c r="K8846" s="0" t="n">
        <v>16</v>
      </c>
      <c r="L8846" s="0" t="s">
        <v>2492</v>
      </c>
      <c r="N8846" s="0" t="n">
        <v>1.75</v>
      </c>
      <c r="O8846" s="0" t="n">
        <v>69.8</v>
      </c>
      <c r="P8846" s="0" t="s">
        <v>2444</v>
      </c>
    </row>
    <row r="8847" customFormat="false" ht="15" hidden="false" customHeight="true" outlineLevel="0" collapsed="false">
      <c r="A8847" s="0" t="n">
        <v>2</v>
      </c>
      <c r="B8847" s="71" t="n">
        <v>46283</v>
      </c>
      <c r="C8847" s="0" t="n">
        <v>22</v>
      </c>
      <c r="D8847" s="0" t="s">
        <v>2479</v>
      </c>
      <c r="E8847" s="0" t="n">
        <v>48</v>
      </c>
      <c r="F8847" s="0" t="s">
        <v>153</v>
      </c>
      <c r="I8847" s="0" t="n">
        <v>2681</v>
      </c>
      <c r="J8847" s="0" t="n">
        <v>100016</v>
      </c>
      <c r="K8847" s="0" t="n">
        <v>17</v>
      </c>
      <c r="L8847" s="0" t="s">
        <v>2493</v>
      </c>
      <c r="N8847" s="0" t="n">
        <v>1.82</v>
      </c>
      <c r="O8847" s="0" t="n">
        <v>90.74</v>
      </c>
      <c r="P8847" s="0" t="s">
        <v>2444</v>
      </c>
    </row>
    <row r="8848" customFormat="false" ht="15" hidden="false" customHeight="true" outlineLevel="0" collapsed="false">
      <c r="A8848" s="0" t="n">
        <v>2</v>
      </c>
      <c r="B8848" s="71" t="n">
        <v>46283</v>
      </c>
      <c r="C8848" s="0" t="n">
        <v>22</v>
      </c>
      <c r="D8848" s="0" t="s">
        <v>2479</v>
      </c>
      <c r="E8848" s="0" t="n">
        <v>48</v>
      </c>
      <c r="F8848" s="0" t="s">
        <v>153</v>
      </c>
      <c r="I8848" s="0" t="n">
        <v>2681</v>
      </c>
      <c r="J8848" s="0" t="n">
        <v>100017</v>
      </c>
      <c r="K8848" s="0" t="n">
        <v>18</v>
      </c>
      <c r="L8848" s="0" t="s">
        <v>2494</v>
      </c>
      <c r="N8848" s="0" t="n">
        <v>1.988</v>
      </c>
      <c r="O8848" s="0" t="n">
        <v>115.63</v>
      </c>
      <c r="P8848" s="0" t="s">
        <v>2444</v>
      </c>
    </row>
    <row r="8849" customFormat="false" ht="15" hidden="false" customHeight="true" outlineLevel="0" collapsed="false">
      <c r="A8849" s="0" t="n">
        <v>2</v>
      </c>
      <c r="B8849" s="71" t="n">
        <v>46283</v>
      </c>
      <c r="C8849" s="0" t="n">
        <v>22</v>
      </c>
      <c r="D8849" s="0" t="s">
        <v>2479</v>
      </c>
      <c r="E8849" s="0" t="n">
        <v>48</v>
      </c>
      <c r="F8849" s="0" t="s">
        <v>153</v>
      </c>
      <c r="I8849" s="0" t="n">
        <v>2681</v>
      </c>
      <c r="J8849" s="0" t="n">
        <v>100019</v>
      </c>
      <c r="K8849" s="0" t="n">
        <v>20</v>
      </c>
      <c r="L8849" s="0" t="s">
        <v>3779</v>
      </c>
      <c r="N8849" s="0" t="n">
        <v>4.018</v>
      </c>
      <c r="O8849" s="0" t="n">
        <v>129.16</v>
      </c>
      <c r="P8849" s="0" t="s">
        <v>2444</v>
      </c>
    </row>
    <row r="8850" customFormat="false" ht="15" hidden="false" customHeight="true" outlineLevel="0" collapsed="false">
      <c r="A8850" s="0" t="n">
        <v>2</v>
      </c>
      <c r="B8850" s="71" t="n">
        <v>46283</v>
      </c>
      <c r="C8850" s="0" t="n">
        <v>22</v>
      </c>
      <c r="D8850" s="0" t="s">
        <v>2479</v>
      </c>
      <c r="E8850" s="0" t="n">
        <v>48</v>
      </c>
      <c r="F8850" s="0" t="s">
        <v>153</v>
      </c>
      <c r="I8850" s="0" t="n">
        <v>2681</v>
      </c>
      <c r="J8850" s="0" t="n">
        <v>100053</v>
      </c>
      <c r="K8850" s="0" t="n">
        <v>54</v>
      </c>
      <c r="L8850" s="0" t="s">
        <v>2495</v>
      </c>
      <c r="N8850" s="0" t="n">
        <v>1.38</v>
      </c>
      <c r="O8850" s="0" t="n">
        <v>50.45</v>
      </c>
      <c r="P8850" s="0" t="s">
        <v>2444</v>
      </c>
    </row>
    <row r="8851" customFormat="false" ht="15" hidden="false" customHeight="true" outlineLevel="0" collapsed="false">
      <c r="A8851" s="0" t="n">
        <v>2</v>
      </c>
      <c r="B8851" s="71" t="n">
        <v>46283</v>
      </c>
      <c r="C8851" s="0" t="n">
        <v>22</v>
      </c>
      <c r="D8851" s="0" t="s">
        <v>2479</v>
      </c>
      <c r="E8851" s="0" t="n">
        <v>48</v>
      </c>
      <c r="F8851" s="0" t="s">
        <v>153</v>
      </c>
      <c r="I8851" s="0" t="n">
        <v>2681</v>
      </c>
      <c r="J8851" s="0" t="n">
        <v>100638</v>
      </c>
      <c r="K8851" s="0" t="n">
        <v>508</v>
      </c>
      <c r="L8851" s="0" t="s">
        <v>2496</v>
      </c>
      <c r="N8851" s="0" t="n">
        <v>1</v>
      </c>
      <c r="O8851" s="0" t="n">
        <v>2.48</v>
      </c>
      <c r="P8851" s="0" t="s">
        <v>2444</v>
      </c>
    </row>
    <row r="8852" customFormat="false" ht="15" hidden="false" customHeight="true" outlineLevel="0" collapsed="false">
      <c r="A8852" s="0" t="n">
        <v>2</v>
      </c>
      <c r="B8852" s="71" t="n">
        <v>46283</v>
      </c>
      <c r="C8852" s="0" t="n">
        <v>22</v>
      </c>
      <c r="D8852" s="0" t="s">
        <v>2479</v>
      </c>
      <c r="E8852" s="0" t="n">
        <v>48</v>
      </c>
      <c r="F8852" s="0" t="s">
        <v>153</v>
      </c>
      <c r="I8852" s="0" t="n">
        <v>2681</v>
      </c>
      <c r="J8852" s="0" t="n">
        <v>100638</v>
      </c>
      <c r="K8852" s="0" t="n">
        <v>508</v>
      </c>
      <c r="L8852" s="0" t="s">
        <v>2496</v>
      </c>
      <c r="N8852" s="0" t="n">
        <v>0.83</v>
      </c>
      <c r="O8852" s="0" t="n">
        <v>1.9</v>
      </c>
      <c r="P8852" s="0" t="s">
        <v>2444</v>
      </c>
    </row>
    <row r="8853" customFormat="false" ht="15" hidden="false" customHeight="true" outlineLevel="0" collapsed="false">
      <c r="A8853" s="0" t="n">
        <v>2</v>
      </c>
      <c r="B8853" s="71" t="n">
        <v>46283</v>
      </c>
      <c r="C8853" s="0" t="n">
        <v>22</v>
      </c>
      <c r="D8853" s="0" t="s">
        <v>2479</v>
      </c>
      <c r="E8853" s="0" t="n">
        <v>48</v>
      </c>
      <c r="F8853" s="0" t="s">
        <v>153</v>
      </c>
      <c r="I8853" s="0" t="n">
        <v>2681</v>
      </c>
      <c r="J8853" s="0" t="n">
        <v>110137</v>
      </c>
      <c r="K8853" s="0" t="n">
        <v>13899</v>
      </c>
      <c r="L8853" s="0" t="s">
        <v>3780</v>
      </c>
      <c r="N8853" s="0" t="n">
        <v>10.675</v>
      </c>
      <c r="O8853" s="0" t="n">
        <v>44.27</v>
      </c>
      <c r="P8853" s="0" t="s">
        <v>2444</v>
      </c>
    </row>
    <row r="8854" customFormat="false" ht="15" hidden="false" customHeight="true" outlineLevel="0" collapsed="false">
      <c r="A8854" s="0" t="n">
        <v>2</v>
      </c>
      <c r="B8854" s="71" t="n">
        <v>46283</v>
      </c>
      <c r="C8854" s="0" t="n">
        <v>22</v>
      </c>
      <c r="D8854" s="0" t="s">
        <v>2479</v>
      </c>
      <c r="E8854" s="0" t="n">
        <v>48</v>
      </c>
      <c r="F8854" s="0" t="s">
        <v>153</v>
      </c>
      <c r="I8854" s="0" t="n">
        <v>2681</v>
      </c>
      <c r="J8854" s="0" t="n">
        <v>110137</v>
      </c>
      <c r="K8854" s="0" t="n">
        <v>13899</v>
      </c>
      <c r="L8854" s="0" t="s">
        <v>3780</v>
      </c>
      <c r="N8854" s="0" t="n">
        <v>2.23</v>
      </c>
      <c r="O8854" s="0" t="n">
        <v>8.52</v>
      </c>
      <c r="P8854" s="0" t="s">
        <v>2444</v>
      </c>
    </row>
    <row r="8855" customFormat="false" ht="15" hidden="false" customHeight="true" outlineLevel="0" collapsed="false">
      <c r="A8855" s="0" t="n">
        <v>2</v>
      </c>
      <c r="B8855" s="71" t="n">
        <v>46283</v>
      </c>
      <c r="C8855" s="0" t="n">
        <v>22</v>
      </c>
      <c r="D8855" s="0" t="s">
        <v>2479</v>
      </c>
      <c r="E8855" s="0" t="n">
        <v>48</v>
      </c>
      <c r="F8855" s="0" t="s">
        <v>153</v>
      </c>
      <c r="I8855" s="0" t="n">
        <v>2681</v>
      </c>
      <c r="J8855" s="0" t="n">
        <v>110455</v>
      </c>
      <c r="K8855" s="0" t="n">
        <v>53212</v>
      </c>
      <c r="L8855" s="0" t="s">
        <v>2498</v>
      </c>
      <c r="N8855" s="0" t="n">
        <v>0.442</v>
      </c>
      <c r="O8855" s="0" t="n">
        <v>0</v>
      </c>
      <c r="P8855" s="0" t="s">
        <v>2444</v>
      </c>
    </row>
    <row r="8856" customFormat="false" ht="15" hidden="false" customHeight="true" outlineLevel="0" collapsed="false">
      <c r="A8856" s="0" t="n">
        <v>2</v>
      </c>
      <c r="B8856" s="71" t="n">
        <v>46283</v>
      </c>
      <c r="C8856" s="0" t="n">
        <v>22</v>
      </c>
      <c r="D8856" s="0" t="s">
        <v>2479</v>
      </c>
      <c r="E8856" s="0" t="n">
        <v>48</v>
      </c>
      <c r="F8856" s="0" t="s">
        <v>153</v>
      </c>
      <c r="I8856" s="0" t="n">
        <v>2681</v>
      </c>
      <c r="J8856" s="0" t="n">
        <v>110455</v>
      </c>
      <c r="K8856" s="0" t="n">
        <v>53212</v>
      </c>
      <c r="L8856" s="0" t="s">
        <v>2498</v>
      </c>
      <c r="N8856" s="0" t="n">
        <v>0.42</v>
      </c>
      <c r="O8856" s="0" t="n">
        <v>0</v>
      </c>
      <c r="P8856" s="0" t="s">
        <v>2444</v>
      </c>
    </row>
    <row r="8857" customFormat="false" ht="15" hidden="false" customHeight="true" outlineLevel="0" collapsed="false">
      <c r="A8857" s="0" t="n">
        <v>2</v>
      </c>
      <c r="B8857" s="71" t="n">
        <v>46283</v>
      </c>
      <c r="C8857" s="0" t="n">
        <v>100</v>
      </c>
      <c r="D8857" s="0" t="s">
        <v>2499</v>
      </c>
      <c r="E8857" s="0" t="n">
        <v>48</v>
      </c>
      <c r="F8857" s="0" t="s">
        <v>153</v>
      </c>
      <c r="I8857" s="0" t="n">
        <v>1720589</v>
      </c>
      <c r="J8857" s="0" t="n">
        <v>100000</v>
      </c>
      <c r="K8857" s="0" t="n">
        <v>1</v>
      </c>
      <c r="L8857" s="0" t="s">
        <v>2480</v>
      </c>
      <c r="N8857" s="0" t="n">
        <v>2.774</v>
      </c>
      <c r="O8857" s="0" t="n">
        <v>55.31</v>
      </c>
      <c r="P8857" s="0" t="s">
        <v>2444</v>
      </c>
    </row>
    <row r="8858" customFormat="false" ht="15" hidden="false" customHeight="true" outlineLevel="0" collapsed="false">
      <c r="A8858" s="0" t="n">
        <v>2</v>
      </c>
      <c r="B8858" s="71" t="n">
        <v>46283</v>
      </c>
      <c r="C8858" s="0" t="n">
        <v>100</v>
      </c>
      <c r="D8858" s="0" t="s">
        <v>2499</v>
      </c>
      <c r="E8858" s="0" t="n">
        <v>48</v>
      </c>
      <c r="F8858" s="0" t="s">
        <v>153</v>
      </c>
      <c r="I8858" s="0" t="n">
        <v>1720589</v>
      </c>
      <c r="J8858" s="0" t="n">
        <v>100006</v>
      </c>
      <c r="K8858" s="0" t="n">
        <v>7</v>
      </c>
      <c r="L8858" s="0" t="s">
        <v>2485</v>
      </c>
      <c r="N8858" s="0" t="n">
        <v>2.274</v>
      </c>
      <c r="O8858" s="0" t="n">
        <v>64.24</v>
      </c>
      <c r="P8858" s="0" t="s">
        <v>2444</v>
      </c>
    </row>
    <row r="8859" customFormat="false" ht="15" hidden="false" customHeight="true" outlineLevel="0" collapsed="false">
      <c r="A8859" s="0" t="n">
        <v>2</v>
      </c>
      <c r="B8859" s="71" t="n">
        <v>46283</v>
      </c>
      <c r="C8859" s="0" t="n">
        <v>100</v>
      </c>
      <c r="D8859" s="0" t="s">
        <v>2499</v>
      </c>
      <c r="E8859" s="0" t="n">
        <v>48</v>
      </c>
      <c r="F8859" s="0" t="s">
        <v>153</v>
      </c>
      <c r="I8859" s="0" t="n">
        <v>1720589</v>
      </c>
      <c r="J8859" s="0" t="n">
        <v>100007</v>
      </c>
      <c r="K8859" s="0" t="n">
        <v>8</v>
      </c>
      <c r="L8859" s="0" t="s">
        <v>2486</v>
      </c>
      <c r="N8859" s="0" t="n">
        <v>1.19</v>
      </c>
      <c r="O8859" s="0" t="n">
        <v>29.66</v>
      </c>
      <c r="P8859" s="0" t="s">
        <v>2444</v>
      </c>
    </row>
    <row r="8860" customFormat="false" ht="15" hidden="false" customHeight="true" outlineLevel="0" collapsed="false">
      <c r="A8860" s="0" t="n">
        <v>2</v>
      </c>
      <c r="B8860" s="71" t="n">
        <v>46283</v>
      </c>
      <c r="C8860" s="0" t="n">
        <v>100</v>
      </c>
      <c r="D8860" s="0" t="s">
        <v>2499</v>
      </c>
      <c r="E8860" s="0" t="n">
        <v>48</v>
      </c>
      <c r="F8860" s="0" t="s">
        <v>153</v>
      </c>
      <c r="I8860" s="0" t="n">
        <v>1720589</v>
      </c>
      <c r="J8860" s="0" t="n">
        <v>100008</v>
      </c>
      <c r="K8860" s="0" t="n">
        <v>9</v>
      </c>
      <c r="L8860" s="0" t="s">
        <v>2487</v>
      </c>
      <c r="N8860" s="0" t="n">
        <v>12.13</v>
      </c>
      <c r="O8860" s="0" t="n">
        <v>393.05</v>
      </c>
      <c r="P8860" s="0" t="s">
        <v>2444</v>
      </c>
    </row>
    <row r="8861" customFormat="false" ht="15" hidden="false" customHeight="true" outlineLevel="0" collapsed="false">
      <c r="A8861" s="0" t="n">
        <v>2</v>
      </c>
      <c r="B8861" s="71" t="n">
        <v>46283</v>
      </c>
      <c r="C8861" s="0" t="n">
        <v>100</v>
      </c>
      <c r="D8861" s="0" t="s">
        <v>2499</v>
      </c>
      <c r="E8861" s="0" t="n">
        <v>48</v>
      </c>
      <c r="F8861" s="0" t="s">
        <v>153</v>
      </c>
      <c r="I8861" s="0" t="n">
        <v>1720589</v>
      </c>
      <c r="J8861" s="0" t="n">
        <v>100011</v>
      </c>
      <c r="K8861" s="0" t="n">
        <v>12</v>
      </c>
      <c r="L8861" s="0" t="s">
        <v>2488</v>
      </c>
      <c r="N8861" s="0" t="n">
        <v>8.865</v>
      </c>
      <c r="O8861" s="0" t="n">
        <v>331.46</v>
      </c>
      <c r="P8861" s="0" t="s">
        <v>2444</v>
      </c>
    </row>
    <row r="8862" customFormat="false" ht="15" hidden="false" customHeight="true" outlineLevel="0" collapsed="false">
      <c r="A8862" s="0" t="n">
        <v>2</v>
      </c>
      <c r="B8862" s="71" t="n">
        <v>46283</v>
      </c>
      <c r="C8862" s="0" t="n">
        <v>100</v>
      </c>
      <c r="D8862" s="0" t="s">
        <v>2499</v>
      </c>
      <c r="E8862" s="0" t="n">
        <v>48</v>
      </c>
      <c r="F8862" s="0" t="s">
        <v>153</v>
      </c>
      <c r="I8862" s="0" t="n">
        <v>1720589</v>
      </c>
      <c r="J8862" s="0" t="n">
        <v>100012</v>
      </c>
      <c r="K8862" s="0" t="n">
        <v>13</v>
      </c>
      <c r="L8862" s="0" t="s">
        <v>2489</v>
      </c>
      <c r="N8862" s="0" t="n">
        <v>6</v>
      </c>
      <c r="O8862" s="0" t="n">
        <v>249.27</v>
      </c>
      <c r="P8862" s="0" t="s">
        <v>2444</v>
      </c>
    </row>
    <row r="8863" customFormat="false" ht="15" hidden="false" customHeight="true" outlineLevel="0" collapsed="false">
      <c r="A8863" s="0" t="n">
        <v>2</v>
      </c>
      <c r="B8863" s="71" t="n">
        <v>46283</v>
      </c>
      <c r="C8863" s="0" t="n">
        <v>100</v>
      </c>
      <c r="D8863" s="0" t="s">
        <v>2499</v>
      </c>
      <c r="E8863" s="0" t="n">
        <v>48</v>
      </c>
      <c r="F8863" s="0" t="s">
        <v>153</v>
      </c>
      <c r="I8863" s="0" t="n">
        <v>1720589</v>
      </c>
      <c r="J8863" s="0" t="n">
        <v>100013</v>
      </c>
      <c r="K8863" s="0" t="n">
        <v>14</v>
      </c>
      <c r="L8863" s="0" t="s">
        <v>2490</v>
      </c>
      <c r="N8863" s="0" t="n">
        <v>10</v>
      </c>
      <c r="O8863" s="0" t="n">
        <v>440.38</v>
      </c>
      <c r="P8863" s="0" t="s">
        <v>2444</v>
      </c>
    </row>
    <row r="8864" customFormat="false" ht="15" hidden="false" customHeight="true" outlineLevel="0" collapsed="false">
      <c r="A8864" s="0" t="n">
        <v>2</v>
      </c>
      <c r="B8864" s="71" t="n">
        <v>46283</v>
      </c>
      <c r="C8864" s="0" t="n">
        <v>100</v>
      </c>
      <c r="D8864" s="0" t="s">
        <v>2499</v>
      </c>
      <c r="E8864" s="0" t="n">
        <v>48</v>
      </c>
      <c r="F8864" s="0" t="s">
        <v>153</v>
      </c>
      <c r="I8864" s="0" t="n">
        <v>1720589</v>
      </c>
      <c r="J8864" s="0" t="n">
        <v>100014</v>
      </c>
      <c r="K8864" s="0" t="n">
        <v>15</v>
      </c>
      <c r="L8864" s="0" t="s">
        <v>2491</v>
      </c>
      <c r="N8864" s="0" t="n">
        <v>4.334</v>
      </c>
      <c r="O8864" s="0" t="n">
        <v>194.46</v>
      </c>
      <c r="P8864" s="0" t="s">
        <v>2444</v>
      </c>
    </row>
    <row r="8865" customFormat="false" ht="15" hidden="false" customHeight="true" outlineLevel="0" collapsed="false">
      <c r="A8865" s="0" t="n">
        <v>2</v>
      </c>
      <c r="B8865" s="71" t="n">
        <v>46283</v>
      </c>
      <c r="C8865" s="0" t="n">
        <v>100</v>
      </c>
      <c r="D8865" s="0" t="s">
        <v>2499</v>
      </c>
      <c r="E8865" s="0" t="n">
        <v>48</v>
      </c>
      <c r="F8865" s="0" t="s">
        <v>153</v>
      </c>
      <c r="I8865" s="0" t="n">
        <v>1720589</v>
      </c>
      <c r="J8865" s="0" t="n">
        <v>100015</v>
      </c>
      <c r="K8865" s="0" t="n">
        <v>16</v>
      </c>
      <c r="L8865" s="0" t="s">
        <v>2492</v>
      </c>
      <c r="N8865" s="0" t="n">
        <v>1.75</v>
      </c>
      <c r="O8865" s="0" t="n">
        <v>69.8</v>
      </c>
      <c r="P8865" s="0" t="s">
        <v>2444</v>
      </c>
    </row>
    <row r="8866" customFormat="false" ht="15" hidden="false" customHeight="true" outlineLevel="0" collapsed="false">
      <c r="A8866" s="0" t="n">
        <v>2</v>
      </c>
      <c r="B8866" s="71" t="n">
        <v>46283</v>
      </c>
      <c r="C8866" s="0" t="n">
        <v>100</v>
      </c>
      <c r="D8866" s="0" t="s">
        <v>2499</v>
      </c>
      <c r="E8866" s="0" t="n">
        <v>48</v>
      </c>
      <c r="F8866" s="0" t="s">
        <v>153</v>
      </c>
      <c r="I8866" s="0" t="n">
        <v>1720589</v>
      </c>
      <c r="J8866" s="0" t="n">
        <v>100016</v>
      </c>
      <c r="K8866" s="0" t="n">
        <v>17</v>
      </c>
      <c r="L8866" s="0" t="s">
        <v>2493</v>
      </c>
      <c r="N8866" s="0" t="n">
        <v>1.82</v>
      </c>
      <c r="O8866" s="0" t="n">
        <v>90.74</v>
      </c>
      <c r="P8866" s="0" t="s">
        <v>2444</v>
      </c>
    </row>
    <row r="8867" customFormat="false" ht="15" hidden="false" customHeight="true" outlineLevel="0" collapsed="false">
      <c r="A8867" s="0" t="n">
        <v>2</v>
      </c>
      <c r="B8867" s="71" t="n">
        <v>46283</v>
      </c>
      <c r="C8867" s="0" t="n">
        <v>100</v>
      </c>
      <c r="D8867" s="0" t="s">
        <v>2499</v>
      </c>
      <c r="E8867" s="0" t="n">
        <v>48</v>
      </c>
      <c r="F8867" s="0" t="s">
        <v>153</v>
      </c>
      <c r="I8867" s="0" t="n">
        <v>1720589</v>
      </c>
      <c r="J8867" s="0" t="n">
        <v>100017</v>
      </c>
      <c r="K8867" s="0" t="n">
        <v>18</v>
      </c>
      <c r="L8867" s="0" t="s">
        <v>2494</v>
      </c>
      <c r="N8867" s="0" t="n">
        <v>1.988</v>
      </c>
      <c r="O8867" s="0" t="n">
        <v>115.63</v>
      </c>
      <c r="P8867" s="0" t="s">
        <v>2444</v>
      </c>
    </row>
    <row r="8868" customFormat="false" ht="15" hidden="false" customHeight="true" outlineLevel="0" collapsed="false">
      <c r="A8868" s="0" t="n">
        <v>2</v>
      </c>
      <c r="B8868" s="71" t="n">
        <v>46283</v>
      </c>
      <c r="C8868" s="0" t="n">
        <v>100</v>
      </c>
      <c r="D8868" s="0" t="s">
        <v>2499</v>
      </c>
      <c r="E8868" s="0" t="n">
        <v>48</v>
      </c>
      <c r="F8868" s="0" t="s">
        <v>153</v>
      </c>
      <c r="I8868" s="0" t="n">
        <v>1720589</v>
      </c>
      <c r="J8868" s="0" t="n">
        <v>100053</v>
      </c>
      <c r="K8868" s="0" t="n">
        <v>54</v>
      </c>
      <c r="L8868" s="0" t="s">
        <v>2495</v>
      </c>
      <c r="N8868" s="0" t="n">
        <v>1.38</v>
      </c>
      <c r="O8868" s="0" t="n">
        <v>50.45</v>
      </c>
      <c r="P8868" s="0" t="s">
        <v>2444</v>
      </c>
    </row>
    <row r="8869" customFormat="false" ht="15" hidden="false" customHeight="true" outlineLevel="0" collapsed="false">
      <c r="A8869" s="0" t="n">
        <v>2</v>
      </c>
      <c r="B8869" s="71" t="n">
        <v>46283</v>
      </c>
      <c r="C8869" s="0" t="n">
        <v>100</v>
      </c>
      <c r="D8869" s="0" t="s">
        <v>2499</v>
      </c>
      <c r="E8869" s="0" t="n">
        <v>48</v>
      </c>
      <c r="F8869" s="0" t="s">
        <v>153</v>
      </c>
      <c r="I8869" s="0" t="n">
        <v>1720589</v>
      </c>
      <c r="J8869" s="0" t="n">
        <v>100638</v>
      </c>
      <c r="K8869" s="0" t="n">
        <v>508</v>
      </c>
      <c r="L8869" s="0" t="s">
        <v>2496</v>
      </c>
      <c r="N8869" s="0" t="n">
        <v>1</v>
      </c>
      <c r="O8869" s="0" t="n">
        <v>2.48</v>
      </c>
      <c r="P8869" s="0" t="s">
        <v>2444</v>
      </c>
    </row>
    <row r="8870" customFormat="false" ht="15" hidden="false" customHeight="true" outlineLevel="0" collapsed="false">
      <c r="A8870" s="0" t="n">
        <v>2</v>
      </c>
      <c r="B8870" s="71" t="n">
        <v>46283</v>
      </c>
      <c r="C8870" s="0" t="n">
        <v>100</v>
      </c>
      <c r="D8870" s="0" t="s">
        <v>2499</v>
      </c>
      <c r="E8870" s="0" t="n">
        <v>48</v>
      </c>
      <c r="F8870" s="0" t="s">
        <v>153</v>
      </c>
      <c r="I8870" s="0" t="n">
        <v>1720589</v>
      </c>
      <c r="J8870" s="0" t="n">
        <v>110137</v>
      </c>
      <c r="K8870" s="0" t="n">
        <v>13899</v>
      </c>
      <c r="L8870" s="0" t="s">
        <v>3780</v>
      </c>
      <c r="N8870" s="0" t="n">
        <v>10.675</v>
      </c>
      <c r="O8870" s="0" t="n">
        <v>44.27</v>
      </c>
      <c r="P8870" s="0" t="s">
        <v>2444</v>
      </c>
    </row>
    <row r="8871" customFormat="false" ht="15" hidden="false" customHeight="true" outlineLevel="0" collapsed="false">
      <c r="A8871" s="0" t="n">
        <v>2</v>
      </c>
      <c r="B8871" s="71" t="n">
        <v>46283</v>
      </c>
      <c r="C8871" s="0" t="n">
        <v>100</v>
      </c>
      <c r="D8871" s="0" t="s">
        <v>2499</v>
      </c>
      <c r="E8871" s="0" t="n">
        <v>48</v>
      </c>
      <c r="F8871" s="0" t="s">
        <v>153</v>
      </c>
      <c r="I8871" s="0" t="n">
        <v>1720589</v>
      </c>
      <c r="J8871" s="0" t="n">
        <v>110455</v>
      </c>
      <c r="K8871" s="0" t="n">
        <v>53212</v>
      </c>
      <c r="L8871" s="0" t="s">
        <v>2498</v>
      </c>
      <c r="N8871" s="0" t="n">
        <v>0.42</v>
      </c>
      <c r="O8871" s="0" t="n">
        <v>0</v>
      </c>
      <c r="P8871" s="0" t="s">
        <v>2444</v>
      </c>
    </row>
    <row r="8872" customFormat="false" ht="15" hidden="false" customHeight="true" outlineLevel="0" collapsed="false">
      <c r="A8872" s="0" t="n">
        <v>2</v>
      </c>
      <c r="B8872" s="71" t="n">
        <v>46283</v>
      </c>
      <c r="C8872" s="0" t="n">
        <v>100</v>
      </c>
      <c r="D8872" s="0" t="s">
        <v>2499</v>
      </c>
      <c r="E8872" s="0" t="n">
        <v>48</v>
      </c>
      <c r="F8872" s="0" t="s">
        <v>153</v>
      </c>
      <c r="I8872" s="0" t="n">
        <v>1720591</v>
      </c>
      <c r="J8872" s="0" t="n">
        <v>100000</v>
      </c>
      <c r="K8872" s="0" t="n">
        <v>1</v>
      </c>
      <c r="L8872" s="0" t="s">
        <v>2480</v>
      </c>
      <c r="N8872" s="0" t="n">
        <v>2.53</v>
      </c>
      <c r="O8872" s="0" t="n">
        <v>46.47</v>
      </c>
      <c r="P8872" s="0" t="s">
        <v>2444</v>
      </c>
    </row>
    <row r="8873" customFormat="false" ht="15" hidden="false" customHeight="true" outlineLevel="0" collapsed="false">
      <c r="A8873" s="0" t="n">
        <v>2</v>
      </c>
      <c r="B8873" s="71" t="n">
        <v>46283</v>
      </c>
      <c r="C8873" s="0" t="n">
        <v>100</v>
      </c>
      <c r="D8873" s="0" t="s">
        <v>2499</v>
      </c>
      <c r="E8873" s="0" t="n">
        <v>48</v>
      </c>
      <c r="F8873" s="0" t="s">
        <v>153</v>
      </c>
      <c r="I8873" s="0" t="n">
        <v>1720591</v>
      </c>
      <c r="J8873" s="0" t="n">
        <v>100001</v>
      </c>
      <c r="K8873" s="0" t="n">
        <v>2</v>
      </c>
      <c r="L8873" s="0" t="s">
        <v>2481</v>
      </c>
      <c r="N8873" s="0" t="n">
        <v>11.15</v>
      </c>
      <c r="O8873" s="0" t="n">
        <v>221.85</v>
      </c>
      <c r="P8873" s="0" t="s">
        <v>2444</v>
      </c>
    </row>
    <row r="8874" customFormat="false" ht="15" hidden="false" customHeight="true" outlineLevel="0" collapsed="false">
      <c r="A8874" s="0" t="n">
        <v>2</v>
      </c>
      <c r="B8874" s="71" t="n">
        <v>46283</v>
      </c>
      <c r="C8874" s="0" t="n">
        <v>100</v>
      </c>
      <c r="D8874" s="0" t="s">
        <v>2499</v>
      </c>
      <c r="E8874" s="0" t="n">
        <v>48</v>
      </c>
      <c r="F8874" s="0" t="s">
        <v>153</v>
      </c>
      <c r="I8874" s="0" t="n">
        <v>1720591</v>
      </c>
      <c r="J8874" s="0" t="n">
        <v>100002</v>
      </c>
      <c r="K8874" s="0" t="n">
        <v>3</v>
      </c>
      <c r="L8874" s="0" t="s">
        <v>2482</v>
      </c>
      <c r="N8874" s="0" t="n">
        <v>18.54</v>
      </c>
      <c r="O8874" s="0" t="n">
        <v>425.67</v>
      </c>
      <c r="P8874" s="0" t="s">
        <v>2444</v>
      </c>
    </row>
    <row r="8875" customFormat="false" ht="15" hidden="false" customHeight="true" outlineLevel="0" collapsed="false">
      <c r="A8875" s="0" t="n">
        <v>2</v>
      </c>
      <c r="B8875" s="71" t="n">
        <v>46283</v>
      </c>
      <c r="C8875" s="0" t="n">
        <v>100</v>
      </c>
      <c r="D8875" s="0" t="s">
        <v>2499</v>
      </c>
      <c r="E8875" s="0" t="n">
        <v>48</v>
      </c>
      <c r="F8875" s="0" t="s">
        <v>153</v>
      </c>
      <c r="I8875" s="0" t="n">
        <v>1720591</v>
      </c>
      <c r="J8875" s="0" t="n">
        <v>100003</v>
      </c>
      <c r="K8875" s="0" t="n">
        <v>4</v>
      </c>
      <c r="L8875" s="0" t="s">
        <v>2483</v>
      </c>
      <c r="N8875" s="0" t="n">
        <v>15.25</v>
      </c>
      <c r="O8875" s="0" t="n">
        <v>373.48</v>
      </c>
      <c r="P8875" s="0" t="s">
        <v>2444</v>
      </c>
    </row>
    <row r="8876" customFormat="false" ht="15" hidden="false" customHeight="true" outlineLevel="0" collapsed="false">
      <c r="A8876" s="0" t="n">
        <v>2</v>
      </c>
      <c r="B8876" s="71" t="n">
        <v>46283</v>
      </c>
      <c r="C8876" s="0" t="n">
        <v>100</v>
      </c>
      <c r="D8876" s="0" t="s">
        <v>2499</v>
      </c>
      <c r="E8876" s="0" t="n">
        <v>48</v>
      </c>
      <c r="F8876" s="0" t="s">
        <v>153</v>
      </c>
      <c r="I8876" s="0" t="n">
        <v>1720591</v>
      </c>
      <c r="J8876" s="0" t="n">
        <v>100004</v>
      </c>
      <c r="K8876" s="0" t="n">
        <v>5</v>
      </c>
      <c r="L8876" s="0" t="s">
        <v>2484</v>
      </c>
      <c r="N8876" s="0" t="n">
        <v>1.11</v>
      </c>
      <c r="O8876" s="0" t="n">
        <v>23.79</v>
      </c>
      <c r="P8876" s="0" t="s">
        <v>2444</v>
      </c>
    </row>
    <row r="8877" customFormat="false" ht="15" hidden="false" customHeight="true" outlineLevel="0" collapsed="false">
      <c r="A8877" s="0" t="n">
        <v>2</v>
      </c>
      <c r="B8877" s="71" t="n">
        <v>46283</v>
      </c>
      <c r="C8877" s="0" t="n">
        <v>100</v>
      </c>
      <c r="D8877" s="0" t="s">
        <v>2499</v>
      </c>
      <c r="E8877" s="0" t="n">
        <v>48</v>
      </c>
      <c r="F8877" s="0" t="s">
        <v>153</v>
      </c>
      <c r="I8877" s="0" t="n">
        <v>1720591</v>
      </c>
      <c r="J8877" s="0" t="n">
        <v>100005</v>
      </c>
      <c r="K8877" s="0" t="n">
        <v>6</v>
      </c>
      <c r="L8877" s="0" t="s">
        <v>2582</v>
      </c>
      <c r="N8877" s="0" t="n">
        <v>3.5</v>
      </c>
      <c r="O8877" s="0" t="n">
        <v>80.36</v>
      </c>
      <c r="P8877" s="0" t="s">
        <v>2444</v>
      </c>
    </row>
    <row r="8878" customFormat="false" ht="15" hidden="false" customHeight="true" outlineLevel="0" collapsed="false">
      <c r="A8878" s="0" t="n">
        <v>2</v>
      </c>
      <c r="B8878" s="71" t="n">
        <v>46283</v>
      </c>
      <c r="C8878" s="0" t="n">
        <v>100</v>
      </c>
      <c r="D8878" s="0" t="s">
        <v>2499</v>
      </c>
      <c r="E8878" s="0" t="n">
        <v>48</v>
      </c>
      <c r="F8878" s="0" t="s">
        <v>153</v>
      </c>
      <c r="I8878" s="0" t="n">
        <v>1720591</v>
      </c>
      <c r="J8878" s="0" t="n">
        <v>100019</v>
      </c>
      <c r="K8878" s="0" t="n">
        <v>20</v>
      </c>
      <c r="L8878" s="0" t="s">
        <v>3779</v>
      </c>
      <c r="N8878" s="0" t="n">
        <v>4.018</v>
      </c>
      <c r="O8878" s="0" t="n">
        <v>129.16</v>
      </c>
      <c r="P8878" s="0" t="s">
        <v>2444</v>
      </c>
    </row>
    <row r="8879" customFormat="false" ht="15" hidden="false" customHeight="true" outlineLevel="0" collapsed="false">
      <c r="A8879" s="0" t="n">
        <v>2</v>
      </c>
      <c r="B8879" s="71" t="n">
        <v>46283</v>
      </c>
      <c r="C8879" s="0" t="n">
        <v>100</v>
      </c>
      <c r="D8879" s="0" t="s">
        <v>2499</v>
      </c>
      <c r="E8879" s="0" t="n">
        <v>48</v>
      </c>
      <c r="F8879" s="0" t="s">
        <v>153</v>
      </c>
      <c r="I8879" s="0" t="n">
        <v>1720591</v>
      </c>
      <c r="J8879" s="0" t="n">
        <v>100638</v>
      </c>
      <c r="K8879" s="0" t="n">
        <v>508</v>
      </c>
      <c r="L8879" s="0" t="s">
        <v>2496</v>
      </c>
      <c r="N8879" s="0" t="n">
        <v>0.83</v>
      </c>
      <c r="O8879" s="0" t="n">
        <v>1.9</v>
      </c>
      <c r="P8879" s="0" t="s">
        <v>2444</v>
      </c>
    </row>
    <row r="8880" customFormat="false" ht="15" hidden="false" customHeight="true" outlineLevel="0" collapsed="false">
      <c r="A8880" s="0" t="n">
        <v>2</v>
      </c>
      <c r="B8880" s="71" t="n">
        <v>46283</v>
      </c>
      <c r="C8880" s="0" t="n">
        <v>100</v>
      </c>
      <c r="D8880" s="0" t="s">
        <v>2499</v>
      </c>
      <c r="E8880" s="0" t="n">
        <v>48</v>
      </c>
      <c r="F8880" s="0" t="s">
        <v>153</v>
      </c>
      <c r="I8880" s="0" t="n">
        <v>1720591</v>
      </c>
      <c r="J8880" s="0" t="n">
        <v>110137</v>
      </c>
      <c r="K8880" s="0" t="n">
        <v>13899</v>
      </c>
      <c r="L8880" s="0" t="s">
        <v>3780</v>
      </c>
      <c r="N8880" s="0" t="n">
        <v>2.23</v>
      </c>
      <c r="O8880" s="0" t="n">
        <v>8.52</v>
      </c>
      <c r="P8880" s="0" t="s">
        <v>2444</v>
      </c>
    </row>
    <row r="8881" customFormat="false" ht="15" hidden="false" customHeight="true" outlineLevel="0" collapsed="false">
      <c r="A8881" s="0" t="n">
        <v>2</v>
      </c>
      <c r="B8881" s="71" t="n">
        <v>46283</v>
      </c>
      <c r="C8881" s="0" t="n">
        <v>100</v>
      </c>
      <c r="D8881" s="0" t="s">
        <v>2499</v>
      </c>
      <c r="E8881" s="0" t="n">
        <v>48</v>
      </c>
      <c r="F8881" s="0" t="s">
        <v>153</v>
      </c>
      <c r="I8881" s="0" t="n">
        <v>1720591</v>
      </c>
      <c r="J8881" s="0" t="n">
        <v>110455</v>
      </c>
      <c r="K8881" s="0" t="n">
        <v>53212</v>
      </c>
      <c r="L8881" s="0" t="s">
        <v>2498</v>
      </c>
      <c r="N8881" s="0" t="n">
        <v>0.442</v>
      </c>
      <c r="O8881" s="0" t="n">
        <v>0</v>
      </c>
      <c r="P8881" s="0" t="s">
        <v>2444</v>
      </c>
    </row>
    <row r="8882" customFormat="false" ht="15" hidden="false" customHeight="true" outlineLevel="0" collapsed="false">
      <c r="A8882" s="0" t="n">
        <v>2</v>
      </c>
      <c r="B8882" s="71" t="n">
        <v>46284</v>
      </c>
      <c r="C8882" s="0" t="n">
        <v>11</v>
      </c>
      <c r="D8882" s="0" t="s">
        <v>2471</v>
      </c>
      <c r="E8882" s="0" t="n">
        <v>10096</v>
      </c>
      <c r="F8882" s="0" t="s">
        <v>622</v>
      </c>
      <c r="I8882" s="0" t="n">
        <v>311</v>
      </c>
      <c r="J8882" s="0" t="n">
        <v>61580</v>
      </c>
      <c r="K8882" s="0" t="n">
        <v>2258157</v>
      </c>
      <c r="L8882" s="0" t="s">
        <v>2509</v>
      </c>
      <c r="N8882" s="0" t="n">
        <v>20</v>
      </c>
      <c r="O8882" s="0" t="n">
        <v>240</v>
      </c>
      <c r="P8882" s="0" t="s">
        <v>2444</v>
      </c>
    </row>
    <row r="8883" customFormat="false" ht="15" hidden="false" customHeight="true" outlineLevel="0" collapsed="false">
      <c r="A8883" s="0" t="n">
        <v>2</v>
      </c>
      <c r="B8883" s="71" t="n">
        <v>46284</v>
      </c>
      <c r="C8883" s="0" t="n">
        <v>11</v>
      </c>
      <c r="D8883" s="0" t="s">
        <v>2471</v>
      </c>
      <c r="E8883" s="0" t="n">
        <v>10096</v>
      </c>
      <c r="F8883" s="0" t="s">
        <v>622</v>
      </c>
      <c r="I8883" s="0" t="n">
        <v>311</v>
      </c>
      <c r="J8883" s="0" t="n">
        <v>61597</v>
      </c>
      <c r="K8883" s="0" t="n">
        <v>2258188</v>
      </c>
      <c r="L8883" s="0" t="s">
        <v>2510</v>
      </c>
      <c r="N8883" s="0" t="n">
        <v>5</v>
      </c>
      <c r="O8883" s="0" t="n">
        <v>20</v>
      </c>
      <c r="P8883" s="0" t="s">
        <v>2444</v>
      </c>
    </row>
    <row r="8884" customFormat="false" ht="15" hidden="false" customHeight="true" outlineLevel="0" collapsed="false">
      <c r="A8884" s="0" t="n">
        <v>2</v>
      </c>
      <c r="B8884" s="71" t="n">
        <v>46284</v>
      </c>
      <c r="C8884" s="0" t="n">
        <v>11</v>
      </c>
      <c r="D8884" s="0" t="s">
        <v>2471</v>
      </c>
      <c r="E8884" s="0" t="n">
        <v>10018</v>
      </c>
      <c r="F8884" s="0" t="s">
        <v>216</v>
      </c>
      <c r="I8884" s="0" t="n">
        <v>391</v>
      </c>
      <c r="J8884" s="0" t="n">
        <v>100933</v>
      </c>
      <c r="K8884" s="0" t="n">
        <v>7896982100059</v>
      </c>
      <c r="L8884" s="0" t="s">
        <v>2500</v>
      </c>
      <c r="N8884" s="0" t="n">
        <v>720</v>
      </c>
      <c r="O8884" s="0" t="n">
        <v>350</v>
      </c>
      <c r="P8884" s="0" t="s">
        <v>2444</v>
      </c>
    </row>
    <row r="8885" customFormat="false" ht="15" hidden="false" customHeight="true" outlineLevel="0" collapsed="false">
      <c r="A8885" s="0" t="n">
        <v>2</v>
      </c>
      <c r="B8885" s="71" t="n">
        <v>46284</v>
      </c>
      <c r="C8885" s="0" t="n">
        <v>11</v>
      </c>
      <c r="D8885" s="0" t="s">
        <v>2471</v>
      </c>
      <c r="E8885" s="0" t="n">
        <v>642</v>
      </c>
      <c r="F8885" s="0" t="s">
        <v>123</v>
      </c>
      <c r="I8885" s="0" t="n">
        <v>668</v>
      </c>
      <c r="J8885" s="0" t="n">
        <v>71766</v>
      </c>
      <c r="K8885" s="0" t="n">
        <v>779180</v>
      </c>
      <c r="L8885" s="0" t="s">
        <v>2501</v>
      </c>
      <c r="N8885" s="0" t="n">
        <v>15</v>
      </c>
      <c r="O8885" s="0" t="n">
        <v>180</v>
      </c>
      <c r="P8885" s="0" t="s">
        <v>2444</v>
      </c>
    </row>
    <row r="8886" customFormat="false" ht="15" hidden="false" customHeight="true" outlineLevel="0" collapsed="false">
      <c r="A8886" s="0" t="n">
        <v>2</v>
      </c>
      <c r="B8886" s="71" t="n">
        <v>46284</v>
      </c>
      <c r="C8886" s="0" t="n">
        <v>11</v>
      </c>
      <c r="D8886" s="0" t="s">
        <v>2471</v>
      </c>
      <c r="E8886" s="0" t="n">
        <v>1292</v>
      </c>
      <c r="F8886" s="0" t="s">
        <v>209</v>
      </c>
      <c r="I8886" s="0" t="n">
        <v>4086</v>
      </c>
      <c r="J8886" s="0" t="n">
        <v>58633</v>
      </c>
      <c r="K8886" s="0" t="n">
        <v>7891164025250</v>
      </c>
      <c r="L8886" s="0" t="s">
        <v>2448</v>
      </c>
      <c r="N8886" s="0" t="n">
        <v>50</v>
      </c>
      <c r="O8886" s="0" t="n">
        <v>449.5</v>
      </c>
      <c r="P8886" s="0" t="s">
        <v>2444</v>
      </c>
    </row>
    <row r="8887" customFormat="false" ht="15" hidden="false" customHeight="true" outlineLevel="0" collapsed="false">
      <c r="A8887" s="0" t="n">
        <v>2</v>
      </c>
      <c r="B8887" s="71" t="n">
        <v>46284</v>
      </c>
      <c r="C8887" s="0" t="n">
        <v>11</v>
      </c>
      <c r="D8887" s="0" t="s">
        <v>2471</v>
      </c>
      <c r="E8887" s="0" t="n">
        <v>1292</v>
      </c>
      <c r="F8887" s="0" t="s">
        <v>209</v>
      </c>
      <c r="I8887" s="0" t="n">
        <v>4086</v>
      </c>
      <c r="J8887" s="0" t="n">
        <v>82078</v>
      </c>
      <c r="K8887" s="0" t="n">
        <v>87946594534</v>
      </c>
      <c r="L8887" s="0" t="s">
        <v>4681</v>
      </c>
      <c r="N8887" s="0" t="n">
        <v>25</v>
      </c>
      <c r="O8887" s="0" t="n">
        <v>140</v>
      </c>
      <c r="P8887" s="0" t="s">
        <v>2444</v>
      </c>
    </row>
    <row r="8888" customFormat="false" ht="15" hidden="false" customHeight="true" outlineLevel="0" collapsed="false">
      <c r="A8888" s="0" t="n">
        <v>2</v>
      </c>
      <c r="B8888" s="71" t="n">
        <v>46284</v>
      </c>
      <c r="C8888" s="0" t="n">
        <v>11</v>
      </c>
      <c r="D8888" s="0" t="s">
        <v>2471</v>
      </c>
      <c r="E8888" s="0" t="n">
        <v>1749</v>
      </c>
      <c r="F8888" s="0" t="s">
        <v>585</v>
      </c>
      <c r="I8888" s="0" t="n">
        <v>4426</v>
      </c>
      <c r="J8888" s="0" t="n">
        <v>102300</v>
      </c>
      <c r="K8888" s="0" t="n">
        <v>7898062920014</v>
      </c>
      <c r="L8888" s="0" t="s">
        <v>2631</v>
      </c>
      <c r="N8888" s="0" t="n">
        <v>150</v>
      </c>
      <c r="O8888" s="0" t="n">
        <v>689.5</v>
      </c>
      <c r="P8888" s="0" t="s">
        <v>2444</v>
      </c>
    </row>
    <row r="8889" customFormat="false" ht="15" hidden="false" customHeight="true" outlineLevel="0" collapsed="false">
      <c r="A8889" s="0" t="n">
        <v>2</v>
      </c>
      <c r="B8889" s="71" t="n">
        <v>46284</v>
      </c>
      <c r="C8889" s="0" t="n">
        <v>11</v>
      </c>
      <c r="D8889" s="0" t="s">
        <v>2471</v>
      </c>
      <c r="E8889" s="0" t="n">
        <v>1749</v>
      </c>
      <c r="F8889" s="0" t="s">
        <v>585</v>
      </c>
      <c r="I8889" s="0" t="n">
        <v>4426</v>
      </c>
      <c r="J8889" s="0" t="n">
        <v>13188</v>
      </c>
      <c r="K8889" s="0" t="n">
        <v>7896393601046</v>
      </c>
      <c r="L8889" s="0" t="s">
        <v>3021</v>
      </c>
      <c r="N8889" s="0" t="n">
        <v>90</v>
      </c>
      <c r="O8889" s="0" t="n">
        <v>353.7</v>
      </c>
      <c r="P8889" s="0" t="s">
        <v>2444</v>
      </c>
    </row>
    <row r="8890" customFormat="false" ht="15" hidden="false" customHeight="true" outlineLevel="0" collapsed="false">
      <c r="A8890" s="0" t="n">
        <v>2</v>
      </c>
      <c r="B8890" s="71" t="n">
        <v>46284</v>
      </c>
      <c r="C8890" s="0" t="n">
        <v>11</v>
      </c>
      <c r="D8890" s="0" t="s">
        <v>2471</v>
      </c>
      <c r="E8890" s="0" t="n">
        <v>1749</v>
      </c>
      <c r="F8890" s="0" t="s">
        <v>585</v>
      </c>
      <c r="I8890" s="0" t="n">
        <v>4426</v>
      </c>
      <c r="J8890" s="0" t="n">
        <v>13677</v>
      </c>
      <c r="K8890" s="0" t="n">
        <v>7896393601039</v>
      </c>
      <c r="L8890" s="0" t="s">
        <v>3022</v>
      </c>
      <c r="N8890" s="0" t="n">
        <v>150</v>
      </c>
      <c r="O8890" s="0" t="n">
        <v>584.5</v>
      </c>
      <c r="P8890" s="0" t="s">
        <v>2444</v>
      </c>
    </row>
    <row r="8891" customFormat="false" ht="15" hidden="false" customHeight="true" outlineLevel="0" collapsed="false">
      <c r="A8891" s="0" t="n">
        <v>2</v>
      </c>
      <c r="B8891" s="71" t="n">
        <v>46284</v>
      </c>
      <c r="C8891" s="0" t="n">
        <v>11</v>
      </c>
      <c r="D8891" s="0" t="s">
        <v>2471</v>
      </c>
      <c r="E8891" s="0" t="n">
        <v>1749</v>
      </c>
      <c r="F8891" s="0" t="s">
        <v>585</v>
      </c>
      <c r="I8891" s="0" t="n">
        <v>4426</v>
      </c>
      <c r="J8891" s="0" t="n">
        <v>29729</v>
      </c>
      <c r="K8891" s="0" t="n">
        <v>7898018160105</v>
      </c>
      <c r="L8891" s="0" t="s">
        <v>3023</v>
      </c>
      <c r="N8891" s="0" t="n">
        <v>120</v>
      </c>
      <c r="O8891" s="0" t="n">
        <v>447.6</v>
      </c>
      <c r="P8891" s="0" t="s">
        <v>2444</v>
      </c>
    </row>
    <row r="8892" customFormat="false" ht="15" hidden="false" customHeight="true" outlineLevel="0" collapsed="false">
      <c r="A8892" s="0" t="n">
        <v>2</v>
      </c>
      <c r="B8892" s="71" t="n">
        <v>46284</v>
      </c>
      <c r="C8892" s="0" t="n">
        <v>11</v>
      </c>
      <c r="D8892" s="0" t="s">
        <v>2471</v>
      </c>
      <c r="E8892" s="0" t="n">
        <v>1749</v>
      </c>
      <c r="F8892" s="0" t="s">
        <v>585</v>
      </c>
      <c r="I8892" s="0" t="n">
        <v>4426</v>
      </c>
      <c r="J8892" s="0" t="n">
        <v>31860</v>
      </c>
      <c r="K8892" s="0" t="n">
        <v>7898018160082</v>
      </c>
      <c r="L8892" s="0" t="s">
        <v>3667</v>
      </c>
      <c r="N8892" s="0" t="n">
        <v>90</v>
      </c>
      <c r="O8892" s="0" t="n">
        <v>338.7</v>
      </c>
      <c r="P8892" s="0" t="s">
        <v>2444</v>
      </c>
    </row>
    <row r="8893" customFormat="false" ht="15" hidden="false" customHeight="true" outlineLevel="0" collapsed="false">
      <c r="A8893" s="0" t="n">
        <v>2</v>
      </c>
      <c r="B8893" s="71" t="n">
        <v>46284</v>
      </c>
      <c r="C8893" s="0" t="n">
        <v>11</v>
      </c>
      <c r="D8893" s="0" t="s">
        <v>2471</v>
      </c>
      <c r="E8893" s="0" t="n">
        <v>1749</v>
      </c>
      <c r="F8893" s="0" t="s">
        <v>585</v>
      </c>
      <c r="I8893" s="0" t="n">
        <v>4426</v>
      </c>
      <c r="J8893" s="0" t="n">
        <v>71834</v>
      </c>
      <c r="K8893" s="0" t="n">
        <v>7898361830069</v>
      </c>
      <c r="L8893" s="0" t="s">
        <v>3026</v>
      </c>
      <c r="N8893" s="0" t="n">
        <v>150</v>
      </c>
      <c r="O8893" s="0" t="n">
        <v>475</v>
      </c>
      <c r="P8893" s="0" t="s">
        <v>2444</v>
      </c>
    </row>
    <row r="8894" customFormat="false" ht="15" hidden="false" customHeight="true" outlineLevel="0" collapsed="false">
      <c r="A8894" s="0" t="n">
        <v>2</v>
      </c>
      <c r="B8894" s="71" t="n">
        <v>46284</v>
      </c>
      <c r="C8894" s="0" t="n">
        <v>11</v>
      </c>
      <c r="D8894" s="0" t="s">
        <v>2471</v>
      </c>
      <c r="E8894" s="0" t="n">
        <v>1749</v>
      </c>
      <c r="F8894" s="0" t="s">
        <v>585</v>
      </c>
      <c r="I8894" s="0" t="n">
        <v>4426</v>
      </c>
      <c r="J8894" s="0" t="n">
        <v>81365</v>
      </c>
      <c r="K8894" s="0" t="n">
        <v>7898361830106</v>
      </c>
      <c r="L8894" s="0" t="s">
        <v>3307</v>
      </c>
      <c r="N8894" s="0" t="n">
        <v>125</v>
      </c>
      <c r="O8894" s="0" t="n">
        <v>574.5</v>
      </c>
      <c r="P8894" s="0" t="s">
        <v>2444</v>
      </c>
    </row>
    <row r="8895" customFormat="false" ht="15" hidden="false" customHeight="true" outlineLevel="0" collapsed="false">
      <c r="A8895" s="0" t="n">
        <v>2</v>
      </c>
      <c r="B8895" s="71" t="n">
        <v>46284</v>
      </c>
      <c r="C8895" s="0" t="n">
        <v>11</v>
      </c>
      <c r="D8895" s="0" t="s">
        <v>2471</v>
      </c>
      <c r="E8895" s="0" t="n">
        <v>1328</v>
      </c>
      <c r="F8895" s="0" t="s">
        <v>95</v>
      </c>
      <c r="I8895" s="0" t="n">
        <v>4694</v>
      </c>
      <c r="J8895" s="0" t="n">
        <v>50310</v>
      </c>
      <c r="K8895" s="0" t="n">
        <v>7898588380101</v>
      </c>
      <c r="L8895" s="0" t="s">
        <v>2502</v>
      </c>
      <c r="N8895" s="0" t="n">
        <v>2</v>
      </c>
      <c r="O8895" s="0" t="n">
        <v>14.5</v>
      </c>
      <c r="P8895" s="0" t="s">
        <v>2444</v>
      </c>
    </row>
    <row r="8896" customFormat="false" ht="15" hidden="false" customHeight="true" outlineLevel="0" collapsed="false">
      <c r="A8896" s="0" t="n">
        <v>2</v>
      </c>
      <c r="B8896" s="71" t="n">
        <v>46284</v>
      </c>
      <c r="C8896" s="0" t="n">
        <v>11</v>
      </c>
      <c r="D8896" s="0" t="s">
        <v>2471</v>
      </c>
      <c r="E8896" s="0" t="n">
        <v>1328</v>
      </c>
      <c r="F8896" s="0" t="s">
        <v>95</v>
      </c>
      <c r="I8896" s="0" t="n">
        <v>4694</v>
      </c>
      <c r="J8896" s="0" t="n">
        <v>21045</v>
      </c>
      <c r="K8896" s="0" t="n">
        <v>7898588380255</v>
      </c>
      <c r="L8896" s="0" t="s">
        <v>2503</v>
      </c>
      <c r="N8896" s="0" t="n">
        <v>3</v>
      </c>
      <c r="O8896" s="0" t="n">
        <v>16.5</v>
      </c>
      <c r="P8896" s="0" t="s">
        <v>2444</v>
      </c>
    </row>
    <row r="8897" customFormat="false" ht="15" hidden="false" customHeight="true" outlineLevel="0" collapsed="false">
      <c r="A8897" s="0" t="n">
        <v>2</v>
      </c>
      <c r="B8897" s="71" t="n">
        <v>46284</v>
      </c>
      <c r="C8897" s="0" t="n">
        <v>11</v>
      </c>
      <c r="D8897" s="0" t="s">
        <v>2471</v>
      </c>
      <c r="E8897" s="0" t="n">
        <v>1328</v>
      </c>
      <c r="F8897" s="0" t="s">
        <v>95</v>
      </c>
      <c r="I8897" s="0" t="n">
        <v>4694</v>
      </c>
      <c r="J8897" s="0" t="n">
        <v>21060</v>
      </c>
      <c r="K8897" s="0" t="n">
        <v>7898588380118</v>
      </c>
      <c r="L8897" s="0" t="s">
        <v>2504</v>
      </c>
      <c r="N8897" s="0" t="n">
        <v>15</v>
      </c>
      <c r="O8897" s="0" t="n">
        <v>97.5</v>
      </c>
      <c r="P8897" s="0" t="s">
        <v>2444</v>
      </c>
    </row>
    <row r="8898" customFormat="false" ht="15" hidden="false" customHeight="true" outlineLevel="0" collapsed="false">
      <c r="A8898" s="0" t="n">
        <v>2</v>
      </c>
      <c r="B8898" s="71" t="n">
        <v>46284</v>
      </c>
      <c r="C8898" s="0" t="n">
        <v>11</v>
      </c>
      <c r="D8898" s="0" t="s">
        <v>2471</v>
      </c>
      <c r="E8898" s="0" t="n">
        <v>1328</v>
      </c>
      <c r="F8898" s="0" t="s">
        <v>95</v>
      </c>
      <c r="I8898" s="0" t="n">
        <v>4694</v>
      </c>
      <c r="J8898" s="0" t="n">
        <v>31789</v>
      </c>
      <c r="K8898" s="0" t="n">
        <v>7898588380149</v>
      </c>
      <c r="L8898" s="0" t="s">
        <v>2446</v>
      </c>
      <c r="N8898" s="0" t="n">
        <v>3</v>
      </c>
      <c r="O8898" s="0" t="n">
        <v>16.5</v>
      </c>
      <c r="P8898" s="0" t="s">
        <v>2444</v>
      </c>
    </row>
    <row r="8899" customFormat="false" ht="15" hidden="false" customHeight="true" outlineLevel="0" collapsed="false">
      <c r="A8899" s="0" t="n">
        <v>2</v>
      </c>
      <c r="B8899" s="71" t="n">
        <v>46284</v>
      </c>
      <c r="C8899" s="0" t="n">
        <v>11</v>
      </c>
      <c r="D8899" s="0" t="s">
        <v>2471</v>
      </c>
      <c r="E8899" s="0" t="n">
        <v>1328</v>
      </c>
      <c r="F8899" s="0" t="s">
        <v>95</v>
      </c>
      <c r="I8899" s="0" t="n">
        <v>4694</v>
      </c>
      <c r="J8899" s="0" t="n">
        <v>31782</v>
      </c>
      <c r="K8899" s="0" t="n">
        <v>7898588380132</v>
      </c>
      <c r="L8899" s="0" t="s">
        <v>2505</v>
      </c>
      <c r="N8899" s="0" t="n">
        <v>3</v>
      </c>
      <c r="O8899" s="0" t="n">
        <v>16.5</v>
      </c>
      <c r="P8899" s="0" t="s">
        <v>2444</v>
      </c>
    </row>
    <row r="8900" customFormat="false" ht="15" hidden="false" customHeight="true" outlineLevel="0" collapsed="false">
      <c r="A8900" s="0" t="n">
        <v>2</v>
      </c>
      <c r="B8900" s="71" t="n">
        <v>46284</v>
      </c>
      <c r="C8900" s="0" t="n">
        <v>11</v>
      </c>
      <c r="D8900" s="0" t="s">
        <v>2471</v>
      </c>
      <c r="E8900" s="0" t="n">
        <v>1328</v>
      </c>
      <c r="F8900" s="0" t="s">
        <v>95</v>
      </c>
      <c r="I8900" s="0" t="n">
        <v>4694</v>
      </c>
      <c r="J8900" s="0" t="n">
        <v>31784</v>
      </c>
      <c r="K8900" s="0" t="n">
        <v>7898588380545</v>
      </c>
      <c r="L8900" s="0" t="s">
        <v>2590</v>
      </c>
      <c r="N8900" s="0" t="n">
        <v>3</v>
      </c>
      <c r="O8900" s="0" t="n">
        <v>16.5</v>
      </c>
      <c r="P8900" s="0" t="s">
        <v>2444</v>
      </c>
    </row>
    <row r="8901" customFormat="false" ht="15" hidden="false" customHeight="true" outlineLevel="0" collapsed="false">
      <c r="A8901" s="0" t="n">
        <v>2</v>
      </c>
      <c r="B8901" s="71" t="n">
        <v>46284</v>
      </c>
      <c r="C8901" s="0" t="n">
        <v>11</v>
      </c>
      <c r="D8901" s="0" t="s">
        <v>2471</v>
      </c>
      <c r="E8901" s="0" t="n">
        <v>1328</v>
      </c>
      <c r="F8901" s="0" t="s">
        <v>95</v>
      </c>
      <c r="I8901" s="0" t="n">
        <v>4694</v>
      </c>
      <c r="J8901" s="0" t="n">
        <v>31786</v>
      </c>
      <c r="K8901" s="0" t="n">
        <v>7898588380187</v>
      </c>
      <c r="L8901" s="0" t="s">
        <v>2506</v>
      </c>
      <c r="N8901" s="0" t="n">
        <v>5</v>
      </c>
      <c r="O8901" s="0" t="n">
        <v>27.5</v>
      </c>
      <c r="P8901" s="0" t="s">
        <v>2444</v>
      </c>
    </row>
    <row r="8902" customFormat="false" ht="15" hidden="false" customHeight="true" outlineLevel="0" collapsed="false">
      <c r="A8902" s="0" t="n">
        <v>2</v>
      </c>
      <c r="B8902" s="71" t="n">
        <v>46284</v>
      </c>
      <c r="C8902" s="0" t="n">
        <v>11</v>
      </c>
      <c r="D8902" s="0" t="s">
        <v>2471</v>
      </c>
      <c r="E8902" s="0" t="n">
        <v>1328</v>
      </c>
      <c r="F8902" s="0" t="s">
        <v>95</v>
      </c>
      <c r="I8902" s="0" t="n">
        <v>4694</v>
      </c>
      <c r="J8902" s="0" t="n">
        <v>31790</v>
      </c>
      <c r="K8902" s="0" t="n">
        <v>7898588380231</v>
      </c>
      <c r="L8902" s="0" t="s">
        <v>2508</v>
      </c>
      <c r="N8902" s="0" t="n">
        <v>3</v>
      </c>
      <c r="O8902" s="0" t="n">
        <v>16.5</v>
      </c>
      <c r="P8902" s="0" t="s">
        <v>2444</v>
      </c>
    </row>
    <row r="8903" customFormat="false" ht="15" hidden="false" customHeight="true" outlineLevel="0" collapsed="false">
      <c r="A8903" s="0" t="n">
        <v>2</v>
      </c>
      <c r="B8903" s="71" t="n">
        <v>46284</v>
      </c>
      <c r="C8903" s="0" t="n">
        <v>11</v>
      </c>
      <c r="D8903" s="0" t="s">
        <v>2471</v>
      </c>
      <c r="E8903" s="0" t="n">
        <v>1625</v>
      </c>
      <c r="F8903" s="0" t="s">
        <v>270</v>
      </c>
      <c r="I8903" s="0" t="n">
        <v>15408</v>
      </c>
      <c r="J8903" s="0" t="n">
        <v>77455</v>
      </c>
      <c r="K8903" s="0" t="n">
        <v>774567</v>
      </c>
      <c r="L8903" s="0" t="s">
        <v>2624</v>
      </c>
      <c r="N8903" s="0" t="n">
        <v>21</v>
      </c>
      <c r="O8903" s="0" t="n">
        <v>672</v>
      </c>
      <c r="P8903" s="0" t="s">
        <v>2444</v>
      </c>
    </row>
    <row r="8904" customFormat="false" ht="15" hidden="false" customHeight="true" outlineLevel="0" collapsed="false">
      <c r="A8904" s="0" t="n">
        <v>2</v>
      </c>
      <c r="B8904" s="71" t="n">
        <v>46284</v>
      </c>
      <c r="C8904" s="0" t="n">
        <v>11</v>
      </c>
      <c r="D8904" s="0" t="s">
        <v>2471</v>
      </c>
      <c r="E8904" s="0" t="n">
        <v>1672</v>
      </c>
      <c r="F8904" s="0" t="s">
        <v>343</v>
      </c>
      <c r="I8904" s="0" t="n">
        <v>1452168</v>
      </c>
      <c r="J8904" s="0" t="n">
        <v>103165</v>
      </c>
      <c r="K8904" s="0" t="n">
        <v>7896579310106</v>
      </c>
      <c r="L8904" s="0" t="s">
        <v>3654</v>
      </c>
      <c r="N8904" s="0" t="n">
        <v>45</v>
      </c>
      <c r="O8904" s="0" t="n">
        <v>184.5</v>
      </c>
      <c r="P8904" s="0" t="s">
        <v>2444</v>
      </c>
    </row>
    <row r="8905" customFormat="false" ht="15" hidden="false" customHeight="true" outlineLevel="0" collapsed="false">
      <c r="A8905" s="0" t="n">
        <v>2</v>
      </c>
      <c r="B8905" s="71" t="n">
        <v>46284</v>
      </c>
      <c r="C8905" s="0" t="n">
        <v>11</v>
      </c>
      <c r="D8905" s="0" t="s">
        <v>2471</v>
      </c>
      <c r="E8905" s="0" t="n">
        <v>1672</v>
      </c>
      <c r="F8905" s="0" t="s">
        <v>343</v>
      </c>
      <c r="I8905" s="0" t="n">
        <v>1452168</v>
      </c>
      <c r="J8905" s="0" t="n">
        <v>104355</v>
      </c>
      <c r="K8905" s="0" t="n">
        <v>7896579380116</v>
      </c>
      <c r="L8905" s="0" t="s">
        <v>3656</v>
      </c>
      <c r="N8905" s="0" t="n">
        <v>45</v>
      </c>
      <c r="O8905" s="0" t="n">
        <v>184.5</v>
      </c>
      <c r="P8905" s="0" t="s">
        <v>2444</v>
      </c>
    </row>
    <row r="8906" customFormat="false" ht="15" hidden="false" customHeight="true" outlineLevel="0" collapsed="false">
      <c r="A8906" s="0" t="n">
        <v>2</v>
      </c>
      <c r="B8906" s="71" t="n">
        <v>46284</v>
      </c>
      <c r="C8906" s="0" t="n">
        <v>11</v>
      </c>
      <c r="D8906" s="0" t="s">
        <v>2471</v>
      </c>
      <c r="E8906" s="0" t="n">
        <v>1672</v>
      </c>
      <c r="F8906" s="0" t="s">
        <v>343</v>
      </c>
      <c r="I8906" s="0" t="n">
        <v>1452168</v>
      </c>
      <c r="J8906" s="0" t="n">
        <v>31622</v>
      </c>
      <c r="K8906" s="0" t="n">
        <v>7896579370032</v>
      </c>
      <c r="L8906" s="0" t="s">
        <v>3878</v>
      </c>
      <c r="N8906" s="0" t="n">
        <v>36</v>
      </c>
      <c r="O8906" s="0" t="n">
        <v>172.8</v>
      </c>
      <c r="P8906" s="0" t="s">
        <v>2444</v>
      </c>
    </row>
    <row r="8907" customFormat="false" ht="15" hidden="false" customHeight="true" outlineLevel="0" collapsed="false">
      <c r="A8907" s="0" t="n">
        <v>2</v>
      </c>
      <c r="B8907" s="71" t="n">
        <v>46284</v>
      </c>
      <c r="C8907" s="0" t="n">
        <v>11</v>
      </c>
      <c r="D8907" s="0" t="s">
        <v>2471</v>
      </c>
      <c r="E8907" s="0" t="n">
        <v>1672</v>
      </c>
      <c r="F8907" s="0" t="s">
        <v>343</v>
      </c>
      <c r="I8907" s="0" t="n">
        <v>1452168</v>
      </c>
      <c r="J8907" s="0" t="n">
        <v>37156</v>
      </c>
      <c r="K8907" s="0" t="n">
        <v>7896579310502</v>
      </c>
      <c r="L8907" s="0" t="s">
        <v>4563</v>
      </c>
      <c r="N8907" s="0" t="n">
        <v>45</v>
      </c>
      <c r="O8907" s="0" t="n">
        <v>202.5</v>
      </c>
      <c r="P8907" s="0" t="s">
        <v>2444</v>
      </c>
    </row>
    <row r="8908" customFormat="false" ht="15" hidden="false" customHeight="true" outlineLevel="0" collapsed="false">
      <c r="A8908" s="0" t="n">
        <v>2</v>
      </c>
      <c r="B8908" s="71" t="n">
        <v>46284</v>
      </c>
      <c r="C8908" s="0" t="n">
        <v>11</v>
      </c>
      <c r="D8908" s="0" t="s">
        <v>2471</v>
      </c>
      <c r="E8908" s="0" t="n">
        <v>1672</v>
      </c>
      <c r="F8908" s="0" t="s">
        <v>343</v>
      </c>
      <c r="I8908" s="0" t="n">
        <v>1452168</v>
      </c>
      <c r="J8908" s="0" t="n">
        <v>37507</v>
      </c>
      <c r="K8908" s="0" t="n">
        <v>7896579310854</v>
      </c>
      <c r="L8908" s="0" t="s">
        <v>2726</v>
      </c>
      <c r="N8908" s="0" t="n">
        <v>41</v>
      </c>
      <c r="O8908" s="0" t="n">
        <v>299.3</v>
      </c>
      <c r="P8908" s="0" t="s">
        <v>2444</v>
      </c>
    </row>
    <row r="8909" customFormat="false" ht="15" hidden="false" customHeight="true" outlineLevel="0" collapsed="false">
      <c r="A8909" s="0" t="n">
        <v>2</v>
      </c>
      <c r="B8909" s="71" t="n">
        <v>46284</v>
      </c>
      <c r="C8909" s="0" t="n">
        <v>11</v>
      </c>
      <c r="D8909" s="0" t="s">
        <v>2471</v>
      </c>
      <c r="E8909" s="0" t="n">
        <v>1672</v>
      </c>
      <c r="F8909" s="0" t="s">
        <v>343</v>
      </c>
      <c r="I8909" s="0" t="n">
        <v>1452168</v>
      </c>
      <c r="J8909" s="0" t="n">
        <v>38539</v>
      </c>
      <c r="K8909" s="0" t="n">
        <v>7896579320235</v>
      </c>
      <c r="L8909" s="0" t="s">
        <v>2728</v>
      </c>
      <c r="N8909" s="0" t="n">
        <v>45</v>
      </c>
      <c r="O8909" s="0" t="n">
        <v>184.5</v>
      </c>
      <c r="P8909" s="0" t="s">
        <v>2444</v>
      </c>
    </row>
    <row r="8910" customFormat="false" ht="15" hidden="false" customHeight="true" outlineLevel="0" collapsed="false">
      <c r="A8910" s="0" t="n">
        <v>2</v>
      </c>
      <c r="B8910" s="71" t="n">
        <v>46284</v>
      </c>
      <c r="C8910" s="0" t="n">
        <v>11</v>
      </c>
      <c r="D8910" s="0" t="s">
        <v>2471</v>
      </c>
      <c r="E8910" s="0" t="n">
        <v>1672</v>
      </c>
      <c r="F8910" s="0" t="s">
        <v>343</v>
      </c>
      <c r="I8910" s="0" t="n">
        <v>1452168</v>
      </c>
      <c r="J8910" s="0" t="n">
        <v>39420</v>
      </c>
      <c r="K8910" s="0" t="n">
        <v>7896579310533</v>
      </c>
      <c r="L8910" s="0" t="s">
        <v>3879</v>
      </c>
      <c r="N8910" s="0" t="n">
        <v>60</v>
      </c>
      <c r="O8910" s="0" t="n">
        <v>66</v>
      </c>
      <c r="P8910" s="0" t="s">
        <v>2444</v>
      </c>
    </row>
    <row r="8911" customFormat="false" ht="15" hidden="false" customHeight="true" outlineLevel="0" collapsed="false">
      <c r="A8911" s="0" t="n">
        <v>2</v>
      </c>
      <c r="B8911" s="71" t="n">
        <v>46284</v>
      </c>
      <c r="C8911" s="0" t="n">
        <v>11</v>
      </c>
      <c r="D8911" s="0" t="s">
        <v>2471</v>
      </c>
      <c r="E8911" s="0" t="n">
        <v>1672</v>
      </c>
      <c r="F8911" s="0" t="s">
        <v>343</v>
      </c>
      <c r="I8911" s="0" t="n">
        <v>1452168</v>
      </c>
      <c r="J8911" s="0" t="n">
        <v>39422</v>
      </c>
      <c r="K8911" s="0" t="n">
        <v>7896579310434</v>
      </c>
      <c r="L8911" s="0" t="s">
        <v>5235</v>
      </c>
      <c r="N8911" s="0" t="n">
        <v>60</v>
      </c>
      <c r="O8911" s="0" t="n">
        <v>66</v>
      </c>
      <c r="P8911" s="0" t="s">
        <v>2444</v>
      </c>
    </row>
    <row r="8912" customFormat="false" ht="15" hidden="false" customHeight="true" outlineLevel="0" collapsed="false">
      <c r="A8912" s="0" t="n">
        <v>2</v>
      </c>
      <c r="B8912" s="71" t="n">
        <v>46284</v>
      </c>
      <c r="C8912" s="0" t="n">
        <v>11</v>
      </c>
      <c r="D8912" s="0" t="s">
        <v>2471</v>
      </c>
      <c r="E8912" s="0" t="n">
        <v>1672</v>
      </c>
      <c r="F8912" s="0" t="s">
        <v>343</v>
      </c>
      <c r="I8912" s="0" t="n">
        <v>1452168</v>
      </c>
      <c r="J8912" s="0" t="n">
        <v>39425</v>
      </c>
      <c r="K8912" s="0" t="n">
        <v>7896579310632</v>
      </c>
      <c r="L8912" s="0" t="s">
        <v>3661</v>
      </c>
      <c r="N8912" s="0" t="n">
        <v>60</v>
      </c>
      <c r="O8912" s="0" t="n">
        <v>66</v>
      </c>
      <c r="P8912" s="0" t="s">
        <v>2444</v>
      </c>
    </row>
    <row r="8913" customFormat="false" ht="15" hidden="false" customHeight="true" outlineLevel="0" collapsed="false">
      <c r="A8913" s="0" t="n">
        <v>2</v>
      </c>
      <c r="B8913" s="71" t="n">
        <v>46284</v>
      </c>
      <c r="C8913" s="0" t="n">
        <v>11</v>
      </c>
      <c r="D8913" s="0" t="s">
        <v>2471</v>
      </c>
      <c r="E8913" s="0" t="n">
        <v>1672</v>
      </c>
      <c r="F8913" s="0" t="s">
        <v>343</v>
      </c>
      <c r="I8913" s="0" t="n">
        <v>1452168</v>
      </c>
      <c r="J8913" s="0" t="n">
        <v>47069</v>
      </c>
      <c r="K8913" s="0" t="n">
        <v>7896579370063</v>
      </c>
      <c r="L8913" s="0" t="s">
        <v>4717</v>
      </c>
      <c r="N8913" s="0" t="n">
        <v>60</v>
      </c>
      <c r="O8913" s="0" t="n">
        <v>66</v>
      </c>
      <c r="P8913" s="0" t="s">
        <v>2444</v>
      </c>
    </row>
    <row r="8914" customFormat="false" ht="15" hidden="false" customHeight="true" outlineLevel="0" collapsed="false">
      <c r="A8914" s="0" t="n">
        <v>2</v>
      </c>
      <c r="B8914" s="71" t="n">
        <v>46284</v>
      </c>
      <c r="C8914" s="0" t="n">
        <v>11</v>
      </c>
      <c r="D8914" s="0" t="s">
        <v>2471</v>
      </c>
      <c r="E8914" s="0" t="n">
        <v>1672</v>
      </c>
      <c r="F8914" s="0" t="s">
        <v>343</v>
      </c>
      <c r="I8914" s="0" t="n">
        <v>1452168</v>
      </c>
      <c r="J8914" s="0" t="n">
        <v>61503</v>
      </c>
      <c r="K8914" s="0" t="n">
        <v>7896579310915</v>
      </c>
      <c r="L8914" s="0" t="s">
        <v>2731</v>
      </c>
      <c r="N8914" s="0" t="n">
        <v>10</v>
      </c>
      <c r="O8914" s="0" t="n">
        <v>80</v>
      </c>
      <c r="P8914" s="0" t="s">
        <v>2444</v>
      </c>
    </row>
    <row r="8915" customFormat="false" ht="15" hidden="false" customHeight="true" outlineLevel="0" collapsed="false">
      <c r="A8915" s="0" t="n">
        <v>2</v>
      </c>
      <c r="B8915" s="71" t="n">
        <v>46284</v>
      </c>
      <c r="C8915" s="0" t="n">
        <v>11</v>
      </c>
      <c r="D8915" s="0" t="s">
        <v>2471</v>
      </c>
      <c r="E8915" s="0" t="n">
        <v>1672</v>
      </c>
      <c r="F8915" s="0" t="s">
        <v>343</v>
      </c>
      <c r="I8915" s="0" t="n">
        <v>1452168</v>
      </c>
      <c r="J8915" s="0" t="n">
        <v>81819</v>
      </c>
      <c r="K8915" s="0" t="n">
        <v>7896579390191</v>
      </c>
      <c r="L8915" s="0" t="s">
        <v>4566</v>
      </c>
      <c r="N8915" s="0" t="n">
        <v>24</v>
      </c>
      <c r="O8915" s="0" t="n">
        <v>26.4</v>
      </c>
      <c r="P8915" s="0" t="s">
        <v>2444</v>
      </c>
    </row>
    <row r="8916" customFormat="false" ht="15" hidden="false" customHeight="true" outlineLevel="0" collapsed="false">
      <c r="A8916" s="0" t="n">
        <v>2</v>
      </c>
      <c r="B8916" s="71" t="n">
        <v>46284</v>
      </c>
      <c r="C8916" s="0" t="n">
        <v>11</v>
      </c>
      <c r="D8916" s="0" t="s">
        <v>2471</v>
      </c>
      <c r="E8916" s="0" t="n">
        <v>1683</v>
      </c>
      <c r="F8916" s="0" t="s">
        <v>406</v>
      </c>
      <c r="I8916" s="0" t="n">
        <v>1682632</v>
      </c>
      <c r="J8916" s="0" t="n">
        <v>109791</v>
      </c>
      <c r="K8916" s="0" t="n">
        <v>9667</v>
      </c>
      <c r="L8916" s="0" t="s">
        <v>2465</v>
      </c>
      <c r="N8916" s="0" t="n">
        <v>17</v>
      </c>
      <c r="O8916" s="0" t="n">
        <v>25.5</v>
      </c>
      <c r="P8916" s="0" t="s">
        <v>2444</v>
      </c>
    </row>
    <row r="8917" customFormat="false" ht="15" hidden="false" customHeight="true" outlineLevel="0" collapsed="false">
      <c r="A8917" s="0" t="n">
        <v>2</v>
      </c>
      <c r="B8917" s="71" t="n">
        <v>46284</v>
      </c>
      <c r="C8917" s="0" t="n">
        <v>11</v>
      </c>
      <c r="D8917" s="0" t="s">
        <v>2471</v>
      </c>
      <c r="E8917" s="0" t="n">
        <v>1683</v>
      </c>
      <c r="F8917" s="0" t="s">
        <v>406</v>
      </c>
      <c r="I8917" s="0" t="n">
        <v>1682632</v>
      </c>
      <c r="J8917" s="0" t="n">
        <v>37361</v>
      </c>
      <c r="K8917" s="0" t="n">
        <v>2240817</v>
      </c>
      <c r="L8917" s="0" t="s">
        <v>2467</v>
      </c>
      <c r="N8917" s="0" t="n">
        <v>70</v>
      </c>
      <c r="O8917" s="0" t="n">
        <v>126</v>
      </c>
      <c r="P8917" s="0" t="s">
        <v>2444</v>
      </c>
    </row>
    <row r="8918" customFormat="false" ht="15" hidden="false" customHeight="true" outlineLevel="0" collapsed="false">
      <c r="A8918" s="0" t="n">
        <v>2</v>
      </c>
      <c r="B8918" s="71" t="n">
        <v>46284</v>
      </c>
      <c r="C8918" s="0" t="n">
        <v>22</v>
      </c>
      <c r="D8918" s="0" t="s">
        <v>2479</v>
      </c>
      <c r="E8918" s="0" t="n">
        <v>48</v>
      </c>
      <c r="F8918" s="0" t="s">
        <v>153</v>
      </c>
      <c r="I8918" s="0" t="n">
        <v>2685</v>
      </c>
      <c r="J8918" s="0" t="n">
        <v>100007</v>
      </c>
      <c r="K8918" s="0" t="n">
        <v>8</v>
      </c>
      <c r="L8918" s="0" t="s">
        <v>2486</v>
      </c>
      <c r="N8918" s="0" t="n">
        <v>0.606</v>
      </c>
      <c r="O8918" s="0" t="n">
        <v>15.73</v>
      </c>
      <c r="P8918" s="0" t="s">
        <v>2444</v>
      </c>
    </row>
    <row r="8919" customFormat="false" ht="15" hidden="false" customHeight="true" outlineLevel="0" collapsed="false">
      <c r="A8919" s="0" t="n">
        <v>2</v>
      </c>
      <c r="B8919" s="71" t="n">
        <v>46284</v>
      </c>
      <c r="C8919" s="0" t="n">
        <v>22</v>
      </c>
      <c r="D8919" s="0" t="s">
        <v>2479</v>
      </c>
      <c r="E8919" s="0" t="n">
        <v>48</v>
      </c>
      <c r="F8919" s="0" t="s">
        <v>153</v>
      </c>
      <c r="I8919" s="0" t="n">
        <v>2685</v>
      </c>
      <c r="J8919" s="0" t="n">
        <v>100008</v>
      </c>
      <c r="K8919" s="0" t="n">
        <v>9</v>
      </c>
      <c r="L8919" s="0" t="s">
        <v>2487</v>
      </c>
      <c r="N8919" s="0" t="n">
        <v>15.12</v>
      </c>
      <c r="O8919" s="0" t="n">
        <v>510.36</v>
      </c>
      <c r="P8919" s="0" t="s">
        <v>2444</v>
      </c>
    </row>
    <row r="8920" customFormat="false" ht="15" hidden="false" customHeight="true" outlineLevel="0" collapsed="false">
      <c r="A8920" s="0" t="n">
        <v>2</v>
      </c>
      <c r="B8920" s="71" t="n">
        <v>46284</v>
      </c>
      <c r="C8920" s="0" t="n">
        <v>22</v>
      </c>
      <c r="D8920" s="0" t="s">
        <v>2479</v>
      </c>
      <c r="E8920" s="0" t="n">
        <v>48</v>
      </c>
      <c r="F8920" s="0" t="s">
        <v>153</v>
      </c>
      <c r="I8920" s="0" t="n">
        <v>2685</v>
      </c>
      <c r="J8920" s="0" t="n">
        <v>100016</v>
      </c>
      <c r="K8920" s="0" t="n">
        <v>17</v>
      </c>
      <c r="L8920" s="0" t="s">
        <v>2493</v>
      </c>
      <c r="N8920" s="0" t="n">
        <v>1.542</v>
      </c>
      <c r="O8920" s="0" t="n">
        <v>80.08</v>
      </c>
      <c r="P8920" s="0" t="s">
        <v>2444</v>
      </c>
    </row>
    <row r="8921" customFormat="false" ht="15" hidden="false" customHeight="true" outlineLevel="0" collapsed="false">
      <c r="A8921" s="0" t="n">
        <v>2</v>
      </c>
      <c r="B8921" s="71" t="n">
        <v>46284</v>
      </c>
      <c r="C8921" s="0" t="n">
        <v>22</v>
      </c>
      <c r="D8921" s="0" t="s">
        <v>2479</v>
      </c>
      <c r="E8921" s="0" t="n">
        <v>48</v>
      </c>
      <c r="F8921" s="0" t="s">
        <v>153</v>
      </c>
      <c r="I8921" s="0" t="n">
        <v>2685</v>
      </c>
      <c r="J8921" s="0" t="n">
        <v>100053</v>
      </c>
      <c r="K8921" s="0" t="n">
        <v>54</v>
      </c>
      <c r="L8921" s="0" t="s">
        <v>2495</v>
      </c>
      <c r="N8921" s="0" t="n">
        <v>1.64</v>
      </c>
      <c r="O8921" s="0" t="n">
        <v>62.45</v>
      </c>
      <c r="P8921" s="0" t="s">
        <v>2444</v>
      </c>
    </row>
    <row r="8922" customFormat="false" ht="15" hidden="false" customHeight="true" outlineLevel="0" collapsed="false">
      <c r="A8922" s="0" t="n">
        <v>2</v>
      </c>
      <c r="B8922" s="71" t="n">
        <v>46284</v>
      </c>
      <c r="C8922" s="0" t="n">
        <v>22</v>
      </c>
      <c r="D8922" s="0" t="s">
        <v>2479</v>
      </c>
      <c r="E8922" s="0" t="n">
        <v>48</v>
      </c>
      <c r="F8922" s="0" t="s">
        <v>153</v>
      </c>
      <c r="I8922" s="0" t="n">
        <v>2685</v>
      </c>
      <c r="J8922" s="0" t="n">
        <v>100520</v>
      </c>
      <c r="K8922" s="0" t="n">
        <v>507</v>
      </c>
      <c r="L8922" s="0" t="s">
        <v>2497</v>
      </c>
      <c r="N8922" s="0" t="n">
        <v>1.304</v>
      </c>
      <c r="O8922" s="0" t="n">
        <v>3.38</v>
      </c>
      <c r="P8922" s="0" t="s">
        <v>2444</v>
      </c>
    </row>
    <row r="8923" customFormat="false" ht="15" hidden="false" customHeight="true" outlineLevel="0" collapsed="false">
      <c r="A8923" s="0" t="n">
        <v>2</v>
      </c>
      <c r="B8923" s="71" t="n">
        <v>46284</v>
      </c>
      <c r="C8923" s="0" t="n">
        <v>22</v>
      </c>
      <c r="D8923" s="0" t="s">
        <v>2479</v>
      </c>
      <c r="E8923" s="0" t="n">
        <v>48</v>
      </c>
      <c r="F8923" s="0" t="s">
        <v>153</v>
      </c>
      <c r="I8923" s="0" t="n">
        <v>2685</v>
      </c>
      <c r="J8923" s="0" t="n">
        <v>110455</v>
      </c>
      <c r="K8923" s="0" t="n">
        <v>53212</v>
      </c>
      <c r="L8923" s="0" t="s">
        <v>2498</v>
      </c>
      <c r="N8923" s="0" t="n">
        <v>0.788</v>
      </c>
      <c r="O8923" s="0" t="n">
        <v>0</v>
      </c>
      <c r="P8923" s="0" t="s">
        <v>2444</v>
      </c>
    </row>
    <row r="8924" customFormat="false" ht="15" hidden="false" customHeight="true" outlineLevel="0" collapsed="false">
      <c r="A8924" s="0" t="n">
        <v>2</v>
      </c>
      <c r="B8924" s="71" t="n">
        <v>46284</v>
      </c>
      <c r="C8924" s="0" t="n">
        <v>100</v>
      </c>
      <c r="D8924" s="0" t="s">
        <v>2499</v>
      </c>
      <c r="E8924" s="0" t="n">
        <v>48</v>
      </c>
      <c r="F8924" s="0" t="s">
        <v>153</v>
      </c>
      <c r="I8924" s="0" t="n">
        <v>1724293</v>
      </c>
      <c r="J8924" s="0" t="n">
        <v>100007</v>
      </c>
      <c r="K8924" s="0" t="n">
        <v>8</v>
      </c>
      <c r="L8924" s="0" t="s">
        <v>2486</v>
      </c>
      <c r="N8924" s="0" t="n">
        <v>0.606</v>
      </c>
      <c r="O8924" s="0" t="n">
        <v>15.73</v>
      </c>
      <c r="P8924" s="0" t="s">
        <v>2444</v>
      </c>
    </row>
    <row r="8925" customFormat="false" ht="15" hidden="false" customHeight="true" outlineLevel="0" collapsed="false">
      <c r="A8925" s="0" t="n">
        <v>2</v>
      </c>
      <c r="B8925" s="71" t="n">
        <v>46284</v>
      </c>
      <c r="C8925" s="0" t="n">
        <v>100</v>
      </c>
      <c r="D8925" s="0" t="s">
        <v>2499</v>
      </c>
      <c r="E8925" s="0" t="n">
        <v>48</v>
      </c>
      <c r="F8925" s="0" t="s">
        <v>153</v>
      </c>
      <c r="I8925" s="0" t="n">
        <v>1724293</v>
      </c>
      <c r="J8925" s="0" t="n">
        <v>100008</v>
      </c>
      <c r="K8925" s="0" t="n">
        <v>9</v>
      </c>
      <c r="L8925" s="0" t="s">
        <v>2487</v>
      </c>
      <c r="N8925" s="0" t="n">
        <v>15.12</v>
      </c>
      <c r="O8925" s="0" t="n">
        <v>510.36</v>
      </c>
      <c r="P8925" s="0" t="s">
        <v>2444</v>
      </c>
    </row>
    <row r="8926" customFormat="false" ht="15" hidden="false" customHeight="true" outlineLevel="0" collapsed="false">
      <c r="A8926" s="0" t="n">
        <v>2</v>
      </c>
      <c r="B8926" s="71" t="n">
        <v>46284</v>
      </c>
      <c r="C8926" s="0" t="n">
        <v>100</v>
      </c>
      <c r="D8926" s="0" t="s">
        <v>2499</v>
      </c>
      <c r="E8926" s="0" t="n">
        <v>48</v>
      </c>
      <c r="F8926" s="0" t="s">
        <v>153</v>
      </c>
      <c r="I8926" s="0" t="n">
        <v>1724293</v>
      </c>
      <c r="J8926" s="0" t="n">
        <v>100016</v>
      </c>
      <c r="K8926" s="0" t="n">
        <v>17</v>
      </c>
      <c r="L8926" s="0" t="s">
        <v>2493</v>
      </c>
      <c r="N8926" s="0" t="n">
        <v>1.542</v>
      </c>
      <c r="O8926" s="0" t="n">
        <v>80.08</v>
      </c>
      <c r="P8926" s="0" t="s">
        <v>2444</v>
      </c>
    </row>
    <row r="8927" customFormat="false" ht="15" hidden="false" customHeight="true" outlineLevel="0" collapsed="false">
      <c r="A8927" s="0" t="n">
        <v>2</v>
      </c>
      <c r="B8927" s="71" t="n">
        <v>46284</v>
      </c>
      <c r="C8927" s="0" t="n">
        <v>100</v>
      </c>
      <c r="D8927" s="0" t="s">
        <v>2499</v>
      </c>
      <c r="E8927" s="0" t="n">
        <v>48</v>
      </c>
      <c r="F8927" s="0" t="s">
        <v>153</v>
      </c>
      <c r="I8927" s="0" t="n">
        <v>1724293</v>
      </c>
      <c r="J8927" s="0" t="n">
        <v>100053</v>
      </c>
      <c r="K8927" s="0" t="n">
        <v>54</v>
      </c>
      <c r="L8927" s="0" t="s">
        <v>2495</v>
      </c>
      <c r="N8927" s="0" t="n">
        <v>1.64</v>
      </c>
      <c r="O8927" s="0" t="n">
        <v>62.45</v>
      </c>
      <c r="P8927" s="0" t="s">
        <v>2444</v>
      </c>
    </row>
    <row r="8928" customFormat="false" ht="15" hidden="false" customHeight="true" outlineLevel="0" collapsed="false">
      <c r="A8928" s="0" t="n">
        <v>2</v>
      </c>
      <c r="B8928" s="71" t="n">
        <v>46284</v>
      </c>
      <c r="C8928" s="0" t="n">
        <v>100</v>
      </c>
      <c r="D8928" s="0" t="s">
        <v>2499</v>
      </c>
      <c r="E8928" s="0" t="n">
        <v>48</v>
      </c>
      <c r="F8928" s="0" t="s">
        <v>153</v>
      </c>
      <c r="I8928" s="0" t="n">
        <v>1724293</v>
      </c>
      <c r="J8928" s="0" t="n">
        <v>100520</v>
      </c>
      <c r="K8928" s="0" t="n">
        <v>507</v>
      </c>
      <c r="L8928" s="0" t="s">
        <v>2497</v>
      </c>
      <c r="N8928" s="0" t="n">
        <v>1.304</v>
      </c>
      <c r="O8928" s="0" t="n">
        <v>3.38</v>
      </c>
      <c r="P8928" s="0" t="s">
        <v>2444</v>
      </c>
    </row>
    <row r="8929" customFormat="false" ht="15" hidden="false" customHeight="true" outlineLevel="0" collapsed="false">
      <c r="A8929" s="0" t="n">
        <v>2</v>
      </c>
      <c r="B8929" s="71" t="n">
        <v>46284</v>
      </c>
      <c r="C8929" s="0" t="n">
        <v>100</v>
      </c>
      <c r="D8929" s="0" t="s">
        <v>2499</v>
      </c>
      <c r="E8929" s="0" t="n">
        <v>48</v>
      </c>
      <c r="F8929" s="0" t="s">
        <v>153</v>
      </c>
      <c r="I8929" s="0" t="n">
        <v>1724293</v>
      </c>
      <c r="J8929" s="0" t="n">
        <v>110455</v>
      </c>
      <c r="K8929" s="0" t="n">
        <v>53212</v>
      </c>
      <c r="L8929" s="0" t="s">
        <v>2498</v>
      </c>
      <c r="N8929" s="0" t="n">
        <v>0.788</v>
      </c>
      <c r="O8929" s="0" t="n">
        <v>0</v>
      </c>
      <c r="P8929" s="0" t="s">
        <v>2444</v>
      </c>
    </row>
    <row r="8930" customFormat="false" ht="15" hidden="false" customHeight="true" outlineLevel="0" collapsed="false">
      <c r="A8930" s="0" t="n">
        <v>2</v>
      </c>
      <c r="B8930" s="71" t="n">
        <v>46286</v>
      </c>
      <c r="C8930" s="0" t="n">
        <v>6</v>
      </c>
      <c r="D8930" s="0" t="s">
        <v>2553</v>
      </c>
      <c r="E8930" s="0" t="n">
        <v>48</v>
      </c>
      <c r="F8930" s="0" t="s">
        <v>153</v>
      </c>
      <c r="I8930" s="0" t="n">
        <v>2686</v>
      </c>
      <c r="J8930" s="0" t="n">
        <v>42564</v>
      </c>
      <c r="K8930" s="0" t="n">
        <v>574</v>
      </c>
      <c r="L8930" s="0" t="s">
        <v>2534</v>
      </c>
      <c r="N8930" s="0" t="n">
        <v>15</v>
      </c>
      <c r="O8930" s="0" t="n">
        <v>225</v>
      </c>
      <c r="P8930" s="0" t="s">
        <v>2444</v>
      </c>
    </row>
    <row r="8931" customFormat="false" ht="15" hidden="false" customHeight="true" outlineLevel="0" collapsed="false">
      <c r="A8931" s="0" t="n">
        <v>2</v>
      </c>
      <c r="B8931" s="71" t="n">
        <v>46286</v>
      </c>
      <c r="C8931" s="0" t="n">
        <v>11</v>
      </c>
      <c r="D8931" s="0" t="s">
        <v>2471</v>
      </c>
      <c r="E8931" s="0" t="n">
        <v>1218</v>
      </c>
      <c r="F8931" s="0" t="s">
        <v>659</v>
      </c>
      <c r="I8931" s="0" t="n">
        <v>11105</v>
      </c>
      <c r="J8931" s="0" t="n">
        <v>40369</v>
      </c>
      <c r="K8931" s="0" t="n">
        <v>7896038100088</v>
      </c>
      <c r="L8931" s="0" t="s">
        <v>5470</v>
      </c>
      <c r="N8931" s="0" t="n">
        <v>48</v>
      </c>
      <c r="O8931" s="0" t="n">
        <v>79.68</v>
      </c>
      <c r="P8931" s="0" t="s">
        <v>2444</v>
      </c>
    </row>
    <row r="8932" customFormat="false" ht="15" hidden="false" customHeight="true" outlineLevel="0" collapsed="false">
      <c r="A8932" s="0" t="n">
        <v>2</v>
      </c>
      <c r="B8932" s="71" t="n">
        <v>46286</v>
      </c>
      <c r="C8932" s="0" t="n">
        <v>11</v>
      </c>
      <c r="D8932" s="0" t="s">
        <v>2471</v>
      </c>
      <c r="E8932" s="0" t="n">
        <v>1218</v>
      </c>
      <c r="F8932" s="0" t="s">
        <v>659</v>
      </c>
      <c r="I8932" s="0" t="n">
        <v>11105</v>
      </c>
      <c r="J8932" s="0" t="n">
        <v>46044</v>
      </c>
      <c r="K8932" s="0" t="n">
        <v>7892183702900</v>
      </c>
      <c r="L8932" s="0" t="s">
        <v>5471</v>
      </c>
      <c r="N8932" s="0" t="n">
        <v>364</v>
      </c>
      <c r="O8932" s="0" t="n">
        <v>25</v>
      </c>
      <c r="P8932" s="0" t="s">
        <v>2444</v>
      </c>
    </row>
    <row r="8933" customFormat="false" ht="15" hidden="false" customHeight="true" outlineLevel="0" collapsed="false">
      <c r="A8933" s="0" t="n">
        <v>2</v>
      </c>
      <c r="B8933" s="71" t="n">
        <v>46286</v>
      </c>
      <c r="C8933" s="0" t="n">
        <v>11</v>
      </c>
      <c r="D8933" s="0" t="s">
        <v>2471</v>
      </c>
      <c r="E8933" s="0" t="n">
        <v>1218</v>
      </c>
      <c r="F8933" s="0" t="s">
        <v>659</v>
      </c>
      <c r="I8933" s="0" t="n">
        <v>11105</v>
      </c>
      <c r="J8933" s="0" t="n">
        <v>55322</v>
      </c>
      <c r="K8933" s="0" t="n">
        <v>7896021901715</v>
      </c>
      <c r="L8933" s="0" t="s">
        <v>5472</v>
      </c>
      <c r="N8933" s="0" t="n">
        <v>5</v>
      </c>
      <c r="O8933" s="0" t="n">
        <v>134.9</v>
      </c>
      <c r="P8933" s="0" t="s">
        <v>2444</v>
      </c>
    </row>
    <row r="8934" customFormat="false" ht="15" hidden="false" customHeight="true" outlineLevel="0" collapsed="false">
      <c r="A8934" s="0" t="n">
        <v>2</v>
      </c>
      <c r="B8934" s="71" t="n">
        <v>46286</v>
      </c>
      <c r="C8934" s="0" t="n">
        <v>11</v>
      </c>
      <c r="D8934" s="0" t="s">
        <v>2471</v>
      </c>
      <c r="E8934" s="0" t="n">
        <v>1218</v>
      </c>
      <c r="F8934" s="0" t="s">
        <v>659</v>
      </c>
      <c r="I8934" s="0" t="n">
        <v>11105</v>
      </c>
      <c r="J8934" s="0" t="n">
        <v>57532</v>
      </c>
      <c r="K8934" s="0" t="n">
        <v>7892019100474</v>
      </c>
      <c r="L8934" s="0" t="s">
        <v>5473</v>
      </c>
      <c r="N8934" s="0" t="n">
        <v>1</v>
      </c>
      <c r="O8934" s="0" t="n">
        <v>58.9</v>
      </c>
      <c r="P8934" s="0" t="s">
        <v>2444</v>
      </c>
    </row>
    <row r="8935" customFormat="false" ht="15" hidden="false" customHeight="true" outlineLevel="0" collapsed="false">
      <c r="A8935" s="0" t="n">
        <v>2</v>
      </c>
      <c r="B8935" s="71" t="n">
        <v>46286</v>
      </c>
      <c r="C8935" s="0" t="n">
        <v>11</v>
      </c>
      <c r="D8935" s="0" t="s">
        <v>2471</v>
      </c>
      <c r="E8935" s="0" t="n">
        <v>1218</v>
      </c>
      <c r="F8935" s="0" t="s">
        <v>659</v>
      </c>
      <c r="I8935" s="0" t="n">
        <v>11105</v>
      </c>
      <c r="J8935" s="0" t="n">
        <v>59969</v>
      </c>
      <c r="K8935" s="0" t="n">
        <v>7892183703259</v>
      </c>
      <c r="L8935" s="0" t="s">
        <v>5474</v>
      </c>
      <c r="N8935" s="0" t="n">
        <v>500</v>
      </c>
      <c r="O8935" s="0" t="n">
        <v>24.9</v>
      </c>
      <c r="P8935" s="0" t="s">
        <v>2444</v>
      </c>
    </row>
    <row r="8936" customFormat="false" ht="15" hidden="false" customHeight="true" outlineLevel="0" collapsed="false">
      <c r="A8936" s="0" t="n">
        <v>2</v>
      </c>
      <c r="B8936" s="71" t="n">
        <v>46286</v>
      </c>
      <c r="C8936" s="0" t="n">
        <v>11</v>
      </c>
      <c r="D8936" s="0" t="s">
        <v>2471</v>
      </c>
      <c r="E8936" s="0" t="n">
        <v>1218</v>
      </c>
      <c r="F8936" s="0" t="s">
        <v>659</v>
      </c>
      <c r="I8936" s="0" t="n">
        <v>11105</v>
      </c>
      <c r="J8936" s="0" t="n">
        <v>61977</v>
      </c>
      <c r="K8936" s="0" t="n">
        <v>7908412511806</v>
      </c>
      <c r="L8936" s="0" t="s">
        <v>5475</v>
      </c>
      <c r="N8936" s="0" t="n">
        <v>12</v>
      </c>
      <c r="O8936" s="0" t="n">
        <v>63</v>
      </c>
      <c r="P8936" s="0" t="s">
        <v>2444</v>
      </c>
    </row>
    <row r="8937" customFormat="false" ht="15" hidden="false" customHeight="true" outlineLevel="0" collapsed="false">
      <c r="A8937" s="0" t="n">
        <v>2</v>
      </c>
      <c r="B8937" s="71" t="n">
        <v>46286</v>
      </c>
      <c r="C8937" s="0" t="n">
        <v>11</v>
      </c>
      <c r="D8937" s="0" t="s">
        <v>2471</v>
      </c>
      <c r="E8937" s="0" t="n">
        <v>1218</v>
      </c>
      <c r="F8937" s="0" t="s">
        <v>659</v>
      </c>
      <c r="I8937" s="0" t="n">
        <v>11105</v>
      </c>
      <c r="J8937" s="0" t="n">
        <v>61979</v>
      </c>
      <c r="K8937" s="0" t="n">
        <v>7908412511639</v>
      </c>
      <c r="L8937" s="0" t="s">
        <v>5476</v>
      </c>
      <c r="N8937" s="0" t="n">
        <v>12</v>
      </c>
      <c r="O8937" s="0" t="n">
        <v>63</v>
      </c>
      <c r="P8937" s="0" t="s">
        <v>2444</v>
      </c>
    </row>
    <row r="8938" customFormat="false" ht="15" hidden="false" customHeight="true" outlineLevel="0" collapsed="false">
      <c r="A8938" s="0" t="n">
        <v>2</v>
      </c>
      <c r="B8938" s="71" t="n">
        <v>46286</v>
      </c>
      <c r="C8938" s="0" t="n">
        <v>11</v>
      </c>
      <c r="D8938" s="0" t="s">
        <v>2471</v>
      </c>
      <c r="E8938" s="0" t="n">
        <v>1218</v>
      </c>
      <c r="F8938" s="0" t="s">
        <v>659</v>
      </c>
      <c r="I8938" s="0" t="n">
        <v>11105</v>
      </c>
      <c r="J8938" s="0" t="n">
        <v>63189</v>
      </c>
      <c r="K8938" s="0" t="n">
        <v>7892327010366</v>
      </c>
      <c r="L8938" s="0" t="s">
        <v>5477</v>
      </c>
      <c r="N8938" s="0" t="n">
        <v>6</v>
      </c>
      <c r="O8938" s="0" t="n">
        <v>197.4</v>
      </c>
      <c r="P8938" s="0" t="s">
        <v>2444</v>
      </c>
    </row>
    <row r="8939" customFormat="false" ht="15" hidden="false" customHeight="true" outlineLevel="0" collapsed="false">
      <c r="A8939" s="0" t="n">
        <v>2</v>
      </c>
      <c r="B8939" s="71" t="n">
        <v>46286</v>
      </c>
      <c r="C8939" s="0" t="n">
        <v>11</v>
      </c>
      <c r="D8939" s="0" t="s">
        <v>2471</v>
      </c>
      <c r="E8939" s="0" t="n">
        <v>1218</v>
      </c>
      <c r="F8939" s="0" t="s">
        <v>659</v>
      </c>
      <c r="I8939" s="0" t="n">
        <v>11105</v>
      </c>
      <c r="J8939" s="0" t="n">
        <v>65822</v>
      </c>
      <c r="K8939" s="0" t="n">
        <v>7891645001988</v>
      </c>
      <c r="L8939" s="0" t="s">
        <v>5478</v>
      </c>
      <c r="N8939" s="0" t="n">
        <v>12</v>
      </c>
      <c r="O8939" s="0" t="n">
        <v>186</v>
      </c>
      <c r="P8939" s="0" t="s">
        <v>2444</v>
      </c>
    </row>
    <row r="8940" customFormat="false" ht="15" hidden="false" customHeight="true" outlineLevel="0" collapsed="false">
      <c r="A8940" s="0" t="n">
        <v>2</v>
      </c>
      <c r="B8940" s="71" t="n">
        <v>46286</v>
      </c>
      <c r="C8940" s="0" t="n">
        <v>11</v>
      </c>
      <c r="D8940" s="0" t="s">
        <v>2471</v>
      </c>
      <c r="E8940" s="0" t="n">
        <v>1218</v>
      </c>
      <c r="F8940" s="0" t="s">
        <v>659</v>
      </c>
      <c r="I8940" s="0" t="n">
        <v>11105</v>
      </c>
      <c r="J8940" s="0" t="n">
        <v>66604</v>
      </c>
      <c r="K8940" s="0" t="n">
        <v>7908348204940</v>
      </c>
      <c r="L8940" s="0" t="s">
        <v>5479</v>
      </c>
      <c r="N8940" s="0" t="n">
        <v>3</v>
      </c>
      <c r="O8940" s="0" t="n">
        <v>50.7</v>
      </c>
      <c r="P8940" s="0" t="s">
        <v>2444</v>
      </c>
    </row>
    <row r="8941" customFormat="false" ht="15" hidden="false" customHeight="true" outlineLevel="0" collapsed="false">
      <c r="A8941" s="0" t="n">
        <v>2</v>
      </c>
      <c r="B8941" s="71" t="n">
        <v>46286</v>
      </c>
      <c r="C8941" s="0" t="n">
        <v>11</v>
      </c>
      <c r="D8941" s="0" t="s">
        <v>2471</v>
      </c>
      <c r="E8941" s="0" t="n">
        <v>1218</v>
      </c>
      <c r="F8941" s="0" t="s">
        <v>659</v>
      </c>
      <c r="I8941" s="0" t="n">
        <v>11105</v>
      </c>
      <c r="J8941" s="0" t="n">
        <v>66803</v>
      </c>
      <c r="K8941" s="0" t="n">
        <v>7898474252826</v>
      </c>
      <c r="L8941" s="0" t="s">
        <v>5480</v>
      </c>
      <c r="N8941" s="0" t="n">
        <v>5</v>
      </c>
      <c r="O8941" s="0" t="n">
        <v>54.5</v>
      </c>
      <c r="P8941" s="0" t="s">
        <v>2444</v>
      </c>
    </row>
    <row r="8942" customFormat="false" ht="15" hidden="false" customHeight="true" outlineLevel="0" collapsed="false">
      <c r="A8942" s="0" t="n">
        <v>2</v>
      </c>
      <c r="B8942" s="71" t="n">
        <v>46286</v>
      </c>
      <c r="C8942" s="0" t="n">
        <v>11</v>
      </c>
      <c r="D8942" s="0" t="s">
        <v>2471</v>
      </c>
      <c r="E8942" s="0" t="n">
        <v>1218</v>
      </c>
      <c r="F8942" s="0" t="s">
        <v>659</v>
      </c>
      <c r="I8942" s="0" t="n">
        <v>11105</v>
      </c>
      <c r="J8942" s="0" t="n">
        <v>66808</v>
      </c>
      <c r="K8942" s="0" t="n">
        <v>7898474252222</v>
      </c>
      <c r="L8942" s="0" t="s">
        <v>5481</v>
      </c>
      <c r="N8942" s="0" t="n">
        <v>5</v>
      </c>
      <c r="O8942" s="0" t="n">
        <v>67.9</v>
      </c>
      <c r="P8942" s="0" t="s">
        <v>2444</v>
      </c>
    </row>
    <row r="8943" customFormat="false" ht="15" hidden="false" customHeight="true" outlineLevel="0" collapsed="false">
      <c r="A8943" s="0" t="n">
        <v>2</v>
      </c>
      <c r="B8943" s="71" t="n">
        <v>46286</v>
      </c>
      <c r="C8943" s="0" t="n">
        <v>11</v>
      </c>
      <c r="D8943" s="0" t="s">
        <v>2471</v>
      </c>
      <c r="E8943" s="0" t="n">
        <v>1218</v>
      </c>
      <c r="F8943" s="0" t="s">
        <v>659</v>
      </c>
      <c r="I8943" s="0" t="n">
        <v>11105</v>
      </c>
      <c r="J8943" s="0" t="n">
        <v>68744</v>
      </c>
      <c r="K8943" s="0" t="n">
        <v>7898087580101</v>
      </c>
      <c r="L8943" s="0" t="s">
        <v>5482</v>
      </c>
      <c r="N8943" s="0" t="n">
        <v>12</v>
      </c>
      <c r="O8943" s="0" t="n">
        <v>46.68</v>
      </c>
      <c r="P8943" s="0" t="s">
        <v>2444</v>
      </c>
    </row>
    <row r="8944" customFormat="false" ht="15" hidden="false" customHeight="true" outlineLevel="0" collapsed="false">
      <c r="A8944" s="0" t="n">
        <v>2</v>
      </c>
      <c r="B8944" s="71" t="n">
        <v>46286</v>
      </c>
      <c r="C8944" s="0" t="n">
        <v>11</v>
      </c>
      <c r="D8944" s="0" t="s">
        <v>2471</v>
      </c>
      <c r="E8944" s="0" t="n">
        <v>1218</v>
      </c>
      <c r="F8944" s="0" t="s">
        <v>659</v>
      </c>
      <c r="I8944" s="0" t="n">
        <v>11105</v>
      </c>
      <c r="J8944" s="0" t="n">
        <v>72346</v>
      </c>
      <c r="K8944" s="0" t="n">
        <v>7898087585441</v>
      </c>
      <c r="L8944" s="0" t="s">
        <v>5482</v>
      </c>
      <c r="N8944" s="0" t="n">
        <v>12</v>
      </c>
      <c r="O8944" s="0" t="n">
        <v>40.68</v>
      </c>
      <c r="P8944" s="0" t="s">
        <v>2444</v>
      </c>
    </row>
    <row r="8945" customFormat="false" ht="15" hidden="false" customHeight="true" outlineLevel="0" collapsed="false">
      <c r="A8945" s="0" t="n">
        <v>2</v>
      </c>
      <c r="B8945" s="71" t="n">
        <v>46286</v>
      </c>
      <c r="C8945" s="0" t="n">
        <v>11</v>
      </c>
      <c r="D8945" s="0" t="s">
        <v>2471</v>
      </c>
      <c r="E8945" s="0" t="n">
        <v>1218</v>
      </c>
      <c r="F8945" s="0" t="s">
        <v>659</v>
      </c>
      <c r="I8945" s="0" t="n">
        <v>11105</v>
      </c>
      <c r="J8945" s="0" t="n">
        <v>72347</v>
      </c>
      <c r="K8945" s="0" t="n">
        <v>7898390942832</v>
      </c>
      <c r="L8945" s="0" t="s">
        <v>5483</v>
      </c>
      <c r="N8945" s="0" t="n">
        <v>12</v>
      </c>
      <c r="O8945" s="0" t="n">
        <v>39.36</v>
      </c>
      <c r="P8945" s="0" t="s">
        <v>2444</v>
      </c>
    </row>
    <row r="8946" customFormat="false" ht="15" hidden="false" customHeight="true" outlineLevel="0" collapsed="false">
      <c r="A8946" s="0" t="n">
        <v>2</v>
      </c>
      <c r="B8946" s="71" t="n">
        <v>46286</v>
      </c>
      <c r="C8946" s="0" t="n">
        <v>11</v>
      </c>
      <c r="D8946" s="0" t="s">
        <v>2471</v>
      </c>
      <c r="E8946" s="0" t="n">
        <v>1218</v>
      </c>
      <c r="F8946" s="0" t="s">
        <v>659</v>
      </c>
      <c r="I8946" s="0" t="n">
        <v>11105</v>
      </c>
      <c r="J8946" s="0" t="n">
        <v>72349</v>
      </c>
      <c r="K8946" s="0" t="n">
        <v>7898390942849</v>
      </c>
      <c r="L8946" s="0" t="s">
        <v>5483</v>
      </c>
      <c r="N8946" s="0" t="n">
        <v>12</v>
      </c>
      <c r="O8946" s="0" t="n">
        <v>39.36</v>
      </c>
      <c r="P8946" s="0" t="s">
        <v>2444</v>
      </c>
    </row>
    <row r="8947" customFormat="false" ht="15" hidden="false" customHeight="true" outlineLevel="0" collapsed="false">
      <c r="A8947" s="0" t="n">
        <v>2</v>
      </c>
      <c r="B8947" s="71" t="n">
        <v>46286</v>
      </c>
      <c r="C8947" s="0" t="n">
        <v>11</v>
      </c>
      <c r="D8947" s="0" t="s">
        <v>2471</v>
      </c>
      <c r="E8947" s="0" t="n">
        <v>1218</v>
      </c>
      <c r="F8947" s="0" t="s">
        <v>659</v>
      </c>
      <c r="I8947" s="0" t="n">
        <v>11105</v>
      </c>
      <c r="J8947" s="0" t="n">
        <v>73973</v>
      </c>
      <c r="K8947" s="0" t="n">
        <v>7908412511813</v>
      </c>
      <c r="L8947" s="0" t="s">
        <v>5484</v>
      </c>
      <c r="N8947" s="0" t="n">
        <v>12</v>
      </c>
      <c r="O8947" s="0" t="n">
        <v>66.6</v>
      </c>
      <c r="P8947" s="0" t="s">
        <v>2444</v>
      </c>
    </row>
    <row r="8948" customFormat="false" ht="15" hidden="false" customHeight="true" outlineLevel="0" collapsed="false">
      <c r="A8948" s="0" t="n">
        <v>2</v>
      </c>
      <c r="B8948" s="71" t="n">
        <v>46286</v>
      </c>
      <c r="C8948" s="0" t="n">
        <v>11</v>
      </c>
      <c r="D8948" s="0" t="s">
        <v>2471</v>
      </c>
      <c r="E8948" s="0" t="n">
        <v>1218</v>
      </c>
      <c r="F8948" s="0" t="s">
        <v>659</v>
      </c>
      <c r="I8948" s="0" t="n">
        <v>11105</v>
      </c>
      <c r="J8948" s="0" t="n">
        <v>76684</v>
      </c>
      <c r="K8948" s="0" t="n">
        <v>7898087581412</v>
      </c>
      <c r="L8948" s="0" t="s">
        <v>5485</v>
      </c>
      <c r="N8948" s="0" t="n">
        <v>12</v>
      </c>
      <c r="O8948" s="0" t="n">
        <v>119.76</v>
      </c>
      <c r="P8948" s="0" t="s">
        <v>2444</v>
      </c>
    </row>
    <row r="8949" customFormat="false" ht="15" hidden="false" customHeight="true" outlineLevel="0" collapsed="false">
      <c r="A8949" s="0" t="n">
        <v>2</v>
      </c>
      <c r="B8949" s="71" t="n">
        <v>46286</v>
      </c>
      <c r="C8949" s="0" t="n">
        <v>11</v>
      </c>
      <c r="D8949" s="0" t="s">
        <v>2471</v>
      </c>
      <c r="E8949" s="0" t="n">
        <v>1218</v>
      </c>
      <c r="F8949" s="0" t="s">
        <v>659</v>
      </c>
      <c r="I8949" s="0" t="n">
        <v>11105</v>
      </c>
      <c r="J8949" s="0" t="n">
        <v>76685</v>
      </c>
      <c r="K8949" s="0" t="n">
        <v>7898087585755</v>
      </c>
      <c r="L8949" s="0" t="s">
        <v>5482</v>
      </c>
      <c r="N8949" s="0" t="n">
        <v>12</v>
      </c>
      <c r="O8949" s="0" t="n">
        <v>37.56</v>
      </c>
      <c r="P8949" s="0" t="s">
        <v>2444</v>
      </c>
    </row>
    <row r="8950" customFormat="false" ht="15" hidden="false" customHeight="true" outlineLevel="0" collapsed="false">
      <c r="A8950" s="0" t="n">
        <v>2</v>
      </c>
      <c r="B8950" s="71" t="n">
        <v>46286</v>
      </c>
      <c r="C8950" s="0" t="n">
        <v>11</v>
      </c>
      <c r="D8950" s="0" t="s">
        <v>2471</v>
      </c>
      <c r="E8950" s="0" t="n">
        <v>1218</v>
      </c>
      <c r="F8950" s="0" t="s">
        <v>659</v>
      </c>
      <c r="I8950" s="0" t="n">
        <v>11105</v>
      </c>
      <c r="J8950" s="0" t="n">
        <v>79245</v>
      </c>
      <c r="K8950" s="0" t="n">
        <v>792462</v>
      </c>
      <c r="L8950" s="0" t="s">
        <v>5486</v>
      </c>
      <c r="N8950" s="0" t="n">
        <v>20</v>
      </c>
      <c r="O8950" s="0" t="n">
        <v>126</v>
      </c>
      <c r="P8950" s="0" t="s">
        <v>2444</v>
      </c>
    </row>
    <row r="8951" customFormat="false" ht="15" hidden="false" customHeight="true" outlineLevel="0" collapsed="false">
      <c r="A8951" s="0" t="n">
        <v>2</v>
      </c>
      <c r="B8951" s="71" t="n">
        <v>46286</v>
      </c>
      <c r="C8951" s="0" t="n">
        <v>11</v>
      </c>
      <c r="D8951" s="0" t="s">
        <v>2471</v>
      </c>
      <c r="E8951" s="0" t="n">
        <v>1218</v>
      </c>
      <c r="F8951" s="0" t="s">
        <v>659</v>
      </c>
      <c r="I8951" s="0" t="n">
        <v>11105</v>
      </c>
      <c r="J8951" s="0" t="n">
        <v>79257</v>
      </c>
      <c r="K8951" s="0" t="n">
        <v>7908642009746</v>
      </c>
      <c r="L8951" s="0" t="s">
        <v>5487</v>
      </c>
      <c r="N8951" s="0" t="n">
        <v>12</v>
      </c>
      <c r="O8951" s="0" t="n">
        <v>46.68</v>
      </c>
      <c r="P8951" s="0" t="s">
        <v>2444</v>
      </c>
    </row>
    <row r="8952" customFormat="false" ht="15" hidden="false" customHeight="true" outlineLevel="0" collapsed="false">
      <c r="A8952" s="0" t="n">
        <v>2</v>
      </c>
      <c r="B8952" s="71" t="n">
        <v>46286</v>
      </c>
      <c r="C8952" s="0" t="n">
        <v>11</v>
      </c>
      <c r="D8952" s="0" t="s">
        <v>2471</v>
      </c>
      <c r="E8952" s="0" t="n">
        <v>1218</v>
      </c>
      <c r="F8952" s="0" t="s">
        <v>659</v>
      </c>
      <c r="I8952" s="0" t="n">
        <v>11105</v>
      </c>
      <c r="J8952" s="0" t="n">
        <v>79258</v>
      </c>
      <c r="K8952" s="0" t="n">
        <v>7908642009739</v>
      </c>
      <c r="L8952" s="0" t="s">
        <v>5488</v>
      </c>
      <c r="N8952" s="0" t="n">
        <v>12</v>
      </c>
      <c r="O8952" s="0" t="n">
        <v>37.2</v>
      </c>
      <c r="P8952" s="0" t="s">
        <v>2444</v>
      </c>
    </row>
    <row r="8953" customFormat="false" ht="15" hidden="false" customHeight="true" outlineLevel="0" collapsed="false">
      <c r="A8953" s="0" t="n">
        <v>2</v>
      </c>
      <c r="B8953" s="71" t="n">
        <v>46286</v>
      </c>
      <c r="C8953" s="0" t="n">
        <v>11</v>
      </c>
      <c r="D8953" s="0" t="s">
        <v>2471</v>
      </c>
      <c r="E8953" s="0" t="n">
        <v>1218</v>
      </c>
      <c r="F8953" s="0" t="s">
        <v>659</v>
      </c>
      <c r="I8953" s="0" t="n">
        <v>11105</v>
      </c>
      <c r="J8953" s="0" t="n">
        <v>79259</v>
      </c>
      <c r="K8953" s="0" t="n">
        <v>7908642009722</v>
      </c>
      <c r="L8953" s="0" t="s">
        <v>5489</v>
      </c>
      <c r="N8953" s="0" t="n">
        <v>12</v>
      </c>
      <c r="O8953" s="0" t="n">
        <v>29.88</v>
      </c>
      <c r="P8953" s="0" t="s">
        <v>2444</v>
      </c>
    </row>
    <row r="8954" customFormat="false" ht="15" hidden="false" customHeight="true" outlineLevel="0" collapsed="false">
      <c r="A8954" s="0" t="n">
        <v>2</v>
      </c>
      <c r="B8954" s="71" t="n">
        <v>46286</v>
      </c>
      <c r="C8954" s="0" t="n">
        <v>11</v>
      </c>
      <c r="D8954" s="0" t="s">
        <v>2471</v>
      </c>
      <c r="E8954" s="0" t="n">
        <v>1218</v>
      </c>
      <c r="F8954" s="0" t="s">
        <v>659</v>
      </c>
      <c r="I8954" s="0" t="n">
        <v>11105</v>
      </c>
      <c r="J8954" s="0" t="n">
        <v>82371</v>
      </c>
      <c r="K8954" s="0" t="n">
        <v>7908348214161</v>
      </c>
      <c r="L8954" s="0" t="s">
        <v>5490</v>
      </c>
      <c r="N8954" s="0" t="n">
        <v>12</v>
      </c>
      <c r="O8954" s="0" t="n">
        <v>115.2</v>
      </c>
      <c r="P8954" s="0" t="s">
        <v>2444</v>
      </c>
    </row>
    <row r="8955" customFormat="false" ht="15" hidden="false" customHeight="true" outlineLevel="0" collapsed="false">
      <c r="A8955" s="0" t="n">
        <v>2</v>
      </c>
      <c r="B8955" s="71" t="n">
        <v>46286</v>
      </c>
      <c r="C8955" s="0" t="n">
        <v>11</v>
      </c>
      <c r="D8955" s="0" t="s">
        <v>2471</v>
      </c>
      <c r="E8955" s="0" t="n">
        <v>1218</v>
      </c>
      <c r="F8955" s="0" t="s">
        <v>659</v>
      </c>
      <c r="I8955" s="0" t="n">
        <v>11105</v>
      </c>
      <c r="J8955" s="0" t="n">
        <v>81496</v>
      </c>
      <c r="K8955" s="0" t="n">
        <v>7908412539619</v>
      </c>
      <c r="L8955" s="0" t="s">
        <v>3684</v>
      </c>
      <c r="N8955" s="0" t="n">
        <v>6</v>
      </c>
      <c r="O8955" s="0" t="n">
        <v>77.4</v>
      </c>
      <c r="P8955" s="0" t="s">
        <v>2444</v>
      </c>
    </row>
    <row r="8956" customFormat="false" ht="15" hidden="false" customHeight="true" outlineLevel="0" collapsed="false">
      <c r="A8956" s="0" t="n">
        <v>2</v>
      </c>
      <c r="B8956" s="71" t="n">
        <v>46286</v>
      </c>
      <c r="C8956" s="0" t="n">
        <v>11</v>
      </c>
      <c r="D8956" s="0" t="s">
        <v>2471</v>
      </c>
      <c r="E8956" s="0" t="n">
        <v>1218</v>
      </c>
      <c r="F8956" s="0" t="s">
        <v>659</v>
      </c>
      <c r="I8956" s="0" t="n">
        <v>11105</v>
      </c>
      <c r="J8956" s="0" t="n">
        <v>81497</v>
      </c>
      <c r="K8956" s="0" t="n">
        <v>7908412539381</v>
      </c>
      <c r="L8956" s="0" t="s">
        <v>3685</v>
      </c>
      <c r="N8956" s="0" t="n">
        <v>6</v>
      </c>
      <c r="O8956" s="0" t="n">
        <v>77.4</v>
      </c>
      <c r="P8956" s="0" t="s">
        <v>2444</v>
      </c>
    </row>
    <row r="8957" customFormat="false" ht="15" hidden="false" customHeight="true" outlineLevel="0" collapsed="false">
      <c r="A8957" s="0" t="n">
        <v>2</v>
      </c>
      <c r="B8957" s="71" t="n">
        <v>46286</v>
      </c>
      <c r="C8957" s="0" t="n">
        <v>11</v>
      </c>
      <c r="D8957" s="0" t="s">
        <v>2471</v>
      </c>
      <c r="E8957" s="0" t="n">
        <v>1218</v>
      </c>
      <c r="F8957" s="0" t="s">
        <v>659</v>
      </c>
      <c r="I8957" s="0" t="n">
        <v>11105</v>
      </c>
      <c r="J8957" s="0" t="n">
        <v>81498</v>
      </c>
      <c r="K8957" s="0" t="n">
        <v>7908412539886</v>
      </c>
      <c r="L8957" s="0" t="s">
        <v>3686</v>
      </c>
      <c r="N8957" s="0" t="n">
        <v>6</v>
      </c>
      <c r="O8957" s="0" t="n">
        <v>107.4</v>
      </c>
      <c r="P8957" s="0" t="s">
        <v>2444</v>
      </c>
    </row>
    <row r="8958" customFormat="false" ht="15" hidden="false" customHeight="true" outlineLevel="0" collapsed="false">
      <c r="A8958" s="0" t="n">
        <v>2</v>
      </c>
      <c r="B8958" s="71" t="n">
        <v>46286</v>
      </c>
      <c r="C8958" s="0" t="n">
        <v>11</v>
      </c>
      <c r="D8958" s="0" t="s">
        <v>2471</v>
      </c>
      <c r="E8958" s="0" t="n">
        <v>1218</v>
      </c>
      <c r="F8958" s="0" t="s">
        <v>659</v>
      </c>
      <c r="I8958" s="0" t="n">
        <v>11105</v>
      </c>
      <c r="J8958" s="0" t="n">
        <v>81504</v>
      </c>
      <c r="K8958" s="0" t="n">
        <v>7898515550188</v>
      </c>
      <c r="L8958" s="0" t="s">
        <v>3692</v>
      </c>
      <c r="N8958" s="0" t="n">
        <v>100</v>
      </c>
      <c r="O8958" s="0" t="n">
        <v>91.5</v>
      </c>
      <c r="P8958" s="0" t="s">
        <v>2444</v>
      </c>
    </row>
    <row r="8959" customFormat="false" ht="15" hidden="false" customHeight="true" outlineLevel="0" collapsed="false">
      <c r="A8959" s="0" t="n">
        <v>2</v>
      </c>
      <c r="B8959" s="71" t="n">
        <v>46286</v>
      </c>
      <c r="C8959" s="0" t="n">
        <v>11</v>
      </c>
      <c r="D8959" s="0" t="s">
        <v>2471</v>
      </c>
      <c r="E8959" s="0" t="n">
        <v>1218</v>
      </c>
      <c r="F8959" s="0" t="s">
        <v>659</v>
      </c>
      <c r="I8959" s="0" t="n">
        <v>11105</v>
      </c>
      <c r="J8959" s="0" t="n">
        <v>82352</v>
      </c>
      <c r="K8959" s="0" t="n">
        <v>7908348212969</v>
      </c>
      <c r="L8959" s="0" t="s">
        <v>5491</v>
      </c>
      <c r="N8959" s="0" t="n">
        <v>12</v>
      </c>
      <c r="O8959" s="0" t="n">
        <v>70.8</v>
      </c>
      <c r="P8959" s="0" t="s">
        <v>2444</v>
      </c>
    </row>
    <row r="8960" customFormat="false" ht="15" hidden="false" customHeight="true" outlineLevel="0" collapsed="false">
      <c r="A8960" s="0" t="n">
        <v>2</v>
      </c>
      <c r="B8960" s="71" t="n">
        <v>46286</v>
      </c>
      <c r="C8960" s="0" t="n">
        <v>11</v>
      </c>
      <c r="D8960" s="0" t="s">
        <v>2471</v>
      </c>
      <c r="E8960" s="0" t="n">
        <v>1218</v>
      </c>
      <c r="F8960" s="0" t="s">
        <v>659</v>
      </c>
      <c r="I8960" s="0" t="n">
        <v>11105</v>
      </c>
      <c r="J8960" s="0" t="n">
        <v>82353</v>
      </c>
      <c r="K8960" s="0" t="n">
        <v>7908348212983</v>
      </c>
      <c r="L8960" s="0" t="s">
        <v>5492</v>
      </c>
      <c r="N8960" s="0" t="n">
        <v>12</v>
      </c>
      <c r="O8960" s="0" t="n">
        <v>94.8</v>
      </c>
      <c r="P8960" s="0" t="s">
        <v>2444</v>
      </c>
    </row>
    <row r="8961" customFormat="false" ht="15" hidden="false" customHeight="true" outlineLevel="0" collapsed="false">
      <c r="A8961" s="0" t="n">
        <v>2</v>
      </c>
      <c r="B8961" s="71" t="n">
        <v>46286</v>
      </c>
      <c r="C8961" s="0" t="n">
        <v>11</v>
      </c>
      <c r="D8961" s="0" t="s">
        <v>2471</v>
      </c>
      <c r="E8961" s="0" t="n">
        <v>1218</v>
      </c>
      <c r="F8961" s="0" t="s">
        <v>659</v>
      </c>
      <c r="I8961" s="0" t="n">
        <v>11105</v>
      </c>
      <c r="J8961" s="0" t="n">
        <v>82354</v>
      </c>
      <c r="K8961" s="0" t="n">
        <v>7908348213027</v>
      </c>
      <c r="L8961" s="0" t="s">
        <v>5493</v>
      </c>
      <c r="N8961" s="0" t="n">
        <v>6</v>
      </c>
      <c r="O8961" s="0" t="n">
        <v>83.4</v>
      </c>
      <c r="P8961" s="0" t="s">
        <v>2444</v>
      </c>
    </row>
    <row r="8962" customFormat="false" ht="15" hidden="false" customHeight="true" outlineLevel="0" collapsed="false">
      <c r="A8962" s="0" t="n">
        <v>2</v>
      </c>
      <c r="B8962" s="71" t="n">
        <v>46286</v>
      </c>
      <c r="C8962" s="0" t="n">
        <v>11</v>
      </c>
      <c r="D8962" s="0" t="s">
        <v>2471</v>
      </c>
      <c r="E8962" s="0" t="n">
        <v>1218</v>
      </c>
      <c r="F8962" s="0" t="s">
        <v>659</v>
      </c>
      <c r="I8962" s="0" t="n">
        <v>11105</v>
      </c>
      <c r="J8962" s="0" t="n">
        <v>82355</v>
      </c>
      <c r="K8962" s="0" t="n">
        <v>631430592409</v>
      </c>
      <c r="L8962" s="0" t="s">
        <v>5494</v>
      </c>
      <c r="N8962" s="0" t="n">
        <v>3</v>
      </c>
      <c r="O8962" s="0" t="n">
        <v>178.5</v>
      </c>
      <c r="P8962" s="0" t="s">
        <v>2444</v>
      </c>
    </row>
    <row r="8963" customFormat="false" ht="15" hidden="false" customHeight="true" outlineLevel="0" collapsed="false">
      <c r="A8963" s="0" t="n">
        <v>2</v>
      </c>
      <c r="B8963" s="71" t="n">
        <v>46286</v>
      </c>
      <c r="C8963" s="0" t="n">
        <v>11</v>
      </c>
      <c r="D8963" s="0" t="s">
        <v>2471</v>
      </c>
      <c r="E8963" s="0" t="n">
        <v>1218</v>
      </c>
      <c r="F8963" s="0" t="s">
        <v>659</v>
      </c>
      <c r="I8963" s="0" t="n">
        <v>11105</v>
      </c>
      <c r="J8963" s="0" t="n">
        <v>82356</v>
      </c>
      <c r="K8963" s="0" t="n">
        <v>7898728896387</v>
      </c>
      <c r="L8963" s="0" t="s">
        <v>5495</v>
      </c>
      <c r="N8963" s="0" t="n">
        <v>12</v>
      </c>
      <c r="O8963" s="0" t="n">
        <v>166.8</v>
      </c>
      <c r="P8963" s="0" t="s">
        <v>2444</v>
      </c>
    </row>
    <row r="8964" customFormat="false" ht="15" hidden="false" customHeight="true" outlineLevel="0" collapsed="false">
      <c r="A8964" s="0" t="n">
        <v>2</v>
      </c>
      <c r="B8964" s="71" t="n">
        <v>46286</v>
      </c>
      <c r="C8964" s="0" t="n">
        <v>11</v>
      </c>
      <c r="D8964" s="0" t="s">
        <v>2471</v>
      </c>
      <c r="E8964" s="0" t="n">
        <v>1218</v>
      </c>
      <c r="F8964" s="0" t="s">
        <v>659</v>
      </c>
      <c r="I8964" s="0" t="n">
        <v>11105</v>
      </c>
      <c r="J8964" s="0" t="n">
        <v>82357</v>
      </c>
      <c r="K8964" s="0" t="n">
        <v>7908710802811</v>
      </c>
      <c r="L8964" s="0" t="s">
        <v>5496</v>
      </c>
      <c r="N8964" s="0" t="n">
        <v>5</v>
      </c>
      <c r="O8964" s="0" t="n">
        <v>102.5</v>
      </c>
      <c r="P8964" s="0" t="s">
        <v>2444</v>
      </c>
    </row>
    <row r="8965" customFormat="false" ht="15" hidden="false" customHeight="true" outlineLevel="0" collapsed="false">
      <c r="A8965" s="0" t="n">
        <v>2</v>
      </c>
      <c r="B8965" s="71" t="n">
        <v>46286</v>
      </c>
      <c r="C8965" s="0" t="n">
        <v>11</v>
      </c>
      <c r="D8965" s="0" t="s">
        <v>2471</v>
      </c>
      <c r="E8965" s="0" t="n">
        <v>1218</v>
      </c>
      <c r="F8965" s="0" t="s">
        <v>659</v>
      </c>
      <c r="I8965" s="0" t="n">
        <v>11105</v>
      </c>
      <c r="J8965" s="0" t="n">
        <v>82358</v>
      </c>
      <c r="K8965" s="0" t="n">
        <v>7908710802798</v>
      </c>
      <c r="L8965" s="0" t="s">
        <v>5497</v>
      </c>
      <c r="N8965" s="0" t="n">
        <v>5</v>
      </c>
      <c r="O8965" s="0" t="n">
        <v>120</v>
      </c>
      <c r="P8965" s="0" t="s">
        <v>2444</v>
      </c>
    </row>
    <row r="8966" customFormat="false" ht="15" hidden="false" customHeight="true" outlineLevel="0" collapsed="false">
      <c r="A8966" s="0" t="n">
        <v>2</v>
      </c>
      <c r="B8966" s="71" t="n">
        <v>46286</v>
      </c>
      <c r="C8966" s="0" t="n">
        <v>11</v>
      </c>
      <c r="D8966" s="0" t="s">
        <v>2471</v>
      </c>
      <c r="E8966" s="0" t="n">
        <v>1218</v>
      </c>
      <c r="F8966" s="0" t="s">
        <v>659</v>
      </c>
      <c r="I8966" s="0" t="n">
        <v>11105</v>
      </c>
      <c r="J8966" s="0" t="n">
        <v>82359</v>
      </c>
      <c r="K8966" s="0" t="n">
        <v>7908348203882</v>
      </c>
      <c r="L8966" s="0" t="s">
        <v>5498</v>
      </c>
      <c r="N8966" s="0" t="n">
        <v>12</v>
      </c>
      <c r="O8966" s="0" t="n">
        <v>149.52</v>
      </c>
      <c r="P8966" s="0" t="s">
        <v>2444</v>
      </c>
    </row>
    <row r="8967" customFormat="false" ht="15" hidden="false" customHeight="true" outlineLevel="0" collapsed="false">
      <c r="A8967" s="0" t="n">
        <v>2</v>
      </c>
      <c r="B8967" s="71" t="n">
        <v>46286</v>
      </c>
      <c r="C8967" s="0" t="n">
        <v>11</v>
      </c>
      <c r="D8967" s="0" t="s">
        <v>2471</v>
      </c>
      <c r="E8967" s="0" t="n">
        <v>1218</v>
      </c>
      <c r="F8967" s="0" t="s">
        <v>659</v>
      </c>
      <c r="I8967" s="0" t="n">
        <v>11105</v>
      </c>
      <c r="J8967" s="0" t="n">
        <v>82360</v>
      </c>
      <c r="K8967" s="0" t="n">
        <v>7908710814838</v>
      </c>
      <c r="L8967" s="0" t="s">
        <v>5499</v>
      </c>
      <c r="N8967" s="0" t="n">
        <v>4</v>
      </c>
      <c r="O8967" s="0" t="n">
        <v>55.92</v>
      </c>
      <c r="P8967" s="0" t="s">
        <v>2444</v>
      </c>
    </row>
    <row r="8968" customFormat="false" ht="15" hidden="false" customHeight="true" outlineLevel="0" collapsed="false">
      <c r="A8968" s="0" t="n">
        <v>2</v>
      </c>
      <c r="B8968" s="71" t="n">
        <v>46286</v>
      </c>
      <c r="C8968" s="0" t="n">
        <v>11</v>
      </c>
      <c r="D8968" s="0" t="s">
        <v>2471</v>
      </c>
      <c r="E8968" s="0" t="n">
        <v>1218</v>
      </c>
      <c r="F8968" s="0" t="s">
        <v>659</v>
      </c>
      <c r="I8968" s="0" t="n">
        <v>11105</v>
      </c>
      <c r="J8968" s="0" t="n">
        <v>82361</v>
      </c>
      <c r="K8968" s="0" t="n">
        <v>7908710814852</v>
      </c>
      <c r="L8968" s="0" t="s">
        <v>5500</v>
      </c>
      <c r="N8968" s="0" t="n">
        <v>4</v>
      </c>
      <c r="O8968" s="0" t="n">
        <v>55.96</v>
      </c>
      <c r="P8968" s="0" t="s">
        <v>2444</v>
      </c>
    </row>
    <row r="8969" customFormat="false" ht="15" hidden="false" customHeight="true" outlineLevel="0" collapsed="false">
      <c r="A8969" s="0" t="n">
        <v>2</v>
      </c>
      <c r="B8969" s="71" t="n">
        <v>46286</v>
      </c>
      <c r="C8969" s="0" t="n">
        <v>11</v>
      </c>
      <c r="D8969" s="0" t="s">
        <v>2471</v>
      </c>
      <c r="E8969" s="0" t="n">
        <v>1218</v>
      </c>
      <c r="F8969" s="0" t="s">
        <v>659</v>
      </c>
      <c r="I8969" s="0" t="n">
        <v>11105</v>
      </c>
      <c r="J8969" s="0" t="n">
        <v>82365</v>
      </c>
      <c r="K8969" s="0" t="n">
        <v>7908147620637</v>
      </c>
      <c r="L8969" s="0" t="s">
        <v>5501</v>
      </c>
      <c r="N8969" s="0" t="n">
        <v>12</v>
      </c>
      <c r="O8969" s="0" t="n">
        <v>51.36</v>
      </c>
      <c r="P8969" s="0" t="s">
        <v>2444</v>
      </c>
    </row>
    <row r="8970" customFormat="false" ht="15" hidden="false" customHeight="true" outlineLevel="0" collapsed="false">
      <c r="A8970" s="0" t="n">
        <v>2</v>
      </c>
      <c r="B8970" s="71" t="n">
        <v>46286</v>
      </c>
      <c r="C8970" s="0" t="n">
        <v>11</v>
      </c>
      <c r="D8970" s="0" t="s">
        <v>2471</v>
      </c>
      <c r="E8970" s="0" t="n">
        <v>1218</v>
      </c>
      <c r="F8970" s="0" t="s">
        <v>659</v>
      </c>
      <c r="I8970" s="0" t="n">
        <v>11105</v>
      </c>
      <c r="J8970" s="0" t="n">
        <v>82366</v>
      </c>
      <c r="K8970" s="0" t="n">
        <v>7908147602596</v>
      </c>
      <c r="L8970" s="0" t="s">
        <v>5502</v>
      </c>
      <c r="N8970" s="0" t="n">
        <v>12</v>
      </c>
      <c r="O8970" s="0" t="n">
        <v>51.36</v>
      </c>
      <c r="P8970" s="0" t="s">
        <v>2444</v>
      </c>
    </row>
    <row r="8971" customFormat="false" ht="15" hidden="false" customHeight="true" outlineLevel="0" collapsed="false">
      <c r="A8971" s="0" t="n">
        <v>2</v>
      </c>
      <c r="B8971" s="71" t="n">
        <v>46286</v>
      </c>
      <c r="C8971" s="0" t="n">
        <v>11</v>
      </c>
      <c r="D8971" s="0" t="s">
        <v>2471</v>
      </c>
      <c r="E8971" s="0" t="n">
        <v>1218</v>
      </c>
      <c r="F8971" s="0" t="s">
        <v>659</v>
      </c>
      <c r="I8971" s="0" t="n">
        <v>11105</v>
      </c>
      <c r="J8971" s="0" t="n">
        <v>82367</v>
      </c>
      <c r="K8971" s="0" t="n">
        <v>7908147602657</v>
      </c>
      <c r="L8971" s="0" t="s">
        <v>5503</v>
      </c>
      <c r="N8971" s="0" t="n">
        <v>12</v>
      </c>
      <c r="O8971" s="0" t="n">
        <v>51.36</v>
      </c>
      <c r="P8971" s="0" t="s">
        <v>2444</v>
      </c>
    </row>
    <row r="8972" customFormat="false" ht="15" hidden="false" customHeight="true" outlineLevel="0" collapsed="false">
      <c r="A8972" s="0" t="n">
        <v>2</v>
      </c>
      <c r="B8972" s="71" t="n">
        <v>46286</v>
      </c>
      <c r="C8972" s="0" t="n">
        <v>11</v>
      </c>
      <c r="D8972" s="0" t="s">
        <v>2471</v>
      </c>
      <c r="E8972" s="0" t="n">
        <v>1218</v>
      </c>
      <c r="F8972" s="0" t="s">
        <v>659</v>
      </c>
      <c r="I8972" s="0" t="n">
        <v>11105</v>
      </c>
      <c r="J8972" s="0" t="n">
        <v>82368</v>
      </c>
      <c r="K8972" s="0" t="n">
        <v>7908147602688</v>
      </c>
      <c r="L8972" s="0" t="s">
        <v>5504</v>
      </c>
      <c r="N8972" s="0" t="n">
        <v>12</v>
      </c>
      <c r="O8972" s="0" t="n">
        <v>51.36</v>
      </c>
      <c r="P8972" s="0" t="s">
        <v>2444</v>
      </c>
    </row>
    <row r="8973" customFormat="false" ht="15" hidden="false" customHeight="true" outlineLevel="0" collapsed="false">
      <c r="A8973" s="0" t="n">
        <v>2</v>
      </c>
      <c r="B8973" s="71" t="n">
        <v>46286</v>
      </c>
      <c r="C8973" s="0" t="n">
        <v>11</v>
      </c>
      <c r="D8973" s="0" t="s">
        <v>2471</v>
      </c>
      <c r="E8973" s="0" t="n">
        <v>1218</v>
      </c>
      <c r="F8973" s="0" t="s">
        <v>659</v>
      </c>
      <c r="I8973" s="0" t="n">
        <v>11105</v>
      </c>
      <c r="J8973" s="0" t="n">
        <v>82369</v>
      </c>
      <c r="K8973" s="0" t="n">
        <v>7908147602763</v>
      </c>
      <c r="L8973" s="0" t="s">
        <v>5505</v>
      </c>
      <c r="N8973" s="0" t="n">
        <v>12</v>
      </c>
      <c r="O8973" s="0" t="n">
        <v>51.36</v>
      </c>
      <c r="P8973" s="0" t="s">
        <v>2444</v>
      </c>
    </row>
    <row r="8974" customFormat="false" ht="15" hidden="false" customHeight="true" outlineLevel="0" collapsed="false">
      <c r="A8974" s="0" t="n">
        <v>2</v>
      </c>
      <c r="B8974" s="71" t="n">
        <v>46286</v>
      </c>
      <c r="C8974" s="0" t="n">
        <v>11</v>
      </c>
      <c r="D8974" s="0" t="s">
        <v>2471</v>
      </c>
      <c r="E8974" s="0" t="n">
        <v>1218</v>
      </c>
      <c r="F8974" s="0" t="s">
        <v>659</v>
      </c>
      <c r="I8974" s="0" t="n">
        <v>11105</v>
      </c>
      <c r="J8974" s="0" t="n">
        <v>82370</v>
      </c>
      <c r="K8974" s="0" t="n">
        <v>7908348214109</v>
      </c>
      <c r="L8974" s="0" t="s">
        <v>5506</v>
      </c>
      <c r="N8974" s="0" t="n">
        <v>12</v>
      </c>
      <c r="O8974" s="0" t="n">
        <v>99.6</v>
      </c>
      <c r="P8974" s="0" t="s">
        <v>2444</v>
      </c>
    </row>
    <row r="8975" customFormat="false" ht="15" hidden="false" customHeight="true" outlineLevel="0" collapsed="false">
      <c r="A8975" s="0" t="n">
        <v>2</v>
      </c>
      <c r="B8975" s="71" t="n">
        <v>46286</v>
      </c>
      <c r="C8975" s="0" t="n">
        <v>11</v>
      </c>
      <c r="D8975" s="0" t="s">
        <v>2471</v>
      </c>
      <c r="E8975" s="0" t="n">
        <v>1218</v>
      </c>
      <c r="F8975" s="0" t="s">
        <v>659</v>
      </c>
      <c r="I8975" s="0" t="n">
        <v>11105</v>
      </c>
      <c r="J8975" s="0" t="n">
        <v>82372</v>
      </c>
      <c r="K8975" s="0" t="n">
        <v>7908348214024</v>
      </c>
      <c r="L8975" s="0" t="s">
        <v>5507</v>
      </c>
      <c r="N8975" s="0" t="n">
        <v>12</v>
      </c>
      <c r="O8975" s="0" t="n">
        <v>88.8</v>
      </c>
      <c r="P8975" s="0" t="s">
        <v>2444</v>
      </c>
    </row>
    <row r="8976" customFormat="false" ht="15" hidden="false" customHeight="true" outlineLevel="0" collapsed="false">
      <c r="A8976" s="0" t="n">
        <v>2</v>
      </c>
      <c r="B8976" s="71" t="n">
        <v>46286</v>
      </c>
      <c r="C8976" s="0" t="n">
        <v>11</v>
      </c>
      <c r="D8976" s="0" t="s">
        <v>2471</v>
      </c>
      <c r="E8976" s="0" t="n">
        <v>1218</v>
      </c>
      <c r="F8976" s="0" t="s">
        <v>659</v>
      </c>
      <c r="I8976" s="0" t="n">
        <v>11105</v>
      </c>
      <c r="J8976" s="0" t="n">
        <v>82373</v>
      </c>
      <c r="K8976" s="0" t="n">
        <v>7908348213584</v>
      </c>
      <c r="L8976" s="0" t="s">
        <v>5508</v>
      </c>
      <c r="N8976" s="0" t="n">
        <v>12</v>
      </c>
      <c r="O8976" s="0" t="n">
        <v>55.44</v>
      </c>
      <c r="P8976" s="0" t="s">
        <v>2444</v>
      </c>
    </row>
    <row r="8977" customFormat="false" ht="15" hidden="false" customHeight="true" outlineLevel="0" collapsed="false">
      <c r="A8977" s="0" t="n">
        <v>2</v>
      </c>
      <c r="B8977" s="71" t="n">
        <v>46286</v>
      </c>
      <c r="C8977" s="0" t="n">
        <v>11</v>
      </c>
      <c r="D8977" s="0" t="s">
        <v>2471</v>
      </c>
      <c r="E8977" s="0" t="n">
        <v>1218</v>
      </c>
      <c r="F8977" s="0" t="s">
        <v>659</v>
      </c>
      <c r="I8977" s="0" t="n">
        <v>11105</v>
      </c>
      <c r="J8977" s="0" t="n">
        <v>82374</v>
      </c>
      <c r="K8977" s="0" t="n">
        <v>7908348213300</v>
      </c>
      <c r="L8977" s="0" t="s">
        <v>5509</v>
      </c>
      <c r="N8977" s="0" t="n">
        <v>12</v>
      </c>
      <c r="O8977" s="0" t="n">
        <v>38.28</v>
      </c>
      <c r="P8977" s="0" t="s">
        <v>2444</v>
      </c>
    </row>
    <row r="8978" customFormat="false" ht="15" hidden="false" customHeight="true" outlineLevel="0" collapsed="false">
      <c r="A8978" s="0" t="n">
        <v>2</v>
      </c>
      <c r="B8978" s="71" t="n">
        <v>46286</v>
      </c>
      <c r="C8978" s="0" t="n">
        <v>11</v>
      </c>
      <c r="D8978" s="0" t="s">
        <v>2471</v>
      </c>
      <c r="E8978" s="0" t="n">
        <v>1218</v>
      </c>
      <c r="F8978" s="0" t="s">
        <v>659</v>
      </c>
      <c r="I8978" s="0" t="n">
        <v>11105</v>
      </c>
      <c r="J8978" s="0" t="n">
        <v>82375</v>
      </c>
      <c r="K8978" s="0" t="n">
        <v>7908348213225</v>
      </c>
      <c r="L8978" s="0" t="s">
        <v>5510</v>
      </c>
      <c r="N8978" s="0" t="n">
        <v>12</v>
      </c>
      <c r="O8978" s="0" t="n">
        <v>36.48</v>
      </c>
      <c r="P8978" s="0" t="s">
        <v>2444</v>
      </c>
    </row>
    <row r="8979" customFormat="false" ht="15" hidden="false" customHeight="true" outlineLevel="0" collapsed="false">
      <c r="A8979" s="0" t="n">
        <v>2</v>
      </c>
      <c r="B8979" s="71" t="n">
        <v>46286</v>
      </c>
      <c r="C8979" s="0" t="n">
        <v>11</v>
      </c>
      <c r="D8979" s="0" t="s">
        <v>2471</v>
      </c>
      <c r="E8979" s="0" t="n">
        <v>1218</v>
      </c>
      <c r="F8979" s="0" t="s">
        <v>659</v>
      </c>
      <c r="I8979" s="0" t="n">
        <v>11105</v>
      </c>
      <c r="J8979" s="0" t="n">
        <v>82376</v>
      </c>
      <c r="K8979" s="0" t="n">
        <v>7908348207538</v>
      </c>
      <c r="L8979" s="0" t="s">
        <v>5511</v>
      </c>
      <c r="N8979" s="0" t="n">
        <v>10</v>
      </c>
      <c r="O8979" s="0" t="n">
        <v>21</v>
      </c>
      <c r="P8979" s="0" t="s">
        <v>2444</v>
      </c>
    </row>
    <row r="8980" customFormat="false" ht="15" hidden="false" customHeight="true" outlineLevel="0" collapsed="false">
      <c r="A8980" s="0" t="n">
        <v>2</v>
      </c>
      <c r="B8980" s="71" t="n">
        <v>46286</v>
      </c>
      <c r="C8980" s="0" t="n">
        <v>11</v>
      </c>
      <c r="D8980" s="0" t="s">
        <v>2471</v>
      </c>
      <c r="E8980" s="0" t="n">
        <v>1218</v>
      </c>
      <c r="F8980" s="0" t="s">
        <v>659</v>
      </c>
      <c r="I8980" s="0" t="n">
        <v>11105</v>
      </c>
      <c r="J8980" s="0" t="n">
        <v>82377</v>
      </c>
      <c r="K8980" s="0" t="n">
        <v>7908348207514</v>
      </c>
      <c r="L8980" s="0" t="s">
        <v>5512</v>
      </c>
      <c r="N8980" s="0" t="n">
        <v>10</v>
      </c>
      <c r="O8980" s="0" t="n">
        <v>33</v>
      </c>
      <c r="P8980" s="0" t="s">
        <v>2444</v>
      </c>
    </row>
    <row r="8981" customFormat="false" ht="15" hidden="false" customHeight="true" outlineLevel="0" collapsed="false">
      <c r="A8981" s="0" t="n">
        <v>2</v>
      </c>
      <c r="B8981" s="71" t="n">
        <v>46286</v>
      </c>
      <c r="C8981" s="0" t="n">
        <v>11</v>
      </c>
      <c r="D8981" s="0" t="s">
        <v>2471</v>
      </c>
      <c r="E8981" s="0" t="n">
        <v>1218</v>
      </c>
      <c r="F8981" s="0" t="s">
        <v>659</v>
      </c>
      <c r="I8981" s="0" t="n">
        <v>11105</v>
      </c>
      <c r="J8981" s="0" t="n">
        <v>82378</v>
      </c>
      <c r="K8981" s="0" t="n">
        <v>7898573161586</v>
      </c>
      <c r="L8981" s="0" t="s">
        <v>5513</v>
      </c>
      <c r="N8981" s="0" t="n">
        <v>12</v>
      </c>
      <c r="O8981" s="0" t="n">
        <v>39.6</v>
      </c>
      <c r="P8981" s="0" t="s">
        <v>2444</v>
      </c>
    </row>
    <row r="8982" customFormat="false" ht="15" hidden="false" customHeight="true" outlineLevel="0" collapsed="false">
      <c r="A8982" s="0" t="n">
        <v>2</v>
      </c>
      <c r="B8982" s="71" t="n">
        <v>46286</v>
      </c>
      <c r="C8982" s="0" t="n">
        <v>11</v>
      </c>
      <c r="D8982" s="0" t="s">
        <v>2471</v>
      </c>
      <c r="E8982" s="0" t="n">
        <v>1218</v>
      </c>
      <c r="F8982" s="0" t="s">
        <v>659</v>
      </c>
      <c r="I8982" s="0" t="n">
        <v>11105</v>
      </c>
      <c r="J8982" s="0" t="n">
        <v>82379</v>
      </c>
      <c r="K8982" s="0" t="n">
        <v>7898573161579</v>
      </c>
      <c r="L8982" s="0" t="s">
        <v>5514</v>
      </c>
      <c r="N8982" s="0" t="n">
        <v>24</v>
      </c>
      <c r="O8982" s="0" t="n">
        <v>60.96</v>
      </c>
      <c r="P8982" s="0" t="s">
        <v>2444</v>
      </c>
    </row>
    <row r="8983" customFormat="false" ht="15" hidden="false" customHeight="true" outlineLevel="0" collapsed="false">
      <c r="A8983" s="0" t="n">
        <v>2</v>
      </c>
      <c r="B8983" s="71" t="n">
        <v>46286</v>
      </c>
      <c r="C8983" s="0" t="n">
        <v>11</v>
      </c>
      <c r="D8983" s="0" t="s">
        <v>2471</v>
      </c>
      <c r="E8983" s="0" t="n">
        <v>1218</v>
      </c>
      <c r="F8983" s="0" t="s">
        <v>659</v>
      </c>
      <c r="I8983" s="0" t="n">
        <v>11105</v>
      </c>
      <c r="J8983" s="0" t="n">
        <v>82380</v>
      </c>
      <c r="K8983" s="0" t="n">
        <v>7898105770507</v>
      </c>
      <c r="L8983" s="0" t="s">
        <v>5515</v>
      </c>
      <c r="N8983" s="0" t="n">
        <v>30</v>
      </c>
      <c r="O8983" s="0" t="n">
        <v>35.1</v>
      </c>
      <c r="P8983" s="0" t="s">
        <v>2444</v>
      </c>
    </row>
    <row r="8984" customFormat="false" ht="15" hidden="false" customHeight="true" outlineLevel="0" collapsed="false">
      <c r="A8984" s="0" t="n">
        <v>2</v>
      </c>
      <c r="B8984" s="71" t="n">
        <v>46286</v>
      </c>
      <c r="C8984" s="0" t="n">
        <v>11</v>
      </c>
      <c r="D8984" s="0" t="s">
        <v>2471</v>
      </c>
      <c r="E8984" s="0" t="n">
        <v>1218</v>
      </c>
      <c r="F8984" s="0" t="s">
        <v>659</v>
      </c>
      <c r="I8984" s="0" t="n">
        <v>11105</v>
      </c>
      <c r="J8984" s="0" t="n">
        <v>82381</v>
      </c>
      <c r="K8984" s="0" t="n">
        <v>7898105770514</v>
      </c>
      <c r="L8984" s="0" t="s">
        <v>5516</v>
      </c>
      <c r="N8984" s="0" t="n">
        <v>20</v>
      </c>
      <c r="O8984" s="0" t="n">
        <v>39.6</v>
      </c>
      <c r="P8984" s="0" t="s">
        <v>2444</v>
      </c>
    </row>
    <row r="8985" customFormat="false" ht="15" hidden="false" customHeight="true" outlineLevel="0" collapsed="false">
      <c r="A8985" s="0" t="n">
        <v>2</v>
      </c>
      <c r="B8985" s="71" t="n">
        <v>46286</v>
      </c>
      <c r="C8985" s="0" t="n">
        <v>11</v>
      </c>
      <c r="D8985" s="0" t="s">
        <v>2471</v>
      </c>
      <c r="E8985" s="0" t="n">
        <v>1218</v>
      </c>
      <c r="F8985" s="0" t="s">
        <v>659</v>
      </c>
      <c r="I8985" s="0" t="n">
        <v>11105</v>
      </c>
      <c r="J8985" s="0" t="n">
        <v>82382</v>
      </c>
      <c r="K8985" s="0" t="n">
        <v>7898105770521</v>
      </c>
      <c r="L8985" s="0" t="s">
        <v>5517</v>
      </c>
      <c r="N8985" s="0" t="n">
        <v>10</v>
      </c>
      <c r="O8985" s="0" t="n">
        <v>39.9</v>
      </c>
      <c r="P8985" s="0" t="s">
        <v>2444</v>
      </c>
    </row>
    <row r="8986" customFormat="false" ht="15" hidden="false" customHeight="true" outlineLevel="0" collapsed="false">
      <c r="A8986" s="0" t="n">
        <v>2</v>
      </c>
      <c r="B8986" s="71" t="n">
        <v>46286</v>
      </c>
      <c r="C8986" s="0" t="n">
        <v>11</v>
      </c>
      <c r="D8986" s="0" t="s">
        <v>2471</v>
      </c>
      <c r="E8986" s="0" t="n">
        <v>1218</v>
      </c>
      <c r="F8986" s="0" t="s">
        <v>659</v>
      </c>
      <c r="I8986" s="0" t="n">
        <v>11105</v>
      </c>
      <c r="J8986" s="0" t="n">
        <v>82383</v>
      </c>
      <c r="K8986" s="0" t="n">
        <v>7898515550836</v>
      </c>
      <c r="L8986" s="0" t="s">
        <v>5518</v>
      </c>
      <c r="N8986" s="0" t="n">
        <v>60</v>
      </c>
      <c r="O8986" s="0" t="n">
        <v>95.88</v>
      </c>
      <c r="P8986" s="0" t="s">
        <v>2444</v>
      </c>
    </row>
    <row r="8987" customFormat="false" ht="15" hidden="false" customHeight="true" outlineLevel="0" collapsed="false">
      <c r="A8987" s="0" t="n">
        <v>2</v>
      </c>
      <c r="B8987" s="71" t="n">
        <v>46286</v>
      </c>
      <c r="C8987" s="0" t="n">
        <v>11</v>
      </c>
      <c r="D8987" s="0" t="s">
        <v>2471</v>
      </c>
      <c r="E8987" s="0" t="n">
        <v>1218</v>
      </c>
      <c r="F8987" s="0" t="s">
        <v>659</v>
      </c>
      <c r="I8987" s="0" t="n">
        <v>11105</v>
      </c>
      <c r="J8987" s="0" t="n">
        <v>82384</v>
      </c>
      <c r="K8987" s="0" t="n">
        <v>7908348207477</v>
      </c>
      <c r="L8987" s="0" t="s">
        <v>5519</v>
      </c>
      <c r="N8987" s="0" t="n">
        <v>3</v>
      </c>
      <c r="O8987" s="0" t="n">
        <v>44.85</v>
      </c>
      <c r="P8987" s="0" t="s">
        <v>2444</v>
      </c>
    </row>
    <row r="8988" customFormat="false" ht="15" hidden="false" customHeight="true" outlineLevel="0" collapsed="false">
      <c r="A8988" s="0" t="n">
        <v>2</v>
      </c>
      <c r="B8988" s="71" t="n">
        <v>46286</v>
      </c>
      <c r="C8988" s="0" t="n">
        <v>11</v>
      </c>
      <c r="D8988" s="0" t="s">
        <v>2471</v>
      </c>
      <c r="E8988" s="0" t="n">
        <v>1218</v>
      </c>
      <c r="F8988" s="0" t="s">
        <v>659</v>
      </c>
      <c r="I8988" s="0" t="n">
        <v>11105</v>
      </c>
      <c r="J8988" s="0" t="n">
        <v>82385</v>
      </c>
      <c r="K8988" s="0" t="n">
        <v>7898728895212</v>
      </c>
      <c r="L8988" s="0" t="s">
        <v>5520</v>
      </c>
      <c r="N8988" s="0" t="n">
        <v>3</v>
      </c>
      <c r="O8988" s="0" t="n">
        <v>29.94</v>
      </c>
      <c r="P8988" s="0" t="s">
        <v>2444</v>
      </c>
    </row>
    <row r="8989" customFormat="false" ht="15" hidden="false" customHeight="true" outlineLevel="0" collapsed="false">
      <c r="A8989" s="0" t="n">
        <v>2</v>
      </c>
      <c r="B8989" s="71" t="n">
        <v>46286</v>
      </c>
      <c r="C8989" s="0" t="n">
        <v>11</v>
      </c>
      <c r="D8989" s="0" t="s">
        <v>2471</v>
      </c>
      <c r="E8989" s="0" t="n">
        <v>1218</v>
      </c>
      <c r="F8989" s="0" t="s">
        <v>659</v>
      </c>
      <c r="I8989" s="0" t="n">
        <v>11105</v>
      </c>
      <c r="J8989" s="0" t="n">
        <v>82386</v>
      </c>
      <c r="K8989" s="0" t="n">
        <v>7908710816368</v>
      </c>
      <c r="L8989" s="0" t="s">
        <v>5521</v>
      </c>
      <c r="N8989" s="0" t="n">
        <v>6</v>
      </c>
      <c r="O8989" s="0" t="n">
        <v>81</v>
      </c>
      <c r="P8989" s="0" t="s">
        <v>2444</v>
      </c>
    </row>
    <row r="8990" customFormat="false" ht="15" hidden="false" customHeight="true" outlineLevel="0" collapsed="false">
      <c r="A8990" s="0" t="n">
        <v>2</v>
      </c>
      <c r="B8990" s="71" t="n">
        <v>46286</v>
      </c>
      <c r="C8990" s="0" t="n">
        <v>11</v>
      </c>
      <c r="D8990" s="0" t="s">
        <v>2471</v>
      </c>
      <c r="E8990" s="0" t="n">
        <v>1218</v>
      </c>
      <c r="F8990" s="0" t="s">
        <v>659</v>
      </c>
      <c r="I8990" s="0" t="n">
        <v>11105</v>
      </c>
      <c r="J8990" s="0" t="n">
        <v>82388</v>
      </c>
      <c r="K8990" s="0" t="n">
        <v>7897013558894</v>
      </c>
      <c r="L8990" s="0" t="s">
        <v>5522</v>
      </c>
      <c r="N8990" s="0" t="n">
        <v>6</v>
      </c>
      <c r="O8990" s="0" t="n">
        <v>78.6</v>
      </c>
      <c r="P8990" s="0" t="s">
        <v>2444</v>
      </c>
    </row>
    <row r="8991" customFormat="false" ht="15" hidden="false" customHeight="true" outlineLevel="0" collapsed="false">
      <c r="A8991" s="0" t="n">
        <v>2</v>
      </c>
      <c r="B8991" s="71" t="n">
        <v>46286</v>
      </c>
      <c r="C8991" s="0" t="n">
        <v>11</v>
      </c>
      <c r="D8991" s="0" t="s">
        <v>2471</v>
      </c>
      <c r="E8991" s="0" t="n">
        <v>1218</v>
      </c>
      <c r="F8991" s="0" t="s">
        <v>659</v>
      </c>
      <c r="I8991" s="0" t="n">
        <v>11105</v>
      </c>
      <c r="J8991" s="0" t="n">
        <v>82389</v>
      </c>
      <c r="K8991" s="0" t="n">
        <v>7908412539800</v>
      </c>
      <c r="L8991" s="0" t="s">
        <v>5523</v>
      </c>
      <c r="N8991" s="0" t="n">
        <v>6</v>
      </c>
      <c r="O8991" s="0" t="n">
        <v>107.4</v>
      </c>
      <c r="P8991" s="0" t="s">
        <v>2444</v>
      </c>
    </row>
    <row r="8992" customFormat="false" ht="15" hidden="false" customHeight="true" outlineLevel="0" collapsed="false">
      <c r="A8992" s="0" t="n">
        <v>2</v>
      </c>
      <c r="B8992" s="71" t="n">
        <v>46286</v>
      </c>
      <c r="C8992" s="0" t="n">
        <v>11</v>
      </c>
      <c r="D8992" s="0" t="s">
        <v>2471</v>
      </c>
      <c r="E8992" s="0" t="n">
        <v>1218</v>
      </c>
      <c r="F8992" s="0" t="s">
        <v>659</v>
      </c>
      <c r="I8992" s="0" t="n">
        <v>11105</v>
      </c>
      <c r="J8992" s="0" t="n">
        <v>82392</v>
      </c>
      <c r="K8992" s="0" t="n">
        <v>7898728896141</v>
      </c>
      <c r="L8992" s="0" t="s">
        <v>5524</v>
      </c>
      <c r="N8992" s="0" t="n">
        <v>12</v>
      </c>
      <c r="O8992" s="0" t="n">
        <v>16.8</v>
      </c>
      <c r="P8992" s="0" t="s">
        <v>2444</v>
      </c>
    </row>
    <row r="8993" customFormat="false" ht="15" hidden="false" customHeight="true" outlineLevel="0" collapsed="false">
      <c r="A8993" s="0" t="n">
        <v>2</v>
      </c>
      <c r="B8993" s="71" t="n">
        <v>46286</v>
      </c>
      <c r="C8993" s="0" t="n">
        <v>11</v>
      </c>
      <c r="D8993" s="0" t="s">
        <v>2471</v>
      </c>
      <c r="E8993" s="0" t="n">
        <v>1218</v>
      </c>
      <c r="F8993" s="0" t="s">
        <v>659</v>
      </c>
      <c r="I8993" s="0" t="n">
        <v>11105</v>
      </c>
      <c r="J8993" s="0" t="n">
        <v>82393</v>
      </c>
      <c r="K8993" s="0" t="n">
        <v>7908412539985</v>
      </c>
      <c r="L8993" s="0" t="s">
        <v>5525</v>
      </c>
      <c r="N8993" s="0" t="n">
        <v>6</v>
      </c>
      <c r="O8993" s="0" t="n">
        <v>119.4</v>
      </c>
      <c r="P8993" s="0" t="s">
        <v>2444</v>
      </c>
    </row>
    <row r="8994" customFormat="false" ht="15" hidden="false" customHeight="true" outlineLevel="0" collapsed="false">
      <c r="A8994" s="0" t="n">
        <v>2</v>
      </c>
      <c r="B8994" s="71" t="n">
        <v>46286</v>
      </c>
      <c r="C8994" s="0" t="n">
        <v>11</v>
      </c>
      <c r="D8994" s="0" t="s">
        <v>2471</v>
      </c>
      <c r="E8994" s="0" t="n">
        <v>1218</v>
      </c>
      <c r="F8994" s="0" t="s">
        <v>659</v>
      </c>
      <c r="I8994" s="0" t="n">
        <v>11105</v>
      </c>
      <c r="J8994" s="0" t="n">
        <v>82394</v>
      </c>
      <c r="K8994" s="0" t="n">
        <v>7908412526107</v>
      </c>
      <c r="L8994" s="0" t="s">
        <v>5526</v>
      </c>
      <c r="N8994" s="0" t="n">
        <v>6</v>
      </c>
      <c r="O8994" s="0" t="n">
        <v>99</v>
      </c>
      <c r="P8994" s="0" t="s">
        <v>2444</v>
      </c>
    </row>
    <row r="8995" customFormat="false" ht="15" hidden="false" customHeight="true" outlineLevel="0" collapsed="false">
      <c r="A8995" s="0" t="n">
        <v>2</v>
      </c>
      <c r="B8995" s="71" t="n">
        <v>46286</v>
      </c>
      <c r="C8995" s="0" t="n">
        <v>11</v>
      </c>
      <c r="D8995" s="0" t="s">
        <v>2471</v>
      </c>
      <c r="E8995" s="0" t="n">
        <v>1218</v>
      </c>
      <c r="F8995" s="0" t="s">
        <v>659</v>
      </c>
      <c r="I8995" s="0" t="n">
        <v>11105</v>
      </c>
      <c r="J8995" s="0" t="n">
        <v>82395</v>
      </c>
      <c r="K8995" s="0" t="n">
        <v>7908348212105</v>
      </c>
      <c r="L8995" s="0" t="s">
        <v>5527</v>
      </c>
      <c r="N8995" s="0" t="n">
        <v>6</v>
      </c>
      <c r="O8995" s="0" t="n">
        <v>35.4</v>
      </c>
      <c r="P8995" s="0" t="s">
        <v>2444</v>
      </c>
    </row>
    <row r="8996" customFormat="false" ht="15" hidden="false" customHeight="true" outlineLevel="0" collapsed="false">
      <c r="A8996" s="0" t="n">
        <v>2</v>
      </c>
      <c r="B8996" s="71" t="n">
        <v>46286</v>
      </c>
      <c r="C8996" s="0" t="n">
        <v>11</v>
      </c>
      <c r="D8996" s="0" t="s">
        <v>2471</v>
      </c>
      <c r="E8996" s="0" t="n">
        <v>1218</v>
      </c>
      <c r="F8996" s="0" t="s">
        <v>659</v>
      </c>
      <c r="I8996" s="0" t="n">
        <v>11105</v>
      </c>
      <c r="J8996" s="0" t="n">
        <v>82396</v>
      </c>
      <c r="K8996" s="0" t="n">
        <v>7892327054797</v>
      </c>
      <c r="L8996" s="0" t="s">
        <v>5528</v>
      </c>
      <c r="N8996" s="0" t="n">
        <v>3</v>
      </c>
      <c r="O8996" s="0" t="n">
        <v>82.5</v>
      </c>
      <c r="P8996" s="0" t="s">
        <v>2444</v>
      </c>
    </row>
    <row r="8997" customFormat="false" ht="15" hidden="false" customHeight="true" outlineLevel="0" collapsed="false">
      <c r="A8997" s="0" t="n">
        <v>2</v>
      </c>
      <c r="B8997" s="71" t="n">
        <v>46286</v>
      </c>
      <c r="C8997" s="0" t="n">
        <v>11</v>
      </c>
      <c r="D8997" s="0" t="s">
        <v>2471</v>
      </c>
      <c r="E8997" s="0" t="n">
        <v>1218</v>
      </c>
      <c r="F8997" s="0" t="s">
        <v>659</v>
      </c>
      <c r="I8997" s="0" t="n">
        <v>11105</v>
      </c>
      <c r="J8997" s="0" t="n">
        <v>82397</v>
      </c>
      <c r="K8997" s="0" t="n">
        <v>7908348206234</v>
      </c>
      <c r="L8997" s="0" t="s">
        <v>5529</v>
      </c>
      <c r="N8997" s="0" t="n">
        <v>3</v>
      </c>
      <c r="O8997" s="0" t="n">
        <v>53.7</v>
      </c>
      <c r="P8997" s="0" t="s">
        <v>2444</v>
      </c>
    </row>
    <row r="8998" customFormat="false" ht="15" hidden="false" customHeight="true" outlineLevel="0" collapsed="false">
      <c r="A8998" s="0" t="n">
        <v>2</v>
      </c>
      <c r="B8998" s="71" t="n">
        <v>46286</v>
      </c>
      <c r="C8998" s="0" t="n">
        <v>11</v>
      </c>
      <c r="D8998" s="0" t="s">
        <v>2471</v>
      </c>
      <c r="E8998" s="0" t="n">
        <v>1218</v>
      </c>
      <c r="F8998" s="0" t="s">
        <v>659</v>
      </c>
      <c r="I8998" s="0" t="n">
        <v>11105</v>
      </c>
      <c r="J8998" s="0" t="n">
        <v>82398</v>
      </c>
      <c r="K8998" s="0" t="n">
        <v>7898728894420</v>
      </c>
      <c r="L8998" s="0" t="s">
        <v>5530</v>
      </c>
      <c r="N8998" s="0" t="n">
        <v>6</v>
      </c>
      <c r="O8998" s="0" t="n">
        <v>65.4</v>
      </c>
      <c r="P8998" s="0" t="s">
        <v>2444</v>
      </c>
    </row>
    <row r="8999" customFormat="false" ht="15" hidden="false" customHeight="true" outlineLevel="0" collapsed="false">
      <c r="A8999" s="0" t="n">
        <v>2</v>
      </c>
      <c r="B8999" s="71" t="n">
        <v>46286</v>
      </c>
      <c r="C8999" s="0" t="n">
        <v>11</v>
      </c>
      <c r="D8999" s="0" t="s">
        <v>2471</v>
      </c>
      <c r="E8999" s="0" t="n">
        <v>1218</v>
      </c>
      <c r="F8999" s="0" t="s">
        <v>659</v>
      </c>
      <c r="I8999" s="0" t="n">
        <v>11105</v>
      </c>
      <c r="J8999" s="0" t="n">
        <v>82399</v>
      </c>
      <c r="K8999" s="0" t="n">
        <v>7908348210637</v>
      </c>
      <c r="L8999" s="0" t="s">
        <v>5531</v>
      </c>
      <c r="N8999" s="0" t="n">
        <v>4</v>
      </c>
      <c r="O8999" s="0" t="n">
        <v>75.6</v>
      </c>
      <c r="P8999" s="0" t="s">
        <v>2444</v>
      </c>
    </row>
    <row r="9000" customFormat="false" ht="15" hidden="false" customHeight="true" outlineLevel="0" collapsed="false">
      <c r="A9000" s="0" t="n">
        <v>2</v>
      </c>
      <c r="B9000" s="71" t="n">
        <v>46286</v>
      </c>
      <c r="C9000" s="0" t="n">
        <v>11</v>
      </c>
      <c r="D9000" s="0" t="s">
        <v>2471</v>
      </c>
      <c r="E9000" s="0" t="n">
        <v>1218</v>
      </c>
      <c r="F9000" s="0" t="s">
        <v>659</v>
      </c>
      <c r="I9000" s="0" t="n">
        <v>11105</v>
      </c>
      <c r="J9000" s="0" t="n">
        <v>82400</v>
      </c>
      <c r="K9000" s="0" t="n">
        <v>7898728896509</v>
      </c>
      <c r="L9000" s="0" t="s">
        <v>5532</v>
      </c>
      <c r="N9000" s="0" t="n">
        <v>3</v>
      </c>
      <c r="O9000" s="0" t="n">
        <v>83.7</v>
      </c>
      <c r="P9000" s="0" t="s">
        <v>2444</v>
      </c>
    </row>
    <row r="9001" customFormat="false" ht="15" hidden="false" customHeight="true" outlineLevel="0" collapsed="false">
      <c r="A9001" s="0" t="n">
        <v>2</v>
      </c>
      <c r="B9001" s="71" t="n">
        <v>46286</v>
      </c>
      <c r="C9001" s="0" t="n">
        <v>11</v>
      </c>
      <c r="D9001" s="0" t="s">
        <v>2471</v>
      </c>
      <c r="E9001" s="0" t="n">
        <v>1218</v>
      </c>
      <c r="F9001" s="0" t="s">
        <v>659</v>
      </c>
      <c r="I9001" s="0" t="n">
        <v>11105</v>
      </c>
      <c r="J9001" s="0" t="n">
        <v>82401</v>
      </c>
      <c r="K9001" s="0" t="n">
        <v>7908710817433</v>
      </c>
      <c r="L9001" s="0" t="s">
        <v>5533</v>
      </c>
      <c r="N9001" s="0" t="n">
        <v>6</v>
      </c>
      <c r="O9001" s="0" t="n">
        <v>44.76</v>
      </c>
      <c r="P9001" s="0" t="s">
        <v>2444</v>
      </c>
    </row>
    <row r="9002" customFormat="false" ht="15" hidden="false" customHeight="true" outlineLevel="0" collapsed="false">
      <c r="A9002" s="0" t="n">
        <v>2</v>
      </c>
      <c r="B9002" s="71" t="n">
        <v>46286</v>
      </c>
      <c r="C9002" s="0" t="n">
        <v>11</v>
      </c>
      <c r="D9002" s="0" t="s">
        <v>2471</v>
      </c>
      <c r="E9002" s="0" t="n">
        <v>1218</v>
      </c>
      <c r="F9002" s="0" t="s">
        <v>659</v>
      </c>
      <c r="I9002" s="0" t="n">
        <v>11105</v>
      </c>
      <c r="J9002" s="0" t="n">
        <v>82402</v>
      </c>
      <c r="K9002" s="0" t="n">
        <v>7908710817471</v>
      </c>
      <c r="L9002" s="0" t="s">
        <v>5534</v>
      </c>
      <c r="N9002" s="0" t="n">
        <v>6</v>
      </c>
      <c r="O9002" s="0" t="n">
        <v>44.76</v>
      </c>
      <c r="P9002" s="0" t="s">
        <v>2444</v>
      </c>
    </row>
    <row r="9003" customFormat="false" ht="15" hidden="false" customHeight="true" outlineLevel="0" collapsed="false">
      <c r="A9003" s="0" t="n">
        <v>2</v>
      </c>
      <c r="B9003" s="71" t="n">
        <v>46286</v>
      </c>
      <c r="C9003" s="0" t="n">
        <v>11</v>
      </c>
      <c r="D9003" s="0" t="s">
        <v>2471</v>
      </c>
      <c r="E9003" s="0" t="n">
        <v>1218</v>
      </c>
      <c r="F9003" s="0" t="s">
        <v>659</v>
      </c>
      <c r="I9003" s="0" t="n">
        <v>11105</v>
      </c>
      <c r="J9003" s="0" t="n">
        <v>82403</v>
      </c>
      <c r="K9003" s="0" t="n">
        <v>7908710817495</v>
      </c>
      <c r="L9003" s="0" t="s">
        <v>5535</v>
      </c>
      <c r="N9003" s="0" t="n">
        <v>6</v>
      </c>
      <c r="O9003" s="0" t="n">
        <v>44.76</v>
      </c>
      <c r="P9003" s="0" t="s">
        <v>2444</v>
      </c>
    </row>
    <row r="9004" customFormat="false" ht="15" hidden="false" customHeight="true" outlineLevel="0" collapsed="false">
      <c r="A9004" s="0" t="n">
        <v>2</v>
      </c>
      <c r="B9004" s="71" t="n">
        <v>46286</v>
      </c>
      <c r="C9004" s="0" t="n">
        <v>11</v>
      </c>
      <c r="D9004" s="0" t="s">
        <v>2471</v>
      </c>
      <c r="E9004" s="0" t="n">
        <v>1218</v>
      </c>
      <c r="F9004" s="0" t="s">
        <v>659</v>
      </c>
      <c r="I9004" s="0" t="n">
        <v>11105</v>
      </c>
      <c r="J9004" s="0" t="n">
        <v>82404</v>
      </c>
      <c r="K9004" s="0" t="n">
        <v>7908710817440</v>
      </c>
      <c r="L9004" s="0" t="s">
        <v>5536</v>
      </c>
      <c r="N9004" s="0" t="n">
        <v>4</v>
      </c>
      <c r="O9004" s="0" t="n">
        <v>29.84</v>
      </c>
      <c r="P9004" s="0" t="s">
        <v>2444</v>
      </c>
    </row>
    <row r="9005" customFormat="false" ht="15" hidden="false" customHeight="true" outlineLevel="0" collapsed="false">
      <c r="A9005" s="0" t="n">
        <v>2</v>
      </c>
      <c r="B9005" s="71" t="n">
        <v>46286</v>
      </c>
      <c r="C9005" s="0" t="n">
        <v>11</v>
      </c>
      <c r="D9005" s="0" t="s">
        <v>2471</v>
      </c>
      <c r="E9005" s="0" t="n">
        <v>1218</v>
      </c>
      <c r="F9005" s="0" t="s">
        <v>659</v>
      </c>
      <c r="I9005" s="0" t="n">
        <v>11105</v>
      </c>
      <c r="J9005" s="0" t="n">
        <v>82405</v>
      </c>
      <c r="K9005" s="0" t="n">
        <v>7908710817488</v>
      </c>
      <c r="L9005" s="0" t="s">
        <v>5537</v>
      </c>
      <c r="N9005" s="0" t="n">
        <v>4</v>
      </c>
      <c r="O9005" s="0" t="n">
        <v>29.84</v>
      </c>
      <c r="P9005" s="0" t="s">
        <v>2444</v>
      </c>
    </row>
    <row r="9006" customFormat="false" ht="15" hidden="false" customHeight="true" outlineLevel="0" collapsed="false">
      <c r="A9006" s="0" t="n">
        <v>2</v>
      </c>
      <c r="B9006" s="71" t="n">
        <v>46286</v>
      </c>
      <c r="C9006" s="0" t="n">
        <v>11</v>
      </c>
      <c r="D9006" s="0" t="s">
        <v>2471</v>
      </c>
      <c r="E9006" s="0" t="n">
        <v>1218</v>
      </c>
      <c r="F9006" s="0" t="s">
        <v>659</v>
      </c>
      <c r="I9006" s="0" t="n">
        <v>11105</v>
      </c>
      <c r="J9006" s="0" t="n">
        <v>82406</v>
      </c>
      <c r="K9006" s="0" t="n">
        <v>7896021931552</v>
      </c>
      <c r="L9006" s="0" t="s">
        <v>5538</v>
      </c>
      <c r="N9006" s="0" t="n">
        <v>2</v>
      </c>
      <c r="O9006" s="0" t="n">
        <v>87.8</v>
      </c>
      <c r="P9006" s="0" t="s">
        <v>2444</v>
      </c>
    </row>
    <row r="9007" customFormat="false" ht="15" hidden="false" customHeight="true" outlineLevel="0" collapsed="false">
      <c r="A9007" s="0" t="n">
        <v>2</v>
      </c>
      <c r="B9007" s="71" t="n">
        <v>46286</v>
      </c>
      <c r="C9007" s="0" t="n">
        <v>11</v>
      </c>
      <c r="D9007" s="0" t="s">
        <v>2471</v>
      </c>
      <c r="E9007" s="0" t="n">
        <v>1218</v>
      </c>
      <c r="F9007" s="0" t="s">
        <v>659</v>
      </c>
      <c r="I9007" s="0" t="n">
        <v>11105</v>
      </c>
      <c r="J9007" s="0" t="n">
        <v>82407</v>
      </c>
      <c r="K9007" s="0" t="n">
        <v>7896021931170</v>
      </c>
      <c r="L9007" s="0" t="s">
        <v>5539</v>
      </c>
      <c r="N9007" s="0" t="n">
        <v>2</v>
      </c>
      <c r="O9007" s="0" t="n">
        <v>87.8</v>
      </c>
      <c r="P9007" s="0" t="s">
        <v>2444</v>
      </c>
    </row>
    <row r="9008" customFormat="false" ht="15" hidden="false" customHeight="true" outlineLevel="0" collapsed="false">
      <c r="A9008" s="0" t="n">
        <v>2</v>
      </c>
      <c r="B9008" s="71" t="n">
        <v>46286</v>
      </c>
      <c r="C9008" s="0" t="n">
        <v>11</v>
      </c>
      <c r="D9008" s="0" t="s">
        <v>2471</v>
      </c>
      <c r="E9008" s="0" t="n">
        <v>1218</v>
      </c>
      <c r="F9008" s="0" t="s">
        <v>659</v>
      </c>
      <c r="I9008" s="0" t="n">
        <v>11105</v>
      </c>
      <c r="J9008" s="0" t="n">
        <v>82408</v>
      </c>
      <c r="K9008" s="0" t="n">
        <v>7898474252239</v>
      </c>
      <c r="L9008" s="0" t="s">
        <v>5540</v>
      </c>
      <c r="N9008" s="0" t="n">
        <v>5</v>
      </c>
      <c r="O9008" s="0" t="n">
        <v>109.6</v>
      </c>
      <c r="P9008" s="0" t="s">
        <v>2444</v>
      </c>
    </row>
    <row r="9009" customFormat="false" ht="15" hidden="false" customHeight="true" outlineLevel="0" collapsed="false">
      <c r="A9009" s="0" t="n">
        <v>2</v>
      </c>
      <c r="B9009" s="71" t="n">
        <v>46286</v>
      </c>
      <c r="C9009" s="0" t="n">
        <v>11</v>
      </c>
      <c r="D9009" s="0" t="s">
        <v>2471</v>
      </c>
      <c r="E9009" s="0" t="n">
        <v>1218</v>
      </c>
      <c r="F9009" s="0" t="s">
        <v>659</v>
      </c>
      <c r="I9009" s="0" t="n">
        <v>11105</v>
      </c>
      <c r="J9009" s="0" t="n">
        <v>82409</v>
      </c>
      <c r="K9009" s="0" t="n">
        <v>7898176837901</v>
      </c>
      <c r="L9009" s="0" t="s">
        <v>5541</v>
      </c>
      <c r="N9009" s="0" t="n">
        <v>5</v>
      </c>
      <c r="O9009" s="0" t="n">
        <v>185.5</v>
      </c>
      <c r="P9009" s="0" t="s">
        <v>2444</v>
      </c>
    </row>
    <row r="9010" customFormat="false" ht="15" hidden="false" customHeight="true" outlineLevel="0" collapsed="false">
      <c r="A9010" s="0" t="n">
        <v>2</v>
      </c>
      <c r="B9010" s="71" t="n">
        <v>46286</v>
      </c>
      <c r="C9010" s="0" t="n">
        <v>11</v>
      </c>
      <c r="D9010" s="0" t="s">
        <v>2471</v>
      </c>
      <c r="E9010" s="0" t="n">
        <v>1218</v>
      </c>
      <c r="F9010" s="0" t="s">
        <v>659</v>
      </c>
      <c r="I9010" s="0" t="n">
        <v>11105</v>
      </c>
      <c r="J9010" s="0" t="n">
        <v>82410</v>
      </c>
      <c r="K9010" s="0" t="n">
        <v>7898474259917</v>
      </c>
      <c r="L9010" s="0" t="s">
        <v>5542</v>
      </c>
      <c r="N9010" s="0" t="n">
        <v>5</v>
      </c>
      <c r="O9010" s="0" t="n">
        <v>83.6</v>
      </c>
      <c r="P9010" s="0" t="s">
        <v>2444</v>
      </c>
    </row>
    <row r="9011" customFormat="false" ht="15" hidden="false" customHeight="true" outlineLevel="0" collapsed="false">
      <c r="A9011" s="0" t="n">
        <v>2</v>
      </c>
      <c r="B9011" s="71" t="n">
        <v>46286</v>
      </c>
      <c r="C9011" s="0" t="n">
        <v>11</v>
      </c>
      <c r="D9011" s="0" t="s">
        <v>2471</v>
      </c>
      <c r="E9011" s="0" t="n">
        <v>1218</v>
      </c>
      <c r="F9011" s="0" t="s">
        <v>659</v>
      </c>
      <c r="I9011" s="0" t="n">
        <v>11105</v>
      </c>
      <c r="J9011" s="0" t="n">
        <v>82411</v>
      </c>
      <c r="K9011" s="0" t="n">
        <v>7898474256152</v>
      </c>
      <c r="L9011" s="0" t="s">
        <v>5543</v>
      </c>
      <c r="N9011" s="0" t="n">
        <v>5</v>
      </c>
      <c r="O9011" s="0" t="n">
        <v>116.5</v>
      </c>
      <c r="P9011" s="0" t="s">
        <v>2444</v>
      </c>
    </row>
    <row r="9012" customFormat="false" ht="15" hidden="false" customHeight="true" outlineLevel="0" collapsed="false">
      <c r="A9012" s="0" t="n">
        <v>2</v>
      </c>
      <c r="B9012" s="71" t="n">
        <v>46286</v>
      </c>
      <c r="C9012" s="0" t="n">
        <v>11</v>
      </c>
      <c r="D9012" s="0" t="s">
        <v>2471</v>
      </c>
      <c r="E9012" s="0" t="n">
        <v>1218</v>
      </c>
      <c r="F9012" s="0" t="s">
        <v>659</v>
      </c>
      <c r="I9012" s="0" t="n">
        <v>11105</v>
      </c>
      <c r="J9012" s="0" t="n">
        <v>82413</v>
      </c>
      <c r="K9012" s="0" t="n">
        <v>7892000030087</v>
      </c>
      <c r="L9012" s="0" t="s">
        <v>5544</v>
      </c>
      <c r="N9012" s="0" t="n">
        <v>12</v>
      </c>
      <c r="O9012" s="0" t="n">
        <v>57.6</v>
      </c>
      <c r="P9012" s="0" t="s">
        <v>2444</v>
      </c>
    </row>
    <row r="9013" customFormat="false" ht="15" hidden="false" customHeight="true" outlineLevel="0" collapsed="false">
      <c r="A9013" s="0" t="n">
        <v>2</v>
      </c>
      <c r="B9013" s="71" t="n">
        <v>46286</v>
      </c>
      <c r="C9013" s="0" t="n">
        <v>11</v>
      </c>
      <c r="D9013" s="0" t="s">
        <v>2471</v>
      </c>
      <c r="E9013" s="0" t="n">
        <v>1218</v>
      </c>
      <c r="F9013" s="0" t="s">
        <v>659</v>
      </c>
      <c r="I9013" s="0" t="n">
        <v>11105</v>
      </c>
      <c r="J9013" s="0" t="n">
        <v>82414</v>
      </c>
      <c r="K9013" s="0" t="n">
        <v>7898087581153</v>
      </c>
      <c r="L9013" s="0" t="s">
        <v>5545</v>
      </c>
      <c r="N9013" s="0" t="n">
        <v>12</v>
      </c>
      <c r="O9013" s="0" t="n">
        <v>23.76</v>
      </c>
      <c r="P9013" s="0" t="s">
        <v>2444</v>
      </c>
    </row>
    <row r="9014" customFormat="false" ht="15" hidden="false" customHeight="true" outlineLevel="0" collapsed="false">
      <c r="A9014" s="0" t="n">
        <v>2</v>
      </c>
      <c r="B9014" s="71" t="n">
        <v>46286</v>
      </c>
      <c r="C9014" s="0" t="n">
        <v>11</v>
      </c>
      <c r="D9014" s="0" t="s">
        <v>2471</v>
      </c>
      <c r="E9014" s="0" t="n">
        <v>1218</v>
      </c>
      <c r="F9014" s="0" t="s">
        <v>659</v>
      </c>
      <c r="I9014" s="0" t="n">
        <v>11105</v>
      </c>
      <c r="J9014" s="0" t="n">
        <v>82415</v>
      </c>
      <c r="K9014" s="0" t="n">
        <v>7898087581184</v>
      </c>
      <c r="L9014" s="0" t="s">
        <v>5546</v>
      </c>
      <c r="N9014" s="0" t="n">
        <v>12</v>
      </c>
      <c r="O9014" s="0" t="n">
        <v>25.2</v>
      </c>
      <c r="P9014" s="0" t="s">
        <v>2444</v>
      </c>
    </row>
    <row r="9015" customFormat="false" ht="15" hidden="false" customHeight="true" outlineLevel="0" collapsed="false">
      <c r="A9015" s="0" t="n">
        <v>2</v>
      </c>
      <c r="B9015" s="71" t="n">
        <v>46286</v>
      </c>
      <c r="C9015" s="0" t="n">
        <v>11</v>
      </c>
      <c r="D9015" s="0" t="s">
        <v>2471</v>
      </c>
      <c r="E9015" s="0" t="n">
        <v>1218</v>
      </c>
      <c r="F9015" s="0" t="s">
        <v>659</v>
      </c>
      <c r="I9015" s="0" t="n">
        <v>11105</v>
      </c>
      <c r="J9015" s="0" t="n">
        <v>82419</v>
      </c>
      <c r="K9015" s="0" t="n">
        <v>7892183703099</v>
      </c>
      <c r="L9015" s="0" t="s">
        <v>5547</v>
      </c>
      <c r="N9015" s="0" t="n">
        <v>68</v>
      </c>
      <c r="O9015" s="0" t="n">
        <v>23.76</v>
      </c>
      <c r="P9015" s="0" t="s">
        <v>2444</v>
      </c>
    </row>
    <row r="9016" customFormat="false" ht="15" hidden="false" customHeight="true" outlineLevel="0" collapsed="false">
      <c r="A9016" s="0" t="n">
        <v>2</v>
      </c>
      <c r="B9016" s="71" t="n">
        <v>46286</v>
      </c>
      <c r="C9016" s="0" t="n">
        <v>11</v>
      </c>
      <c r="D9016" s="0" t="s">
        <v>2471</v>
      </c>
      <c r="E9016" s="0" t="n">
        <v>1218</v>
      </c>
      <c r="F9016" s="0" t="s">
        <v>659</v>
      </c>
      <c r="I9016" s="0" t="n">
        <v>11105</v>
      </c>
      <c r="J9016" s="0" t="n">
        <v>82420</v>
      </c>
      <c r="K9016" s="0" t="n">
        <v>7892183264484</v>
      </c>
      <c r="L9016" s="0" t="s">
        <v>5548</v>
      </c>
      <c r="N9016" s="0" t="n">
        <v>230</v>
      </c>
      <c r="O9016" s="0" t="n">
        <v>27</v>
      </c>
      <c r="P9016" s="0" t="s">
        <v>2444</v>
      </c>
    </row>
    <row r="9017" customFormat="false" ht="15" hidden="false" customHeight="true" outlineLevel="0" collapsed="false">
      <c r="A9017" s="0" t="n">
        <v>2</v>
      </c>
      <c r="B9017" s="71" t="n">
        <v>46286</v>
      </c>
      <c r="C9017" s="0" t="n">
        <v>11</v>
      </c>
      <c r="D9017" s="0" t="s">
        <v>2471</v>
      </c>
      <c r="E9017" s="0" t="n">
        <v>1218</v>
      </c>
      <c r="F9017" s="0" t="s">
        <v>659</v>
      </c>
      <c r="I9017" s="0" t="n">
        <v>11105</v>
      </c>
      <c r="J9017" s="0" t="n">
        <v>82421</v>
      </c>
      <c r="K9017" s="0" t="n">
        <v>7892183674993</v>
      </c>
      <c r="L9017" s="0" t="s">
        <v>5549</v>
      </c>
      <c r="N9017" s="0" t="n">
        <v>100</v>
      </c>
      <c r="O9017" s="0" t="n">
        <v>22.5</v>
      </c>
      <c r="P9017" s="0" t="s">
        <v>2444</v>
      </c>
    </row>
    <row r="9018" customFormat="false" ht="15" hidden="false" customHeight="true" outlineLevel="0" collapsed="false">
      <c r="A9018" s="0" t="n">
        <v>2</v>
      </c>
      <c r="B9018" s="71" t="n">
        <v>46286</v>
      </c>
      <c r="C9018" s="0" t="n">
        <v>11</v>
      </c>
      <c r="D9018" s="0" t="s">
        <v>2471</v>
      </c>
      <c r="E9018" s="0" t="n">
        <v>1218</v>
      </c>
      <c r="F9018" s="0" t="s">
        <v>659</v>
      </c>
      <c r="I9018" s="0" t="n">
        <v>11105</v>
      </c>
      <c r="J9018" s="0" t="n">
        <v>82422</v>
      </c>
      <c r="K9018" s="0" t="n">
        <v>7892183275756</v>
      </c>
      <c r="L9018" s="0" t="s">
        <v>5550</v>
      </c>
      <c r="N9018" s="0" t="n">
        <v>100</v>
      </c>
      <c r="O9018" s="0" t="n">
        <v>40.59</v>
      </c>
      <c r="P9018" s="0" t="s">
        <v>2444</v>
      </c>
    </row>
    <row r="9019" customFormat="false" ht="15" hidden="false" customHeight="true" outlineLevel="0" collapsed="false">
      <c r="A9019" s="0" t="n">
        <v>2</v>
      </c>
      <c r="B9019" s="71" t="n">
        <v>46286</v>
      </c>
      <c r="C9019" s="0" t="n">
        <v>11</v>
      </c>
      <c r="D9019" s="0" t="s">
        <v>2471</v>
      </c>
      <c r="E9019" s="0" t="n">
        <v>1218</v>
      </c>
      <c r="F9019" s="0" t="s">
        <v>659</v>
      </c>
      <c r="I9019" s="0" t="n">
        <v>11105</v>
      </c>
      <c r="J9019" s="0" t="n">
        <v>82424</v>
      </c>
      <c r="K9019" s="0" t="n">
        <v>7892183698012</v>
      </c>
      <c r="L9019" s="0" t="s">
        <v>5551</v>
      </c>
      <c r="N9019" s="0" t="n">
        <v>50</v>
      </c>
      <c r="O9019" s="0" t="n">
        <v>39.5</v>
      </c>
      <c r="P9019" s="0" t="s">
        <v>2444</v>
      </c>
    </row>
    <row r="9020" customFormat="false" ht="15" hidden="false" customHeight="true" outlineLevel="0" collapsed="false">
      <c r="A9020" s="0" t="n">
        <v>2</v>
      </c>
      <c r="B9020" s="71" t="n">
        <v>46286</v>
      </c>
      <c r="C9020" s="0" t="n">
        <v>11</v>
      </c>
      <c r="D9020" s="0" t="s">
        <v>2471</v>
      </c>
      <c r="E9020" s="0" t="n">
        <v>1218</v>
      </c>
      <c r="F9020" s="0" t="s">
        <v>659</v>
      </c>
      <c r="I9020" s="0" t="n">
        <v>11105</v>
      </c>
      <c r="J9020" s="0" t="n">
        <v>82425</v>
      </c>
      <c r="K9020" s="0" t="n">
        <v>7892183703167</v>
      </c>
      <c r="L9020" s="0" t="s">
        <v>5552</v>
      </c>
      <c r="N9020" s="0" t="n">
        <v>200</v>
      </c>
      <c r="O9020" s="0" t="n">
        <v>30.2</v>
      </c>
      <c r="P9020" s="0" t="s">
        <v>2444</v>
      </c>
    </row>
    <row r="9021" customFormat="false" ht="15" hidden="false" customHeight="true" outlineLevel="0" collapsed="false">
      <c r="A9021" s="0" t="n">
        <v>2</v>
      </c>
      <c r="B9021" s="71" t="n">
        <v>46286</v>
      </c>
      <c r="C9021" s="0" t="n">
        <v>11</v>
      </c>
      <c r="D9021" s="0" t="s">
        <v>2471</v>
      </c>
      <c r="E9021" s="0" t="n">
        <v>1218</v>
      </c>
      <c r="F9021" s="0" t="s">
        <v>659</v>
      </c>
      <c r="I9021" s="0" t="n">
        <v>11105</v>
      </c>
      <c r="J9021" s="0" t="n">
        <v>82434</v>
      </c>
      <c r="K9021" s="0" t="n">
        <v>825061</v>
      </c>
      <c r="L9021" s="0" t="s">
        <v>5553</v>
      </c>
      <c r="N9021" s="0" t="n">
        <v>1</v>
      </c>
      <c r="O9021" s="0" t="n">
        <v>29.9</v>
      </c>
      <c r="P9021" s="0" t="s">
        <v>2444</v>
      </c>
    </row>
    <row r="9022" customFormat="false" ht="15" hidden="false" customHeight="true" outlineLevel="0" collapsed="false">
      <c r="A9022" s="0" t="n">
        <v>2</v>
      </c>
      <c r="B9022" s="71" t="n">
        <v>46286</v>
      </c>
      <c r="C9022" s="0" t="n">
        <v>11</v>
      </c>
      <c r="D9022" s="0" t="s">
        <v>2471</v>
      </c>
      <c r="E9022" s="0" t="n">
        <v>1218</v>
      </c>
      <c r="F9022" s="0" t="s">
        <v>659</v>
      </c>
      <c r="I9022" s="0" t="n">
        <v>11105</v>
      </c>
      <c r="J9022" s="0" t="n">
        <v>82435</v>
      </c>
      <c r="K9022" s="0" t="n">
        <v>7908348216042</v>
      </c>
      <c r="L9022" s="0" t="s">
        <v>5554</v>
      </c>
      <c r="N9022" s="0" t="n">
        <v>3</v>
      </c>
      <c r="O9022" s="0" t="n">
        <v>59.7</v>
      </c>
      <c r="P9022" s="0" t="s">
        <v>2444</v>
      </c>
    </row>
    <row r="9023" customFormat="false" ht="15" hidden="false" customHeight="true" outlineLevel="0" collapsed="false">
      <c r="A9023" s="0" t="n">
        <v>2</v>
      </c>
      <c r="B9023" s="71" t="n">
        <v>46286</v>
      </c>
      <c r="C9023" s="0" t="n">
        <v>11</v>
      </c>
      <c r="D9023" s="0" t="s">
        <v>2471</v>
      </c>
      <c r="E9023" s="0" t="n">
        <v>1218</v>
      </c>
      <c r="F9023" s="0" t="s">
        <v>659</v>
      </c>
      <c r="I9023" s="0" t="n">
        <v>11105</v>
      </c>
      <c r="J9023" s="0" t="n">
        <v>82440</v>
      </c>
      <c r="K9023" s="0" t="n">
        <v>7892019100252</v>
      </c>
      <c r="L9023" s="0" t="s">
        <v>5555</v>
      </c>
      <c r="N9023" s="0" t="n">
        <v>2</v>
      </c>
      <c r="O9023" s="0" t="n">
        <v>117.8</v>
      </c>
      <c r="P9023" s="0" t="s">
        <v>2444</v>
      </c>
    </row>
    <row r="9024" customFormat="false" ht="15" hidden="false" customHeight="true" outlineLevel="0" collapsed="false">
      <c r="A9024" s="0" t="n">
        <v>2</v>
      </c>
      <c r="B9024" s="71" t="n">
        <v>46286</v>
      </c>
      <c r="C9024" s="0" t="n">
        <v>11</v>
      </c>
      <c r="D9024" s="0" t="s">
        <v>2471</v>
      </c>
      <c r="E9024" s="0" t="n">
        <v>1218</v>
      </c>
      <c r="F9024" s="0" t="s">
        <v>659</v>
      </c>
      <c r="I9024" s="0" t="n">
        <v>11105</v>
      </c>
      <c r="J9024" s="0" t="n">
        <v>82441</v>
      </c>
      <c r="K9024" s="0" t="n">
        <v>7892019000033</v>
      </c>
      <c r="L9024" s="0" t="s">
        <v>5556</v>
      </c>
      <c r="N9024" s="0" t="n">
        <v>1</v>
      </c>
      <c r="O9024" s="0" t="n">
        <v>58.9</v>
      </c>
      <c r="P9024" s="0" t="s">
        <v>2444</v>
      </c>
    </row>
    <row r="9025" customFormat="false" ht="15" hidden="false" customHeight="true" outlineLevel="0" collapsed="false">
      <c r="A9025" s="0" t="n">
        <v>2</v>
      </c>
      <c r="B9025" s="71" t="n">
        <v>46286</v>
      </c>
      <c r="C9025" s="0" t="n">
        <v>11</v>
      </c>
      <c r="D9025" s="0" t="s">
        <v>2471</v>
      </c>
      <c r="E9025" s="0" t="n">
        <v>1218</v>
      </c>
      <c r="F9025" s="0" t="s">
        <v>659</v>
      </c>
      <c r="I9025" s="0" t="n">
        <v>11105</v>
      </c>
      <c r="J9025" s="0" t="n">
        <v>82442</v>
      </c>
      <c r="K9025" s="0" t="n">
        <v>7908147622273</v>
      </c>
      <c r="L9025" s="0" t="s">
        <v>5557</v>
      </c>
      <c r="N9025" s="0" t="n">
        <v>6</v>
      </c>
      <c r="O9025" s="0" t="n">
        <v>131.4</v>
      </c>
      <c r="P9025" s="0" t="s">
        <v>2444</v>
      </c>
    </row>
    <row r="9026" customFormat="false" ht="15" hidden="false" customHeight="true" outlineLevel="0" collapsed="false">
      <c r="A9026" s="0" t="n">
        <v>2</v>
      </c>
      <c r="B9026" s="71" t="n">
        <v>46286</v>
      </c>
      <c r="C9026" s="0" t="n">
        <v>11</v>
      </c>
      <c r="D9026" s="0" t="s">
        <v>2471</v>
      </c>
      <c r="E9026" s="0" t="n">
        <v>1218</v>
      </c>
      <c r="F9026" s="0" t="s">
        <v>659</v>
      </c>
      <c r="I9026" s="0" t="n">
        <v>11105</v>
      </c>
      <c r="J9026" s="0" t="n">
        <v>82443</v>
      </c>
      <c r="K9026" s="0" t="n">
        <v>7908147622235</v>
      </c>
      <c r="L9026" s="0" t="s">
        <v>5558</v>
      </c>
      <c r="N9026" s="0" t="n">
        <v>6</v>
      </c>
      <c r="O9026" s="0" t="n">
        <v>131.4</v>
      </c>
      <c r="P9026" s="0" t="s">
        <v>2444</v>
      </c>
    </row>
    <row r="9027" customFormat="false" ht="15" hidden="false" customHeight="true" outlineLevel="0" collapsed="false">
      <c r="A9027" s="0" t="n">
        <v>2</v>
      </c>
      <c r="B9027" s="71" t="n">
        <v>46286</v>
      </c>
      <c r="C9027" s="0" t="n">
        <v>11</v>
      </c>
      <c r="D9027" s="0" t="s">
        <v>2471</v>
      </c>
      <c r="E9027" s="0" t="n">
        <v>1218</v>
      </c>
      <c r="F9027" s="0" t="s">
        <v>659</v>
      </c>
      <c r="I9027" s="0" t="n">
        <v>11105</v>
      </c>
      <c r="J9027" s="0" t="n">
        <v>82444</v>
      </c>
      <c r="K9027" s="0" t="n">
        <v>7908147621900</v>
      </c>
      <c r="L9027" s="0" t="s">
        <v>5559</v>
      </c>
      <c r="N9027" s="0" t="n">
        <v>6</v>
      </c>
      <c r="O9027" s="0" t="n">
        <v>105.36</v>
      </c>
      <c r="P9027" s="0" t="s">
        <v>2444</v>
      </c>
    </row>
    <row r="9028" customFormat="false" ht="15" hidden="false" customHeight="true" outlineLevel="0" collapsed="false">
      <c r="A9028" s="0" t="n">
        <v>2</v>
      </c>
      <c r="B9028" s="71" t="n">
        <v>46286</v>
      </c>
      <c r="C9028" s="0" t="n">
        <v>11</v>
      </c>
      <c r="D9028" s="0" t="s">
        <v>2471</v>
      </c>
      <c r="E9028" s="0" t="n">
        <v>1218</v>
      </c>
      <c r="F9028" s="0" t="s">
        <v>659</v>
      </c>
      <c r="I9028" s="0" t="n">
        <v>11105</v>
      </c>
      <c r="J9028" s="0" t="n">
        <v>82445</v>
      </c>
      <c r="K9028" s="0" t="n">
        <v>7908147622570</v>
      </c>
      <c r="L9028" s="0" t="s">
        <v>5560</v>
      </c>
      <c r="N9028" s="0" t="n">
        <v>6</v>
      </c>
      <c r="O9028" s="0" t="n">
        <v>105.36</v>
      </c>
      <c r="P9028" s="0" t="s">
        <v>2444</v>
      </c>
    </row>
    <row r="9029" customFormat="false" ht="15" hidden="false" customHeight="true" outlineLevel="0" collapsed="false">
      <c r="A9029" s="0" t="n">
        <v>2</v>
      </c>
      <c r="B9029" s="71" t="n">
        <v>46286</v>
      </c>
      <c r="C9029" s="0" t="n">
        <v>11</v>
      </c>
      <c r="D9029" s="0" t="s">
        <v>2471</v>
      </c>
      <c r="E9029" s="0" t="n">
        <v>1218</v>
      </c>
      <c r="F9029" s="0" t="s">
        <v>659</v>
      </c>
      <c r="I9029" s="0" t="n">
        <v>11105</v>
      </c>
      <c r="J9029" s="0" t="n">
        <v>82446</v>
      </c>
      <c r="K9029" s="0" t="n">
        <v>7908147621894</v>
      </c>
      <c r="L9029" s="0" t="s">
        <v>5561</v>
      </c>
      <c r="N9029" s="0" t="n">
        <v>6</v>
      </c>
      <c r="O9029" s="0" t="n">
        <v>105.36</v>
      </c>
      <c r="P9029" s="0" t="s">
        <v>2444</v>
      </c>
    </row>
    <row r="9030" customFormat="false" ht="15" hidden="false" customHeight="true" outlineLevel="0" collapsed="false">
      <c r="A9030" s="0" t="n">
        <v>2</v>
      </c>
      <c r="B9030" s="71" t="n">
        <v>46286</v>
      </c>
      <c r="C9030" s="0" t="n">
        <v>11</v>
      </c>
      <c r="D9030" s="0" t="s">
        <v>2471</v>
      </c>
      <c r="E9030" s="0" t="n">
        <v>1218</v>
      </c>
      <c r="F9030" s="0" t="s">
        <v>659</v>
      </c>
      <c r="I9030" s="0" t="n">
        <v>11105</v>
      </c>
      <c r="J9030" s="0" t="n">
        <v>82447</v>
      </c>
      <c r="K9030" s="0" t="n">
        <v>7908147622600</v>
      </c>
      <c r="L9030" s="0" t="s">
        <v>5562</v>
      </c>
      <c r="N9030" s="0" t="n">
        <v>6</v>
      </c>
      <c r="O9030" s="0" t="n">
        <v>105.36</v>
      </c>
      <c r="P9030" s="0" t="s">
        <v>2444</v>
      </c>
    </row>
    <row r="9031" customFormat="false" ht="15" hidden="false" customHeight="true" outlineLevel="0" collapsed="false">
      <c r="A9031" s="0" t="n">
        <v>2</v>
      </c>
      <c r="B9031" s="71" t="n">
        <v>46286</v>
      </c>
      <c r="C9031" s="0" t="n">
        <v>11</v>
      </c>
      <c r="D9031" s="0" t="s">
        <v>2471</v>
      </c>
      <c r="E9031" s="0" t="n">
        <v>1218</v>
      </c>
      <c r="F9031" s="0" t="s">
        <v>659</v>
      </c>
      <c r="I9031" s="0" t="n">
        <v>11105</v>
      </c>
      <c r="J9031" s="0" t="n">
        <v>82448</v>
      </c>
      <c r="K9031" s="0" t="n">
        <v>7908147622594</v>
      </c>
      <c r="L9031" s="0" t="s">
        <v>5563</v>
      </c>
      <c r="N9031" s="0" t="n">
        <v>6</v>
      </c>
      <c r="O9031" s="0" t="n">
        <v>105.36</v>
      </c>
      <c r="P9031" s="0" t="s">
        <v>2444</v>
      </c>
    </row>
    <row r="9032" customFormat="false" ht="15" hidden="false" customHeight="true" outlineLevel="0" collapsed="false">
      <c r="A9032" s="0" t="n">
        <v>2</v>
      </c>
      <c r="B9032" s="71" t="n">
        <v>46286</v>
      </c>
      <c r="C9032" s="0" t="n">
        <v>11</v>
      </c>
      <c r="D9032" s="0" t="s">
        <v>2471</v>
      </c>
      <c r="E9032" s="0" t="n">
        <v>1218</v>
      </c>
      <c r="F9032" s="0" t="s">
        <v>659</v>
      </c>
      <c r="I9032" s="0" t="n">
        <v>11105</v>
      </c>
      <c r="J9032" s="0" t="n">
        <v>82449</v>
      </c>
      <c r="K9032" s="0" t="n">
        <v>825054</v>
      </c>
      <c r="L9032" s="0" t="s">
        <v>5564</v>
      </c>
      <c r="N9032" s="0" t="n">
        <v>8</v>
      </c>
      <c r="O9032" s="0" t="n">
        <v>151.2</v>
      </c>
      <c r="P9032" s="0" t="s">
        <v>2444</v>
      </c>
    </row>
    <row r="9033" customFormat="false" ht="15" hidden="false" customHeight="true" outlineLevel="0" collapsed="false">
      <c r="A9033" s="0" t="n">
        <v>2</v>
      </c>
      <c r="B9033" s="71" t="n">
        <v>46286</v>
      </c>
      <c r="C9033" s="0" t="n">
        <v>11</v>
      </c>
      <c r="D9033" s="0" t="s">
        <v>2471</v>
      </c>
      <c r="E9033" s="0" t="n">
        <v>1218</v>
      </c>
      <c r="F9033" s="0" t="s">
        <v>659</v>
      </c>
      <c r="I9033" s="0" t="n">
        <v>11105</v>
      </c>
      <c r="J9033" s="0" t="n">
        <v>82450</v>
      </c>
      <c r="K9033" s="0" t="n">
        <v>7898667310227</v>
      </c>
      <c r="L9033" s="0" t="s">
        <v>5565</v>
      </c>
      <c r="N9033" s="0" t="n">
        <v>4</v>
      </c>
      <c r="O9033" s="0" t="n">
        <v>131.76</v>
      </c>
      <c r="P9033" s="0" t="s">
        <v>2444</v>
      </c>
    </row>
    <row r="9034" customFormat="false" ht="15" hidden="false" customHeight="true" outlineLevel="0" collapsed="false">
      <c r="A9034" s="0" t="n">
        <v>2</v>
      </c>
      <c r="B9034" s="71" t="n">
        <v>46286</v>
      </c>
      <c r="C9034" s="0" t="n">
        <v>11</v>
      </c>
      <c r="D9034" s="0" t="s">
        <v>2471</v>
      </c>
      <c r="E9034" s="0" t="n">
        <v>1218</v>
      </c>
      <c r="F9034" s="0" t="s">
        <v>659</v>
      </c>
      <c r="I9034" s="0" t="n">
        <v>11105</v>
      </c>
      <c r="J9034" s="0" t="n">
        <v>82451</v>
      </c>
      <c r="K9034" s="0" t="n">
        <v>7898667310098</v>
      </c>
      <c r="L9034" s="0" t="s">
        <v>5566</v>
      </c>
      <c r="N9034" s="0" t="n">
        <v>8</v>
      </c>
      <c r="O9034" s="0" t="n">
        <v>128.8</v>
      </c>
      <c r="P9034" s="0" t="s">
        <v>2444</v>
      </c>
    </row>
    <row r="9035" customFormat="false" ht="15" hidden="false" customHeight="true" outlineLevel="0" collapsed="false">
      <c r="A9035" s="0" t="n">
        <v>2</v>
      </c>
      <c r="B9035" s="71" t="n">
        <v>46286</v>
      </c>
      <c r="C9035" s="0" t="n">
        <v>11</v>
      </c>
      <c r="D9035" s="0" t="s">
        <v>2471</v>
      </c>
      <c r="E9035" s="0" t="n">
        <v>1218</v>
      </c>
      <c r="F9035" s="0" t="s">
        <v>659</v>
      </c>
      <c r="I9035" s="0" t="n">
        <v>11105</v>
      </c>
      <c r="J9035" s="0" t="n">
        <v>82452</v>
      </c>
      <c r="K9035" s="0" t="n">
        <v>7898472261936</v>
      </c>
      <c r="L9035" s="0" t="s">
        <v>5567</v>
      </c>
      <c r="N9035" s="0" t="n">
        <v>12</v>
      </c>
      <c r="O9035" s="0" t="n">
        <v>162</v>
      </c>
      <c r="P9035" s="0" t="s">
        <v>2444</v>
      </c>
    </row>
    <row r="9036" customFormat="false" ht="15" hidden="false" customHeight="true" outlineLevel="0" collapsed="false">
      <c r="A9036" s="0" t="n">
        <v>2</v>
      </c>
      <c r="B9036" s="71" t="n">
        <v>46286</v>
      </c>
      <c r="C9036" s="0" t="n">
        <v>11</v>
      </c>
      <c r="D9036" s="0" t="s">
        <v>2471</v>
      </c>
      <c r="E9036" s="0" t="n">
        <v>1218</v>
      </c>
      <c r="F9036" s="0" t="s">
        <v>659</v>
      </c>
      <c r="I9036" s="0" t="n">
        <v>11105</v>
      </c>
      <c r="J9036" s="0" t="n">
        <v>82455</v>
      </c>
      <c r="K9036" s="0" t="n">
        <v>74468050914</v>
      </c>
      <c r="L9036" s="0" t="s">
        <v>5568</v>
      </c>
      <c r="N9036" s="0" t="n">
        <v>6</v>
      </c>
      <c r="O9036" s="0" t="n">
        <v>59.64</v>
      </c>
      <c r="P9036" s="0" t="s">
        <v>2444</v>
      </c>
    </row>
    <row r="9037" customFormat="false" ht="15" hidden="false" customHeight="true" outlineLevel="0" collapsed="false">
      <c r="A9037" s="0" t="n">
        <v>2</v>
      </c>
      <c r="B9037" s="71" t="n">
        <v>46286</v>
      </c>
      <c r="C9037" s="0" t="n">
        <v>11</v>
      </c>
      <c r="D9037" s="0" t="s">
        <v>2471</v>
      </c>
      <c r="E9037" s="0" t="n">
        <v>1218</v>
      </c>
      <c r="F9037" s="0" t="s">
        <v>659</v>
      </c>
      <c r="I9037" s="0" t="n">
        <v>11105</v>
      </c>
      <c r="J9037" s="0" t="n">
        <v>82456</v>
      </c>
      <c r="K9037" s="0" t="n">
        <v>74468050822</v>
      </c>
      <c r="L9037" s="0" t="s">
        <v>5569</v>
      </c>
      <c r="N9037" s="0" t="n">
        <v>6</v>
      </c>
      <c r="O9037" s="0" t="n">
        <v>59.64</v>
      </c>
      <c r="P9037" s="0" t="s">
        <v>2444</v>
      </c>
    </row>
    <row r="9038" customFormat="false" ht="15" hidden="false" customHeight="true" outlineLevel="0" collapsed="false">
      <c r="A9038" s="0" t="n">
        <v>2</v>
      </c>
      <c r="B9038" s="71" t="n">
        <v>46286</v>
      </c>
      <c r="C9038" s="0" t="n">
        <v>11</v>
      </c>
      <c r="D9038" s="0" t="s">
        <v>2471</v>
      </c>
      <c r="E9038" s="0" t="n">
        <v>1218</v>
      </c>
      <c r="F9038" s="0" t="s">
        <v>659</v>
      </c>
      <c r="I9038" s="0" t="n">
        <v>11105</v>
      </c>
      <c r="J9038" s="0" t="n">
        <v>82458</v>
      </c>
      <c r="K9038" s="0" t="n">
        <v>7898667314119</v>
      </c>
      <c r="L9038" s="0" t="s">
        <v>5570</v>
      </c>
      <c r="N9038" s="0" t="n">
        <v>2</v>
      </c>
      <c r="O9038" s="0" t="n">
        <v>138.98</v>
      </c>
      <c r="P9038" s="0" t="s">
        <v>2444</v>
      </c>
    </row>
    <row r="9039" customFormat="false" ht="15" hidden="false" customHeight="true" outlineLevel="0" collapsed="false">
      <c r="A9039" s="0" t="n">
        <v>2</v>
      </c>
      <c r="B9039" s="71" t="n">
        <v>46286</v>
      </c>
      <c r="C9039" s="0" t="n">
        <v>11</v>
      </c>
      <c r="D9039" s="0" t="s">
        <v>2471</v>
      </c>
      <c r="E9039" s="0" t="n">
        <v>1218</v>
      </c>
      <c r="F9039" s="0" t="s">
        <v>659</v>
      </c>
      <c r="I9039" s="0" t="n">
        <v>11105</v>
      </c>
      <c r="J9039" s="0" t="n">
        <v>82459</v>
      </c>
      <c r="K9039" s="0" t="n">
        <v>7898667313266</v>
      </c>
      <c r="L9039" s="0" t="s">
        <v>5571</v>
      </c>
      <c r="N9039" s="0" t="n">
        <v>1</v>
      </c>
      <c r="O9039" s="0" t="n">
        <v>73.84</v>
      </c>
      <c r="P9039" s="0" t="s">
        <v>2444</v>
      </c>
    </row>
    <row r="9040" customFormat="false" ht="15" hidden="false" customHeight="true" outlineLevel="0" collapsed="false">
      <c r="A9040" s="0" t="n">
        <v>2</v>
      </c>
      <c r="B9040" s="71" t="n">
        <v>46286</v>
      </c>
      <c r="C9040" s="0" t="n">
        <v>11</v>
      </c>
      <c r="D9040" s="0" t="s">
        <v>2471</v>
      </c>
      <c r="E9040" s="0" t="n">
        <v>1218</v>
      </c>
      <c r="F9040" s="0" t="s">
        <v>659</v>
      </c>
      <c r="I9040" s="0" t="n">
        <v>11105</v>
      </c>
      <c r="J9040" s="0" t="n">
        <v>82460</v>
      </c>
      <c r="K9040" s="0" t="n">
        <v>7908147609380</v>
      </c>
      <c r="L9040" s="0" t="s">
        <v>5572</v>
      </c>
      <c r="N9040" s="0" t="n">
        <v>4</v>
      </c>
      <c r="O9040" s="0" t="n">
        <v>159.96</v>
      </c>
      <c r="P9040" s="0" t="s">
        <v>2444</v>
      </c>
    </row>
    <row r="9041" customFormat="false" ht="15" hidden="false" customHeight="true" outlineLevel="0" collapsed="false">
      <c r="A9041" s="0" t="n">
        <v>2</v>
      </c>
      <c r="B9041" s="71" t="n">
        <v>46286</v>
      </c>
      <c r="C9041" s="0" t="n">
        <v>11</v>
      </c>
      <c r="D9041" s="0" t="s">
        <v>2471</v>
      </c>
      <c r="E9041" s="0" t="n">
        <v>1218</v>
      </c>
      <c r="F9041" s="0" t="s">
        <v>659</v>
      </c>
      <c r="I9041" s="0" t="n">
        <v>11105</v>
      </c>
      <c r="J9041" s="0" t="n">
        <v>82461</v>
      </c>
      <c r="K9041" s="0" t="n">
        <v>7898667313877</v>
      </c>
      <c r="L9041" s="0" t="s">
        <v>5573</v>
      </c>
      <c r="N9041" s="0" t="n">
        <v>2</v>
      </c>
      <c r="O9041" s="0" t="n">
        <v>252.44</v>
      </c>
      <c r="P9041" s="0" t="s">
        <v>2444</v>
      </c>
    </row>
    <row r="9042" customFormat="false" ht="15" hidden="false" customHeight="true" outlineLevel="0" collapsed="false">
      <c r="A9042" s="0" t="n">
        <v>2</v>
      </c>
      <c r="B9042" s="71" t="n">
        <v>46286</v>
      </c>
      <c r="C9042" s="0" t="n">
        <v>11</v>
      </c>
      <c r="D9042" s="0" t="s">
        <v>2471</v>
      </c>
      <c r="E9042" s="0" t="n">
        <v>1218</v>
      </c>
      <c r="F9042" s="0" t="s">
        <v>659</v>
      </c>
      <c r="I9042" s="0" t="n">
        <v>11105</v>
      </c>
      <c r="J9042" s="0" t="n">
        <v>82462</v>
      </c>
      <c r="K9042" s="0" t="n">
        <v>7898667313969</v>
      </c>
      <c r="L9042" s="0" t="s">
        <v>5574</v>
      </c>
      <c r="N9042" s="0" t="n">
        <v>1</v>
      </c>
      <c r="O9042" s="0" t="n">
        <v>126.22</v>
      </c>
      <c r="P9042" s="0" t="s">
        <v>2444</v>
      </c>
    </row>
    <row r="9043" customFormat="false" ht="15" hidden="false" customHeight="true" outlineLevel="0" collapsed="false">
      <c r="A9043" s="0" t="n">
        <v>2</v>
      </c>
      <c r="B9043" s="71" t="n">
        <v>46286</v>
      </c>
      <c r="C9043" s="0" t="n">
        <v>11</v>
      </c>
      <c r="D9043" s="0" t="s">
        <v>2471</v>
      </c>
      <c r="E9043" s="0" t="n">
        <v>1218</v>
      </c>
      <c r="F9043" s="0" t="s">
        <v>659</v>
      </c>
      <c r="I9043" s="0" t="n">
        <v>11105</v>
      </c>
      <c r="J9043" s="0" t="n">
        <v>82463</v>
      </c>
      <c r="K9043" s="0" t="n">
        <v>7898667313938</v>
      </c>
      <c r="L9043" s="0" t="s">
        <v>5575</v>
      </c>
      <c r="N9043" s="0" t="n">
        <v>2</v>
      </c>
      <c r="O9043" s="0" t="n">
        <v>252.44</v>
      </c>
      <c r="P9043" s="0" t="s">
        <v>2444</v>
      </c>
    </row>
    <row r="9044" customFormat="false" ht="15" hidden="false" customHeight="true" outlineLevel="0" collapsed="false">
      <c r="A9044" s="0" t="n">
        <v>2</v>
      </c>
      <c r="B9044" s="71" t="n">
        <v>46286</v>
      </c>
      <c r="C9044" s="0" t="n">
        <v>11</v>
      </c>
      <c r="D9044" s="0" t="s">
        <v>2471</v>
      </c>
      <c r="E9044" s="0" t="n">
        <v>1218</v>
      </c>
      <c r="F9044" s="0" t="s">
        <v>659</v>
      </c>
      <c r="I9044" s="0" t="n">
        <v>11105</v>
      </c>
      <c r="J9044" s="0" t="n">
        <v>82464</v>
      </c>
      <c r="K9044" s="0" t="n">
        <v>9999999020452</v>
      </c>
      <c r="L9044" s="0" t="s">
        <v>5576</v>
      </c>
      <c r="N9044" s="0" t="n">
        <v>4</v>
      </c>
      <c r="O9044" s="0" t="n">
        <v>259.6</v>
      </c>
      <c r="P9044" s="0" t="s">
        <v>2444</v>
      </c>
    </row>
    <row r="9045" customFormat="false" ht="15" hidden="false" customHeight="true" outlineLevel="0" collapsed="false">
      <c r="A9045" s="0" t="n">
        <v>2</v>
      </c>
      <c r="B9045" s="71" t="n">
        <v>46286</v>
      </c>
      <c r="C9045" s="0" t="n">
        <v>11</v>
      </c>
      <c r="D9045" s="0" t="s">
        <v>2471</v>
      </c>
      <c r="E9045" s="0" t="n">
        <v>1218</v>
      </c>
      <c r="F9045" s="0" t="s">
        <v>659</v>
      </c>
      <c r="I9045" s="0" t="n">
        <v>11105</v>
      </c>
      <c r="J9045" s="0" t="n">
        <v>82465</v>
      </c>
      <c r="K9045" s="0" t="n">
        <v>825078</v>
      </c>
      <c r="L9045" s="0" t="s">
        <v>5577</v>
      </c>
      <c r="N9045" s="0" t="n">
        <v>1</v>
      </c>
      <c r="O9045" s="0" t="n">
        <v>239</v>
      </c>
      <c r="P9045" s="0" t="s">
        <v>2444</v>
      </c>
    </row>
    <row r="9046" customFormat="false" ht="15" hidden="false" customHeight="true" outlineLevel="0" collapsed="false">
      <c r="A9046" s="0" t="n">
        <v>2</v>
      </c>
      <c r="B9046" s="71" t="n">
        <v>46286</v>
      </c>
      <c r="C9046" s="0" t="n">
        <v>11</v>
      </c>
      <c r="D9046" s="0" t="s">
        <v>2471</v>
      </c>
      <c r="E9046" s="0" t="n">
        <v>1218</v>
      </c>
      <c r="F9046" s="0" t="s">
        <v>659</v>
      </c>
      <c r="I9046" s="0" t="n">
        <v>11105</v>
      </c>
      <c r="J9046" s="0" t="n">
        <v>82468</v>
      </c>
      <c r="K9046" s="0" t="n">
        <v>7892183264798</v>
      </c>
      <c r="L9046" s="0" t="s">
        <v>5578</v>
      </c>
      <c r="N9046" s="0" t="n">
        <v>1000</v>
      </c>
      <c r="O9046" s="0" t="n">
        <v>66</v>
      </c>
      <c r="P9046" s="0" t="s">
        <v>2444</v>
      </c>
    </row>
    <row r="9047" customFormat="false" ht="15" hidden="false" customHeight="true" outlineLevel="0" collapsed="false">
      <c r="A9047" s="0" t="n">
        <v>2</v>
      </c>
      <c r="B9047" s="71" t="n">
        <v>46286</v>
      </c>
      <c r="C9047" s="0" t="n">
        <v>11</v>
      </c>
      <c r="D9047" s="0" t="s">
        <v>2471</v>
      </c>
      <c r="E9047" s="0" t="n">
        <v>1218</v>
      </c>
      <c r="F9047" s="0" t="s">
        <v>659</v>
      </c>
      <c r="I9047" s="0" t="n">
        <v>11105</v>
      </c>
      <c r="J9047" s="0" t="n">
        <v>82469</v>
      </c>
      <c r="K9047" s="0" t="n">
        <v>7892183694229</v>
      </c>
      <c r="L9047" s="0" t="s">
        <v>5579</v>
      </c>
      <c r="N9047" s="0" t="n">
        <v>1000</v>
      </c>
      <c r="O9047" s="0" t="n">
        <v>69</v>
      </c>
      <c r="P9047" s="0" t="s">
        <v>2444</v>
      </c>
    </row>
    <row r="9048" customFormat="false" ht="15" hidden="false" customHeight="true" outlineLevel="0" collapsed="false">
      <c r="A9048" s="0" t="n">
        <v>2</v>
      </c>
      <c r="B9048" s="71" t="n">
        <v>46286</v>
      </c>
      <c r="C9048" s="0" t="n">
        <v>11</v>
      </c>
      <c r="D9048" s="0" t="s">
        <v>2471</v>
      </c>
      <c r="E9048" s="0" t="n">
        <v>1218</v>
      </c>
      <c r="F9048" s="0" t="s">
        <v>659</v>
      </c>
      <c r="I9048" s="0" t="n">
        <v>11105</v>
      </c>
      <c r="J9048" s="0" t="n">
        <v>82470</v>
      </c>
      <c r="K9048" s="0" t="n">
        <v>7892183272694</v>
      </c>
      <c r="L9048" s="0" t="s">
        <v>5580</v>
      </c>
      <c r="N9048" s="0" t="n">
        <v>500</v>
      </c>
      <c r="O9048" s="0" t="n">
        <v>17.48</v>
      </c>
      <c r="P9048" s="0" t="s">
        <v>2444</v>
      </c>
    </row>
    <row r="9049" customFormat="false" ht="15" hidden="false" customHeight="true" outlineLevel="0" collapsed="false">
      <c r="A9049" s="0" t="n">
        <v>2</v>
      </c>
      <c r="B9049" s="71" t="n">
        <v>46286</v>
      </c>
      <c r="C9049" s="0" t="n">
        <v>11</v>
      </c>
      <c r="D9049" s="0" t="s">
        <v>2471</v>
      </c>
      <c r="E9049" s="0" t="n">
        <v>1218</v>
      </c>
      <c r="F9049" s="0" t="s">
        <v>659</v>
      </c>
      <c r="I9049" s="0" t="n">
        <v>11105</v>
      </c>
      <c r="J9049" s="0" t="n">
        <v>82471</v>
      </c>
      <c r="K9049" s="0" t="n">
        <v>7892183272557</v>
      </c>
      <c r="L9049" s="0" t="s">
        <v>5581</v>
      </c>
      <c r="N9049" s="0" t="n">
        <v>500</v>
      </c>
      <c r="O9049" s="0" t="n">
        <v>23.87</v>
      </c>
      <c r="P9049" s="0" t="s">
        <v>2444</v>
      </c>
    </row>
    <row r="9050" customFormat="false" ht="15" hidden="false" customHeight="true" outlineLevel="0" collapsed="false">
      <c r="A9050" s="0" t="n">
        <v>2</v>
      </c>
      <c r="B9050" s="71" t="n">
        <v>46286</v>
      </c>
      <c r="C9050" s="0" t="n">
        <v>11</v>
      </c>
      <c r="D9050" s="0" t="s">
        <v>2471</v>
      </c>
      <c r="E9050" s="0" t="n">
        <v>1218</v>
      </c>
      <c r="F9050" s="0" t="s">
        <v>659</v>
      </c>
      <c r="I9050" s="0" t="n">
        <v>11105</v>
      </c>
      <c r="J9050" s="0" t="n">
        <v>82472</v>
      </c>
      <c r="K9050" s="0" t="n">
        <v>7892183272670</v>
      </c>
      <c r="L9050" s="0" t="s">
        <v>5582</v>
      </c>
      <c r="N9050" s="0" t="n">
        <v>500</v>
      </c>
      <c r="O9050" s="0" t="n">
        <v>36.9</v>
      </c>
      <c r="P9050" s="0" t="s">
        <v>2444</v>
      </c>
    </row>
    <row r="9051" customFormat="false" ht="15" hidden="false" customHeight="true" outlineLevel="0" collapsed="false">
      <c r="A9051" s="0" t="n">
        <v>2</v>
      </c>
      <c r="B9051" s="71" t="n">
        <v>46286</v>
      </c>
      <c r="C9051" s="0" t="n">
        <v>11</v>
      </c>
      <c r="D9051" s="0" t="s">
        <v>2471</v>
      </c>
      <c r="E9051" s="0" t="n">
        <v>1218</v>
      </c>
      <c r="F9051" s="0" t="s">
        <v>659</v>
      </c>
      <c r="I9051" s="0" t="n">
        <v>11105</v>
      </c>
      <c r="J9051" s="0" t="n">
        <v>82473</v>
      </c>
      <c r="K9051" s="0" t="n">
        <v>7892183267997</v>
      </c>
      <c r="L9051" s="0" t="s">
        <v>5583</v>
      </c>
      <c r="N9051" s="0" t="n">
        <v>1000</v>
      </c>
      <c r="O9051" s="0" t="n">
        <v>49.9</v>
      </c>
      <c r="P9051" s="0" t="s">
        <v>2444</v>
      </c>
    </row>
    <row r="9052" customFormat="false" ht="15" hidden="false" customHeight="true" outlineLevel="0" collapsed="false">
      <c r="A9052" s="0" t="n">
        <v>2</v>
      </c>
      <c r="B9052" s="71" t="n">
        <v>46286</v>
      </c>
      <c r="C9052" s="0" t="n">
        <v>11</v>
      </c>
      <c r="D9052" s="0" t="s">
        <v>2471</v>
      </c>
      <c r="E9052" s="0" t="n">
        <v>1218</v>
      </c>
      <c r="F9052" s="0" t="s">
        <v>659</v>
      </c>
      <c r="I9052" s="0" t="n">
        <v>11105</v>
      </c>
      <c r="J9052" s="0" t="n">
        <v>82474</v>
      </c>
      <c r="K9052" s="0" t="n">
        <v>7892183272632</v>
      </c>
      <c r="L9052" s="0" t="s">
        <v>5584</v>
      </c>
      <c r="N9052" s="0" t="n">
        <v>500</v>
      </c>
      <c r="O9052" s="0" t="n">
        <v>39.9</v>
      </c>
      <c r="P9052" s="0" t="s">
        <v>2444</v>
      </c>
    </row>
    <row r="9053" customFormat="false" ht="15" hidden="false" customHeight="true" outlineLevel="0" collapsed="false">
      <c r="A9053" s="0" t="n">
        <v>2</v>
      </c>
      <c r="B9053" s="71" t="n">
        <v>46286</v>
      </c>
      <c r="C9053" s="0" t="n">
        <v>11</v>
      </c>
      <c r="D9053" s="0" t="s">
        <v>2471</v>
      </c>
      <c r="E9053" s="0" t="n">
        <v>1218</v>
      </c>
      <c r="F9053" s="0" t="s">
        <v>659</v>
      </c>
      <c r="I9053" s="0" t="n">
        <v>11105</v>
      </c>
      <c r="J9053" s="0" t="n">
        <v>82475</v>
      </c>
      <c r="K9053" s="0" t="n">
        <v>7892183272724</v>
      </c>
      <c r="L9053" s="0" t="s">
        <v>5585</v>
      </c>
      <c r="N9053" s="0" t="n">
        <v>500</v>
      </c>
      <c r="O9053" s="0" t="n">
        <v>35.63</v>
      </c>
      <c r="P9053" s="0" t="s">
        <v>2444</v>
      </c>
    </row>
    <row r="9054" customFormat="false" ht="15" hidden="false" customHeight="true" outlineLevel="0" collapsed="false">
      <c r="A9054" s="0" t="n">
        <v>2</v>
      </c>
      <c r="B9054" s="71" t="n">
        <v>46286</v>
      </c>
      <c r="C9054" s="0" t="n">
        <v>11</v>
      </c>
      <c r="D9054" s="0" t="s">
        <v>2471</v>
      </c>
      <c r="E9054" s="0" t="n">
        <v>1218</v>
      </c>
      <c r="F9054" s="0" t="s">
        <v>659</v>
      </c>
      <c r="I9054" s="0" t="n">
        <v>11105</v>
      </c>
      <c r="J9054" s="0" t="n">
        <v>82476</v>
      </c>
      <c r="K9054" s="0" t="n">
        <v>7892183272731</v>
      </c>
      <c r="L9054" s="0" t="s">
        <v>5586</v>
      </c>
      <c r="N9054" s="0" t="n">
        <v>500</v>
      </c>
      <c r="O9054" s="0" t="n">
        <v>48</v>
      </c>
      <c r="P9054" s="0" t="s">
        <v>2444</v>
      </c>
    </row>
    <row r="9055" customFormat="false" ht="15" hidden="false" customHeight="true" outlineLevel="0" collapsed="false">
      <c r="A9055" s="0" t="n">
        <v>2</v>
      </c>
      <c r="B9055" s="71" t="n">
        <v>46286</v>
      </c>
      <c r="C9055" s="0" t="n">
        <v>11</v>
      </c>
      <c r="D9055" s="0" t="s">
        <v>2471</v>
      </c>
      <c r="E9055" s="0" t="n">
        <v>1218</v>
      </c>
      <c r="F9055" s="0" t="s">
        <v>659</v>
      </c>
      <c r="I9055" s="0" t="n">
        <v>11105</v>
      </c>
      <c r="J9055" s="0" t="n">
        <v>82477</v>
      </c>
      <c r="K9055" s="0" t="n">
        <v>7892183277736</v>
      </c>
      <c r="L9055" s="0" t="s">
        <v>5587</v>
      </c>
      <c r="N9055" s="0" t="n">
        <v>100</v>
      </c>
      <c r="O9055" s="0" t="n">
        <v>55.9</v>
      </c>
      <c r="P9055" s="0" t="s">
        <v>2444</v>
      </c>
    </row>
    <row r="9056" customFormat="false" ht="15" hidden="false" customHeight="true" outlineLevel="0" collapsed="false">
      <c r="A9056" s="0" t="n">
        <v>2</v>
      </c>
      <c r="B9056" s="71" t="n">
        <v>46286</v>
      </c>
      <c r="C9056" s="0" t="n">
        <v>11</v>
      </c>
      <c r="D9056" s="0" t="s">
        <v>2471</v>
      </c>
      <c r="E9056" s="0" t="n">
        <v>1218</v>
      </c>
      <c r="F9056" s="0" t="s">
        <v>659</v>
      </c>
      <c r="I9056" s="0" t="n">
        <v>11105</v>
      </c>
      <c r="J9056" s="0" t="n">
        <v>82479</v>
      </c>
      <c r="K9056" s="0" t="n">
        <v>7892183642770</v>
      </c>
      <c r="L9056" s="0" t="s">
        <v>5588</v>
      </c>
      <c r="N9056" s="0" t="n">
        <v>200</v>
      </c>
      <c r="O9056" s="0" t="n">
        <v>47</v>
      </c>
      <c r="P9056" s="0" t="s">
        <v>2444</v>
      </c>
    </row>
    <row r="9057" customFormat="false" ht="15" hidden="false" customHeight="true" outlineLevel="0" collapsed="false">
      <c r="A9057" s="0" t="n">
        <v>2</v>
      </c>
      <c r="B9057" s="71" t="n">
        <v>46286</v>
      </c>
      <c r="C9057" s="0" t="n">
        <v>11</v>
      </c>
      <c r="D9057" s="0" t="s">
        <v>2471</v>
      </c>
      <c r="E9057" s="0" t="n">
        <v>1218</v>
      </c>
      <c r="F9057" s="0" t="s">
        <v>659</v>
      </c>
      <c r="I9057" s="0" t="n">
        <v>11105</v>
      </c>
      <c r="J9057" s="0" t="n">
        <v>82480</v>
      </c>
      <c r="K9057" s="0" t="n">
        <v>7892183277682</v>
      </c>
      <c r="L9057" s="0" t="s">
        <v>5589</v>
      </c>
      <c r="N9057" s="0" t="n">
        <v>100</v>
      </c>
      <c r="O9057" s="0" t="n">
        <v>19.9</v>
      </c>
      <c r="P9057" s="0" t="s">
        <v>2444</v>
      </c>
    </row>
    <row r="9058" customFormat="false" ht="15" hidden="false" customHeight="true" outlineLevel="0" collapsed="false">
      <c r="A9058" s="0" t="n">
        <v>2</v>
      </c>
      <c r="B9058" s="71" t="n">
        <v>46286</v>
      </c>
      <c r="C9058" s="0" t="n">
        <v>11</v>
      </c>
      <c r="D9058" s="0" t="s">
        <v>2471</v>
      </c>
      <c r="E9058" s="0" t="n">
        <v>1218</v>
      </c>
      <c r="F9058" s="0" t="s">
        <v>659</v>
      </c>
      <c r="I9058" s="0" t="n">
        <v>11105</v>
      </c>
      <c r="J9058" s="0" t="n">
        <v>82481</v>
      </c>
      <c r="K9058" s="0" t="n">
        <v>7892183663881</v>
      </c>
      <c r="L9058" s="0" t="s">
        <v>5590</v>
      </c>
      <c r="N9058" s="0" t="n">
        <v>200</v>
      </c>
      <c r="O9058" s="0" t="n">
        <v>105</v>
      </c>
      <c r="P9058" s="0" t="s">
        <v>2444</v>
      </c>
    </row>
    <row r="9059" customFormat="false" ht="15" hidden="false" customHeight="true" outlineLevel="0" collapsed="false">
      <c r="A9059" s="0" t="n">
        <v>2</v>
      </c>
      <c r="B9059" s="71" t="n">
        <v>46286</v>
      </c>
      <c r="C9059" s="0" t="n">
        <v>11</v>
      </c>
      <c r="D9059" s="0" t="s">
        <v>2471</v>
      </c>
      <c r="E9059" s="0" t="n">
        <v>1218</v>
      </c>
      <c r="F9059" s="0" t="s">
        <v>659</v>
      </c>
      <c r="I9059" s="0" t="n">
        <v>11105</v>
      </c>
      <c r="J9059" s="0" t="n">
        <v>82482</v>
      </c>
      <c r="K9059" s="0" t="n">
        <v>7892183694694</v>
      </c>
      <c r="L9059" s="0" t="s">
        <v>5591</v>
      </c>
      <c r="N9059" s="0" t="n">
        <v>200</v>
      </c>
      <c r="O9059" s="0" t="n">
        <v>99.66</v>
      </c>
      <c r="P9059" s="0" t="s">
        <v>2444</v>
      </c>
    </row>
    <row r="9060" customFormat="false" ht="15" hidden="false" customHeight="true" outlineLevel="0" collapsed="false">
      <c r="A9060" s="0" t="n">
        <v>2</v>
      </c>
      <c r="B9060" s="71" t="n">
        <v>46286</v>
      </c>
      <c r="C9060" s="0" t="n">
        <v>11</v>
      </c>
      <c r="D9060" s="0" t="s">
        <v>2471</v>
      </c>
      <c r="E9060" s="0" t="n">
        <v>1218</v>
      </c>
      <c r="F9060" s="0" t="s">
        <v>659</v>
      </c>
      <c r="I9060" s="0" t="n">
        <v>11105</v>
      </c>
      <c r="J9060" s="0" t="n">
        <v>82483</v>
      </c>
      <c r="K9060" s="0" t="n">
        <v>7898667312788</v>
      </c>
      <c r="L9060" s="0" t="s">
        <v>5592</v>
      </c>
      <c r="N9060" s="0" t="n">
        <v>4</v>
      </c>
      <c r="O9060" s="0" t="n">
        <v>99.96</v>
      </c>
      <c r="P9060" s="0" t="s">
        <v>2444</v>
      </c>
    </row>
    <row r="9061" customFormat="false" ht="15" hidden="false" customHeight="true" outlineLevel="0" collapsed="false">
      <c r="A9061" s="0" t="n">
        <v>2</v>
      </c>
      <c r="B9061" s="71" t="n">
        <v>46286</v>
      </c>
      <c r="C9061" s="0" t="n">
        <v>11</v>
      </c>
      <c r="D9061" s="0" t="s">
        <v>2471</v>
      </c>
      <c r="E9061" s="0" t="n">
        <v>1218</v>
      </c>
      <c r="F9061" s="0" t="s">
        <v>659</v>
      </c>
      <c r="I9061" s="0" t="n">
        <v>11105</v>
      </c>
      <c r="J9061" s="0" t="n">
        <v>82484</v>
      </c>
      <c r="K9061" s="0" t="n">
        <v>7898667310463</v>
      </c>
      <c r="L9061" s="0" t="s">
        <v>5593</v>
      </c>
      <c r="N9061" s="0" t="n">
        <v>4</v>
      </c>
      <c r="O9061" s="0" t="n">
        <v>131.76</v>
      </c>
      <c r="P9061" s="0" t="s">
        <v>2444</v>
      </c>
    </row>
    <row r="9062" customFormat="false" ht="15" hidden="false" customHeight="true" outlineLevel="0" collapsed="false">
      <c r="A9062" s="0" t="n">
        <v>2</v>
      </c>
      <c r="B9062" s="71" t="n">
        <v>46286</v>
      </c>
      <c r="C9062" s="0" t="n">
        <v>11</v>
      </c>
      <c r="D9062" s="0" t="s">
        <v>2471</v>
      </c>
      <c r="E9062" s="0" t="n">
        <v>1625</v>
      </c>
      <c r="F9062" s="0" t="s">
        <v>270</v>
      </c>
      <c r="I9062" s="0" t="n">
        <v>15417</v>
      </c>
      <c r="J9062" s="0" t="n">
        <v>29079</v>
      </c>
      <c r="K9062" s="0" t="n">
        <v>55515</v>
      </c>
      <c r="L9062" s="0" t="s">
        <v>2449</v>
      </c>
      <c r="N9062" s="0" t="n">
        <v>72.4</v>
      </c>
      <c r="O9062" s="0" t="n">
        <v>2316.8</v>
      </c>
      <c r="P9062" s="0" t="s">
        <v>2444</v>
      </c>
    </row>
    <row r="9063" customFormat="false" ht="15" hidden="false" customHeight="true" outlineLevel="0" collapsed="false">
      <c r="A9063" s="0" t="n">
        <v>2</v>
      </c>
      <c r="B9063" s="71" t="n">
        <v>46286</v>
      </c>
      <c r="C9063" s="0" t="n">
        <v>11</v>
      </c>
      <c r="D9063" s="0" t="s">
        <v>2471</v>
      </c>
      <c r="E9063" s="0" t="n">
        <v>1625</v>
      </c>
      <c r="F9063" s="0" t="s">
        <v>270</v>
      </c>
      <c r="I9063" s="0" t="n">
        <v>15417</v>
      </c>
      <c r="J9063" s="0" t="n">
        <v>29080</v>
      </c>
      <c r="K9063" s="0" t="n">
        <v>55516</v>
      </c>
      <c r="L9063" s="0" t="s">
        <v>2450</v>
      </c>
      <c r="N9063" s="0" t="n">
        <v>56.2</v>
      </c>
      <c r="O9063" s="0" t="n">
        <v>1236.4</v>
      </c>
      <c r="P9063" s="0" t="s">
        <v>2444</v>
      </c>
    </row>
    <row r="9064" customFormat="false" ht="15" hidden="false" customHeight="true" outlineLevel="0" collapsed="false">
      <c r="A9064" s="0" t="n">
        <v>2</v>
      </c>
      <c r="B9064" s="71" t="n">
        <v>46286</v>
      </c>
      <c r="C9064" s="0" t="n">
        <v>11</v>
      </c>
      <c r="D9064" s="0" t="s">
        <v>2471</v>
      </c>
      <c r="E9064" s="0" t="n">
        <v>1625</v>
      </c>
      <c r="F9064" s="0" t="s">
        <v>270</v>
      </c>
      <c r="I9064" s="0" t="n">
        <v>15417</v>
      </c>
      <c r="J9064" s="0" t="n">
        <v>78040</v>
      </c>
      <c r="K9064" s="0" t="n">
        <v>780414</v>
      </c>
      <c r="L9064" s="0" t="s">
        <v>5594</v>
      </c>
      <c r="N9064" s="0" t="n">
        <v>26</v>
      </c>
      <c r="O9064" s="0" t="n">
        <v>546</v>
      </c>
      <c r="P9064" s="0" t="s">
        <v>2444</v>
      </c>
    </row>
    <row r="9065" customFormat="false" ht="15" hidden="false" customHeight="true" outlineLevel="0" collapsed="false">
      <c r="A9065" s="0" t="n">
        <v>2</v>
      </c>
      <c r="B9065" s="71" t="n">
        <v>46286</v>
      </c>
      <c r="C9065" s="0" t="n">
        <v>11</v>
      </c>
      <c r="D9065" s="0" t="s">
        <v>2471</v>
      </c>
      <c r="E9065" s="0" t="n">
        <v>1625</v>
      </c>
      <c r="F9065" s="0" t="s">
        <v>270</v>
      </c>
      <c r="I9065" s="0" t="n">
        <v>15417</v>
      </c>
      <c r="J9065" s="0" t="n">
        <v>78040</v>
      </c>
      <c r="K9065" s="0" t="n">
        <v>780414</v>
      </c>
      <c r="L9065" s="0" t="s">
        <v>5594</v>
      </c>
      <c r="N9065" s="0" t="n">
        <v>19.4</v>
      </c>
      <c r="O9065" s="0" t="n">
        <v>407.4</v>
      </c>
      <c r="P9065" s="0" t="s">
        <v>2444</v>
      </c>
    </row>
    <row r="9066" customFormat="false" ht="15" hidden="false" customHeight="true" outlineLevel="0" collapsed="false">
      <c r="A9066" s="0" t="n">
        <v>2</v>
      </c>
      <c r="B9066" s="71" t="n">
        <v>46286</v>
      </c>
      <c r="C9066" s="0" t="n">
        <v>11</v>
      </c>
      <c r="D9066" s="0" t="s">
        <v>2471</v>
      </c>
      <c r="E9066" s="0" t="n">
        <v>1678</v>
      </c>
      <c r="F9066" s="0" t="s">
        <v>840</v>
      </c>
      <c r="I9066" s="0" t="n">
        <v>165649</v>
      </c>
      <c r="J9066" s="0" t="n">
        <v>15397</v>
      </c>
      <c r="K9066" s="0" t="n">
        <v>7898927045012</v>
      </c>
      <c r="L9066" s="0" t="s">
        <v>5595</v>
      </c>
      <c r="N9066" s="0" t="n">
        <v>45</v>
      </c>
      <c r="O9066" s="0" t="n">
        <v>177</v>
      </c>
      <c r="P9066" s="0" t="s">
        <v>2444</v>
      </c>
    </row>
    <row r="9067" customFormat="false" ht="15" hidden="false" customHeight="true" outlineLevel="0" collapsed="false">
      <c r="A9067" s="0" t="n">
        <v>2</v>
      </c>
      <c r="B9067" s="71" t="n">
        <v>46286</v>
      </c>
      <c r="C9067" s="0" t="n">
        <v>11</v>
      </c>
      <c r="D9067" s="0" t="s">
        <v>2471</v>
      </c>
      <c r="E9067" s="0" t="n">
        <v>1740</v>
      </c>
      <c r="F9067" s="0" t="s">
        <v>468</v>
      </c>
      <c r="I9067" s="0" t="n">
        <v>1272675</v>
      </c>
      <c r="J9067" s="0" t="n">
        <v>63508</v>
      </c>
      <c r="K9067" s="0" t="n">
        <v>7891164110697</v>
      </c>
      <c r="L9067" s="0" t="s">
        <v>5596</v>
      </c>
      <c r="N9067" s="0" t="n">
        <v>16</v>
      </c>
      <c r="O9067" s="0" t="n">
        <v>113.25</v>
      </c>
      <c r="P9067" s="0" t="s">
        <v>2444</v>
      </c>
    </row>
    <row r="9068" customFormat="false" ht="15" hidden="false" customHeight="true" outlineLevel="0" collapsed="false">
      <c r="A9068" s="0" t="n">
        <v>2</v>
      </c>
      <c r="B9068" s="71" t="n">
        <v>46286</v>
      </c>
      <c r="C9068" s="0" t="n">
        <v>11</v>
      </c>
      <c r="D9068" s="0" t="s">
        <v>2471</v>
      </c>
      <c r="E9068" s="0" t="n">
        <v>1740</v>
      </c>
      <c r="F9068" s="0" t="s">
        <v>468</v>
      </c>
      <c r="I9068" s="0" t="n">
        <v>1272675</v>
      </c>
      <c r="J9068" s="0" t="n">
        <v>67267</v>
      </c>
      <c r="K9068" s="0" t="n">
        <v>7891164110642</v>
      </c>
      <c r="L9068" s="0" t="s">
        <v>4354</v>
      </c>
      <c r="N9068" s="0" t="n">
        <v>16</v>
      </c>
      <c r="O9068" s="0" t="n">
        <v>104.03</v>
      </c>
      <c r="P9068" s="0" t="s">
        <v>2444</v>
      </c>
    </row>
    <row r="9069" customFormat="false" ht="15" hidden="false" customHeight="true" outlineLevel="0" collapsed="false">
      <c r="A9069" s="0" t="n">
        <v>2</v>
      </c>
      <c r="B9069" s="71" t="n">
        <v>46286</v>
      </c>
      <c r="C9069" s="0" t="n">
        <v>11</v>
      </c>
      <c r="D9069" s="0" t="s">
        <v>2471</v>
      </c>
      <c r="E9069" s="0" t="n">
        <v>1740</v>
      </c>
      <c r="F9069" s="0" t="s">
        <v>468</v>
      </c>
      <c r="I9069" s="0" t="n">
        <v>1272675</v>
      </c>
      <c r="J9069" s="0" t="n">
        <v>72544</v>
      </c>
      <c r="K9069" s="0" t="n">
        <v>7891164110741</v>
      </c>
      <c r="L9069" s="0" t="s">
        <v>4355</v>
      </c>
      <c r="N9069" s="0" t="n">
        <v>16</v>
      </c>
      <c r="O9069" s="0" t="n">
        <v>115.2</v>
      </c>
      <c r="P9069" s="0" t="s">
        <v>2444</v>
      </c>
    </row>
    <row r="9070" customFormat="false" ht="15" hidden="false" customHeight="true" outlineLevel="0" collapsed="false">
      <c r="A9070" s="0" t="n">
        <v>2</v>
      </c>
      <c r="B9070" s="71" t="n">
        <v>46286</v>
      </c>
      <c r="C9070" s="0" t="n">
        <v>11</v>
      </c>
      <c r="D9070" s="0" t="s">
        <v>2471</v>
      </c>
      <c r="E9070" s="0" t="n">
        <v>1740</v>
      </c>
      <c r="F9070" s="0" t="s">
        <v>468</v>
      </c>
      <c r="I9070" s="0" t="n">
        <v>1272675</v>
      </c>
      <c r="J9070" s="0" t="n">
        <v>75846</v>
      </c>
      <c r="K9070" s="0" t="n">
        <v>7891164110758</v>
      </c>
      <c r="L9070" s="0" t="s">
        <v>4355</v>
      </c>
      <c r="N9070" s="0" t="n">
        <v>16</v>
      </c>
      <c r="O9070" s="0" t="n">
        <v>114.99</v>
      </c>
      <c r="P9070" s="0" t="s">
        <v>2444</v>
      </c>
    </row>
    <row r="9071" customFormat="false" ht="15" hidden="false" customHeight="true" outlineLevel="0" collapsed="false">
      <c r="A9071" s="0" t="n">
        <v>2</v>
      </c>
      <c r="B9071" s="71" t="n">
        <v>46286</v>
      </c>
      <c r="C9071" s="0" t="n">
        <v>11</v>
      </c>
      <c r="D9071" s="0" t="s">
        <v>2471</v>
      </c>
      <c r="E9071" s="0" t="n">
        <v>1683</v>
      </c>
      <c r="F9071" s="0" t="s">
        <v>406</v>
      </c>
      <c r="I9071" s="0" t="n">
        <v>1683099</v>
      </c>
      <c r="J9071" s="0" t="n">
        <v>37359</v>
      </c>
      <c r="K9071" s="0" t="n">
        <v>55526</v>
      </c>
      <c r="L9071" s="0" t="s">
        <v>2466</v>
      </c>
      <c r="N9071" s="0" t="n">
        <v>5</v>
      </c>
      <c r="O9071" s="0" t="n">
        <v>25</v>
      </c>
      <c r="P9071" s="0" t="s">
        <v>2444</v>
      </c>
    </row>
    <row r="9072" customFormat="false" ht="15" hidden="false" customHeight="true" outlineLevel="0" collapsed="false">
      <c r="A9072" s="0" t="n">
        <v>2</v>
      </c>
      <c r="B9072" s="71" t="n">
        <v>46286</v>
      </c>
      <c r="C9072" s="0" t="n">
        <v>11</v>
      </c>
      <c r="D9072" s="0" t="s">
        <v>2471</v>
      </c>
      <c r="E9072" s="0" t="n">
        <v>1683</v>
      </c>
      <c r="F9072" s="0" t="s">
        <v>406</v>
      </c>
      <c r="I9072" s="0" t="n">
        <v>1683099</v>
      </c>
      <c r="J9072" s="0" t="n">
        <v>37361</v>
      </c>
      <c r="K9072" s="0" t="n">
        <v>2240817</v>
      </c>
      <c r="L9072" s="0" t="s">
        <v>2467</v>
      </c>
      <c r="N9072" s="0" t="n">
        <v>50</v>
      </c>
      <c r="O9072" s="0" t="n">
        <v>90</v>
      </c>
      <c r="P9072" s="0" t="s">
        <v>2444</v>
      </c>
    </row>
    <row r="9073" customFormat="false" ht="15" hidden="false" customHeight="true" outlineLevel="0" collapsed="false">
      <c r="A9073" s="0" t="n">
        <v>2</v>
      </c>
      <c r="B9073" s="71" t="n">
        <v>46286</v>
      </c>
      <c r="C9073" s="0" t="n">
        <v>11</v>
      </c>
      <c r="D9073" s="0" t="s">
        <v>2471</v>
      </c>
      <c r="E9073" s="0" t="n">
        <v>1608</v>
      </c>
      <c r="F9073" s="0" t="s">
        <v>240</v>
      </c>
      <c r="I9073" s="0" t="n">
        <v>1732186</v>
      </c>
      <c r="J9073" s="0" t="n">
        <v>50232</v>
      </c>
      <c r="K9073" s="0" t="n">
        <v>7891025123057</v>
      </c>
      <c r="L9073" s="0" t="s">
        <v>2639</v>
      </c>
      <c r="N9073" s="0" t="n">
        <v>4</v>
      </c>
      <c r="O9073" s="0" t="n">
        <v>10.52</v>
      </c>
      <c r="P9073" s="0" t="s">
        <v>2444</v>
      </c>
    </row>
    <row r="9074" customFormat="false" ht="15" hidden="false" customHeight="true" outlineLevel="0" collapsed="false">
      <c r="A9074" s="0" t="n">
        <v>2</v>
      </c>
      <c r="B9074" s="71" t="n">
        <v>46286</v>
      </c>
      <c r="C9074" s="0" t="n">
        <v>11</v>
      </c>
      <c r="D9074" s="0" t="s">
        <v>2471</v>
      </c>
      <c r="E9074" s="0" t="n">
        <v>1608</v>
      </c>
      <c r="F9074" s="0" t="s">
        <v>240</v>
      </c>
      <c r="I9074" s="0" t="n">
        <v>1732186</v>
      </c>
      <c r="J9074" s="0" t="n">
        <v>20479</v>
      </c>
      <c r="K9074" s="0" t="n">
        <v>7891025101161</v>
      </c>
      <c r="L9074" s="0" t="s">
        <v>2641</v>
      </c>
      <c r="N9074" s="0" t="n">
        <v>4</v>
      </c>
      <c r="O9074" s="0" t="n">
        <v>13.24</v>
      </c>
      <c r="P9074" s="0" t="s">
        <v>2444</v>
      </c>
    </row>
    <row r="9075" customFormat="false" ht="15" hidden="false" customHeight="true" outlineLevel="0" collapsed="false">
      <c r="A9075" s="0" t="n">
        <v>2</v>
      </c>
      <c r="B9075" s="71" t="n">
        <v>46286</v>
      </c>
      <c r="C9075" s="0" t="n">
        <v>11</v>
      </c>
      <c r="D9075" s="0" t="s">
        <v>2471</v>
      </c>
      <c r="E9075" s="0" t="n">
        <v>1608</v>
      </c>
      <c r="F9075" s="0" t="s">
        <v>240</v>
      </c>
      <c r="I9075" s="0" t="n">
        <v>1732186</v>
      </c>
      <c r="J9075" s="0" t="n">
        <v>20522</v>
      </c>
      <c r="K9075" s="0" t="n">
        <v>7891025106067</v>
      </c>
      <c r="L9075" s="0" t="s">
        <v>2642</v>
      </c>
      <c r="N9075" s="0" t="n">
        <v>6</v>
      </c>
      <c r="O9075" s="0" t="n">
        <v>17.1</v>
      </c>
      <c r="P9075" s="0" t="s">
        <v>2444</v>
      </c>
    </row>
    <row r="9076" customFormat="false" ht="15" hidden="false" customHeight="true" outlineLevel="0" collapsed="false">
      <c r="A9076" s="0" t="n">
        <v>2</v>
      </c>
      <c r="B9076" s="71" t="n">
        <v>46286</v>
      </c>
      <c r="C9076" s="0" t="n">
        <v>11</v>
      </c>
      <c r="D9076" s="0" t="s">
        <v>2471</v>
      </c>
      <c r="E9076" s="0" t="n">
        <v>1608</v>
      </c>
      <c r="F9076" s="0" t="s">
        <v>240</v>
      </c>
      <c r="I9076" s="0" t="n">
        <v>1732186</v>
      </c>
      <c r="J9076" s="0" t="n">
        <v>24123</v>
      </c>
      <c r="K9076" s="0" t="n">
        <v>7891025109396</v>
      </c>
      <c r="L9076" s="0" t="s">
        <v>2643</v>
      </c>
      <c r="N9076" s="0" t="n">
        <v>4</v>
      </c>
      <c r="O9076" s="0" t="n">
        <v>13.44</v>
      </c>
      <c r="P9076" s="0" t="s">
        <v>2444</v>
      </c>
    </row>
    <row r="9077" customFormat="false" ht="15" hidden="false" customHeight="true" outlineLevel="0" collapsed="false">
      <c r="A9077" s="0" t="n">
        <v>2</v>
      </c>
      <c r="B9077" s="71" t="n">
        <v>46286</v>
      </c>
      <c r="C9077" s="0" t="n">
        <v>11</v>
      </c>
      <c r="D9077" s="0" t="s">
        <v>2471</v>
      </c>
      <c r="E9077" s="0" t="n">
        <v>1608</v>
      </c>
      <c r="F9077" s="0" t="s">
        <v>240</v>
      </c>
      <c r="I9077" s="0" t="n">
        <v>1732186</v>
      </c>
      <c r="J9077" s="0" t="n">
        <v>24196</v>
      </c>
      <c r="K9077" s="0" t="n">
        <v>7891025109884</v>
      </c>
      <c r="L9077" s="0" t="s">
        <v>2645</v>
      </c>
      <c r="N9077" s="0" t="n">
        <v>3</v>
      </c>
      <c r="O9077" s="0" t="n">
        <v>26.4</v>
      </c>
      <c r="P9077" s="0" t="s">
        <v>2444</v>
      </c>
    </row>
    <row r="9078" customFormat="false" ht="15" hidden="false" customHeight="true" outlineLevel="0" collapsed="false">
      <c r="A9078" s="0" t="n">
        <v>2</v>
      </c>
      <c r="B9078" s="71" t="n">
        <v>46286</v>
      </c>
      <c r="C9078" s="0" t="n">
        <v>11</v>
      </c>
      <c r="D9078" s="0" t="s">
        <v>2471</v>
      </c>
      <c r="E9078" s="0" t="n">
        <v>1608</v>
      </c>
      <c r="F9078" s="0" t="s">
        <v>240</v>
      </c>
      <c r="I9078" s="0" t="n">
        <v>1732186</v>
      </c>
      <c r="J9078" s="0" t="n">
        <v>29446</v>
      </c>
      <c r="K9078" s="0" t="n">
        <v>7891025116790</v>
      </c>
      <c r="L9078" s="0" t="s">
        <v>4623</v>
      </c>
      <c r="N9078" s="0" t="n">
        <v>3</v>
      </c>
      <c r="O9078" s="0" t="n">
        <v>25.32</v>
      </c>
      <c r="P9078" s="0" t="s">
        <v>2444</v>
      </c>
    </row>
    <row r="9079" customFormat="false" ht="15" hidden="false" customHeight="true" outlineLevel="0" collapsed="false">
      <c r="A9079" s="0" t="n">
        <v>2</v>
      </c>
      <c r="B9079" s="71" t="n">
        <v>46286</v>
      </c>
      <c r="C9079" s="0" t="n">
        <v>11</v>
      </c>
      <c r="D9079" s="0" t="s">
        <v>2471</v>
      </c>
      <c r="E9079" s="0" t="n">
        <v>1608</v>
      </c>
      <c r="F9079" s="0" t="s">
        <v>240</v>
      </c>
      <c r="I9079" s="0" t="n">
        <v>1732186</v>
      </c>
      <c r="J9079" s="0" t="n">
        <v>31551</v>
      </c>
      <c r="K9079" s="0" t="n">
        <v>7891025117742</v>
      </c>
      <c r="L9079" s="0" t="s">
        <v>2521</v>
      </c>
      <c r="N9079" s="0" t="n">
        <v>2</v>
      </c>
      <c r="O9079" s="0" t="n">
        <v>10.92</v>
      </c>
      <c r="P9079" s="0" t="s">
        <v>2444</v>
      </c>
    </row>
    <row r="9080" customFormat="false" ht="15" hidden="false" customHeight="true" outlineLevel="0" collapsed="false">
      <c r="A9080" s="0" t="n">
        <v>2</v>
      </c>
      <c r="B9080" s="71" t="n">
        <v>46286</v>
      </c>
      <c r="C9080" s="0" t="n">
        <v>11</v>
      </c>
      <c r="D9080" s="0" t="s">
        <v>2471</v>
      </c>
      <c r="E9080" s="0" t="n">
        <v>1608</v>
      </c>
      <c r="F9080" s="0" t="s">
        <v>240</v>
      </c>
      <c r="I9080" s="0" t="n">
        <v>1732186</v>
      </c>
      <c r="J9080" s="0" t="n">
        <v>35359</v>
      </c>
      <c r="K9080" s="0" t="n">
        <v>7891025119869</v>
      </c>
      <c r="L9080" s="0" t="s">
        <v>2651</v>
      </c>
      <c r="N9080" s="0" t="n">
        <v>2</v>
      </c>
      <c r="O9080" s="0" t="n">
        <v>25.62</v>
      </c>
      <c r="P9080" s="0" t="s">
        <v>2444</v>
      </c>
    </row>
    <row r="9081" customFormat="false" ht="15" hidden="false" customHeight="true" outlineLevel="0" collapsed="false">
      <c r="A9081" s="0" t="n">
        <v>2</v>
      </c>
      <c r="B9081" s="71" t="n">
        <v>46286</v>
      </c>
      <c r="C9081" s="0" t="n">
        <v>11</v>
      </c>
      <c r="D9081" s="0" t="s">
        <v>2471</v>
      </c>
      <c r="E9081" s="0" t="n">
        <v>1608</v>
      </c>
      <c r="F9081" s="0" t="s">
        <v>240</v>
      </c>
      <c r="I9081" s="0" t="n">
        <v>1732186</v>
      </c>
      <c r="J9081" s="0" t="n">
        <v>35841</v>
      </c>
      <c r="K9081" s="0" t="n">
        <v>7891025120223</v>
      </c>
      <c r="L9081" s="0" t="s">
        <v>2988</v>
      </c>
      <c r="N9081" s="0" t="n">
        <v>4</v>
      </c>
      <c r="O9081" s="0" t="n">
        <v>15.2</v>
      </c>
      <c r="P9081" s="0" t="s">
        <v>2444</v>
      </c>
    </row>
    <row r="9082" customFormat="false" ht="15" hidden="false" customHeight="true" outlineLevel="0" collapsed="false">
      <c r="A9082" s="0" t="n">
        <v>2</v>
      </c>
      <c r="B9082" s="71" t="n">
        <v>46286</v>
      </c>
      <c r="C9082" s="0" t="n">
        <v>11</v>
      </c>
      <c r="D9082" s="0" t="s">
        <v>2471</v>
      </c>
      <c r="E9082" s="0" t="n">
        <v>1608</v>
      </c>
      <c r="F9082" s="0" t="s">
        <v>240</v>
      </c>
      <c r="I9082" s="0" t="n">
        <v>1732186</v>
      </c>
      <c r="J9082" s="0" t="n">
        <v>35842</v>
      </c>
      <c r="K9082" s="0" t="n">
        <v>7891025120230</v>
      </c>
      <c r="L9082" s="0" t="s">
        <v>2522</v>
      </c>
      <c r="N9082" s="0" t="n">
        <v>6</v>
      </c>
      <c r="O9082" s="0" t="n">
        <v>22.8</v>
      </c>
      <c r="P9082" s="0" t="s">
        <v>2444</v>
      </c>
    </row>
    <row r="9083" customFormat="false" ht="15" hidden="false" customHeight="true" outlineLevel="0" collapsed="false">
      <c r="A9083" s="0" t="n">
        <v>2</v>
      </c>
      <c r="B9083" s="71" t="n">
        <v>46286</v>
      </c>
      <c r="C9083" s="0" t="n">
        <v>11</v>
      </c>
      <c r="D9083" s="0" t="s">
        <v>2471</v>
      </c>
      <c r="E9083" s="0" t="n">
        <v>1608</v>
      </c>
      <c r="F9083" s="0" t="s">
        <v>240</v>
      </c>
      <c r="I9083" s="0" t="n">
        <v>1732186</v>
      </c>
      <c r="J9083" s="0" t="n">
        <v>37024</v>
      </c>
      <c r="K9083" s="0" t="n">
        <v>7891025121251</v>
      </c>
      <c r="L9083" s="0" t="s">
        <v>2523</v>
      </c>
      <c r="N9083" s="0" t="n">
        <v>2</v>
      </c>
      <c r="O9083" s="0" t="n">
        <v>7.6</v>
      </c>
      <c r="P9083" s="0" t="s">
        <v>2444</v>
      </c>
    </row>
    <row r="9084" customFormat="false" ht="15" hidden="false" customHeight="true" outlineLevel="0" collapsed="false">
      <c r="A9084" s="0" t="n">
        <v>2</v>
      </c>
      <c r="B9084" s="71" t="n">
        <v>46286</v>
      </c>
      <c r="C9084" s="0" t="n">
        <v>11</v>
      </c>
      <c r="D9084" s="0" t="s">
        <v>2471</v>
      </c>
      <c r="E9084" s="0" t="n">
        <v>1608</v>
      </c>
      <c r="F9084" s="0" t="s">
        <v>240</v>
      </c>
      <c r="I9084" s="0" t="n">
        <v>1732186</v>
      </c>
      <c r="J9084" s="0" t="n">
        <v>37051</v>
      </c>
      <c r="K9084" s="0" t="n">
        <v>7891025121244</v>
      </c>
      <c r="L9084" s="0" t="s">
        <v>4815</v>
      </c>
      <c r="N9084" s="0" t="n">
        <v>2</v>
      </c>
      <c r="O9084" s="0" t="n">
        <v>7.6</v>
      </c>
      <c r="P9084" s="0" t="s">
        <v>2444</v>
      </c>
    </row>
    <row r="9085" customFormat="false" ht="15" hidden="false" customHeight="true" outlineLevel="0" collapsed="false">
      <c r="A9085" s="0" t="n">
        <v>2</v>
      </c>
      <c r="B9085" s="71" t="n">
        <v>46286</v>
      </c>
      <c r="C9085" s="0" t="n">
        <v>11</v>
      </c>
      <c r="D9085" s="0" t="s">
        <v>2471</v>
      </c>
      <c r="E9085" s="0" t="n">
        <v>1608</v>
      </c>
      <c r="F9085" s="0" t="s">
        <v>240</v>
      </c>
      <c r="I9085" s="0" t="n">
        <v>1732186</v>
      </c>
      <c r="J9085" s="0" t="n">
        <v>37558</v>
      </c>
      <c r="K9085" s="0" t="n">
        <v>7891025101376</v>
      </c>
      <c r="L9085" s="0" t="s">
        <v>2652</v>
      </c>
      <c r="N9085" s="0" t="n">
        <v>6</v>
      </c>
      <c r="O9085" s="0" t="n">
        <v>19.86</v>
      </c>
      <c r="P9085" s="0" t="s">
        <v>2444</v>
      </c>
    </row>
    <row r="9086" customFormat="false" ht="15" hidden="false" customHeight="true" outlineLevel="0" collapsed="false">
      <c r="A9086" s="0" t="n">
        <v>2</v>
      </c>
      <c r="B9086" s="71" t="n">
        <v>46286</v>
      </c>
      <c r="C9086" s="0" t="n">
        <v>11</v>
      </c>
      <c r="D9086" s="0" t="s">
        <v>2471</v>
      </c>
      <c r="E9086" s="0" t="n">
        <v>1608</v>
      </c>
      <c r="F9086" s="0" t="s">
        <v>240</v>
      </c>
      <c r="I9086" s="0" t="n">
        <v>1732186</v>
      </c>
      <c r="J9086" s="0" t="n">
        <v>50664</v>
      </c>
      <c r="K9086" s="0" t="n">
        <v>7891025123064</v>
      </c>
      <c r="L9086" s="0" t="s">
        <v>3881</v>
      </c>
      <c r="N9086" s="0" t="n">
        <v>4</v>
      </c>
      <c r="O9086" s="0" t="n">
        <v>10.52</v>
      </c>
      <c r="P9086" s="0" t="s">
        <v>2444</v>
      </c>
    </row>
    <row r="9087" customFormat="false" ht="15" hidden="false" customHeight="true" outlineLevel="0" collapsed="false">
      <c r="A9087" s="0" t="n">
        <v>2</v>
      </c>
      <c r="B9087" s="71" t="n">
        <v>46286</v>
      </c>
      <c r="C9087" s="0" t="n">
        <v>11</v>
      </c>
      <c r="D9087" s="0" t="s">
        <v>2471</v>
      </c>
      <c r="E9087" s="0" t="n">
        <v>1608</v>
      </c>
      <c r="F9087" s="0" t="s">
        <v>240</v>
      </c>
      <c r="I9087" s="0" t="n">
        <v>1732186</v>
      </c>
      <c r="J9087" s="0" t="n">
        <v>69612</v>
      </c>
      <c r="K9087" s="0" t="n">
        <v>7891025123453</v>
      </c>
      <c r="L9087" s="0" t="s">
        <v>2525</v>
      </c>
      <c r="N9087" s="0" t="n">
        <v>3</v>
      </c>
      <c r="O9087" s="0" t="n">
        <v>37.98</v>
      </c>
      <c r="P9087" s="0" t="s">
        <v>2444</v>
      </c>
    </row>
    <row r="9088" customFormat="false" ht="15" hidden="false" customHeight="true" outlineLevel="0" collapsed="false">
      <c r="A9088" s="0" t="n">
        <v>2</v>
      </c>
      <c r="B9088" s="71" t="n">
        <v>46286</v>
      </c>
      <c r="C9088" s="0" t="n">
        <v>11</v>
      </c>
      <c r="D9088" s="0" t="s">
        <v>2471</v>
      </c>
      <c r="E9088" s="0" t="n">
        <v>1608</v>
      </c>
      <c r="F9088" s="0" t="s">
        <v>240</v>
      </c>
      <c r="I9088" s="0" t="n">
        <v>1732186</v>
      </c>
      <c r="J9088" s="0" t="n">
        <v>69613</v>
      </c>
      <c r="K9088" s="0" t="n">
        <v>7891025123460</v>
      </c>
      <c r="L9088" s="0" t="s">
        <v>2526</v>
      </c>
      <c r="N9088" s="0" t="n">
        <v>2</v>
      </c>
      <c r="O9088" s="0" t="n">
        <v>25.32</v>
      </c>
      <c r="P9088" s="0" t="s">
        <v>2444</v>
      </c>
    </row>
    <row r="9089" customFormat="false" ht="15" hidden="false" customHeight="true" outlineLevel="0" collapsed="false">
      <c r="A9089" s="0" t="n">
        <v>2</v>
      </c>
      <c r="B9089" s="71" t="n">
        <v>46286</v>
      </c>
      <c r="C9089" s="0" t="n">
        <v>11</v>
      </c>
      <c r="D9089" s="0" t="s">
        <v>2471</v>
      </c>
      <c r="E9089" s="0" t="n">
        <v>1608</v>
      </c>
      <c r="F9089" s="0" t="s">
        <v>240</v>
      </c>
      <c r="I9089" s="0" t="n">
        <v>1732186</v>
      </c>
      <c r="J9089" s="0" t="n">
        <v>69614</v>
      </c>
      <c r="K9089" s="0" t="n">
        <v>7891025123477</v>
      </c>
      <c r="L9089" s="0" t="s">
        <v>2527</v>
      </c>
      <c r="N9089" s="0" t="n">
        <v>2</v>
      </c>
      <c r="O9089" s="0" t="n">
        <v>25.32</v>
      </c>
      <c r="P9089" s="0" t="s">
        <v>2444</v>
      </c>
    </row>
    <row r="9090" customFormat="false" ht="15" hidden="false" customHeight="true" outlineLevel="0" collapsed="false">
      <c r="A9090" s="0" t="n">
        <v>2</v>
      </c>
      <c r="B9090" s="71" t="n">
        <v>46286</v>
      </c>
      <c r="C9090" s="0" t="n">
        <v>11</v>
      </c>
      <c r="D9090" s="0" t="s">
        <v>2471</v>
      </c>
      <c r="E9090" s="0" t="n">
        <v>1608</v>
      </c>
      <c r="F9090" s="0" t="s">
        <v>240</v>
      </c>
      <c r="I9090" s="0" t="n">
        <v>1732186</v>
      </c>
      <c r="J9090" s="0" t="n">
        <v>80307</v>
      </c>
      <c r="K9090" s="0" t="n">
        <v>7891025125372</v>
      </c>
      <c r="L9090" s="0" t="s">
        <v>2992</v>
      </c>
      <c r="N9090" s="0" t="n">
        <v>2</v>
      </c>
      <c r="O9090" s="0" t="n">
        <v>31.74</v>
      </c>
      <c r="P9090" s="0" t="s">
        <v>2444</v>
      </c>
    </row>
    <row r="9091" customFormat="false" ht="15" hidden="false" customHeight="true" outlineLevel="0" collapsed="false">
      <c r="A9091" s="0" t="n">
        <v>2</v>
      </c>
      <c r="B9091" s="71" t="n">
        <v>46286</v>
      </c>
      <c r="C9091" s="0" t="n">
        <v>11</v>
      </c>
      <c r="D9091" s="0" t="s">
        <v>2471</v>
      </c>
      <c r="E9091" s="0" t="n">
        <v>1608</v>
      </c>
      <c r="F9091" s="0" t="s">
        <v>240</v>
      </c>
      <c r="I9091" s="0" t="n">
        <v>1732186</v>
      </c>
      <c r="J9091" s="0" t="n">
        <v>80680</v>
      </c>
      <c r="K9091" s="0" t="n">
        <v>7891025125488</v>
      </c>
      <c r="L9091" s="0" t="s">
        <v>2531</v>
      </c>
      <c r="N9091" s="0" t="n">
        <v>2</v>
      </c>
      <c r="O9091" s="0" t="n">
        <v>5.68</v>
      </c>
      <c r="P9091" s="0" t="s">
        <v>2444</v>
      </c>
    </row>
    <row r="9092" customFormat="false" ht="15" hidden="false" customHeight="true" outlineLevel="0" collapsed="false">
      <c r="A9092" s="0" t="n">
        <v>2</v>
      </c>
      <c r="B9092" s="71" t="n">
        <v>46286</v>
      </c>
      <c r="C9092" s="0" t="n">
        <v>11</v>
      </c>
      <c r="D9092" s="0" t="s">
        <v>2471</v>
      </c>
      <c r="E9092" s="0" t="n">
        <v>1608</v>
      </c>
      <c r="F9092" s="0" t="s">
        <v>240</v>
      </c>
      <c r="I9092" s="0" t="n">
        <v>1732186</v>
      </c>
      <c r="J9092" s="0" t="n">
        <v>80681</v>
      </c>
      <c r="K9092" s="0" t="n">
        <v>7891025125495</v>
      </c>
      <c r="L9092" s="0" t="s">
        <v>2532</v>
      </c>
      <c r="N9092" s="0" t="n">
        <v>4</v>
      </c>
      <c r="O9092" s="0" t="n">
        <v>11.36</v>
      </c>
      <c r="P9092" s="0" t="s">
        <v>2444</v>
      </c>
    </row>
    <row r="9093" customFormat="false" ht="15" hidden="false" customHeight="true" outlineLevel="0" collapsed="false">
      <c r="A9093" s="0" t="n">
        <v>2</v>
      </c>
      <c r="B9093" s="71" t="n">
        <v>46286</v>
      </c>
      <c r="C9093" s="0" t="n">
        <v>11</v>
      </c>
      <c r="D9093" s="0" t="s">
        <v>2471</v>
      </c>
      <c r="E9093" s="0" t="n">
        <v>1608</v>
      </c>
      <c r="F9093" s="0" t="s">
        <v>240</v>
      </c>
      <c r="I9093" s="0" t="n">
        <v>1732186</v>
      </c>
      <c r="J9093" s="0" t="n">
        <v>81338</v>
      </c>
      <c r="K9093" s="0" t="n">
        <v>7891025125365</v>
      </c>
      <c r="L9093" s="0" t="s">
        <v>2994</v>
      </c>
      <c r="N9093" s="0" t="n">
        <v>2</v>
      </c>
      <c r="O9093" s="0" t="n">
        <v>31.74</v>
      </c>
      <c r="P9093" s="0" t="s">
        <v>2444</v>
      </c>
    </row>
    <row r="9094" customFormat="false" ht="15" hidden="false" customHeight="true" outlineLevel="0" collapsed="false">
      <c r="A9094" s="0" t="n">
        <v>2</v>
      </c>
      <c r="B9094" s="71" t="n">
        <v>46286</v>
      </c>
      <c r="C9094" s="0" t="n">
        <v>11</v>
      </c>
      <c r="D9094" s="0" t="s">
        <v>2471</v>
      </c>
      <c r="E9094" s="0" t="n">
        <v>1637</v>
      </c>
      <c r="F9094" s="0" t="s">
        <v>871</v>
      </c>
      <c r="I9094" s="0" t="n">
        <v>1934563</v>
      </c>
      <c r="J9094" s="0" t="n">
        <v>15013</v>
      </c>
      <c r="K9094" s="0" t="n">
        <v>7897395040307</v>
      </c>
      <c r="L9094" s="0" t="s">
        <v>2772</v>
      </c>
      <c r="N9094" s="0" t="n">
        <v>375</v>
      </c>
      <c r="O9094" s="0" t="n">
        <v>896.25</v>
      </c>
      <c r="P9094" s="0" t="s">
        <v>2444</v>
      </c>
    </row>
    <row r="9095" customFormat="false" ht="15" hidden="false" customHeight="true" outlineLevel="0" collapsed="false">
      <c r="A9095" s="0" t="n">
        <v>2</v>
      </c>
      <c r="B9095" s="71" t="n">
        <v>46286</v>
      </c>
      <c r="C9095" s="0" t="n">
        <v>11</v>
      </c>
      <c r="D9095" s="0" t="s">
        <v>2471</v>
      </c>
      <c r="E9095" s="0" t="n">
        <v>1637</v>
      </c>
      <c r="F9095" s="0" t="s">
        <v>871</v>
      </c>
      <c r="I9095" s="0" t="n">
        <v>1934564</v>
      </c>
      <c r="J9095" s="0" t="n">
        <v>15013</v>
      </c>
      <c r="K9095" s="0" t="n">
        <v>7897395040307</v>
      </c>
      <c r="L9095" s="0" t="s">
        <v>2772</v>
      </c>
      <c r="N9095" s="0" t="n">
        <v>375</v>
      </c>
      <c r="O9095" s="0" t="n">
        <v>896.25</v>
      </c>
      <c r="P9095" s="0" t="s">
        <v>2444</v>
      </c>
    </row>
    <row r="9096" customFormat="false" ht="15" hidden="false" customHeight="true" outlineLevel="0" collapsed="false">
      <c r="A9096" s="0" t="n">
        <v>2</v>
      </c>
      <c r="B9096" s="71" t="n">
        <v>46286</v>
      </c>
      <c r="C9096" s="0" t="n">
        <v>22</v>
      </c>
      <c r="D9096" s="0" t="s">
        <v>2479</v>
      </c>
      <c r="E9096" s="0" t="n">
        <v>48</v>
      </c>
      <c r="F9096" s="0" t="s">
        <v>153</v>
      </c>
      <c r="I9096" s="0" t="n">
        <v>2688</v>
      </c>
      <c r="J9096" s="0" t="n">
        <v>100000</v>
      </c>
      <c r="K9096" s="0" t="n">
        <v>1</v>
      </c>
      <c r="L9096" s="0" t="s">
        <v>2480</v>
      </c>
      <c r="N9096" s="0" t="n">
        <v>3.4</v>
      </c>
      <c r="O9096" s="0" t="n">
        <v>61.31</v>
      </c>
      <c r="P9096" s="0" t="s">
        <v>2444</v>
      </c>
    </row>
    <row r="9097" customFormat="false" ht="15" hidden="false" customHeight="true" outlineLevel="0" collapsed="false">
      <c r="A9097" s="0" t="n">
        <v>2</v>
      </c>
      <c r="B9097" s="71" t="n">
        <v>46286</v>
      </c>
      <c r="C9097" s="0" t="n">
        <v>22</v>
      </c>
      <c r="D9097" s="0" t="s">
        <v>2479</v>
      </c>
      <c r="E9097" s="0" t="n">
        <v>48</v>
      </c>
      <c r="F9097" s="0" t="s">
        <v>153</v>
      </c>
      <c r="I9097" s="0" t="n">
        <v>2688</v>
      </c>
      <c r="J9097" s="0" t="n">
        <v>100000</v>
      </c>
      <c r="K9097" s="0" t="n">
        <v>1</v>
      </c>
      <c r="L9097" s="0" t="s">
        <v>2480</v>
      </c>
      <c r="N9097" s="0" t="n">
        <v>3.09</v>
      </c>
      <c r="O9097" s="0" t="n">
        <v>62.23</v>
      </c>
      <c r="P9097" s="0" t="s">
        <v>2444</v>
      </c>
    </row>
    <row r="9098" customFormat="false" ht="15" hidden="false" customHeight="true" outlineLevel="0" collapsed="false">
      <c r="A9098" s="0" t="n">
        <v>2</v>
      </c>
      <c r="B9098" s="71" t="n">
        <v>46286</v>
      </c>
      <c r="C9098" s="0" t="n">
        <v>22</v>
      </c>
      <c r="D9098" s="0" t="s">
        <v>2479</v>
      </c>
      <c r="E9098" s="0" t="n">
        <v>48</v>
      </c>
      <c r="F9098" s="0" t="s">
        <v>153</v>
      </c>
      <c r="I9098" s="0" t="n">
        <v>2688</v>
      </c>
      <c r="J9098" s="0" t="n">
        <v>100001</v>
      </c>
      <c r="K9098" s="0" t="n">
        <v>2</v>
      </c>
      <c r="L9098" s="0" t="s">
        <v>2481</v>
      </c>
      <c r="N9098" s="0" t="n">
        <v>9</v>
      </c>
      <c r="O9098" s="0" t="n">
        <v>175.83</v>
      </c>
      <c r="P9098" s="0" t="s">
        <v>2444</v>
      </c>
    </row>
    <row r="9099" customFormat="false" ht="15" hidden="false" customHeight="true" outlineLevel="0" collapsed="false">
      <c r="A9099" s="0" t="n">
        <v>2</v>
      </c>
      <c r="B9099" s="71" t="n">
        <v>46286</v>
      </c>
      <c r="C9099" s="0" t="n">
        <v>22</v>
      </c>
      <c r="D9099" s="0" t="s">
        <v>2479</v>
      </c>
      <c r="E9099" s="0" t="n">
        <v>48</v>
      </c>
      <c r="F9099" s="0" t="s">
        <v>153</v>
      </c>
      <c r="I9099" s="0" t="n">
        <v>2688</v>
      </c>
      <c r="J9099" s="0" t="n">
        <v>100002</v>
      </c>
      <c r="K9099" s="0" t="n">
        <v>3</v>
      </c>
      <c r="L9099" s="0" t="s">
        <v>2482</v>
      </c>
      <c r="N9099" s="0" t="n">
        <v>21.6</v>
      </c>
      <c r="O9099" s="0" t="n">
        <v>486.95</v>
      </c>
      <c r="P9099" s="0" t="s">
        <v>2444</v>
      </c>
    </row>
    <row r="9100" customFormat="false" ht="15" hidden="false" customHeight="true" outlineLevel="0" collapsed="false">
      <c r="A9100" s="0" t="n">
        <v>2</v>
      </c>
      <c r="B9100" s="71" t="n">
        <v>46286</v>
      </c>
      <c r="C9100" s="0" t="n">
        <v>22</v>
      </c>
      <c r="D9100" s="0" t="s">
        <v>2479</v>
      </c>
      <c r="E9100" s="0" t="n">
        <v>48</v>
      </c>
      <c r="F9100" s="0" t="s">
        <v>153</v>
      </c>
      <c r="I9100" s="0" t="n">
        <v>2688</v>
      </c>
      <c r="J9100" s="0" t="n">
        <v>100003</v>
      </c>
      <c r="K9100" s="0" t="n">
        <v>4</v>
      </c>
      <c r="L9100" s="0" t="s">
        <v>2483</v>
      </c>
      <c r="N9100" s="0" t="n">
        <v>12.77</v>
      </c>
      <c r="O9100" s="0" t="n">
        <v>307.09</v>
      </c>
      <c r="P9100" s="0" t="s">
        <v>2444</v>
      </c>
    </row>
    <row r="9101" customFormat="false" ht="15" hidden="false" customHeight="true" outlineLevel="0" collapsed="false">
      <c r="A9101" s="0" t="n">
        <v>2</v>
      </c>
      <c r="B9101" s="71" t="n">
        <v>46286</v>
      </c>
      <c r="C9101" s="0" t="n">
        <v>22</v>
      </c>
      <c r="D9101" s="0" t="s">
        <v>2479</v>
      </c>
      <c r="E9101" s="0" t="n">
        <v>48</v>
      </c>
      <c r="F9101" s="0" t="s">
        <v>153</v>
      </c>
      <c r="I9101" s="0" t="n">
        <v>2688</v>
      </c>
      <c r="J9101" s="0" t="n">
        <v>100004</v>
      </c>
      <c r="K9101" s="0" t="n">
        <v>5</v>
      </c>
      <c r="L9101" s="0" t="s">
        <v>2484</v>
      </c>
      <c r="N9101" s="0" t="n">
        <v>45.4</v>
      </c>
      <c r="O9101" s="0" t="n">
        <v>953.4</v>
      </c>
      <c r="P9101" s="0" t="s">
        <v>2444</v>
      </c>
    </row>
    <row r="9102" customFormat="false" ht="15" hidden="false" customHeight="true" outlineLevel="0" collapsed="false">
      <c r="A9102" s="0" t="n">
        <v>2</v>
      </c>
      <c r="B9102" s="71" t="n">
        <v>46286</v>
      </c>
      <c r="C9102" s="0" t="n">
        <v>22</v>
      </c>
      <c r="D9102" s="0" t="s">
        <v>2479</v>
      </c>
      <c r="E9102" s="0" t="n">
        <v>48</v>
      </c>
      <c r="F9102" s="0" t="s">
        <v>153</v>
      </c>
      <c r="I9102" s="0" t="n">
        <v>2688</v>
      </c>
      <c r="J9102" s="0" t="n">
        <v>100004</v>
      </c>
      <c r="K9102" s="0" t="n">
        <v>5</v>
      </c>
      <c r="L9102" s="0" t="s">
        <v>2484</v>
      </c>
      <c r="N9102" s="0" t="n">
        <v>1.025</v>
      </c>
      <c r="O9102" s="0" t="n">
        <v>21.57</v>
      </c>
      <c r="P9102" s="0" t="s">
        <v>2444</v>
      </c>
    </row>
    <row r="9103" customFormat="false" ht="15" hidden="false" customHeight="true" outlineLevel="0" collapsed="false">
      <c r="A9103" s="0" t="n">
        <v>2</v>
      </c>
      <c r="B9103" s="71" t="n">
        <v>46286</v>
      </c>
      <c r="C9103" s="0" t="n">
        <v>22</v>
      </c>
      <c r="D9103" s="0" t="s">
        <v>2479</v>
      </c>
      <c r="E9103" s="0" t="n">
        <v>48</v>
      </c>
      <c r="F9103" s="0" t="s">
        <v>153</v>
      </c>
      <c r="I9103" s="0" t="n">
        <v>2688</v>
      </c>
      <c r="J9103" s="0" t="n">
        <v>100005</v>
      </c>
      <c r="K9103" s="0" t="n">
        <v>6</v>
      </c>
      <c r="L9103" s="0" t="s">
        <v>2582</v>
      </c>
      <c r="N9103" s="0" t="n">
        <v>0.608</v>
      </c>
      <c r="O9103" s="0" t="n">
        <v>13.71</v>
      </c>
      <c r="P9103" s="0" t="s">
        <v>2444</v>
      </c>
    </row>
    <row r="9104" customFormat="false" ht="15" hidden="false" customHeight="true" outlineLevel="0" collapsed="false">
      <c r="A9104" s="0" t="n">
        <v>2</v>
      </c>
      <c r="B9104" s="71" t="n">
        <v>46286</v>
      </c>
      <c r="C9104" s="0" t="n">
        <v>22</v>
      </c>
      <c r="D9104" s="0" t="s">
        <v>2479</v>
      </c>
      <c r="E9104" s="0" t="n">
        <v>48</v>
      </c>
      <c r="F9104" s="0" t="s">
        <v>153</v>
      </c>
      <c r="I9104" s="0" t="n">
        <v>2688</v>
      </c>
      <c r="J9104" s="0" t="n">
        <v>100006</v>
      </c>
      <c r="K9104" s="0" t="n">
        <v>7</v>
      </c>
      <c r="L9104" s="0" t="s">
        <v>2485</v>
      </c>
      <c r="N9104" s="0" t="n">
        <v>2.47</v>
      </c>
      <c r="O9104" s="0" t="n">
        <v>70.48</v>
      </c>
      <c r="P9104" s="0" t="s">
        <v>2444</v>
      </c>
    </row>
    <row r="9105" customFormat="false" ht="15" hidden="false" customHeight="true" outlineLevel="0" collapsed="false">
      <c r="A9105" s="0" t="n">
        <v>2</v>
      </c>
      <c r="B9105" s="71" t="n">
        <v>46286</v>
      </c>
      <c r="C9105" s="0" t="n">
        <v>22</v>
      </c>
      <c r="D9105" s="0" t="s">
        <v>2479</v>
      </c>
      <c r="E9105" s="0" t="n">
        <v>48</v>
      </c>
      <c r="F9105" s="0" t="s">
        <v>153</v>
      </c>
      <c r="I9105" s="0" t="n">
        <v>2688</v>
      </c>
      <c r="J9105" s="0" t="n">
        <v>100007</v>
      </c>
      <c r="K9105" s="0" t="n">
        <v>8</v>
      </c>
      <c r="L9105" s="0" t="s">
        <v>2486</v>
      </c>
      <c r="N9105" s="0" t="n">
        <v>2.47</v>
      </c>
      <c r="O9105" s="0" t="n">
        <v>55.68</v>
      </c>
      <c r="P9105" s="0" t="s">
        <v>2444</v>
      </c>
    </row>
    <row r="9106" customFormat="false" ht="15" hidden="false" customHeight="true" outlineLevel="0" collapsed="false">
      <c r="A9106" s="0" t="n">
        <v>2</v>
      </c>
      <c r="B9106" s="71" t="n">
        <v>46286</v>
      </c>
      <c r="C9106" s="0" t="n">
        <v>22</v>
      </c>
      <c r="D9106" s="0" t="s">
        <v>2479</v>
      </c>
      <c r="E9106" s="0" t="n">
        <v>48</v>
      </c>
      <c r="F9106" s="0" t="s">
        <v>153</v>
      </c>
      <c r="I9106" s="0" t="n">
        <v>2688</v>
      </c>
      <c r="J9106" s="0" t="n">
        <v>100007</v>
      </c>
      <c r="K9106" s="0" t="n">
        <v>8</v>
      </c>
      <c r="L9106" s="0" t="s">
        <v>2486</v>
      </c>
      <c r="N9106" s="0" t="n">
        <v>2.966</v>
      </c>
      <c r="O9106" s="0" t="n">
        <v>74.67</v>
      </c>
      <c r="P9106" s="0" t="s">
        <v>2444</v>
      </c>
    </row>
    <row r="9107" customFormat="false" ht="15" hidden="false" customHeight="true" outlineLevel="0" collapsed="false">
      <c r="A9107" s="0" t="n">
        <v>2</v>
      </c>
      <c r="B9107" s="71" t="n">
        <v>46286</v>
      </c>
      <c r="C9107" s="0" t="n">
        <v>22</v>
      </c>
      <c r="D9107" s="0" t="s">
        <v>2479</v>
      </c>
      <c r="E9107" s="0" t="n">
        <v>48</v>
      </c>
      <c r="F9107" s="0" t="s">
        <v>153</v>
      </c>
      <c r="I9107" s="0" t="n">
        <v>2688</v>
      </c>
      <c r="J9107" s="0" t="n">
        <v>100008</v>
      </c>
      <c r="K9107" s="0" t="n">
        <v>9</v>
      </c>
      <c r="L9107" s="0" t="s">
        <v>2487</v>
      </c>
      <c r="N9107" s="0" t="n">
        <v>14.27</v>
      </c>
      <c r="O9107" s="0" t="n">
        <v>467.08</v>
      </c>
      <c r="P9107" s="0" t="s">
        <v>2444</v>
      </c>
    </row>
    <row r="9108" customFormat="false" ht="15" hidden="false" customHeight="true" outlineLevel="0" collapsed="false">
      <c r="A9108" s="0" t="n">
        <v>2</v>
      </c>
      <c r="B9108" s="71" t="n">
        <v>46286</v>
      </c>
      <c r="C9108" s="0" t="n">
        <v>22</v>
      </c>
      <c r="D9108" s="0" t="s">
        <v>2479</v>
      </c>
      <c r="E9108" s="0" t="n">
        <v>48</v>
      </c>
      <c r="F9108" s="0" t="s">
        <v>153</v>
      </c>
      <c r="I9108" s="0" t="n">
        <v>2688</v>
      </c>
      <c r="J9108" s="0" t="n">
        <v>100011</v>
      </c>
      <c r="K9108" s="0" t="n">
        <v>12</v>
      </c>
      <c r="L9108" s="0" t="s">
        <v>2488</v>
      </c>
      <c r="N9108" s="0" t="n">
        <v>9.55</v>
      </c>
      <c r="O9108" s="0" t="n">
        <v>360.69</v>
      </c>
      <c r="P9108" s="0" t="s">
        <v>2444</v>
      </c>
    </row>
    <row r="9109" customFormat="false" ht="15" hidden="false" customHeight="true" outlineLevel="0" collapsed="false">
      <c r="A9109" s="0" t="n">
        <v>2</v>
      </c>
      <c r="B9109" s="71" t="n">
        <v>46286</v>
      </c>
      <c r="C9109" s="0" t="n">
        <v>22</v>
      </c>
      <c r="D9109" s="0" t="s">
        <v>2479</v>
      </c>
      <c r="E9109" s="0" t="n">
        <v>48</v>
      </c>
      <c r="F9109" s="0" t="s">
        <v>153</v>
      </c>
      <c r="I9109" s="0" t="n">
        <v>2688</v>
      </c>
      <c r="J9109" s="0" t="n">
        <v>100012</v>
      </c>
      <c r="K9109" s="0" t="n">
        <v>13</v>
      </c>
      <c r="L9109" s="0" t="s">
        <v>2489</v>
      </c>
      <c r="N9109" s="0" t="n">
        <v>5.308</v>
      </c>
      <c r="O9109" s="0" t="n">
        <v>222.75</v>
      </c>
      <c r="P9109" s="0" t="s">
        <v>2444</v>
      </c>
    </row>
    <row r="9110" customFormat="false" ht="15" hidden="false" customHeight="true" outlineLevel="0" collapsed="false">
      <c r="A9110" s="0" t="n">
        <v>2</v>
      </c>
      <c r="B9110" s="71" t="n">
        <v>46286</v>
      </c>
      <c r="C9110" s="0" t="n">
        <v>22</v>
      </c>
      <c r="D9110" s="0" t="s">
        <v>2479</v>
      </c>
      <c r="E9110" s="0" t="n">
        <v>48</v>
      </c>
      <c r="F9110" s="0" t="s">
        <v>153</v>
      </c>
      <c r="I9110" s="0" t="n">
        <v>2688</v>
      </c>
      <c r="J9110" s="0" t="n">
        <v>100013</v>
      </c>
      <c r="K9110" s="0" t="n">
        <v>14</v>
      </c>
      <c r="L9110" s="0" t="s">
        <v>2490</v>
      </c>
      <c r="N9110" s="0" t="n">
        <v>9.695</v>
      </c>
      <c r="O9110" s="0" t="n">
        <v>431.27</v>
      </c>
      <c r="P9110" s="0" t="s">
        <v>2444</v>
      </c>
    </row>
    <row r="9111" customFormat="false" ht="15" hidden="false" customHeight="true" outlineLevel="0" collapsed="false">
      <c r="A9111" s="0" t="n">
        <v>2</v>
      </c>
      <c r="B9111" s="71" t="n">
        <v>46286</v>
      </c>
      <c r="C9111" s="0" t="n">
        <v>22</v>
      </c>
      <c r="D9111" s="0" t="s">
        <v>2479</v>
      </c>
      <c r="E9111" s="0" t="n">
        <v>48</v>
      </c>
      <c r="F9111" s="0" t="s">
        <v>153</v>
      </c>
      <c r="I9111" s="0" t="n">
        <v>2688</v>
      </c>
      <c r="J9111" s="0" t="n">
        <v>100014</v>
      </c>
      <c r="K9111" s="0" t="n">
        <v>15</v>
      </c>
      <c r="L9111" s="0" t="s">
        <v>2491</v>
      </c>
      <c r="N9111" s="0" t="n">
        <v>4.554</v>
      </c>
      <c r="O9111" s="0" t="n">
        <v>206.4</v>
      </c>
      <c r="P9111" s="0" t="s">
        <v>2444</v>
      </c>
    </row>
    <row r="9112" customFormat="false" ht="15" hidden="false" customHeight="true" outlineLevel="0" collapsed="false">
      <c r="A9112" s="0" t="n">
        <v>2</v>
      </c>
      <c r="B9112" s="71" t="n">
        <v>46286</v>
      </c>
      <c r="C9112" s="0" t="n">
        <v>22</v>
      </c>
      <c r="D9112" s="0" t="s">
        <v>2479</v>
      </c>
      <c r="E9112" s="0" t="n">
        <v>48</v>
      </c>
      <c r="F9112" s="0" t="s">
        <v>153</v>
      </c>
      <c r="I9112" s="0" t="n">
        <v>2688</v>
      </c>
      <c r="J9112" s="0" t="n">
        <v>100015</v>
      </c>
      <c r="K9112" s="0" t="n">
        <v>16</v>
      </c>
      <c r="L9112" s="0" t="s">
        <v>2492</v>
      </c>
      <c r="N9112" s="0" t="n">
        <v>1.57</v>
      </c>
      <c r="O9112" s="0" t="n">
        <v>63.25</v>
      </c>
      <c r="P9112" s="0" t="s">
        <v>2444</v>
      </c>
    </row>
    <row r="9113" customFormat="false" ht="15" hidden="false" customHeight="true" outlineLevel="0" collapsed="false">
      <c r="A9113" s="0" t="n">
        <v>2</v>
      </c>
      <c r="B9113" s="71" t="n">
        <v>46286</v>
      </c>
      <c r="C9113" s="0" t="n">
        <v>22</v>
      </c>
      <c r="D9113" s="0" t="s">
        <v>2479</v>
      </c>
      <c r="E9113" s="0" t="n">
        <v>48</v>
      </c>
      <c r="F9113" s="0" t="s">
        <v>153</v>
      </c>
      <c r="I9113" s="0" t="n">
        <v>2688</v>
      </c>
      <c r="J9113" s="0" t="n">
        <v>100016</v>
      </c>
      <c r="K9113" s="0" t="n">
        <v>17</v>
      </c>
      <c r="L9113" s="0" t="s">
        <v>2493</v>
      </c>
      <c r="N9113" s="0" t="n">
        <v>2.446</v>
      </c>
      <c r="O9113" s="0" t="n">
        <v>123.18</v>
      </c>
      <c r="P9113" s="0" t="s">
        <v>2444</v>
      </c>
    </row>
    <row r="9114" customFormat="false" ht="15" hidden="false" customHeight="true" outlineLevel="0" collapsed="false">
      <c r="A9114" s="0" t="n">
        <v>2</v>
      </c>
      <c r="B9114" s="71" t="n">
        <v>46286</v>
      </c>
      <c r="C9114" s="0" t="n">
        <v>22</v>
      </c>
      <c r="D9114" s="0" t="s">
        <v>2479</v>
      </c>
      <c r="E9114" s="0" t="n">
        <v>48</v>
      </c>
      <c r="F9114" s="0" t="s">
        <v>153</v>
      </c>
      <c r="I9114" s="0" t="n">
        <v>2688</v>
      </c>
      <c r="J9114" s="0" t="n">
        <v>100017</v>
      </c>
      <c r="K9114" s="0" t="n">
        <v>18</v>
      </c>
      <c r="L9114" s="0" t="s">
        <v>2494</v>
      </c>
      <c r="N9114" s="0" t="n">
        <v>2.27</v>
      </c>
      <c r="O9114" s="0" t="n">
        <v>133.37</v>
      </c>
      <c r="P9114" s="0" t="s">
        <v>2444</v>
      </c>
    </row>
    <row r="9115" customFormat="false" ht="15" hidden="false" customHeight="true" outlineLevel="0" collapsed="false">
      <c r="A9115" s="0" t="n">
        <v>2</v>
      </c>
      <c r="B9115" s="71" t="n">
        <v>46286</v>
      </c>
      <c r="C9115" s="0" t="n">
        <v>22</v>
      </c>
      <c r="D9115" s="0" t="s">
        <v>2479</v>
      </c>
      <c r="E9115" s="0" t="n">
        <v>48</v>
      </c>
      <c r="F9115" s="0" t="s">
        <v>153</v>
      </c>
      <c r="I9115" s="0" t="n">
        <v>2688</v>
      </c>
      <c r="J9115" s="0" t="n">
        <v>100019</v>
      </c>
      <c r="K9115" s="0" t="n">
        <v>20</v>
      </c>
      <c r="L9115" s="0" t="s">
        <v>3779</v>
      </c>
      <c r="N9115" s="0" t="n">
        <v>3.4</v>
      </c>
      <c r="O9115" s="0" t="n">
        <v>107.32</v>
      </c>
      <c r="P9115" s="0" t="s">
        <v>2444</v>
      </c>
    </row>
    <row r="9116" customFormat="false" ht="15" hidden="false" customHeight="true" outlineLevel="0" collapsed="false">
      <c r="A9116" s="0" t="n">
        <v>2</v>
      </c>
      <c r="B9116" s="71" t="n">
        <v>46286</v>
      </c>
      <c r="C9116" s="0" t="n">
        <v>22</v>
      </c>
      <c r="D9116" s="0" t="s">
        <v>2479</v>
      </c>
      <c r="E9116" s="0" t="n">
        <v>48</v>
      </c>
      <c r="F9116" s="0" t="s">
        <v>153</v>
      </c>
      <c r="I9116" s="0" t="n">
        <v>2688</v>
      </c>
      <c r="J9116" s="0" t="n">
        <v>100053</v>
      </c>
      <c r="K9116" s="0" t="n">
        <v>54</v>
      </c>
      <c r="L9116" s="0" t="s">
        <v>2495</v>
      </c>
      <c r="N9116" s="0" t="n">
        <v>1.324</v>
      </c>
      <c r="O9116" s="0" t="n">
        <v>48.89</v>
      </c>
      <c r="P9116" s="0" t="s">
        <v>2444</v>
      </c>
    </row>
    <row r="9117" customFormat="false" ht="15" hidden="false" customHeight="true" outlineLevel="0" collapsed="false">
      <c r="A9117" s="0" t="n">
        <v>2</v>
      </c>
      <c r="B9117" s="71" t="n">
        <v>46286</v>
      </c>
      <c r="C9117" s="0" t="n">
        <v>22</v>
      </c>
      <c r="D9117" s="0" t="s">
        <v>2479</v>
      </c>
      <c r="E9117" s="0" t="n">
        <v>48</v>
      </c>
      <c r="F9117" s="0" t="s">
        <v>153</v>
      </c>
      <c r="I9117" s="0" t="n">
        <v>2688</v>
      </c>
      <c r="J9117" s="0" t="n">
        <v>110137</v>
      </c>
      <c r="K9117" s="0" t="n">
        <v>13899</v>
      </c>
      <c r="L9117" s="0" t="s">
        <v>3780</v>
      </c>
      <c r="N9117" s="0" t="n">
        <v>12.54</v>
      </c>
      <c r="O9117" s="0" t="n">
        <v>52.53</v>
      </c>
      <c r="P9117" s="0" t="s">
        <v>2444</v>
      </c>
    </row>
    <row r="9118" customFormat="false" ht="15" hidden="false" customHeight="true" outlineLevel="0" collapsed="false">
      <c r="A9118" s="0" t="n">
        <v>2</v>
      </c>
      <c r="B9118" s="71" t="n">
        <v>46286</v>
      </c>
      <c r="C9118" s="0" t="n">
        <v>22</v>
      </c>
      <c r="D9118" s="0" t="s">
        <v>2479</v>
      </c>
      <c r="E9118" s="0" t="n">
        <v>48</v>
      </c>
      <c r="F9118" s="0" t="s">
        <v>153</v>
      </c>
      <c r="I9118" s="0" t="n">
        <v>2688</v>
      </c>
      <c r="J9118" s="0" t="n">
        <v>110137</v>
      </c>
      <c r="K9118" s="0" t="n">
        <v>13899</v>
      </c>
      <c r="L9118" s="0" t="s">
        <v>3780</v>
      </c>
      <c r="N9118" s="0" t="n">
        <v>1.85</v>
      </c>
      <c r="O9118" s="0" t="n">
        <v>6.94</v>
      </c>
      <c r="P9118" s="0" t="s">
        <v>2444</v>
      </c>
    </row>
    <row r="9119" customFormat="false" ht="15" hidden="false" customHeight="true" outlineLevel="0" collapsed="false">
      <c r="A9119" s="0" t="n">
        <v>2</v>
      </c>
      <c r="B9119" s="71" t="n">
        <v>46286</v>
      </c>
      <c r="C9119" s="0" t="n">
        <v>22</v>
      </c>
      <c r="D9119" s="0" t="s">
        <v>2479</v>
      </c>
      <c r="E9119" s="0" t="n">
        <v>48</v>
      </c>
      <c r="F9119" s="0" t="s">
        <v>153</v>
      </c>
      <c r="I9119" s="0" t="n">
        <v>2688</v>
      </c>
      <c r="J9119" s="0" t="n">
        <v>110455</v>
      </c>
      <c r="K9119" s="0" t="n">
        <v>53212</v>
      </c>
      <c r="L9119" s="0" t="s">
        <v>2498</v>
      </c>
      <c r="N9119" s="0" t="n">
        <v>0.077</v>
      </c>
      <c r="O9119" s="0" t="n">
        <v>0</v>
      </c>
      <c r="P9119" s="0" t="s">
        <v>2444</v>
      </c>
    </row>
    <row r="9120" customFormat="false" ht="15" hidden="false" customHeight="true" outlineLevel="0" collapsed="false">
      <c r="A9120" s="0" t="n">
        <v>2</v>
      </c>
      <c r="B9120" s="71" t="n">
        <v>46286</v>
      </c>
      <c r="C9120" s="0" t="n">
        <v>22</v>
      </c>
      <c r="D9120" s="0" t="s">
        <v>2479</v>
      </c>
      <c r="E9120" s="0" t="n">
        <v>48</v>
      </c>
      <c r="F9120" s="0" t="s">
        <v>153</v>
      </c>
      <c r="I9120" s="0" t="n">
        <v>2688</v>
      </c>
      <c r="J9120" s="0" t="n">
        <v>110455</v>
      </c>
      <c r="K9120" s="0" t="n">
        <v>53212</v>
      </c>
      <c r="L9120" s="0" t="s">
        <v>2498</v>
      </c>
      <c r="N9120" s="0" t="n">
        <v>0.347</v>
      </c>
      <c r="O9120" s="0" t="n">
        <v>0.01</v>
      </c>
      <c r="P9120" s="0" t="s">
        <v>2444</v>
      </c>
    </row>
    <row r="9121" customFormat="false" ht="15" hidden="false" customHeight="true" outlineLevel="0" collapsed="false">
      <c r="A9121" s="0" t="n">
        <v>2</v>
      </c>
      <c r="B9121" s="71" t="n">
        <v>46286</v>
      </c>
      <c r="C9121" s="0" t="n">
        <v>100</v>
      </c>
      <c r="D9121" s="0" t="s">
        <v>2499</v>
      </c>
      <c r="E9121" s="0" t="n">
        <v>48</v>
      </c>
      <c r="F9121" s="0" t="s">
        <v>153</v>
      </c>
      <c r="I9121" s="0" t="n">
        <v>1734913</v>
      </c>
      <c r="J9121" s="0" t="n">
        <v>100000</v>
      </c>
      <c r="K9121" s="0" t="n">
        <v>1</v>
      </c>
      <c r="L9121" s="0" t="s">
        <v>2480</v>
      </c>
      <c r="N9121" s="0" t="n">
        <v>3.09</v>
      </c>
      <c r="O9121" s="0" t="n">
        <v>62.23</v>
      </c>
      <c r="P9121" s="0" t="s">
        <v>2444</v>
      </c>
    </row>
    <row r="9122" customFormat="false" ht="15" hidden="false" customHeight="true" outlineLevel="0" collapsed="false">
      <c r="A9122" s="0" t="n">
        <v>2</v>
      </c>
      <c r="B9122" s="71" t="n">
        <v>46286</v>
      </c>
      <c r="C9122" s="0" t="n">
        <v>100</v>
      </c>
      <c r="D9122" s="0" t="s">
        <v>2499</v>
      </c>
      <c r="E9122" s="0" t="n">
        <v>48</v>
      </c>
      <c r="F9122" s="0" t="s">
        <v>153</v>
      </c>
      <c r="I9122" s="0" t="n">
        <v>1734913</v>
      </c>
      <c r="J9122" s="0" t="n">
        <v>100006</v>
      </c>
      <c r="K9122" s="0" t="n">
        <v>7</v>
      </c>
      <c r="L9122" s="0" t="s">
        <v>2485</v>
      </c>
      <c r="N9122" s="0" t="n">
        <v>2.47</v>
      </c>
      <c r="O9122" s="0" t="n">
        <v>70.48</v>
      </c>
      <c r="P9122" s="0" t="s">
        <v>2444</v>
      </c>
    </row>
    <row r="9123" customFormat="false" ht="15" hidden="false" customHeight="true" outlineLevel="0" collapsed="false">
      <c r="A9123" s="0" t="n">
        <v>2</v>
      </c>
      <c r="B9123" s="71" t="n">
        <v>46286</v>
      </c>
      <c r="C9123" s="0" t="n">
        <v>100</v>
      </c>
      <c r="D9123" s="0" t="s">
        <v>2499</v>
      </c>
      <c r="E9123" s="0" t="n">
        <v>48</v>
      </c>
      <c r="F9123" s="0" t="s">
        <v>153</v>
      </c>
      <c r="I9123" s="0" t="n">
        <v>1734913</v>
      </c>
      <c r="J9123" s="0" t="n">
        <v>100007</v>
      </c>
      <c r="K9123" s="0" t="n">
        <v>8</v>
      </c>
      <c r="L9123" s="0" t="s">
        <v>2486</v>
      </c>
      <c r="N9123" s="0" t="n">
        <v>2.966</v>
      </c>
      <c r="O9123" s="0" t="n">
        <v>74.67</v>
      </c>
      <c r="P9123" s="0" t="s">
        <v>2444</v>
      </c>
    </row>
    <row r="9124" customFormat="false" ht="15" hidden="false" customHeight="true" outlineLevel="0" collapsed="false">
      <c r="A9124" s="0" t="n">
        <v>2</v>
      </c>
      <c r="B9124" s="71" t="n">
        <v>46286</v>
      </c>
      <c r="C9124" s="0" t="n">
        <v>100</v>
      </c>
      <c r="D9124" s="0" t="s">
        <v>2499</v>
      </c>
      <c r="E9124" s="0" t="n">
        <v>48</v>
      </c>
      <c r="F9124" s="0" t="s">
        <v>153</v>
      </c>
      <c r="I9124" s="0" t="n">
        <v>1734913</v>
      </c>
      <c r="J9124" s="0" t="n">
        <v>100008</v>
      </c>
      <c r="K9124" s="0" t="n">
        <v>9</v>
      </c>
      <c r="L9124" s="0" t="s">
        <v>2487</v>
      </c>
      <c r="N9124" s="0" t="n">
        <v>14.27</v>
      </c>
      <c r="O9124" s="0" t="n">
        <v>467.08</v>
      </c>
      <c r="P9124" s="0" t="s">
        <v>2444</v>
      </c>
    </row>
    <row r="9125" customFormat="false" ht="15" hidden="false" customHeight="true" outlineLevel="0" collapsed="false">
      <c r="A9125" s="0" t="n">
        <v>2</v>
      </c>
      <c r="B9125" s="71" t="n">
        <v>46286</v>
      </c>
      <c r="C9125" s="0" t="n">
        <v>100</v>
      </c>
      <c r="D9125" s="0" t="s">
        <v>2499</v>
      </c>
      <c r="E9125" s="0" t="n">
        <v>48</v>
      </c>
      <c r="F9125" s="0" t="s">
        <v>153</v>
      </c>
      <c r="I9125" s="0" t="n">
        <v>1734913</v>
      </c>
      <c r="J9125" s="0" t="n">
        <v>100011</v>
      </c>
      <c r="K9125" s="0" t="n">
        <v>12</v>
      </c>
      <c r="L9125" s="0" t="s">
        <v>2488</v>
      </c>
      <c r="N9125" s="0" t="n">
        <v>9.55</v>
      </c>
      <c r="O9125" s="0" t="n">
        <v>360.69</v>
      </c>
      <c r="P9125" s="0" t="s">
        <v>2444</v>
      </c>
    </row>
    <row r="9126" customFormat="false" ht="15" hidden="false" customHeight="true" outlineLevel="0" collapsed="false">
      <c r="A9126" s="0" t="n">
        <v>2</v>
      </c>
      <c r="B9126" s="71" t="n">
        <v>46286</v>
      </c>
      <c r="C9126" s="0" t="n">
        <v>100</v>
      </c>
      <c r="D9126" s="0" t="s">
        <v>2499</v>
      </c>
      <c r="E9126" s="0" t="n">
        <v>48</v>
      </c>
      <c r="F9126" s="0" t="s">
        <v>153</v>
      </c>
      <c r="I9126" s="0" t="n">
        <v>1734913</v>
      </c>
      <c r="J9126" s="0" t="n">
        <v>100012</v>
      </c>
      <c r="K9126" s="0" t="n">
        <v>13</v>
      </c>
      <c r="L9126" s="0" t="s">
        <v>2489</v>
      </c>
      <c r="N9126" s="0" t="n">
        <v>5.308</v>
      </c>
      <c r="O9126" s="0" t="n">
        <v>222.75</v>
      </c>
      <c r="P9126" s="0" t="s">
        <v>2444</v>
      </c>
    </row>
    <row r="9127" customFormat="false" ht="15" hidden="false" customHeight="true" outlineLevel="0" collapsed="false">
      <c r="A9127" s="0" t="n">
        <v>2</v>
      </c>
      <c r="B9127" s="71" t="n">
        <v>46286</v>
      </c>
      <c r="C9127" s="0" t="n">
        <v>100</v>
      </c>
      <c r="D9127" s="0" t="s">
        <v>2499</v>
      </c>
      <c r="E9127" s="0" t="n">
        <v>48</v>
      </c>
      <c r="F9127" s="0" t="s">
        <v>153</v>
      </c>
      <c r="I9127" s="0" t="n">
        <v>1734913</v>
      </c>
      <c r="J9127" s="0" t="n">
        <v>100013</v>
      </c>
      <c r="K9127" s="0" t="n">
        <v>14</v>
      </c>
      <c r="L9127" s="0" t="s">
        <v>2490</v>
      </c>
      <c r="N9127" s="0" t="n">
        <v>9.695</v>
      </c>
      <c r="O9127" s="0" t="n">
        <v>431.27</v>
      </c>
      <c r="P9127" s="0" t="s">
        <v>2444</v>
      </c>
    </row>
    <row r="9128" customFormat="false" ht="15" hidden="false" customHeight="true" outlineLevel="0" collapsed="false">
      <c r="A9128" s="0" t="n">
        <v>2</v>
      </c>
      <c r="B9128" s="71" t="n">
        <v>46286</v>
      </c>
      <c r="C9128" s="0" t="n">
        <v>100</v>
      </c>
      <c r="D9128" s="0" t="s">
        <v>2499</v>
      </c>
      <c r="E9128" s="0" t="n">
        <v>48</v>
      </c>
      <c r="F9128" s="0" t="s">
        <v>153</v>
      </c>
      <c r="I9128" s="0" t="n">
        <v>1734913</v>
      </c>
      <c r="J9128" s="0" t="n">
        <v>100014</v>
      </c>
      <c r="K9128" s="0" t="n">
        <v>15</v>
      </c>
      <c r="L9128" s="0" t="s">
        <v>2491</v>
      </c>
      <c r="N9128" s="0" t="n">
        <v>4.554</v>
      </c>
      <c r="O9128" s="0" t="n">
        <v>206.4</v>
      </c>
      <c r="P9128" s="0" t="s">
        <v>2444</v>
      </c>
    </row>
    <row r="9129" customFormat="false" ht="15" hidden="false" customHeight="true" outlineLevel="0" collapsed="false">
      <c r="A9129" s="0" t="n">
        <v>2</v>
      </c>
      <c r="B9129" s="71" t="n">
        <v>46286</v>
      </c>
      <c r="C9129" s="0" t="n">
        <v>100</v>
      </c>
      <c r="D9129" s="0" t="s">
        <v>2499</v>
      </c>
      <c r="E9129" s="0" t="n">
        <v>48</v>
      </c>
      <c r="F9129" s="0" t="s">
        <v>153</v>
      </c>
      <c r="I9129" s="0" t="n">
        <v>1734913</v>
      </c>
      <c r="J9129" s="0" t="n">
        <v>100015</v>
      </c>
      <c r="K9129" s="0" t="n">
        <v>16</v>
      </c>
      <c r="L9129" s="0" t="s">
        <v>2492</v>
      </c>
      <c r="N9129" s="0" t="n">
        <v>1.57</v>
      </c>
      <c r="O9129" s="0" t="n">
        <v>63.25</v>
      </c>
      <c r="P9129" s="0" t="s">
        <v>2444</v>
      </c>
    </row>
    <row r="9130" customFormat="false" ht="15" hidden="false" customHeight="true" outlineLevel="0" collapsed="false">
      <c r="A9130" s="0" t="n">
        <v>2</v>
      </c>
      <c r="B9130" s="71" t="n">
        <v>46286</v>
      </c>
      <c r="C9130" s="0" t="n">
        <v>100</v>
      </c>
      <c r="D9130" s="0" t="s">
        <v>2499</v>
      </c>
      <c r="E9130" s="0" t="n">
        <v>48</v>
      </c>
      <c r="F9130" s="0" t="s">
        <v>153</v>
      </c>
      <c r="I9130" s="0" t="n">
        <v>1734913</v>
      </c>
      <c r="J9130" s="0" t="n">
        <v>100016</v>
      </c>
      <c r="K9130" s="0" t="n">
        <v>17</v>
      </c>
      <c r="L9130" s="0" t="s">
        <v>2493</v>
      </c>
      <c r="N9130" s="0" t="n">
        <v>2.446</v>
      </c>
      <c r="O9130" s="0" t="n">
        <v>123.18</v>
      </c>
      <c r="P9130" s="0" t="s">
        <v>2444</v>
      </c>
    </row>
    <row r="9131" customFormat="false" ht="15" hidden="false" customHeight="true" outlineLevel="0" collapsed="false">
      <c r="A9131" s="0" t="n">
        <v>2</v>
      </c>
      <c r="B9131" s="71" t="n">
        <v>46286</v>
      </c>
      <c r="C9131" s="0" t="n">
        <v>100</v>
      </c>
      <c r="D9131" s="0" t="s">
        <v>2499</v>
      </c>
      <c r="E9131" s="0" t="n">
        <v>48</v>
      </c>
      <c r="F9131" s="0" t="s">
        <v>153</v>
      </c>
      <c r="I9131" s="0" t="n">
        <v>1734913</v>
      </c>
      <c r="J9131" s="0" t="n">
        <v>100017</v>
      </c>
      <c r="K9131" s="0" t="n">
        <v>18</v>
      </c>
      <c r="L9131" s="0" t="s">
        <v>2494</v>
      </c>
      <c r="N9131" s="0" t="n">
        <v>2.27</v>
      </c>
      <c r="O9131" s="0" t="n">
        <v>133.37</v>
      </c>
      <c r="P9131" s="0" t="s">
        <v>2444</v>
      </c>
    </row>
    <row r="9132" customFormat="false" ht="15" hidden="false" customHeight="true" outlineLevel="0" collapsed="false">
      <c r="A9132" s="0" t="n">
        <v>2</v>
      </c>
      <c r="B9132" s="71" t="n">
        <v>46286</v>
      </c>
      <c r="C9132" s="0" t="n">
        <v>100</v>
      </c>
      <c r="D9132" s="0" t="s">
        <v>2499</v>
      </c>
      <c r="E9132" s="0" t="n">
        <v>48</v>
      </c>
      <c r="F9132" s="0" t="s">
        <v>153</v>
      </c>
      <c r="I9132" s="0" t="n">
        <v>1734913</v>
      </c>
      <c r="J9132" s="0" t="n">
        <v>100053</v>
      </c>
      <c r="K9132" s="0" t="n">
        <v>54</v>
      </c>
      <c r="L9132" s="0" t="s">
        <v>2495</v>
      </c>
      <c r="N9132" s="0" t="n">
        <v>1.324</v>
      </c>
      <c r="O9132" s="0" t="n">
        <v>48.89</v>
      </c>
      <c r="P9132" s="0" t="s">
        <v>2444</v>
      </c>
    </row>
    <row r="9133" customFormat="false" ht="15" hidden="false" customHeight="true" outlineLevel="0" collapsed="false">
      <c r="A9133" s="0" t="n">
        <v>2</v>
      </c>
      <c r="B9133" s="71" t="n">
        <v>46286</v>
      </c>
      <c r="C9133" s="0" t="n">
        <v>100</v>
      </c>
      <c r="D9133" s="0" t="s">
        <v>2499</v>
      </c>
      <c r="E9133" s="0" t="n">
        <v>48</v>
      </c>
      <c r="F9133" s="0" t="s">
        <v>153</v>
      </c>
      <c r="I9133" s="0" t="n">
        <v>1734913</v>
      </c>
      <c r="J9133" s="0" t="n">
        <v>110137</v>
      </c>
      <c r="K9133" s="0" t="n">
        <v>13899</v>
      </c>
      <c r="L9133" s="0" t="s">
        <v>3780</v>
      </c>
      <c r="N9133" s="0" t="n">
        <v>12.54</v>
      </c>
      <c r="O9133" s="0" t="n">
        <v>52.53</v>
      </c>
      <c r="P9133" s="0" t="s">
        <v>2444</v>
      </c>
    </row>
    <row r="9134" customFormat="false" ht="15" hidden="false" customHeight="true" outlineLevel="0" collapsed="false">
      <c r="A9134" s="0" t="n">
        <v>2</v>
      </c>
      <c r="B9134" s="71" t="n">
        <v>46286</v>
      </c>
      <c r="C9134" s="0" t="n">
        <v>100</v>
      </c>
      <c r="D9134" s="0" t="s">
        <v>2499</v>
      </c>
      <c r="E9134" s="0" t="n">
        <v>48</v>
      </c>
      <c r="F9134" s="0" t="s">
        <v>153</v>
      </c>
      <c r="I9134" s="0" t="n">
        <v>1734913</v>
      </c>
      <c r="J9134" s="0" t="n">
        <v>110455</v>
      </c>
      <c r="K9134" s="0" t="n">
        <v>53212</v>
      </c>
      <c r="L9134" s="0" t="s">
        <v>2498</v>
      </c>
      <c r="N9134" s="0" t="n">
        <v>0.347</v>
      </c>
      <c r="O9134" s="0" t="n">
        <v>0.01</v>
      </c>
      <c r="P9134" s="0" t="s">
        <v>2444</v>
      </c>
    </row>
    <row r="9135" customFormat="false" ht="15" hidden="false" customHeight="true" outlineLevel="0" collapsed="false">
      <c r="A9135" s="0" t="n">
        <v>2</v>
      </c>
      <c r="B9135" s="71" t="n">
        <v>46286</v>
      </c>
      <c r="C9135" s="0" t="n">
        <v>100</v>
      </c>
      <c r="D9135" s="0" t="s">
        <v>2499</v>
      </c>
      <c r="E9135" s="0" t="n">
        <v>48</v>
      </c>
      <c r="F9135" s="0" t="s">
        <v>153</v>
      </c>
      <c r="I9135" s="0" t="n">
        <v>1734922</v>
      </c>
      <c r="J9135" s="0" t="n">
        <v>100000</v>
      </c>
      <c r="K9135" s="0" t="n">
        <v>1</v>
      </c>
      <c r="L9135" s="0" t="s">
        <v>2480</v>
      </c>
      <c r="N9135" s="0" t="n">
        <v>3.4</v>
      </c>
      <c r="O9135" s="0" t="n">
        <v>61.31</v>
      </c>
      <c r="P9135" s="0" t="s">
        <v>2444</v>
      </c>
    </row>
    <row r="9136" customFormat="false" ht="15" hidden="false" customHeight="true" outlineLevel="0" collapsed="false">
      <c r="A9136" s="0" t="n">
        <v>2</v>
      </c>
      <c r="B9136" s="71" t="n">
        <v>46286</v>
      </c>
      <c r="C9136" s="0" t="n">
        <v>100</v>
      </c>
      <c r="D9136" s="0" t="s">
        <v>2499</v>
      </c>
      <c r="E9136" s="0" t="n">
        <v>48</v>
      </c>
      <c r="F9136" s="0" t="s">
        <v>153</v>
      </c>
      <c r="I9136" s="0" t="n">
        <v>1734922</v>
      </c>
      <c r="J9136" s="0" t="n">
        <v>100001</v>
      </c>
      <c r="K9136" s="0" t="n">
        <v>2</v>
      </c>
      <c r="L9136" s="0" t="s">
        <v>2481</v>
      </c>
      <c r="N9136" s="0" t="n">
        <v>9</v>
      </c>
      <c r="O9136" s="0" t="n">
        <v>175.83</v>
      </c>
      <c r="P9136" s="0" t="s">
        <v>2444</v>
      </c>
    </row>
    <row r="9137" customFormat="false" ht="15" hidden="false" customHeight="true" outlineLevel="0" collapsed="false">
      <c r="A9137" s="0" t="n">
        <v>2</v>
      </c>
      <c r="B9137" s="71" t="n">
        <v>46286</v>
      </c>
      <c r="C9137" s="0" t="n">
        <v>100</v>
      </c>
      <c r="D9137" s="0" t="s">
        <v>2499</v>
      </c>
      <c r="E9137" s="0" t="n">
        <v>48</v>
      </c>
      <c r="F9137" s="0" t="s">
        <v>153</v>
      </c>
      <c r="I9137" s="0" t="n">
        <v>1734922</v>
      </c>
      <c r="J9137" s="0" t="n">
        <v>100002</v>
      </c>
      <c r="K9137" s="0" t="n">
        <v>3</v>
      </c>
      <c r="L9137" s="0" t="s">
        <v>2482</v>
      </c>
      <c r="N9137" s="0" t="n">
        <v>21.6</v>
      </c>
      <c r="O9137" s="0" t="n">
        <v>486.95</v>
      </c>
      <c r="P9137" s="0" t="s">
        <v>2444</v>
      </c>
    </row>
    <row r="9138" customFormat="false" ht="15" hidden="false" customHeight="true" outlineLevel="0" collapsed="false">
      <c r="A9138" s="0" t="n">
        <v>2</v>
      </c>
      <c r="B9138" s="71" t="n">
        <v>46286</v>
      </c>
      <c r="C9138" s="0" t="n">
        <v>100</v>
      </c>
      <c r="D9138" s="0" t="s">
        <v>2499</v>
      </c>
      <c r="E9138" s="0" t="n">
        <v>48</v>
      </c>
      <c r="F9138" s="0" t="s">
        <v>153</v>
      </c>
      <c r="I9138" s="0" t="n">
        <v>1734922</v>
      </c>
      <c r="J9138" s="0" t="n">
        <v>100003</v>
      </c>
      <c r="K9138" s="0" t="n">
        <v>4</v>
      </c>
      <c r="L9138" s="0" t="s">
        <v>2483</v>
      </c>
      <c r="N9138" s="0" t="n">
        <v>12.77</v>
      </c>
      <c r="O9138" s="0" t="n">
        <v>307.09</v>
      </c>
      <c r="P9138" s="0" t="s">
        <v>2444</v>
      </c>
    </row>
    <row r="9139" customFormat="false" ht="15" hidden="false" customHeight="true" outlineLevel="0" collapsed="false">
      <c r="A9139" s="0" t="n">
        <v>2</v>
      </c>
      <c r="B9139" s="71" t="n">
        <v>46286</v>
      </c>
      <c r="C9139" s="0" t="n">
        <v>100</v>
      </c>
      <c r="D9139" s="0" t="s">
        <v>2499</v>
      </c>
      <c r="E9139" s="0" t="n">
        <v>48</v>
      </c>
      <c r="F9139" s="0" t="s">
        <v>153</v>
      </c>
      <c r="I9139" s="0" t="n">
        <v>1734922</v>
      </c>
      <c r="J9139" s="0" t="n">
        <v>100004</v>
      </c>
      <c r="K9139" s="0" t="n">
        <v>5</v>
      </c>
      <c r="L9139" s="0" t="s">
        <v>2484</v>
      </c>
      <c r="N9139" s="0" t="n">
        <v>1.025</v>
      </c>
      <c r="O9139" s="0" t="n">
        <v>21.57</v>
      </c>
      <c r="P9139" s="0" t="s">
        <v>2444</v>
      </c>
    </row>
    <row r="9140" customFormat="false" ht="15" hidden="false" customHeight="true" outlineLevel="0" collapsed="false">
      <c r="A9140" s="0" t="n">
        <v>2</v>
      </c>
      <c r="B9140" s="71" t="n">
        <v>46286</v>
      </c>
      <c r="C9140" s="0" t="n">
        <v>100</v>
      </c>
      <c r="D9140" s="0" t="s">
        <v>2499</v>
      </c>
      <c r="E9140" s="0" t="n">
        <v>48</v>
      </c>
      <c r="F9140" s="0" t="s">
        <v>153</v>
      </c>
      <c r="I9140" s="0" t="n">
        <v>1734922</v>
      </c>
      <c r="J9140" s="0" t="n">
        <v>100005</v>
      </c>
      <c r="K9140" s="0" t="n">
        <v>6</v>
      </c>
      <c r="L9140" s="0" t="s">
        <v>2582</v>
      </c>
      <c r="N9140" s="0" t="n">
        <v>0.608</v>
      </c>
      <c r="O9140" s="0" t="n">
        <v>13.71</v>
      </c>
      <c r="P9140" s="0" t="s">
        <v>2444</v>
      </c>
    </row>
    <row r="9141" customFormat="false" ht="15" hidden="false" customHeight="true" outlineLevel="0" collapsed="false">
      <c r="A9141" s="0" t="n">
        <v>2</v>
      </c>
      <c r="B9141" s="71" t="n">
        <v>46286</v>
      </c>
      <c r="C9141" s="0" t="n">
        <v>100</v>
      </c>
      <c r="D9141" s="0" t="s">
        <v>2499</v>
      </c>
      <c r="E9141" s="0" t="n">
        <v>48</v>
      </c>
      <c r="F9141" s="0" t="s">
        <v>153</v>
      </c>
      <c r="I9141" s="0" t="n">
        <v>1734922</v>
      </c>
      <c r="J9141" s="0" t="n">
        <v>100007</v>
      </c>
      <c r="K9141" s="0" t="n">
        <v>8</v>
      </c>
      <c r="L9141" s="0" t="s">
        <v>2486</v>
      </c>
      <c r="N9141" s="0" t="n">
        <v>2.47</v>
      </c>
      <c r="O9141" s="0" t="n">
        <v>55.68</v>
      </c>
      <c r="P9141" s="0" t="s">
        <v>2444</v>
      </c>
    </row>
    <row r="9142" customFormat="false" ht="15" hidden="false" customHeight="true" outlineLevel="0" collapsed="false">
      <c r="A9142" s="0" t="n">
        <v>2</v>
      </c>
      <c r="B9142" s="71" t="n">
        <v>46286</v>
      </c>
      <c r="C9142" s="0" t="n">
        <v>100</v>
      </c>
      <c r="D9142" s="0" t="s">
        <v>2499</v>
      </c>
      <c r="E9142" s="0" t="n">
        <v>48</v>
      </c>
      <c r="F9142" s="0" t="s">
        <v>153</v>
      </c>
      <c r="I9142" s="0" t="n">
        <v>1734922</v>
      </c>
      <c r="J9142" s="0" t="n">
        <v>100019</v>
      </c>
      <c r="K9142" s="0" t="n">
        <v>20</v>
      </c>
      <c r="L9142" s="0" t="s">
        <v>3779</v>
      </c>
      <c r="N9142" s="0" t="n">
        <v>3.4</v>
      </c>
      <c r="O9142" s="0" t="n">
        <v>107.32</v>
      </c>
      <c r="P9142" s="0" t="s">
        <v>2444</v>
      </c>
    </row>
    <row r="9143" customFormat="false" ht="15" hidden="false" customHeight="true" outlineLevel="0" collapsed="false">
      <c r="A9143" s="0" t="n">
        <v>2</v>
      </c>
      <c r="B9143" s="71" t="n">
        <v>46286</v>
      </c>
      <c r="C9143" s="0" t="n">
        <v>100</v>
      </c>
      <c r="D9143" s="0" t="s">
        <v>2499</v>
      </c>
      <c r="E9143" s="0" t="n">
        <v>48</v>
      </c>
      <c r="F9143" s="0" t="s">
        <v>153</v>
      </c>
      <c r="I9143" s="0" t="n">
        <v>1734922</v>
      </c>
      <c r="J9143" s="0" t="n">
        <v>110137</v>
      </c>
      <c r="K9143" s="0" t="n">
        <v>13899</v>
      </c>
      <c r="L9143" s="0" t="s">
        <v>3780</v>
      </c>
      <c r="N9143" s="0" t="n">
        <v>1.85</v>
      </c>
      <c r="O9143" s="0" t="n">
        <v>6.94</v>
      </c>
      <c r="P9143" s="0" t="s">
        <v>2444</v>
      </c>
    </row>
    <row r="9144" customFormat="false" ht="15" hidden="false" customHeight="true" outlineLevel="0" collapsed="false">
      <c r="A9144" s="0" t="n">
        <v>2</v>
      </c>
      <c r="B9144" s="71" t="n">
        <v>46286</v>
      </c>
      <c r="C9144" s="0" t="n">
        <v>100</v>
      </c>
      <c r="D9144" s="0" t="s">
        <v>2499</v>
      </c>
      <c r="E9144" s="0" t="n">
        <v>48</v>
      </c>
      <c r="F9144" s="0" t="s">
        <v>153</v>
      </c>
      <c r="I9144" s="0" t="n">
        <v>1734922</v>
      </c>
      <c r="J9144" s="0" t="n">
        <v>110455</v>
      </c>
      <c r="K9144" s="0" t="n">
        <v>53212</v>
      </c>
      <c r="L9144" s="0" t="s">
        <v>2498</v>
      </c>
      <c r="N9144" s="0" t="n">
        <v>0.077</v>
      </c>
      <c r="O9144" s="0" t="n">
        <v>0</v>
      </c>
      <c r="P9144" s="0" t="s">
        <v>2444</v>
      </c>
    </row>
    <row r="9145" customFormat="false" ht="15" hidden="false" customHeight="true" outlineLevel="0" collapsed="false">
      <c r="A9145" s="0" t="n">
        <v>2</v>
      </c>
      <c r="B9145" s="71" t="n">
        <v>46286</v>
      </c>
      <c r="C9145" s="0" t="n">
        <v>100</v>
      </c>
      <c r="D9145" s="0" t="s">
        <v>2499</v>
      </c>
      <c r="E9145" s="0" t="n">
        <v>48</v>
      </c>
      <c r="F9145" s="0" t="s">
        <v>153</v>
      </c>
      <c r="I9145" s="0" t="n">
        <v>1734925</v>
      </c>
      <c r="J9145" s="0" t="n">
        <v>100004</v>
      </c>
      <c r="K9145" s="0" t="n">
        <v>5</v>
      </c>
      <c r="L9145" s="0" t="s">
        <v>2484</v>
      </c>
      <c r="N9145" s="0" t="n">
        <v>19.4</v>
      </c>
      <c r="O9145" s="0" t="n">
        <v>407.4</v>
      </c>
      <c r="P9145" s="0" t="s">
        <v>2444</v>
      </c>
    </row>
    <row r="9146" customFormat="false" ht="15" hidden="false" customHeight="true" outlineLevel="0" collapsed="false">
      <c r="A9146" s="0" t="n">
        <v>2</v>
      </c>
      <c r="B9146" s="71" t="n">
        <v>46286</v>
      </c>
      <c r="C9146" s="0" t="n">
        <v>100</v>
      </c>
      <c r="D9146" s="0" t="s">
        <v>2499</v>
      </c>
      <c r="E9146" s="0" t="n">
        <v>48</v>
      </c>
      <c r="F9146" s="0" t="s">
        <v>153</v>
      </c>
      <c r="I9146" s="0" t="n">
        <v>1734929</v>
      </c>
      <c r="J9146" s="0" t="n">
        <v>100004</v>
      </c>
      <c r="K9146" s="0" t="n">
        <v>5</v>
      </c>
      <c r="L9146" s="0" t="s">
        <v>2484</v>
      </c>
      <c r="N9146" s="0" t="n">
        <v>26</v>
      </c>
      <c r="O9146" s="0" t="n">
        <v>546</v>
      </c>
      <c r="P9146" s="0" t="s">
        <v>2444</v>
      </c>
    </row>
    <row r="9147" customFormat="false" ht="15" hidden="false" customHeight="true" outlineLevel="0" collapsed="false">
      <c r="A9147" s="0" t="n">
        <v>2</v>
      </c>
      <c r="B9147" s="71" t="n">
        <v>46286</v>
      </c>
      <c r="C9147" s="0" t="n">
        <v>171</v>
      </c>
      <c r="D9147" s="0" t="s">
        <v>3017</v>
      </c>
      <c r="E9147" s="0" t="n">
        <v>1740</v>
      </c>
      <c r="F9147" s="0" t="s">
        <v>468</v>
      </c>
      <c r="I9147" s="0" t="n">
        <v>1272674</v>
      </c>
      <c r="J9147" s="0" t="n">
        <v>82512</v>
      </c>
      <c r="K9147" s="0" t="n">
        <v>7898953148862</v>
      </c>
      <c r="L9147" s="0" t="s">
        <v>5597</v>
      </c>
      <c r="N9147" s="0" t="n">
        <v>12</v>
      </c>
      <c r="O9147" s="0" t="n">
        <v>35.76</v>
      </c>
      <c r="P9147" s="0" t="s">
        <v>3019</v>
      </c>
    </row>
    <row r="9148" customFormat="false" ht="15" hidden="false" customHeight="true" outlineLevel="0" collapsed="false">
      <c r="A9148" s="0" t="n">
        <v>2</v>
      </c>
      <c r="B9148" s="71" t="n">
        <v>46287</v>
      </c>
      <c r="C9148" s="0" t="n">
        <v>6</v>
      </c>
      <c r="D9148" s="0" t="s">
        <v>2553</v>
      </c>
      <c r="E9148" s="0" t="n">
        <v>48</v>
      </c>
      <c r="F9148" s="0" t="s">
        <v>153</v>
      </c>
      <c r="I9148" s="0" t="n">
        <v>2691</v>
      </c>
      <c r="J9148" s="0" t="n">
        <v>100113</v>
      </c>
      <c r="K9148" s="0" t="n">
        <v>114</v>
      </c>
      <c r="L9148" s="0" t="s">
        <v>2539</v>
      </c>
      <c r="N9148" s="0" t="n">
        <v>20</v>
      </c>
      <c r="O9148" s="0" t="n">
        <v>160</v>
      </c>
      <c r="P9148" s="0" t="s">
        <v>2444</v>
      </c>
    </row>
    <row r="9149" customFormat="false" ht="15" hidden="false" customHeight="true" outlineLevel="0" collapsed="false">
      <c r="A9149" s="0" t="n">
        <v>2</v>
      </c>
      <c r="B9149" s="71" t="n">
        <v>46287</v>
      </c>
      <c r="C9149" s="0" t="n">
        <v>6</v>
      </c>
      <c r="D9149" s="0" t="s">
        <v>2553</v>
      </c>
      <c r="E9149" s="0" t="n">
        <v>48</v>
      </c>
      <c r="F9149" s="0" t="s">
        <v>153</v>
      </c>
      <c r="I9149" s="0" t="n">
        <v>2691</v>
      </c>
      <c r="J9149" s="0" t="n">
        <v>110142</v>
      </c>
      <c r="K9149" s="0" t="n">
        <v>16699</v>
      </c>
      <c r="L9149" s="0" t="s">
        <v>2549</v>
      </c>
      <c r="N9149" s="0" t="n">
        <v>20</v>
      </c>
      <c r="O9149" s="0" t="n">
        <v>120</v>
      </c>
      <c r="P9149" s="0" t="s">
        <v>2444</v>
      </c>
    </row>
    <row r="9150" customFormat="false" ht="15" hidden="false" customHeight="true" outlineLevel="0" collapsed="false">
      <c r="A9150" s="0" t="n">
        <v>2</v>
      </c>
      <c r="B9150" s="71" t="n">
        <v>46287</v>
      </c>
      <c r="C9150" s="0" t="n">
        <v>6</v>
      </c>
      <c r="D9150" s="0" t="s">
        <v>2553</v>
      </c>
      <c r="E9150" s="0" t="n">
        <v>48</v>
      </c>
      <c r="F9150" s="0" t="s">
        <v>153</v>
      </c>
      <c r="I9150" s="0" t="n">
        <v>2692</v>
      </c>
      <c r="J9150" s="0" t="n">
        <v>100062</v>
      </c>
      <c r="K9150" s="0" t="n">
        <v>63</v>
      </c>
      <c r="L9150" s="0" t="s">
        <v>2535</v>
      </c>
      <c r="N9150" s="0" t="n">
        <v>18</v>
      </c>
      <c r="O9150" s="0" t="n">
        <v>130</v>
      </c>
      <c r="P9150" s="0" t="s">
        <v>2444</v>
      </c>
    </row>
    <row r="9151" customFormat="false" ht="15" hidden="false" customHeight="true" outlineLevel="0" collapsed="false">
      <c r="A9151" s="0" t="n">
        <v>2</v>
      </c>
      <c r="B9151" s="71" t="n">
        <v>46287</v>
      </c>
      <c r="C9151" s="0" t="n">
        <v>6</v>
      </c>
      <c r="D9151" s="0" t="s">
        <v>2553</v>
      </c>
      <c r="E9151" s="0" t="n">
        <v>48</v>
      </c>
      <c r="F9151" s="0" t="s">
        <v>153</v>
      </c>
      <c r="I9151" s="0" t="n">
        <v>2692</v>
      </c>
      <c r="J9151" s="0" t="n">
        <v>100106</v>
      </c>
      <c r="K9151" s="0" t="n">
        <v>107</v>
      </c>
      <c r="L9151" s="0" t="s">
        <v>5598</v>
      </c>
      <c r="N9151" s="0" t="n">
        <v>3</v>
      </c>
      <c r="O9151" s="0" t="n">
        <v>21</v>
      </c>
      <c r="P9151" s="0" t="s">
        <v>2444</v>
      </c>
    </row>
    <row r="9152" customFormat="false" ht="15" hidden="false" customHeight="true" outlineLevel="0" collapsed="false">
      <c r="A9152" s="0" t="n">
        <v>2</v>
      </c>
      <c r="B9152" s="71" t="n">
        <v>46287</v>
      </c>
      <c r="C9152" s="0" t="n">
        <v>6</v>
      </c>
      <c r="D9152" s="0" t="s">
        <v>2553</v>
      </c>
      <c r="E9152" s="0" t="n">
        <v>48</v>
      </c>
      <c r="F9152" s="0" t="s">
        <v>153</v>
      </c>
      <c r="I9152" s="0" t="n">
        <v>2692</v>
      </c>
      <c r="J9152" s="0" t="n">
        <v>100107</v>
      </c>
      <c r="K9152" s="0" t="n">
        <v>108</v>
      </c>
      <c r="L9152" s="0" t="s">
        <v>3259</v>
      </c>
      <c r="N9152" s="0" t="n">
        <v>3</v>
      </c>
      <c r="O9152" s="0" t="n">
        <v>30</v>
      </c>
      <c r="P9152" s="0" t="s">
        <v>2444</v>
      </c>
    </row>
    <row r="9153" customFormat="false" ht="15" hidden="false" customHeight="true" outlineLevel="0" collapsed="false">
      <c r="A9153" s="0" t="n">
        <v>2</v>
      </c>
      <c r="B9153" s="71" t="n">
        <v>46287</v>
      </c>
      <c r="C9153" s="0" t="n">
        <v>6</v>
      </c>
      <c r="D9153" s="0" t="s">
        <v>2553</v>
      </c>
      <c r="E9153" s="0" t="n">
        <v>48</v>
      </c>
      <c r="F9153" s="0" t="s">
        <v>153</v>
      </c>
      <c r="I9153" s="0" t="n">
        <v>2692</v>
      </c>
      <c r="J9153" s="0" t="n">
        <v>100109</v>
      </c>
      <c r="K9153" s="0" t="n">
        <v>110</v>
      </c>
      <c r="L9153" s="0" t="s">
        <v>2537</v>
      </c>
      <c r="N9153" s="0" t="n">
        <v>20</v>
      </c>
      <c r="O9153" s="0" t="n">
        <v>140</v>
      </c>
      <c r="P9153" s="0" t="s">
        <v>2444</v>
      </c>
    </row>
    <row r="9154" customFormat="false" ht="15" hidden="false" customHeight="true" outlineLevel="0" collapsed="false">
      <c r="A9154" s="0" t="n">
        <v>2</v>
      </c>
      <c r="B9154" s="71" t="n">
        <v>46287</v>
      </c>
      <c r="C9154" s="0" t="n">
        <v>6</v>
      </c>
      <c r="D9154" s="0" t="s">
        <v>2553</v>
      </c>
      <c r="E9154" s="0" t="n">
        <v>48</v>
      </c>
      <c r="F9154" s="0" t="s">
        <v>153</v>
      </c>
      <c r="I9154" s="0" t="n">
        <v>2692</v>
      </c>
      <c r="J9154" s="0" t="n">
        <v>100116</v>
      </c>
      <c r="K9154" s="0" t="n">
        <v>117</v>
      </c>
      <c r="L9154" s="0" t="s">
        <v>2540</v>
      </c>
      <c r="N9154" s="0" t="n">
        <v>2</v>
      </c>
      <c r="O9154" s="0" t="n">
        <v>20</v>
      </c>
      <c r="P9154" s="0" t="s">
        <v>2444</v>
      </c>
    </row>
    <row r="9155" customFormat="false" ht="15" hidden="false" customHeight="true" outlineLevel="0" collapsed="false">
      <c r="A9155" s="0" t="n">
        <v>2</v>
      </c>
      <c r="B9155" s="71" t="n">
        <v>46287</v>
      </c>
      <c r="C9155" s="0" t="n">
        <v>6</v>
      </c>
      <c r="D9155" s="0" t="s">
        <v>2553</v>
      </c>
      <c r="E9155" s="0" t="n">
        <v>48</v>
      </c>
      <c r="F9155" s="0" t="s">
        <v>153</v>
      </c>
      <c r="I9155" s="0" t="n">
        <v>2692</v>
      </c>
      <c r="J9155" s="0" t="n">
        <v>100118</v>
      </c>
      <c r="K9155" s="0" t="n">
        <v>119</v>
      </c>
      <c r="L9155" s="0" t="s">
        <v>2541</v>
      </c>
      <c r="N9155" s="0" t="n">
        <v>5</v>
      </c>
      <c r="O9155" s="0" t="n">
        <v>35</v>
      </c>
      <c r="P9155" s="0" t="s">
        <v>2444</v>
      </c>
    </row>
    <row r="9156" customFormat="false" ht="15" hidden="false" customHeight="true" outlineLevel="0" collapsed="false">
      <c r="A9156" s="0" t="n">
        <v>2</v>
      </c>
      <c r="B9156" s="71" t="n">
        <v>46287</v>
      </c>
      <c r="C9156" s="0" t="n">
        <v>6</v>
      </c>
      <c r="D9156" s="0" t="s">
        <v>2553</v>
      </c>
      <c r="E9156" s="0" t="n">
        <v>48</v>
      </c>
      <c r="F9156" s="0" t="s">
        <v>153</v>
      </c>
      <c r="I9156" s="0" t="n">
        <v>2692</v>
      </c>
      <c r="J9156" s="0" t="n">
        <v>100121</v>
      </c>
      <c r="K9156" s="0" t="n">
        <v>122</v>
      </c>
      <c r="L9156" s="0" t="s">
        <v>2542</v>
      </c>
      <c r="N9156" s="0" t="n">
        <v>3</v>
      </c>
      <c r="O9156" s="0" t="n">
        <v>84</v>
      </c>
      <c r="P9156" s="0" t="s">
        <v>2444</v>
      </c>
    </row>
    <row r="9157" customFormat="false" ht="15" hidden="false" customHeight="true" outlineLevel="0" collapsed="false">
      <c r="A9157" s="0" t="n">
        <v>2</v>
      </c>
      <c r="B9157" s="71" t="n">
        <v>46287</v>
      </c>
      <c r="C9157" s="0" t="n">
        <v>6</v>
      </c>
      <c r="D9157" s="0" t="s">
        <v>2553</v>
      </c>
      <c r="E9157" s="0" t="n">
        <v>48</v>
      </c>
      <c r="F9157" s="0" t="s">
        <v>153</v>
      </c>
      <c r="I9157" s="0" t="n">
        <v>2692</v>
      </c>
      <c r="J9157" s="0" t="n">
        <v>100122</v>
      </c>
      <c r="K9157" s="0" t="n">
        <v>123</v>
      </c>
      <c r="L9157" s="0" t="s">
        <v>2543</v>
      </c>
      <c r="N9157" s="0" t="n">
        <v>3</v>
      </c>
      <c r="O9157" s="0" t="n">
        <v>36</v>
      </c>
      <c r="P9157" s="0" t="s">
        <v>2444</v>
      </c>
    </row>
    <row r="9158" customFormat="false" ht="15" hidden="false" customHeight="true" outlineLevel="0" collapsed="false">
      <c r="A9158" s="0" t="n">
        <v>2</v>
      </c>
      <c r="B9158" s="71" t="n">
        <v>46287</v>
      </c>
      <c r="C9158" s="0" t="n">
        <v>6</v>
      </c>
      <c r="D9158" s="0" t="s">
        <v>2553</v>
      </c>
      <c r="E9158" s="0" t="n">
        <v>48</v>
      </c>
      <c r="F9158" s="0" t="s">
        <v>153</v>
      </c>
      <c r="I9158" s="0" t="n">
        <v>2692</v>
      </c>
      <c r="J9158" s="0" t="n">
        <v>100123</v>
      </c>
      <c r="K9158" s="0" t="n">
        <v>124</v>
      </c>
      <c r="L9158" s="0" t="s">
        <v>2544</v>
      </c>
      <c r="N9158" s="0" t="n">
        <v>2</v>
      </c>
      <c r="O9158" s="0" t="n">
        <v>24</v>
      </c>
      <c r="P9158" s="0" t="s">
        <v>2444</v>
      </c>
    </row>
    <row r="9159" customFormat="false" ht="15" hidden="false" customHeight="true" outlineLevel="0" collapsed="false">
      <c r="A9159" s="0" t="n">
        <v>2</v>
      </c>
      <c r="B9159" s="71" t="n">
        <v>46287</v>
      </c>
      <c r="C9159" s="0" t="n">
        <v>6</v>
      </c>
      <c r="D9159" s="0" t="s">
        <v>2553</v>
      </c>
      <c r="E9159" s="0" t="n">
        <v>48</v>
      </c>
      <c r="F9159" s="0" t="s">
        <v>153</v>
      </c>
      <c r="I9159" s="0" t="n">
        <v>2692</v>
      </c>
      <c r="J9159" s="0" t="n">
        <v>100124</v>
      </c>
      <c r="K9159" s="0" t="n">
        <v>125</v>
      </c>
      <c r="L9159" s="0" t="s">
        <v>2695</v>
      </c>
      <c r="N9159" s="0" t="n">
        <v>5</v>
      </c>
      <c r="O9159" s="0" t="n">
        <v>50</v>
      </c>
      <c r="P9159" s="0" t="s">
        <v>2444</v>
      </c>
    </row>
    <row r="9160" customFormat="false" ht="15" hidden="false" customHeight="true" outlineLevel="0" collapsed="false">
      <c r="A9160" s="0" t="n">
        <v>2</v>
      </c>
      <c r="B9160" s="71" t="n">
        <v>46287</v>
      </c>
      <c r="C9160" s="0" t="n">
        <v>6</v>
      </c>
      <c r="D9160" s="0" t="s">
        <v>2553</v>
      </c>
      <c r="E9160" s="0" t="n">
        <v>48</v>
      </c>
      <c r="F9160" s="0" t="s">
        <v>153</v>
      </c>
      <c r="I9160" s="0" t="n">
        <v>2692</v>
      </c>
      <c r="J9160" s="0" t="n">
        <v>100125</v>
      </c>
      <c r="K9160" s="0" t="n">
        <v>126</v>
      </c>
      <c r="L9160" s="0" t="s">
        <v>2597</v>
      </c>
      <c r="N9160" s="0" t="n">
        <v>20</v>
      </c>
      <c r="O9160" s="0" t="n">
        <v>150</v>
      </c>
      <c r="P9160" s="0" t="s">
        <v>2444</v>
      </c>
    </row>
    <row r="9161" customFormat="false" ht="15" hidden="false" customHeight="true" outlineLevel="0" collapsed="false">
      <c r="A9161" s="0" t="n">
        <v>2</v>
      </c>
      <c r="B9161" s="71" t="n">
        <v>46287</v>
      </c>
      <c r="C9161" s="0" t="n">
        <v>6</v>
      </c>
      <c r="D9161" s="0" t="s">
        <v>2553</v>
      </c>
      <c r="E9161" s="0" t="n">
        <v>48</v>
      </c>
      <c r="F9161" s="0" t="s">
        <v>153</v>
      </c>
      <c r="I9161" s="0" t="n">
        <v>2692</v>
      </c>
      <c r="J9161" s="0" t="n">
        <v>100130</v>
      </c>
      <c r="K9161" s="0" t="n">
        <v>131</v>
      </c>
      <c r="L9161" s="0" t="s">
        <v>2545</v>
      </c>
      <c r="N9161" s="0" t="n">
        <v>15</v>
      </c>
      <c r="O9161" s="0" t="n">
        <v>135</v>
      </c>
      <c r="P9161" s="0" t="s">
        <v>2444</v>
      </c>
    </row>
    <row r="9162" customFormat="false" ht="15" hidden="false" customHeight="true" outlineLevel="0" collapsed="false">
      <c r="A9162" s="0" t="n">
        <v>2</v>
      </c>
      <c r="B9162" s="71" t="n">
        <v>46287</v>
      </c>
      <c r="C9162" s="0" t="n">
        <v>6</v>
      </c>
      <c r="D9162" s="0" t="s">
        <v>2553</v>
      </c>
      <c r="E9162" s="0" t="n">
        <v>48</v>
      </c>
      <c r="F9162" s="0" t="s">
        <v>153</v>
      </c>
      <c r="I9162" s="0" t="n">
        <v>2692</v>
      </c>
      <c r="J9162" s="0" t="n">
        <v>100132</v>
      </c>
      <c r="K9162" s="0" t="n">
        <v>133</v>
      </c>
      <c r="L9162" s="0" t="s">
        <v>2546</v>
      </c>
      <c r="N9162" s="0" t="n">
        <v>47</v>
      </c>
      <c r="O9162" s="0" t="n">
        <v>111</v>
      </c>
      <c r="P9162" s="0" t="s">
        <v>2444</v>
      </c>
    </row>
    <row r="9163" customFormat="false" ht="15" hidden="false" customHeight="true" outlineLevel="0" collapsed="false">
      <c r="A9163" s="0" t="n">
        <v>2</v>
      </c>
      <c r="B9163" s="71" t="n">
        <v>46287</v>
      </c>
      <c r="C9163" s="0" t="n">
        <v>6</v>
      </c>
      <c r="D9163" s="0" t="s">
        <v>2553</v>
      </c>
      <c r="E9163" s="0" t="n">
        <v>48</v>
      </c>
      <c r="F9163" s="0" t="s">
        <v>153</v>
      </c>
      <c r="I9163" s="0" t="n">
        <v>2692</v>
      </c>
      <c r="J9163" s="0" t="n">
        <v>100133</v>
      </c>
      <c r="K9163" s="0" t="n">
        <v>134</v>
      </c>
      <c r="L9163" s="0" t="s">
        <v>2547</v>
      </c>
      <c r="N9163" s="0" t="n">
        <v>20</v>
      </c>
      <c r="O9163" s="0" t="n">
        <v>60</v>
      </c>
      <c r="P9163" s="0" t="s">
        <v>2444</v>
      </c>
    </row>
    <row r="9164" customFormat="false" ht="15" hidden="false" customHeight="true" outlineLevel="0" collapsed="false">
      <c r="A9164" s="0" t="n">
        <v>2</v>
      </c>
      <c r="B9164" s="71" t="n">
        <v>46287</v>
      </c>
      <c r="C9164" s="0" t="n">
        <v>6</v>
      </c>
      <c r="D9164" s="0" t="s">
        <v>2553</v>
      </c>
      <c r="E9164" s="0" t="n">
        <v>48</v>
      </c>
      <c r="F9164" s="0" t="s">
        <v>153</v>
      </c>
      <c r="I9164" s="0" t="n">
        <v>2692</v>
      </c>
      <c r="J9164" s="0" t="n">
        <v>100135</v>
      </c>
      <c r="K9164" s="0" t="n">
        <v>136</v>
      </c>
      <c r="L9164" s="0" t="s">
        <v>2599</v>
      </c>
      <c r="N9164" s="0" t="n">
        <v>18</v>
      </c>
      <c r="O9164" s="0" t="n">
        <v>140</v>
      </c>
      <c r="P9164" s="0" t="s">
        <v>2444</v>
      </c>
    </row>
    <row r="9165" customFormat="false" ht="15" hidden="false" customHeight="true" outlineLevel="0" collapsed="false">
      <c r="A9165" s="0" t="n">
        <v>2</v>
      </c>
      <c r="B9165" s="71" t="n">
        <v>46287</v>
      </c>
      <c r="C9165" s="0" t="n">
        <v>6</v>
      </c>
      <c r="D9165" s="0" t="s">
        <v>2553</v>
      </c>
      <c r="E9165" s="0" t="n">
        <v>48</v>
      </c>
      <c r="F9165" s="0" t="s">
        <v>153</v>
      </c>
      <c r="I9165" s="0" t="n">
        <v>2692</v>
      </c>
      <c r="J9165" s="0" t="n">
        <v>100148</v>
      </c>
      <c r="K9165" s="0" t="n">
        <v>149</v>
      </c>
      <c r="L9165" s="0" t="s">
        <v>2600</v>
      </c>
      <c r="N9165" s="0" t="n">
        <v>72</v>
      </c>
      <c r="O9165" s="0" t="n">
        <v>480</v>
      </c>
      <c r="P9165" s="0" t="s">
        <v>2444</v>
      </c>
    </row>
    <row r="9166" customFormat="false" ht="15" hidden="false" customHeight="true" outlineLevel="0" collapsed="false">
      <c r="A9166" s="0" t="n">
        <v>2</v>
      </c>
      <c r="B9166" s="71" t="n">
        <v>46287</v>
      </c>
      <c r="C9166" s="0" t="n">
        <v>6</v>
      </c>
      <c r="D9166" s="0" t="s">
        <v>2553</v>
      </c>
      <c r="E9166" s="0" t="n">
        <v>48</v>
      </c>
      <c r="F9166" s="0" t="s">
        <v>153</v>
      </c>
      <c r="I9166" s="0" t="n">
        <v>2692</v>
      </c>
      <c r="J9166" s="0" t="n">
        <v>110143</v>
      </c>
      <c r="K9166" s="0" t="n">
        <v>16700</v>
      </c>
      <c r="L9166" s="0" t="s">
        <v>5599</v>
      </c>
      <c r="N9166" s="0" t="n">
        <v>8</v>
      </c>
      <c r="O9166" s="0" t="n">
        <v>60</v>
      </c>
      <c r="P9166" s="0" t="s">
        <v>2444</v>
      </c>
    </row>
    <row r="9167" customFormat="false" ht="15" hidden="false" customHeight="true" outlineLevel="0" collapsed="false">
      <c r="A9167" s="0" t="n">
        <v>2</v>
      </c>
      <c r="B9167" s="71" t="n">
        <v>46287</v>
      </c>
      <c r="C9167" s="0" t="n">
        <v>6</v>
      </c>
      <c r="D9167" s="0" t="s">
        <v>2553</v>
      </c>
      <c r="E9167" s="0" t="n">
        <v>48</v>
      </c>
      <c r="F9167" s="0" t="s">
        <v>153</v>
      </c>
      <c r="I9167" s="0" t="n">
        <v>2692</v>
      </c>
      <c r="J9167" s="0" t="n">
        <v>110374</v>
      </c>
      <c r="K9167" s="0" t="n">
        <v>48077</v>
      </c>
      <c r="L9167" s="0" t="s">
        <v>2696</v>
      </c>
      <c r="N9167" s="0" t="n">
        <v>5</v>
      </c>
      <c r="O9167" s="0" t="n">
        <v>40</v>
      </c>
      <c r="P9167" s="0" t="s">
        <v>2444</v>
      </c>
    </row>
    <row r="9168" customFormat="false" ht="15" hidden="false" customHeight="true" outlineLevel="0" collapsed="false">
      <c r="A9168" s="0" t="n">
        <v>2</v>
      </c>
      <c r="B9168" s="71" t="n">
        <v>46287</v>
      </c>
      <c r="C9168" s="0" t="n">
        <v>6</v>
      </c>
      <c r="D9168" s="0" t="s">
        <v>2553</v>
      </c>
      <c r="E9168" s="0" t="n">
        <v>48</v>
      </c>
      <c r="F9168" s="0" t="s">
        <v>153</v>
      </c>
      <c r="I9168" s="0" t="n">
        <v>2692</v>
      </c>
      <c r="J9168" s="0" t="n">
        <v>110489</v>
      </c>
      <c r="K9168" s="0" t="n">
        <v>54743</v>
      </c>
      <c r="L9168" s="0" t="s">
        <v>2550</v>
      </c>
      <c r="N9168" s="0" t="n">
        <v>40</v>
      </c>
      <c r="O9168" s="0" t="n">
        <v>260</v>
      </c>
      <c r="P9168" s="0" t="s">
        <v>2444</v>
      </c>
    </row>
    <row r="9169" customFormat="false" ht="15" hidden="false" customHeight="true" outlineLevel="0" collapsed="false">
      <c r="A9169" s="0" t="n">
        <v>2</v>
      </c>
      <c r="B9169" s="71" t="n">
        <v>46287</v>
      </c>
      <c r="C9169" s="0" t="n">
        <v>6</v>
      </c>
      <c r="D9169" s="0" t="s">
        <v>2553</v>
      </c>
      <c r="E9169" s="0" t="n">
        <v>48</v>
      </c>
      <c r="F9169" s="0" t="s">
        <v>153</v>
      </c>
      <c r="I9169" s="0" t="n">
        <v>2692</v>
      </c>
      <c r="J9169" s="0" t="n">
        <v>74674</v>
      </c>
      <c r="K9169" s="0" t="n">
        <v>741</v>
      </c>
      <c r="L9169" s="0" t="s">
        <v>2738</v>
      </c>
      <c r="N9169" s="0" t="n">
        <v>20</v>
      </c>
      <c r="O9169" s="0" t="n">
        <v>260</v>
      </c>
      <c r="P9169" s="0" t="s">
        <v>2444</v>
      </c>
    </row>
    <row r="9170" customFormat="false" ht="15" hidden="false" customHeight="true" outlineLevel="0" collapsed="false">
      <c r="A9170" s="0" t="n">
        <v>2</v>
      </c>
      <c r="B9170" s="71" t="n">
        <v>46287</v>
      </c>
      <c r="C9170" s="0" t="n">
        <v>6</v>
      </c>
      <c r="D9170" s="0" t="s">
        <v>2553</v>
      </c>
      <c r="E9170" s="0" t="n">
        <v>48</v>
      </c>
      <c r="F9170" s="0" t="s">
        <v>153</v>
      </c>
      <c r="I9170" s="0" t="n">
        <v>2692</v>
      </c>
      <c r="J9170" s="0" t="n">
        <v>80078</v>
      </c>
      <c r="K9170" s="0" t="n">
        <v>710</v>
      </c>
      <c r="L9170" s="0" t="s">
        <v>2551</v>
      </c>
      <c r="N9170" s="0" t="n">
        <v>10</v>
      </c>
      <c r="O9170" s="0" t="n">
        <v>30</v>
      </c>
      <c r="P9170" s="0" t="s">
        <v>2444</v>
      </c>
    </row>
    <row r="9171" customFormat="false" ht="15" hidden="false" customHeight="true" outlineLevel="0" collapsed="false">
      <c r="A9171" s="0" t="n">
        <v>2</v>
      </c>
      <c r="B9171" s="71" t="n">
        <v>46287</v>
      </c>
      <c r="C9171" s="0" t="n">
        <v>6</v>
      </c>
      <c r="D9171" s="0" t="s">
        <v>2553</v>
      </c>
      <c r="E9171" s="0" t="n">
        <v>48</v>
      </c>
      <c r="F9171" s="0" t="s">
        <v>153</v>
      </c>
      <c r="I9171" s="0" t="n">
        <v>2692</v>
      </c>
      <c r="J9171" s="0" t="n">
        <v>80308</v>
      </c>
      <c r="K9171" s="0" t="n">
        <v>1250</v>
      </c>
      <c r="L9171" s="0" t="s">
        <v>2552</v>
      </c>
      <c r="N9171" s="0" t="n">
        <v>25</v>
      </c>
      <c r="O9171" s="0" t="n">
        <v>100</v>
      </c>
      <c r="P9171" s="0" t="s">
        <v>2444</v>
      </c>
    </row>
    <row r="9172" customFormat="false" ht="15" hidden="false" customHeight="true" outlineLevel="0" collapsed="false">
      <c r="A9172" s="0" t="n">
        <v>2</v>
      </c>
      <c r="B9172" s="71" t="n">
        <v>46287</v>
      </c>
      <c r="C9172" s="0" t="n">
        <v>6</v>
      </c>
      <c r="D9172" s="0" t="s">
        <v>2553</v>
      </c>
      <c r="E9172" s="0" t="n">
        <v>48</v>
      </c>
      <c r="F9172" s="0" t="s">
        <v>153</v>
      </c>
      <c r="I9172" s="0" t="n">
        <v>2692</v>
      </c>
      <c r="J9172" s="0" t="n">
        <v>81106</v>
      </c>
      <c r="K9172" s="0" t="n">
        <v>1168</v>
      </c>
      <c r="L9172" s="0" t="s">
        <v>4683</v>
      </c>
      <c r="N9172" s="0" t="n">
        <v>20</v>
      </c>
      <c r="O9172" s="0" t="n">
        <v>60</v>
      </c>
      <c r="P9172" s="0" t="s">
        <v>2444</v>
      </c>
    </row>
    <row r="9173" customFormat="false" ht="15" hidden="false" customHeight="true" outlineLevel="0" collapsed="false">
      <c r="A9173" s="0" t="n">
        <v>2</v>
      </c>
      <c r="B9173" s="71" t="n">
        <v>46287</v>
      </c>
      <c r="C9173" s="0" t="n">
        <v>11</v>
      </c>
      <c r="D9173" s="0" t="s">
        <v>2471</v>
      </c>
      <c r="E9173" s="0" t="n">
        <v>1625</v>
      </c>
      <c r="F9173" s="0" t="s">
        <v>270</v>
      </c>
      <c r="I9173" s="0" t="n">
        <v>15422</v>
      </c>
      <c r="J9173" s="0" t="n">
        <v>29079</v>
      </c>
      <c r="K9173" s="0" t="n">
        <v>55515</v>
      </c>
      <c r="L9173" s="0" t="s">
        <v>2449</v>
      </c>
      <c r="N9173" s="0" t="n">
        <v>76.4</v>
      </c>
      <c r="O9173" s="0" t="n">
        <v>2444.8</v>
      </c>
      <c r="P9173" s="0" t="s">
        <v>2444</v>
      </c>
    </row>
    <row r="9174" customFormat="false" ht="15" hidden="false" customHeight="true" outlineLevel="0" collapsed="false">
      <c r="A9174" s="0" t="n">
        <v>2</v>
      </c>
      <c r="B9174" s="71" t="n">
        <v>46287</v>
      </c>
      <c r="C9174" s="0" t="n">
        <v>11</v>
      </c>
      <c r="D9174" s="0" t="s">
        <v>2471</v>
      </c>
      <c r="E9174" s="0" t="n">
        <v>1642</v>
      </c>
      <c r="F9174" s="0" t="s">
        <v>228</v>
      </c>
      <c r="I9174" s="0" t="n">
        <v>1042983</v>
      </c>
      <c r="J9174" s="0" t="n">
        <v>105780</v>
      </c>
      <c r="K9174" s="0" t="n">
        <v>7896289210017</v>
      </c>
      <c r="L9174" s="0" t="s">
        <v>2511</v>
      </c>
      <c r="N9174" s="0" t="n">
        <v>8</v>
      </c>
      <c r="O9174" s="0" t="n">
        <v>85.36</v>
      </c>
      <c r="P9174" s="0" t="s">
        <v>2444</v>
      </c>
    </row>
    <row r="9175" customFormat="false" ht="15" hidden="false" customHeight="true" outlineLevel="0" collapsed="false">
      <c r="A9175" s="0" t="n">
        <v>2</v>
      </c>
      <c r="B9175" s="71" t="n">
        <v>46287</v>
      </c>
      <c r="C9175" s="0" t="n">
        <v>11</v>
      </c>
      <c r="D9175" s="0" t="s">
        <v>2471</v>
      </c>
      <c r="E9175" s="0" t="n">
        <v>1642</v>
      </c>
      <c r="F9175" s="0" t="s">
        <v>228</v>
      </c>
      <c r="I9175" s="0" t="n">
        <v>1042983</v>
      </c>
      <c r="J9175" s="0" t="n">
        <v>105782</v>
      </c>
      <c r="K9175" s="0" t="n">
        <v>7896289210352</v>
      </c>
      <c r="L9175" s="0" t="s">
        <v>2512</v>
      </c>
      <c r="N9175" s="0" t="n">
        <v>5</v>
      </c>
      <c r="O9175" s="0" t="n">
        <v>34.3</v>
      </c>
      <c r="P9175" s="0" t="s">
        <v>2444</v>
      </c>
    </row>
    <row r="9176" customFormat="false" ht="15" hidden="false" customHeight="true" outlineLevel="0" collapsed="false">
      <c r="A9176" s="0" t="n">
        <v>2</v>
      </c>
      <c r="B9176" s="71" t="n">
        <v>46287</v>
      </c>
      <c r="C9176" s="0" t="n">
        <v>11</v>
      </c>
      <c r="D9176" s="0" t="s">
        <v>2471</v>
      </c>
      <c r="E9176" s="0" t="n">
        <v>1642</v>
      </c>
      <c r="F9176" s="0" t="s">
        <v>228</v>
      </c>
      <c r="I9176" s="0" t="n">
        <v>1042983</v>
      </c>
      <c r="J9176" s="0" t="n">
        <v>106079</v>
      </c>
      <c r="K9176" s="0" t="n">
        <v>7896289210130</v>
      </c>
      <c r="L9176" s="0" t="s">
        <v>2513</v>
      </c>
      <c r="N9176" s="0" t="n">
        <v>4</v>
      </c>
      <c r="O9176" s="0" t="n">
        <v>54.8</v>
      </c>
      <c r="P9176" s="0" t="s">
        <v>2444</v>
      </c>
    </row>
    <row r="9177" customFormat="false" ht="15" hidden="false" customHeight="true" outlineLevel="0" collapsed="false">
      <c r="A9177" s="0" t="n">
        <v>2</v>
      </c>
      <c r="B9177" s="71" t="n">
        <v>46287</v>
      </c>
      <c r="C9177" s="0" t="n">
        <v>11</v>
      </c>
      <c r="D9177" s="0" t="s">
        <v>2471</v>
      </c>
      <c r="E9177" s="0" t="n">
        <v>1642</v>
      </c>
      <c r="F9177" s="0" t="s">
        <v>228</v>
      </c>
      <c r="I9177" s="0" t="n">
        <v>1042983</v>
      </c>
      <c r="J9177" s="0" t="n">
        <v>106274</v>
      </c>
      <c r="K9177" s="0" t="n">
        <v>7896289210086</v>
      </c>
      <c r="L9177" s="0" t="s">
        <v>2514</v>
      </c>
      <c r="N9177" s="0" t="n">
        <v>4</v>
      </c>
      <c r="O9177" s="0" t="n">
        <v>50.24</v>
      </c>
      <c r="P9177" s="0" t="s">
        <v>2444</v>
      </c>
    </row>
    <row r="9178" customFormat="false" ht="15" hidden="false" customHeight="true" outlineLevel="0" collapsed="false">
      <c r="A9178" s="0" t="n">
        <v>2</v>
      </c>
      <c r="B9178" s="71" t="n">
        <v>46287</v>
      </c>
      <c r="C9178" s="0" t="n">
        <v>11</v>
      </c>
      <c r="D9178" s="0" t="s">
        <v>2471</v>
      </c>
      <c r="E9178" s="0" t="n">
        <v>1642</v>
      </c>
      <c r="F9178" s="0" t="s">
        <v>228</v>
      </c>
      <c r="I9178" s="0" t="n">
        <v>1042983</v>
      </c>
      <c r="J9178" s="0" t="n">
        <v>106407</v>
      </c>
      <c r="K9178" s="0" t="n">
        <v>7896289210031</v>
      </c>
      <c r="L9178" s="0" t="s">
        <v>2516</v>
      </c>
      <c r="N9178" s="0" t="n">
        <v>3</v>
      </c>
      <c r="O9178" s="0" t="n">
        <v>34.92</v>
      </c>
      <c r="P9178" s="0" t="s">
        <v>2444</v>
      </c>
    </row>
    <row r="9179" customFormat="false" ht="15" hidden="false" customHeight="true" outlineLevel="0" collapsed="false">
      <c r="A9179" s="0" t="n">
        <v>2</v>
      </c>
      <c r="B9179" s="71" t="n">
        <v>46287</v>
      </c>
      <c r="C9179" s="0" t="n">
        <v>11</v>
      </c>
      <c r="D9179" s="0" t="s">
        <v>2471</v>
      </c>
      <c r="E9179" s="0" t="n">
        <v>1683</v>
      </c>
      <c r="F9179" s="0" t="s">
        <v>406</v>
      </c>
      <c r="I9179" s="0" t="n">
        <v>1683531</v>
      </c>
      <c r="J9179" s="0" t="n">
        <v>109791</v>
      </c>
      <c r="K9179" s="0" t="n">
        <v>9667</v>
      </c>
      <c r="L9179" s="0" t="s">
        <v>2465</v>
      </c>
      <c r="N9179" s="0" t="n">
        <v>10</v>
      </c>
      <c r="O9179" s="0" t="n">
        <v>15</v>
      </c>
      <c r="P9179" s="0" t="s">
        <v>2444</v>
      </c>
    </row>
    <row r="9180" customFormat="false" ht="15" hidden="false" customHeight="true" outlineLevel="0" collapsed="false">
      <c r="A9180" s="0" t="n">
        <v>2</v>
      </c>
      <c r="B9180" s="71" t="n">
        <v>46287</v>
      </c>
      <c r="C9180" s="0" t="n">
        <v>11</v>
      </c>
      <c r="D9180" s="0" t="s">
        <v>2471</v>
      </c>
      <c r="E9180" s="0" t="n">
        <v>1683</v>
      </c>
      <c r="F9180" s="0" t="s">
        <v>406</v>
      </c>
      <c r="I9180" s="0" t="n">
        <v>1683531</v>
      </c>
      <c r="J9180" s="0" t="n">
        <v>37359</v>
      </c>
      <c r="K9180" s="0" t="n">
        <v>55526</v>
      </c>
      <c r="L9180" s="0" t="s">
        <v>2466</v>
      </c>
      <c r="N9180" s="0" t="n">
        <v>5</v>
      </c>
      <c r="O9180" s="0" t="n">
        <v>25</v>
      </c>
      <c r="P9180" s="0" t="s">
        <v>2444</v>
      </c>
    </row>
    <row r="9181" customFormat="false" ht="15" hidden="false" customHeight="true" outlineLevel="0" collapsed="false">
      <c r="A9181" s="0" t="n">
        <v>2</v>
      </c>
      <c r="B9181" s="71" t="n">
        <v>46287</v>
      </c>
      <c r="C9181" s="0" t="n">
        <v>11</v>
      </c>
      <c r="D9181" s="0" t="s">
        <v>2471</v>
      </c>
      <c r="E9181" s="0" t="n">
        <v>1683</v>
      </c>
      <c r="F9181" s="0" t="s">
        <v>406</v>
      </c>
      <c r="I9181" s="0" t="n">
        <v>1683531</v>
      </c>
      <c r="J9181" s="0" t="n">
        <v>37361</v>
      </c>
      <c r="K9181" s="0" t="n">
        <v>2240817</v>
      </c>
      <c r="L9181" s="0" t="s">
        <v>2467</v>
      </c>
      <c r="N9181" s="0" t="n">
        <v>65</v>
      </c>
      <c r="O9181" s="0" t="n">
        <v>117</v>
      </c>
      <c r="P9181" s="0" t="s">
        <v>2444</v>
      </c>
    </row>
    <row r="9182" customFormat="false" ht="15" hidden="false" customHeight="true" outlineLevel="0" collapsed="false">
      <c r="A9182" s="0" t="n">
        <v>2</v>
      </c>
      <c r="B9182" s="71" t="n">
        <v>46287</v>
      </c>
      <c r="C9182" s="0" t="n">
        <v>11</v>
      </c>
      <c r="D9182" s="0" t="s">
        <v>2471</v>
      </c>
      <c r="E9182" s="0" t="n">
        <v>1608</v>
      </c>
      <c r="F9182" s="0" t="s">
        <v>240</v>
      </c>
      <c r="I9182" s="0" t="n">
        <v>1733742</v>
      </c>
      <c r="J9182" s="0" t="n">
        <v>65341</v>
      </c>
      <c r="K9182" s="0" t="n">
        <v>7892840822309</v>
      </c>
      <c r="L9182" s="0" t="s">
        <v>3524</v>
      </c>
      <c r="N9182" s="0" t="n">
        <v>112</v>
      </c>
      <c r="O9182" s="0" t="n">
        <v>366.24</v>
      </c>
      <c r="P9182" s="0" t="s">
        <v>2444</v>
      </c>
    </row>
    <row r="9183" customFormat="false" ht="15" hidden="false" customHeight="true" outlineLevel="0" collapsed="false">
      <c r="A9183" s="0" t="n">
        <v>2</v>
      </c>
      <c r="B9183" s="71" t="n">
        <v>46287</v>
      </c>
      <c r="C9183" s="0" t="n">
        <v>11</v>
      </c>
      <c r="D9183" s="0" t="s">
        <v>2471</v>
      </c>
      <c r="E9183" s="0" t="n">
        <v>1612</v>
      </c>
      <c r="F9183" s="0" t="s">
        <v>74</v>
      </c>
      <c r="I9183" s="0" t="n">
        <v>2320993</v>
      </c>
      <c r="J9183" s="0" t="n">
        <v>100820</v>
      </c>
      <c r="K9183" s="0" t="n">
        <v>7896013100386</v>
      </c>
      <c r="L9183" s="0" t="s">
        <v>3456</v>
      </c>
      <c r="N9183" s="0" t="n">
        <v>120</v>
      </c>
      <c r="O9183" s="0" t="n">
        <v>286.8</v>
      </c>
      <c r="P9183" s="0" t="s">
        <v>2444</v>
      </c>
    </row>
    <row r="9184" customFormat="false" ht="15" hidden="false" customHeight="true" outlineLevel="0" collapsed="false">
      <c r="A9184" s="0" t="n">
        <v>2</v>
      </c>
      <c r="B9184" s="71" t="n">
        <v>46287</v>
      </c>
      <c r="C9184" s="0" t="n">
        <v>11</v>
      </c>
      <c r="D9184" s="0" t="s">
        <v>2471</v>
      </c>
      <c r="E9184" s="0" t="n">
        <v>1612</v>
      </c>
      <c r="F9184" s="0" t="s">
        <v>74</v>
      </c>
      <c r="I9184" s="0" t="n">
        <v>2320993</v>
      </c>
      <c r="J9184" s="0" t="n">
        <v>28989</v>
      </c>
      <c r="K9184" s="0" t="n">
        <v>7896003738629</v>
      </c>
      <c r="L9184" s="0" t="s">
        <v>4954</v>
      </c>
      <c r="N9184" s="0" t="n">
        <v>24</v>
      </c>
      <c r="O9184" s="0" t="n">
        <v>107.76</v>
      </c>
      <c r="P9184" s="0" t="s">
        <v>2444</v>
      </c>
    </row>
    <row r="9185" customFormat="false" ht="15" hidden="false" customHeight="true" outlineLevel="0" collapsed="false">
      <c r="A9185" s="0" t="n">
        <v>2</v>
      </c>
      <c r="B9185" s="71" t="n">
        <v>46287</v>
      </c>
      <c r="C9185" s="0" t="n">
        <v>11</v>
      </c>
      <c r="D9185" s="0" t="s">
        <v>2471</v>
      </c>
      <c r="E9185" s="0" t="n">
        <v>1612</v>
      </c>
      <c r="F9185" s="0" t="s">
        <v>74</v>
      </c>
      <c r="I9185" s="0" t="n">
        <v>2320993</v>
      </c>
      <c r="J9185" s="0" t="n">
        <v>32867</v>
      </c>
      <c r="K9185" s="0" t="n">
        <v>7896003737394</v>
      </c>
      <c r="L9185" s="0" t="s">
        <v>3947</v>
      </c>
      <c r="N9185" s="0" t="n">
        <v>16</v>
      </c>
      <c r="O9185" s="0" t="n">
        <v>59.2</v>
      </c>
      <c r="P9185" s="0" t="s">
        <v>2444</v>
      </c>
    </row>
    <row r="9186" customFormat="false" ht="15" hidden="false" customHeight="true" outlineLevel="0" collapsed="false">
      <c r="A9186" s="0" t="n">
        <v>2</v>
      </c>
      <c r="B9186" s="71" t="n">
        <v>46287</v>
      </c>
      <c r="C9186" s="0" t="n">
        <v>11</v>
      </c>
      <c r="D9186" s="0" t="s">
        <v>2471</v>
      </c>
      <c r="E9186" s="0" t="n">
        <v>1612</v>
      </c>
      <c r="F9186" s="0" t="s">
        <v>74</v>
      </c>
      <c r="I9186" s="0" t="n">
        <v>2320993</v>
      </c>
      <c r="J9186" s="0" t="n">
        <v>33987</v>
      </c>
      <c r="K9186" s="0" t="n">
        <v>7896003737400</v>
      </c>
      <c r="L9186" s="0" t="s">
        <v>3948</v>
      </c>
      <c r="N9186" s="0" t="n">
        <v>16</v>
      </c>
      <c r="O9186" s="0" t="n">
        <v>59.2</v>
      </c>
      <c r="P9186" s="0" t="s">
        <v>2444</v>
      </c>
    </row>
    <row r="9187" customFormat="false" ht="15" hidden="false" customHeight="true" outlineLevel="0" collapsed="false">
      <c r="A9187" s="0" t="n">
        <v>2</v>
      </c>
      <c r="B9187" s="71" t="n">
        <v>46287</v>
      </c>
      <c r="C9187" s="0" t="n">
        <v>11</v>
      </c>
      <c r="D9187" s="0" t="s">
        <v>2471</v>
      </c>
      <c r="E9187" s="0" t="n">
        <v>1612</v>
      </c>
      <c r="F9187" s="0" t="s">
        <v>74</v>
      </c>
      <c r="I9187" s="0" t="n">
        <v>2320993</v>
      </c>
      <c r="J9187" s="0" t="n">
        <v>34037</v>
      </c>
      <c r="K9187" s="0" t="n">
        <v>7896003737417</v>
      </c>
      <c r="L9187" s="0" t="s">
        <v>3949</v>
      </c>
      <c r="N9187" s="0" t="n">
        <v>16</v>
      </c>
      <c r="O9187" s="0" t="n">
        <v>59.2</v>
      </c>
      <c r="P9187" s="0" t="s">
        <v>2444</v>
      </c>
    </row>
    <row r="9188" customFormat="false" ht="15" hidden="false" customHeight="true" outlineLevel="0" collapsed="false">
      <c r="A9188" s="0" t="n">
        <v>2</v>
      </c>
      <c r="B9188" s="71" t="n">
        <v>46287</v>
      </c>
      <c r="C9188" s="0" t="n">
        <v>11</v>
      </c>
      <c r="D9188" s="0" t="s">
        <v>2471</v>
      </c>
      <c r="E9188" s="0" t="n">
        <v>1612</v>
      </c>
      <c r="F9188" s="0" t="s">
        <v>74</v>
      </c>
      <c r="I9188" s="0" t="n">
        <v>2320993</v>
      </c>
      <c r="J9188" s="0" t="n">
        <v>63795</v>
      </c>
      <c r="K9188" s="0" t="n">
        <v>7896003739374</v>
      </c>
      <c r="L9188" s="0" t="s">
        <v>5600</v>
      </c>
      <c r="N9188" s="0" t="n">
        <v>9</v>
      </c>
      <c r="O9188" s="0" t="n">
        <v>45</v>
      </c>
      <c r="P9188" s="0" t="s">
        <v>2444</v>
      </c>
    </row>
    <row r="9189" customFormat="false" ht="15" hidden="false" customHeight="true" outlineLevel="0" collapsed="false">
      <c r="A9189" s="0" t="n">
        <v>2</v>
      </c>
      <c r="B9189" s="71" t="n">
        <v>46287</v>
      </c>
      <c r="C9189" s="0" t="n">
        <v>11</v>
      </c>
      <c r="D9189" s="0" t="s">
        <v>2471</v>
      </c>
      <c r="E9189" s="0" t="n">
        <v>1612</v>
      </c>
      <c r="F9189" s="0" t="s">
        <v>74</v>
      </c>
      <c r="I9189" s="0" t="n">
        <v>2320993</v>
      </c>
      <c r="J9189" s="0" t="n">
        <v>63796</v>
      </c>
      <c r="K9189" s="0" t="n">
        <v>7896003739336</v>
      </c>
      <c r="L9189" s="0" t="s">
        <v>5601</v>
      </c>
      <c r="N9189" s="0" t="n">
        <v>9</v>
      </c>
      <c r="O9189" s="0" t="n">
        <v>45</v>
      </c>
      <c r="P9189" s="0" t="s">
        <v>2444</v>
      </c>
    </row>
    <row r="9190" customFormat="false" ht="15" hidden="false" customHeight="true" outlineLevel="0" collapsed="false">
      <c r="A9190" s="0" t="n">
        <v>2</v>
      </c>
      <c r="B9190" s="71" t="n">
        <v>46287</v>
      </c>
      <c r="C9190" s="0" t="n">
        <v>11</v>
      </c>
      <c r="D9190" s="0" t="s">
        <v>2471</v>
      </c>
      <c r="E9190" s="0" t="n">
        <v>1612</v>
      </c>
      <c r="F9190" s="0" t="s">
        <v>74</v>
      </c>
      <c r="I9190" s="0" t="n">
        <v>2320993</v>
      </c>
      <c r="J9190" s="0" t="n">
        <v>63797</v>
      </c>
      <c r="K9190" s="0" t="n">
        <v>7896003739381</v>
      </c>
      <c r="L9190" s="0" t="s">
        <v>3950</v>
      </c>
      <c r="N9190" s="0" t="n">
        <v>9</v>
      </c>
      <c r="O9190" s="0" t="n">
        <v>45</v>
      </c>
      <c r="P9190" s="0" t="s">
        <v>2444</v>
      </c>
    </row>
    <row r="9191" customFormat="false" ht="15" hidden="false" customHeight="true" outlineLevel="0" collapsed="false">
      <c r="A9191" s="0" t="n">
        <v>2</v>
      </c>
      <c r="B9191" s="71" t="n">
        <v>46287</v>
      </c>
      <c r="C9191" s="0" t="n">
        <v>22</v>
      </c>
      <c r="D9191" s="0" t="s">
        <v>2479</v>
      </c>
      <c r="E9191" s="0" t="n">
        <v>48</v>
      </c>
      <c r="F9191" s="0" t="s">
        <v>153</v>
      </c>
      <c r="I9191" s="0" t="n">
        <v>2694</v>
      </c>
      <c r="J9191" s="0" t="n">
        <v>100000</v>
      </c>
      <c r="K9191" s="0" t="n">
        <v>1</v>
      </c>
      <c r="L9191" s="0" t="s">
        <v>2480</v>
      </c>
      <c r="N9191" s="0" t="n">
        <v>3.222</v>
      </c>
      <c r="O9191" s="0" t="n">
        <v>63.78</v>
      </c>
      <c r="P9191" s="0" t="s">
        <v>2444</v>
      </c>
    </row>
    <row r="9192" customFormat="false" ht="15" hidden="false" customHeight="true" outlineLevel="0" collapsed="false">
      <c r="A9192" s="0" t="n">
        <v>2</v>
      </c>
      <c r="B9192" s="71" t="n">
        <v>46287</v>
      </c>
      <c r="C9192" s="0" t="n">
        <v>22</v>
      </c>
      <c r="D9192" s="0" t="s">
        <v>2479</v>
      </c>
      <c r="E9192" s="0" t="n">
        <v>48</v>
      </c>
      <c r="F9192" s="0" t="s">
        <v>153</v>
      </c>
      <c r="I9192" s="0" t="n">
        <v>2694</v>
      </c>
      <c r="J9192" s="0" t="n">
        <v>100006</v>
      </c>
      <c r="K9192" s="0" t="n">
        <v>7</v>
      </c>
      <c r="L9192" s="0" t="s">
        <v>2485</v>
      </c>
      <c r="N9192" s="0" t="n">
        <v>2.498</v>
      </c>
      <c r="O9192" s="0" t="n">
        <v>70.06</v>
      </c>
      <c r="P9192" s="0" t="s">
        <v>2444</v>
      </c>
    </row>
    <row r="9193" customFormat="false" ht="15" hidden="false" customHeight="true" outlineLevel="0" collapsed="false">
      <c r="A9193" s="0" t="n">
        <v>2</v>
      </c>
      <c r="B9193" s="71" t="n">
        <v>46287</v>
      </c>
      <c r="C9193" s="0" t="n">
        <v>22</v>
      </c>
      <c r="D9193" s="0" t="s">
        <v>2479</v>
      </c>
      <c r="E9193" s="0" t="n">
        <v>48</v>
      </c>
      <c r="F9193" s="0" t="s">
        <v>153</v>
      </c>
      <c r="I9193" s="0" t="n">
        <v>2694</v>
      </c>
      <c r="J9193" s="0" t="n">
        <v>100007</v>
      </c>
      <c r="K9193" s="0" t="n">
        <v>8</v>
      </c>
      <c r="L9193" s="0" t="s">
        <v>2486</v>
      </c>
      <c r="N9193" s="0" t="n">
        <v>3.528</v>
      </c>
      <c r="O9193" s="0" t="n">
        <v>87.3</v>
      </c>
      <c r="P9193" s="0" t="s">
        <v>2444</v>
      </c>
    </row>
    <row r="9194" customFormat="false" ht="15" hidden="false" customHeight="true" outlineLevel="0" collapsed="false">
      <c r="A9194" s="0" t="n">
        <v>2</v>
      </c>
      <c r="B9194" s="71" t="n">
        <v>46287</v>
      </c>
      <c r="C9194" s="0" t="n">
        <v>22</v>
      </c>
      <c r="D9194" s="0" t="s">
        <v>2479</v>
      </c>
      <c r="E9194" s="0" t="n">
        <v>48</v>
      </c>
      <c r="F9194" s="0" t="s">
        <v>153</v>
      </c>
      <c r="I9194" s="0" t="n">
        <v>2694</v>
      </c>
      <c r="J9194" s="0" t="n">
        <v>100008</v>
      </c>
      <c r="K9194" s="0" t="n">
        <v>9</v>
      </c>
      <c r="L9194" s="0" t="s">
        <v>2487</v>
      </c>
      <c r="N9194" s="0" t="n">
        <v>15.03</v>
      </c>
      <c r="O9194" s="0" t="n">
        <v>483.54</v>
      </c>
      <c r="P9194" s="0" t="s">
        <v>2444</v>
      </c>
    </row>
    <row r="9195" customFormat="false" ht="15" hidden="false" customHeight="true" outlineLevel="0" collapsed="false">
      <c r="A9195" s="0" t="n">
        <v>2</v>
      </c>
      <c r="B9195" s="71" t="n">
        <v>46287</v>
      </c>
      <c r="C9195" s="0" t="n">
        <v>22</v>
      </c>
      <c r="D9195" s="0" t="s">
        <v>2479</v>
      </c>
      <c r="E9195" s="0" t="n">
        <v>48</v>
      </c>
      <c r="F9195" s="0" t="s">
        <v>153</v>
      </c>
      <c r="I9195" s="0" t="n">
        <v>2694</v>
      </c>
      <c r="J9195" s="0" t="n">
        <v>100011</v>
      </c>
      <c r="K9195" s="0" t="n">
        <v>12</v>
      </c>
      <c r="L9195" s="0" t="s">
        <v>2488</v>
      </c>
      <c r="N9195" s="0" t="n">
        <v>10.555</v>
      </c>
      <c r="O9195" s="0" t="n">
        <v>391.83</v>
      </c>
      <c r="P9195" s="0" t="s">
        <v>2444</v>
      </c>
    </row>
    <row r="9196" customFormat="false" ht="15" hidden="false" customHeight="true" outlineLevel="0" collapsed="false">
      <c r="A9196" s="0" t="n">
        <v>2</v>
      </c>
      <c r="B9196" s="71" t="n">
        <v>46287</v>
      </c>
      <c r="C9196" s="0" t="n">
        <v>22</v>
      </c>
      <c r="D9196" s="0" t="s">
        <v>2479</v>
      </c>
      <c r="E9196" s="0" t="n">
        <v>48</v>
      </c>
      <c r="F9196" s="0" t="s">
        <v>153</v>
      </c>
      <c r="I9196" s="0" t="n">
        <v>2694</v>
      </c>
      <c r="J9196" s="0" t="n">
        <v>100012</v>
      </c>
      <c r="K9196" s="0" t="n">
        <v>13</v>
      </c>
      <c r="L9196" s="0" t="s">
        <v>2489</v>
      </c>
      <c r="N9196" s="0" t="n">
        <v>5.276</v>
      </c>
      <c r="O9196" s="0" t="n">
        <v>217.62</v>
      </c>
      <c r="P9196" s="0" t="s">
        <v>2444</v>
      </c>
    </row>
    <row r="9197" customFormat="false" ht="15" hidden="false" customHeight="true" outlineLevel="0" collapsed="false">
      <c r="A9197" s="0" t="n">
        <v>2</v>
      </c>
      <c r="B9197" s="71" t="n">
        <v>46287</v>
      </c>
      <c r="C9197" s="0" t="n">
        <v>22</v>
      </c>
      <c r="D9197" s="0" t="s">
        <v>2479</v>
      </c>
      <c r="E9197" s="0" t="n">
        <v>48</v>
      </c>
      <c r="F9197" s="0" t="s">
        <v>153</v>
      </c>
      <c r="I9197" s="0" t="n">
        <v>2694</v>
      </c>
      <c r="J9197" s="0" t="n">
        <v>100013</v>
      </c>
      <c r="K9197" s="0" t="n">
        <v>14</v>
      </c>
      <c r="L9197" s="0" t="s">
        <v>2490</v>
      </c>
      <c r="N9197" s="0" t="n">
        <v>12.34</v>
      </c>
      <c r="O9197" s="0" t="n">
        <v>539.55</v>
      </c>
      <c r="P9197" s="0" t="s">
        <v>2444</v>
      </c>
    </row>
    <row r="9198" customFormat="false" ht="15" hidden="false" customHeight="true" outlineLevel="0" collapsed="false">
      <c r="A9198" s="0" t="n">
        <v>2</v>
      </c>
      <c r="B9198" s="71" t="n">
        <v>46287</v>
      </c>
      <c r="C9198" s="0" t="n">
        <v>22</v>
      </c>
      <c r="D9198" s="0" t="s">
        <v>2479</v>
      </c>
      <c r="E9198" s="0" t="n">
        <v>48</v>
      </c>
      <c r="F9198" s="0" t="s">
        <v>153</v>
      </c>
      <c r="I9198" s="0" t="n">
        <v>2694</v>
      </c>
      <c r="J9198" s="0" t="n">
        <v>100014</v>
      </c>
      <c r="K9198" s="0" t="n">
        <v>15</v>
      </c>
      <c r="L9198" s="0" t="s">
        <v>2491</v>
      </c>
      <c r="N9198" s="0" t="n">
        <v>3.97</v>
      </c>
      <c r="O9198" s="0" t="n">
        <v>176.86</v>
      </c>
      <c r="P9198" s="0" t="s">
        <v>2444</v>
      </c>
    </row>
    <row r="9199" customFormat="false" ht="15" hidden="false" customHeight="true" outlineLevel="0" collapsed="false">
      <c r="A9199" s="0" t="n">
        <v>2</v>
      </c>
      <c r="B9199" s="71" t="n">
        <v>46287</v>
      </c>
      <c r="C9199" s="0" t="n">
        <v>22</v>
      </c>
      <c r="D9199" s="0" t="s">
        <v>2479</v>
      </c>
      <c r="E9199" s="0" t="n">
        <v>48</v>
      </c>
      <c r="F9199" s="0" t="s">
        <v>153</v>
      </c>
      <c r="I9199" s="0" t="n">
        <v>2694</v>
      </c>
      <c r="J9199" s="0" t="n">
        <v>100015</v>
      </c>
      <c r="K9199" s="0" t="n">
        <v>16</v>
      </c>
      <c r="L9199" s="0" t="s">
        <v>2492</v>
      </c>
      <c r="N9199" s="0" t="n">
        <v>1.676</v>
      </c>
      <c r="O9199" s="0" t="n">
        <v>66.37</v>
      </c>
      <c r="P9199" s="0" t="s">
        <v>2444</v>
      </c>
    </row>
    <row r="9200" customFormat="false" ht="15" hidden="false" customHeight="true" outlineLevel="0" collapsed="false">
      <c r="A9200" s="0" t="n">
        <v>2</v>
      </c>
      <c r="B9200" s="71" t="n">
        <v>46287</v>
      </c>
      <c r="C9200" s="0" t="n">
        <v>22</v>
      </c>
      <c r="D9200" s="0" t="s">
        <v>2479</v>
      </c>
      <c r="E9200" s="0" t="n">
        <v>48</v>
      </c>
      <c r="F9200" s="0" t="s">
        <v>153</v>
      </c>
      <c r="I9200" s="0" t="n">
        <v>2694</v>
      </c>
      <c r="J9200" s="0" t="n">
        <v>100016</v>
      </c>
      <c r="K9200" s="0" t="n">
        <v>17</v>
      </c>
      <c r="L9200" s="0" t="s">
        <v>2493</v>
      </c>
      <c r="N9200" s="0" t="n">
        <v>1.808</v>
      </c>
      <c r="O9200" s="0" t="n">
        <v>89.49</v>
      </c>
      <c r="P9200" s="0" t="s">
        <v>2444</v>
      </c>
    </row>
    <row r="9201" customFormat="false" ht="15" hidden="false" customHeight="true" outlineLevel="0" collapsed="false">
      <c r="A9201" s="0" t="n">
        <v>2</v>
      </c>
      <c r="B9201" s="71" t="n">
        <v>46287</v>
      </c>
      <c r="C9201" s="0" t="n">
        <v>22</v>
      </c>
      <c r="D9201" s="0" t="s">
        <v>2479</v>
      </c>
      <c r="E9201" s="0" t="n">
        <v>48</v>
      </c>
      <c r="F9201" s="0" t="s">
        <v>153</v>
      </c>
      <c r="I9201" s="0" t="n">
        <v>2694</v>
      </c>
      <c r="J9201" s="0" t="n">
        <v>100017</v>
      </c>
      <c r="K9201" s="0" t="n">
        <v>18</v>
      </c>
      <c r="L9201" s="0" t="s">
        <v>2494</v>
      </c>
      <c r="N9201" s="0" t="n">
        <v>1.968</v>
      </c>
      <c r="O9201" s="0" t="n">
        <v>113.65</v>
      </c>
      <c r="P9201" s="0" t="s">
        <v>2444</v>
      </c>
    </row>
    <row r="9202" customFormat="false" ht="15" hidden="false" customHeight="true" outlineLevel="0" collapsed="false">
      <c r="A9202" s="0" t="n">
        <v>2</v>
      </c>
      <c r="B9202" s="71" t="n">
        <v>46287</v>
      </c>
      <c r="C9202" s="0" t="n">
        <v>22</v>
      </c>
      <c r="D9202" s="0" t="s">
        <v>2479</v>
      </c>
      <c r="E9202" s="0" t="n">
        <v>48</v>
      </c>
      <c r="F9202" s="0" t="s">
        <v>153</v>
      </c>
      <c r="I9202" s="0" t="n">
        <v>2694</v>
      </c>
      <c r="J9202" s="0" t="n">
        <v>100019</v>
      </c>
      <c r="K9202" s="0" t="n">
        <v>20</v>
      </c>
      <c r="L9202" s="0" t="s">
        <v>3779</v>
      </c>
      <c r="N9202" s="0" t="n">
        <v>1.764</v>
      </c>
      <c r="O9202" s="0" t="n">
        <v>61.12</v>
      </c>
      <c r="P9202" s="0" t="s">
        <v>2444</v>
      </c>
    </row>
    <row r="9203" customFormat="false" ht="15" hidden="false" customHeight="true" outlineLevel="0" collapsed="false">
      <c r="A9203" s="0" t="n">
        <v>2</v>
      </c>
      <c r="B9203" s="71" t="n">
        <v>46287</v>
      </c>
      <c r="C9203" s="0" t="n">
        <v>22</v>
      </c>
      <c r="D9203" s="0" t="s">
        <v>2479</v>
      </c>
      <c r="E9203" s="0" t="n">
        <v>48</v>
      </c>
      <c r="F9203" s="0" t="s">
        <v>153</v>
      </c>
      <c r="I9203" s="0" t="n">
        <v>2694</v>
      </c>
      <c r="J9203" s="0" t="n">
        <v>100053</v>
      </c>
      <c r="K9203" s="0" t="n">
        <v>54</v>
      </c>
      <c r="L9203" s="0" t="s">
        <v>2495</v>
      </c>
      <c r="N9203" s="0" t="n">
        <v>0.986</v>
      </c>
      <c r="O9203" s="0" t="n">
        <v>35.79</v>
      </c>
      <c r="P9203" s="0" t="s">
        <v>2444</v>
      </c>
    </row>
    <row r="9204" customFormat="false" ht="15" hidden="false" customHeight="true" outlineLevel="0" collapsed="false">
      <c r="A9204" s="0" t="n">
        <v>2</v>
      </c>
      <c r="B9204" s="71" t="n">
        <v>46287</v>
      </c>
      <c r="C9204" s="0" t="n">
        <v>22</v>
      </c>
      <c r="D9204" s="0" t="s">
        <v>2479</v>
      </c>
      <c r="E9204" s="0" t="n">
        <v>48</v>
      </c>
      <c r="F9204" s="0" t="s">
        <v>153</v>
      </c>
      <c r="I9204" s="0" t="n">
        <v>2694</v>
      </c>
      <c r="J9204" s="0" t="n">
        <v>100638</v>
      </c>
      <c r="K9204" s="0" t="n">
        <v>508</v>
      </c>
      <c r="L9204" s="0" t="s">
        <v>2496</v>
      </c>
      <c r="N9204" s="0" t="n">
        <v>0.3</v>
      </c>
      <c r="O9204" s="0" t="n">
        <v>0.74</v>
      </c>
      <c r="P9204" s="0" t="s">
        <v>2444</v>
      </c>
    </row>
    <row r="9205" customFormat="false" ht="15" hidden="false" customHeight="true" outlineLevel="0" collapsed="false">
      <c r="A9205" s="0" t="n">
        <v>2</v>
      </c>
      <c r="B9205" s="71" t="n">
        <v>46287</v>
      </c>
      <c r="C9205" s="0" t="n">
        <v>22</v>
      </c>
      <c r="D9205" s="0" t="s">
        <v>2479</v>
      </c>
      <c r="E9205" s="0" t="n">
        <v>48</v>
      </c>
      <c r="F9205" s="0" t="s">
        <v>153</v>
      </c>
      <c r="I9205" s="0" t="n">
        <v>2694</v>
      </c>
      <c r="J9205" s="0" t="n">
        <v>110137</v>
      </c>
      <c r="K9205" s="0" t="n">
        <v>13899</v>
      </c>
      <c r="L9205" s="0" t="s">
        <v>3780</v>
      </c>
      <c r="N9205" s="0" t="n">
        <v>11.44</v>
      </c>
      <c r="O9205" s="0" t="n">
        <v>47.1</v>
      </c>
      <c r="P9205" s="0" t="s">
        <v>2444</v>
      </c>
    </row>
    <row r="9206" customFormat="false" ht="15" hidden="false" customHeight="true" outlineLevel="0" collapsed="false">
      <c r="A9206" s="0" t="n">
        <v>2</v>
      </c>
      <c r="B9206" s="71" t="n">
        <v>46287</v>
      </c>
      <c r="C9206" s="0" t="n">
        <v>22</v>
      </c>
      <c r="D9206" s="0" t="s">
        <v>2479</v>
      </c>
      <c r="E9206" s="0" t="n">
        <v>48</v>
      </c>
      <c r="F9206" s="0" t="s">
        <v>153</v>
      </c>
      <c r="I9206" s="0" t="n">
        <v>2694</v>
      </c>
      <c r="J9206" s="0" t="n">
        <v>110455</v>
      </c>
      <c r="K9206" s="0" t="n">
        <v>53212</v>
      </c>
      <c r="L9206" s="0" t="s">
        <v>2498</v>
      </c>
      <c r="N9206" s="0" t="n">
        <v>0.039</v>
      </c>
      <c r="O9206" s="0" t="n">
        <v>0</v>
      </c>
      <c r="P9206" s="0" t="s">
        <v>2444</v>
      </c>
    </row>
    <row r="9207" customFormat="false" ht="15" hidden="false" customHeight="true" outlineLevel="0" collapsed="false">
      <c r="A9207" s="0" t="n">
        <v>2</v>
      </c>
      <c r="B9207" s="71" t="n">
        <v>46287</v>
      </c>
      <c r="C9207" s="0" t="n">
        <v>31</v>
      </c>
      <c r="D9207" s="0" t="s">
        <v>5068</v>
      </c>
      <c r="E9207" s="0" t="n">
        <v>48</v>
      </c>
      <c r="F9207" s="0" t="s">
        <v>153</v>
      </c>
      <c r="I9207" s="0" t="n">
        <v>2689</v>
      </c>
      <c r="J9207" s="0" t="n">
        <v>15013</v>
      </c>
      <c r="K9207" s="0" t="n">
        <v>7897395040307</v>
      </c>
      <c r="L9207" s="0" t="s">
        <v>2772</v>
      </c>
      <c r="N9207" s="0" t="n">
        <v>15</v>
      </c>
      <c r="O9207" s="0" t="n">
        <v>48.15</v>
      </c>
      <c r="P9207" s="0" t="s">
        <v>2444</v>
      </c>
    </row>
    <row r="9208" customFormat="false" ht="15" hidden="false" customHeight="true" outlineLevel="0" collapsed="false">
      <c r="A9208" s="0" t="n">
        <v>2</v>
      </c>
      <c r="B9208" s="71" t="n">
        <v>46287</v>
      </c>
      <c r="C9208" s="0" t="n">
        <v>31</v>
      </c>
      <c r="D9208" s="0" t="s">
        <v>5068</v>
      </c>
      <c r="E9208" s="0" t="n">
        <v>48</v>
      </c>
      <c r="F9208" s="0" t="s">
        <v>153</v>
      </c>
      <c r="I9208" s="0" t="n">
        <v>2690</v>
      </c>
      <c r="J9208" s="0" t="n">
        <v>103674</v>
      </c>
      <c r="K9208" s="0" t="n">
        <v>7891962000725</v>
      </c>
      <c r="L9208" s="0" t="s">
        <v>3486</v>
      </c>
      <c r="N9208" s="0" t="n">
        <v>1</v>
      </c>
      <c r="O9208" s="0" t="n">
        <v>2.25</v>
      </c>
      <c r="P9208" s="0" t="s">
        <v>2444</v>
      </c>
    </row>
    <row r="9209" customFormat="false" ht="15" hidden="false" customHeight="true" outlineLevel="0" collapsed="false">
      <c r="A9209" s="0" t="n">
        <v>2</v>
      </c>
      <c r="B9209" s="71" t="n">
        <v>46287</v>
      </c>
      <c r="C9209" s="0" t="n">
        <v>31</v>
      </c>
      <c r="D9209" s="0" t="s">
        <v>5068</v>
      </c>
      <c r="E9209" s="0" t="n">
        <v>48</v>
      </c>
      <c r="F9209" s="0" t="s">
        <v>153</v>
      </c>
      <c r="I9209" s="0" t="n">
        <v>2690</v>
      </c>
      <c r="J9209" s="0" t="n">
        <v>103674</v>
      </c>
      <c r="K9209" s="0" t="n">
        <v>7891962000725</v>
      </c>
      <c r="L9209" s="0" t="s">
        <v>3486</v>
      </c>
      <c r="N9209" s="0" t="n">
        <v>1</v>
      </c>
      <c r="O9209" s="0" t="n">
        <v>2.25</v>
      </c>
      <c r="P9209" s="0" t="s">
        <v>2444</v>
      </c>
    </row>
    <row r="9210" customFormat="false" ht="15" hidden="false" customHeight="true" outlineLevel="0" collapsed="false">
      <c r="A9210" s="0" t="n">
        <v>2</v>
      </c>
      <c r="B9210" s="71" t="n">
        <v>46287</v>
      </c>
      <c r="C9210" s="0" t="n">
        <v>31</v>
      </c>
      <c r="D9210" s="0" t="s">
        <v>5068</v>
      </c>
      <c r="E9210" s="0" t="n">
        <v>48</v>
      </c>
      <c r="F9210" s="0" t="s">
        <v>153</v>
      </c>
      <c r="I9210" s="0" t="n">
        <v>2690</v>
      </c>
      <c r="J9210" s="0" t="n">
        <v>21426</v>
      </c>
      <c r="K9210" s="0" t="n">
        <v>7894900014211</v>
      </c>
      <c r="L9210" s="0" t="s">
        <v>2470</v>
      </c>
      <c r="N9210" s="0" t="n">
        <v>1</v>
      </c>
      <c r="O9210" s="0" t="n">
        <v>7.99</v>
      </c>
      <c r="P9210" s="0" t="s">
        <v>2444</v>
      </c>
    </row>
    <row r="9211" customFormat="false" ht="15" hidden="false" customHeight="true" outlineLevel="0" collapsed="false">
      <c r="A9211" s="0" t="n">
        <v>2</v>
      </c>
      <c r="B9211" s="71" t="n">
        <v>46287</v>
      </c>
      <c r="C9211" s="0" t="n">
        <v>31</v>
      </c>
      <c r="D9211" s="0" t="s">
        <v>5068</v>
      </c>
      <c r="E9211" s="0" t="n">
        <v>48</v>
      </c>
      <c r="F9211" s="0" t="s">
        <v>153</v>
      </c>
      <c r="I9211" s="0" t="n">
        <v>2690</v>
      </c>
      <c r="J9211" s="0" t="n">
        <v>48698</v>
      </c>
      <c r="K9211" s="0" t="n">
        <v>7891152801781</v>
      </c>
      <c r="L9211" s="0" t="s">
        <v>2932</v>
      </c>
      <c r="N9211" s="0" t="n">
        <v>1</v>
      </c>
      <c r="O9211" s="0" t="n">
        <v>2.99</v>
      </c>
      <c r="P9211" s="0" t="s">
        <v>2444</v>
      </c>
    </row>
    <row r="9212" customFormat="false" ht="15" hidden="false" customHeight="true" outlineLevel="0" collapsed="false">
      <c r="A9212" s="0" t="n">
        <v>2</v>
      </c>
      <c r="B9212" s="71" t="n">
        <v>46287</v>
      </c>
      <c r="C9212" s="0" t="n">
        <v>31</v>
      </c>
      <c r="D9212" s="0" t="s">
        <v>5068</v>
      </c>
      <c r="E9212" s="0" t="n">
        <v>48</v>
      </c>
      <c r="F9212" s="0" t="s">
        <v>153</v>
      </c>
      <c r="I9212" s="0" t="n">
        <v>2690</v>
      </c>
      <c r="J9212" s="0" t="n">
        <v>48867</v>
      </c>
      <c r="K9212" s="0" t="n">
        <v>7891152801798</v>
      </c>
      <c r="L9212" s="0" t="s">
        <v>2934</v>
      </c>
      <c r="N9212" s="0" t="n">
        <v>1</v>
      </c>
      <c r="O9212" s="0" t="n">
        <v>2.99</v>
      </c>
      <c r="P9212" s="0" t="s">
        <v>2444</v>
      </c>
    </row>
    <row r="9213" customFormat="false" ht="15" hidden="false" customHeight="true" outlineLevel="0" collapsed="false">
      <c r="A9213" s="0" t="n">
        <v>2</v>
      </c>
      <c r="B9213" s="71" t="n">
        <v>46287</v>
      </c>
      <c r="C9213" s="0" t="n">
        <v>31</v>
      </c>
      <c r="D9213" s="0" t="s">
        <v>5068</v>
      </c>
      <c r="E9213" s="0" t="n">
        <v>48</v>
      </c>
      <c r="F9213" s="0" t="s">
        <v>153</v>
      </c>
      <c r="I9213" s="0" t="n">
        <v>2690</v>
      </c>
      <c r="J9213" s="0" t="n">
        <v>81302</v>
      </c>
      <c r="K9213" s="0" t="n">
        <v>7896382506239</v>
      </c>
      <c r="L9213" s="0" t="s">
        <v>2818</v>
      </c>
      <c r="N9213" s="0" t="n">
        <v>1</v>
      </c>
      <c r="O9213" s="0" t="n">
        <v>1.99</v>
      </c>
      <c r="P9213" s="0" t="s">
        <v>2444</v>
      </c>
    </row>
    <row r="9214" customFormat="false" ht="15" hidden="false" customHeight="true" outlineLevel="0" collapsed="false">
      <c r="A9214" s="0" t="n">
        <v>2</v>
      </c>
      <c r="B9214" s="71" t="n">
        <v>46287</v>
      </c>
      <c r="C9214" s="0" t="n">
        <v>31</v>
      </c>
      <c r="D9214" s="0" t="s">
        <v>5068</v>
      </c>
      <c r="E9214" s="0" t="n">
        <v>48</v>
      </c>
      <c r="F9214" s="0" t="s">
        <v>153</v>
      </c>
      <c r="I9214" s="0" t="n">
        <v>2690</v>
      </c>
      <c r="J9214" s="0" t="n">
        <v>81302</v>
      </c>
      <c r="K9214" s="0" t="n">
        <v>7896382506239</v>
      </c>
      <c r="L9214" s="0" t="s">
        <v>2818</v>
      </c>
      <c r="N9214" s="0" t="n">
        <v>1</v>
      </c>
      <c r="O9214" s="0" t="n">
        <v>1.99</v>
      </c>
      <c r="P9214" s="0" t="s">
        <v>2444</v>
      </c>
    </row>
    <row r="9215" customFormat="false" ht="15" hidden="false" customHeight="true" outlineLevel="0" collapsed="false">
      <c r="A9215" s="0" t="n">
        <v>2</v>
      </c>
      <c r="B9215" s="71" t="n">
        <v>46287</v>
      </c>
      <c r="C9215" s="0" t="n">
        <v>100</v>
      </c>
      <c r="D9215" s="0" t="s">
        <v>2499</v>
      </c>
      <c r="E9215" s="0" t="n">
        <v>48</v>
      </c>
      <c r="F9215" s="0" t="s">
        <v>153</v>
      </c>
      <c r="I9215" s="0" t="n">
        <v>1740649</v>
      </c>
      <c r="J9215" s="0" t="n">
        <v>100000</v>
      </c>
      <c r="K9215" s="0" t="n">
        <v>1</v>
      </c>
      <c r="L9215" s="0" t="s">
        <v>2480</v>
      </c>
      <c r="N9215" s="0" t="n">
        <v>3.222</v>
      </c>
      <c r="O9215" s="0" t="n">
        <v>63.78</v>
      </c>
      <c r="P9215" s="0" t="s">
        <v>2444</v>
      </c>
    </row>
    <row r="9216" customFormat="false" ht="15" hidden="false" customHeight="true" outlineLevel="0" collapsed="false">
      <c r="A9216" s="0" t="n">
        <v>2</v>
      </c>
      <c r="B9216" s="71" t="n">
        <v>46287</v>
      </c>
      <c r="C9216" s="0" t="n">
        <v>100</v>
      </c>
      <c r="D9216" s="0" t="s">
        <v>2499</v>
      </c>
      <c r="E9216" s="0" t="n">
        <v>48</v>
      </c>
      <c r="F9216" s="0" t="s">
        <v>153</v>
      </c>
      <c r="I9216" s="0" t="n">
        <v>1740649</v>
      </c>
      <c r="J9216" s="0" t="n">
        <v>100006</v>
      </c>
      <c r="K9216" s="0" t="n">
        <v>7</v>
      </c>
      <c r="L9216" s="0" t="s">
        <v>2485</v>
      </c>
      <c r="N9216" s="0" t="n">
        <v>2.498</v>
      </c>
      <c r="O9216" s="0" t="n">
        <v>70.06</v>
      </c>
      <c r="P9216" s="0" t="s">
        <v>2444</v>
      </c>
    </row>
    <row r="9217" customFormat="false" ht="15" hidden="false" customHeight="true" outlineLevel="0" collapsed="false">
      <c r="A9217" s="0" t="n">
        <v>2</v>
      </c>
      <c r="B9217" s="71" t="n">
        <v>46287</v>
      </c>
      <c r="C9217" s="0" t="n">
        <v>100</v>
      </c>
      <c r="D9217" s="0" t="s">
        <v>2499</v>
      </c>
      <c r="E9217" s="0" t="n">
        <v>48</v>
      </c>
      <c r="F9217" s="0" t="s">
        <v>153</v>
      </c>
      <c r="I9217" s="0" t="n">
        <v>1740649</v>
      </c>
      <c r="J9217" s="0" t="n">
        <v>100007</v>
      </c>
      <c r="K9217" s="0" t="n">
        <v>8</v>
      </c>
      <c r="L9217" s="0" t="s">
        <v>2486</v>
      </c>
      <c r="N9217" s="0" t="n">
        <v>3.528</v>
      </c>
      <c r="O9217" s="0" t="n">
        <v>87.3</v>
      </c>
      <c r="P9217" s="0" t="s">
        <v>2444</v>
      </c>
    </row>
    <row r="9218" customFormat="false" ht="15" hidden="false" customHeight="true" outlineLevel="0" collapsed="false">
      <c r="A9218" s="0" t="n">
        <v>2</v>
      </c>
      <c r="B9218" s="71" t="n">
        <v>46287</v>
      </c>
      <c r="C9218" s="0" t="n">
        <v>100</v>
      </c>
      <c r="D9218" s="0" t="s">
        <v>2499</v>
      </c>
      <c r="E9218" s="0" t="n">
        <v>48</v>
      </c>
      <c r="F9218" s="0" t="s">
        <v>153</v>
      </c>
      <c r="I9218" s="0" t="n">
        <v>1740649</v>
      </c>
      <c r="J9218" s="0" t="n">
        <v>100008</v>
      </c>
      <c r="K9218" s="0" t="n">
        <v>9</v>
      </c>
      <c r="L9218" s="0" t="s">
        <v>2487</v>
      </c>
      <c r="N9218" s="0" t="n">
        <v>15.03</v>
      </c>
      <c r="O9218" s="0" t="n">
        <v>483.54</v>
      </c>
      <c r="P9218" s="0" t="s">
        <v>2444</v>
      </c>
    </row>
    <row r="9219" customFormat="false" ht="15" hidden="false" customHeight="true" outlineLevel="0" collapsed="false">
      <c r="A9219" s="0" t="n">
        <v>2</v>
      </c>
      <c r="B9219" s="71" t="n">
        <v>46287</v>
      </c>
      <c r="C9219" s="0" t="n">
        <v>100</v>
      </c>
      <c r="D9219" s="0" t="s">
        <v>2499</v>
      </c>
      <c r="E9219" s="0" t="n">
        <v>48</v>
      </c>
      <c r="F9219" s="0" t="s">
        <v>153</v>
      </c>
      <c r="I9219" s="0" t="n">
        <v>1740649</v>
      </c>
      <c r="J9219" s="0" t="n">
        <v>100011</v>
      </c>
      <c r="K9219" s="0" t="n">
        <v>12</v>
      </c>
      <c r="L9219" s="0" t="s">
        <v>2488</v>
      </c>
      <c r="N9219" s="0" t="n">
        <v>10.555</v>
      </c>
      <c r="O9219" s="0" t="n">
        <v>391.83</v>
      </c>
      <c r="P9219" s="0" t="s">
        <v>2444</v>
      </c>
    </row>
    <row r="9220" customFormat="false" ht="15" hidden="false" customHeight="true" outlineLevel="0" collapsed="false">
      <c r="A9220" s="0" t="n">
        <v>2</v>
      </c>
      <c r="B9220" s="71" t="n">
        <v>46287</v>
      </c>
      <c r="C9220" s="0" t="n">
        <v>100</v>
      </c>
      <c r="D9220" s="0" t="s">
        <v>2499</v>
      </c>
      <c r="E9220" s="0" t="n">
        <v>48</v>
      </c>
      <c r="F9220" s="0" t="s">
        <v>153</v>
      </c>
      <c r="I9220" s="0" t="n">
        <v>1740649</v>
      </c>
      <c r="J9220" s="0" t="n">
        <v>100012</v>
      </c>
      <c r="K9220" s="0" t="n">
        <v>13</v>
      </c>
      <c r="L9220" s="0" t="s">
        <v>2489</v>
      </c>
      <c r="N9220" s="0" t="n">
        <v>5.276</v>
      </c>
      <c r="O9220" s="0" t="n">
        <v>217.62</v>
      </c>
      <c r="P9220" s="0" t="s">
        <v>2444</v>
      </c>
    </row>
    <row r="9221" customFormat="false" ht="15" hidden="false" customHeight="true" outlineLevel="0" collapsed="false">
      <c r="A9221" s="0" t="n">
        <v>2</v>
      </c>
      <c r="B9221" s="71" t="n">
        <v>46287</v>
      </c>
      <c r="C9221" s="0" t="n">
        <v>100</v>
      </c>
      <c r="D9221" s="0" t="s">
        <v>2499</v>
      </c>
      <c r="E9221" s="0" t="n">
        <v>48</v>
      </c>
      <c r="F9221" s="0" t="s">
        <v>153</v>
      </c>
      <c r="I9221" s="0" t="n">
        <v>1740649</v>
      </c>
      <c r="J9221" s="0" t="n">
        <v>100013</v>
      </c>
      <c r="K9221" s="0" t="n">
        <v>14</v>
      </c>
      <c r="L9221" s="0" t="s">
        <v>2490</v>
      </c>
      <c r="N9221" s="0" t="n">
        <v>12.34</v>
      </c>
      <c r="O9221" s="0" t="n">
        <v>539.55</v>
      </c>
      <c r="P9221" s="0" t="s">
        <v>2444</v>
      </c>
    </row>
    <row r="9222" customFormat="false" ht="15" hidden="false" customHeight="true" outlineLevel="0" collapsed="false">
      <c r="A9222" s="0" t="n">
        <v>2</v>
      </c>
      <c r="B9222" s="71" t="n">
        <v>46287</v>
      </c>
      <c r="C9222" s="0" t="n">
        <v>100</v>
      </c>
      <c r="D9222" s="0" t="s">
        <v>2499</v>
      </c>
      <c r="E9222" s="0" t="n">
        <v>48</v>
      </c>
      <c r="F9222" s="0" t="s">
        <v>153</v>
      </c>
      <c r="I9222" s="0" t="n">
        <v>1740649</v>
      </c>
      <c r="J9222" s="0" t="n">
        <v>100014</v>
      </c>
      <c r="K9222" s="0" t="n">
        <v>15</v>
      </c>
      <c r="L9222" s="0" t="s">
        <v>2491</v>
      </c>
      <c r="N9222" s="0" t="n">
        <v>3.97</v>
      </c>
      <c r="O9222" s="0" t="n">
        <v>176.86</v>
      </c>
      <c r="P9222" s="0" t="s">
        <v>2444</v>
      </c>
    </row>
    <row r="9223" customFormat="false" ht="15" hidden="false" customHeight="true" outlineLevel="0" collapsed="false">
      <c r="A9223" s="0" t="n">
        <v>2</v>
      </c>
      <c r="B9223" s="71" t="n">
        <v>46287</v>
      </c>
      <c r="C9223" s="0" t="n">
        <v>100</v>
      </c>
      <c r="D9223" s="0" t="s">
        <v>2499</v>
      </c>
      <c r="E9223" s="0" t="n">
        <v>48</v>
      </c>
      <c r="F9223" s="0" t="s">
        <v>153</v>
      </c>
      <c r="I9223" s="0" t="n">
        <v>1740649</v>
      </c>
      <c r="J9223" s="0" t="n">
        <v>100015</v>
      </c>
      <c r="K9223" s="0" t="n">
        <v>16</v>
      </c>
      <c r="L9223" s="0" t="s">
        <v>2492</v>
      </c>
      <c r="N9223" s="0" t="n">
        <v>1.676</v>
      </c>
      <c r="O9223" s="0" t="n">
        <v>66.37</v>
      </c>
      <c r="P9223" s="0" t="s">
        <v>2444</v>
      </c>
    </row>
    <row r="9224" customFormat="false" ht="15" hidden="false" customHeight="true" outlineLevel="0" collapsed="false">
      <c r="A9224" s="0" t="n">
        <v>2</v>
      </c>
      <c r="B9224" s="71" t="n">
        <v>46287</v>
      </c>
      <c r="C9224" s="0" t="n">
        <v>100</v>
      </c>
      <c r="D9224" s="0" t="s">
        <v>2499</v>
      </c>
      <c r="E9224" s="0" t="n">
        <v>48</v>
      </c>
      <c r="F9224" s="0" t="s">
        <v>153</v>
      </c>
      <c r="I9224" s="0" t="n">
        <v>1740649</v>
      </c>
      <c r="J9224" s="0" t="n">
        <v>100016</v>
      </c>
      <c r="K9224" s="0" t="n">
        <v>17</v>
      </c>
      <c r="L9224" s="0" t="s">
        <v>2493</v>
      </c>
      <c r="N9224" s="0" t="n">
        <v>1.808</v>
      </c>
      <c r="O9224" s="0" t="n">
        <v>89.49</v>
      </c>
      <c r="P9224" s="0" t="s">
        <v>2444</v>
      </c>
    </row>
    <row r="9225" customFormat="false" ht="15" hidden="false" customHeight="true" outlineLevel="0" collapsed="false">
      <c r="A9225" s="0" t="n">
        <v>2</v>
      </c>
      <c r="B9225" s="71" t="n">
        <v>46287</v>
      </c>
      <c r="C9225" s="0" t="n">
        <v>100</v>
      </c>
      <c r="D9225" s="0" t="s">
        <v>2499</v>
      </c>
      <c r="E9225" s="0" t="n">
        <v>48</v>
      </c>
      <c r="F9225" s="0" t="s">
        <v>153</v>
      </c>
      <c r="I9225" s="0" t="n">
        <v>1740649</v>
      </c>
      <c r="J9225" s="0" t="n">
        <v>100017</v>
      </c>
      <c r="K9225" s="0" t="n">
        <v>18</v>
      </c>
      <c r="L9225" s="0" t="s">
        <v>2494</v>
      </c>
      <c r="N9225" s="0" t="n">
        <v>1.968</v>
      </c>
      <c r="O9225" s="0" t="n">
        <v>113.65</v>
      </c>
      <c r="P9225" s="0" t="s">
        <v>2444</v>
      </c>
    </row>
    <row r="9226" customFormat="false" ht="15" hidden="false" customHeight="true" outlineLevel="0" collapsed="false">
      <c r="A9226" s="0" t="n">
        <v>2</v>
      </c>
      <c r="B9226" s="71" t="n">
        <v>46287</v>
      </c>
      <c r="C9226" s="0" t="n">
        <v>100</v>
      </c>
      <c r="D9226" s="0" t="s">
        <v>2499</v>
      </c>
      <c r="E9226" s="0" t="n">
        <v>48</v>
      </c>
      <c r="F9226" s="0" t="s">
        <v>153</v>
      </c>
      <c r="I9226" s="0" t="n">
        <v>1740649</v>
      </c>
      <c r="J9226" s="0" t="n">
        <v>100019</v>
      </c>
      <c r="K9226" s="0" t="n">
        <v>20</v>
      </c>
      <c r="L9226" s="0" t="s">
        <v>3779</v>
      </c>
      <c r="N9226" s="0" t="n">
        <v>1.764</v>
      </c>
      <c r="O9226" s="0" t="n">
        <v>61.12</v>
      </c>
      <c r="P9226" s="0" t="s">
        <v>2444</v>
      </c>
    </row>
    <row r="9227" customFormat="false" ht="15" hidden="false" customHeight="true" outlineLevel="0" collapsed="false">
      <c r="A9227" s="0" t="n">
        <v>2</v>
      </c>
      <c r="B9227" s="71" t="n">
        <v>46287</v>
      </c>
      <c r="C9227" s="0" t="n">
        <v>100</v>
      </c>
      <c r="D9227" s="0" t="s">
        <v>2499</v>
      </c>
      <c r="E9227" s="0" t="n">
        <v>48</v>
      </c>
      <c r="F9227" s="0" t="s">
        <v>153</v>
      </c>
      <c r="I9227" s="0" t="n">
        <v>1740649</v>
      </c>
      <c r="J9227" s="0" t="n">
        <v>100053</v>
      </c>
      <c r="K9227" s="0" t="n">
        <v>54</v>
      </c>
      <c r="L9227" s="0" t="s">
        <v>2495</v>
      </c>
      <c r="N9227" s="0" t="n">
        <v>0.986</v>
      </c>
      <c r="O9227" s="0" t="n">
        <v>35.79</v>
      </c>
      <c r="P9227" s="0" t="s">
        <v>2444</v>
      </c>
    </row>
    <row r="9228" customFormat="false" ht="15" hidden="false" customHeight="true" outlineLevel="0" collapsed="false">
      <c r="A9228" s="0" t="n">
        <v>2</v>
      </c>
      <c r="B9228" s="71" t="n">
        <v>46287</v>
      </c>
      <c r="C9228" s="0" t="n">
        <v>100</v>
      </c>
      <c r="D9228" s="0" t="s">
        <v>2499</v>
      </c>
      <c r="E9228" s="0" t="n">
        <v>48</v>
      </c>
      <c r="F9228" s="0" t="s">
        <v>153</v>
      </c>
      <c r="I9228" s="0" t="n">
        <v>1740649</v>
      </c>
      <c r="J9228" s="0" t="n">
        <v>100638</v>
      </c>
      <c r="K9228" s="0" t="n">
        <v>508</v>
      </c>
      <c r="L9228" s="0" t="s">
        <v>2496</v>
      </c>
      <c r="N9228" s="0" t="n">
        <v>0.3</v>
      </c>
      <c r="O9228" s="0" t="n">
        <v>0.74</v>
      </c>
      <c r="P9228" s="0" t="s">
        <v>2444</v>
      </c>
    </row>
    <row r="9229" customFormat="false" ht="15" hidden="false" customHeight="true" outlineLevel="0" collapsed="false">
      <c r="A9229" s="0" t="n">
        <v>2</v>
      </c>
      <c r="B9229" s="71" t="n">
        <v>46287</v>
      </c>
      <c r="C9229" s="0" t="n">
        <v>100</v>
      </c>
      <c r="D9229" s="0" t="s">
        <v>2499</v>
      </c>
      <c r="E9229" s="0" t="n">
        <v>48</v>
      </c>
      <c r="F9229" s="0" t="s">
        <v>153</v>
      </c>
      <c r="I9229" s="0" t="n">
        <v>1740649</v>
      </c>
      <c r="J9229" s="0" t="n">
        <v>110137</v>
      </c>
      <c r="K9229" s="0" t="n">
        <v>13899</v>
      </c>
      <c r="L9229" s="0" t="s">
        <v>3780</v>
      </c>
      <c r="N9229" s="0" t="n">
        <v>11.44</v>
      </c>
      <c r="O9229" s="0" t="n">
        <v>47.1</v>
      </c>
      <c r="P9229" s="0" t="s">
        <v>2444</v>
      </c>
    </row>
    <row r="9230" customFormat="false" ht="15" hidden="false" customHeight="true" outlineLevel="0" collapsed="false">
      <c r="A9230" s="0" t="n">
        <v>2</v>
      </c>
      <c r="B9230" s="71" t="n">
        <v>46287</v>
      </c>
      <c r="C9230" s="0" t="n">
        <v>100</v>
      </c>
      <c r="D9230" s="0" t="s">
        <v>2499</v>
      </c>
      <c r="E9230" s="0" t="n">
        <v>48</v>
      </c>
      <c r="F9230" s="0" t="s">
        <v>153</v>
      </c>
      <c r="I9230" s="0" t="n">
        <v>1740649</v>
      </c>
      <c r="J9230" s="0" t="n">
        <v>110455</v>
      </c>
      <c r="K9230" s="0" t="n">
        <v>53212</v>
      </c>
      <c r="L9230" s="0" t="s">
        <v>2498</v>
      </c>
      <c r="N9230" s="0" t="n">
        <v>0.039</v>
      </c>
      <c r="O9230" s="0" t="n">
        <v>0</v>
      </c>
      <c r="P9230" s="0" t="s">
        <v>2444</v>
      </c>
    </row>
    <row r="9231" customFormat="false" ht="15" hidden="false" customHeight="true" outlineLevel="0" collapsed="false">
      <c r="A9231" s="0" t="n">
        <v>2</v>
      </c>
      <c r="B9231" s="71" t="n">
        <v>46287</v>
      </c>
      <c r="C9231" s="0" t="n">
        <v>171</v>
      </c>
      <c r="D9231" s="0" t="s">
        <v>3017</v>
      </c>
      <c r="E9231" s="0" t="n">
        <v>1612</v>
      </c>
      <c r="F9231" s="0" t="s">
        <v>74</v>
      </c>
      <c r="I9231" s="0" t="n">
        <v>2320994</v>
      </c>
      <c r="J9231" s="0" t="n">
        <v>28989</v>
      </c>
      <c r="K9231" s="0" t="n">
        <v>7896003738629</v>
      </c>
      <c r="L9231" s="0" t="s">
        <v>4954</v>
      </c>
      <c r="N9231" s="0" t="n">
        <v>2</v>
      </c>
      <c r="O9231" s="0" t="n">
        <v>10.49</v>
      </c>
      <c r="P9231" s="0" t="s">
        <v>3019</v>
      </c>
    </row>
    <row r="9232" customFormat="false" ht="15" hidden="false" customHeight="true" outlineLevel="0" collapsed="false">
      <c r="A9232" s="0" t="n">
        <v>2</v>
      </c>
      <c r="B9232" s="71" t="n">
        <v>46287</v>
      </c>
      <c r="C9232" s="0" t="n">
        <v>171</v>
      </c>
      <c r="D9232" s="0" t="s">
        <v>3017</v>
      </c>
      <c r="E9232" s="0" t="n">
        <v>1612</v>
      </c>
      <c r="F9232" s="0" t="s">
        <v>74</v>
      </c>
      <c r="I9232" s="0" t="n">
        <v>2320994</v>
      </c>
      <c r="J9232" s="0" t="n">
        <v>46785</v>
      </c>
      <c r="K9232" s="0" t="n">
        <v>7898331012969</v>
      </c>
      <c r="L9232" s="0" t="s">
        <v>4962</v>
      </c>
      <c r="N9232" s="0" t="n">
        <v>5</v>
      </c>
      <c r="O9232" s="0" t="n">
        <v>42.25</v>
      </c>
      <c r="P9232" s="0" t="s">
        <v>3019</v>
      </c>
    </row>
    <row r="9233" customFormat="false" ht="15" hidden="false" customHeight="true" outlineLevel="0" collapsed="false">
      <c r="A9233" s="0" t="n">
        <v>2</v>
      </c>
      <c r="B9233" s="71" t="n">
        <v>46288</v>
      </c>
      <c r="C9233" s="0" t="n">
        <v>6</v>
      </c>
      <c r="D9233" s="0" t="s">
        <v>2553</v>
      </c>
      <c r="E9233" s="0" t="n">
        <v>48</v>
      </c>
      <c r="F9233" s="0" t="s">
        <v>153</v>
      </c>
      <c r="I9233" s="0" t="n">
        <v>2695</v>
      </c>
      <c r="J9233" s="0" t="n">
        <v>42564</v>
      </c>
      <c r="K9233" s="0" t="n">
        <v>574</v>
      </c>
      <c r="L9233" s="0" t="s">
        <v>2534</v>
      </c>
      <c r="N9233" s="0" t="n">
        <v>13</v>
      </c>
      <c r="O9233" s="0" t="n">
        <v>195</v>
      </c>
      <c r="P9233" s="0" t="s">
        <v>2444</v>
      </c>
    </row>
    <row r="9234" customFormat="false" ht="15" hidden="false" customHeight="true" outlineLevel="0" collapsed="false">
      <c r="A9234" s="0" t="n">
        <v>2</v>
      </c>
      <c r="B9234" s="71" t="n">
        <v>46288</v>
      </c>
      <c r="C9234" s="0" t="n">
        <v>6</v>
      </c>
      <c r="D9234" s="0" t="s">
        <v>2553</v>
      </c>
      <c r="E9234" s="0" t="n">
        <v>48</v>
      </c>
      <c r="F9234" s="0" t="s">
        <v>153</v>
      </c>
      <c r="I9234" s="0" t="n">
        <v>2696</v>
      </c>
      <c r="J9234" s="0" t="n">
        <v>20452</v>
      </c>
      <c r="K9234" s="0" t="n">
        <v>7898934529086</v>
      </c>
      <c r="L9234" s="0" t="s">
        <v>2736</v>
      </c>
      <c r="N9234" s="0" t="n">
        <v>75</v>
      </c>
      <c r="O9234" s="0" t="n">
        <v>960</v>
      </c>
      <c r="P9234" s="0" t="s">
        <v>2444</v>
      </c>
    </row>
    <row r="9235" customFormat="false" ht="15" hidden="false" customHeight="true" outlineLevel="0" collapsed="false">
      <c r="A9235" s="0" t="n">
        <v>2</v>
      </c>
      <c r="B9235" s="71" t="n">
        <v>46288</v>
      </c>
      <c r="C9235" s="0" t="n">
        <v>6</v>
      </c>
      <c r="D9235" s="0" t="s">
        <v>2553</v>
      </c>
      <c r="E9235" s="0" t="n">
        <v>48</v>
      </c>
      <c r="F9235" s="0" t="s">
        <v>153</v>
      </c>
      <c r="I9235" s="0" t="n">
        <v>2696</v>
      </c>
      <c r="J9235" s="0" t="n">
        <v>26175</v>
      </c>
      <c r="K9235" s="0" t="n">
        <v>7898934529024</v>
      </c>
      <c r="L9235" s="0" t="s">
        <v>2737</v>
      </c>
      <c r="N9235" s="0" t="n">
        <v>50</v>
      </c>
      <c r="O9235" s="0" t="n">
        <v>240</v>
      </c>
      <c r="P9235" s="0" t="s">
        <v>2444</v>
      </c>
    </row>
    <row r="9236" customFormat="false" ht="15" hidden="false" customHeight="true" outlineLevel="0" collapsed="false">
      <c r="A9236" s="0" t="n">
        <v>2</v>
      </c>
      <c r="B9236" s="71" t="n">
        <v>46288</v>
      </c>
      <c r="C9236" s="0" t="n">
        <v>11</v>
      </c>
      <c r="D9236" s="0" t="s">
        <v>2471</v>
      </c>
      <c r="E9236" s="0" t="n">
        <v>10096</v>
      </c>
      <c r="F9236" s="0" t="s">
        <v>622</v>
      </c>
      <c r="I9236" s="0" t="n">
        <v>294</v>
      </c>
      <c r="J9236" s="0" t="n">
        <v>61580</v>
      </c>
      <c r="K9236" s="0" t="n">
        <v>2258157</v>
      </c>
      <c r="L9236" s="0" t="s">
        <v>2509</v>
      </c>
      <c r="N9236" s="0" t="n">
        <v>10</v>
      </c>
      <c r="O9236" s="0" t="n">
        <v>120</v>
      </c>
      <c r="P9236" s="0" t="s">
        <v>2444</v>
      </c>
    </row>
    <row r="9237" customFormat="false" ht="15" hidden="false" customHeight="true" outlineLevel="0" collapsed="false">
      <c r="A9237" s="0" t="n">
        <v>2</v>
      </c>
      <c r="B9237" s="71" t="n">
        <v>46288</v>
      </c>
      <c r="C9237" s="0" t="n">
        <v>11</v>
      </c>
      <c r="D9237" s="0" t="s">
        <v>2471</v>
      </c>
      <c r="E9237" s="0" t="n">
        <v>10096</v>
      </c>
      <c r="F9237" s="0" t="s">
        <v>622</v>
      </c>
      <c r="I9237" s="0" t="n">
        <v>294</v>
      </c>
      <c r="J9237" s="0" t="n">
        <v>61597</v>
      </c>
      <c r="K9237" s="0" t="n">
        <v>2258188</v>
      </c>
      <c r="L9237" s="0" t="s">
        <v>2510</v>
      </c>
      <c r="N9237" s="0" t="n">
        <v>5</v>
      </c>
      <c r="O9237" s="0" t="n">
        <v>20</v>
      </c>
      <c r="P9237" s="0" t="s">
        <v>2444</v>
      </c>
    </row>
    <row r="9238" customFormat="false" ht="15" hidden="false" customHeight="true" outlineLevel="0" collapsed="false">
      <c r="A9238" s="0" t="n">
        <v>2</v>
      </c>
      <c r="B9238" s="71" t="n">
        <v>46288</v>
      </c>
      <c r="C9238" s="0" t="n">
        <v>11</v>
      </c>
      <c r="D9238" s="0" t="s">
        <v>2471</v>
      </c>
      <c r="E9238" s="0" t="n">
        <v>1269</v>
      </c>
      <c r="F9238" s="0" t="s">
        <v>1143</v>
      </c>
      <c r="I9238" s="0" t="n">
        <v>776</v>
      </c>
      <c r="J9238" s="0" t="n">
        <v>33792</v>
      </c>
      <c r="K9238" s="0" t="n">
        <v>7896359621330</v>
      </c>
      <c r="L9238" s="0" t="s">
        <v>4627</v>
      </c>
      <c r="N9238" s="0" t="n">
        <v>50</v>
      </c>
      <c r="O9238" s="0" t="n">
        <v>129</v>
      </c>
      <c r="P9238" s="0" t="s">
        <v>2444</v>
      </c>
    </row>
    <row r="9239" customFormat="false" ht="15" hidden="false" customHeight="true" outlineLevel="0" collapsed="false">
      <c r="A9239" s="0" t="n">
        <v>2</v>
      </c>
      <c r="B9239" s="71" t="n">
        <v>46288</v>
      </c>
      <c r="C9239" s="0" t="n">
        <v>11</v>
      </c>
      <c r="D9239" s="0" t="s">
        <v>2471</v>
      </c>
      <c r="E9239" s="0" t="n">
        <v>1269</v>
      </c>
      <c r="F9239" s="0" t="s">
        <v>1143</v>
      </c>
      <c r="I9239" s="0" t="n">
        <v>776</v>
      </c>
      <c r="J9239" s="0" t="n">
        <v>33793</v>
      </c>
      <c r="K9239" s="0" t="n">
        <v>7896355621198</v>
      </c>
      <c r="L9239" s="0" t="s">
        <v>4628</v>
      </c>
      <c r="N9239" s="0" t="n">
        <v>100</v>
      </c>
      <c r="O9239" s="0" t="n">
        <v>246</v>
      </c>
      <c r="P9239" s="0" t="s">
        <v>2444</v>
      </c>
    </row>
    <row r="9240" customFormat="false" ht="15" hidden="false" customHeight="true" outlineLevel="0" collapsed="false">
      <c r="A9240" s="0" t="n">
        <v>2</v>
      </c>
      <c r="B9240" s="71" t="n">
        <v>46288</v>
      </c>
      <c r="C9240" s="0" t="n">
        <v>11</v>
      </c>
      <c r="D9240" s="0" t="s">
        <v>2471</v>
      </c>
      <c r="E9240" s="0" t="n">
        <v>1269</v>
      </c>
      <c r="F9240" s="0" t="s">
        <v>1143</v>
      </c>
      <c r="I9240" s="0" t="n">
        <v>776</v>
      </c>
      <c r="J9240" s="0" t="n">
        <v>34428</v>
      </c>
      <c r="K9240" s="0" t="n">
        <v>7896359621507</v>
      </c>
      <c r="L9240" s="0" t="s">
        <v>4629</v>
      </c>
      <c r="N9240" s="0" t="n">
        <v>100</v>
      </c>
      <c r="O9240" s="0" t="n">
        <v>298</v>
      </c>
      <c r="P9240" s="0" t="s">
        <v>2444</v>
      </c>
    </row>
    <row r="9241" customFormat="false" ht="15" hidden="false" customHeight="true" outlineLevel="0" collapsed="false">
      <c r="A9241" s="0" t="n">
        <v>2</v>
      </c>
      <c r="B9241" s="71" t="n">
        <v>46288</v>
      </c>
      <c r="C9241" s="0" t="n">
        <v>11</v>
      </c>
      <c r="D9241" s="0" t="s">
        <v>2471</v>
      </c>
      <c r="E9241" s="0" t="n">
        <v>1899</v>
      </c>
      <c r="F9241" s="0" t="s">
        <v>204</v>
      </c>
      <c r="I9241" s="0" t="n">
        <v>816</v>
      </c>
      <c r="J9241" s="0" t="n">
        <v>44588</v>
      </c>
      <c r="K9241" s="0" t="n">
        <v>7898904331091</v>
      </c>
      <c r="L9241" s="0" t="s">
        <v>2443</v>
      </c>
      <c r="N9241" s="0" t="n">
        <v>10</v>
      </c>
      <c r="O9241" s="0" t="n">
        <v>49.9</v>
      </c>
      <c r="P9241" s="0" t="s">
        <v>2444</v>
      </c>
    </row>
    <row r="9242" customFormat="false" ht="15" hidden="false" customHeight="true" outlineLevel="0" collapsed="false">
      <c r="A9242" s="0" t="n">
        <v>2</v>
      </c>
      <c r="B9242" s="71" t="n">
        <v>46288</v>
      </c>
      <c r="C9242" s="0" t="n">
        <v>11</v>
      </c>
      <c r="D9242" s="0" t="s">
        <v>2471</v>
      </c>
      <c r="E9242" s="0" t="n">
        <v>1899</v>
      </c>
      <c r="F9242" s="0" t="s">
        <v>204</v>
      </c>
      <c r="I9242" s="0" t="n">
        <v>816</v>
      </c>
      <c r="J9242" s="0" t="n">
        <v>77463</v>
      </c>
      <c r="K9242" s="0" t="n">
        <v>774642</v>
      </c>
      <c r="L9242" s="0" t="s">
        <v>2445</v>
      </c>
      <c r="N9242" s="0" t="n">
        <v>20</v>
      </c>
      <c r="O9242" s="0" t="n">
        <v>90</v>
      </c>
      <c r="P9242" s="0" t="s">
        <v>2444</v>
      </c>
    </row>
    <row r="9243" customFormat="false" ht="15" hidden="false" customHeight="true" outlineLevel="0" collapsed="false">
      <c r="A9243" s="0" t="n">
        <v>2</v>
      </c>
      <c r="B9243" s="71" t="n">
        <v>46288</v>
      </c>
      <c r="C9243" s="0" t="n">
        <v>11</v>
      </c>
      <c r="D9243" s="0" t="s">
        <v>2471</v>
      </c>
      <c r="E9243" s="0" t="n">
        <v>1899</v>
      </c>
      <c r="F9243" s="0" t="s">
        <v>204</v>
      </c>
      <c r="I9243" s="0" t="n">
        <v>816</v>
      </c>
      <c r="J9243" s="0" t="n">
        <v>77465</v>
      </c>
      <c r="K9243" s="0" t="n">
        <v>774666</v>
      </c>
      <c r="L9243" s="0" t="s">
        <v>2446</v>
      </c>
      <c r="N9243" s="0" t="n">
        <v>10</v>
      </c>
      <c r="O9243" s="0" t="n">
        <v>49.9</v>
      </c>
      <c r="P9243" s="0" t="s">
        <v>2444</v>
      </c>
    </row>
    <row r="9244" customFormat="false" ht="15" hidden="false" customHeight="true" outlineLevel="0" collapsed="false">
      <c r="A9244" s="0" t="n">
        <v>2</v>
      </c>
      <c r="B9244" s="71" t="n">
        <v>46288</v>
      </c>
      <c r="C9244" s="0" t="n">
        <v>11</v>
      </c>
      <c r="D9244" s="0" t="s">
        <v>2471</v>
      </c>
      <c r="E9244" s="0" t="n">
        <v>1899</v>
      </c>
      <c r="F9244" s="0" t="s">
        <v>204</v>
      </c>
      <c r="I9244" s="0" t="n">
        <v>816</v>
      </c>
      <c r="J9244" s="0" t="n">
        <v>77903</v>
      </c>
      <c r="K9244" s="0" t="n">
        <v>779043</v>
      </c>
      <c r="L9244" s="0" t="s">
        <v>2945</v>
      </c>
      <c r="N9244" s="0" t="n">
        <v>5</v>
      </c>
      <c r="O9244" s="0" t="n">
        <v>22.5</v>
      </c>
      <c r="P9244" s="0" t="s">
        <v>2444</v>
      </c>
    </row>
    <row r="9245" customFormat="false" ht="15" hidden="false" customHeight="true" outlineLevel="0" collapsed="false">
      <c r="A9245" s="0" t="n">
        <v>2</v>
      </c>
      <c r="B9245" s="71" t="n">
        <v>46288</v>
      </c>
      <c r="C9245" s="0" t="n">
        <v>11</v>
      </c>
      <c r="D9245" s="0" t="s">
        <v>2471</v>
      </c>
      <c r="E9245" s="0" t="n">
        <v>1899</v>
      </c>
      <c r="F9245" s="0" t="s">
        <v>204</v>
      </c>
      <c r="I9245" s="0" t="n">
        <v>816</v>
      </c>
      <c r="J9245" s="0" t="n">
        <v>78013</v>
      </c>
      <c r="K9245" s="0" t="n">
        <v>780148</v>
      </c>
      <c r="L9245" s="0" t="s">
        <v>2584</v>
      </c>
      <c r="N9245" s="0" t="n">
        <v>5</v>
      </c>
      <c r="O9245" s="0" t="n">
        <v>22.5</v>
      </c>
      <c r="P9245" s="0" t="s">
        <v>2444</v>
      </c>
    </row>
    <row r="9246" customFormat="false" ht="15" hidden="false" customHeight="true" outlineLevel="0" collapsed="false">
      <c r="A9246" s="0" t="n">
        <v>2</v>
      </c>
      <c r="B9246" s="71" t="n">
        <v>46288</v>
      </c>
      <c r="C9246" s="0" t="n">
        <v>11</v>
      </c>
      <c r="D9246" s="0" t="s">
        <v>2471</v>
      </c>
      <c r="E9246" s="0" t="n">
        <v>1899</v>
      </c>
      <c r="F9246" s="0" t="s">
        <v>204</v>
      </c>
      <c r="I9246" s="0" t="n">
        <v>816</v>
      </c>
      <c r="J9246" s="0" t="n">
        <v>78015</v>
      </c>
      <c r="K9246" s="0" t="n">
        <v>780162</v>
      </c>
      <c r="L9246" s="0" t="s">
        <v>2447</v>
      </c>
      <c r="N9246" s="0" t="n">
        <v>4</v>
      </c>
      <c r="O9246" s="0" t="n">
        <v>19.96</v>
      </c>
      <c r="P9246" s="0" t="s">
        <v>2444</v>
      </c>
    </row>
    <row r="9247" customFormat="false" ht="15" hidden="false" customHeight="true" outlineLevel="0" collapsed="false">
      <c r="A9247" s="0" t="n">
        <v>2</v>
      </c>
      <c r="B9247" s="71" t="n">
        <v>46288</v>
      </c>
      <c r="C9247" s="0" t="n">
        <v>11</v>
      </c>
      <c r="D9247" s="0" t="s">
        <v>2471</v>
      </c>
      <c r="E9247" s="0" t="n">
        <v>1363</v>
      </c>
      <c r="F9247" s="0" t="s">
        <v>174</v>
      </c>
      <c r="I9247" s="0" t="n">
        <v>3973</v>
      </c>
      <c r="J9247" s="0" t="n">
        <v>65493</v>
      </c>
      <c r="K9247" s="0" t="n">
        <v>609963171002</v>
      </c>
      <c r="L9247" s="0" t="s">
        <v>2586</v>
      </c>
      <c r="N9247" s="0" t="n">
        <v>3</v>
      </c>
      <c r="O9247" s="0" t="n">
        <v>18</v>
      </c>
      <c r="P9247" s="0" t="s">
        <v>2444</v>
      </c>
    </row>
    <row r="9248" customFormat="false" ht="15" hidden="false" customHeight="true" outlineLevel="0" collapsed="false">
      <c r="A9248" s="0" t="n">
        <v>2</v>
      </c>
      <c r="B9248" s="71" t="n">
        <v>46288</v>
      </c>
      <c r="C9248" s="0" t="n">
        <v>11</v>
      </c>
      <c r="D9248" s="0" t="s">
        <v>2471</v>
      </c>
      <c r="E9248" s="0" t="n">
        <v>1363</v>
      </c>
      <c r="F9248" s="0" t="s">
        <v>174</v>
      </c>
      <c r="I9248" s="0" t="n">
        <v>3973</v>
      </c>
      <c r="J9248" s="0" t="n">
        <v>65494</v>
      </c>
      <c r="K9248" s="0" t="n">
        <v>618231677535</v>
      </c>
      <c r="L9248" s="0" t="s">
        <v>2587</v>
      </c>
      <c r="N9248" s="0" t="n">
        <v>15</v>
      </c>
      <c r="O9248" s="0" t="n">
        <v>90</v>
      </c>
      <c r="P9248" s="0" t="s">
        <v>2444</v>
      </c>
    </row>
    <row r="9249" customFormat="false" ht="15" hidden="false" customHeight="true" outlineLevel="0" collapsed="false">
      <c r="A9249" s="0" t="n">
        <v>2</v>
      </c>
      <c r="B9249" s="71" t="n">
        <v>46288</v>
      </c>
      <c r="C9249" s="0" t="n">
        <v>11</v>
      </c>
      <c r="D9249" s="0" t="s">
        <v>2471</v>
      </c>
      <c r="E9249" s="0" t="n">
        <v>1123</v>
      </c>
      <c r="F9249" s="0" t="s">
        <v>443</v>
      </c>
      <c r="I9249" s="0" t="n">
        <v>48651</v>
      </c>
      <c r="J9249" s="0" t="n">
        <v>72629</v>
      </c>
      <c r="K9249" s="0" t="n">
        <v>7898055455356</v>
      </c>
      <c r="L9249" s="0" t="s">
        <v>2684</v>
      </c>
      <c r="N9249" s="0" t="n">
        <v>64</v>
      </c>
      <c r="O9249" s="0" t="n">
        <v>460</v>
      </c>
      <c r="P9249" s="0" t="s">
        <v>2444</v>
      </c>
    </row>
    <row r="9250" customFormat="false" ht="15" hidden="false" customHeight="true" outlineLevel="0" collapsed="false">
      <c r="A9250" s="0" t="n">
        <v>2</v>
      </c>
      <c r="B9250" s="71" t="n">
        <v>46288</v>
      </c>
      <c r="C9250" s="0" t="n">
        <v>11</v>
      </c>
      <c r="D9250" s="0" t="s">
        <v>2471</v>
      </c>
      <c r="E9250" s="0" t="n">
        <v>1723</v>
      </c>
      <c r="F9250" s="0" t="s">
        <v>371</v>
      </c>
      <c r="I9250" s="0" t="n">
        <v>176831</v>
      </c>
      <c r="J9250" s="0" t="n">
        <v>29079</v>
      </c>
      <c r="K9250" s="0" t="n">
        <v>55515</v>
      </c>
      <c r="L9250" s="0" t="s">
        <v>2449</v>
      </c>
      <c r="N9250" s="0" t="n">
        <v>77.8</v>
      </c>
      <c r="O9250" s="0" t="n">
        <v>2528.5</v>
      </c>
      <c r="P9250" s="0" t="s">
        <v>2444</v>
      </c>
    </row>
    <row r="9251" customFormat="false" ht="15" hidden="false" customHeight="true" outlineLevel="0" collapsed="false">
      <c r="A9251" s="0" t="n">
        <v>2</v>
      </c>
      <c r="B9251" s="71" t="n">
        <v>46288</v>
      </c>
      <c r="C9251" s="0" t="n">
        <v>11</v>
      </c>
      <c r="D9251" s="0" t="s">
        <v>2471</v>
      </c>
      <c r="E9251" s="0" t="n">
        <v>1650</v>
      </c>
      <c r="F9251" s="0" t="s">
        <v>438</v>
      </c>
      <c r="I9251" s="0" t="n">
        <v>232190</v>
      </c>
      <c r="J9251" s="0" t="n">
        <v>16172</v>
      </c>
      <c r="K9251" s="0" t="n">
        <v>7898055452188</v>
      </c>
      <c r="L9251" s="0" t="s">
        <v>2685</v>
      </c>
      <c r="N9251" s="0" t="n">
        <v>35</v>
      </c>
      <c r="O9251" s="0" t="n">
        <v>126.78</v>
      </c>
      <c r="P9251" s="0" t="s">
        <v>2444</v>
      </c>
    </row>
    <row r="9252" customFormat="false" ht="15" hidden="false" customHeight="true" outlineLevel="0" collapsed="false">
      <c r="A9252" s="0" t="n">
        <v>2</v>
      </c>
      <c r="B9252" s="71" t="n">
        <v>46288</v>
      </c>
      <c r="C9252" s="0" t="n">
        <v>11</v>
      </c>
      <c r="D9252" s="0" t="s">
        <v>2471</v>
      </c>
      <c r="E9252" s="0" t="n">
        <v>1650</v>
      </c>
      <c r="F9252" s="0" t="s">
        <v>438</v>
      </c>
      <c r="I9252" s="0" t="n">
        <v>232190</v>
      </c>
      <c r="J9252" s="0" t="n">
        <v>16173</v>
      </c>
      <c r="K9252" s="0" t="n">
        <v>7898055452201</v>
      </c>
      <c r="L9252" s="0" t="s">
        <v>2686</v>
      </c>
      <c r="N9252" s="0" t="n">
        <v>12</v>
      </c>
      <c r="O9252" s="0" t="n">
        <v>53.41</v>
      </c>
      <c r="P9252" s="0" t="s">
        <v>2444</v>
      </c>
    </row>
    <row r="9253" customFormat="false" ht="15" hidden="false" customHeight="true" outlineLevel="0" collapsed="false">
      <c r="A9253" s="0" t="n">
        <v>2</v>
      </c>
      <c r="B9253" s="71" t="n">
        <v>46288</v>
      </c>
      <c r="C9253" s="0" t="n">
        <v>11</v>
      </c>
      <c r="D9253" s="0" t="s">
        <v>2471</v>
      </c>
      <c r="E9253" s="0" t="n">
        <v>1650</v>
      </c>
      <c r="F9253" s="0" t="s">
        <v>438</v>
      </c>
      <c r="I9253" s="0" t="n">
        <v>232190</v>
      </c>
      <c r="J9253" s="0" t="n">
        <v>16174</v>
      </c>
      <c r="K9253" s="0" t="n">
        <v>7898055452195</v>
      </c>
      <c r="L9253" s="0" t="s">
        <v>2687</v>
      </c>
      <c r="N9253" s="0" t="n">
        <v>12</v>
      </c>
      <c r="O9253" s="0" t="n">
        <v>44.72</v>
      </c>
      <c r="P9253" s="0" t="s">
        <v>2444</v>
      </c>
    </row>
    <row r="9254" customFormat="false" ht="15" hidden="false" customHeight="true" outlineLevel="0" collapsed="false">
      <c r="A9254" s="0" t="n">
        <v>2</v>
      </c>
      <c r="B9254" s="71" t="n">
        <v>46288</v>
      </c>
      <c r="C9254" s="0" t="n">
        <v>11</v>
      </c>
      <c r="D9254" s="0" t="s">
        <v>2471</v>
      </c>
      <c r="E9254" s="0" t="n">
        <v>1650</v>
      </c>
      <c r="F9254" s="0" t="s">
        <v>438</v>
      </c>
      <c r="I9254" s="0" t="n">
        <v>232190</v>
      </c>
      <c r="J9254" s="0" t="n">
        <v>16604</v>
      </c>
      <c r="K9254" s="0" t="n">
        <v>7898055453246</v>
      </c>
      <c r="L9254" s="0" t="s">
        <v>2688</v>
      </c>
      <c r="N9254" s="0" t="n">
        <v>12</v>
      </c>
      <c r="O9254" s="0" t="n">
        <v>23.59</v>
      </c>
      <c r="P9254" s="0" t="s">
        <v>2444</v>
      </c>
    </row>
    <row r="9255" customFormat="false" ht="15" hidden="false" customHeight="true" outlineLevel="0" collapsed="false">
      <c r="A9255" s="0" t="n">
        <v>2</v>
      </c>
      <c r="B9255" s="71" t="n">
        <v>46288</v>
      </c>
      <c r="C9255" s="0" t="n">
        <v>11</v>
      </c>
      <c r="D9255" s="0" t="s">
        <v>2471</v>
      </c>
      <c r="E9255" s="0" t="n">
        <v>1650</v>
      </c>
      <c r="F9255" s="0" t="s">
        <v>438</v>
      </c>
      <c r="I9255" s="0" t="n">
        <v>232190</v>
      </c>
      <c r="J9255" s="0" t="n">
        <v>20636</v>
      </c>
      <c r="K9255" s="0" t="n">
        <v>7898055450702</v>
      </c>
      <c r="L9255" s="0" t="s">
        <v>2690</v>
      </c>
      <c r="N9255" s="0" t="n">
        <v>24</v>
      </c>
      <c r="O9255" s="0" t="n">
        <v>52.94</v>
      </c>
      <c r="P9255" s="0" t="s">
        <v>2444</v>
      </c>
    </row>
    <row r="9256" customFormat="false" ht="15" hidden="false" customHeight="true" outlineLevel="0" collapsed="false">
      <c r="A9256" s="0" t="n">
        <v>2</v>
      </c>
      <c r="B9256" s="71" t="n">
        <v>46288</v>
      </c>
      <c r="C9256" s="0" t="n">
        <v>11</v>
      </c>
      <c r="D9256" s="0" t="s">
        <v>2471</v>
      </c>
      <c r="E9256" s="0" t="n">
        <v>1650</v>
      </c>
      <c r="F9256" s="0" t="s">
        <v>438</v>
      </c>
      <c r="I9256" s="0" t="n">
        <v>232190</v>
      </c>
      <c r="J9256" s="0" t="n">
        <v>21048</v>
      </c>
      <c r="K9256" s="0" t="n">
        <v>7898055451532</v>
      </c>
      <c r="L9256" s="0" t="s">
        <v>2691</v>
      </c>
      <c r="N9256" s="0" t="n">
        <v>6</v>
      </c>
      <c r="O9256" s="0" t="n">
        <v>41.61</v>
      </c>
      <c r="P9256" s="0" t="s">
        <v>2444</v>
      </c>
    </row>
    <row r="9257" customFormat="false" ht="15" hidden="false" customHeight="true" outlineLevel="0" collapsed="false">
      <c r="A9257" s="0" t="n">
        <v>2</v>
      </c>
      <c r="B9257" s="71" t="n">
        <v>46288</v>
      </c>
      <c r="C9257" s="0" t="n">
        <v>11</v>
      </c>
      <c r="D9257" s="0" t="s">
        <v>2471</v>
      </c>
      <c r="E9257" s="0" t="n">
        <v>1650</v>
      </c>
      <c r="F9257" s="0" t="s">
        <v>438</v>
      </c>
      <c r="I9257" s="0" t="n">
        <v>232190</v>
      </c>
      <c r="J9257" s="0" t="n">
        <v>21206</v>
      </c>
      <c r="K9257" s="0" t="n">
        <v>7898055453215</v>
      </c>
      <c r="L9257" s="0" t="s">
        <v>3871</v>
      </c>
      <c r="N9257" s="0" t="n">
        <v>20</v>
      </c>
      <c r="O9257" s="0" t="n">
        <v>130.29</v>
      </c>
      <c r="P9257" s="0" t="s">
        <v>2444</v>
      </c>
    </row>
    <row r="9258" customFormat="false" ht="15" hidden="false" customHeight="true" outlineLevel="0" collapsed="false">
      <c r="A9258" s="0" t="n">
        <v>2</v>
      </c>
      <c r="B9258" s="71" t="n">
        <v>46288</v>
      </c>
      <c r="C9258" s="0" t="n">
        <v>11</v>
      </c>
      <c r="D9258" s="0" t="s">
        <v>2471</v>
      </c>
      <c r="E9258" s="0" t="n">
        <v>1718</v>
      </c>
      <c r="F9258" s="0" t="s">
        <v>236</v>
      </c>
      <c r="I9258" s="0" t="n">
        <v>698007</v>
      </c>
      <c r="J9258" s="0" t="n">
        <v>107538</v>
      </c>
      <c r="K9258" s="0" t="n">
        <v>70330913431</v>
      </c>
      <c r="L9258" s="0" t="s">
        <v>2744</v>
      </c>
      <c r="N9258" s="0" t="n">
        <v>120</v>
      </c>
      <c r="O9258" s="0" t="n">
        <v>359.5</v>
      </c>
      <c r="P9258" s="0" t="s">
        <v>2444</v>
      </c>
    </row>
    <row r="9259" customFormat="false" ht="15" hidden="false" customHeight="true" outlineLevel="0" collapsed="false">
      <c r="A9259" s="0" t="n">
        <v>2</v>
      </c>
      <c r="B9259" s="71" t="n">
        <v>46288</v>
      </c>
      <c r="C9259" s="0" t="n">
        <v>11</v>
      </c>
      <c r="D9259" s="0" t="s">
        <v>2471</v>
      </c>
      <c r="E9259" s="0" t="n">
        <v>1668</v>
      </c>
      <c r="F9259" s="0" t="s">
        <v>151</v>
      </c>
      <c r="I9259" s="0" t="n">
        <v>762379</v>
      </c>
      <c r="J9259" s="0" t="n">
        <v>51909</v>
      </c>
      <c r="K9259" s="0" t="n">
        <v>7897511700405</v>
      </c>
      <c r="L9259" s="0" t="s">
        <v>5602</v>
      </c>
      <c r="N9259" s="0" t="n">
        <v>10</v>
      </c>
      <c r="O9259" s="0" t="n">
        <v>152.77</v>
      </c>
      <c r="P9259" s="0" t="s">
        <v>2444</v>
      </c>
    </row>
    <row r="9260" customFormat="false" ht="15" hidden="false" customHeight="true" outlineLevel="0" collapsed="false">
      <c r="A9260" s="0" t="n">
        <v>2</v>
      </c>
      <c r="B9260" s="71" t="n">
        <v>46288</v>
      </c>
      <c r="C9260" s="0" t="n">
        <v>11</v>
      </c>
      <c r="D9260" s="0" t="s">
        <v>2471</v>
      </c>
      <c r="E9260" s="0" t="n">
        <v>1668</v>
      </c>
      <c r="F9260" s="0" t="s">
        <v>151</v>
      </c>
      <c r="I9260" s="0" t="n">
        <v>762379</v>
      </c>
      <c r="J9260" s="0" t="n">
        <v>67008</v>
      </c>
      <c r="K9260" s="0" t="n">
        <v>7897511738149</v>
      </c>
      <c r="L9260" s="0" t="s">
        <v>5603</v>
      </c>
      <c r="N9260" s="0" t="n">
        <v>60</v>
      </c>
      <c r="O9260" s="0" t="n">
        <v>207.29</v>
      </c>
      <c r="P9260" s="0" t="s">
        <v>2444</v>
      </c>
    </row>
    <row r="9261" customFormat="false" ht="15" hidden="false" customHeight="true" outlineLevel="0" collapsed="false">
      <c r="A9261" s="0" t="n">
        <v>2</v>
      </c>
      <c r="B9261" s="71" t="n">
        <v>46288</v>
      </c>
      <c r="C9261" s="0" t="n">
        <v>11</v>
      </c>
      <c r="D9261" s="0" t="s">
        <v>2471</v>
      </c>
      <c r="E9261" s="0" t="n">
        <v>1668</v>
      </c>
      <c r="F9261" s="0" t="s">
        <v>151</v>
      </c>
      <c r="I9261" s="0" t="n">
        <v>762379</v>
      </c>
      <c r="J9261" s="0" t="n">
        <v>82517</v>
      </c>
      <c r="K9261" s="0" t="n">
        <v>7898597031919</v>
      </c>
      <c r="L9261" s="0" t="s">
        <v>5604</v>
      </c>
      <c r="N9261" s="0" t="n">
        <v>6</v>
      </c>
      <c r="O9261" s="0" t="n">
        <v>146.69</v>
      </c>
      <c r="P9261" s="0" t="s">
        <v>2444</v>
      </c>
    </row>
    <row r="9262" customFormat="false" ht="15" hidden="false" customHeight="true" outlineLevel="0" collapsed="false">
      <c r="A9262" s="0" t="n">
        <v>2</v>
      </c>
      <c r="B9262" s="71" t="n">
        <v>46288</v>
      </c>
      <c r="C9262" s="0" t="n">
        <v>11</v>
      </c>
      <c r="D9262" s="0" t="s">
        <v>2471</v>
      </c>
      <c r="E9262" s="0" t="n">
        <v>1668</v>
      </c>
      <c r="F9262" s="0" t="s">
        <v>151</v>
      </c>
      <c r="I9262" s="0" t="n">
        <v>762379</v>
      </c>
      <c r="J9262" s="0" t="n">
        <v>82518</v>
      </c>
      <c r="K9262" s="0" t="n">
        <v>7897511730020</v>
      </c>
      <c r="L9262" s="0" t="s">
        <v>5605</v>
      </c>
      <c r="N9262" s="0" t="n">
        <v>20</v>
      </c>
      <c r="O9262" s="0" t="n">
        <v>224</v>
      </c>
      <c r="P9262" s="0" t="s">
        <v>2444</v>
      </c>
    </row>
    <row r="9263" customFormat="false" ht="15" hidden="false" customHeight="true" outlineLevel="0" collapsed="false">
      <c r="A9263" s="0" t="n">
        <v>2</v>
      </c>
      <c r="B9263" s="71" t="n">
        <v>46288</v>
      </c>
      <c r="C9263" s="0" t="n">
        <v>11</v>
      </c>
      <c r="D9263" s="0" t="s">
        <v>2471</v>
      </c>
      <c r="E9263" s="0" t="n">
        <v>1601</v>
      </c>
      <c r="F9263" s="0" t="s">
        <v>193</v>
      </c>
      <c r="I9263" s="0" t="n">
        <v>874491</v>
      </c>
      <c r="J9263" s="0" t="n">
        <v>67213</v>
      </c>
      <c r="K9263" s="0" t="n">
        <v>7896382505812</v>
      </c>
      <c r="L9263" s="0" t="s">
        <v>2812</v>
      </c>
      <c r="N9263" s="0" t="n">
        <v>120</v>
      </c>
      <c r="O9263" s="0" t="n">
        <v>148.2</v>
      </c>
      <c r="P9263" s="0" t="s">
        <v>2444</v>
      </c>
    </row>
    <row r="9264" customFormat="false" ht="15" hidden="false" customHeight="true" outlineLevel="0" collapsed="false">
      <c r="A9264" s="0" t="n">
        <v>2</v>
      </c>
      <c r="B9264" s="71" t="n">
        <v>46288</v>
      </c>
      <c r="C9264" s="0" t="n">
        <v>11</v>
      </c>
      <c r="D9264" s="0" t="s">
        <v>2471</v>
      </c>
      <c r="E9264" s="0" t="n">
        <v>1601</v>
      </c>
      <c r="F9264" s="0" t="s">
        <v>193</v>
      </c>
      <c r="I9264" s="0" t="n">
        <v>874491</v>
      </c>
      <c r="J9264" s="0" t="n">
        <v>67214</v>
      </c>
      <c r="K9264" s="0" t="n">
        <v>7896382505836</v>
      </c>
      <c r="L9264" s="0" t="s">
        <v>4545</v>
      </c>
      <c r="N9264" s="0" t="n">
        <v>120</v>
      </c>
      <c r="O9264" s="0" t="n">
        <v>148.2</v>
      </c>
      <c r="P9264" s="0" t="s">
        <v>2444</v>
      </c>
    </row>
    <row r="9265" customFormat="false" ht="15" hidden="false" customHeight="true" outlineLevel="0" collapsed="false">
      <c r="A9265" s="0" t="n">
        <v>2</v>
      </c>
      <c r="B9265" s="71" t="n">
        <v>46288</v>
      </c>
      <c r="C9265" s="0" t="n">
        <v>11</v>
      </c>
      <c r="D9265" s="0" t="s">
        <v>2471</v>
      </c>
      <c r="E9265" s="0" t="n">
        <v>1601</v>
      </c>
      <c r="F9265" s="0" t="s">
        <v>193</v>
      </c>
      <c r="I9265" s="0" t="n">
        <v>874491</v>
      </c>
      <c r="J9265" s="0" t="n">
        <v>68268</v>
      </c>
      <c r="K9265" s="0" t="n">
        <v>7896382505829</v>
      </c>
      <c r="L9265" s="0" t="s">
        <v>2814</v>
      </c>
      <c r="N9265" s="0" t="n">
        <v>120</v>
      </c>
      <c r="O9265" s="0" t="n">
        <v>148.2</v>
      </c>
      <c r="P9265" s="0" t="s">
        <v>2444</v>
      </c>
    </row>
    <row r="9266" customFormat="false" ht="15" hidden="false" customHeight="true" outlineLevel="0" collapsed="false">
      <c r="A9266" s="0" t="n">
        <v>2</v>
      </c>
      <c r="B9266" s="71" t="n">
        <v>46288</v>
      </c>
      <c r="C9266" s="0" t="n">
        <v>11</v>
      </c>
      <c r="D9266" s="0" t="s">
        <v>2471</v>
      </c>
      <c r="E9266" s="0" t="n">
        <v>1601</v>
      </c>
      <c r="F9266" s="0" t="s">
        <v>193</v>
      </c>
      <c r="I9266" s="0" t="n">
        <v>874491</v>
      </c>
      <c r="J9266" s="0" t="n">
        <v>81302</v>
      </c>
      <c r="K9266" s="0" t="n">
        <v>7896382506239</v>
      </c>
      <c r="L9266" s="0" t="s">
        <v>2818</v>
      </c>
      <c r="N9266" s="0" t="n">
        <v>120</v>
      </c>
      <c r="O9266" s="0" t="n">
        <v>148.2</v>
      </c>
      <c r="P9266" s="0" t="s">
        <v>2444</v>
      </c>
    </row>
    <row r="9267" customFormat="false" ht="15" hidden="false" customHeight="true" outlineLevel="0" collapsed="false">
      <c r="A9267" s="0" t="n">
        <v>2</v>
      </c>
      <c r="B9267" s="71" t="n">
        <v>46288</v>
      </c>
      <c r="C9267" s="0" t="n">
        <v>22</v>
      </c>
      <c r="D9267" s="0" t="s">
        <v>2479</v>
      </c>
      <c r="E9267" s="0" t="n">
        <v>48</v>
      </c>
      <c r="F9267" s="0" t="s">
        <v>153</v>
      </c>
      <c r="I9267" s="0" t="n">
        <v>2698</v>
      </c>
      <c r="J9267" s="0" t="n">
        <v>100000</v>
      </c>
      <c r="K9267" s="0" t="n">
        <v>1</v>
      </c>
      <c r="L9267" s="0" t="s">
        <v>2480</v>
      </c>
      <c r="N9267" s="0" t="n">
        <v>3.908</v>
      </c>
      <c r="O9267" s="0" t="n">
        <v>79.36</v>
      </c>
      <c r="P9267" s="0" t="s">
        <v>2444</v>
      </c>
    </row>
    <row r="9268" customFormat="false" ht="15" hidden="false" customHeight="true" outlineLevel="0" collapsed="false">
      <c r="A9268" s="0" t="n">
        <v>2</v>
      </c>
      <c r="B9268" s="71" t="n">
        <v>46288</v>
      </c>
      <c r="C9268" s="0" t="n">
        <v>22</v>
      </c>
      <c r="D9268" s="0" t="s">
        <v>2479</v>
      </c>
      <c r="E9268" s="0" t="n">
        <v>48</v>
      </c>
      <c r="F9268" s="0" t="s">
        <v>153</v>
      </c>
      <c r="I9268" s="0" t="n">
        <v>2698</v>
      </c>
      <c r="J9268" s="0" t="n">
        <v>100006</v>
      </c>
      <c r="K9268" s="0" t="n">
        <v>7</v>
      </c>
      <c r="L9268" s="0" t="s">
        <v>2485</v>
      </c>
      <c r="N9268" s="0" t="n">
        <v>2.264</v>
      </c>
      <c r="O9268" s="0" t="n">
        <v>65.14</v>
      </c>
      <c r="P9268" s="0" t="s">
        <v>2444</v>
      </c>
    </row>
    <row r="9269" customFormat="false" ht="15" hidden="false" customHeight="true" outlineLevel="0" collapsed="false">
      <c r="A9269" s="0" t="n">
        <v>2</v>
      </c>
      <c r="B9269" s="71" t="n">
        <v>46288</v>
      </c>
      <c r="C9269" s="0" t="n">
        <v>22</v>
      </c>
      <c r="D9269" s="0" t="s">
        <v>2479</v>
      </c>
      <c r="E9269" s="0" t="n">
        <v>48</v>
      </c>
      <c r="F9269" s="0" t="s">
        <v>153</v>
      </c>
      <c r="I9269" s="0" t="n">
        <v>2698</v>
      </c>
      <c r="J9269" s="0" t="n">
        <v>100007</v>
      </c>
      <c r="K9269" s="0" t="n">
        <v>8</v>
      </c>
      <c r="L9269" s="0" t="s">
        <v>2486</v>
      </c>
      <c r="N9269" s="0" t="n">
        <v>2.078</v>
      </c>
      <c r="O9269" s="0" t="n">
        <v>52.76</v>
      </c>
      <c r="P9269" s="0" t="s">
        <v>2444</v>
      </c>
    </row>
    <row r="9270" customFormat="false" ht="15" hidden="false" customHeight="true" outlineLevel="0" collapsed="false">
      <c r="A9270" s="0" t="n">
        <v>2</v>
      </c>
      <c r="B9270" s="71" t="n">
        <v>46288</v>
      </c>
      <c r="C9270" s="0" t="n">
        <v>22</v>
      </c>
      <c r="D9270" s="0" t="s">
        <v>2479</v>
      </c>
      <c r="E9270" s="0" t="n">
        <v>48</v>
      </c>
      <c r="F9270" s="0" t="s">
        <v>153</v>
      </c>
      <c r="I9270" s="0" t="n">
        <v>2698</v>
      </c>
      <c r="J9270" s="0" t="n">
        <v>100008</v>
      </c>
      <c r="K9270" s="0" t="n">
        <v>9</v>
      </c>
      <c r="L9270" s="0" t="s">
        <v>2487</v>
      </c>
      <c r="N9270" s="0" t="n">
        <v>13.16</v>
      </c>
      <c r="O9270" s="0" t="n">
        <v>434.36</v>
      </c>
      <c r="P9270" s="0" t="s">
        <v>2444</v>
      </c>
    </row>
    <row r="9271" customFormat="false" ht="15" hidden="false" customHeight="true" outlineLevel="0" collapsed="false">
      <c r="A9271" s="0" t="n">
        <v>2</v>
      </c>
      <c r="B9271" s="71" t="n">
        <v>46288</v>
      </c>
      <c r="C9271" s="0" t="n">
        <v>22</v>
      </c>
      <c r="D9271" s="0" t="s">
        <v>2479</v>
      </c>
      <c r="E9271" s="0" t="n">
        <v>48</v>
      </c>
      <c r="F9271" s="0" t="s">
        <v>153</v>
      </c>
      <c r="I9271" s="0" t="n">
        <v>2698</v>
      </c>
      <c r="J9271" s="0" t="n">
        <v>100011</v>
      </c>
      <c r="K9271" s="0" t="n">
        <v>12</v>
      </c>
      <c r="L9271" s="0" t="s">
        <v>2488</v>
      </c>
      <c r="N9271" s="0" t="n">
        <v>10.15</v>
      </c>
      <c r="O9271" s="0" t="n">
        <v>386.57</v>
      </c>
      <c r="P9271" s="0" t="s">
        <v>2444</v>
      </c>
    </row>
    <row r="9272" customFormat="false" ht="15" hidden="false" customHeight="true" outlineLevel="0" collapsed="false">
      <c r="A9272" s="0" t="n">
        <v>2</v>
      </c>
      <c r="B9272" s="71" t="n">
        <v>46288</v>
      </c>
      <c r="C9272" s="0" t="n">
        <v>22</v>
      </c>
      <c r="D9272" s="0" t="s">
        <v>2479</v>
      </c>
      <c r="E9272" s="0" t="n">
        <v>48</v>
      </c>
      <c r="F9272" s="0" t="s">
        <v>153</v>
      </c>
      <c r="I9272" s="0" t="n">
        <v>2698</v>
      </c>
      <c r="J9272" s="0" t="n">
        <v>100012</v>
      </c>
      <c r="K9272" s="0" t="n">
        <v>13</v>
      </c>
      <c r="L9272" s="0" t="s">
        <v>2489</v>
      </c>
      <c r="N9272" s="0" t="n">
        <v>5.924</v>
      </c>
      <c r="O9272" s="0" t="n">
        <v>250.69</v>
      </c>
      <c r="P9272" s="0" t="s">
        <v>2444</v>
      </c>
    </row>
    <row r="9273" customFormat="false" ht="15" hidden="false" customHeight="true" outlineLevel="0" collapsed="false">
      <c r="A9273" s="0" t="n">
        <v>2</v>
      </c>
      <c r="B9273" s="71" t="n">
        <v>46288</v>
      </c>
      <c r="C9273" s="0" t="n">
        <v>22</v>
      </c>
      <c r="D9273" s="0" t="s">
        <v>2479</v>
      </c>
      <c r="E9273" s="0" t="n">
        <v>48</v>
      </c>
      <c r="F9273" s="0" t="s">
        <v>153</v>
      </c>
      <c r="I9273" s="0" t="n">
        <v>2698</v>
      </c>
      <c r="J9273" s="0" t="n">
        <v>100013</v>
      </c>
      <c r="K9273" s="0" t="n">
        <v>14</v>
      </c>
      <c r="L9273" s="0" t="s">
        <v>2490</v>
      </c>
      <c r="N9273" s="0" t="n">
        <v>11.26</v>
      </c>
      <c r="O9273" s="0" t="n">
        <v>505.1</v>
      </c>
      <c r="P9273" s="0" t="s">
        <v>2444</v>
      </c>
    </row>
    <row r="9274" customFormat="false" ht="15" hidden="false" customHeight="true" outlineLevel="0" collapsed="false">
      <c r="A9274" s="0" t="n">
        <v>2</v>
      </c>
      <c r="B9274" s="71" t="n">
        <v>46288</v>
      </c>
      <c r="C9274" s="0" t="n">
        <v>22</v>
      </c>
      <c r="D9274" s="0" t="s">
        <v>2479</v>
      </c>
      <c r="E9274" s="0" t="n">
        <v>48</v>
      </c>
      <c r="F9274" s="0" t="s">
        <v>153</v>
      </c>
      <c r="I9274" s="0" t="n">
        <v>2698</v>
      </c>
      <c r="J9274" s="0" t="n">
        <v>100014</v>
      </c>
      <c r="K9274" s="0" t="n">
        <v>15</v>
      </c>
      <c r="L9274" s="0" t="s">
        <v>2491</v>
      </c>
      <c r="N9274" s="0" t="n">
        <v>4.986</v>
      </c>
      <c r="O9274" s="0" t="n">
        <v>227.88</v>
      </c>
      <c r="P9274" s="0" t="s">
        <v>2444</v>
      </c>
    </row>
    <row r="9275" customFormat="false" ht="15" hidden="false" customHeight="true" outlineLevel="0" collapsed="false">
      <c r="A9275" s="0" t="n">
        <v>2</v>
      </c>
      <c r="B9275" s="71" t="n">
        <v>46288</v>
      </c>
      <c r="C9275" s="0" t="n">
        <v>22</v>
      </c>
      <c r="D9275" s="0" t="s">
        <v>2479</v>
      </c>
      <c r="E9275" s="0" t="n">
        <v>48</v>
      </c>
      <c r="F9275" s="0" t="s">
        <v>153</v>
      </c>
      <c r="I9275" s="0" t="n">
        <v>2698</v>
      </c>
      <c r="J9275" s="0" t="n">
        <v>100015</v>
      </c>
      <c r="K9275" s="0" t="n">
        <v>16</v>
      </c>
      <c r="L9275" s="0" t="s">
        <v>2492</v>
      </c>
      <c r="N9275" s="0" t="n">
        <v>1.72</v>
      </c>
      <c r="O9275" s="0" t="n">
        <v>69.88</v>
      </c>
      <c r="P9275" s="0" t="s">
        <v>2444</v>
      </c>
    </row>
    <row r="9276" customFormat="false" ht="15" hidden="false" customHeight="true" outlineLevel="0" collapsed="false">
      <c r="A9276" s="0" t="n">
        <v>2</v>
      </c>
      <c r="B9276" s="71" t="n">
        <v>46288</v>
      </c>
      <c r="C9276" s="0" t="n">
        <v>22</v>
      </c>
      <c r="D9276" s="0" t="s">
        <v>2479</v>
      </c>
      <c r="E9276" s="0" t="n">
        <v>48</v>
      </c>
      <c r="F9276" s="0" t="s">
        <v>153</v>
      </c>
      <c r="I9276" s="0" t="n">
        <v>2698</v>
      </c>
      <c r="J9276" s="0" t="n">
        <v>100016</v>
      </c>
      <c r="K9276" s="0" t="n">
        <v>17</v>
      </c>
      <c r="L9276" s="0" t="s">
        <v>2493</v>
      </c>
      <c r="N9276" s="0" t="n">
        <v>1.776</v>
      </c>
      <c r="O9276" s="0" t="n">
        <v>90.19</v>
      </c>
      <c r="P9276" s="0" t="s">
        <v>2444</v>
      </c>
    </row>
    <row r="9277" customFormat="false" ht="15" hidden="false" customHeight="true" outlineLevel="0" collapsed="false">
      <c r="A9277" s="0" t="n">
        <v>2</v>
      </c>
      <c r="B9277" s="71" t="n">
        <v>46288</v>
      </c>
      <c r="C9277" s="0" t="n">
        <v>22</v>
      </c>
      <c r="D9277" s="0" t="s">
        <v>2479</v>
      </c>
      <c r="E9277" s="0" t="n">
        <v>48</v>
      </c>
      <c r="F9277" s="0" t="s">
        <v>153</v>
      </c>
      <c r="I9277" s="0" t="n">
        <v>2698</v>
      </c>
      <c r="J9277" s="0" t="n">
        <v>100017</v>
      </c>
      <c r="K9277" s="0" t="n">
        <v>18</v>
      </c>
      <c r="L9277" s="0" t="s">
        <v>2494</v>
      </c>
      <c r="N9277" s="0" t="n">
        <v>1.928</v>
      </c>
      <c r="O9277" s="0" t="n">
        <v>114.23</v>
      </c>
      <c r="P9277" s="0" t="s">
        <v>2444</v>
      </c>
    </row>
    <row r="9278" customFormat="false" ht="15" hidden="false" customHeight="true" outlineLevel="0" collapsed="false">
      <c r="A9278" s="0" t="n">
        <v>2</v>
      </c>
      <c r="B9278" s="71" t="n">
        <v>46288</v>
      </c>
      <c r="C9278" s="0" t="n">
        <v>22</v>
      </c>
      <c r="D9278" s="0" t="s">
        <v>2479</v>
      </c>
      <c r="E9278" s="0" t="n">
        <v>48</v>
      </c>
      <c r="F9278" s="0" t="s">
        <v>153</v>
      </c>
      <c r="I9278" s="0" t="n">
        <v>2698</v>
      </c>
      <c r="J9278" s="0" t="n">
        <v>100019</v>
      </c>
      <c r="K9278" s="0" t="n">
        <v>20</v>
      </c>
      <c r="L9278" s="0" t="s">
        <v>3779</v>
      </c>
      <c r="N9278" s="0" t="n">
        <v>2.376</v>
      </c>
      <c r="O9278" s="0" t="n">
        <v>84.46</v>
      </c>
      <c r="P9278" s="0" t="s">
        <v>2444</v>
      </c>
    </row>
    <row r="9279" customFormat="false" ht="15" hidden="false" customHeight="true" outlineLevel="0" collapsed="false">
      <c r="A9279" s="0" t="n">
        <v>2</v>
      </c>
      <c r="B9279" s="71" t="n">
        <v>46288</v>
      </c>
      <c r="C9279" s="0" t="n">
        <v>22</v>
      </c>
      <c r="D9279" s="0" t="s">
        <v>2479</v>
      </c>
      <c r="E9279" s="0" t="n">
        <v>48</v>
      </c>
      <c r="F9279" s="0" t="s">
        <v>153</v>
      </c>
      <c r="I9279" s="0" t="n">
        <v>2698</v>
      </c>
      <c r="J9279" s="0" t="n">
        <v>100053</v>
      </c>
      <c r="K9279" s="0" t="n">
        <v>54</v>
      </c>
      <c r="L9279" s="0" t="s">
        <v>2495</v>
      </c>
      <c r="N9279" s="0" t="n">
        <v>1.698</v>
      </c>
      <c r="O9279" s="0" t="n">
        <v>63.23</v>
      </c>
      <c r="P9279" s="0" t="s">
        <v>2444</v>
      </c>
    </row>
    <row r="9280" customFormat="false" ht="15" hidden="false" customHeight="true" outlineLevel="0" collapsed="false">
      <c r="A9280" s="0" t="n">
        <v>2</v>
      </c>
      <c r="B9280" s="71" t="n">
        <v>46288</v>
      </c>
      <c r="C9280" s="0" t="n">
        <v>22</v>
      </c>
      <c r="D9280" s="0" t="s">
        <v>2479</v>
      </c>
      <c r="E9280" s="0" t="n">
        <v>48</v>
      </c>
      <c r="F9280" s="0" t="s">
        <v>153</v>
      </c>
      <c r="I9280" s="0" t="n">
        <v>2698</v>
      </c>
      <c r="J9280" s="0" t="n">
        <v>100638</v>
      </c>
      <c r="K9280" s="0" t="n">
        <v>508</v>
      </c>
      <c r="L9280" s="0" t="s">
        <v>2496</v>
      </c>
      <c r="N9280" s="0" t="n">
        <v>0.7</v>
      </c>
      <c r="O9280" s="0" t="n">
        <v>1.77</v>
      </c>
      <c r="P9280" s="0" t="s">
        <v>2444</v>
      </c>
    </row>
    <row r="9281" customFormat="false" ht="15" hidden="false" customHeight="true" outlineLevel="0" collapsed="false">
      <c r="A9281" s="0" t="n">
        <v>2</v>
      </c>
      <c r="B9281" s="71" t="n">
        <v>46288</v>
      </c>
      <c r="C9281" s="0" t="n">
        <v>22</v>
      </c>
      <c r="D9281" s="0" t="s">
        <v>2479</v>
      </c>
      <c r="E9281" s="0" t="n">
        <v>48</v>
      </c>
      <c r="F9281" s="0" t="s">
        <v>153</v>
      </c>
      <c r="I9281" s="0" t="n">
        <v>2698</v>
      </c>
      <c r="J9281" s="0" t="n">
        <v>110137</v>
      </c>
      <c r="K9281" s="0" t="n">
        <v>13899</v>
      </c>
      <c r="L9281" s="0" t="s">
        <v>3780</v>
      </c>
      <c r="N9281" s="0" t="n">
        <v>12.055</v>
      </c>
      <c r="O9281" s="0" t="n">
        <v>50.92</v>
      </c>
      <c r="P9281" s="0" t="s">
        <v>2444</v>
      </c>
    </row>
    <row r="9282" customFormat="false" ht="15" hidden="false" customHeight="true" outlineLevel="0" collapsed="false">
      <c r="A9282" s="0" t="n">
        <v>2</v>
      </c>
      <c r="B9282" s="71" t="n">
        <v>46288</v>
      </c>
      <c r="C9282" s="0" t="n">
        <v>22</v>
      </c>
      <c r="D9282" s="0" t="s">
        <v>2479</v>
      </c>
      <c r="E9282" s="0" t="n">
        <v>48</v>
      </c>
      <c r="F9282" s="0" t="s">
        <v>153</v>
      </c>
      <c r="I9282" s="0" t="n">
        <v>2698</v>
      </c>
      <c r="J9282" s="0" t="n">
        <v>110455</v>
      </c>
      <c r="K9282" s="0" t="n">
        <v>53212</v>
      </c>
      <c r="L9282" s="0" t="s">
        <v>2498</v>
      </c>
      <c r="N9282" s="0" t="n">
        <v>0.243</v>
      </c>
      <c r="O9282" s="0" t="n">
        <v>0.01</v>
      </c>
      <c r="P9282" s="0" t="s">
        <v>2444</v>
      </c>
    </row>
    <row r="9283" customFormat="false" ht="15" hidden="false" customHeight="true" outlineLevel="0" collapsed="false">
      <c r="A9283" s="0" t="n">
        <v>2</v>
      </c>
      <c r="B9283" s="71" t="n">
        <v>46288</v>
      </c>
      <c r="C9283" s="0" t="n">
        <v>22</v>
      </c>
      <c r="D9283" s="0" t="s">
        <v>2479</v>
      </c>
      <c r="E9283" s="0" t="n">
        <v>48</v>
      </c>
      <c r="F9283" s="0" t="s">
        <v>153</v>
      </c>
      <c r="I9283" s="0" t="n">
        <v>2698</v>
      </c>
      <c r="J9283" s="0" t="n">
        <v>110487</v>
      </c>
      <c r="K9283" s="0" t="n">
        <v>54688</v>
      </c>
      <c r="L9283" s="0" t="s">
        <v>2663</v>
      </c>
      <c r="N9283" s="0" t="n">
        <v>1.574</v>
      </c>
      <c r="O9283" s="0" t="n">
        <v>51.95</v>
      </c>
      <c r="P9283" s="0" t="s">
        <v>2444</v>
      </c>
    </row>
    <row r="9284" customFormat="false" ht="15" hidden="false" customHeight="true" outlineLevel="0" collapsed="false">
      <c r="A9284" s="0" t="n">
        <v>2</v>
      </c>
      <c r="B9284" s="71" t="n">
        <v>46288</v>
      </c>
      <c r="C9284" s="0" t="n">
        <v>100</v>
      </c>
      <c r="D9284" s="0" t="s">
        <v>2499</v>
      </c>
      <c r="E9284" s="0" t="n">
        <v>48</v>
      </c>
      <c r="F9284" s="0" t="s">
        <v>153</v>
      </c>
      <c r="I9284" s="0" t="n">
        <v>1745535</v>
      </c>
      <c r="J9284" s="0" t="n">
        <v>100000</v>
      </c>
      <c r="K9284" s="0" t="n">
        <v>1</v>
      </c>
      <c r="L9284" s="0" t="s">
        <v>2480</v>
      </c>
      <c r="N9284" s="0" t="n">
        <v>3.908</v>
      </c>
      <c r="O9284" s="0" t="n">
        <v>79.36</v>
      </c>
      <c r="P9284" s="0" t="s">
        <v>2444</v>
      </c>
    </row>
    <row r="9285" customFormat="false" ht="15" hidden="false" customHeight="true" outlineLevel="0" collapsed="false">
      <c r="A9285" s="0" t="n">
        <v>2</v>
      </c>
      <c r="B9285" s="71" t="n">
        <v>46288</v>
      </c>
      <c r="C9285" s="0" t="n">
        <v>100</v>
      </c>
      <c r="D9285" s="0" t="s">
        <v>2499</v>
      </c>
      <c r="E9285" s="0" t="n">
        <v>48</v>
      </c>
      <c r="F9285" s="0" t="s">
        <v>153</v>
      </c>
      <c r="I9285" s="0" t="n">
        <v>1745535</v>
      </c>
      <c r="J9285" s="0" t="n">
        <v>100006</v>
      </c>
      <c r="K9285" s="0" t="n">
        <v>7</v>
      </c>
      <c r="L9285" s="0" t="s">
        <v>2485</v>
      </c>
      <c r="N9285" s="0" t="n">
        <v>2.264</v>
      </c>
      <c r="O9285" s="0" t="n">
        <v>65.14</v>
      </c>
      <c r="P9285" s="0" t="s">
        <v>2444</v>
      </c>
    </row>
    <row r="9286" customFormat="false" ht="15" hidden="false" customHeight="true" outlineLevel="0" collapsed="false">
      <c r="A9286" s="0" t="n">
        <v>2</v>
      </c>
      <c r="B9286" s="71" t="n">
        <v>46288</v>
      </c>
      <c r="C9286" s="0" t="n">
        <v>100</v>
      </c>
      <c r="D9286" s="0" t="s">
        <v>2499</v>
      </c>
      <c r="E9286" s="0" t="n">
        <v>48</v>
      </c>
      <c r="F9286" s="0" t="s">
        <v>153</v>
      </c>
      <c r="I9286" s="0" t="n">
        <v>1745535</v>
      </c>
      <c r="J9286" s="0" t="n">
        <v>100007</v>
      </c>
      <c r="K9286" s="0" t="n">
        <v>8</v>
      </c>
      <c r="L9286" s="0" t="s">
        <v>2486</v>
      </c>
      <c r="N9286" s="0" t="n">
        <v>2.078</v>
      </c>
      <c r="O9286" s="0" t="n">
        <v>52.76</v>
      </c>
      <c r="P9286" s="0" t="s">
        <v>2444</v>
      </c>
    </row>
    <row r="9287" customFormat="false" ht="15" hidden="false" customHeight="true" outlineLevel="0" collapsed="false">
      <c r="A9287" s="0" t="n">
        <v>2</v>
      </c>
      <c r="B9287" s="71" t="n">
        <v>46288</v>
      </c>
      <c r="C9287" s="0" t="n">
        <v>100</v>
      </c>
      <c r="D9287" s="0" t="s">
        <v>2499</v>
      </c>
      <c r="E9287" s="0" t="n">
        <v>48</v>
      </c>
      <c r="F9287" s="0" t="s">
        <v>153</v>
      </c>
      <c r="I9287" s="0" t="n">
        <v>1745535</v>
      </c>
      <c r="J9287" s="0" t="n">
        <v>100008</v>
      </c>
      <c r="K9287" s="0" t="n">
        <v>9</v>
      </c>
      <c r="L9287" s="0" t="s">
        <v>2487</v>
      </c>
      <c r="N9287" s="0" t="n">
        <v>13.16</v>
      </c>
      <c r="O9287" s="0" t="n">
        <v>434.36</v>
      </c>
      <c r="P9287" s="0" t="s">
        <v>2444</v>
      </c>
    </row>
    <row r="9288" customFormat="false" ht="15" hidden="false" customHeight="true" outlineLevel="0" collapsed="false">
      <c r="A9288" s="0" t="n">
        <v>2</v>
      </c>
      <c r="B9288" s="71" t="n">
        <v>46288</v>
      </c>
      <c r="C9288" s="0" t="n">
        <v>100</v>
      </c>
      <c r="D9288" s="0" t="s">
        <v>2499</v>
      </c>
      <c r="E9288" s="0" t="n">
        <v>48</v>
      </c>
      <c r="F9288" s="0" t="s">
        <v>153</v>
      </c>
      <c r="I9288" s="0" t="n">
        <v>1745535</v>
      </c>
      <c r="J9288" s="0" t="n">
        <v>100011</v>
      </c>
      <c r="K9288" s="0" t="n">
        <v>12</v>
      </c>
      <c r="L9288" s="0" t="s">
        <v>2488</v>
      </c>
      <c r="N9288" s="0" t="n">
        <v>10.15</v>
      </c>
      <c r="O9288" s="0" t="n">
        <v>386.57</v>
      </c>
      <c r="P9288" s="0" t="s">
        <v>2444</v>
      </c>
    </row>
    <row r="9289" customFormat="false" ht="15" hidden="false" customHeight="true" outlineLevel="0" collapsed="false">
      <c r="A9289" s="0" t="n">
        <v>2</v>
      </c>
      <c r="B9289" s="71" t="n">
        <v>46288</v>
      </c>
      <c r="C9289" s="0" t="n">
        <v>100</v>
      </c>
      <c r="D9289" s="0" t="s">
        <v>2499</v>
      </c>
      <c r="E9289" s="0" t="n">
        <v>48</v>
      </c>
      <c r="F9289" s="0" t="s">
        <v>153</v>
      </c>
      <c r="I9289" s="0" t="n">
        <v>1745535</v>
      </c>
      <c r="J9289" s="0" t="n">
        <v>100012</v>
      </c>
      <c r="K9289" s="0" t="n">
        <v>13</v>
      </c>
      <c r="L9289" s="0" t="s">
        <v>2489</v>
      </c>
      <c r="N9289" s="0" t="n">
        <v>5.924</v>
      </c>
      <c r="O9289" s="0" t="n">
        <v>250.69</v>
      </c>
      <c r="P9289" s="0" t="s">
        <v>2444</v>
      </c>
    </row>
    <row r="9290" customFormat="false" ht="15" hidden="false" customHeight="true" outlineLevel="0" collapsed="false">
      <c r="A9290" s="0" t="n">
        <v>2</v>
      </c>
      <c r="B9290" s="71" t="n">
        <v>46288</v>
      </c>
      <c r="C9290" s="0" t="n">
        <v>100</v>
      </c>
      <c r="D9290" s="0" t="s">
        <v>2499</v>
      </c>
      <c r="E9290" s="0" t="n">
        <v>48</v>
      </c>
      <c r="F9290" s="0" t="s">
        <v>153</v>
      </c>
      <c r="I9290" s="0" t="n">
        <v>1745535</v>
      </c>
      <c r="J9290" s="0" t="n">
        <v>100013</v>
      </c>
      <c r="K9290" s="0" t="n">
        <v>14</v>
      </c>
      <c r="L9290" s="0" t="s">
        <v>2490</v>
      </c>
      <c r="N9290" s="0" t="n">
        <v>11.26</v>
      </c>
      <c r="O9290" s="0" t="n">
        <v>505.1</v>
      </c>
      <c r="P9290" s="0" t="s">
        <v>2444</v>
      </c>
    </row>
    <row r="9291" customFormat="false" ht="15" hidden="false" customHeight="true" outlineLevel="0" collapsed="false">
      <c r="A9291" s="0" t="n">
        <v>2</v>
      </c>
      <c r="B9291" s="71" t="n">
        <v>46288</v>
      </c>
      <c r="C9291" s="0" t="n">
        <v>100</v>
      </c>
      <c r="D9291" s="0" t="s">
        <v>2499</v>
      </c>
      <c r="E9291" s="0" t="n">
        <v>48</v>
      </c>
      <c r="F9291" s="0" t="s">
        <v>153</v>
      </c>
      <c r="I9291" s="0" t="n">
        <v>1745535</v>
      </c>
      <c r="J9291" s="0" t="n">
        <v>100014</v>
      </c>
      <c r="K9291" s="0" t="n">
        <v>15</v>
      </c>
      <c r="L9291" s="0" t="s">
        <v>2491</v>
      </c>
      <c r="N9291" s="0" t="n">
        <v>4.986</v>
      </c>
      <c r="O9291" s="0" t="n">
        <v>227.88</v>
      </c>
      <c r="P9291" s="0" t="s">
        <v>2444</v>
      </c>
    </row>
    <row r="9292" customFormat="false" ht="15" hidden="false" customHeight="true" outlineLevel="0" collapsed="false">
      <c r="A9292" s="0" t="n">
        <v>2</v>
      </c>
      <c r="B9292" s="71" t="n">
        <v>46288</v>
      </c>
      <c r="C9292" s="0" t="n">
        <v>100</v>
      </c>
      <c r="D9292" s="0" t="s">
        <v>2499</v>
      </c>
      <c r="E9292" s="0" t="n">
        <v>48</v>
      </c>
      <c r="F9292" s="0" t="s">
        <v>153</v>
      </c>
      <c r="I9292" s="0" t="n">
        <v>1745535</v>
      </c>
      <c r="J9292" s="0" t="n">
        <v>100015</v>
      </c>
      <c r="K9292" s="0" t="n">
        <v>16</v>
      </c>
      <c r="L9292" s="0" t="s">
        <v>2492</v>
      </c>
      <c r="N9292" s="0" t="n">
        <v>1.72</v>
      </c>
      <c r="O9292" s="0" t="n">
        <v>69.88</v>
      </c>
      <c r="P9292" s="0" t="s">
        <v>2444</v>
      </c>
    </row>
    <row r="9293" customFormat="false" ht="15" hidden="false" customHeight="true" outlineLevel="0" collapsed="false">
      <c r="A9293" s="0" t="n">
        <v>2</v>
      </c>
      <c r="B9293" s="71" t="n">
        <v>46288</v>
      </c>
      <c r="C9293" s="0" t="n">
        <v>100</v>
      </c>
      <c r="D9293" s="0" t="s">
        <v>2499</v>
      </c>
      <c r="E9293" s="0" t="n">
        <v>48</v>
      </c>
      <c r="F9293" s="0" t="s">
        <v>153</v>
      </c>
      <c r="I9293" s="0" t="n">
        <v>1745535</v>
      </c>
      <c r="J9293" s="0" t="n">
        <v>100016</v>
      </c>
      <c r="K9293" s="0" t="n">
        <v>17</v>
      </c>
      <c r="L9293" s="0" t="s">
        <v>2493</v>
      </c>
      <c r="N9293" s="0" t="n">
        <v>1.776</v>
      </c>
      <c r="O9293" s="0" t="n">
        <v>90.19</v>
      </c>
      <c r="P9293" s="0" t="s">
        <v>2444</v>
      </c>
    </row>
    <row r="9294" customFormat="false" ht="15" hidden="false" customHeight="true" outlineLevel="0" collapsed="false">
      <c r="A9294" s="0" t="n">
        <v>2</v>
      </c>
      <c r="B9294" s="71" t="n">
        <v>46288</v>
      </c>
      <c r="C9294" s="0" t="n">
        <v>100</v>
      </c>
      <c r="D9294" s="0" t="s">
        <v>2499</v>
      </c>
      <c r="E9294" s="0" t="n">
        <v>48</v>
      </c>
      <c r="F9294" s="0" t="s">
        <v>153</v>
      </c>
      <c r="I9294" s="0" t="n">
        <v>1745535</v>
      </c>
      <c r="J9294" s="0" t="n">
        <v>100017</v>
      </c>
      <c r="K9294" s="0" t="n">
        <v>18</v>
      </c>
      <c r="L9294" s="0" t="s">
        <v>2494</v>
      </c>
      <c r="N9294" s="0" t="n">
        <v>1.928</v>
      </c>
      <c r="O9294" s="0" t="n">
        <v>114.23</v>
      </c>
      <c r="P9294" s="0" t="s">
        <v>2444</v>
      </c>
    </row>
    <row r="9295" customFormat="false" ht="15" hidden="false" customHeight="true" outlineLevel="0" collapsed="false">
      <c r="A9295" s="0" t="n">
        <v>2</v>
      </c>
      <c r="B9295" s="71" t="n">
        <v>46288</v>
      </c>
      <c r="C9295" s="0" t="n">
        <v>100</v>
      </c>
      <c r="D9295" s="0" t="s">
        <v>2499</v>
      </c>
      <c r="E9295" s="0" t="n">
        <v>48</v>
      </c>
      <c r="F9295" s="0" t="s">
        <v>153</v>
      </c>
      <c r="I9295" s="0" t="n">
        <v>1745535</v>
      </c>
      <c r="J9295" s="0" t="n">
        <v>100019</v>
      </c>
      <c r="K9295" s="0" t="n">
        <v>20</v>
      </c>
      <c r="L9295" s="0" t="s">
        <v>3779</v>
      </c>
      <c r="N9295" s="0" t="n">
        <v>2.376</v>
      </c>
      <c r="O9295" s="0" t="n">
        <v>84.46</v>
      </c>
      <c r="P9295" s="0" t="s">
        <v>2444</v>
      </c>
    </row>
    <row r="9296" customFormat="false" ht="15" hidden="false" customHeight="true" outlineLevel="0" collapsed="false">
      <c r="A9296" s="0" t="n">
        <v>2</v>
      </c>
      <c r="B9296" s="71" t="n">
        <v>46288</v>
      </c>
      <c r="C9296" s="0" t="n">
        <v>100</v>
      </c>
      <c r="D9296" s="0" t="s">
        <v>2499</v>
      </c>
      <c r="E9296" s="0" t="n">
        <v>48</v>
      </c>
      <c r="F9296" s="0" t="s">
        <v>153</v>
      </c>
      <c r="I9296" s="0" t="n">
        <v>1745535</v>
      </c>
      <c r="J9296" s="0" t="n">
        <v>100053</v>
      </c>
      <c r="K9296" s="0" t="n">
        <v>54</v>
      </c>
      <c r="L9296" s="0" t="s">
        <v>2495</v>
      </c>
      <c r="N9296" s="0" t="n">
        <v>1.698</v>
      </c>
      <c r="O9296" s="0" t="n">
        <v>63.23</v>
      </c>
      <c r="P9296" s="0" t="s">
        <v>2444</v>
      </c>
    </row>
    <row r="9297" customFormat="false" ht="15" hidden="false" customHeight="true" outlineLevel="0" collapsed="false">
      <c r="A9297" s="0" t="n">
        <v>2</v>
      </c>
      <c r="B9297" s="71" t="n">
        <v>46288</v>
      </c>
      <c r="C9297" s="0" t="n">
        <v>100</v>
      </c>
      <c r="D9297" s="0" t="s">
        <v>2499</v>
      </c>
      <c r="E9297" s="0" t="n">
        <v>48</v>
      </c>
      <c r="F9297" s="0" t="s">
        <v>153</v>
      </c>
      <c r="I9297" s="0" t="n">
        <v>1745535</v>
      </c>
      <c r="J9297" s="0" t="n">
        <v>100638</v>
      </c>
      <c r="K9297" s="0" t="n">
        <v>508</v>
      </c>
      <c r="L9297" s="0" t="s">
        <v>2496</v>
      </c>
      <c r="N9297" s="0" t="n">
        <v>0.7</v>
      </c>
      <c r="O9297" s="0" t="n">
        <v>1.77</v>
      </c>
      <c r="P9297" s="0" t="s">
        <v>2444</v>
      </c>
    </row>
    <row r="9298" customFormat="false" ht="15" hidden="false" customHeight="true" outlineLevel="0" collapsed="false">
      <c r="A9298" s="0" t="n">
        <v>2</v>
      </c>
      <c r="B9298" s="71" t="n">
        <v>46288</v>
      </c>
      <c r="C9298" s="0" t="n">
        <v>100</v>
      </c>
      <c r="D9298" s="0" t="s">
        <v>2499</v>
      </c>
      <c r="E9298" s="0" t="n">
        <v>48</v>
      </c>
      <c r="F9298" s="0" t="s">
        <v>153</v>
      </c>
      <c r="I9298" s="0" t="n">
        <v>1745535</v>
      </c>
      <c r="J9298" s="0" t="n">
        <v>110137</v>
      </c>
      <c r="K9298" s="0" t="n">
        <v>13899</v>
      </c>
      <c r="L9298" s="0" t="s">
        <v>3780</v>
      </c>
      <c r="N9298" s="0" t="n">
        <v>12.055</v>
      </c>
      <c r="O9298" s="0" t="n">
        <v>50.92</v>
      </c>
      <c r="P9298" s="0" t="s">
        <v>2444</v>
      </c>
    </row>
    <row r="9299" customFormat="false" ht="15" hidden="false" customHeight="true" outlineLevel="0" collapsed="false">
      <c r="A9299" s="0" t="n">
        <v>2</v>
      </c>
      <c r="B9299" s="71" t="n">
        <v>46288</v>
      </c>
      <c r="C9299" s="0" t="n">
        <v>100</v>
      </c>
      <c r="D9299" s="0" t="s">
        <v>2499</v>
      </c>
      <c r="E9299" s="0" t="n">
        <v>48</v>
      </c>
      <c r="F9299" s="0" t="s">
        <v>153</v>
      </c>
      <c r="I9299" s="0" t="n">
        <v>1745535</v>
      </c>
      <c r="J9299" s="0" t="n">
        <v>110455</v>
      </c>
      <c r="K9299" s="0" t="n">
        <v>53212</v>
      </c>
      <c r="L9299" s="0" t="s">
        <v>2498</v>
      </c>
      <c r="N9299" s="0" t="n">
        <v>0.243</v>
      </c>
      <c r="O9299" s="0" t="n">
        <v>0.01</v>
      </c>
      <c r="P9299" s="0" t="s">
        <v>2444</v>
      </c>
    </row>
    <row r="9300" customFormat="false" ht="15" hidden="false" customHeight="true" outlineLevel="0" collapsed="false">
      <c r="A9300" s="0" t="n">
        <v>2</v>
      </c>
      <c r="B9300" s="71" t="n">
        <v>46288</v>
      </c>
      <c r="C9300" s="0" t="n">
        <v>100</v>
      </c>
      <c r="D9300" s="0" t="s">
        <v>2499</v>
      </c>
      <c r="E9300" s="0" t="n">
        <v>48</v>
      </c>
      <c r="F9300" s="0" t="s">
        <v>153</v>
      </c>
      <c r="I9300" s="0" t="n">
        <v>1745535</v>
      </c>
      <c r="J9300" s="0" t="n">
        <v>110487</v>
      </c>
      <c r="K9300" s="0" t="n">
        <v>54688</v>
      </c>
      <c r="L9300" s="0" t="s">
        <v>2663</v>
      </c>
      <c r="N9300" s="0" t="n">
        <v>1.574</v>
      </c>
      <c r="O9300" s="0" t="n">
        <v>51.95</v>
      </c>
      <c r="P9300" s="0" t="s">
        <v>2444</v>
      </c>
    </row>
    <row r="9301" customFormat="false" ht="15" hidden="false" customHeight="true" outlineLevel="0" collapsed="false">
      <c r="A9301" s="0" t="n">
        <v>2</v>
      </c>
      <c r="B9301" s="71" t="n">
        <v>46289</v>
      </c>
      <c r="C9301" s="0" t="n">
        <v>6</v>
      </c>
      <c r="D9301" s="0" t="s">
        <v>2553</v>
      </c>
      <c r="E9301" s="0" t="n">
        <v>48</v>
      </c>
      <c r="F9301" s="0" t="s">
        <v>153</v>
      </c>
      <c r="I9301" s="0" t="n">
        <v>2699</v>
      </c>
      <c r="J9301" s="0" t="n">
        <v>42564</v>
      </c>
      <c r="K9301" s="0" t="n">
        <v>574</v>
      </c>
      <c r="L9301" s="0" t="s">
        <v>2534</v>
      </c>
      <c r="N9301" s="0" t="n">
        <v>15</v>
      </c>
      <c r="O9301" s="0" t="n">
        <v>225</v>
      </c>
      <c r="P9301" s="0" t="s">
        <v>2444</v>
      </c>
    </row>
    <row r="9302" customFormat="false" ht="15" hidden="false" customHeight="true" outlineLevel="0" collapsed="false">
      <c r="A9302" s="0" t="n">
        <v>2</v>
      </c>
      <c r="B9302" s="71" t="n">
        <v>46289</v>
      </c>
      <c r="C9302" s="0" t="n">
        <v>11</v>
      </c>
      <c r="D9302" s="0" t="s">
        <v>2471</v>
      </c>
      <c r="E9302" s="0" t="n">
        <v>10096</v>
      </c>
      <c r="F9302" s="0" t="s">
        <v>622</v>
      </c>
      <c r="I9302" s="0" t="n">
        <v>330</v>
      </c>
      <c r="J9302" s="0" t="n">
        <v>61580</v>
      </c>
      <c r="K9302" s="0" t="n">
        <v>2258157</v>
      </c>
      <c r="L9302" s="0" t="s">
        <v>2509</v>
      </c>
      <c r="N9302" s="0" t="n">
        <v>15</v>
      </c>
      <c r="O9302" s="0" t="n">
        <v>180</v>
      </c>
      <c r="P9302" s="0" t="s">
        <v>2444</v>
      </c>
    </row>
    <row r="9303" customFormat="false" ht="15" hidden="false" customHeight="true" outlineLevel="0" collapsed="false">
      <c r="A9303" s="0" t="n">
        <v>2</v>
      </c>
      <c r="B9303" s="71" t="n">
        <v>46289</v>
      </c>
      <c r="C9303" s="0" t="n">
        <v>11</v>
      </c>
      <c r="D9303" s="0" t="s">
        <v>2471</v>
      </c>
      <c r="E9303" s="0" t="n">
        <v>10096</v>
      </c>
      <c r="F9303" s="0" t="s">
        <v>622</v>
      </c>
      <c r="I9303" s="0" t="n">
        <v>330</v>
      </c>
      <c r="J9303" s="0" t="n">
        <v>61597</v>
      </c>
      <c r="K9303" s="0" t="n">
        <v>2258188</v>
      </c>
      <c r="L9303" s="0" t="s">
        <v>2510</v>
      </c>
      <c r="N9303" s="0" t="n">
        <v>5</v>
      </c>
      <c r="O9303" s="0" t="n">
        <v>20</v>
      </c>
      <c r="P9303" s="0" t="s">
        <v>2444</v>
      </c>
    </row>
    <row r="9304" customFormat="false" ht="15" hidden="false" customHeight="true" outlineLevel="0" collapsed="false">
      <c r="A9304" s="0" t="n">
        <v>2</v>
      </c>
      <c r="B9304" s="71" t="n">
        <v>46289</v>
      </c>
      <c r="C9304" s="0" t="n">
        <v>11</v>
      </c>
      <c r="D9304" s="0" t="s">
        <v>2471</v>
      </c>
      <c r="E9304" s="0" t="n">
        <v>581</v>
      </c>
      <c r="F9304" s="0" t="s">
        <v>147</v>
      </c>
      <c r="I9304" s="0" t="n">
        <v>32550</v>
      </c>
      <c r="J9304" s="0" t="n">
        <v>48008</v>
      </c>
      <c r="K9304" s="0" t="n">
        <v>798190027999</v>
      </c>
      <c r="L9304" s="0" t="s">
        <v>2579</v>
      </c>
      <c r="N9304" s="0" t="n">
        <v>20</v>
      </c>
      <c r="O9304" s="0" t="n">
        <v>130</v>
      </c>
      <c r="P9304" s="0" t="s">
        <v>2444</v>
      </c>
    </row>
    <row r="9305" customFormat="false" ht="15" hidden="false" customHeight="true" outlineLevel="0" collapsed="false">
      <c r="A9305" s="0" t="n">
        <v>2</v>
      </c>
      <c r="B9305" s="71" t="n">
        <v>46289</v>
      </c>
      <c r="C9305" s="0" t="n">
        <v>11</v>
      </c>
      <c r="D9305" s="0" t="s">
        <v>2471</v>
      </c>
      <c r="E9305" s="0" t="n">
        <v>581</v>
      </c>
      <c r="F9305" s="0" t="s">
        <v>147</v>
      </c>
      <c r="I9305" s="0" t="n">
        <v>32550</v>
      </c>
      <c r="J9305" s="0" t="n">
        <v>48009</v>
      </c>
      <c r="K9305" s="0" t="n">
        <v>798190028002</v>
      </c>
      <c r="L9305" s="0" t="s">
        <v>2580</v>
      </c>
      <c r="N9305" s="0" t="n">
        <v>20</v>
      </c>
      <c r="O9305" s="0" t="n">
        <v>69</v>
      </c>
      <c r="P9305" s="0" t="s">
        <v>2444</v>
      </c>
    </row>
    <row r="9306" customFormat="false" ht="15" hidden="false" customHeight="true" outlineLevel="0" collapsed="false">
      <c r="A9306" s="0" t="n">
        <v>2</v>
      </c>
      <c r="B9306" s="71" t="n">
        <v>46289</v>
      </c>
      <c r="C9306" s="0" t="n">
        <v>11</v>
      </c>
      <c r="D9306" s="0" t="s">
        <v>2471</v>
      </c>
      <c r="E9306" s="0" t="n">
        <v>581</v>
      </c>
      <c r="F9306" s="0" t="s">
        <v>147</v>
      </c>
      <c r="I9306" s="0" t="n">
        <v>32550</v>
      </c>
      <c r="J9306" s="0" t="n">
        <v>48380</v>
      </c>
      <c r="K9306" s="0" t="n">
        <v>798190189116</v>
      </c>
      <c r="L9306" s="0" t="s">
        <v>2946</v>
      </c>
      <c r="N9306" s="0" t="n">
        <v>10</v>
      </c>
      <c r="O9306" s="0" t="n">
        <v>65</v>
      </c>
      <c r="P9306" s="0" t="s">
        <v>2444</v>
      </c>
    </row>
    <row r="9307" customFormat="false" ht="15" hidden="false" customHeight="true" outlineLevel="0" collapsed="false">
      <c r="A9307" s="0" t="n">
        <v>2</v>
      </c>
      <c r="B9307" s="71" t="n">
        <v>46289</v>
      </c>
      <c r="C9307" s="0" t="n">
        <v>11</v>
      </c>
      <c r="D9307" s="0" t="s">
        <v>2471</v>
      </c>
      <c r="E9307" s="0" t="n">
        <v>10019</v>
      </c>
      <c r="F9307" s="0" t="s">
        <v>268</v>
      </c>
      <c r="I9307" s="0" t="n">
        <v>33788</v>
      </c>
      <c r="J9307" s="0" t="n">
        <v>100012</v>
      </c>
      <c r="K9307" s="0" t="n">
        <v>13</v>
      </c>
      <c r="L9307" s="0" t="s">
        <v>2489</v>
      </c>
      <c r="N9307" s="0" t="n">
        <v>82.645</v>
      </c>
      <c r="O9307" s="0" t="n">
        <v>3296.7</v>
      </c>
      <c r="P9307" s="0" t="s">
        <v>2444</v>
      </c>
    </row>
    <row r="9308" customFormat="false" ht="15" hidden="false" customHeight="true" outlineLevel="0" collapsed="false">
      <c r="A9308" s="0" t="n">
        <v>2</v>
      </c>
      <c r="B9308" s="71" t="n">
        <v>46289</v>
      </c>
      <c r="C9308" s="0" t="n">
        <v>11</v>
      </c>
      <c r="D9308" s="0" t="s">
        <v>2471</v>
      </c>
      <c r="E9308" s="0" t="n">
        <v>10019</v>
      </c>
      <c r="F9308" s="0" t="s">
        <v>268</v>
      </c>
      <c r="I9308" s="0" t="n">
        <v>33788</v>
      </c>
      <c r="J9308" s="0" t="n">
        <v>100013</v>
      </c>
      <c r="K9308" s="0" t="n">
        <v>14</v>
      </c>
      <c r="L9308" s="0" t="s">
        <v>2490</v>
      </c>
      <c r="N9308" s="0" t="n">
        <v>55.15</v>
      </c>
      <c r="O9308" s="0" t="n">
        <v>2199.93</v>
      </c>
      <c r="P9308" s="0" t="s">
        <v>2444</v>
      </c>
    </row>
    <row r="9309" customFormat="false" ht="15" hidden="false" customHeight="true" outlineLevel="0" collapsed="false">
      <c r="A9309" s="0" t="n">
        <v>2</v>
      </c>
      <c r="B9309" s="71" t="n">
        <v>46289</v>
      </c>
      <c r="C9309" s="0" t="n">
        <v>11</v>
      </c>
      <c r="D9309" s="0" t="s">
        <v>2471</v>
      </c>
      <c r="E9309" s="0" t="n">
        <v>10002</v>
      </c>
      <c r="F9309" s="0" t="s">
        <v>197</v>
      </c>
      <c r="I9309" s="0" t="n">
        <v>198764</v>
      </c>
      <c r="J9309" s="0" t="n">
        <v>103117</v>
      </c>
      <c r="K9309" s="0" t="n">
        <v>7896014400737</v>
      </c>
      <c r="L9309" s="0" t="s">
        <v>2591</v>
      </c>
      <c r="N9309" s="0" t="n">
        <v>48</v>
      </c>
      <c r="O9309" s="0" t="n">
        <v>72.28</v>
      </c>
      <c r="P9309" s="0" t="s">
        <v>2444</v>
      </c>
    </row>
    <row r="9310" customFormat="false" ht="15" hidden="false" customHeight="true" outlineLevel="0" collapsed="false">
      <c r="A9310" s="0" t="n">
        <v>2</v>
      </c>
      <c r="B9310" s="71" t="n">
        <v>46289</v>
      </c>
      <c r="C9310" s="0" t="n">
        <v>11</v>
      </c>
      <c r="D9310" s="0" t="s">
        <v>2471</v>
      </c>
      <c r="E9310" s="0" t="n">
        <v>10002</v>
      </c>
      <c r="F9310" s="0" t="s">
        <v>197</v>
      </c>
      <c r="I9310" s="0" t="n">
        <v>198764</v>
      </c>
      <c r="J9310" s="0" t="n">
        <v>103118</v>
      </c>
      <c r="K9310" s="0" t="n">
        <v>7896014400645</v>
      </c>
      <c r="L9310" s="0" t="s">
        <v>2592</v>
      </c>
      <c r="N9310" s="0" t="n">
        <v>48</v>
      </c>
      <c r="O9310" s="0" t="n">
        <v>83.44</v>
      </c>
      <c r="P9310" s="0" t="s">
        <v>2444</v>
      </c>
    </row>
    <row r="9311" customFormat="false" ht="15" hidden="false" customHeight="true" outlineLevel="0" collapsed="false">
      <c r="A9311" s="0" t="n">
        <v>2</v>
      </c>
      <c r="B9311" s="71" t="n">
        <v>46289</v>
      </c>
      <c r="C9311" s="0" t="n">
        <v>11</v>
      </c>
      <c r="D9311" s="0" t="s">
        <v>2471</v>
      </c>
      <c r="E9311" s="0" t="n">
        <v>10002</v>
      </c>
      <c r="F9311" s="0" t="s">
        <v>197</v>
      </c>
      <c r="I9311" s="0" t="n">
        <v>198764</v>
      </c>
      <c r="J9311" s="0" t="n">
        <v>103120</v>
      </c>
      <c r="K9311" s="0" t="n">
        <v>7896014400287</v>
      </c>
      <c r="L9311" s="0" t="s">
        <v>4638</v>
      </c>
      <c r="N9311" s="0" t="n">
        <v>48</v>
      </c>
      <c r="O9311" s="0" t="n">
        <v>99.28</v>
      </c>
      <c r="P9311" s="0" t="s">
        <v>2444</v>
      </c>
    </row>
    <row r="9312" customFormat="false" ht="15" hidden="false" customHeight="true" outlineLevel="0" collapsed="false">
      <c r="A9312" s="0" t="n">
        <v>2</v>
      </c>
      <c r="B9312" s="71" t="n">
        <v>46289</v>
      </c>
      <c r="C9312" s="0" t="n">
        <v>11</v>
      </c>
      <c r="D9312" s="0" t="s">
        <v>2471</v>
      </c>
      <c r="E9312" s="0" t="n">
        <v>10002</v>
      </c>
      <c r="F9312" s="0" t="s">
        <v>197</v>
      </c>
      <c r="I9312" s="0" t="n">
        <v>198764</v>
      </c>
      <c r="J9312" s="0" t="n">
        <v>12081</v>
      </c>
      <c r="K9312" s="0" t="n">
        <v>7896014401079</v>
      </c>
      <c r="L9312" s="0" t="s">
        <v>2594</v>
      </c>
      <c r="N9312" s="0" t="n">
        <v>48</v>
      </c>
      <c r="O9312" s="0" t="n">
        <v>119.28</v>
      </c>
      <c r="P9312" s="0" t="s">
        <v>2444</v>
      </c>
    </row>
    <row r="9313" customFormat="false" ht="15" hidden="false" customHeight="true" outlineLevel="0" collapsed="false">
      <c r="A9313" s="0" t="n">
        <v>2</v>
      </c>
      <c r="B9313" s="71" t="n">
        <v>46289</v>
      </c>
      <c r="C9313" s="0" t="n">
        <v>11</v>
      </c>
      <c r="D9313" s="0" t="s">
        <v>2471</v>
      </c>
      <c r="E9313" s="0" t="n">
        <v>10002</v>
      </c>
      <c r="F9313" s="0" t="s">
        <v>197</v>
      </c>
      <c r="I9313" s="0" t="n">
        <v>198764</v>
      </c>
      <c r="J9313" s="0" t="n">
        <v>12082</v>
      </c>
      <c r="K9313" s="0" t="n">
        <v>7896014400829</v>
      </c>
      <c r="L9313" s="0" t="s">
        <v>2595</v>
      </c>
      <c r="N9313" s="0" t="n">
        <v>48</v>
      </c>
      <c r="O9313" s="0" t="n">
        <v>182.16</v>
      </c>
      <c r="P9313" s="0" t="s">
        <v>2444</v>
      </c>
    </row>
    <row r="9314" customFormat="false" ht="15" hidden="false" customHeight="true" outlineLevel="0" collapsed="false">
      <c r="A9314" s="0" t="n">
        <v>2</v>
      </c>
      <c r="B9314" s="71" t="n">
        <v>46289</v>
      </c>
      <c r="C9314" s="0" t="n">
        <v>11</v>
      </c>
      <c r="D9314" s="0" t="s">
        <v>2471</v>
      </c>
      <c r="E9314" s="0" t="n">
        <v>10002</v>
      </c>
      <c r="F9314" s="0" t="s">
        <v>197</v>
      </c>
      <c r="I9314" s="0" t="n">
        <v>198764</v>
      </c>
      <c r="J9314" s="0" t="n">
        <v>29066</v>
      </c>
      <c r="K9314" s="0" t="n">
        <v>7896014499007</v>
      </c>
      <c r="L9314" s="0" t="s">
        <v>2596</v>
      </c>
      <c r="N9314" s="0" t="n">
        <v>48</v>
      </c>
      <c r="O9314" s="0" t="n">
        <v>129.32</v>
      </c>
      <c r="P9314" s="0" t="s">
        <v>2444</v>
      </c>
    </row>
    <row r="9315" customFormat="false" ht="15" hidden="false" customHeight="true" outlineLevel="0" collapsed="false">
      <c r="A9315" s="0" t="n">
        <v>2</v>
      </c>
      <c r="B9315" s="71" t="n">
        <v>46289</v>
      </c>
      <c r="C9315" s="0" t="n">
        <v>11</v>
      </c>
      <c r="D9315" s="0" t="s">
        <v>2471</v>
      </c>
      <c r="E9315" s="0" t="n">
        <v>10002</v>
      </c>
      <c r="F9315" s="0" t="s">
        <v>197</v>
      </c>
      <c r="I9315" s="0" t="n">
        <v>198764</v>
      </c>
      <c r="J9315" s="0" t="n">
        <v>30958</v>
      </c>
      <c r="K9315" s="0" t="n">
        <v>7896014400720</v>
      </c>
      <c r="L9315" s="0" t="s">
        <v>2592</v>
      </c>
      <c r="N9315" s="0" t="n">
        <v>4</v>
      </c>
      <c r="O9315" s="0" t="n">
        <v>66.04</v>
      </c>
      <c r="P9315" s="0" t="s">
        <v>2444</v>
      </c>
    </row>
    <row r="9316" customFormat="false" ht="15" hidden="false" customHeight="true" outlineLevel="0" collapsed="false">
      <c r="A9316" s="0" t="n">
        <v>2</v>
      </c>
      <c r="B9316" s="71" t="n">
        <v>46289</v>
      </c>
      <c r="C9316" s="0" t="n">
        <v>11</v>
      </c>
      <c r="D9316" s="0" t="s">
        <v>2471</v>
      </c>
      <c r="E9316" s="0" t="n">
        <v>10002</v>
      </c>
      <c r="F9316" s="0" t="s">
        <v>197</v>
      </c>
      <c r="I9316" s="0" t="n">
        <v>198764</v>
      </c>
      <c r="J9316" s="0" t="n">
        <v>33581</v>
      </c>
      <c r="K9316" s="0" t="n">
        <v>7896014400775</v>
      </c>
      <c r="L9316" s="0" t="s">
        <v>3848</v>
      </c>
      <c r="N9316" s="0" t="n">
        <v>4</v>
      </c>
      <c r="O9316" s="0" t="n">
        <v>57.86</v>
      </c>
      <c r="P9316" s="0" t="s">
        <v>2444</v>
      </c>
    </row>
    <row r="9317" customFormat="false" ht="15" hidden="false" customHeight="true" outlineLevel="0" collapsed="false">
      <c r="A9317" s="0" t="n">
        <v>2</v>
      </c>
      <c r="B9317" s="71" t="n">
        <v>46289</v>
      </c>
      <c r="C9317" s="0" t="n">
        <v>11</v>
      </c>
      <c r="D9317" s="0" t="s">
        <v>2471</v>
      </c>
      <c r="E9317" s="0" t="n">
        <v>1024</v>
      </c>
      <c r="F9317" s="0" t="s">
        <v>471</v>
      </c>
      <c r="I9317" s="0" t="n">
        <v>649357</v>
      </c>
      <c r="J9317" s="0" t="n">
        <v>30387</v>
      </c>
      <c r="K9317" s="0" t="n">
        <v>7898654710092</v>
      </c>
      <c r="L9317" s="0" t="s">
        <v>3699</v>
      </c>
      <c r="N9317" s="0" t="n">
        <v>60</v>
      </c>
      <c r="O9317" s="0" t="n">
        <v>70</v>
      </c>
      <c r="P9317" s="0" t="s">
        <v>2444</v>
      </c>
    </row>
    <row r="9318" customFormat="false" ht="15" hidden="false" customHeight="true" outlineLevel="0" collapsed="false">
      <c r="A9318" s="0" t="n">
        <v>2</v>
      </c>
      <c r="B9318" s="71" t="n">
        <v>46289</v>
      </c>
      <c r="C9318" s="0" t="n">
        <v>11</v>
      </c>
      <c r="D9318" s="0" t="s">
        <v>2471</v>
      </c>
      <c r="E9318" s="0" t="n">
        <v>1024</v>
      </c>
      <c r="F9318" s="0" t="s">
        <v>471</v>
      </c>
      <c r="I9318" s="0" t="n">
        <v>649357</v>
      </c>
      <c r="J9318" s="0" t="n">
        <v>103170</v>
      </c>
      <c r="K9318" s="0" t="n">
        <v>7896792000020</v>
      </c>
      <c r="L9318" s="0" t="s">
        <v>4593</v>
      </c>
      <c r="N9318" s="0" t="n">
        <v>36</v>
      </c>
      <c r="O9318" s="0" t="n">
        <v>148</v>
      </c>
      <c r="P9318" s="0" t="s">
        <v>2444</v>
      </c>
    </row>
    <row r="9319" customFormat="false" ht="15" hidden="false" customHeight="true" outlineLevel="0" collapsed="false">
      <c r="A9319" s="0" t="n">
        <v>2</v>
      </c>
      <c r="B9319" s="71" t="n">
        <v>46289</v>
      </c>
      <c r="C9319" s="0" t="n">
        <v>11</v>
      </c>
      <c r="D9319" s="0" t="s">
        <v>2471</v>
      </c>
      <c r="E9319" s="0" t="n">
        <v>1024</v>
      </c>
      <c r="F9319" s="0" t="s">
        <v>471</v>
      </c>
      <c r="I9319" s="0" t="n">
        <v>649357</v>
      </c>
      <c r="J9319" s="0" t="n">
        <v>104429</v>
      </c>
      <c r="K9319" s="0" t="n">
        <v>7896792350064</v>
      </c>
      <c r="L9319" s="0" t="s">
        <v>2788</v>
      </c>
      <c r="N9319" s="0" t="n">
        <v>120</v>
      </c>
      <c r="O9319" s="0" t="n">
        <v>147</v>
      </c>
      <c r="P9319" s="0" t="s">
        <v>2444</v>
      </c>
    </row>
    <row r="9320" customFormat="false" ht="15" hidden="false" customHeight="true" outlineLevel="0" collapsed="false">
      <c r="A9320" s="0" t="n">
        <v>2</v>
      </c>
      <c r="B9320" s="71" t="n">
        <v>46289</v>
      </c>
      <c r="C9320" s="0" t="n">
        <v>11</v>
      </c>
      <c r="D9320" s="0" t="s">
        <v>2471</v>
      </c>
      <c r="E9320" s="0" t="n">
        <v>1024</v>
      </c>
      <c r="F9320" s="0" t="s">
        <v>471</v>
      </c>
      <c r="I9320" s="0" t="n">
        <v>649357</v>
      </c>
      <c r="J9320" s="0" t="n">
        <v>28733</v>
      </c>
      <c r="K9320" s="0" t="n">
        <v>7898654710108</v>
      </c>
      <c r="L9320" s="0" t="s">
        <v>2791</v>
      </c>
      <c r="N9320" s="0" t="n">
        <v>36</v>
      </c>
      <c r="O9320" s="0" t="n">
        <v>42</v>
      </c>
      <c r="P9320" s="0" t="s">
        <v>2444</v>
      </c>
    </row>
    <row r="9321" customFormat="false" ht="15" hidden="false" customHeight="true" outlineLevel="0" collapsed="false">
      <c r="A9321" s="0" t="n">
        <v>2</v>
      </c>
      <c r="B9321" s="71" t="n">
        <v>46289</v>
      </c>
      <c r="C9321" s="0" t="n">
        <v>11</v>
      </c>
      <c r="D9321" s="0" t="s">
        <v>2471</v>
      </c>
      <c r="E9321" s="0" t="n">
        <v>1024</v>
      </c>
      <c r="F9321" s="0" t="s">
        <v>471</v>
      </c>
      <c r="I9321" s="0" t="n">
        <v>649357</v>
      </c>
      <c r="J9321" s="0" t="n">
        <v>32856</v>
      </c>
      <c r="K9321" s="0" t="n">
        <v>7898654710115</v>
      </c>
      <c r="L9321" s="0" t="s">
        <v>3700</v>
      </c>
      <c r="N9321" s="0" t="n">
        <v>60</v>
      </c>
      <c r="O9321" s="0" t="n">
        <v>70</v>
      </c>
      <c r="P9321" s="0" t="s">
        <v>2444</v>
      </c>
    </row>
    <row r="9322" customFormat="false" ht="15" hidden="false" customHeight="true" outlineLevel="0" collapsed="false">
      <c r="A9322" s="0" t="n">
        <v>2</v>
      </c>
      <c r="B9322" s="71" t="n">
        <v>46289</v>
      </c>
      <c r="C9322" s="0" t="n">
        <v>11</v>
      </c>
      <c r="D9322" s="0" t="s">
        <v>2471</v>
      </c>
      <c r="E9322" s="0" t="n">
        <v>1024</v>
      </c>
      <c r="F9322" s="0" t="s">
        <v>471</v>
      </c>
      <c r="I9322" s="0" t="n">
        <v>649357</v>
      </c>
      <c r="J9322" s="0" t="n">
        <v>34695</v>
      </c>
      <c r="K9322" s="0" t="n">
        <v>7898654710085</v>
      </c>
      <c r="L9322" s="0" t="s">
        <v>3701</v>
      </c>
      <c r="N9322" s="0" t="n">
        <v>60</v>
      </c>
      <c r="O9322" s="0" t="n">
        <v>70</v>
      </c>
      <c r="P9322" s="0" t="s">
        <v>2444</v>
      </c>
    </row>
    <row r="9323" customFormat="false" ht="15" hidden="false" customHeight="true" outlineLevel="0" collapsed="false">
      <c r="A9323" s="0" t="n">
        <v>2</v>
      </c>
      <c r="B9323" s="71" t="n">
        <v>46289</v>
      </c>
      <c r="C9323" s="0" t="n">
        <v>11</v>
      </c>
      <c r="D9323" s="0" t="s">
        <v>2471</v>
      </c>
      <c r="E9323" s="0" t="n">
        <v>1024</v>
      </c>
      <c r="F9323" s="0" t="s">
        <v>471</v>
      </c>
      <c r="I9323" s="0" t="n">
        <v>649357</v>
      </c>
      <c r="J9323" s="0" t="n">
        <v>39214</v>
      </c>
      <c r="K9323" s="0" t="n">
        <v>7898654710306</v>
      </c>
      <c r="L9323" s="0" t="s">
        <v>5606</v>
      </c>
      <c r="N9323" s="0" t="n">
        <v>60</v>
      </c>
      <c r="O9323" s="0" t="n">
        <v>70</v>
      </c>
      <c r="P9323" s="0" t="s">
        <v>2444</v>
      </c>
    </row>
    <row r="9324" customFormat="false" ht="15" hidden="false" customHeight="true" outlineLevel="0" collapsed="false">
      <c r="A9324" s="0" t="n">
        <v>2</v>
      </c>
      <c r="B9324" s="71" t="n">
        <v>46289</v>
      </c>
      <c r="C9324" s="0" t="n">
        <v>11</v>
      </c>
      <c r="D9324" s="0" t="s">
        <v>2471</v>
      </c>
      <c r="E9324" s="0" t="n">
        <v>1740</v>
      </c>
      <c r="F9324" s="0" t="s">
        <v>468</v>
      </c>
      <c r="I9324" s="0" t="n">
        <v>1274240</v>
      </c>
      <c r="J9324" s="0" t="n">
        <v>14220</v>
      </c>
      <c r="K9324" s="0" t="n">
        <v>7891000072998</v>
      </c>
      <c r="L9324" s="0" t="s">
        <v>4643</v>
      </c>
      <c r="N9324" s="0" t="n">
        <v>3</v>
      </c>
      <c r="O9324" s="0" t="n">
        <v>13.62</v>
      </c>
      <c r="P9324" s="0" t="s">
        <v>2444</v>
      </c>
    </row>
    <row r="9325" customFormat="false" ht="15" hidden="false" customHeight="true" outlineLevel="0" collapsed="false">
      <c r="A9325" s="0" t="n">
        <v>2</v>
      </c>
      <c r="B9325" s="71" t="n">
        <v>46289</v>
      </c>
      <c r="C9325" s="0" t="n">
        <v>11</v>
      </c>
      <c r="D9325" s="0" t="s">
        <v>2471</v>
      </c>
      <c r="E9325" s="0" t="n">
        <v>1740</v>
      </c>
      <c r="F9325" s="0" t="s">
        <v>468</v>
      </c>
      <c r="I9325" s="0" t="n">
        <v>1274240</v>
      </c>
      <c r="J9325" s="0" t="n">
        <v>20021</v>
      </c>
      <c r="K9325" s="0" t="n">
        <v>7891000103937</v>
      </c>
      <c r="L9325" s="0" t="s">
        <v>2822</v>
      </c>
      <c r="N9325" s="0" t="n">
        <v>2</v>
      </c>
      <c r="O9325" s="0" t="n">
        <v>18.5</v>
      </c>
      <c r="P9325" s="0" t="s">
        <v>2444</v>
      </c>
    </row>
    <row r="9326" customFormat="false" ht="15" hidden="false" customHeight="true" outlineLevel="0" collapsed="false">
      <c r="A9326" s="0" t="n">
        <v>2</v>
      </c>
      <c r="B9326" s="71" t="n">
        <v>46289</v>
      </c>
      <c r="C9326" s="0" t="n">
        <v>11</v>
      </c>
      <c r="D9326" s="0" t="s">
        <v>2471</v>
      </c>
      <c r="E9326" s="0" t="n">
        <v>1740</v>
      </c>
      <c r="F9326" s="0" t="s">
        <v>468</v>
      </c>
      <c r="I9326" s="0" t="n">
        <v>1274240</v>
      </c>
      <c r="J9326" s="0" t="n">
        <v>20584</v>
      </c>
      <c r="K9326" s="0" t="n">
        <v>7891000103876</v>
      </c>
      <c r="L9326" s="0" t="s">
        <v>4644</v>
      </c>
      <c r="N9326" s="0" t="n">
        <v>5</v>
      </c>
      <c r="O9326" s="0" t="n">
        <v>17.1</v>
      </c>
      <c r="P9326" s="0" t="s">
        <v>2444</v>
      </c>
    </row>
    <row r="9327" customFormat="false" ht="15" hidden="false" customHeight="true" outlineLevel="0" collapsed="false">
      <c r="A9327" s="0" t="n">
        <v>2</v>
      </c>
      <c r="B9327" s="71" t="n">
        <v>46289</v>
      </c>
      <c r="C9327" s="0" t="n">
        <v>11</v>
      </c>
      <c r="D9327" s="0" t="s">
        <v>2471</v>
      </c>
      <c r="E9327" s="0" t="n">
        <v>1740</v>
      </c>
      <c r="F9327" s="0" t="s">
        <v>468</v>
      </c>
      <c r="I9327" s="0" t="n">
        <v>1274240</v>
      </c>
      <c r="J9327" s="0" t="n">
        <v>22055</v>
      </c>
      <c r="K9327" s="0" t="n">
        <v>78936195</v>
      </c>
      <c r="L9327" s="0" t="s">
        <v>5302</v>
      </c>
      <c r="N9327" s="0" t="n">
        <v>2</v>
      </c>
      <c r="O9327" s="0" t="n">
        <v>9.18</v>
      </c>
      <c r="P9327" s="0" t="s">
        <v>2444</v>
      </c>
    </row>
    <row r="9328" customFormat="false" ht="15" hidden="false" customHeight="true" outlineLevel="0" collapsed="false">
      <c r="A9328" s="0" t="n">
        <v>2</v>
      </c>
      <c r="B9328" s="71" t="n">
        <v>46289</v>
      </c>
      <c r="C9328" s="0" t="n">
        <v>11</v>
      </c>
      <c r="D9328" s="0" t="s">
        <v>2471</v>
      </c>
      <c r="E9328" s="0" t="n">
        <v>1740</v>
      </c>
      <c r="F9328" s="0" t="s">
        <v>468</v>
      </c>
      <c r="I9328" s="0" t="n">
        <v>1274240</v>
      </c>
      <c r="J9328" s="0" t="n">
        <v>25112</v>
      </c>
      <c r="K9328" s="0" t="n">
        <v>7891000244425</v>
      </c>
      <c r="L9328" s="0" t="s">
        <v>2824</v>
      </c>
      <c r="N9328" s="0" t="n">
        <v>3</v>
      </c>
      <c r="O9328" s="0" t="n">
        <v>36.87</v>
      </c>
      <c r="P9328" s="0" t="s">
        <v>2444</v>
      </c>
    </row>
    <row r="9329" customFormat="false" ht="15" hidden="false" customHeight="true" outlineLevel="0" collapsed="false">
      <c r="A9329" s="0" t="n">
        <v>2</v>
      </c>
      <c r="B9329" s="71" t="n">
        <v>46289</v>
      </c>
      <c r="C9329" s="0" t="n">
        <v>11</v>
      </c>
      <c r="D9329" s="0" t="s">
        <v>2471</v>
      </c>
      <c r="E9329" s="0" t="n">
        <v>1740</v>
      </c>
      <c r="F9329" s="0" t="s">
        <v>468</v>
      </c>
      <c r="I9329" s="0" t="n">
        <v>1274240</v>
      </c>
      <c r="J9329" s="0" t="n">
        <v>26554</v>
      </c>
      <c r="K9329" s="0" t="n">
        <v>7891000252819</v>
      </c>
      <c r="L9329" s="0" t="s">
        <v>2826</v>
      </c>
      <c r="N9329" s="0" t="n">
        <v>3</v>
      </c>
      <c r="O9329" s="0" t="n">
        <v>10.65</v>
      </c>
      <c r="P9329" s="0" t="s">
        <v>2444</v>
      </c>
    </row>
    <row r="9330" customFormat="false" ht="15" hidden="false" customHeight="true" outlineLevel="0" collapsed="false">
      <c r="A9330" s="0" t="n">
        <v>2</v>
      </c>
      <c r="B9330" s="71" t="n">
        <v>46289</v>
      </c>
      <c r="C9330" s="0" t="n">
        <v>11</v>
      </c>
      <c r="D9330" s="0" t="s">
        <v>2471</v>
      </c>
      <c r="E9330" s="0" t="n">
        <v>1740</v>
      </c>
      <c r="F9330" s="0" t="s">
        <v>468</v>
      </c>
      <c r="I9330" s="0" t="n">
        <v>1274240</v>
      </c>
      <c r="J9330" s="0" t="n">
        <v>27878</v>
      </c>
      <c r="K9330" s="0" t="n">
        <v>7891000261026</v>
      </c>
      <c r="L9330" s="0" t="s">
        <v>2828</v>
      </c>
      <c r="N9330" s="0" t="n">
        <v>6</v>
      </c>
      <c r="O9330" s="0" t="n">
        <v>53.1</v>
      </c>
      <c r="P9330" s="0" t="s">
        <v>2444</v>
      </c>
    </row>
    <row r="9331" customFormat="false" ht="15" hidden="false" customHeight="true" outlineLevel="0" collapsed="false">
      <c r="A9331" s="0" t="n">
        <v>2</v>
      </c>
      <c r="B9331" s="71" t="n">
        <v>46289</v>
      </c>
      <c r="C9331" s="0" t="n">
        <v>11</v>
      </c>
      <c r="D9331" s="0" t="s">
        <v>2471</v>
      </c>
      <c r="E9331" s="0" t="n">
        <v>1740</v>
      </c>
      <c r="F9331" s="0" t="s">
        <v>468</v>
      </c>
      <c r="I9331" s="0" t="n">
        <v>1274240</v>
      </c>
      <c r="J9331" s="0" t="n">
        <v>50418</v>
      </c>
      <c r="K9331" s="0" t="n">
        <v>7898953148718</v>
      </c>
      <c r="L9331" s="0" t="s">
        <v>4645</v>
      </c>
      <c r="N9331" s="0" t="n">
        <v>6</v>
      </c>
      <c r="O9331" s="0" t="n">
        <v>33.3</v>
      </c>
      <c r="P9331" s="0" t="s">
        <v>2444</v>
      </c>
    </row>
    <row r="9332" customFormat="false" ht="12.75" hidden="false" customHeight="true" outlineLevel="0" collapsed="false">
      <c r="A9332" s="0" t="n">
        <v>2</v>
      </c>
      <c r="B9332" s="71" t="n">
        <v>46289</v>
      </c>
      <c r="C9332" s="0" t="n">
        <v>11</v>
      </c>
      <c r="D9332" s="0" t="s">
        <v>2471</v>
      </c>
      <c r="E9332" s="0" t="n">
        <v>1740</v>
      </c>
      <c r="F9332" s="0" t="s">
        <v>468</v>
      </c>
      <c r="I9332" s="0" t="n">
        <v>1274240</v>
      </c>
      <c r="J9332" s="0" t="n">
        <v>50420</v>
      </c>
      <c r="K9332" s="0" t="n">
        <v>7898953148701</v>
      </c>
      <c r="L9332" s="0" t="s">
        <v>4646</v>
      </c>
      <c r="N9332" s="0" t="n">
        <v>6</v>
      </c>
      <c r="O9332" s="0" t="n">
        <v>25.74</v>
      </c>
      <c r="P9332" s="0" t="s">
        <v>2444</v>
      </c>
    </row>
    <row r="9333" customFormat="false" ht="12.75" hidden="false" customHeight="true" outlineLevel="0" collapsed="false">
      <c r="A9333" s="0" t="n">
        <v>2</v>
      </c>
      <c r="B9333" s="71" t="n">
        <v>46289</v>
      </c>
      <c r="C9333" s="0" t="n">
        <v>11</v>
      </c>
      <c r="D9333" s="0" t="s">
        <v>2471</v>
      </c>
      <c r="E9333" s="0" t="n">
        <v>1740</v>
      </c>
      <c r="F9333" s="0" t="s">
        <v>468</v>
      </c>
      <c r="I9333" s="0" t="n">
        <v>1274240</v>
      </c>
      <c r="J9333" s="0" t="n">
        <v>50422</v>
      </c>
      <c r="K9333" s="0" t="n">
        <v>7898953148220</v>
      </c>
      <c r="L9333" s="0" t="s">
        <v>4647</v>
      </c>
      <c r="N9333" s="0" t="n">
        <v>6</v>
      </c>
      <c r="O9333" s="0" t="n">
        <v>77.88</v>
      </c>
      <c r="P9333" s="0" t="s">
        <v>2444</v>
      </c>
    </row>
    <row r="9334" customFormat="false" ht="12.75" hidden="false" customHeight="true" outlineLevel="0" collapsed="false">
      <c r="A9334" s="0" t="n">
        <v>2</v>
      </c>
      <c r="B9334" s="71" t="n">
        <v>46289</v>
      </c>
      <c r="C9334" s="0" t="n">
        <v>11</v>
      </c>
      <c r="D9334" s="0" t="s">
        <v>2471</v>
      </c>
      <c r="E9334" s="0" t="n">
        <v>1740</v>
      </c>
      <c r="F9334" s="0" t="s">
        <v>468</v>
      </c>
      <c r="I9334" s="0" t="n">
        <v>1274240</v>
      </c>
      <c r="J9334" s="0" t="n">
        <v>50424</v>
      </c>
      <c r="K9334" s="0" t="n">
        <v>7898953148169</v>
      </c>
      <c r="L9334" s="0" t="s">
        <v>4648</v>
      </c>
      <c r="N9334" s="0" t="n">
        <v>6</v>
      </c>
      <c r="O9334" s="0" t="n">
        <v>59.88</v>
      </c>
      <c r="P9334" s="0" t="s">
        <v>2444</v>
      </c>
    </row>
    <row r="9335" customFormat="false" ht="12.75" hidden="false" customHeight="true" outlineLevel="0" collapsed="false">
      <c r="A9335" s="0" t="n">
        <v>2</v>
      </c>
      <c r="B9335" s="71" t="n">
        <v>46289</v>
      </c>
      <c r="C9335" s="0" t="n">
        <v>11</v>
      </c>
      <c r="D9335" s="0" t="s">
        <v>2471</v>
      </c>
      <c r="E9335" s="0" t="n">
        <v>1740</v>
      </c>
      <c r="F9335" s="0" t="s">
        <v>468</v>
      </c>
      <c r="I9335" s="0" t="n">
        <v>1274240</v>
      </c>
      <c r="J9335" s="0" t="n">
        <v>56982</v>
      </c>
      <c r="K9335" s="0" t="n">
        <v>7891000382349</v>
      </c>
      <c r="L9335" s="0" t="s">
        <v>2833</v>
      </c>
      <c r="N9335" s="0" t="n">
        <v>3</v>
      </c>
      <c r="O9335" s="0" t="n">
        <v>10.47</v>
      </c>
      <c r="P9335" s="0" t="s">
        <v>2444</v>
      </c>
    </row>
    <row r="9336" customFormat="false" ht="12.75" hidden="false" customHeight="true" outlineLevel="0" collapsed="false">
      <c r="A9336" s="0" t="n">
        <v>2</v>
      </c>
      <c r="B9336" s="71" t="n">
        <v>46289</v>
      </c>
      <c r="C9336" s="0" t="n">
        <v>11</v>
      </c>
      <c r="D9336" s="0" t="s">
        <v>2471</v>
      </c>
      <c r="E9336" s="0" t="n">
        <v>1740</v>
      </c>
      <c r="F9336" s="0" t="s">
        <v>468</v>
      </c>
      <c r="I9336" s="0" t="n">
        <v>1274240</v>
      </c>
      <c r="J9336" s="0" t="n">
        <v>80572</v>
      </c>
      <c r="K9336" s="0" t="n">
        <v>7898755200188</v>
      </c>
      <c r="L9336" s="0" t="s">
        <v>5303</v>
      </c>
      <c r="N9336" s="0" t="n">
        <v>4</v>
      </c>
      <c r="O9336" s="0" t="n">
        <v>14.72</v>
      </c>
      <c r="P9336" s="0" t="s">
        <v>2444</v>
      </c>
    </row>
    <row r="9337" customFormat="false" ht="12.75" hidden="false" customHeight="true" outlineLevel="0" collapsed="false">
      <c r="A9337" s="0" t="n">
        <v>2</v>
      </c>
      <c r="B9337" s="71" t="n">
        <v>46289</v>
      </c>
      <c r="C9337" s="0" t="n">
        <v>11</v>
      </c>
      <c r="D9337" s="0" t="s">
        <v>2471</v>
      </c>
      <c r="E9337" s="0" t="n">
        <v>1683</v>
      </c>
      <c r="F9337" s="0" t="s">
        <v>406</v>
      </c>
      <c r="I9337" s="0" t="n">
        <v>1684770</v>
      </c>
      <c r="J9337" s="0" t="n">
        <v>109791</v>
      </c>
      <c r="K9337" s="0" t="n">
        <v>9667</v>
      </c>
      <c r="L9337" s="0" t="s">
        <v>2465</v>
      </c>
      <c r="N9337" s="0" t="n">
        <v>10</v>
      </c>
      <c r="O9337" s="0" t="n">
        <v>15</v>
      </c>
      <c r="P9337" s="0" t="s">
        <v>2444</v>
      </c>
    </row>
    <row r="9338" customFormat="false" ht="12.75" hidden="false" customHeight="true" outlineLevel="0" collapsed="false">
      <c r="A9338" s="0" t="n">
        <v>2</v>
      </c>
      <c r="B9338" s="71" t="n">
        <v>46289</v>
      </c>
      <c r="C9338" s="0" t="n">
        <v>11</v>
      </c>
      <c r="D9338" s="0" t="s">
        <v>2471</v>
      </c>
      <c r="E9338" s="0" t="n">
        <v>1683</v>
      </c>
      <c r="F9338" s="0" t="s">
        <v>406</v>
      </c>
      <c r="I9338" s="0" t="n">
        <v>1684770</v>
      </c>
      <c r="J9338" s="0" t="n">
        <v>37359</v>
      </c>
      <c r="K9338" s="0" t="n">
        <v>55526</v>
      </c>
      <c r="L9338" s="0" t="s">
        <v>2466</v>
      </c>
      <c r="N9338" s="0" t="n">
        <v>5</v>
      </c>
      <c r="O9338" s="0" t="n">
        <v>25</v>
      </c>
      <c r="P9338" s="0" t="s">
        <v>2444</v>
      </c>
    </row>
    <row r="9339" customFormat="false" ht="12.75" hidden="false" customHeight="true" outlineLevel="0" collapsed="false">
      <c r="A9339" s="0" t="n">
        <v>2</v>
      </c>
      <c r="B9339" s="71" t="n">
        <v>46289</v>
      </c>
      <c r="C9339" s="0" t="n">
        <v>11</v>
      </c>
      <c r="D9339" s="0" t="s">
        <v>2471</v>
      </c>
      <c r="E9339" s="0" t="n">
        <v>1683</v>
      </c>
      <c r="F9339" s="0" t="s">
        <v>406</v>
      </c>
      <c r="I9339" s="0" t="n">
        <v>1684770</v>
      </c>
      <c r="J9339" s="0" t="n">
        <v>37361</v>
      </c>
      <c r="K9339" s="0" t="n">
        <v>2240817</v>
      </c>
      <c r="L9339" s="0" t="s">
        <v>2467</v>
      </c>
      <c r="N9339" s="0" t="n">
        <v>50</v>
      </c>
      <c r="O9339" s="0" t="n">
        <v>90</v>
      </c>
      <c r="P9339" s="0" t="s">
        <v>2444</v>
      </c>
    </row>
    <row r="9340" customFormat="false" ht="12.75" hidden="false" customHeight="true" outlineLevel="0" collapsed="false">
      <c r="A9340" s="0" t="n">
        <v>2</v>
      </c>
      <c r="B9340" s="71" t="n">
        <v>46289</v>
      </c>
      <c r="C9340" s="0" t="n">
        <v>171</v>
      </c>
      <c r="D9340" s="0" t="s">
        <v>3017</v>
      </c>
      <c r="E9340" s="0" t="n">
        <v>1601</v>
      </c>
      <c r="F9340" s="0" t="s">
        <v>193</v>
      </c>
      <c r="I9340" s="0" t="n">
        <v>874490</v>
      </c>
      <c r="J9340" s="0" t="n">
        <v>68268</v>
      </c>
      <c r="K9340" s="0" t="n">
        <v>7896382505829</v>
      </c>
      <c r="L9340" s="0" t="s">
        <v>2814</v>
      </c>
      <c r="N9340" s="0" t="n">
        <v>24</v>
      </c>
      <c r="O9340" s="0" t="n">
        <v>30.56</v>
      </c>
      <c r="P9340" s="0" t="s">
        <v>3019</v>
      </c>
    </row>
    <row r="9341" customFormat="false" ht="12.75" hidden="false" customHeight="true" outlineLevel="0" collapsed="false">
      <c r="A9341" s="0" t="n">
        <v>2</v>
      </c>
      <c r="B9341" s="71" t="n">
        <v>46290</v>
      </c>
      <c r="C9341" s="0" t="n">
        <v>6</v>
      </c>
      <c r="D9341" s="0" t="s">
        <v>2553</v>
      </c>
      <c r="E9341" s="0" t="n">
        <v>48</v>
      </c>
      <c r="F9341" s="0" t="s">
        <v>153</v>
      </c>
      <c r="I9341" s="0" t="n">
        <v>2700</v>
      </c>
      <c r="J9341" s="0" t="n">
        <v>100105</v>
      </c>
      <c r="K9341" s="0" t="n">
        <v>106</v>
      </c>
      <c r="L9341" s="0" t="s">
        <v>2536</v>
      </c>
      <c r="N9341" s="0" t="n">
        <v>24</v>
      </c>
      <c r="O9341" s="0" t="n">
        <v>130</v>
      </c>
      <c r="P9341" s="0" t="s">
        <v>2444</v>
      </c>
    </row>
    <row r="9342" customFormat="false" ht="12.75" hidden="false" customHeight="true" outlineLevel="0" collapsed="false">
      <c r="A9342" s="0" t="n">
        <v>2</v>
      </c>
      <c r="B9342" s="71" t="n">
        <v>46290</v>
      </c>
      <c r="C9342" s="0" t="n">
        <v>6</v>
      </c>
      <c r="D9342" s="0" t="s">
        <v>2553</v>
      </c>
      <c r="E9342" s="0" t="n">
        <v>48</v>
      </c>
      <c r="F9342" s="0" t="s">
        <v>153</v>
      </c>
      <c r="I9342" s="0" t="n">
        <v>2700</v>
      </c>
      <c r="J9342" s="0" t="n">
        <v>100109</v>
      </c>
      <c r="K9342" s="0" t="n">
        <v>110</v>
      </c>
      <c r="L9342" s="0" t="s">
        <v>2537</v>
      </c>
      <c r="N9342" s="0" t="n">
        <v>20</v>
      </c>
      <c r="O9342" s="0" t="n">
        <v>130</v>
      </c>
      <c r="P9342" s="0" t="s">
        <v>2444</v>
      </c>
    </row>
    <row r="9343" customFormat="false" ht="12.75" hidden="false" customHeight="true" outlineLevel="0" collapsed="false">
      <c r="A9343" s="0" t="n">
        <v>2</v>
      </c>
      <c r="B9343" s="71" t="n">
        <v>46290</v>
      </c>
      <c r="C9343" s="0" t="n">
        <v>6</v>
      </c>
      <c r="D9343" s="0" t="s">
        <v>2553</v>
      </c>
      <c r="E9343" s="0" t="n">
        <v>48</v>
      </c>
      <c r="F9343" s="0" t="s">
        <v>153</v>
      </c>
      <c r="I9343" s="0" t="n">
        <v>2700</v>
      </c>
      <c r="J9343" s="0" t="n">
        <v>100115</v>
      </c>
      <c r="K9343" s="0" t="n">
        <v>116</v>
      </c>
      <c r="L9343" s="0" t="s">
        <v>2694</v>
      </c>
      <c r="N9343" s="0" t="n">
        <v>5</v>
      </c>
      <c r="O9343" s="0" t="n">
        <v>55</v>
      </c>
      <c r="P9343" s="0" t="s">
        <v>2444</v>
      </c>
    </row>
    <row r="9344" customFormat="false" ht="12.75" hidden="false" customHeight="true" outlineLevel="0" collapsed="false">
      <c r="A9344" s="0" t="n">
        <v>2</v>
      </c>
      <c r="B9344" s="71" t="n">
        <v>46290</v>
      </c>
      <c r="C9344" s="0" t="n">
        <v>6</v>
      </c>
      <c r="D9344" s="0" t="s">
        <v>2553</v>
      </c>
      <c r="E9344" s="0" t="n">
        <v>48</v>
      </c>
      <c r="F9344" s="0" t="s">
        <v>153</v>
      </c>
      <c r="I9344" s="0" t="n">
        <v>2700</v>
      </c>
      <c r="J9344" s="0" t="n">
        <v>100118</v>
      </c>
      <c r="K9344" s="0" t="n">
        <v>119</v>
      </c>
      <c r="L9344" s="0" t="s">
        <v>2541</v>
      </c>
      <c r="N9344" s="0" t="n">
        <v>5</v>
      </c>
      <c r="O9344" s="0" t="n">
        <v>30</v>
      </c>
      <c r="P9344" s="0" t="s">
        <v>2444</v>
      </c>
    </row>
    <row r="9345" customFormat="false" ht="12.75" hidden="false" customHeight="true" outlineLevel="0" collapsed="false">
      <c r="A9345" s="0" t="n">
        <v>2</v>
      </c>
      <c r="B9345" s="71" t="n">
        <v>46290</v>
      </c>
      <c r="C9345" s="0" t="n">
        <v>6</v>
      </c>
      <c r="D9345" s="0" t="s">
        <v>2553</v>
      </c>
      <c r="E9345" s="0" t="n">
        <v>48</v>
      </c>
      <c r="F9345" s="0" t="s">
        <v>153</v>
      </c>
      <c r="I9345" s="0" t="n">
        <v>2700</v>
      </c>
      <c r="J9345" s="0" t="n">
        <v>100121</v>
      </c>
      <c r="K9345" s="0" t="n">
        <v>122</v>
      </c>
      <c r="L9345" s="0" t="s">
        <v>2542</v>
      </c>
      <c r="N9345" s="0" t="n">
        <v>3</v>
      </c>
      <c r="O9345" s="0" t="n">
        <v>75</v>
      </c>
      <c r="P9345" s="0" t="s">
        <v>2444</v>
      </c>
    </row>
    <row r="9346" customFormat="false" ht="12.75" hidden="false" customHeight="true" outlineLevel="0" collapsed="false">
      <c r="A9346" s="0" t="n">
        <v>2</v>
      </c>
      <c r="B9346" s="71" t="n">
        <v>46290</v>
      </c>
      <c r="C9346" s="0" t="n">
        <v>6</v>
      </c>
      <c r="D9346" s="0" t="s">
        <v>2553</v>
      </c>
      <c r="E9346" s="0" t="n">
        <v>48</v>
      </c>
      <c r="F9346" s="0" t="s">
        <v>153</v>
      </c>
      <c r="I9346" s="0" t="n">
        <v>2700</v>
      </c>
      <c r="J9346" s="0" t="n">
        <v>100122</v>
      </c>
      <c r="K9346" s="0" t="n">
        <v>123</v>
      </c>
      <c r="L9346" s="0" t="s">
        <v>2543</v>
      </c>
      <c r="N9346" s="0" t="n">
        <v>3</v>
      </c>
      <c r="O9346" s="0" t="n">
        <v>42</v>
      </c>
      <c r="P9346" s="0" t="s">
        <v>2444</v>
      </c>
    </row>
    <row r="9347" customFormat="false" ht="12.75" hidden="false" customHeight="true" outlineLevel="0" collapsed="false">
      <c r="A9347" s="0" t="n">
        <v>2</v>
      </c>
      <c r="B9347" s="71" t="n">
        <v>46290</v>
      </c>
      <c r="C9347" s="0" t="n">
        <v>6</v>
      </c>
      <c r="D9347" s="0" t="s">
        <v>2553</v>
      </c>
      <c r="E9347" s="0" t="n">
        <v>48</v>
      </c>
      <c r="F9347" s="0" t="s">
        <v>153</v>
      </c>
      <c r="I9347" s="0" t="n">
        <v>2700</v>
      </c>
      <c r="J9347" s="0" t="n">
        <v>100124</v>
      </c>
      <c r="K9347" s="0" t="n">
        <v>125</v>
      </c>
      <c r="L9347" s="0" t="s">
        <v>2695</v>
      </c>
      <c r="N9347" s="0" t="n">
        <v>5</v>
      </c>
      <c r="O9347" s="0" t="n">
        <v>55</v>
      </c>
      <c r="P9347" s="0" t="s">
        <v>2444</v>
      </c>
    </row>
    <row r="9348" customFormat="false" ht="12.75" hidden="false" customHeight="true" outlineLevel="0" collapsed="false">
      <c r="A9348" s="0" t="n">
        <v>2</v>
      </c>
      <c r="B9348" s="71" t="n">
        <v>46290</v>
      </c>
      <c r="C9348" s="0" t="n">
        <v>6</v>
      </c>
      <c r="D9348" s="0" t="s">
        <v>2553</v>
      </c>
      <c r="E9348" s="0" t="n">
        <v>48</v>
      </c>
      <c r="F9348" s="0" t="s">
        <v>153</v>
      </c>
      <c r="I9348" s="0" t="n">
        <v>2700</v>
      </c>
      <c r="J9348" s="0" t="n">
        <v>100129</v>
      </c>
      <c r="K9348" s="0" t="n">
        <v>130</v>
      </c>
      <c r="L9348" s="0" t="s">
        <v>2598</v>
      </c>
      <c r="N9348" s="0" t="n">
        <v>13</v>
      </c>
      <c r="O9348" s="0" t="n">
        <v>80</v>
      </c>
      <c r="P9348" s="0" t="s">
        <v>2444</v>
      </c>
    </row>
    <row r="9349" customFormat="false" ht="12.75" hidden="false" customHeight="true" outlineLevel="0" collapsed="false">
      <c r="A9349" s="0" t="n">
        <v>2</v>
      </c>
      <c r="B9349" s="71" t="n">
        <v>46290</v>
      </c>
      <c r="C9349" s="0" t="n">
        <v>6</v>
      </c>
      <c r="D9349" s="0" t="s">
        <v>2553</v>
      </c>
      <c r="E9349" s="0" t="n">
        <v>48</v>
      </c>
      <c r="F9349" s="0" t="s">
        <v>153</v>
      </c>
      <c r="I9349" s="0" t="n">
        <v>2700</v>
      </c>
      <c r="J9349" s="0" t="n">
        <v>100130</v>
      </c>
      <c r="K9349" s="0" t="n">
        <v>131</v>
      </c>
      <c r="L9349" s="0" t="s">
        <v>2545</v>
      </c>
      <c r="N9349" s="0" t="n">
        <v>15</v>
      </c>
      <c r="O9349" s="0" t="n">
        <v>135</v>
      </c>
      <c r="P9349" s="0" t="s">
        <v>2444</v>
      </c>
    </row>
    <row r="9350" customFormat="false" ht="12.75" hidden="false" customHeight="true" outlineLevel="0" collapsed="false">
      <c r="A9350" s="0" t="n">
        <v>2</v>
      </c>
      <c r="B9350" s="71" t="n">
        <v>46290</v>
      </c>
      <c r="C9350" s="0" t="n">
        <v>6</v>
      </c>
      <c r="D9350" s="0" t="s">
        <v>2553</v>
      </c>
      <c r="E9350" s="0" t="n">
        <v>48</v>
      </c>
      <c r="F9350" s="0" t="s">
        <v>153</v>
      </c>
      <c r="I9350" s="0" t="n">
        <v>2700</v>
      </c>
      <c r="J9350" s="0" t="n">
        <v>100132</v>
      </c>
      <c r="K9350" s="0" t="n">
        <v>133</v>
      </c>
      <c r="L9350" s="0" t="s">
        <v>2546</v>
      </c>
      <c r="N9350" s="0" t="n">
        <v>57.14</v>
      </c>
      <c r="O9350" s="0" t="n">
        <v>140</v>
      </c>
      <c r="P9350" s="0" t="s">
        <v>2444</v>
      </c>
    </row>
    <row r="9351" customFormat="false" ht="12.75" hidden="false" customHeight="true" outlineLevel="0" collapsed="false">
      <c r="A9351" s="0" t="n">
        <v>2</v>
      </c>
      <c r="B9351" s="71" t="n">
        <v>46290</v>
      </c>
      <c r="C9351" s="0" t="n">
        <v>6</v>
      </c>
      <c r="D9351" s="0" t="s">
        <v>2553</v>
      </c>
      <c r="E9351" s="0" t="n">
        <v>48</v>
      </c>
      <c r="F9351" s="0" t="s">
        <v>153</v>
      </c>
      <c r="I9351" s="0" t="n">
        <v>2700</v>
      </c>
      <c r="J9351" s="0" t="n">
        <v>100141</v>
      </c>
      <c r="K9351" s="0" t="n">
        <v>142</v>
      </c>
      <c r="L9351" s="0" t="s">
        <v>3260</v>
      </c>
      <c r="N9351" s="0" t="n">
        <v>1</v>
      </c>
      <c r="O9351" s="0" t="n">
        <v>45</v>
      </c>
      <c r="P9351" s="0" t="s">
        <v>2444</v>
      </c>
    </row>
    <row r="9352" customFormat="false" ht="12.75" hidden="false" customHeight="true" outlineLevel="0" collapsed="false">
      <c r="A9352" s="0" t="n">
        <v>2</v>
      </c>
      <c r="B9352" s="71" t="n">
        <v>46290</v>
      </c>
      <c r="C9352" s="0" t="n">
        <v>6</v>
      </c>
      <c r="D9352" s="0" t="s">
        <v>2553</v>
      </c>
      <c r="E9352" s="0" t="n">
        <v>48</v>
      </c>
      <c r="F9352" s="0" t="s">
        <v>153</v>
      </c>
      <c r="I9352" s="0" t="n">
        <v>2700</v>
      </c>
      <c r="J9352" s="0" t="n">
        <v>110299</v>
      </c>
      <c r="K9352" s="0" t="n">
        <v>45027</v>
      </c>
      <c r="L9352" s="0" t="s">
        <v>5607</v>
      </c>
      <c r="N9352" s="0" t="n">
        <v>5</v>
      </c>
      <c r="O9352" s="0" t="n">
        <v>145</v>
      </c>
      <c r="P9352" s="0" t="s">
        <v>2444</v>
      </c>
    </row>
    <row r="9353" customFormat="false" ht="12.75" hidden="false" customHeight="true" outlineLevel="0" collapsed="false">
      <c r="A9353" s="0" t="n">
        <v>2</v>
      </c>
      <c r="B9353" s="71" t="n">
        <v>46290</v>
      </c>
      <c r="C9353" s="0" t="n">
        <v>6</v>
      </c>
      <c r="D9353" s="0" t="s">
        <v>2553</v>
      </c>
      <c r="E9353" s="0" t="n">
        <v>48</v>
      </c>
      <c r="F9353" s="0" t="s">
        <v>153</v>
      </c>
      <c r="I9353" s="0" t="n">
        <v>2700</v>
      </c>
      <c r="J9353" s="0" t="n">
        <v>43627</v>
      </c>
      <c r="K9353" s="0" t="n">
        <v>1175</v>
      </c>
      <c r="L9353" s="0" t="s">
        <v>4217</v>
      </c>
      <c r="N9353" s="0" t="n">
        <v>10</v>
      </c>
      <c r="O9353" s="0" t="n">
        <v>45</v>
      </c>
      <c r="P9353" s="0" t="s">
        <v>2444</v>
      </c>
    </row>
    <row r="9354" customFormat="false" ht="12.75" hidden="false" customHeight="true" outlineLevel="0" collapsed="false">
      <c r="A9354" s="0" t="n">
        <v>2</v>
      </c>
      <c r="B9354" s="71" t="n">
        <v>46290</v>
      </c>
      <c r="C9354" s="0" t="n">
        <v>6</v>
      </c>
      <c r="D9354" s="0" t="s">
        <v>2553</v>
      </c>
      <c r="E9354" s="0" t="n">
        <v>48</v>
      </c>
      <c r="F9354" s="0" t="s">
        <v>153</v>
      </c>
      <c r="I9354" s="0" t="n">
        <v>2700</v>
      </c>
      <c r="J9354" s="0" t="n">
        <v>110489</v>
      </c>
      <c r="K9354" s="0" t="n">
        <v>54743</v>
      </c>
      <c r="L9354" s="0" t="s">
        <v>2550</v>
      </c>
      <c r="N9354" s="0" t="n">
        <v>40</v>
      </c>
      <c r="O9354" s="0" t="n">
        <v>260</v>
      </c>
      <c r="P9354" s="0" t="s">
        <v>2444</v>
      </c>
    </row>
    <row r="9355" customFormat="false" ht="12.75" hidden="false" customHeight="true" outlineLevel="0" collapsed="false">
      <c r="A9355" s="0" t="n">
        <v>2</v>
      </c>
      <c r="B9355" s="71" t="n">
        <v>46290</v>
      </c>
      <c r="C9355" s="0" t="n">
        <v>6</v>
      </c>
      <c r="D9355" s="0" t="s">
        <v>2553</v>
      </c>
      <c r="E9355" s="0" t="n">
        <v>48</v>
      </c>
      <c r="F9355" s="0" t="s">
        <v>153</v>
      </c>
      <c r="I9355" s="0" t="n">
        <v>2700</v>
      </c>
      <c r="J9355" s="0" t="n">
        <v>80078</v>
      </c>
      <c r="K9355" s="0" t="n">
        <v>710</v>
      </c>
      <c r="L9355" s="0" t="s">
        <v>2551</v>
      </c>
      <c r="N9355" s="0" t="n">
        <v>5</v>
      </c>
      <c r="O9355" s="0" t="n">
        <v>15</v>
      </c>
      <c r="P9355" s="0" t="s">
        <v>2444</v>
      </c>
    </row>
    <row r="9356" customFormat="false" ht="12.75" hidden="false" customHeight="true" outlineLevel="0" collapsed="false">
      <c r="A9356" s="0" t="n">
        <v>2</v>
      </c>
      <c r="B9356" s="71" t="n">
        <v>46290</v>
      </c>
      <c r="C9356" s="0" t="n">
        <v>11</v>
      </c>
      <c r="D9356" s="0" t="s">
        <v>2471</v>
      </c>
      <c r="E9356" s="0" t="n">
        <v>10018</v>
      </c>
      <c r="F9356" s="0" t="s">
        <v>216</v>
      </c>
      <c r="I9356" s="0" t="n">
        <v>395</v>
      </c>
      <c r="J9356" s="0" t="n">
        <v>100933</v>
      </c>
      <c r="K9356" s="0" t="n">
        <v>7896982100059</v>
      </c>
      <c r="L9356" s="0" t="s">
        <v>2500</v>
      </c>
      <c r="N9356" s="0" t="n">
        <v>1440</v>
      </c>
      <c r="O9356" s="0" t="n">
        <v>679.6</v>
      </c>
      <c r="P9356" s="0" t="s">
        <v>2444</v>
      </c>
    </row>
    <row r="9357" customFormat="false" ht="12.75" hidden="false" customHeight="true" outlineLevel="0" collapsed="false">
      <c r="A9357" s="0" t="n">
        <v>2</v>
      </c>
      <c r="B9357" s="71" t="n">
        <v>46290</v>
      </c>
      <c r="C9357" s="0" t="n">
        <v>11</v>
      </c>
      <c r="D9357" s="0" t="s">
        <v>2471</v>
      </c>
      <c r="E9357" s="0" t="n">
        <v>10018</v>
      </c>
      <c r="F9357" s="0" t="s">
        <v>216</v>
      </c>
      <c r="I9357" s="0" t="n">
        <v>395</v>
      </c>
      <c r="J9357" s="0" t="n">
        <v>81830</v>
      </c>
      <c r="K9357" s="0" t="n">
        <v>1588</v>
      </c>
      <c r="L9357" s="0" t="s">
        <v>4637</v>
      </c>
      <c r="N9357" s="0" t="n">
        <v>20</v>
      </c>
      <c r="O9357" s="0" t="n">
        <v>270</v>
      </c>
      <c r="P9357" s="0" t="s">
        <v>2444</v>
      </c>
    </row>
    <row r="9358" customFormat="false" ht="12.75" hidden="false" customHeight="true" outlineLevel="0" collapsed="false">
      <c r="A9358" s="0" t="n">
        <v>2</v>
      </c>
      <c r="B9358" s="71" t="n">
        <v>46290</v>
      </c>
      <c r="C9358" s="0" t="n">
        <v>11</v>
      </c>
      <c r="D9358" s="0" t="s">
        <v>2471</v>
      </c>
      <c r="E9358" s="0" t="n">
        <v>10035</v>
      </c>
      <c r="F9358" s="0" t="s">
        <v>86</v>
      </c>
      <c r="I9358" s="0" t="n">
        <v>452</v>
      </c>
      <c r="J9358" s="0" t="n">
        <v>38652</v>
      </c>
      <c r="K9358" s="0" t="n">
        <v>7898994684220</v>
      </c>
      <c r="L9358" s="0" t="s">
        <v>2711</v>
      </c>
      <c r="N9358" s="0" t="n">
        <v>25</v>
      </c>
      <c r="O9358" s="0" t="n">
        <v>225</v>
      </c>
      <c r="P9358" s="0" t="s">
        <v>2444</v>
      </c>
    </row>
    <row r="9359" customFormat="false" ht="12.75" hidden="false" customHeight="true" outlineLevel="0" collapsed="false">
      <c r="A9359" s="0" t="n">
        <v>2</v>
      </c>
      <c r="B9359" s="71" t="n">
        <v>46290</v>
      </c>
      <c r="C9359" s="0" t="n">
        <v>11</v>
      </c>
      <c r="D9359" s="0" t="s">
        <v>2471</v>
      </c>
      <c r="E9359" s="0" t="n">
        <v>10035</v>
      </c>
      <c r="F9359" s="0" t="s">
        <v>86</v>
      </c>
      <c r="I9359" s="0" t="n">
        <v>452</v>
      </c>
      <c r="J9359" s="0" t="n">
        <v>38653</v>
      </c>
      <c r="K9359" s="0" t="n">
        <v>7898994684275</v>
      </c>
      <c r="L9359" s="0" t="s">
        <v>2712</v>
      </c>
      <c r="N9359" s="0" t="n">
        <v>15</v>
      </c>
      <c r="O9359" s="0" t="n">
        <v>72</v>
      </c>
      <c r="P9359" s="0" t="s">
        <v>2444</v>
      </c>
    </row>
    <row r="9360" customFormat="false" ht="12.75" hidden="false" customHeight="true" outlineLevel="0" collapsed="false">
      <c r="A9360" s="0" t="n">
        <v>2</v>
      </c>
      <c r="B9360" s="71" t="n">
        <v>46290</v>
      </c>
      <c r="C9360" s="0" t="n">
        <v>11</v>
      </c>
      <c r="D9360" s="0" t="s">
        <v>2471</v>
      </c>
      <c r="E9360" s="0" t="n">
        <v>1292</v>
      </c>
      <c r="F9360" s="0" t="s">
        <v>209</v>
      </c>
      <c r="I9360" s="0" t="n">
        <v>4140</v>
      </c>
      <c r="J9360" s="0" t="n">
        <v>58633</v>
      </c>
      <c r="K9360" s="0" t="n">
        <v>7891164025250</v>
      </c>
      <c r="L9360" s="0" t="s">
        <v>2448</v>
      </c>
      <c r="N9360" s="0" t="n">
        <v>35</v>
      </c>
      <c r="O9360" s="0" t="n">
        <v>314.65</v>
      </c>
      <c r="P9360" s="0" t="s">
        <v>2444</v>
      </c>
    </row>
    <row r="9361" customFormat="false" ht="12.75" hidden="false" customHeight="true" outlineLevel="0" collapsed="false">
      <c r="A9361" s="0" t="n">
        <v>2</v>
      </c>
      <c r="B9361" s="71" t="n">
        <v>46290</v>
      </c>
      <c r="C9361" s="0" t="n">
        <v>11</v>
      </c>
      <c r="D9361" s="0" t="s">
        <v>2471</v>
      </c>
      <c r="E9361" s="0" t="n">
        <v>1292</v>
      </c>
      <c r="F9361" s="0" t="s">
        <v>209</v>
      </c>
      <c r="I9361" s="0" t="n">
        <v>4140</v>
      </c>
      <c r="J9361" s="0" t="n">
        <v>82078</v>
      </c>
      <c r="K9361" s="0" t="n">
        <v>87946594534</v>
      </c>
      <c r="L9361" s="0" t="s">
        <v>4681</v>
      </c>
      <c r="N9361" s="0" t="n">
        <v>25</v>
      </c>
      <c r="O9361" s="0" t="n">
        <v>140</v>
      </c>
      <c r="P9361" s="0" t="s">
        <v>2444</v>
      </c>
    </row>
    <row r="9362" customFormat="false" ht="12.75" hidden="false" customHeight="true" outlineLevel="0" collapsed="false">
      <c r="A9362" s="0" t="n">
        <v>2</v>
      </c>
      <c r="B9362" s="71" t="n">
        <v>46290</v>
      </c>
      <c r="C9362" s="0" t="n">
        <v>11</v>
      </c>
      <c r="D9362" s="0" t="s">
        <v>2471</v>
      </c>
      <c r="E9362" s="0" t="n">
        <v>1328</v>
      </c>
      <c r="F9362" s="0" t="s">
        <v>95</v>
      </c>
      <c r="I9362" s="0" t="n">
        <v>4761</v>
      </c>
      <c r="J9362" s="0" t="n">
        <v>50310</v>
      </c>
      <c r="K9362" s="0" t="n">
        <v>7898588380101</v>
      </c>
      <c r="L9362" s="0" t="s">
        <v>2502</v>
      </c>
      <c r="N9362" s="0" t="n">
        <v>1</v>
      </c>
      <c r="O9362" s="0" t="n">
        <v>7.25</v>
      </c>
      <c r="P9362" s="0" t="s">
        <v>2444</v>
      </c>
    </row>
    <row r="9363" customFormat="false" ht="12.75" hidden="false" customHeight="true" outlineLevel="0" collapsed="false">
      <c r="A9363" s="0" t="n">
        <v>2</v>
      </c>
      <c r="B9363" s="71" t="n">
        <v>46290</v>
      </c>
      <c r="C9363" s="0" t="n">
        <v>11</v>
      </c>
      <c r="D9363" s="0" t="s">
        <v>2471</v>
      </c>
      <c r="E9363" s="0" t="n">
        <v>1328</v>
      </c>
      <c r="F9363" s="0" t="s">
        <v>95</v>
      </c>
      <c r="I9363" s="0" t="n">
        <v>4761</v>
      </c>
      <c r="J9363" s="0" t="n">
        <v>21060</v>
      </c>
      <c r="K9363" s="0" t="n">
        <v>7898588380118</v>
      </c>
      <c r="L9363" s="0" t="s">
        <v>2504</v>
      </c>
      <c r="N9363" s="0" t="n">
        <v>10</v>
      </c>
      <c r="O9363" s="0" t="n">
        <v>65</v>
      </c>
      <c r="P9363" s="0" t="s">
        <v>2444</v>
      </c>
    </row>
    <row r="9364" customFormat="false" ht="12.75" hidden="false" customHeight="true" outlineLevel="0" collapsed="false">
      <c r="A9364" s="0" t="n">
        <v>2</v>
      </c>
      <c r="B9364" s="71" t="n">
        <v>46290</v>
      </c>
      <c r="C9364" s="0" t="n">
        <v>11</v>
      </c>
      <c r="D9364" s="0" t="s">
        <v>2471</v>
      </c>
      <c r="E9364" s="0" t="n">
        <v>1328</v>
      </c>
      <c r="F9364" s="0" t="s">
        <v>95</v>
      </c>
      <c r="I9364" s="0" t="n">
        <v>4761</v>
      </c>
      <c r="J9364" s="0" t="n">
        <v>31789</v>
      </c>
      <c r="K9364" s="0" t="n">
        <v>7898588380149</v>
      </c>
      <c r="L9364" s="0" t="s">
        <v>2446</v>
      </c>
      <c r="N9364" s="0" t="n">
        <v>2</v>
      </c>
      <c r="O9364" s="0" t="n">
        <v>11</v>
      </c>
      <c r="P9364" s="0" t="s">
        <v>2444</v>
      </c>
    </row>
    <row r="9365" customFormat="false" ht="12.75" hidden="false" customHeight="true" outlineLevel="0" collapsed="false">
      <c r="A9365" s="0" t="n">
        <v>2</v>
      </c>
      <c r="B9365" s="71" t="n">
        <v>46290</v>
      </c>
      <c r="C9365" s="0" t="n">
        <v>11</v>
      </c>
      <c r="D9365" s="0" t="s">
        <v>2471</v>
      </c>
      <c r="E9365" s="0" t="n">
        <v>1328</v>
      </c>
      <c r="F9365" s="0" t="s">
        <v>95</v>
      </c>
      <c r="I9365" s="0" t="n">
        <v>4761</v>
      </c>
      <c r="J9365" s="0" t="n">
        <v>31782</v>
      </c>
      <c r="K9365" s="0" t="n">
        <v>7898588380132</v>
      </c>
      <c r="L9365" s="0" t="s">
        <v>2505</v>
      </c>
      <c r="N9365" s="0" t="n">
        <v>1</v>
      </c>
      <c r="O9365" s="0" t="n">
        <v>5.5</v>
      </c>
      <c r="P9365" s="0" t="s">
        <v>2444</v>
      </c>
    </row>
    <row r="9366" customFormat="false" ht="12.75" hidden="false" customHeight="true" outlineLevel="0" collapsed="false">
      <c r="A9366" s="0" t="n">
        <v>2</v>
      </c>
      <c r="B9366" s="71" t="n">
        <v>46290</v>
      </c>
      <c r="C9366" s="0" t="n">
        <v>11</v>
      </c>
      <c r="D9366" s="0" t="s">
        <v>2471</v>
      </c>
      <c r="E9366" s="0" t="n">
        <v>1328</v>
      </c>
      <c r="F9366" s="0" t="s">
        <v>95</v>
      </c>
      <c r="I9366" s="0" t="n">
        <v>4761</v>
      </c>
      <c r="J9366" s="0" t="n">
        <v>31784</v>
      </c>
      <c r="K9366" s="0" t="n">
        <v>7898588380545</v>
      </c>
      <c r="L9366" s="0" t="s">
        <v>2590</v>
      </c>
      <c r="N9366" s="0" t="n">
        <v>2</v>
      </c>
      <c r="O9366" s="0" t="n">
        <v>11</v>
      </c>
      <c r="P9366" s="0" t="s">
        <v>2444</v>
      </c>
    </row>
    <row r="9367" customFormat="false" ht="12.75" hidden="false" customHeight="true" outlineLevel="0" collapsed="false">
      <c r="A9367" s="0" t="n">
        <v>2</v>
      </c>
      <c r="B9367" s="71" t="n">
        <v>46290</v>
      </c>
      <c r="C9367" s="0" t="n">
        <v>11</v>
      </c>
      <c r="D9367" s="0" t="s">
        <v>2471</v>
      </c>
      <c r="E9367" s="0" t="n">
        <v>1328</v>
      </c>
      <c r="F9367" s="0" t="s">
        <v>95</v>
      </c>
      <c r="I9367" s="0" t="n">
        <v>4761</v>
      </c>
      <c r="J9367" s="0" t="n">
        <v>31787</v>
      </c>
      <c r="K9367" s="0" t="n">
        <v>7898588380125</v>
      </c>
      <c r="L9367" s="0" t="s">
        <v>2507</v>
      </c>
      <c r="N9367" s="0" t="n">
        <v>2</v>
      </c>
      <c r="O9367" s="0" t="n">
        <v>16.8</v>
      </c>
      <c r="P9367" s="0" t="s">
        <v>2444</v>
      </c>
    </row>
    <row r="9368" customFormat="false" ht="12.75" hidden="false" customHeight="true" outlineLevel="0" collapsed="false">
      <c r="A9368" s="0" t="n">
        <v>2</v>
      </c>
      <c r="B9368" s="71" t="n">
        <v>46290</v>
      </c>
      <c r="C9368" s="0" t="n">
        <v>11</v>
      </c>
      <c r="D9368" s="0" t="s">
        <v>2471</v>
      </c>
      <c r="E9368" s="0" t="n">
        <v>1328</v>
      </c>
      <c r="F9368" s="0" t="s">
        <v>95</v>
      </c>
      <c r="I9368" s="0" t="n">
        <v>4761</v>
      </c>
      <c r="J9368" s="0" t="n">
        <v>31790</v>
      </c>
      <c r="K9368" s="0" t="n">
        <v>7898588380231</v>
      </c>
      <c r="L9368" s="0" t="s">
        <v>2508</v>
      </c>
      <c r="N9368" s="0" t="n">
        <v>3</v>
      </c>
      <c r="O9368" s="0" t="n">
        <v>16.5</v>
      </c>
      <c r="P9368" s="0" t="s">
        <v>2444</v>
      </c>
    </row>
    <row r="9369" customFormat="false" ht="12.75" hidden="false" customHeight="true" outlineLevel="0" collapsed="false">
      <c r="A9369" s="0" t="n">
        <v>2</v>
      </c>
      <c r="B9369" s="71" t="n">
        <v>46290</v>
      </c>
      <c r="C9369" s="0" t="n">
        <v>11</v>
      </c>
      <c r="D9369" s="0" t="s">
        <v>2471</v>
      </c>
      <c r="E9369" s="0" t="n">
        <v>1609</v>
      </c>
      <c r="F9369" s="0" t="s">
        <v>84</v>
      </c>
      <c r="I9369" s="0" t="n">
        <v>6165</v>
      </c>
      <c r="J9369" s="0" t="n">
        <v>13225</v>
      </c>
      <c r="K9369" s="0" t="n">
        <v>7896981601151</v>
      </c>
      <c r="L9369" s="0" t="s">
        <v>3453</v>
      </c>
      <c r="N9369" s="0" t="n">
        <v>12</v>
      </c>
      <c r="O9369" s="0" t="n">
        <v>45</v>
      </c>
      <c r="P9369" s="0" t="s">
        <v>2444</v>
      </c>
    </row>
    <row r="9370" customFormat="false" ht="12.75" hidden="false" customHeight="true" outlineLevel="0" collapsed="false">
      <c r="A9370" s="0" t="n">
        <v>2</v>
      </c>
      <c r="B9370" s="71" t="n">
        <v>46290</v>
      </c>
      <c r="C9370" s="0" t="n">
        <v>11</v>
      </c>
      <c r="D9370" s="0" t="s">
        <v>2471</v>
      </c>
      <c r="E9370" s="0" t="n">
        <v>1609</v>
      </c>
      <c r="F9370" s="0" t="s">
        <v>84</v>
      </c>
      <c r="I9370" s="0" t="n">
        <v>6165</v>
      </c>
      <c r="J9370" s="0" t="n">
        <v>13720</v>
      </c>
      <c r="K9370" s="0" t="n">
        <v>7896981600307</v>
      </c>
      <c r="L9370" s="0" t="s">
        <v>2608</v>
      </c>
      <c r="N9370" s="0" t="n">
        <v>9</v>
      </c>
      <c r="O9370" s="0" t="n">
        <v>55</v>
      </c>
      <c r="P9370" s="0" t="s">
        <v>2444</v>
      </c>
    </row>
    <row r="9371" customFormat="false" ht="12.75" hidden="false" customHeight="true" outlineLevel="0" collapsed="false">
      <c r="A9371" s="0" t="n">
        <v>2</v>
      </c>
      <c r="B9371" s="71" t="n">
        <v>46290</v>
      </c>
      <c r="C9371" s="0" t="n">
        <v>11</v>
      </c>
      <c r="D9371" s="0" t="s">
        <v>2471</v>
      </c>
      <c r="E9371" s="0" t="n">
        <v>1609</v>
      </c>
      <c r="F9371" s="0" t="s">
        <v>84</v>
      </c>
      <c r="I9371" s="0" t="n">
        <v>6165</v>
      </c>
      <c r="J9371" s="0" t="n">
        <v>17163</v>
      </c>
      <c r="K9371" s="0" t="n">
        <v>7896981600567</v>
      </c>
      <c r="L9371" s="0" t="s">
        <v>2609</v>
      </c>
      <c r="N9371" s="0" t="n">
        <v>18</v>
      </c>
      <c r="O9371" s="0" t="n">
        <v>160</v>
      </c>
      <c r="P9371" s="0" t="s">
        <v>2444</v>
      </c>
    </row>
    <row r="9372" customFormat="false" ht="12.75" hidden="false" customHeight="true" outlineLevel="0" collapsed="false">
      <c r="A9372" s="0" t="n">
        <v>2</v>
      </c>
      <c r="B9372" s="71" t="n">
        <v>46290</v>
      </c>
      <c r="C9372" s="0" t="n">
        <v>11</v>
      </c>
      <c r="D9372" s="0" t="s">
        <v>2471</v>
      </c>
      <c r="E9372" s="0" t="n">
        <v>1609</v>
      </c>
      <c r="F9372" s="0" t="s">
        <v>84</v>
      </c>
      <c r="I9372" s="0" t="n">
        <v>6165</v>
      </c>
      <c r="J9372" s="0" t="n">
        <v>18384</v>
      </c>
      <c r="K9372" s="0" t="n">
        <v>7896878801206</v>
      </c>
      <c r="L9372" s="0" t="s">
        <v>2612</v>
      </c>
      <c r="N9372" s="0" t="n">
        <v>20</v>
      </c>
      <c r="O9372" s="0" t="n">
        <v>61</v>
      </c>
      <c r="P9372" s="0" t="s">
        <v>2444</v>
      </c>
    </row>
    <row r="9373" customFormat="false" ht="12.75" hidden="false" customHeight="true" outlineLevel="0" collapsed="false">
      <c r="A9373" s="0" t="n">
        <v>2</v>
      </c>
      <c r="B9373" s="71" t="n">
        <v>46290</v>
      </c>
      <c r="C9373" s="0" t="n">
        <v>11</v>
      </c>
      <c r="D9373" s="0" t="s">
        <v>2471</v>
      </c>
      <c r="E9373" s="0" t="n">
        <v>1609</v>
      </c>
      <c r="F9373" s="0" t="s">
        <v>84</v>
      </c>
      <c r="I9373" s="0" t="n">
        <v>6165</v>
      </c>
      <c r="J9373" s="0" t="n">
        <v>18385</v>
      </c>
      <c r="K9373" s="0" t="n">
        <v>7896878801220</v>
      </c>
      <c r="L9373" s="0" t="s">
        <v>2613</v>
      </c>
      <c r="N9373" s="0" t="n">
        <v>9</v>
      </c>
      <c r="O9373" s="0" t="n">
        <v>70.65</v>
      </c>
      <c r="P9373" s="0" t="s">
        <v>2444</v>
      </c>
    </row>
    <row r="9374" customFormat="false" ht="12.75" hidden="false" customHeight="true" outlineLevel="0" collapsed="false">
      <c r="A9374" s="0" t="n">
        <v>2</v>
      </c>
      <c r="B9374" s="71" t="n">
        <v>46290</v>
      </c>
      <c r="C9374" s="0" t="n">
        <v>11</v>
      </c>
      <c r="D9374" s="0" t="s">
        <v>2471</v>
      </c>
      <c r="E9374" s="0" t="n">
        <v>1609</v>
      </c>
      <c r="F9374" s="0" t="s">
        <v>84</v>
      </c>
      <c r="I9374" s="0" t="n">
        <v>6165</v>
      </c>
      <c r="J9374" s="0" t="n">
        <v>18775</v>
      </c>
      <c r="K9374" s="0" t="n">
        <v>7896878801237</v>
      </c>
      <c r="L9374" s="0" t="s">
        <v>2614</v>
      </c>
      <c r="N9374" s="0" t="n">
        <v>20</v>
      </c>
      <c r="O9374" s="0" t="n">
        <v>68</v>
      </c>
      <c r="P9374" s="0" t="s">
        <v>2444</v>
      </c>
    </row>
    <row r="9375" customFormat="false" ht="12.75" hidden="false" customHeight="true" outlineLevel="0" collapsed="false">
      <c r="A9375" s="0" t="n">
        <v>2</v>
      </c>
      <c r="B9375" s="71" t="n">
        <v>46290</v>
      </c>
      <c r="C9375" s="0" t="n">
        <v>11</v>
      </c>
      <c r="D9375" s="0" t="s">
        <v>2471</v>
      </c>
      <c r="E9375" s="0" t="n">
        <v>1609</v>
      </c>
      <c r="F9375" s="0" t="s">
        <v>84</v>
      </c>
      <c r="I9375" s="0" t="n">
        <v>6165</v>
      </c>
      <c r="J9375" s="0" t="n">
        <v>18968</v>
      </c>
      <c r="K9375" s="0" t="n">
        <v>7896878801244</v>
      </c>
      <c r="L9375" s="0" t="s">
        <v>2616</v>
      </c>
      <c r="N9375" s="0" t="n">
        <v>20</v>
      </c>
      <c r="O9375" s="0" t="n">
        <v>68</v>
      </c>
      <c r="P9375" s="0" t="s">
        <v>2444</v>
      </c>
    </row>
    <row r="9376" customFormat="false" ht="12.75" hidden="false" customHeight="true" outlineLevel="0" collapsed="false">
      <c r="A9376" s="0" t="n">
        <v>2</v>
      </c>
      <c r="B9376" s="71" t="n">
        <v>46290</v>
      </c>
      <c r="C9376" s="0" t="n">
        <v>11</v>
      </c>
      <c r="D9376" s="0" t="s">
        <v>2471</v>
      </c>
      <c r="E9376" s="0" t="n">
        <v>1609</v>
      </c>
      <c r="F9376" s="0" t="s">
        <v>84</v>
      </c>
      <c r="I9376" s="0" t="n">
        <v>6165</v>
      </c>
      <c r="J9376" s="0" t="n">
        <v>41614</v>
      </c>
      <c r="K9376" s="0" t="n">
        <v>7896878801213</v>
      </c>
      <c r="L9376" s="0" t="s">
        <v>2622</v>
      </c>
      <c r="N9376" s="0" t="n">
        <v>20</v>
      </c>
      <c r="O9376" s="0" t="n">
        <v>81</v>
      </c>
      <c r="P9376" s="0" t="s">
        <v>2444</v>
      </c>
    </row>
    <row r="9377" customFormat="false" ht="12.75" hidden="false" customHeight="true" outlineLevel="0" collapsed="false">
      <c r="A9377" s="0" t="n">
        <v>2</v>
      </c>
      <c r="B9377" s="71" t="n">
        <v>46290</v>
      </c>
      <c r="C9377" s="0" t="n">
        <v>11</v>
      </c>
      <c r="D9377" s="0" t="s">
        <v>2471</v>
      </c>
      <c r="E9377" s="0" t="n">
        <v>1695</v>
      </c>
      <c r="F9377" s="0" t="s">
        <v>390</v>
      </c>
      <c r="I9377" s="0" t="n">
        <v>20716</v>
      </c>
      <c r="J9377" s="0" t="n">
        <v>101262</v>
      </c>
      <c r="K9377" s="0" t="n">
        <v>7896179500013</v>
      </c>
      <c r="L9377" s="0" t="s">
        <v>2627</v>
      </c>
      <c r="N9377" s="0" t="n">
        <v>60</v>
      </c>
      <c r="O9377" s="0" t="n">
        <v>217.8</v>
      </c>
      <c r="P9377" s="0" t="s">
        <v>2444</v>
      </c>
    </row>
    <row r="9378" customFormat="false" ht="12.75" hidden="false" customHeight="true" outlineLevel="0" collapsed="false">
      <c r="A9378" s="0" t="n">
        <v>2</v>
      </c>
      <c r="B9378" s="71" t="n">
        <v>46290</v>
      </c>
      <c r="C9378" s="0" t="n">
        <v>11</v>
      </c>
      <c r="D9378" s="0" t="s">
        <v>2471</v>
      </c>
      <c r="E9378" s="0" t="n">
        <v>1695</v>
      </c>
      <c r="F9378" s="0" t="s">
        <v>390</v>
      </c>
      <c r="I9378" s="0" t="n">
        <v>20716</v>
      </c>
      <c r="J9378" s="0" t="n">
        <v>104029</v>
      </c>
      <c r="K9378" s="0" t="n">
        <v>7896045512317</v>
      </c>
      <c r="L9378" s="0" t="s">
        <v>3256</v>
      </c>
      <c r="N9378" s="0" t="n">
        <v>240</v>
      </c>
      <c r="O9378" s="0" t="n">
        <v>700.8</v>
      </c>
      <c r="P9378" s="0" t="s">
        <v>2444</v>
      </c>
    </row>
    <row r="9379" customFormat="false" ht="12.75" hidden="false" customHeight="true" outlineLevel="0" collapsed="false">
      <c r="A9379" s="0" t="n">
        <v>2</v>
      </c>
      <c r="B9379" s="71" t="n">
        <v>46290</v>
      </c>
      <c r="C9379" s="0" t="n">
        <v>11</v>
      </c>
      <c r="D9379" s="0" t="s">
        <v>2471</v>
      </c>
      <c r="E9379" s="0" t="n">
        <v>1695</v>
      </c>
      <c r="F9379" s="0" t="s">
        <v>390</v>
      </c>
      <c r="I9379" s="0" t="n">
        <v>20716</v>
      </c>
      <c r="J9379" s="0" t="n">
        <v>12541</v>
      </c>
      <c r="K9379" s="0" t="n">
        <v>7896180782392</v>
      </c>
      <c r="L9379" s="0" t="s">
        <v>3977</v>
      </c>
      <c r="N9379" s="0" t="n">
        <v>24</v>
      </c>
      <c r="O9379" s="0" t="n">
        <v>88.32</v>
      </c>
      <c r="P9379" s="0" t="s">
        <v>2444</v>
      </c>
    </row>
    <row r="9380" customFormat="false" ht="12.75" hidden="false" customHeight="true" outlineLevel="0" collapsed="false">
      <c r="A9380" s="0" t="n">
        <v>2</v>
      </c>
      <c r="B9380" s="71" t="n">
        <v>46290</v>
      </c>
      <c r="C9380" s="0" t="n">
        <v>11</v>
      </c>
      <c r="D9380" s="0" t="s">
        <v>2471</v>
      </c>
      <c r="E9380" s="0" t="n">
        <v>1695</v>
      </c>
      <c r="F9380" s="0" t="s">
        <v>390</v>
      </c>
      <c r="I9380" s="0" t="n">
        <v>20716</v>
      </c>
      <c r="J9380" s="0" t="n">
        <v>14767</v>
      </c>
      <c r="K9380" s="0" t="n">
        <v>7896036095096</v>
      </c>
      <c r="L9380" s="0" t="s">
        <v>3278</v>
      </c>
      <c r="N9380" s="0" t="n">
        <v>54</v>
      </c>
      <c r="O9380" s="0" t="n">
        <v>146.34</v>
      </c>
      <c r="P9380" s="0" t="s">
        <v>2444</v>
      </c>
    </row>
    <row r="9381" customFormat="false" ht="12.75" hidden="false" customHeight="true" outlineLevel="0" collapsed="false">
      <c r="A9381" s="0" t="n">
        <v>2</v>
      </c>
      <c r="B9381" s="71" t="n">
        <v>46290</v>
      </c>
      <c r="C9381" s="0" t="n">
        <v>11</v>
      </c>
      <c r="D9381" s="0" t="s">
        <v>2471</v>
      </c>
      <c r="E9381" s="0" t="n">
        <v>1695</v>
      </c>
      <c r="F9381" s="0" t="s">
        <v>390</v>
      </c>
      <c r="I9381" s="0" t="n">
        <v>20716</v>
      </c>
      <c r="J9381" s="0" t="n">
        <v>14874</v>
      </c>
      <c r="K9381" s="0" t="n">
        <v>7896036095102</v>
      </c>
      <c r="L9381" s="0" t="s">
        <v>3279</v>
      </c>
      <c r="N9381" s="0" t="n">
        <v>24</v>
      </c>
      <c r="O9381" s="0" t="n">
        <v>113.52</v>
      </c>
      <c r="P9381" s="0" t="s">
        <v>2444</v>
      </c>
    </row>
    <row r="9382" customFormat="false" ht="12.75" hidden="false" customHeight="true" outlineLevel="0" collapsed="false">
      <c r="A9382" s="0" t="n">
        <v>2</v>
      </c>
      <c r="B9382" s="71" t="n">
        <v>46290</v>
      </c>
      <c r="C9382" s="0" t="n">
        <v>11</v>
      </c>
      <c r="D9382" s="0" t="s">
        <v>2471</v>
      </c>
      <c r="E9382" s="0" t="n">
        <v>1695</v>
      </c>
      <c r="F9382" s="0" t="s">
        <v>390</v>
      </c>
      <c r="I9382" s="0" t="n">
        <v>20716</v>
      </c>
      <c r="J9382" s="0" t="n">
        <v>27241</v>
      </c>
      <c r="K9382" s="0" t="n">
        <v>7898910758639</v>
      </c>
      <c r="L9382" s="0" t="s">
        <v>3463</v>
      </c>
      <c r="N9382" s="0" t="n">
        <v>30</v>
      </c>
      <c r="O9382" s="0" t="n">
        <v>294.9</v>
      </c>
      <c r="P9382" s="0" t="s">
        <v>2444</v>
      </c>
    </row>
    <row r="9383" customFormat="false" ht="12.75" hidden="false" customHeight="true" outlineLevel="0" collapsed="false">
      <c r="A9383" s="0" t="n">
        <v>2</v>
      </c>
      <c r="B9383" s="71" t="n">
        <v>46290</v>
      </c>
      <c r="C9383" s="0" t="n">
        <v>11</v>
      </c>
      <c r="D9383" s="0" t="s">
        <v>2471</v>
      </c>
      <c r="E9383" s="0" t="n">
        <v>1695</v>
      </c>
      <c r="F9383" s="0" t="s">
        <v>390</v>
      </c>
      <c r="I9383" s="0" t="n">
        <v>20716</v>
      </c>
      <c r="J9383" s="0" t="n">
        <v>27242</v>
      </c>
      <c r="K9383" s="0" t="n">
        <v>7898910758622</v>
      </c>
      <c r="L9383" s="0" t="s">
        <v>3464</v>
      </c>
      <c r="N9383" s="0" t="n">
        <v>30</v>
      </c>
      <c r="O9383" s="0" t="n">
        <v>294.9</v>
      </c>
      <c r="P9383" s="0" t="s">
        <v>2444</v>
      </c>
    </row>
    <row r="9384" customFormat="false" ht="12.75" hidden="false" customHeight="true" outlineLevel="0" collapsed="false">
      <c r="A9384" s="0" t="n">
        <v>2</v>
      </c>
      <c r="B9384" s="71" t="n">
        <v>46290</v>
      </c>
      <c r="C9384" s="0" t="n">
        <v>11</v>
      </c>
      <c r="D9384" s="0" t="s">
        <v>2471</v>
      </c>
      <c r="E9384" s="0" t="n">
        <v>1695</v>
      </c>
      <c r="F9384" s="0" t="s">
        <v>390</v>
      </c>
      <c r="I9384" s="0" t="n">
        <v>20716</v>
      </c>
      <c r="J9384" s="0" t="n">
        <v>29846</v>
      </c>
      <c r="K9384" s="0" t="n">
        <v>7891097102059</v>
      </c>
      <c r="L9384" s="0" t="s">
        <v>2633</v>
      </c>
      <c r="N9384" s="0" t="n">
        <v>50</v>
      </c>
      <c r="O9384" s="0" t="n">
        <v>618</v>
      </c>
      <c r="P9384" s="0" t="s">
        <v>2444</v>
      </c>
    </row>
    <row r="9385" customFormat="false" ht="12.75" hidden="false" customHeight="true" outlineLevel="0" collapsed="false">
      <c r="A9385" s="0" t="n">
        <v>2</v>
      </c>
      <c r="B9385" s="71" t="n">
        <v>46290</v>
      </c>
      <c r="C9385" s="0" t="n">
        <v>11</v>
      </c>
      <c r="D9385" s="0" t="s">
        <v>2471</v>
      </c>
      <c r="E9385" s="0" t="n">
        <v>1695</v>
      </c>
      <c r="F9385" s="0" t="s">
        <v>390</v>
      </c>
      <c r="I9385" s="0" t="n">
        <v>20716</v>
      </c>
      <c r="J9385" s="0" t="n">
        <v>30035</v>
      </c>
      <c r="K9385" s="0" t="n">
        <v>7891097101489</v>
      </c>
      <c r="L9385" s="0" t="s">
        <v>2634</v>
      </c>
      <c r="N9385" s="0" t="n">
        <v>160</v>
      </c>
      <c r="O9385" s="0" t="n">
        <v>660.8</v>
      </c>
      <c r="P9385" s="0" t="s">
        <v>2444</v>
      </c>
    </row>
    <row r="9386" customFormat="false" ht="12.75" hidden="false" customHeight="true" outlineLevel="0" collapsed="false">
      <c r="A9386" s="0" t="n">
        <v>2</v>
      </c>
      <c r="B9386" s="71" t="n">
        <v>46290</v>
      </c>
      <c r="C9386" s="0" t="n">
        <v>11</v>
      </c>
      <c r="D9386" s="0" t="s">
        <v>2471</v>
      </c>
      <c r="E9386" s="0" t="n">
        <v>1695</v>
      </c>
      <c r="F9386" s="0" t="s">
        <v>390</v>
      </c>
      <c r="I9386" s="0" t="n">
        <v>20716</v>
      </c>
      <c r="J9386" s="0" t="n">
        <v>37279</v>
      </c>
      <c r="K9386" s="0" t="n">
        <v>7894900027013</v>
      </c>
      <c r="L9386" s="0" t="s">
        <v>2575</v>
      </c>
      <c r="N9386" s="0" t="n">
        <v>90</v>
      </c>
      <c r="O9386" s="0" t="n">
        <v>906.3</v>
      </c>
      <c r="P9386" s="0" t="s">
        <v>2444</v>
      </c>
    </row>
    <row r="9387" customFormat="false" ht="12.75" hidden="false" customHeight="true" outlineLevel="0" collapsed="false">
      <c r="A9387" s="0" t="n">
        <v>2</v>
      </c>
      <c r="B9387" s="71" t="n">
        <v>46290</v>
      </c>
      <c r="C9387" s="0" t="n">
        <v>11</v>
      </c>
      <c r="D9387" s="0" t="s">
        <v>2471</v>
      </c>
      <c r="E9387" s="0" t="n">
        <v>1697</v>
      </c>
      <c r="F9387" s="0" t="s">
        <v>787</v>
      </c>
      <c r="I9387" s="0" t="n">
        <v>213686</v>
      </c>
      <c r="J9387" s="0" t="n">
        <v>14127</v>
      </c>
      <c r="K9387" s="0" t="n">
        <v>7898080640635</v>
      </c>
      <c r="L9387" s="0" t="s">
        <v>3483</v>
      </c>
      <c r="N9387" s="0" t="n">
        <v>12</v>
      </c>
      <c r="O9387" s="0" t="n">
        <v>84.72</v>
      </c>
      <c r="P9387" s="0" t="s">
        <v>2444</v>
      </c>
    </row>
    <row r="9388" customFormat="false" ht="12.75" hidden="false" customHeight="true" outlineLevel="0" collapsed="false">
      <c r="A9388" s="0" t="n">
        <v>2</v>
      </c>
      <c r="B9388" s="71" t="n">
        <v>46290</v>
      </c>
      <c r="C9388" s="0" t="n">
        <v>11</v>
      </c>
      <c r="D9388" s="0" t="s">
        <v>2471</v>
      </c>
      <c r="E9388" s="0" t="n">
        <v>1697</v>
      </c>
      <c r="F9388" s="0" t="s">
        <v>787</v>
      </c>
      <c r="I9388" s="0" t="n">
        <v>213686</v>
      </c>
      <c r="J9388" s="0" t="n">
        <v>14128</v>
      </c>
      <c r="K9388" s="0" t="n">
        <v>7898080640611</v>
      </c>
      <c r="L9388" s="0" t="s">
        <v>3460</v>
      </c>
      <c r="N9388" s="0" t="n">
        <v>240</v>
      </c>
      <c r="O9388" s="0" t="n">
        <v>1681.78</v>
      </c>
      <c r="P9388" s="0" t="s">
        <v>2444</v>
      </c>
    </row>
    <row r="9389" customFormat="false" ht="12.75" hidden="false" customHeight="true" outlineLevel="0" collapsed="false">
      <c r="A9389" s="0" t="n">
        <v>2</v>
      </c>
      <c r="B9389" s="71" t="n">
        <v>46290</v>
      </c>
      <c r="C9389" s="0" t="n">
        <v>11</v>
      </c>
      <c r="D9389" s="0" t="s">
        <v>2471</v>
      </c>
      <c r="E9389" s="0" t="n">
        <v>1705</v>
      </c>
      <c r="F9389" s="0" t="s">
        <v>130</v>
      </c>
      <c r="I9389" s="0" t="n">
        <v>1301295</v>
      </c>
      <c r="J9389" s="0" t="n">
        <v>24324</v>
      </c>
      <c r="K9389" s="0" t="n">
        <v>70847022015</v>
      </c>
      <c r="L9389" s="0" t="s">
        <v>2462</v>
      </c>
      <c r="N9389" s="0" t="n">
        <v>60</v>
      </c>
      <c r="O9389" s="0" t="n">
        <v>508.55</v>
      </c>
      <c r="P9389" s="0" t="s">
        <v>2444</v>
      </c>
    </row>
    <row r="9390" customFormat="false" ht="12.75" hidden="false" customHeight="true" outlineLevel="0" collapsed="false">
      <c r="A9390" s="0" t="n">
        <v>2</v>
      </c>
      <c r="B9390" s="71" t="n">
        <v>46290</v>
      </c>
      <c r="C9390" s="0" t="n">
        <v>11</v>
      </c>
      <c r="D9390" s="0" t="s">
        <v>2471</v>
      </c>
      <c r="E9390" s="0" t="n">
        <v>1705</v>
      </c>
      <c r="F9390" s="0" t="s">
        <v>130</v>
      </c>
      <c r="I9390" s="0" t="n">
        <v>1301295</v>
      </c>
      <c r="J9390" s="0" t="n">
        <v>77914</v>
      </c>
      <c r="K9390" s="0" t="n">
        <v>7894900530001</v>
      </c>
      <c r="L9390" s="0" t="s">
        <v>3257</v>
      </c>
      <c r="N9390" s="0" t="n">
        <v>24</v>
      </c>
      <c r="O9390" s="0" t="n">
        <v>30.28</v>
      </c>
      <c r="P9390" s="0" t="s">
        <v>2444</v>
      </c>
    </row>
    <row r="9391" customFormat="false" ht="12.75" hidden="false" customHeight="true" outlineLevel="0" collapsed="false">
      <c r="A9391" s="0" t="n">
        <v>2</v>
      </c>
      <c r="B9391" s="71" t="n">
        <v>46290</v>
      </c>
      <c r="C9391" s="0" t="n">
        <v>11</v>
      </c>
      <c r="D9391" s="0" t="s">
        <v>2471</v>
      </c>
      <c r="E9391" s="0" t="n">
        <v>1613</v>
      </c>
      <c r="F9391" s="0" t="s">
        <v>50</v>
      </c>
      <c r="I9391" s="0" t="n">
        <v>1634890</v>
      </c>
      <c r="J9391" s="0" t="n">
        <v>102407</v>
      </c>
      <c r="K9391" s="0" t="n">
        <v>7893000394117</v>
      </c>
      <c r="L9391" s="0" t="s">
        <v>3758</v>
      </c>
      <c r="N9391" s="0" t="n">
        <v>24</v>
      </c>
      <c r="O9391" s="0" t="n">
        <v>120.06</v>
      </c>
      <c r="P9391" s="0" t="s">
        <v>2444</v>
      </c>
    </row>
    <row r="9392" customFormat="false" ht="12.75" hidden="false" customHeight="true" outlineLevel="0" collapsed="false">
      <c r="A9392" s="0" t="n">
        <v>2</v>
      </c>
      <c r="B9392" s="71" t="n">
        <v>46290</v>
      </c>
      <c r="C9392" s="0" t="n">
        <v>11</v>
      </c>
      <c r="D9392" s="0" t="s">
        <v>2471</v>
      </c>
      <c r="E9392" s="0" t="n">
        <v>1613</v>
      </c>
      <c r="F9392" s="0" t="s">
        <v>50</v>
      </c>
      <c r="I9392" s="0" t="n">
        <v>1634890</v>
      </c>
      <c r="J9392" s="0" t="n">
        <v>105663</v>
      </c>
      <c r="K9392" s="0" t="n">
        <v>7893000980006</v>
      </c>
      <c r="L9392" s="0" t="s">
        <v>3760</v>
      </c>
      <c r="N9392" s="0" t="n">
        <v>12</v>
      </c>
      <c r="O9392" s="0" t="n">
        <v>81.84</v>
      </c>
      <c r="P9392" s="0" t="s">
        <v>2444</v>
      </c>
    </row>
    <row r="9393" customFormat="false" ht="12.75" hidden="false" customHeight="true" outlineLevel="0" collapsed="false">
      <c r="A9393" s="0" t="n">
        <v>2</v>
      </c>
      <c r="B9393" s="71" t="n">
        <v>46290</v>
      </c>
      <c r="C9393" s="0" t="n">
        <v>11</v>
      </c>
      <c r="D9393" s="0" t="s">
        <v>2471</v>
      </c>
      <c r="E9393" s="0" t="n">
        <v>1613</v>
      </c>
      <c r="F9393" s="0" t="s">
        <v>50</v>
      </c>
      <c r="I9393" s="0" t="n">
        <v>1634890</v>
      </c>
      <c r="J9393" s="0" t="n">
        <v>108591</v>
      </c>
      <c r="K9393" s="0" t="n">
        <v>8461</v>
      </c>
      <c r="L9393" s="0" t="s">
        <v>2974</v>
      </c>
      <c r="N9393" s="0" t="n">
        <v>15</v>
      </c>
      <c r="O9393" s="0" t="n">
        <v>209.25</v>
      </c>
      <c r="P9393" s="0" t="s">
        <v>2444</v>
      </c>
    </row>
    <row r="9394" customFormat="false" ht="12.75" hidden="false" customHeight="true" outlineLevel="0" collapsed="false">
      <c r="A9394" s="0" t="n">
        <v>2</v>
      </c>
      <c r="B9394" s="71" t="n">
        <v>46290</v>
      </c>
      <c r="C9394" s="0" t="n">
        <v>11</v>
      </c>
      <c r="D9394" s="0" t="s">
        <v>2471</v>
      </c>
      <c r="E9394" s="0" t="n">
        <v>1613</v>
      </c>
      <c r="F9394" s="0" t="s">
        <v>50</v>
      </c>
      <c r="I9394" s="0" t="n">
        <v>1634890</v>
      </c>
      <c r="J9394" s="0" t="n">
        <v>19546</v>
      </c>
      <c r="K9394" s="0" t="n">
        <v>7893000079311</v>
      </c>
      <c r="L9394" s="0" t="s">
        <v>2977</v>
      </c>
      <c r="N9394" s="0" t="n">
        <v>6</v>
      </c>
      <c r="O9394" s="0" t="n">
        <v>70.02</v>
      </c>
      <c r="P9394" s="0" t="s">
        <v>2444</v>
      </c>
    </row>
    <row r="9395" customFormat="false" ht="12.75" hidden="false" customHeight="true" outlineLevel="0" collapsed="false">
      <c r="A9395" s="0" t="n">
        <v>2</v>
      </c>
      <c r="B9395" s="71" t="n">
        <v>46290</v>
      </c>
      <c r="C9395" s="0" t="n">
        <v>11</v>
      </c>
      <c r="D9395" s="0" t="s">
        <v>2471</v>
      </c>
      <c r="E9395" s="0" t="n">
        <v>1613</v>
      </c>
      <c r="F9395" s="0" t="s">
        <v>50</v>
      </c>
      <c r="I9395" s="0" t="n">
        <v>1634890</v>
      </c>
      <c r="J9395" s="0" t="n">
        <v>110181</v>
      </c>
      <c r="K9395" s="0" t="n">
        <v>37389</v>
      </c>
      <c r="L9395" s="0" t="s">
        <v>2981</v>
      </c>
      <c r="N9395" s="0" t="n">
        <v>15</v>
      </c>
      <c r="O9395" s="0" t="n">
        <v>161.41</v>
      </c>
      <c r="P9395" s="0" t="s">
        <v>2444</v>
      </c>
    </row>
    <row r="9396" customFormat="false" ht="12.75" hidden="false" customHeight="true" outlineLevel="0" collapsed="false">
      <c r="A9396" s="0" t="n">
        <v>2</v>
      </c>
      <c r="B9396" s="71" t="n">
        <v>46290</v>
      </c>
      <c r="C9396" s="0" t="n">
        <v>11</v>
      </c>
      <c r="D9396" s="0" t="s">
        <v>2471</v>
      </c>
      <c r="E9396" s="0" t="n">
        <v>1608</v>
      </c>
      <c r="F9396" s="0" t="s">
        <v>240</v>
      </c>
      <c r="I9396" s="0" t="n">
        <v>1736722</v>
      </c>
      <c r="J9396" s="0" t="n">
        <v>50232</v>
      </c>
      <c r="K9396" s="0" t="n">
        <v>7891025123057</v>
      </c>
      <c r="L9396" s="0" t="s">
        <v>2639</v>
      </c>
      <c r="N9396" s="0" t="n">
        <v>4</v>
      </c>
      <c r="O9396" s="0" t="n">
        <v>10.52</v>
      </c>
      <c r="P9396" s="0" t="s">
        <v>2444</v>
      </c>
    </row>
    <row r="9397" customFormat="false" ht="12.75" hidden="false" customHeight="true" outlineLevel="0" collapsed="false">
      <c r="A9397" s="0" t="n">
        <v>2</v>
      </c>
      <c r="B9397" s="71" t="n">
        <v>46290</v>
      </c>
      <c r="C9397" s="0" t="n">
        <v>11</v>
      </c>
      <c r="D9397" s="0" t="s">
        <v>2471</v>
      </c>
      <c r="E9397" s="0" t="n">
        <v>1608</v>
      </c>
      <c r="F9397" s="0" t="s">
        <v>240</v>
      </c>
      <c r="I9397" s="0" t="n">
        <v>1736722</v>
      </c>
      <c r="J9397" s="0" t="n">
        <v>18949</v>
      </c>
      <c r="K9397" s="0" t="n">
        <v>7891025699880</v>
      </c>
      <c r="L9397" s="0" t="s">
        <v>2640</v>
      </c>
      <c r="N9397" s="0" t="n">
        <v>6</v>
      </c>
      <c r="O9397" s="0" t="n">
        <v>50.64</v>
      </c>
      <c r="P9397" s="0" t="s">
        <v>2444</v>
      </c>
    </row>
    <row r="9398" customFormat="false" ht="12.75" hidden="false" customHeight="true" outlineLevel="0" collapsed="false">
      <c r="A9398" s="0" t="n">
        <v>2</v>
      </c>
      <c r="B9398" s="71" t="n">
        <v>46290</v>
      </c>
      <c r="C9398" s="0" t="n">
        <v>11</v>
      </c>
      <c r="D9398" s="0" t="s">
        <v>2471</v>
      </c>
      <c r="E9398" s="0" t="n">
        <v>1608</v>
      </c>
      <c r="F9398" s="0" t="s">
        <v>240</v>
      </c>
      <c r="I9398" s="0" t="n">
        <v>1736722</v>
      </c>
      <c r="J9398" s="0" t="n">
        <v>24124</v>
      </c>
      <c r="K9398" s="0" t="n">
        <v>7891025109419</v>
      </c>
      <c r="L9398" s="0" t="s">
        <v>2644</v>
      </c>
      <c r="N9398" s="0" t="n">
        <v>6</v>
      </c>
      <c r="O9398" s="0" t="n">
        <v>20.16</v>
      </c>
      <c r="P9398" s="0" t="s">
        <v>2444</v>
      </c>
    </row>
    <row r="9399" customFormat="false" ht="12.75" hidden="false" customHeight="true" outlineLevel="0" collapsed="false">
      <c r="A9399" s="0" t="n">
        <v>2</v>
      </c>
      <c r="B9399" s="71" t="n">
        <v>46290</v>
      </c>
      <c r="C9399" s="0" t="n">
        <v>11</v>
      </c>
      <c r="D9399" s="0" t="s">
        <v>2471</v>
      </c>
      <c r="E9399" s="0" t="n">
        <v>1608</v>
      </c>
      <c r="F9399" s="0" t="s">
        <v>240</v>
      </c>
      <c r="I9399" s="0" t="n">
        <v>1736722</v>
      </c>
      <c r="J9399" s="0" t="n">
        <v>28462</v>
      </c>
      <c r="K9399" s="0" t="n">
        <v>7891025121626</v>
      </c>
      <c r="L9399" s="0" t="s">
        <v>2985</v>
      </c>
      <c r="N9399" s="0" t="n">
        <v>4</v>
      </c>
      <c r="O9399" s="0" t="n">
        <v>30.04</v>
      </c>
      <c r="P9399" s="0" t="s">
        <v>2444</v>
      </c>
    </row>
    <row r="9400" customFormat="false" ht="12.75" hidden="false" customHeight="true" outlineLevel="0" collapsed="false">
      <c r="A9400" s="0" t="n">
        <v>2</v>
      </c>
      <c r="B9400" s="71" t="n">
        <v>46290</v>
      </c>
      <c r="C9400" s="0" t="n">
        <v>11</v>
      </c>
      <c r="D9400" s="0" t="s">
        <v>2471</v>
      </c>
      <c r="E9400" s="0" t="n">
        <v>1608</v>
      </c>
      <c r="F9400" s="0" t="s">
        <v>240</v>
      </c>
      <c r="I9400" s="0" t="n">
        <v>1736722</v>
      </c>
      <c r="J9400" s="0" t="n">
        <v>28705</v>
      </c>
      <c r="K9400" s="0" t="n">
        <v>7891025121633</v>
      </c>
      <c r="L9400" s="0" t="s">
        <v>2648</v>
      </c>
      <c r="N9400" s="0" t="n">
        <v>4</v>
      </c>
      <c r="O9400" s="0" t="n">
        <v>30.04</v>
      </c>
      <c r="P9400" s="0" t="s">
        <v>2444</v>
      </c>
    </row>
    <row r="9401" customFormat="false" ht="12.75" hidden="false" customHeight="true" outlineLevel="0" collapsed="false">
      <c r="A9401" s="0" t="n">
        <v>2</v>
      </c>
      <c r="B9401" s="71" t="n">
        <v>46290</v>
      </c>
      <c r="C9401" s="0" t="n">
        <v>11</v>
      </c>
      <c r="D9401" s="0" t="s">
        <v>2471</v>
      </c>
      <c r="E9401" s="0" t="n">
        <v>1608</v>
      </c>
      <c r="F9401" s="0" t="s">
        <v>240</v>
      </c>
      <c r="I9401" s="0" t="n">
        <v>1736722</v>
      </c>
      <c r="J9401" s="0" t="n">
        <v>29446</v>
      </c>
      <c r="K9401" s="0" t="n">
        <v>7891025116790</v>
      </c>
      <c r="L9401" s="0" t="s">
        <v>4623</v>
      </c>
      <c r="N9401" s="0" t="n">
        <v>3</v>
      </c>
      <c r="O9401" s="0" t="n">
        <v>25.32</v>
      </c>
      <c r="P9401" s="0" t="s">
        <v>2444</v>
      </c>
    </row>
    <row r="9402" customFormat="false" ht="12.75" hidden="false" customHeight="true" outlineLevel="0" collapsed="false">
      <c r="A9402" s="0" t="n">
        <v>2</v>
      </c>
      <c r="B9402" s="71" t="n">
        <v>46290</v>
      </c>
      <c r="C9402" s="0" t="n">
        <v>11</v>
      </c>
      <c r="D9402" s="0" t="s">
        <v>2471</v>
      </c>
      <c r="E9402" s="0" t="n">
        <v>1608</v>
      </c>
      <c r="F9402" s="0" t="s">
        <v>240</v>
      </c>
      <c r="I9402" s="0" t="n">
        <v>1736722</v>
      </c>
      <c r="J9402" s="0" t="n">
        <v>32614</v>
      </c>
      <c r="K9402" s="0" t="n">
        <v>7891025119456</v>
      </c>
      <c r="L9402" s="0" t="s">
        <v>2650</v>
      </c>
      <c r="N9402" s="0" t="n">
        <v>12</v>
      </c>
      <c r="O9402" s="0" t="n">
        <v>37.68</v>
      </c>
      <c r="P9402" s="0" t="s">
        <v>2444</v>
      </c>
    </row>
    <row r="9403" customFormat="false" ht="12.75" hidden="false" customHeight="true" outlineLevel="0" collapsed="false">
      <c r="A9403" s="0" t="n">
        <v>2</v>
      </c>
      <c r="B9403" s="71" t="n">
        <v>46290</v>
      </c>
      <c r="C9403" s="0" t="n">
        <v>11</v>
      </c>
      <c r="D9403" s="0" t="s">
        <v>2471</v>
      </c>
      <c r="E9403" s="0" t="n">
        <v>1608</v>
      </c>
      <c r="F9403" s="0" t="s">
        <v>240</v>
      </c>
      <c r="I9403" s="0" t="n">
        <v>1736722</v>
      </c>
      <c r="J9403" s="0" t="n">
        <v>37980</v>
      </c>
      <c r="K9403" s="0" t="n">
        <v>7891025121640</v>
      </c>
      <c r="L9403" s="0" t="s">
        <v>2989</v>
      </c>
      <c r="N9403" s="0" t="n">
        <v>4</v>
      </c>
      <c r="O9403" s="0" t="n">
        <v>29.44</v>
      </c>
      <c r="P9403" s="0" t="s">
        <v>2444</v>
      </c>
    </row>
    <row r="9404" customFormat="false" ht="12.75" hidden="false" customHeight="true" outlineLevel="0" collapsed="false">
      <c r="A9404" s="0" t="n">
        <v>2</v>
      </c>
      <c r="B9404" s="71" t="n">
        <v>46290</v>
      </c>
      <c r="C9404" s="0" t="n">
        <v>11</v>
      </c>
      <c r="D9404" s="0" t="s">
        <v>2471</v>
      </c>
      <c r="E9404" s="0" t="n">
        <v>1608</v>
      </c>
      <c r="F9404" s="0" t="s">
        <v>240</v>
      </c>
      <c r="I9404" s="0" t="n">
        <v>1736722</v>
      </c>
      <c r="J9404" s="0" t="n">
        <v>38268</v>
      </c>
      <c r="K9404" s="0" t="n">
        <v>7899916904716</v>
      </c>
      <c r="L9404" s="0" t="s">
        <v>5608</v>
      </c>
      <c r="N9404" s="0" t="n">
        <v>3</v>
      </c>
      <c r="O9404" s="0" t="n">
        <v>17.79</v>
      </c>
      <c r="P9404" s="0" t="s">
        <v>2444</v>
      </c>
    </row>
    <row r="9405" customFormat="false" ht="12.75" hidden="false" customHeight="true" outlineLevel="0" collapsed="false">
      <c r="A9405" s="0" t="n">
        <v>2</v>
      </c>
      <c r="B9405" s="71" t="n">
        <v>46290</v>
      </c>
      <c r="C9405" s="0" t="n">
        <v>11</v>
      </c>
      <c r="D9405" s="0" t="s">
        <v>2471</v>
      </c>
      <c r="E9405" s="0" t="n">
        <v>1608</v>
      </c>
      <c r="F9405" s="0" t="s">
        <v>240</v>
      </c>
      <c r="I9405" s="0" t="n">
        <v>1736722</v>
      </c>
      <c r="J9405" s="0" t="n">
        <v>50664</v>
      </c>
      <c r="K9405" s="0" t="n">
        <v>7891025123064</v>
      </c>
      <c r="L9405" s="0" t="s">
        <v>3881</v>
      </c>
      <c r="N9405" s="0" t="n">
        <v>4</v>
      </c>
      <c r="O9405" s="0" t="n">
        <v>10.52</v>
      </c>
      <c r="P9405" s="0" t="s">
        <v>2444</v>
      </c>
    </row>
    <row r="9406" customFormat="false" ht="12.75" hidden="false" customHeight="true" outlineLevel="0" collapsed="false">
      <c r="A9406" s="0" t="n">
        <v>2</v>
      </c>
      <c r="B9406" s="71" t="n">
        <v>46290</v>
      </c>
      <c r="C9406" s="0" t="n">
        <v>11</v>
      </c>
      <c r="D9406" s="0" t="s">
        <v>2471</v>
      </c>
      <c r="E9406" s="0" t="n">
        <v>1608</v>
      </c>
      <c r="F9406" s="0" t="s">
        <v>240</v>
      </c>
      <c r="I9406" s="0" t="n">
        <v>1736722</v>
      </c>
      <c r="J9406" s="0" t="n">
        <v>50877</v>
      </c>
      <c r="K9406" s="0" t="n">
        <v>7891025123040</v>
      </c>
      <c r="L9406" s="0" t="s">
        <v>2990</v>
      </c>
      <c r="N9406" s="0" t="n">
        <v>4</v>
      </c>
      <c r="O9406" s="0" t="n">
        <v>10.52</v>
      </c>
      <c r="P9406" s="0" t="s">
        <v>2444</v>
      </c>
    </row>
    <row r="9407" customFormat="false" ht="12.75" hidden="false" customHeight="true" outlineLevel="0" collapsed="false">
      <c r="A9407" s="0" t="n">
        <v>2</v>
      </c>
      <c r="B9407" s="71" t="n">
        <v>46290</v>
      </c>
      <c r="C9407" s="0" t="n">
        <v>11</v>
      </c>
      <c r="D9407" s="0" t="s">
        <v>2471</v>
      </c>
      <c r="E9407" s="0" t="n">
        <v>1608</v>
      </c>
      <c r="F9407" s="0" t="s">
        <v>240</v>
      </c>
      <c r="I9407" s="0" t="n">
        <v>1736722</v>
      </c>
      <c r="J9407" s="0" t="n">
        <v>79069</v>
      </c>
      <c r="K9407" s="0" t="n">
        <v>7899916919901</v>
      </c>
      <c r="L9407" s="0" t="s">
        <v>2528</v>
      </c>
      <c r="N9407" s="0" t="n">
        <v>6</v>
      </c>
      <c r="O9407" s="0" t="n">
        <v>46.32</v>
      </c>
      <c r="P9407" s="0" t="s">
        <v>2444</v>
      </c>
    </row>
    <row r="9408" customFormat="false" ht="12.75" hidden="false" customHeight="true" outlineLevel="0" collapsed="false">
      <c r="A9408" s="0" t="n">
        <v>2</v>
      </c>
      <c r="B9408" s="71" t="n">
        <v>46290</v>
      </c>
      <c r="C9408" s="0" t="n">
        <v>11</v>
      </c>
      <c r="D9408" s="0" t="s">
        <v>2471</v>
      </c>
      <c r="E9408" s="0" t="n">
        <v>1705</v>
      </c>
      <c r="F9408" s="0" t="s">
        <v>130</v>
      </c>
      <c r="I9408" s="0" t="n">
        <v>2056092</v>
      </c>
      <c r="J9408" s="0" t="n">
        <v>103142</v>
      </c>
      <c r="K9408" s="0" t="n">
        <v>7894900011753</v>
      </c>
      <c r="L9408" s="0" t="s">
        <v>2581</v>
      </c>
      <c r="N9408" s="0" t="n">
        <v>60</v>
      </c>
      <c r="O9408" s="0" t="n">
        <v>381.56</v>
      </c>
      <c r="P9408" s="0" t="s">
        <v>2444</v>
      </c>
    </row>
    <row r="9409" customFormat="false" ht="12.75" hidden="false" customHeight="true" outlineLevel="0" collapsed="false">
      <c r="A9409" s="0" t="n">
        <v>2</v>
      </c>
      <c r="B9409" s="71" t="n">
        <v>46290</v>
      </c>
      <c r="C9409" s="0" t="n">
        <v>11</v>
      </c>
      <c r="D9409" s="0" t="s">
        <v>2471</v>
      </c>
      <c r="E9409" s="0" t="n">
        <v>1705</v>
      </c>
      <c r="F9409" s="0" t="s">
        <v>130</v>
      </c>
      <c r="I9409" s="0" t="n">
        <v>2056092</v>
      </c>
      <c r="J9409" s="0" t="n">
        <v>103160</v>
      </c>
      <c r="K9409" s="0" t="n">
        <v>7894900030013</v>
      </c>
      <c r="L9409" s="0" t="s">
        <v>2568</v>
      </c>
      <c r="N9409" s="0" t="n">
        <v>12</v>
      </c>
      <c r="O9409" s="0" t="n">
        <v>34.31</v>
      </c>
      <c r="P9409" s="0" t="s">
        <v>2444</v>
      </c>
    </row>
    <row r="9410" customFormat="false" ht="12.75" hidden="false" customHeight="true" outlineLevel="0" collapsed="false">
      <c r="A9410" s="0" t="n">
        <v>2</v>
      </c>
      <c r="B9410" s="71" t="n">
        <v>46290</v>
      </c>
      <c r="C9410" s="0" t="n">
        <v>11</v>
      </c>
      <c r="D9410" s="0" t="s">
        <v>2471</v>
      </c>
      <c r="E9410" s="0" t="n">
        <v>1705</v>
      </c>
      <c r="F9410" s="0" t="s">
        <v>130</v>
      </c>
      <c r="I9410" s="0" t="n">
        <v>2056092</v>
      </c>
      <c r="J9410" s="0" t="n">
        <v>103161</v>
      </c>
      <c r="K9410" s="0" t="n">
        <v>7894900010015</v>
      </c>
      <c r="L9410" s="0" t="s">
        <v>2569</v>
      </c>
      <c r="N9410" s="0" t="n">
        <v>60</v>
      </c>
      <c r="O9410" s="0" t="n">
        <v>192.31</v>
      </c>
      <c r="P9410" s="0" t="s">
        <v>2444</v>
      </c>
    </row>
    <row r="9411" customFormat="false" ht="12.75" hidden="false" customHeight="true" outlineLevel="0" collapsed="false">
      <c r="A9411" s="0" t="n">
        <v>2</v>
      </c>
      <c r="B9411" s="71" t="n">
        <v>46290</v>
      </c>
      <c r="C9411" s="0" t="n">
        <v>11</v>
      </c>
      <c r="D9411" s="0" t="s">
        <v>2471</v>
      </c>
      <c r="E9411" s="0" t="n">
        <v>1705</v>
      </c>
      <c r="F9411" s="0" t="s">
        <v>130</v>
      </c>
      <c r="I9411" s="0" t="n">
        <v>2056092</v>
      </c>
      <c r="J9411" s="0" t="n">
        <v>104472</v>
      </c>
      <c r="K9411" s="0" t="n">
        <v>7897105200038</v>
      </c>
      <c r="L9411" s="0" t="s">
        <v>2657</v>
      </c>
      <c r="N9411" s="0" t="n">
        <v>18</v>
      </c>
      <c r="O9411" s="0" t="n">
        <v>73.99</v>
      </c>
      <c r="P9411" s="0" t="s">
        <v>2444</v>
      </c>
    </row>
    <row r="9412" customFormat="false" ht="12.75" hidden="false" customHeight="true" outlineLevel="0" collapsed="false">
      <c r="A9412" s="0" t="n">
        <v>2</v>
      </c>
      <c r="B9412" s="71" t="n">
        <v>46290</v>
      </c>
      <c r="C9412" s="0" t="n">
        <v>11</v>
      </c>
      <c r="D9412" s="0" t="s">
        <v>2471</v>
      </c>
      <c r="E9412" s="0" t="n">
        <v>1705</v>
      </c>
      <c r="F9412" s="0" t="s">
        <v>130</v>
      </c>
      <c r="I9412" s="0" t="n">
        <v>2056092</v>
      </c>
      <c r="J9412" s="0" t="n">
        <v>107100</v>
      </c>
      <c r="K9412" s="0" t="n">
        <v>7894900700015</v>
      </c>
      <c r="L9412" s="0" t="s">
        <v>2572</v>
      </c>
      <c r="N9412" s="0" t="n">
        <v>48</v>
      </c>
      <c r="O9412" s="0" t="n">
        <v>149.94</v>
      </c>
      <c r="P9412" s="0" t="s">
        <v>2444</v>
      </c>
    </row>
    <row r="9413" customFormat="false" ht="12.75" hidden="false" customHeight="true" outlineLevel="0" collapsed="false">
      <c r="A9413" s="0" t="n">
        <v>2</v>
      </c>
      <c r="B9413" s="71" t="n">
        <v>46290</v>
      </c>
      <c r="C9413" s="0" t="n">
        <v>11</v>
      </c>
      <c r="D9413" s="0" t="s">
        <v>2471</v>
      </c>
      <c r="E9413" s="0" t="n">
        <v>1705</v>
      </c>
      <c r="F9413" s="0" t="s">
        <v>130</v>
      </c>
      <c r="I9413" s="0" t="n">
        <v>2056092</v>
      </c>
      <c r="J9413" s="0" t="n">
        <v>31367</v>
      </c>
      <c r="K9413" s="0" t="n">
        <v>7894900704211</v>
      </c>
      <c r="L9413" s="0" t="s">
        <v>3258</v>
      </c>
      <c r="N9413" s="0" t="n">
        <v>9</v>
      </c>
      <c r="O9413" s="0" t="n">
        <v>52.56</v>
      </c>
      <c r="P9413" s="0" t="s">
        <v>2444</v>
      </c>
    </row>
    <row r="9414" customFormat="false" ht="12.75" hidden="false" customHeight="true" outlineLevel="0" collapsed="false">
      <c r="A9414" s="0" t="n">
        <v>2</v>
      </c>
      <c r="B9414" s="71" t="n">
        <v>46290</v>
      </c>
      <c r="C9414" s="0" t="n">
        <v>11</v>
      </c>
      <c r="D9414" s="0" t="s">
        <v>2471</v>
      </c>
      <c r="E9414" s="0" t="n">
        <v>1705</v>
      </c>
      <c r="F9414" s="0" t="s">
        <v>130</v>
      </c>
      <c r="I9414" s="0" t="n">
        <v>2056092</v>
      </c>
      <c r="J9414" s="0" t="n">
        <v>59947</v>
      </c>
      <c r="K9414" s="0" t="n">
        <v>7894900015034</v>
      </c>
      <c r="L9414" s="0" t="s">
        <v>4548</v>
      </c>
      <c r="N9414" s="0" t="n">
        <v>24</v>
      </c>
      <c r="O9414" s="0" t="n">
        <v>65.93</v>
      </c>
      <c r="P9414" s="0" t="s">
        <v>2444</v>
      </c>
    </row>
    <row r="9415" customFormat="false" ht="12.75" hidden="false" customHeight="true" outlineLevel="0" collapsed="false">
      <c r="A9415" s="0" t="n">
        <v>2</v>
      </c>
      <c r="B9415" s="71" t="n">
        <v>46290</v>
      </c>
      <c r="C9415" s="0" t="n">
        <v>39</v>
      </c>
      <c r="D9415" s="0" t="s">
        <v>3298</v>
      </c>
      <c r="E9415" s="0" t="n">
        <v>1668</v>
      </c>
      <c r="F9415" s="0" t="s">
        <v>151</v>
      </c>
      <c r="I9415" s="0" t="n">
        <v>762380</v>
      </c>
      <c r="J9415" s="0" t="n">
        <v>43686</v>
      </c>
      <c r="K9415" s="0" t="n">
        <v>7896030899249</v>
      </c>
      <c r="L9415" s="0" t="s">
        <v>4568</v>
      </c>
      <c r="N9415" s="0" t="n">
        <v>16</v>
      </c>
      <c r="O9415" s="0" t="n">
        <v>275.4</v>
      </c>
      <c r="P9415" s="0" t="s">
        <v>2444</v>
      </c>
    </row>
    <row r="9416" customFormat="false" ht="12.75" hidden="false" customHeight="true" outlineLevel="0" collapsed="false">
      <c r="A9416" s="0" t="n">
        <v>2</v>
      </c>
      <c r="B9416" s="71" t="n">
        <v>46290</v>
      </c>
      <c r="C9416" s="0" t="n">
        <v>39</v>
      </c>
      <c r="D9416" s="0" t="s">
        <v>3298</v>
      </c>
      <c r="E9416" s="0" t="n">
        <v>1668</v>
      </c>
      <c r="F9416" s="0" t="s">
        <v>151</v>
      </c>
      <c r="I9416" s="0" t="n">
        <v>762380</v>
      </c>
      <c r="J9416" s="0" t="n">
        <v>50883</v>
      </c>
      <c r="K9416" s="0" t="n">
        <v>2249896</v>
      </c>
      <c r="L9416" s="0" t="s">
        <v>5609</v>
      </c>
      <c r="N9416" s="0" t="n">
        <v>8</v>
      </c>
      <c r="O9416" s="0" t="n">
        <v>167.05</v>
      </c>
      <c r="P9416" s="0" t="s">
        <v>2444</v>
      </c>
    </row>
    <row r="9417" customFormat="false" ht="12.75" hidden="false" customHeight="true" outlineLevel="0" collapsed="false">
      <c r="A9417" s="0" t="n">
        <v>2</v>
      </c>
      <c r="B9417" s="71" t="n">
        <v>46290</v>
      </c>
      <c r="C9417" s="0" t="n">
        <v>171</v>
      </c>
      <c r="D9417" s="0" t="s">
        <v>3017</v>
      </c>
      <c r="E9417" s="0" t="n">
        <v>1697</v>
      </c>
      <c r="F9417" s="0" t="s">
        <v>787</v>
      </c>
      <c r="I9417" s="0" t="n">
        <v>213685</v>
      </c>
      <c r="J9417" s="0" t="n">
        <v>14128</v>
      </c>
      <c r="K9417" s="0" t="n">
        <v>7898080640611</v>
      </c>
      <c r="L9417" s="0" t="s">
        <v>3460</v>
      </c>
      <c r="N9417" s="0" t="n">
        <v>12</v>
      </c>
      <c r="O9417" s="0" t="n">
        <v>87.63</v>
      </c>
      <c r="P9417" s="0" t="s">
        <v>3019</v>
      </c>
    </row>
    <row r="9418" customFormat="false" ht="12.75" hidden="false" customHeight="true" outlineLevel="0" collapsed="false">
      <c r="A9418" s="0" t="n">
        <v>2</v>
      </c>
      <c r="B9418" s="71" t="n">
        <v>46291</v>
      </c>
      <c r="C9418" s="0" t="n">
        <v>11</v>
      </c>
      <c r="D9418" s="0" t="s">
        <v>2471</v>
      </c>
      <c r="E9418" s="0" t="n">
        <v>10096</v>
      </c>
      <c r="F9418" s="0" t="s">
        <v>622</v>
      </c>
      <c r="I9418" s="0" t="n">
        <v>339</v>
      </c>
      <c r="J9418" s="0" t="n">
        <v>61580</v>
      </c>
      <c r="K9418" s="0" t="n">
        <v>2258157</v>
      </c>
      <c r="L9418" s="0" t="s">
        <v>2509</v>
      </c>
      <c r="N9418" s="0" t="n">
        <v>10</v>
      </c>
      <c r="O9418" s="0" t="n">
        <v>120</v>
      </c>
      <c r="P9418" s="0" t="s">
        <v>2444</v>
      </c>
    </row>
    <row r="9419" customFormat="false" ht="12.75" hidden="false" customHeight="true" outlineLevel="0" collapsed="false">
      <c r="A9419" s="0" t="n">
        <v>2</v>
      </c>
      <c r="B9419" s="71" t="n">
        <v>46291</v>
      </c>
      <c r="C9419" s="0" t="n">
        <v>11</v>
      </c>
      <c r="D9419" s="0" t="s">
        <v>2471</v>
      </c>
      <c r="E9419" s="0" t="n">
        <v>642</v>
      </c>
      <c r="F9419" s="0" t="s">
        <v>123</v>
      </c>
      <c r="I9419" s="0" t="n">
        <v>681</v>
      </c>
      <c r="J9419" s="0" t="n">
        <v>71766</v>
      </c>
      <c r="K9419" s="0" t="n">
        <v>779180</v>
      </c>
      <c r="L9419" s="0" t="s">
        <v>2501</v>
      </c>
      <c r="N9419" s="0" t="n">
        <v>15</v>
      </c>
      <c r="O9419" s="0" t="n">
        <v>180</v>
      </c>
      <c r="P9419" s="0" t="s">
        <v>2444</v>
      </c>
    </row>
    <row r="9420" customFormat="false" ht="12.75" hidden="false" customHeight="true" outlineLevel="0" collapsed="false">
      <c r="A9420" s="0" t="n">
        <v>2</v>
      </c>
      <c r="B9420" s="71" t="n">
        <v>46291</v>
      </c>
      <c r="C9420" s="0" t="n">
        <v>11</v>
      </c>
      <c r="D9420" s="0" t="s">
        <v>2471</v>
      </c>
      <c r="E9420" s="0" t="n">
        <v>1899</v>
      </c>
      <c r="F9420" s="0" t="s">
        <v>204</v>
      </c>
      <c r="I9420" s="0" t="n">
        <v>823</v>
      </c>
      <c r="J9420" s="0" t="n">
        <v>44588</v>
      </c>
      <c r="K9420" s="0" t="n">
        <v>7898904331091</v>
      </c>
      <c r="L9420" s="0" t="s">
        <v>2443</v>
      </c>
      <c r="N9420" s="0" t="n">
        <v>10</v>
      </c>
      <c r="O9420" s="0" t="n">
        <v>49.9</v>
      </c>
      <c r="P9420" s="0" t="s">
        <v>2444</v>
      </c>
    </row>
    <row r="9421" customFormat="false" ht="12.75" hidden="false" customHeight="true" outlineLevel="0" collapsed="false">
      <c r="A9421" s="0" t="n">
        <v>2</v>
      </c>
      <c r="B9421" s="71" t="n">
        <v>46291</v>
      </c>
      <c r="C9421" s="0" t="n">
        <v>11</v>
      </c>
      <c r="D9421" s="0" t="s">
        <v>2471</v>
      </c>
      <c r="E9421" s="0" t="n">
        <v>1899</v>
      </c>
      <c r="F9421" s="0" t="s">
        <v>204</v>
      </c>
      <c r="I9421" s="0" t="n">
        <v>823</v>
      </c>
      <c r="J9421" s="0" t="n">
        <v>77463</v>
      </c>
      <c r="K9421" s="0" t="n">
        <v>774642</v>
      </c>
      <c r="L9421" s="0" t="s">
        <v>2445</v>
      </c>
      <c r="N9421" s="0" t="n">
        <v>30</v>
      </c>
      <c r="O9421" s="0" t="n">
        <v>135</v>
      </c>
      <c r="P9421" s="0" t="s">
        <v>2444</v>
      </c>
    </row>
    <row r="9422" customFormat="false" ht="12.75" hidden="false" customHeight="true" outlineLevel="0" collapsed="false">
      <c r="A9422" s="0" t="n">
        <v>2</v>
      </c>
      <c r="B9422" s="71" t="n">
        <v>46291</v>
      </c>
      <c r="C9422" s="0" t="n">
        <v>11</v>
      </c>
      <c r="D9422" s="0" t="s">
        <v>2471</v>
      </c>
      <c r="E9422" s="0" t="n">
        <v>1899</v>
      </c>
      <c r="F9422" s="0" t="s">
        <v>204</v>
      </c>
      <c r="I9422" s="0" t="n">
        <v>823</v>
      </c>
      <c r="J9422" s="0" t="n">
        <v>77465</v>
      </c>
      <c r="K9422" s="0" t="n">
        <v>774666</v>
      </c>
      <c r="L9422" s="0" t="s">
        <v>2446</v>
      </c>
      <c r="N9422" s="0" t="n">
        <v>10</v>
      </c>
      <c r="O9422" s="0" t="n">
        <v>49.9</v>
      </c>
      <c r="P9422" s="0" t="s">
        <v>2444</v>
      </c>
    </row>
    <row r="9423" customFormat="false" ht="12.75" hidden="false" customHeight="true" outlineLevel="0" collapsed="false">
      <c r="A9423" s="0" t="n">
        <v>2</v>
      </c>
      <c r="B9423" s="71" t="n">
        <v>46291</v>
      </c>
      <c r="C9423" s="0" t="n">
        <v>11</v>
      </c>
      <c r="D9423" s="0" t="s">
        <v>2471</v>
      </c>
      <c r="E9423" s="0" t="n">
        <v>1899</v>
      </c>
      <c r="F9423" s="0" t="s">
        <v>204</v>
      </c>
      <c r="I9423" s="0" t="n">
        <v>823</v>
      </c>
      <c r="J9423" s="0" t="n">
        <v>77903</v>
      </c>
      <c r="K9423" s="0" t="n">
        <v>779043</v>
      </c>
      <c r="L9423" s="0" t="s">
        <v>2945</v>
      </c>
      <c r="N9423" s="0" t="n">
        <v>5</v>
      </c>
      <c r="O9423" s="0" t="n">
        <v>22.5</v>
      </c>
      <c r="P9423" s="0" t="s">
        <v>2444</v>
      </c>
    </row>
    <row r="9424" customFormat="false" ht="12.75" hidden="false" customHeight="true" outlineLevel="0" collapsed="false">
      <c r="A9424" s="0" t="n">
        <v>2</v>
      </c>
      <c r="B9424" s="71" t="n">
        <v>46291</v>
      </c>
      <c r="C9424" s="0" t="n">
        <v>11</v>
      </c>
      <c r="D9424" s="0" t="s">
        <v>2471</v>
      </c>
      <c r="E9424" s="0" t="n">
        <v>1899</v>
      </c>
      <c r="F9424" s="0" t="s">
        <v>204</v>
      </c>
      <c r="I9424" s="0" t="n">
        <v>823</v>
      </c>
      <c r="J9424" s="0" t="n">
        <v>78013</v>
      </c>
      <c r="K9424" s="0" t="n">
        <v>780148</v>
      </c>
      <c r="L9424" s="0" t="s">
        <v>2584</v>
      </c>
      <c r="N9424" s="0" t="n">
        <v>5</v>
      </c>
      <c r="O9424" s="0" t="n">
        <v>22.5</v>
      </c>
      <c r="P9424" s="0" t="s">
        <v>2444</v>
      </c>
    </row>
    <row r="9425" customFormat="false" ht="12.75" hidden="false" customHeight="true" outlineLevel="0" collapsed="false">
      <c r="A9425" s="0" t="n">
        <v>2</v>
      </c>
      <c r="B9425" s="71" t="n">
        <v>46291</v>
      </c>
      <c r="C9425" s="0" t="n">
        <v>11</v>
      </c>
      <c r="D9425" s="0" t="s">
        <v>2471</v>
      </c>
      <c r="E9425" s="0" t="n">
        <v>1815</v>
      </c>
      <c r="F9425" s="0" t="s">
        <v>172</v>
      </c>
      <c r="I9425" s="0" t="n">
        <v>404714</v>
      </c>
      <c r="J9425" s="0" t="n">
        <v>100034</v>
      </c>
      <c r="K9425" s="0" t="n">
        <v>35</v>
      </c>
      <c r="L9425" s="0" t="s">
        <v>2716</v>
      </c>
      <c r="N9425" s="0" t="n">
        <v>54</v>
      </c>
      <c r="O9425" s="0" t="n">
        <v>809.46</v>
      </c>
      <c r="P9425" s="0" t="s">
        <v>2444</v>
      </c>
    </row>
    <row r="9426" customFormat="false" ht="12.75" hidden="false" customHeight="true" outlineLevel="0" collapsed="false">
      <c r="A9426" s="0" t="n">
        <v>2</v>
      </c>
      <c r="B9426" s="71" t="n">
        <v>46291</v>
      </c>
      <c r="C9426" s="0" t="n">
        <v>11</v>
      </c>
      <c r="D9426" s="0" t="s">
        <v>2471</v>
      </c>
      <c r="E9426" s="0" t="n">
        <v>1815</v>
      </c>
      <c r="F9426" s="0" t="s">
        <v>172</v>
      </c>
      <c r="I9426" s="0" t="n">
        <v>404714</v>
      </c>
      <c r="J9426" s="0" t="n">
        <v>100035</v>
      </c>
      <c r="K9426" s="0" t="n">
        <v>36</v>
      </c>
      <c r="L9426" s="0" t="s">
        <v>2717</v>
      </c>
      <c r="N9426" s="0" t="n">
        <v>100</v>
      </c>
      <c r="O9426" s="0" t="n">
        <v>799</v>
      </c>
      <c r="P9426" s="0" t="s">
        <v>2444</v>
      </c>
    </row>
    <row r="9427" customFormat="false" ht="12.75" hidden="false" customHeight="true" outlineLevel="0" collapsed="false">
      <c r="A9427" s="0" t="n">
        <v>2</v>
      </c>
      <c r="B9427" s="71" t="n">
        <v>46291</v>
      </c>
      <c r="C9427" s="0" t="n">
        <v>11</v>
      </c>
      <c r="D9427" s="0" t="s">
        <v>2471</v>
      </c>
      <c r="E9427" s="0" t="n">
        <v>1815</v>
      </c>
      <c r="F9427" s="0" t="s">
        <v>172</v>
      </c>
      <c r="I9427" s="0" t="n">
        <v>404714</v>
      </c>
      <c r="J9427" s="0" t="n">
        <v>110191</v>
      </c>
      <c r="K9427" s="0" t="n">
        <v>37402</v>
      </c>
      <c r="L9427" s="0" t="s">
        <v>2638</v>
      </c>
      <c r="N9427" s="0" t="n">
        <v>40</v>
      </c>
      <c r="O9427" s="0" t="n">
        <v>332</v>
      </c>
      <c r="P9427" s="0" t="s">
        <v>2444</v>
      </c>
    </row>
    <row r="9428" customFormat="false" ht="12.75" hidden="false" customHeight="true" outlineLevel="0" collapsed="false">
      <c r="A9428" s="0" t="n">
        <v>2</v>
      </c>
      <c r="B9428" s="71" t="n">
        <v>46291</v>
      </c>
      <c r="C9428" s="0" t="n">
        <v>11</v>
      </c>
      <c r="D9428" s="0" t="s">
        <v>2471</v>
      </c>
      <c r="E9428" s="0" t="n">
        <v>1815</v>
      </c>
      <c r="F9428" s="0" t="s">
        <v>172</v>
      </c>
      <c r="I9428" s="0" t="n">
        <v>404714</v>
      </c>
      <c r="J9428" s="0" t="n">
        <v>110778</v>
      </c>
      <c r="K9428" s="0" t="n">
        <v>71976</v>
      </c>
      <c r="L9428" s="0" t="s">
        <v>3396</v>
      </c>
      <c r="N9428" s="0" t="n">
        <v>16</v>
      </c>
      <c r="O9428" s="0" t="n">
        <v>207.84</v>
      </c>
      <c r="P9428" s="0" t="s">
        <v>2444</v>
      </c>
    </row>
    <row r="9429" customFormat="false" ht="12.75" hidden="false" customHeight="true" outlineLevel="0" collapsed="false">
      <c r="A9429" s="0" t="n">
        <v>2</v>
      </c>
      <c r="B9429" s="71" t="n">
        <v>46291</v>
      </c>
      <c r="C9429" s="0" t="n">
        <v>11</v>
      </c>
      <c r="D9429" s="0" t="s">
        <v>2471</v>
      </c>
      <c r="E9429" s="0" t="n">
        <v>1666</v>
      </c>
      <c r="F9429" s="0" t="s">
        <v>266</v>
      </c>
      <c r="I9429" s="0" t="n">
        <v>575307</v>
      </c>
      <c r="J9429" s="0" t="n">
        <v>24990</v>
      </c>
      <c r="K9429" s="0" t="n">
        <v>78935761</v>
      </c>
      <c r="L9429" s="0" t="s">
        <v>2746</v>
      </c>
      <c r="N9429" s="0" t="n">
        <v>150</v>
      </c>
      <c r="O9429" s="0" t="n">
        <v>2541.04</v>
      </c>
      <c r="P9429" s="0" t="s">
        <v>2444</v>
      </c>
    </row>
    <row r="9430" customFormat="false" ht="12.75" hidden="false" customHeight="true" outlineLevel="0" collapsed="false">
      <c r="A9430" s="0" t="n">
        <v>2</v>
      </c>
      <c r="B9430" s="71" t="n">
        <v>46291</v>
      </c>
      <c r="C9430" s="0" t="n">
        <v>11</v>
      </c>
      <c r="D9430" s="0" t="s">
        <v>2471</v>
      </c>
      <c r="E9430" s="0" t="n">
        <v>1666</v>
      </c>
      <c r="F9430" s="0" t="s">
        <v>266</v>
      </c>
      <c r="I9430" s="0" t="n">
        <v>575307</v>
      </c>
      <c r="J9430" s="0" t="n">
        <v>37536</v>
      </c>
      <c r="K9430" s="0" t="n">
        <v>78942066</v>
      </c>
      <c r="L9430" s="0" t="s">
        <v>2750</v>
      </c>
      <c r="N9430" s="0" t="n">
        <v>100</v>
      </c>
      <c r="O9430" s="0" t="n">
        <v>1646.97</v>
      </c>
      <c r="P9430" s="0" t="s">
        <v>2444</v>
      </c>
    </row>
    <row r="9431" customFormat="false" ht="12.75" hidden="false" customHeight="true" outlineLevel="0" collapsed="false">
      <c r="A9431" s="0" t="n">
        <v>2</v>
      </c>
      <c r="B9431" s="71" t="n">
        <v>46291</v>
      </c>
      <c r="C9431" s="0" t="n">
        <v>11</v>
      </c>
      <c r="D9431" s="0" t="s">
        <v>2471</v>
      </c>
      <c r="E9431" s="0" t="n">
        <v>1666</v>
      </c>
      <c r="F9431" s="0" t="s">
        <v>266</v>
      </c>
      <c r="I9431" s="0" t="n">
        <v>575307</v>
      </c>
      <c r="J9431" s="0" t="n">
        <v>40750</v>
      </c>
      <c r="K9431" s="0" t="n">
        <v>78943032</v>
      </c>
      <c r="L9431" s="0" t="s">
        <v>2751</v>
      </c>
      <c r="N9431" s="0" t="n">
        <v>30</v>
      </c>
      <c r="O9431" s="0" t="n">
        <v>479.98</v>
      </c>
      <c r="P9431" s="0" t="s">
        <v>2444</v>
      </c>
    </row>
    <row r="9432" customFormat="false" ht="12.75" hidden="false" customHeight="true" outlineLevel="0" collapsed="false">
      <c r="A9432" s="0" t="n">
        <v>2</v>
      </c>
      <c r="B9432" s="71" t="n">
        <v>46291</v>
      </c>
      <c r="C9432" s="0" t="n">
        <v>11</v>
      </c>
      <c r="D9432" s="0" t="s">
        <v>2471</v>
      </c>
      <c r="E9432" s="0" t="n">
        <v>1666</v>
      </c>
      <c r="F9432" s="0" t="s">
        <v>266</v>
      </c>
      <c r="I9432" s="0" t="n">
        <v>575307</v>
      </c>
      <c r="J9432" s="0" t="n">
        <v>50760</v>
      </c>
      <c r="K9432" s="0" t="n">
        <v>78943087</v>
      </c>
      <c r="L9432" s="0" t="s">
        <v>2753</v>
      </c>
      <c r="N9432" s="0" t="n">
        <v>30</v>
      </c>
      <c r="O9432" s="0" t="n">
        <v>437.62</v>
      </c>
      <c r="P9432" s="0" t="s">
        <v>2444</v>
      </c>
    </row>
    <row r="9433" customFormat="false" ht="12.75" hidden="false" customHeight="true" outlineLevel="0" collapsed="false">
      <c r="A9433" s="0" t="n">
        <v>2</v>
      </c>
      <c r="B9433" s="71" t="n">
        <v>46291</v>
      </c>
      <c r="C9433" s="0" t="n">
        <v>11</v>
      </c>
      <c r="D9433" s="0" t="s">
        <v>2471</v>
      </c>
      <c r="E9433" s="0" t="n">
        <v>1666</v>
      </c>
      <c r="F9433" s="0" t="s">
        <v>266</v>
      </c>
      <c r="I9433" s="0" t="n">
        <v>575307</v>
      </c>
      <c r="J9433" s="0" t="n">
        <v>57287</v>
      </c>
      <c r="K9433" s="0" t="n">
        <v>78944251</v>
      </c>
      <c r="L9433" s="0" t="s">
        <v>2755</v>
      </c>
      <c r="N9433" s="0" t="n">
        <v>20</v>
      </c>
      <c r="O9433" s="0" t="n">
        <v>319.98</v>
      </c>
      <c r="P9433" s="0" t="s">
        <v>2444</v>
      </c>
    </row>
    <row r="9434" customFormat="false" ht="12.75" hidden="false" customHeight="true" outlineLevel="0" collapsed="false">
      <c r="A9434" s="0" t="n">
        <v>2</v>
      </c>
      <c r="B9434" s="71" t="n">
        <v>46291</v>
      </c>
      <c r="C9434" s="0" t="n">
        <v>11</v>
      </c>
      <c r="D9434" s="0" t="s">
        <v>2471</v>
      </c>
      <c r="E9434" s="0" t="n">
        <v>1666</v>
      </c>
      <c r="F9434" s="0" t="s">
        <v>266</v>
      </c>
      <c r="I9434" s="0" t="n">
        <v>575307</v>
      </c>
      <c r="J9434" s="0" t="n">
        <v>67177</v>
      </c>
      <c r="K9434" s="0" t="n">
        <v>78944466</v>
      </c>
      <c r="L9434" s="0" t="s">
        <v>2757</v>
      </c>
      <c r="N9434" s="0" t="n">
        <v>250</v>
      </c>
      <c r="O9434" s="0" t="n">
        <v>3293.96</v>
      </c>
      <c r="P9434" s="0" t="s">
        <v>2444</v>
      </c>
    </row>
    <row r="9435" customFormat="false" ht="12.75" hidden="false" customHeight="true" outlineLevel="0" collapsed="false">
      <c r="A9435" s="0" t="n">
        <v>2</v>
      </c>
      <c r="B9435" s="71" t="n">
        <v>46291</v>
      </c>
      <c r="C9435" s="0" t="n">
        <v>11</v>
      </c>
      <c r="D9435" s="0" t="s">
        <v>2471</v>
      </c>
      <c r="E9435" s="0" t="n">
        <v>1666</v>
      </c>
      <c r="F9435" s="0" t="s">
        <v>266</v>
      </c>
      <c r="I9435" s="0" t="n">
        <v>575307</v>
      </c>
      <c r="J9435" s="0" t="n">
        <v>67622</v>
      </c>
      <c r="K9435" s="0" t="n">
        <v>78944503</v>
      </c>
      <c r="L9435" s="0" t="s">
        <v>2758</v>
      </c>
      <c r="N9435" s="0" t="n">
        <v>10</v>
      </c>
      <c r="O9435" s="0" t="n">
        <v>122.35</v>
      </c>
      <c r="P9435" s="0" t="s">
        <v>2444</v>
      </c>
    </row>
    <row r="9436" customFormat="false" ht="12.75" hidden="false" customHeight="true" outlineLevel="0" collapsed="false">
      <c r="A9436" s="0" t="n">
        <v>2</v>
      </c>
      <c r="B9436" s="71" t="n">
        <v>46291</v>
      </c>
      <c r="C9436" s="0" t="n">
        <v>11</v>
      </c>
      <c r="D9436" s="0" t="s">
        <v>2471</v>
      </c>
      <c r="E9436" s="0" t="n">
        <v>1666</v>
      </c>
      <c r="F9436" s="0" t="s">
        <v>266</v>
      </c>
      <c r="I9436" s="0" t="n">
        <v>575307</v>
      </c>
      <c r="J9436" s="0" t="n">
        <v>68903</v>
      </c>
      <c r="K9436" s="0" t="n">
        <v>78944473</v>
      </c>
      <c r="L9436" s="0" t="s">
        <v>4698</v>
      </c>
      <c r="N9436" s="0" t="n">
        <v>30</v>
      </c>
      <c r="O9436" s="0" t="n">
        <v>395.27</v>
      </c>
      <c r="P9436" s="0" t="s">
        <v>2444</v>
      </c>
    </row>
    <row r="9437" customFormat="false" ht="12.75" hidden="false" customHeight="true" outlineLevel="0" collapsed="false">
      <c r="A9437" s="0" t="n">
        <v>2</v>
      </c>
      <c r="B9437" s="71" t="n">
        <v>46291</v>
      </c>
      <c r="C9437" s="0" t="n">
        <v>11</v>
      </c>
      <c r="D9437" s="0" t="s">
        <v>2471</v>
      </c>
      <c r="E9437" s="0" t="n">
        <v>1666</v>
      </c>
      <c r="F9437" s="0" t="s">
        <v>266</v>
      </c>
      <c r="I9437" s="0" t="n">
        <v>575307</v>
      </c>
      <c r="J9437" s="0" t="n">
        <v>71518</v>
      </c>
      <c r="K9437" s="0" t="n">
        <v>78946200</v>
      </c>
      <c r="L9437" s="0" t="s">
        <v>2759</v>
      </c>
      <c r="N9437" s="0" t="n">
        <v>10</v>
      </c>
      <c r="O9437" s="0" t="n">
        <v>103.52</v>
      </c>
      <c r="P9437" s="0" t="s">
        <v>2444</v>
      </c>
    </row>
    <row r="9438" customFormat="false" ht="12.75" hidden="false" customHeight="true" outlineLevel="0" collapsed="false">
      <c r="A9438" s="0" t="n">
        <v>2</v>
      </c>
      <c r="B9438" s="71" t="n">
        <v>46291</v>
      </c>
      <c r="C9438" s="0" t="n">
        <v>11</v>
      </c>
      <c r="D9438" s="0" t="s">
        <v>2471</v>
      </c>
      <c r="E9438" s="0" t="n">
        <v>1666</v>
      </c>
      <c r="F9438" s="0" t="s">
        <v>266</v>
      </c>
      <c r="I9438" s="0" t="n">
        <v>575307</v>
      </c>
      <c r="J9438" s="0" t="n">
        <v>78026</v>
      </c>
      <c r="K9438" s="0" t="n">
        <v>78947504</v>
      </c>
      <c r="L9438" s="0" t="s">
        <v>2761</v>
      </c>
      <c r="N9438" s="0" t="n">
        <v>80</v>
      </c>
      <c r="O9438" s="0" t="n">
        <v>1204.64</v>
      </c>
      <c r="P9438" s="0" t="s">
        <v>2444</v>
      </c>
    </row>
    <row r="9439" customFormat="false" ht="12.75" hidden="false" customHeight="true" outlineLevel="0" collapsed="false">
      <c r="A9439" s="0" t="n">
        <v>2</v>
      </c>
      <c r="B9439" s="71" t="n">
        <v>46291</v>
      </c>
      <c r="C9439" s="0" t="n">
        <v>11</v>
      </c>
      <c r="D9439" s="0" t="s">
        <v>2471</v>
      </c>
      <c r="E9439" s="0" t="n">
        <v>1666</v>
      </c>
      <c r="F9439" s="0" t="s">
        <v>266</v>
      </c>
      <c r="I9439" s="0" t="n">
        <v>575307</v>
      </c>
      <c r="J9439" s="0" t="n">
        <v>78629</v>
      </c>
      <c r="K9439" s="0" t="n">
        <v>786300</v>
      </c>
      <c r="L9439" s="0" t="s">
        <v>2763</v>
      </c>
      <c r="N9439" s="0" t="n">
        <v>80</v>
      </c>
      <c r="O9439" s="0" t="n">
        <v>978.77</v>
      </c>
      <c r="P9439" s="0" t="s">
        <v>2444</v>
      </c>
    </row>
    <row r="9440" customFormat="false" ht="12.75" hidden="false" customHeight="true" outlineLevel="0" collapsed="false">
      <c r="A9440" s="0" t="n">
        <v>2</v>
      </c>
      <c r="B9440" s="71" t="n">
        <v>46291</v>
      </c>
      <c r="C9440" s="0" t="n">
        <v>11</v>
      </c>
      <c r="D9440" s="0" t="s">
        <v>2471</v>
      </c>
      <c r="E9440" s="0" t="n">
        <v>1683</v>
      </c>
      <c r="F9440" s="0" t="s">
        <v>406</v>
      </c>
      <c r="I9440" s="0" t="n">
        <v>1685939</v>
      </c>
      <c r="J9440" s="0" t="n">
        <v>109791</v>
      </c>
      <c r="K9440" s="0" t="n">
        <v>9667</v>
      </c>
      <c r="L9440" s="0" t="s">
        <v>2465</v>
      </c>
      <c r="N9440" s="0" t="n">
        <v>14</v>
      </c>
      <c r="O9440" s="0" t="n">
        <v>21</v>
      </c>
      <c r="P9440" s="0" t="s">
        <v>2444</v>
      </c>
    </row>
    <row r="9441" customFormat="false" ht="12.75" hidden="false" customHeight="true" outlineLevel="0" collapsed="false">
      <c r="A9441" s="0" t="n">
        <v>2</v>
      </c>
      <c r="B9441" s="71" t="n">
        <v>46291</v>
      </c>
      <c r="C9441" s="0" t="n">
        <v>11</v>
      </c>
      <c r="D9441" s="0" t="s">
        <v>2471</v>
      </c>
      <c r="E9441" s="0" t="n">
        <v>1683</v>
      </c>
      <c r="F9441" s="0" t="s">
        <v>406</v>
      </c>
      <c r="I9441" s="0" t="n">
        <v>1685939</v>
      </c>
      <c r="J9441" s="0" t="n">
        <v>37359</v>
      </c>
      <c r="K9441" s="0" t="n">
        <v>55526</v>
      </c>
      <c r="L9441" s="0" t="s">
        <v>2466</v>
      </c>
      <c r="N9441" s="0" t="n">
        <v>8</v>
      </c>
      <c r="O9441" s="0" t="n">
        <v>40</v>
      </c>
      <c r="P9441" s="0" t="s">
        <v>2444</v>
      </c>
    </row>
    <row r="9442" customFormat="false" ht="12.75" hidden="false" customHeight="true" outlineLevel="0" collapsed="false">
      <c r="A9442" s="0" t="n">
        <v>2</v>
      </c>
      <c r="B9442" s="71" t="n">
        <v>46291</v>
      </c>
      <c r="C9442" s="0" t="n">
        <v>11</v>
      </c>
      <c r="D9442" s="0" t="s">
        <v>2471</v>
      </c>
      <c r="E9442" s="0" t="n">
        <v>1683</v>
      </c>
      <c r="F9442" s="0" t="s">
        <v>406</v>
      </c>
      <c r="I9442" s="0" t="n">
        <v>1685939</v>
      </c>
      <c r="J9442" s="0" t="n">
        <v>37361</v>
      </c>
      <c r="K9442" s="0" t="n">
        <v>2240817</v>
      </c>
      <c r="L9442" s="0" t="s">
        <v>2467</v>
      </c>
      <c r="N9442" s="0" t="n">
        <v>70</v>
      </c>
      <c r="O9442" s="0" t="n">
        <v>126</v>
      </c>
      <c r="P9442" s="0" t="s">
        <v>2444</v>
      </c>
    </row>
    <row r="9443" customFormat="false" ht="12.75" hidden="false" customHeight="true" outlineLevel="0" collapsed="false">
      <c r="A9443" s="0" t="n">
        <v>2</v>
      </c>
      <c r="B9443" s="71" t="n">
        <v>46293</v>
      </c>
      <c r="C9443" s="0" t="n">
        <v>6</v>
      </c>
      <c r="D9443" s="0" t="s">
        <v>2553</v>
      </c>
      <c r="E9443" s="0" t="n">
        <v>48</v>
      </c>
      <c r="F9443" s="0" t="s">
        <v>153</v>
      </c>
      <c r="I9443" s="0" t="n">
        <v>2701</v>
      </c>
      <c r="J9443" s="0" t="n">
        <v>42564</v>
      </c>
      <c r="K9443" s="0" t="n">
        <v>574</v>
      </c>
      <c r="L9443" s="0" t="s">
        <v>2534</v>
      </c>
      <c r="N9443" s="0" t="n">
        <v>14</v>
      </c>
      <c r="O9443" s="0" t="n">
        <v>210</v>
      </c>
      <c r="P9443" s="0" t="s">
        <v>2444</v>
      </c>
    </row>
    <row r="9444" customFormat="false" ht="12.75" hidden="false" customHeight="true" outlineLevel="0" collapsed="false">
      <c r="A9444" s="0" t="n">
        <v>2</v>
      </c>
      <c r="B9444" s="71" t="n">
        <v>46293</v>
      </c>
      <c r="C9444" s="0" t="n">
        <v>6</v>
      </c>
      <c r="D9444" s="0" t="s">
        <v>2553</v>
      </c>
      <c r="E9444" s="0" t="n">
        <v>48</v>
      </c>
      <c r="F9444" s="0" t="s">
        <v>153</v>
      </c>
      <c r="I9444" s="0" t="n">
        <v>2704</v>
      </c>
      <c r="J9444" s="0" t="n">
        <v>73335</v>
      </c>
      <c r="K9444" s="0" t="n">
        <v>7898996471545</v>
      </c>
      <c r="L9444" s="0" t="s">
        <v>5610</v>
      </c>
      <c r="N9444" s="0" t="n">
        <v>125</v>
      </c>
      <c r="O9444" s="0" t="n">
        <v>700</v>
      </c>
      <c r="P9444" s="0" t="s">
        <v>2444</v>
      </c>
    </row>
    <row r="9445" customFormat="false" ht="12.75" hidden="false" customHeight="true" outlineLevel="0" collapsed="false">
      <c r="A9445" s="0" t="n">
        <v>2</v>
      </c>
      <c r="B9445" s="71" t="n">
        <v>46293</v>
      </c>
      <c r="C9445" s="0" t="n">
        <v>6</v>
      </c>
      <c r="D9445" s="0" t="s">
        <v>2553</v>
      </c>
      <c r="E9445" s="0" t="n">
        <v>48</v>
      </c>
      <c r="F9445" s="0" t="s">
        <v>153</v>
      </c>
      <c r="I9445" s="0" t="n">
        <v>2704</v>
      </c>
      <c r="J9445" s="0" t="n">
        <v>81150</v>
      </c>
      <c r="K9445" s="0" t="n">
        <v>7898996471507</v>
      </c>
      <c r="L9445" s="0" t="s">
        <v>5611</v>
      </c>
      <c r="N9445" s="0" t="n">
        <v>125</v>
      </c>
      <c r="O9445" s="0" t="n">
        <v>1575</v>
      </c>
      <c r="P9445" s="0" t="s">
        <v>2444</v>
      </c>
    </row>
    <row r="9446" customFormat="false" ht="12.75" hidden="false" customHeight="true" outlineLevel="0" collapsed="false">
      <c r="A9446" s="0" t="n">
        <v>2</v>
      </c>
      <c r="B9446" s="71" t="n">
        <v>46293</v>
      </c>
      <c r="C9446" s="0" t="n">
        <v>11</v>
      </c>
      <c r="D9446" s="0" t="s">
        <v>2471</v>
      </c>
      <c r="E9446" s="0" t="n">
        <v>1625</v>
      </c>
      <c r="F9446" s="0" t="s">
        <v>270</v>
      </c>
      <c r="I9446" s="0" t="n">
        <v>15464</v>
      </c>
      <c r="J9446" s="0" t="n">
        <v>29079</v>
      </c>
      <c r="K9446" s="0" t="n">
        <v>55515</v>
      </c>
      <c r="L9446" s="0" t="s">
        <v>2449</v>
      </c>
      <c r="N9446" s="0" t="n">
        <v>76.6</v>
      </c>
      <c r="O9446" s="0" t="n">
        <v>2451.2</v>
      </c>
      <c r="P9446" s="0" t="s">
        <v>2444</v>
      </c>
    </row>
    <row r="9447" customFormat="false" ht="12.75" hidden="false" customHeight="true" outlineLevel="0" collapsed="false">
      <c r="A9447" s="0" t="n">
        <v>2</v>
      </c>
      <c r="B9447" s="71" t="n">
        <v>46293</v>
      </c>
      <c r="C9447" s="0" t="n">
        <v>11</v>
      </c>
      <c r="D9447" s="0" t="s">
        <v>2471</v>
      </c>
      <c r="E9447" s="0" t="n">
        <v>1625</v>
      </c>
      <c r="F9447" s="0" t="s">
        <v>270</v>
      </c>
      <c r="I9447" s="0" t="n">
        <v>15464</v>
      </c>
      <c r="J9447" s="0" t="n">
        <v>29080</v>
      </c>
      <c r="K9447" s="0" t="n">
        <v>55516</v>
      </c>
      <c r="L9447" s="0" t="s">
        <v>2450</v>
      </c>
      <c r="N9447" s="0" t="n">
        <v>59.2</v>
      </c>
      <c r="O9447" s="0" t="n">
        <v>1302.4</v>
      </c>
      <c r="P9447" s="0" t="s">
        <v>2444</v>
      </c>
    </row>
    <row r="9448" customFormat="false" ht="12.75" hidden="false" customHeight="true" outlineLevel="0" collapsed="false">
      <c r="A9448" s="0" t="n">
        <v>2</v>
      </c>
      <c r="B9448" s="71" t="n">
        <v>46293</v>
      </c>
      <c r="C9448" s="0" t="n">
        <v>11</v>
      </c>
      <c r="D9448" s="0" t="s">
        <v>2471</v>
      </c>
      <c r="E9448" s="0" t="n">
        <v>1683</v>
      </c>
      <c r="F9448" s="0" t="s">
        <v>406</v>
      </c>
      <c r="I9448" s="0" t="n">
        <v>1686439</v>
      </c>
      <c r="J9448" s="0" t="n">
        <v>109791</v>
      </c>
      <c r="K9448" s="0" t="n">
        <v>9667</v>
      </c>
      <c r="L9448" s="0" t="s">
        <v>2465</v>
      </c>
      <c r="N9448" s="0" t="n">
        <v>10</v>
      </c>
      <c r="O9448" s="0" t="n">
        <v>15</v>
      </c>
      <c r="P9448" s="0" t="s">
        <v>2444</v>
      </c>
    </row>
    <row r="9449" customFormat="false" ht="12.75" hidden="false" customHeight="true" outlineLevel="0" collapsed="false">
      <c r="A9449" s="0" t="n">
        <v>2</v>
      </c>
      <c r="B9449" s="71" t="n">
        <v>46293</v>
      </c>
      <c r="C9449" s="0" t="n">
        <v>11</v>
      </c>
      <c r="D9449" s="0" t="s">
        <v>2471</v>
      </c>
      <c r="E9449" s="0" t="n">
        <v>1683</v>
      </c>
      <c r="F9449" s="0" t="s">
        <v>406</v>
      </c>
      <c r="I9449" s="0" t="n">
        <v>1686439</v>
      </c>
      <c r="J9449" s="0" t="n">
        <v>37359</v>
      </c>
      <c r="K9449" s="0" t="n">
        <v>55526</v>
      </c>
      <c r="L9449" s="0" t="s">
        <v>2466</v>
      </c>
      <c r="N9449" s="0" t="n">
        <v>4</v>
      </c>
      <c r="O9449" s="0" t="n">
        <v>20</v>
      </c>
      <c r="P9449" s="0" t="s">
        <v>2444</v>
      </c>
    </row>
    <row r="9450" customFormat="false" ht="12.75" hidden="false" customHeight="true" outlineLevel="0" collapsed="false">
      <c r="A9450" s="0" t="n">
        <v>2</v>
      </c>
      <c r="B9450" s="71" t="n">
        <v>46293</v>
      </c>
      <c r="C9450" s="0" t="n">
        <v>11</v>
      </c>
      <c r="D9450" s="0" t="s">
        <v>2471</v>
      </c>
      <c r="E9450" s="0" t="n">
        <v>1683</v>
      </c>
      <c r="F9450" s="0" t="s">
        <v>406</v>
      </c>
      <c r="I9450" s="0" t="n">
        <v>1686439</v>
      </c>
      <c r="J9450" s="0" t="n">
        <v>37361</v>
      </c>
      <c r="K9450" s="0" t="n">
        <v>2240817</v>
      </c>
      <c r="L9450" s="0" t="s">
        <v>2467</v>
      </c>
      <c r="N9450" s="0" t="n">
        <v>30</v>
      </c>
      <c r="O9450" s="0" t="n">
        <v>54</v>
      </c>
      <c r="P9450" s="0" t="s">
        <v>2444</v>
      </c>
    </row>
    <row r="9451" customFormat="false" ht="12.75" hidden="false" customHeight="true" outlineLevel="0" collapsed="false">
      <c r="A9451" s="0" t="n">
        <v>2</v>
      </c>
      <c r="B9451" s="71" t="n">
        <v>46293</v>
      </c>
      <c r="C9451" s="0" t="n">
        <v>22</v>
      </c>
      <c r="D9451" s="0" t="s">
        <v>2479</v>
      </c>
      <c r="E9451" s="0" t="n">
        <v>48</v>
      </c>
      <c r="F9451" s="0" t="s">
        <v>153</v>
      </c>
      <c r="I9451" s="0" t="n">
        <v>2703</v>
      </c>
      <c r="J9451" s="0" t="n">
        <v>100000</v>
      </c>
      <c r="K9451" s="0" t="n">
        <v>1</v>
      </c>
      <c r="L9451" s="0" t="s">
        <v>2480</v>
      </c>
      <c r="N9451" s="0" t="n">
        <v>2.08</v>
      </c>
      <c r="O9451" s="0" t="n">
        <v>38.87</v>
      </c>
      <c r="P9451" s="0" t="s">
        <v>2444</v>
      </c>
    </row>
    <row r="9452" customFormat="false" ht="12.75" hidden="false" customHeight="true" outlineLevel="0" collapsed="false">
      <c r="A9452" s="0" t="n">
        <v>2</v>
      </c>
      <c r="B9452" s="71" t="n">
        <v>46293</v>
      </c>
      <c r="C9452" s="0" t="n">
        <v>22</v>
      </c>
      <c r="D9452" s="0" t="s">
        <v>2479</v>
      </c>
      <c r="E9452" s="0" t="n">
        <v>48</v>
      </c>
      <c r="F9452" s="0" t="s">
        <v>153</v>
      </c>
      <c r="I9452" s="0" t="n">
        <v>2703</v>
      </c>
      <c r="J9452" s="0" t="n">
        <v>100000</v>
      </c>
      <c r="K9452" s="0" t="n">
        <v>1</v>
      </c>
      <c r="L9452" s="0" t="s">
        <v>2480</v>
      </c>
      <c r="N9452" s="0" t="n">
        <v>3.018</v>
      </c>
      <c r="O9452" s="0" t="n">
        <v>61.6</v>
      </c>
      <c r="P9452" s="0" t="s">
        <v>2444</v>
      </c>
    </row>
    <row r="9453" customFormat="false" ht="12.75" hidden="false" customHeight="true" outlineLevel="0" collapsed="false">
      <c r="A9453" s="0" t="n">
        <v>2</v>
      </c>
      <c r="B9453" s="71" t="n">
        <v>46293</v>
      </c>
      <c r="C9453" s="0" t="n">
        <v>22</v>
      </c>
      <c r="D9453" s="0" t="s">
        <v>2479</v>
      </c>
      <c r="E9453" s="0" t="n">
        <v>48</v>
      </c>
      <c r="F9453" s="0" t="s">
        <v>153</v>
      </c>
      <c r="I9453" s="0" t="n">
        <v>2703</v>
      </c>
      <c r="J9453" s="0" t="n">
        <v>100001</v>
      </c>
      <c r="K9453" s="0" t="n">
        <v>2</v>
      </c>
      <c r="L9453" s="0" t="s">
        <v>2481</v>
      </c>
      <c r="N9453" s="0" t="n">
        <v>8.685</v>
      </c>
      <c r="O9453" s="0" t="n">
        <v>175.83</v>
      </c>
      <c r="P9453" s="0" t="s">
        <v>2444</v>
      </c>
    </row>
    <row r="9454" customFormat="false" ht="12.75" hidden="false" customHeight="true" outlineLevel="0" collapsed="false">
      <c r="A9454" s="0" t="n">
        <v>2</v>
      </c>
      <c r="B9454" s="71" t="n">
        <v>46293</v>
      </c>
      <c r="C9454" s="0" t="n">
        <v>22</v>
      </c>
      <c r="D9454" s="0" t="s">
        <v>2479</v>
      </c>
      <c r="E9454" s="0" t="n">
        <v>48</v>
      </c>
      <c r="F9454" s="0" t="s">
        <v>153</v>
      </c>
      <c r="I9454" s="0" t="n">
        <v>2703</v>
      </c>
      <c r="J9454" s="0" t="n">
        <v>100002</v>
      </c>
      <c r="K9454" s="0" t="n">
        <v>3</v>
      </c>
      <c r="L9454" s="0" t="s">
        <v>2482</v>
      </c>
      <c r="N9454" s="0" t="n">
        <v>18.06</v>
      </c>
      <c r="O9454" s="0" t="n">
        <v>421.91</v>
      </c>
      <c r="P9454" s="0" t="s">
        <v>2444</v>
      </c>
    </row>
    <row r="9455" customFormat="false" ht="12.75" hidden="false" customHeight="true" outlineLevel="0" collapsed="false">
      <c r="A9455" s="0" t="n">
        <v>2</v>
      </c>
      <c r="B9455" s="71" t="n">
        <v>46293</v>
      </c>
      <c r="C9455" s="0" t="n">
        <v>22</v>
      </c>
      <c r="D9455" s="0" t="s">
        <v>2479</v>
      </c>
      <c r="E9455" s="0" t="n">
        <v>48</v>
      </c>
      <c r="F9455" s="0" t="s">
        <v>153</v>
      </c>
      <c r="I9455" s="0" t="n">
        <v>2703</v>
      </c>
      <c r="J9455" s="0" t="n">
        <v>100003</v>
      </c>
      <c r="K9455" s="0" t="n">
        <v>4</v>
      </c>
      <c r="L9455" s="0" t="s">
        <v>2483</v>
      </c>
      <c r="N9455" s="0" t="n">
        <v>15.21</v>
      </c>
      <c r="O9455" s="0" t="n">
        <v>379.02</v>
      </c>
      <c r="P9455" s="0" t="s">
        <v>2444</v>
      </c>
    </row>
    <row r="9456" customFormat="false" ht="12.75" hidden="false" customHeight="true" outlineLevel="0" collapsed="false">
      <c r="A9456" s="0" t="n">
        <v>2</v>
      </c>
      <c r="B9456" s="71" t="n">
        <v>46293</v>
      </c>
      <c r="C9456" s="0" t="n">
        <v>22</v>
      </c>
      <c r="D9456" s="0" t="s">
        <v>2479</v>
      </c>
      <c r="E9456" s="0" t="n">
        <v>48</v>
      </c>
      <c r="F9456" s="0" t="s">
        <v>153</v>
      </c>
      <c r="I9456" s="0" t="n">
        <v>2703</v>
      </c>
      <c r="J9456" s="0" t="n">
        <v>100004</v>
      </c>
      <c r="K9456" s="0" t="n">
        <v>5</v>
      </c>
      <c r="L9456" s="0" t="s">
        <v>2484</v>
      </c>
      <c r="N9456" s="0" t="n">
        <v>1.4</v>
      </c>
      <c r="O9456" s="0" t="n">
        <v>30.52</v>
      </c>
      <c r="P9456" s="0" t="s">
        <v>2444</v>
      </c>
    </row>
    <row r="9457" customFormat="false" ht="12.75" hidden="false" customHeight="true" outlineLevel="0" collapsed="false">
      <c r="A9457" s="0" t="n">
        <v>2</v>
      </c>
      <c r="B9457" s="71" t="n">
        <v>46293</v>
      </c>
      <c r="C9457" s="0" t="n">
        <v>22</v>
      </c>
      <c r="D9457" s="0" t="s">
        <v>2479</v>
      </c>
      <c r="E9457" s="0" t="n">
        <v>48</v>
      </c>
      <c r="F9457" s="0" t="s">
        <v>153</v>
      </c>
      <c r="I9457" s="0" t="n">
        <v>2703</v>
      </c>
      <c r="J9457" s="0" t="n">
        <v>100005</v>
      </c>
      <c r="K9457" s="0" t="n">
        <v>6</v>
      </c>
      <c r="L9457" s="0" t="s">
        <v>2582</v>
      </c>
      <c r="N9457" s="0" t="n">
        <v>1.848</v>
      </c>
      <c r="O9457" s="0" t="n">
        <v>43.17</v>
      </c>
      <c r="P9457" s="0" t="s">
        <v>2444</v>
      </c>
    </row>
    <row r="9458" customFormat="false" ht="12.75" hidden="false" customHeight="true" outlineLevel="0" collapsed="false">
      <c r="A9458" s="0" t="n">
        <v>2</v>
      </c>
      <c r="B9458" s="71" t="n">
        <v>46293</v>
      </c>
      <c r="C9458" s="0" t="n">
        <v>22</v>
      </c>
      <c r="D9458" s="0" t="s">
        <v>2479</v>
      </c>
      <c r="E9458" s="0" t="n">
        <v>48</v>
      </c>
      <c r="F9458" s="0" t="s">
        <v>153</v>
      </c>
      <c r="I9458" s="0" t="n">
        <v>2703</v>
      </c>
      <c r="J9458" s="0" t="n">
        <v>100006</v>
      </c>
      <c r="K9458" s="0" t="n">
        <v>7</v>
      </c>
      <c r="L9458" s="0" t="s">
        <v>2485</v>
      </c>
      <c r="N9458" s="0" t="n">
        <v>2.346</v>
      </c>
      <c r="O9458" s="0" t="n">
        <v>67.84</v>
      </c>
      <c r="P9458" s="0" t="s">
        <v>2444</v>
      </c>
    </row>
    <row r="9459" customFormat="false" ht="12.75" hidden="false" customHeight="true" outlineLevel="0" collapsed="false">
      <c r="A9459" s="0" t="n">
        <v>2</v>
      </c>
      <c r="B9459" s="71" t="n">
        <v>46293</v>
      </c>
      <c r="C9459" s="0" t="n">
        <v>22</v>
      </c>
      <c r="D9459" s="0" t="s">
        <v>2479</v>
      </c>
      <c r="E9459" s="0" t="n">
        <v>48</v>
      </c>
      <c r="F9459" s="0" t="s">
        <v>153</v>
      </c>
      <c r="I9459" s="0" t="n">
        <v>2703</v>
      </c>
      <c r="J9459" s="0" t="n">
        <v>100007</v>
      </c>
      <c r="K9459" s="0" t="n">
        <v>8</v>
      </c>
      <c r="L9459" s="0" t="s">
        <v>2486</v>
      </c>
      <c r="N9459" s="0" t="n">
        <v>2.536</v>
      </c>
      <c r="O9459" s="0" t="n">
        <v>59.24</v>
      </c>
      <c r="P9459" s="0" t="s">
        <v>2444</v>
      </c>
    </row>
    <row r="9460" customFormat="false" ht="12.75" hidden="false" customHeight="true" outlineLevel="0" collapsed="false">
      <c r="A9460" s="0" t="n">
        <v>2</v>
      </c>
      <c r="B9460" s="71" t="n">
        <v>46293</v>
      </c>
      <c r="C9460" s="0" t="n">
        <v>22</v>
      </c>
      <c r="D9460" s="0" t="s">
        <v>2479</v>
      </c>
      <c r="E9460" s="0" t="n">
        <v>48</v>
      </c>
      <c r="F9460" s="0" t="s">
        <v>153</v>
      </c>
      <c r="I9460" s="0" t="n">
        <v>2703</v>
      </c>
      <c r="J9460" s="0" t="n">
        <v>100007</v>
      </c>
      <c r="K9460" s="0" t="n">
        <v>8</v>
      </c>
      <c r="L9460" s="0" t="s">
        <v>2486</v>
      </c>
      <c r="N9460" s="0" t="n">
        <v>2.896</v>
      </c>
      <c r="O9460" s="0" t="n">
        <v>73.89</v>
      </c>
      <c r="P9460" s="0" t="s">
        <v>2444</v>
      </c>
    </row>
    <row r="9461" customFormat="false" ht="12.75" hidden="false" customHeight="true" outlineLevel="0" collapsed="false">
      <c r="A9461" s="0" t="n">
        <v>2</v>
      </c>
      <c r="B9461" s="71" t="n">
        <v>46293</v>
      </c>
      <c r="C9461" s="0" t="n">
        <v>22</v>
      </c>
      <c r="D9461" s="0" t="s">
        <v>2479</v>
      </c>
      <c r="E9461" s="0" t="n">
        <v>48</v>
      </c>
      <c r="F9461" s="0" t="s">
        <v>153</v>
      </c>
      <c r="I9461" s="0" t="n">
        <v>2703</v>
      </c>
      <c r="J9461" s="0" t="n">
        <v>100008</v>
      </c>
      <c r="K9461" s="0" t="n">
        <v>9</v>
      </c>
      <c r="L9461" s="0" t="s">
        <v>2487</v>
      </c>
      <c r="N9461" s="0" t="n">
        <v>15.21</v>
      </c>
      <c r="O9461" s="0" t="n">
        <v>504.55</v>
      </c>
      <c r="P9461" s="0" t="s">
        <v>2444</v>
      </c>
    </row>
    <row r="9462" customFormat="false" ht="12.75" hidden="false" customHeight="true" outlineLevel="0" collapsed="false">
      <c r="A9462" s="0" t="n">
        <v>2</v>
      </c>
      <c r="B9462" s="71" t="n">
        <v>46293</v>
      </c>
      <c r="C9462" s="0" t="n">
        <v>22</v>
      </c>
      <c r="D9462" s="0" t="s">
        <v>2479</v>
      </c>
      <c r="E9462" s="0" t="n">
        <v>48</v>
      </c>
      <c r="F9462" s="0" t="s">
        <v>153</v>
      </c>
      <c r="I9462" s="0" t="n">
        <v>2703</v>
      </c>
      <c r="J9462" s="0" t="n">
        <v>100011</v>
      </c>
      <c r="K9462" s="0" t="n">
        <v>12</v>
      </c>
      <c r="L9462" s="0" t="s">
        <v>2488</v>
      </c>
      <c r="N9462" s="0" t="n">
        <v>10.745</v>
      </c>
      <c r="O9462" s="0" t="n">
        <v>411.28</v>
      </c>
      <c r="P9462" s="0" t="s">
        <v>2444</v>
      </c>
    </row>
    <row r="9463" customFormat="false" ht="12.75" hidden="false" customHeight="true" outlineLevel="0" collapsed="false">
      <c r="A9463" s="0" t="n">
        <v>2</v>
      </c>
      <c r="B9463" s="71" t="n">
        <v>46293</v>
      </c>
      <c r="C9463" s="0" t="n">
        <v>22</v>
      </c>
      <c r="D9463" s="0" t="s">
        <v>2479</v>
      </c>
      <c r="E9463" s="0" t="n">
        <v>48</v>
      </c>
      <c r="F9463" s="0" t="s">
        <v>153</v>
      </c>
      <c r="I9463" s="0" t="n">
        <v>2703</v>
      </c>
      <c r="J9463" s="0" t="n">
        <v>100012</v>
      </c>
      <c r="K9463" s="0" t="n">
        <v>13</v>
      </c>
      <c r="L9463" s="0" t="s">
        <v>2489</v>
      </c>
      <c r="N9463" s="0" t="n">
        <v>5.286</v>
      </c>
      <c r="O9463" s="0" t="n">
        <v>224.82</v>
      </c>
      <c r="P9463" s="0" t="s">
        <v>2444</v>
      </c>
    </row>
    <row r="9464" customFormat="false" ht="12.75" hidden="false" customHeight="true" outlineLevel="0" collapsed="false">
      <c r="A9464" s="0" t="n">
        <v>2</v>
      </c>
      <c r="B9464" s="71" t="n">
        <v>46293</v>
      </c>
      <c r="C9464" s="0" t="n">
        <v>22</v>
      </c>
      <c r="D9464" s="0" t="s">
        <v>2479</v>
      </c>
      <c r="E9464" s="0" t="n">
        <v>48</v>
      </c>
      <c r="F9464" s="0" t="s">
        <v>153</v>
      </c>
      <c r="I9464" s="0" t="n">
        <v>2703</v>
      </c>
      <c r="J9464" s="0" t="n">
        <v>100013</v>
      </c>
      <c r="K9464" s="0" t="n">
        <v>14</v>
      </c>
      <c r="L9464" s="0" t="s">
        <v>2490</v>
      </c>
      <c r="N9464" s="0" t="n">
        <v>11.44</v>
      </c>
      <c r="O9464" s="0" t="n">
        <v>515.75</v>
      </c>
      <c r="P9464" s="0" t="s">
        <v>2444</v>
      </c>
    </row>
    <row r="9465" customFormat="false" ht="12.75" hidden="false" customHeight="true" outlineLevel="0" collapsed="false">
      <c r="A9465" s="0" t="n">
        <v>2</v>
      </c>
      <c r="B9465" s="71" t="n">
        <v>46293</v>
      </c>
      <c r="C9465" s="0" t="n">
        <v>22</v>
      </c>
      <c r="D9465" s="0" t="s">
        <v>2479</v>
      </c>
      <c r="E9465" s="0" t="n">
        <v>48</v>
      </c>
      <c r="F9465" s="0" t="s">
        <v>153</v>
      </c>
      <c r="I9465" s="0" t="n">
        <v>2703</v>
      </c>
      <c r="J9465" s="0" t="n">
        <v>100014</v>
      </c>
      <c r="K9465" s="0" t="n">
        <v>15</v>
      </c>
      <c r="L9465" s="0" t="s">
        <v>2491</v>
      </c>
      <c r="N9465" s="0" t="n">
        <v>4.218</v>
      </c>
      <c r="O9465" s="0" t="n">
        <v>193.75</v>
      </c>
      <c r="P9465" s="0" t="s">
        <v>2444</v>
      </c>
    </row>
    <row r="9466" customFormat="false" ht="12.75" hidden="false" customHeight="true" outlineLevel="0" collapsed="false">
      <c r="A9466" s="0" t="n">
        <v>2</v>
      </c>
      <c r="B9466" s="71" t="n">
        <v>46293</v>
      </c>
      <c r="C9466" s="0" t="n">
        <v>22</v>
      </c>
      <c r="D9466" s="0" t="s">
        <v>2479</v>
      </c>
      <c r="E9466" s="0" t="n">
        <v>48</v>
      </c>
      <c r="F9466" s="0" t="s">
        <v>153</v>
      </c>
      <c r="I9466" s="0" t="n">
        <v>2703</v>
      </c>
      <c r="J9466" s="0" t="n">
        <v>100015</v>
      </c>
      <c r="K9466" s="0" t="n">
        <v>16</v>
      </c>
      <c r="L9466" s="0" t="s">
        <v>2492</v>
      </c>
      <c r="N9466" s="0" t="n">
        <v>2.052</v>
      </c>
      <c r="O9466" s="0" t="n">
        <v>83.78</v>
      </c>
      <c r="P9466" s="0" t="s">
        <v>2444</v>
      </c>
    </row>
    <row r="9467" customFormat="false" ht="12.75" hidden="false" customHeight="true" outlineLevel="0" collapsed="false">
      <c r="A9467" s="0" t="n">
        <v>2</v>
      </c>
      <c r="B9467" s="71" t="n">
        <v>46293</v>
      </c>
      <c r="C9467" s="0" t="n">
        <v>22</v>
      </c>
      <c r="D9467" s="0" t="s">
        <v>2479</v>
      </c>
      <c r="E9467" s="0" t="n">
        <v>48</v>
      </c>
      <c r="F9467" s="0" t="s">
        <v>153</v>
      </c>
      <c r="I9467" s="0" t="n">
        <v>2703</v>
      </c>
      <c r="J9467" s="0" t="n">
        <v>100016</v>
      </c>
      <c r="K9467" s="0" t="n">
        <v>17</v>
      </c>
      <c r="L9467" s="0" t="s">
        <v>2493</v>
      </c>
      <c r="N9467" s="0" t="n">
        <v>1.566</v>
      </c>
      <c r="O9467" s="0" t="n">
        <v>79.93</v>
      </c>
      <c r="P9467" s="0" t="s">
        <v>2444</v>
      </c>
    </row>
    <row r="9468" customFormat="false" ht="12.75" hidden="false" customHeight="true" outlineLevel="0" collapsed="false">
      <c r="A9468" s="0" t="n">
        <v>2</v>
      </c>
      <c r="B9468" s="71" t="n">
        <v>46293</v>
      </c>
      <c r="C9468" s="0" t="n">
        <v>22</v>
      </c>
      <c r="D9468" s="0" t="s">
        <v>2479</v>
      </c>
      <c r="E9468" s="0" t="n">
        <v>48</v>
      </c>
      <c r="F9468" s="0" t="s">
        <v>153</v>
      </c>
      <c r="I9468" s="0" t="n">
        <v>2703</v>
      </c>
      <c r="J9468" s="0" t="n">
        <v>100017</v>
      </c>
      <c r="K9468" s="0" t="n">
        <v>18</v>
      </c>
      <c r="L9468" s="0" t="s">
        <v>2494</v>
      </c>
      <c r="N9468" s="0" t="n">
        <v>1.882</v>
      </c>
      <c r="O9468" s="0" t="n">
        <v>120.07</v>
      </c>
      <c r="P9468" s="0" t="s">
        <v>2444</v>
      </c>
    </row>
    <row r="9469" customFormat="false" ht="12.75" hidden="false" customHeight="true" outlineLevel="0" collapsed="false">
      <c r="A9469" s="0" t="n">
        <v>2</v>
      </c>
      <c r="B9469" s="71" t="n">
        <v>46293</v>
      </c>
      <c r="C9469" s="0" t="n">
        <v>22</v>
      </c>
      <c r="D9469" s="0" t="s">
        <v>2479</v>
      </c>
      <c r="E9469" s="0" t="n">
        <v>48</v>
      </c>
      <c r="F9469" s="0" t="s">
        <v>153</v>
      </c>
      <c r="I9469" s="0" t="n">
        <v>2703</v>
      </c>
      <c r="J9469" s="0" t="n">
        <v>100019</v>
      </c>
      <c r="K9469" s="0" t="n">
        <v>20</v>
      </c>
      <c r="L9469" s="0" t="s">
        <v>3779</v>
      </c>
      <c r="N9469" s="0" t="n">
        <v>4.29</v>
      </c>
      <c r="O9469" s="0" t="n">
        <v>140.32</v>
      </c>
      <c r="P9469" s="0" t="s">
        <v>2444</v>
      </c>
    </row>
    <row r="9470" customFormat="false" ht="12.75" hidden="false" customHeight="true" outlineLevel="0" collapsed="false">
      <c r="A9470" s="0" t="n">
        <v>2</v>
      </c>
      <c r="B9470" s="71" t="n">
        <v>46293</v>
      </c>
      <c r="C9470" s="0" t="n">
        <v>22</v>
      </c>
      <c r="D9470" s="0" t="s">
        <v>2479</v>
      </c>
      <c r="E9470" s="0" t="n">
        <v>48</v>
      </c>
      <c r="F9470" s="0" t="s">
        <v>153</v>
      </c>
      <c r="I9470" s="0" t="n">
        <v>2703</v>
      </c>
      <c r="J9470" s="0" t="n">
        <v>100053</v>
      </c>
      <c r="K9470" s="0" t="n">
        <v>54</v>
      </c>
      <c r="L9470" s="0" t="s">
        <v>2495</v>
      </c>
      <c r="N9470" s="0" t="n">
        <v>1.522</v>
      </c>
      <c r="O9470" s="0" t="n">
        <v>56.96</v>
      </c>
      <c r="P9470" s="0" t="s">
        <v>2444</v>
      </c>
    </row>
    <row r="9471" customFormat="false" ht="12.75" hidden="false" customHeight="true" outlineLevel="0" collapsed="false">
      <c r="A9471" s="0" t="n">
        <v>2</v>
      </c>
      <c r="B9471" s="71" t="n">
        <v>46293</v>
      </c>
      <c r="C9471" s="0" t="n">
        <v>22</v>
      </c>
      <c r="D9471" s="0" t="s">
        <v>2479</v>
      </c>
      <c r="E9471" s="0" t="n">
        <v>48</v>
      </c>
      <c r="F9471" s="0" t="s">
        <v>153</v>
      </c>
      <c r="I9471" s="0" t="n">
        <v>2703</v>
      </c>
      <c r="J9471" s="0" t="n">
        <v>100638</v>
      </c>
      <c r="K9471" s="0" t="n">
        <v>508</v>
      </c>
      <c r="L9471" s="0" t="s">
        <v>2496</v>
      </c>
      <c r="N9471" s="0" t="n">
        <v>1.366</v>
      </c>
      <c r="O9471" s="0" t="n">
        <v>3.47</v>
      </c>
      <c r="P9471" s="0" t="s">
        <v>2444</v>
      </c>
    </row>
    <row r="9472" customFormat="false" ht="12.75" hidden="false" customHeight="true" outlineLevel="0" collapsed="false">
      <c r="A9472" s="0" t="n">
        <v>2</v>
      </c>
      <c r="B9472" s="71" t="n">
        <v>46293</v>
      </c>
      <c r="C9472" s="0" t="n">
        <v>22</v>
      </c>
      <c r="D9472" s="0" t="s">
        <v>2479</v>
      </c>
      <c r="E9472" s="0" t="n">
        <v>48</v>
      </c>
      <c r="F9472" s="0" t="s">
        <v>153</v>
      </c>
      <c r="I9472" s="0" t="n">
        <v>2703</v>
      </c>
      <c r="J9472" s="0" t="n">
        <v>100638</v>
      </c>
      <c r="K9472" s="0" t="n">
        <v>508</v>
      </c>
      <c r="L9472" s="0" t="s">
        <v>2496</v>
      </c>
      <c r="N9472" s="0" t="n">
        <v>1.606</v>
      </c>
      <c r="O9472" s="0" t="n">
        <v>3.74</v>
      </c>
      <c r="P9472" s="0" t="s">
        <v>2444</v>
      </c>
    </row>
    <row r="9473" customFormat="false" ht="12.75" hidden="false" customHeight="true" outlineLevel="0" collapsed="false">
      <c r="A9473" s="0" t="n">
        <v>2</v>
      </c>
      <c r="B9473" s="71" t="n">
        <v>46293</v>
      </c>
      <c r="C9473" s="0" t="n">
        <v>22</v>
      </c>
      <c r="D9473" s="0" t="s">
        <v>2479</v>
      </c>
      <c r="E9473" s="0" t="n">
        <v>48</v>
      </c>
      <c r="F9473" s="0" t="s">
        <v>153</v>
      </c>
      <c r="I9473" s="0" t="n">
        <v>2703</v>
      </c>
      <c r="J9473" s="0" t="n">
        <v>110137</v>
      </c>
      <c r="K9473" s="0" t="n">
        <v>13899</v>
      </c>
      <c r="L9473" s="0" t="s">
        <v>3780</v>
      </c>
      <c r="N9473" s="0" t="n">
        <v>12.605</v>
      </c>
      <c r="O9473" s="0" t="n">
        <v>53.51</v>
      </c>
      <c r="P9473" s="0" t="s">
        <v>2444</v>
      </c>
    </row>
    <row r="9474" customFormat="false" ht="12.75" hidden="false" customHeight="true" outlineLevel="0" collapsed="false">
      <c r="A9474" s="0" t="n">
        <v>2</v>
      </c>
      <c r="B9474" s="71" t="n">
        <v>46293</v>
      </c>
      <c r="C9474" s="0" t="n">
        <v>22</v>
      </c>
      <c r="D9474" s="0" t="s">
        <v>2479</v>
      </c>
      <c r="E9474" s="0" t="n">
        <v>48</v>
      </c>
      <c r="F9474" s="0" t="s">
        <v>153</v>
      </c>
      <c r="I9474" s="0" t="n">
        <v>2703</v>
      </c>
      <c r="J9474" s="0" t="n">
        <v>110137</v>
      </c>
      <c r="K9474" s="0" t="n">
        <v>13899</v>
      </c>
      <c r="L9474" s="0" t="s">
        <v>3780</v>
      </c>
      <c r="N9474" s="0" t="n">
        <v>2.512</v>
      </c>
      <c r="O9474" s="0" t="n">
        <v>9.76</v>
      </c>
      <c r="P9474" s="0" t="s">
        <v>2444</v>
      </c>
    </row>
    <row r="9475" customFormat="false" ht="12.75" hidden="false" customHeight="true" outlineLevel="0" collapsed="false">
      <c r="A9475" s="0" t="n">
        <v>2</v>
      </c>
      <c r="B9475" s="71" t="n">
        <v>46293</v>
      </c>
      <c r="C9475" s="0" t="n">
        <v>22</v>
      </c>
      <c r="D9475" s="0" t="s">
        <v>2479</v>
      </c>
      <c r="E9475" s="0" t="n">
        <v>48</v>
      </c>
      <c r="F9475" s="0" t="s">
        <v>153</v>
      </c>
      <c r="I9475" s="0" t="n">
        <v>2703</v>
      </c>
      <c r="J9475" s="0" t="n">
        <v>110455</v>
      </c>
      <c r="K9475" s="0" t="n">
        <v>53212</v>
      </c>
      <c r="L9475" s="0" t="s">
        <v>2498</v>
      </c>
      <c r="N9475" s="0" t="n">
        <v>0.973</v>
      </c>
      <c r="O9475" s="0" t="n">
        <v>0.02</v>
      </c>
      <c r="P9475" s="0" t="s">
        <v>2444</v>
      </c>
    </row>
    <row r="9476" customFormat="false" ht="12.75" hidden="false" customHeight="true" outlineLevel="0" collapsed="false">
      <c r="A9476" s="0" t="n">
        <v>2</v>
      </c>
      <c r="B9476" s="71" t="n">
        <v>46293</v>
      </c>
      <c r="C9476" s="0" t="n">
        <v>22</v>
      </c>
      <c r="D9476" s="0" t="s">
        <v>2479</v>
      </c>
      <c r="E9476" s="0" t="n">
        <v>48</v>
      </c>
      <c r="F9476" s="0" t="s">
        <v>153</v>
      </c>
      <c r="I9476" s="0" t="n">
        <v>2703</v>
      </c>
      <c r="J9476" s="0" t="n">
        <v>110455</v>
      </c>
      <c r="K9476" s="0" t="n">
        <v>53212</v>
      </c>
      <c r="L9476" s="0" t="s">
        <v>2498</v>
      </c>
      <c r="N9476" s="0" t="n">
        <v>0.448</v>
      </c>
      <c r="O9476" s="0" t="n">
        <v>0</v>
      </c>
      <c r="P9476" s="0" t="s">
        <v>2444</v>
      </c>
    </row>
    <row r="9477" customFormat="false" ht="12.75" hidden="false" customHeight="true" outlineLevel="0" collapsed="false">
      <c r="A9477" s="0" t="n">
        <v>2</v>
      </c>
      <c r="B9477" s="71" t="n">
        <v>46293</v>
      </c>
      <c r="C9477" s="0" t="n">
        <v>39</v>
      </c>
      <c r="D9477" s="0" t="s">
        <v>3298</v>
      </c>
      <c r="E9477" s="0" t="n">
        <v>737</v>
      </c>
      <c r="F9477" s="0" t="s">
        <v>2056</v>
      </c>
      <c r="I9477" s="0" t="n">
        <v>178788</v>
      </c>
      <c r="J9477" s="0" t="n">
        <v>74207</v>
      </c>
      <c r="K9477" s="0" t="n">
        <v>7904979017928</v>
      </c>
      <c r="L9477" s="0" t="s">
        <v>5612</v>
      </c>
      <c r="N9477" s="0" t="n">
        <v>4</v>
      </c>
      <c r="O9477" s="0" t="n">
        <v>770</v>
      </c>
      <c r="P9477" s="0" t="s">
        <v>2444</v>
      </c>
    </row>
    <row r="9478" customFormat="false" ht="12.75" hidden="false" customHeight="true" outlineLevel="0" collapsed="false">
      <c r="A9478" s="0" t="n">
        <v>2</v>
      </c>
      <c r="B9478" s="71" t="n">
        <v>46293</v>
      </c>
      <c r="C9478" s="0" t="n">
        <v>39</v>
      </c>
      <c r="D9478" s="0" t="s">
        <v>3298</v>
      </c>
      <c r="E9478" s="0" t="n">
        <v>1725</v>
      </c>
      <c r="F9478" s="0" t="s">
        <v>1921</v>
      </c>
      <c r="I9478" s="0" t="n">
        <v>292150</v>
      </c>
      <c r="J9478" s="0" t="n">
        <v>59594</v>
      </c>
      <c r="K9478" s="0" t="n">
        <v>2256375</v>
      </c>
      <c r="L9478" s="0" t="s">
        <v>5613</v>
      </c>
      <c r="N9478" s="0" t="n">
        <v>40</v>
      </c>
      <c r="O9478" s="0" t="n">
        <v>234</v>
      </c>
      <c r="P9478" s="0" t="s">
        <v>2444</v>
      </c>
    </row>
    <row r="9479" customFormat="false" ht="12.75" hidden="false" customHeight="true" outlineLevel="0" collapsed="false">
      <c r="A9479" s="0" t="n">
        <v>2</v>
      </c>
      <c r="B9479" s="71" t="n">
        <v>46293</v>
      </c>
      <c r="C9479" s="0" t="n">
        <v>39</v>
      </c>
      <c r="D9479" s="0" t="s">
        <v>3298</v>
      </c>
      <c r="E9479" s="0" t="n">
        <v>1960</v>
      </c>
      <c r="F9479" s="0" t="s">
        <v>93</v>
      </c>
      <c r="I9479" s="0" t="n">
        <v>449309</v>
      </c>
      <c r="J9479" s="0" t="n">
        <v>82585</v>
      </c>
      <c r="K9479" s="0" t="n">
        <v>825863</v>
      </c>
      <c r="L9479" s="0" t="s">
        <v>5614</v>
      </c>
      <c r="N9479" s="0" t="n">
        <v>4</v>
      </c>
      <c r="O9479" s="0" t="n">
        <v>39.47</v>
      </c>
      <c r="P9479" s="0" t="s">
        <v>2444</v>
      </c>
    </row>
    <row r="9480" customFormat="false" ht="12.75" hidden="false" customHeight="true" outlineLevel="0" collapsed="false">
      <c r="A9480" s="0" t="n">
        <v>2</v>
      </c>
      <c r="B9480" s="71" t="n">
        <v>46293</v>
      </c>
      <c r="C9480" s="0" t="n">
        <v>39</v>
      </c>
      <c r="D9480" s="0" t="s">
        <v>3298</v>
      </c>
      <c r="E9480" s="0" t="n">
        <v>1960</v>
      </c>
      <c r="F9480" s="0" t="s">
        <v>93</v>
      </c>
      <c r="I9480" s="0" t="n">
        <v>449309</v>
      </c>
      <c r="J9480" s="0" t="n">
        <v>82585</v>
      </c>
      <c r="K9480" s="0" t="n">
        <v>825863</v>
      </c>
      <c r="L9480" s="0" t="s">
        <v>5614</v>
      </c>
      <c r="N9480" s="0" t="n">
        <v>1</v>
      </c>
      <c r="O9480" s="0" t="n">
        <v>10.53</v>
      </c>
      <c r="P9480" s="0" t="s">
        <v>2444</v>
      </c>
    </row>
    <row r="9481" customFormat="false" ht="12.75" hidden="false" customHeight="true" outlineLevel="0" collapsed="false">
      <c r="A9481" s="0" t="n">
        <v>2</v>
      </c>
      <c r="B9481" s="71" t="n">
        <v>46293</v>
      </c>
      <c r="C9481" s="0" t="n">
        <v>100</v>
      </c>
      <c r="D9481" s="0" t="s">
        <v>2499</v>
      </c>
      <c r="E9481" s="0" t="n">
        <v>48</v>
      </c>
      <c r="F9481" s="0" t="s">
        <v>153</v>
      </c>
      <c r="I9481" s="0" t="n">
        <v>1768809</v>
      </c>
      <c r="J9481" s="0" t="n">
        <v>100000</v>
      </c>
      <c r="K9481" s="0" t="n">
        <v>1</v>
      </c>
      <c r="L9481" s="0" t="s">
        <v>2480</v>
      </c>
      <c r="N9481" s="0" t="n">
        <v>3.018</v>
      </c>
      <c r="O9481" s="0" t="n">
        <v>61.6</v>
      </c>
      <c r="P9481" s="0" t="s">
        <v>2444</v>
      </c>
    </row>
    <row r="9482" customFormat="false" ht="12.75" hidden="false" customHeight="true" outlineLevel="0" collapsed="false">
      <c r="A9482" s="0" t="n">
        <v>2</v>
      </c>
      <c r="B9482" s="71" t="n">
        <v>46293</v>
      </c>
      <c r="C9482" s="0" t="n">
        <v>100</v>
      </c>
      <c r="D9482" s="0" t="s">
        <v>2499</v>
      </c>
      <c r="E9482" s="0" t="n">
        <v>48</v>
      </c>
      <c r="F9482" s="0" t="s">
        <v>153</v>
      </c>
      <c r="I9482" s="0" t="n">
        <v>1768809</v>
      </c>
      <c r="J9482" s="0" t="n">
        <v>100006</v>
      </c>
      <c r="K9482" s="0" t="n">
        <v>7</v>
      </c>
      <c r="L9482" s="0" t="s">
        <v>2485</v>
      </c>
      <c r="N9482" s="0" t="n">
        <v>2.346</v>
      </c>
      <c r="O9482" s="0" t="n">
        <v>67.84</v>
      </c>
      <c r="P9482" s="0" t="s">
        <v>2444</v>
      </c>
    </row>
    <row r="9483" customFormat="false" ht="12.75" hidden="false" customHeight="true" outlineLevel="0" collapsed="false">
      <c r="A9483" s="0" t="n">
        <v>2</v>
      </c>
      <c r="B9483" s="71" t="n">
        <v>46293</v>
      </c>
      <c r="C9483" s="0" t="n">
        <v>100</v>
      </c>
      <c r="D9483" s="0" t="s">
        <v>2499</v>
      </c>
      <c r="E9483" s="0" t="n">
        <v>48</v>
      </c>
      <c r="F9483" s="0" t="s">
        <v>153</v>
      </c>
      <c r="I9483" s="0" t="n">
        <v>1768809</v>
      </c>
      <c r="J9483" s="0" t="n">
        <v>100007</v>
      </c>
      <c r="K9483" s="0" t="n">
        <v>8</v>
      </c>
      <c r="L9483" s="0" t="s">
        <v>2486</v>
      </c>
      <c r="N9483" s="0" t="n">
        <v>2.896</v>
      </c>
      <c r="O9483" s="0" t="n">
        <v>73.89</v>
      </c>
      <c r="P9483" s="0" t="s">
        <v>2444</v>
      </c>
    </row>
    <row r="9484" customFormat="false" ht="12.75" hidden="false" customHeight="true" outlineLevel="0" collapsed="false">
      <c r="A9484" s="0" t="n">
        <v>2</v>
      </c>
      <c r="B9484" s="71" t="n">
        <v>46293</v>
      </c>
      <c r="C9484" s="0" t="n">
        <v>100</v>
      </c>
      <c r="D9484" s="0" t="s">
        <v>2499</v>
      </c>
      <c r="E9484" s="0" t="n">
        <v>48</v>
      </c>
      <c r="F9484" s="0" t="s">
        <v>153</v>
      </c>
      <c r="I9484" s="0" t="n">
        <v>1768809</v>
      </c>
      <c r="J9484" s="0" t="n">
        <v>100008</v>
      </c>
      <c r="K9484" s="0" t="n">
        <v>9</v>
      </c>
      <c r="L9484" s="0" t="s">
        <v>2487</v>
      </c>
      <c r="N9484" s="0" t="n">
        <v>15.21</v>
      </c>
      <c r="O9484" s="0" t="n">
        <v>504.55</v>
      </c>
      <c r="P9484" s="0" t="s">
        <v>2444</v>
      </c>
    </row>
    <row r="9485" customFormat="false" ht="12.75" hidden="false" customHeight="true" outlineLevel="0" collapsed="false">
      <c r="A9485" s="0" t="n">
        <v>2</v>
      </c>
      <c r="B9485" s="71" t="n">
        <v>46293</v>
      </c>
      <c r="C9485" s="0" t="n">
        <v>100</v>
      </c>
      <c r="D9485" s="0" t="s">
        <v>2499</v>
      </c>
      <c r="E9485" s="0" t="n">
        <v>48</v>
      </c>
      <c r="F9485" s="0" t="s">
        <v>153</v>
      </c>
      <c r="I9485" s="0" t="n">
        <v>1768809</v>
      </c>
      <c r="J9485" s="0" t="n">
        <v>100011</v>
      </c>
      <c r="K9485" s="0" t="n">
        <v>12</v>
      </c>
      <c r="L9485" s="0" t="s">
        <v>2488</v>
      </c>
      <c r="N9485" s="0" t="n">
        <v>10.745</v>
      </c>
      <c r="O9485" s="0" t="n">
        <v>411.28</v>
      </c>
      <c r="P9485" s="0" t="s">
        <v>2444</v>
      </c>
    </row>
    <row r="9486" customFormat="false" ht="12.75" hidden="false" customHeight="true" outlineLevel="0" collapsed="false">
      <c r="A9486" s="0" t="n">
        <v>2</v>
      </c>
      <c r="B9486" s="71" t="n">
        <v>46293</v>
      </c>
      <c r="C9486" s="0" t="n">
        <v>100</v>
      </c>
      <c r="D9486" s="0" t="s">
        <v>2499</v>
      </c>
      <c r="E9486" s="0" t="n">
        <v>48</v>
      </c>
      <c r="F9486" s="0" t="s">
        <v>153</v>
      </c>
      <c r="I9486" s="0" t="n">
        <v>1768809</v>
      </c>
      <c r="J9486" s="0" t="n">
        <v>100012</v>
      </c>
      <c r="K9486" s="0" t="n">
        <v>13</v>
      </c>
      <c r="L9486" s="0" t="s">
        <v>2489</v>
      </c>
      <c r="N9486" s="0" t="n">
        <v>5.286</v>
      </c>
      <c r="O9486" s="0" t="n">
        <v>224.82</v>
      </c>
      <c r="P9486" s="0" t="s">
        <v>2444</v>
      </c>
    </row>
    <row r="9487" customFormat="false" ht="12.75" hidden="false" customHeight="true" outlineLevel="0" collapsed="false">
      <c r="A9487" s="0" t="n">
        <v>2</v>
      </c>
      <c r="B9487" s="71" t="n">
        <v>46293</v>
      </c>
      <c r="C9487" s="0" t="n">
        <v>100</v>
      </c>
      <c r="D9487" s="0" t="s">
        <v>2499</v>
      </c>
      <c r="E9487" s="0" t="n">
        <v>48</v>
      </c>
      <c r="F9487" s="0" t="s">
        <v>153</v>
      </c>
      <c r="I9487" s="0" t="n">
        <v>1768809</v>
      </c>
      <c r="J9487" s="0" t="n">
        <v>100013</v>
      </c>
      <c r="K9487" s="0" t="n">
        <v>14</v>
      </c>
      <c r="L9487" s="0" t="s">
        <v>2490</v>
      </c>
      <c r="N9487" s="0" t="n">
        <v>11.44</v>
      </c>
      <c r="O9487" s="0" t="n">
        <v>515.75</v>
      </c>
      <c r="P9487" s="0" t="s">
        <v>2444</v>
      </c>
    </row>
    <row r="9488" customFormat="false" ht="12.75" hidden="false" customHeight="true" outlineLevel="0" collapsed="false">
      <c r="A9488" s="0" t="n">
        <v>2</v>
      </c>
      <c r="B9488" s="71" t="n">
        <v>46293</v>
      </c>
      <c r="C9488" s="0" t="n">
        <v>100</v>
      </c>
      <c r="D9488" s="0" t="s">
        <v>2499</v>
      </c>
      <c r="E9488" s="0" t="n">
        <v>48</v>
      </c>
      <c r="F9488" s="0" t="s">
        <v>153</v>
      </c>
      <c r="I9488" s="0" t="n">
        <v>1768809</v>
      </c>
      <c r="J9488" s="0" t="n">
        <v>100014</v>
      </c>
      <c r="K9488" s="0" t="n">
        <v>15</v>
      </c>
      <c r="L9488" s="0" t="s">
        <v>2491</v>
      </c>
      <c r="N9488" s="0" t="n">
        <v>4.218</v>
      </c>
      <c r="O9488" s="0" t="n">
        <v>193.75</v>
      </c>
      <c r="P9488" s="0" t="s">
        <v>2444</v>
      </c>
    </row>
    <row r="9489" customFormat="false" ht="12.75" hidden="false" customHeight="true" outlineLevel="0" collapsed="false">
      <c r="A9489" s="0" t="n">
        <v>2</v>
      </c>
      <c r="B9489" s="71" t="n">
        <v>46293</v>
      </c>
      <c r="C9489" s="0" t="n">
        <v>100</v>
      </c>
      <c r="D9489" s="0" t="s">
        <v>2499</v>
      </c>
      <c r="E9489" s="0" t="n">
        <v>48</v>
      </c>
      <c r="F9489" s="0" t="s">
        <v>153</v>
      </c>
      <c r="I9489" s="0" t="n">
        <v>1768809</v>
      </c>
      <c r="J9489" s="0" t="n">
        <v>100015</v>
      </c>
      <c r="K9489" s="0" t="n">
        <v>16</v>
      </c>
      <c r="L9489" s="0" t="s">
        <v>2492</v>
      </c>
      <c r="N9489" s="0" t="n">
        <v>2.052</v>
      </c>
      <c r="O9489" s="0" t="n">
        <v>83.78</v>
      </c>
      <c r="P9489" s="0" t="s">
        <v>2444</v>
      </c>
    </row>
    <row r="9490" customFormat="false" ht="12.75" hidden="false" customHeight="true" outlineLevel="0" collapsed="false">
      <c r="A9490" s="0" t="n">
        <v>2</v>
      </c>
      <c r="B9490" s="71" t="n">
        <v>46293</v>
      </c>
      <c r="C9490" s="0" t="n">
        <v>100</v>
      </c>
      <c r="D9490" s="0" t="s">
        <v>2499</v>
      </c>
      <c r="E9490" s="0" t="n">
        <v>48</v>
      </c>
      <c r="F9490" s="0" t="s">
        <v>153</v>
      </c>
      <c r="I9490" s="0" t="n">
        <v>1768809</v>
      </c>
      <c r="J9490" s="0" t="n">
        <v>100016</v>
      </c>
      <c r="K9490" s="0" t="n">
        <v>17</v>
      </c>
      <c r="L9490" s="0" t="s">
        <v>2493</v>
      </c>
      <c r="N9490" s="0" t="n">
        <v>1.566</v>
      </c>
      <c r="O9490" s="0" t="n">
        <v>79.93</v>
      </c>
      <c r="P9490" s="0" t="s">
        <v>2444</v>
      </c>
    </row>
    <row r="9491" customFormat="false" ht="12.75" hidden="false" customHeight="true" outlineLevel="0" collapsed="false">
      <c r="A9491" s="0" t="n">
        <v>2</v>
      </c>
      <c r="B9491" s="71" t="n">
        <v>46293</v>
      </c>
      <c r="C9491" s="0" t="n">
        <v>100</v>
      </c>
      <c r="D9491" s="0" t="s">
        <v>2499</v>
      </c>
      <c r="E9491" s="0" t="n">
        <v>48</v>
      </c>
      <c r="F9491" s="0" t="s">
        <v>153</v>
      </c>
      <c r="I9491" s="0" t="n">
        <v>1768809</v>
      </c>
      <c r="J9491" s="0" t="n">
        <v>100017</v>
      </c>
      <c r="K9491" s="0" t="n">
        <v>18</v>
      </c>
      <c r="L9491" s="0" t="s">
        <v>2494</v>
      </c>
      <c r="N9491" s="0" t="n">
        <v>1.882</v>
      </c>
      <c r="O9491" s="0" t="n">
        <v>120.07</v>
      </c>
      <c r="P9491" s="0" t="s">
        <v>2444</v>
      </c>
    </row>
    <row r="9492" customFormat="false" ht="12.75" hidden="false" customHeight="true" outlineLevel="0" collapsed="false">
      <c r="A9492" s="0" t="n">
        <v>2</v>
      </c>
      <c r="B9492" s="71" t="n">
        <v>46293</v>
      </c>
      <c r="C9492" s="0" t="n">
        <v>100</v>
      </c>
      <c r="D9492" s="0" t="s">
        <v>2499</v>
      </c>
      <c r="E9492" s="0" t="n">
        <v>48</v>
      </c>
      <c r="F9492" s="0" t="s">
        <v>153</v>
      </c>
      <c r="I9492" s="0" t="n">
        <v>1768809</v>
      </c>
      <c r="J9492" s="0" t="n">
        <v>100053</v>
      </c>
      <c r="K9492" s="0" t="n">
        <v>54</v>
      </c>
      <c r="L9492" s="0" t="s">
        <v>2495</v>
      </c>
      <c r="N9492" s="0" t="n">
        <v>1.522</v>
      </c>
      <c r="O9492" s="0" t="n">
        <v>56.96</v>
      </c>
      <c r="P9492" s="0" t="s">
        <v>2444</v>
      </c>
    </row>
    <row r="9493" customFormat="false" ht="12.75" hidden="false" customHeight="true" outlineLevel="0" collapsed="false">
      <c r="A9493" s="0" t="n">
        <v>2</v>
      </c>
      <c r="B9493" s="71" t="n">
        <v>46293</v>
      </c>
      <c r="C9493" s="0" t="n">
        <v>100</v>
      </c>
      <c r="D9493" s="0" t="s">
        <v>2499</v>
      </c>
      <c r="E9493" s="0" t="n">
        <v>48</v>
      </c>
      <c r="F9493" s="0" t="s">
        <v>153</v>
      </c>
      <c r="I9493" s="0" t="n">
        <v>1768809</v>
      </c>
      <c r="J9493" s="0" t="n">
        <v>100638</v>
      </c>
      <c r="K9493" s="0" t="n">
        <v>508</v>
      </c>
      <c r="L9493" s="0" t="s">
        <v>2496</v>
      </c>
      <c r="N9493" s="0" t="n">
        <v>1.366</v>
      </c>
      <c r="O9493" s="0" t="n">
        <v>3.47</v>
      </c>
      <c r="P9493" s="0" t="s">
        <v>2444</v>
      </c>
    </row>
    <row r="9494" customFormat="false" ht="12.75" hidden="false" customHeight="true" outlineLevel="0" collapsed="false">
      <c r="A9494" s="0" t="n">
        <v>2</v>
      </c>
      <c r="B9494" s="71" t="n">
        <v>46293</v>
      </c>
      <c r="C9494" s="0" t="n">
        <v>100</v>
      </c>
      <c r="D9494" s="0" t="s">
        <v>2499</v>
      </c>
      <c r="E9494" s="0" t="n">
        <v>48</v>
      </c>
      <c r="F9494" s="0" t="s">
        <v>153</v>
      </c>
      <c r="I9494" s="0" t="n">
        <v>1768809</v>
      </c>
      <c r="J9494" s="0" t="n">
        <v>110137</v>
      </c>
      <c r="K9494" s="0" t="n">
        <v>13899</v>
      </c>
      <c r="L9494" s="0" t="s">
        <v>3780</v>
      </c>
      <c r="N9494" s="0" t="n">
        <v>12.605</v>
      </c>
      <c r="O9494" s="0" t="n">
        <v>53.51</v>
      </c>
      <c r="P9494" s="0" t="s">
        <v>2444</v>
      </c>
    </row>
    <row r="9495" customFormat="false" ht="12.75" hidden="false" customHeight="true" outlineLevel="0" collapsed="false">
      <c r="A9495" s="0" t="n">
        <v>2</v>
      </c>
      <c r="B9495" s="71" t="n">
        <v>46293</v>
      </c>
      <c r="C9495" s="0" t="n">
        <v>100</v>
      </c>
      <c r="D9495" s="0" t="s">
        <v>2499</v>
      </c>
      <c r="E9495" s="0" t="n">
        <v>48</v>
      </c>
      <c r="F9495" s="0" t="s">
        <v>153</v>
      </c>
      <c r="I9495" s="0" t="n">
        <v>1768809</v>
      </c>
      <c r="J9495" s="0" t="n">
        <v>110455</v>
      </c>
      <c r="K9495" s="0" t="n">
        <v>53212</v>
      </c>
      <c r="L9495" s="0" t="s">
        <v>2498</v>
      </c>
      <c r="N9495" s="0" t="n">
        <v>0.448</v>
      </c>
      <c r="O9495" s="0" t="n">
        <v>0</v>
      </c>
      <c r="P9495" s="0" t="s">
        <v>2444</v>
      </c>
    </row>
    <row r="9496" customFormat="false" ht="12.75" hidden="false" customHeight="true" outlineLevel="0" collapsed="false">
      <c r="A9496" s="0" t="n">
        <v>2</v>
      </c>
      <c r="B9496" s="71" t="n">
        <v>46293</v>
      </c>
      <c r="C9496" s="0" t="n">
        <v>100</v>
      </c>
      <c r="D9496" s="0" t="s">
        <v>2499</v>
      </c>
      <c r="E9496" s="0" t="n">
        <v>48</v>
      </c>
      <c r="F9496" s="0" t="s">
        <v>153</v>
      </c>
      <c r="I9496" s="0" t="n">
        <v>1768812</v>
      </c>
      <c r="J9496" s="0" t="n">
        <v>100000</v>
      </c>
      <c r="K9496" s="0" t="n">
        <v>1</v>
      </c>
      <c r="L9496" s="0" t="s">
        <v>2480</v>
      </c>
      <c r="N9496" s="0" t="n">
        <v>2.08</v>
      </c>
      <c r="O9496" s="0" t="n">
        <v>38.87</v>
      </c>
      <c r="P9496" s="0" t="s">
        <v>2444</v>
      </c>
    </row>
    <row r="9497" customFormat="false" ht="12.75" hidden="false" customHeight="true" outlineLevel="0" collapsed="false">
      <c r="A9497" s="0" t="n">
        <v>2</v>
      </c>
      <c r="B9497" s="71" t="n">
        <v>46293</v>
      </c>
      <c r="C9497" s="0" t="n">
        <v>100</v>
      </c>
      <c r="D9497" s="0" t="s">
        <v>2499</v>
      </c>
      <c r="E9497" s="0" t="n">
        <v>48</v>
      </c>
      <c r="F9497" s="0" t="s">
        <v>153</v>
      </c>
      <c r="I9497" s="0" t="n">
        <v>1768812</v>
      </c>
      <c r="J9497" s="0" t="n">
        <v>100001</v>
      </c>
      <c r="K9497" s="0" t="n">
        <v>2</v>
      </c>
      <c r="L9497" s="0" t="s">
        <v>2481</v>
      </c>
      <c r="N9497" s="0" t="n">
        <v>8.685</v>
      </c>
      <c r="O9497" s="0" t="n">
        <v>175.83</v>
      </c>
      <c r="P9497" s="0" t="s">
        <v>2444</v>
      </c>
    </row>
    <row r="9498" customFormat="false" ht="12.75" hidden="false" customHeight="true" outlineLevel="0" collapsed="false">
      <c r="A9498" s="0" t="n">
        <v>2</v>
      </c>
      <c r="B9498" s="71" t="n">
        <v>46293</v>
      </c>
      <c r="C9498" s="0" t="n">
        <v>100</v>
      </c>
      <c r="D9498" s="0" t="s">
        <v>2499</v>
      </c>
      <c r="E9498" s="0" t="n">
        <v>48</v>
      </c>
      <c r="F9498" s="0" t="s">
        <v>153</v>
      </c>
      <c r="I9498" s="0" t="n">
        <v>1768812</v>
      </c>
      <c r="J9498" s="0" t="n">
        <v>100002</v>
      </c>
      <c r="K9498" s="0" t="n">
        <v>3</v>
      </c>
      <c r="L9498" s="0" t="s">
        <v>2482</v>
      </c>
      <c r="N9498" s="0" t="n">
        <v>18.06</v>
      </c>
      <c r="O9498" s="0" t="n">
        <v>421.91</v>
      </c>
      <c r="P9498" s="0" t="s">
        <v>2444</v>
      </c>
    </row>
    <row r="9499" customFormat="false" ht="12.75" hidden="false" customHeight="true" outlineLevel="0" collapsed="false">
      <c r="A9499" s="0" t="n">
        <v>2</v>
      </c>
      <c r="B9499" s="71" t="n">
        <v>46293</v>
      </c>
      <c r="C9499" s="0" t="n">
        <v>100</v>
      </c>
      <c r="D9499" s="0" t="s">
        <v>2499</v>
      </c>
      <c r="E9499" s="0" t="n">
        <v>48</v>
      </c>
      <c r="F9499" s="0" t="s">
        <v>153</v>
      </c>
      <c r="I9499" s="0" t="n">
        <v>1768812</v>
      </c>
      <c r="J9499" s="0" t="n">
        <v>100003</v>
      </c>
      <c r="K9499" s="0" t="n">
        <v>4</v>
      </c>
      <c r="L9499" s="0" t="s">
        <v>2483</v>
      </c>
      <c r="N9499" s="0" t="n">
        <v>15.21</v>
      </c>
      <c r="O9499" s="0" t="n">
        <v>379.02</v>
      </c>
      <c r="P9499" s="0" t="s">
        <v>2444</v>
      </c>
    </row>
    <row r="9500" customFormat="false" ht="12.75" hidden="false" customHeight="true" outlineLevel="0" collapsed="false">
      <c r="A9500" s="0" t="n">
        <v>2</v>
      </c>
      <c r="B9500" s="71" t="n">
        <v>46293</v>
      </c>
      <c r="C9500" s="0" t="n">
        <v>100</v>
      </c>
      <c r="D9500" s="0" t="s">
        <v>2499</v>
      </c>
      <c r="E9500" s="0" t="n">
        <v>48</v>
      </c>
      <c r="F9500" s="0" t="s">
        <v>153</v>
      </c>
      <c r="I9500" s="0" t="n">
        <v>1768812</v>
      </c>
      <c r="J9500" s="0" t="n">
        <v>100004</v>
      </c>
      <c r="K9500" s="0" t="n">
        <v>5</v>
      </c>
      <c r="L9500" s="0" t="s">
        <v>2484</v>
      </c>
      <c r="N9500" s="0" t="n">
        <v>1.4</v>
      </c>
      <c r="O9500" s="0" t="n">
        <v>30.52</v>
      </c>
      <c r="P9500" s="0" t="s">
        <v>2444</v>
      </c>
    </row>
    <row r="9501" customFormat="false" ht="12.75" hidden="false" customHeight="true" outlineLevel="0" collapsed="false">
      <c r="A9501" s="0" t="n">
        <v>2</v>
      </c>
      <c r="B9501" s="71" t="n">
        <v>46293</v>
      </c>
      <c r="C9501" s="0" t="n">
        <v>100</v>
      </c>
      <c r="D9501" s="0" t="s">
        <v>2499</v>
      </c>
      <c r="E9501" s="0" t="n">
        <v>48</v>
      </c>
      <c r="F9501" s="0" t="s">
        <v>153</v>
      </c>
      <c r="I9501" s="0" t="n">
        <v>1768812</v>
      </c>
      <c r="J9501" s="0" t="n">
        <v>100005</v>
      </c>
      <c r="K9501" s="0" t="n">
        <v>6</v>
      </c>
      <c r="L9501" s="0" t="s">
        <v>2582</v>
      </c>
      <c r="N9501" s="0" t="n">
        <v>1.848</v>
      </c>
      <c r="O9501" s="0" t="n">
        <v>43.17</v>
      </c>
      <c r="P9501" s="0" t="s">
        <v>2444</v>
      </c>
    </row>
    <row r="9502" customFormat="false" ht="12.75" hidden="false" customHeight="true" outlineLevel="0" collapsed="false">
      <c r="A9502" s="0" t="n">
        <v>2</v>
      </c>
      <c r="B9502" s="71" t="n">
        <v>46293</v>
      </c>
      <c r="C9502" s="0" t="n">
        <v>100</v>
      </c>
      <c r="D9502" s="0" t="s">
        <v>2499</v>
      </c>
      <c r="E9502" s="0" t="n">
        <v>48</v>
      </c>
      <c r="F9502" s="0" t="s">
        <v>153</v>
      </c>
      <c r="I9502" s="0" t="n">
        <v>1768812</v>
      </c>
      <c r="J9502" s="0" t="n">
        <v>100007</v>
      </c>
      <c r="K9502" s="0" t="n">
        <v>8</v>
      </c>
      <c r="L9502" s="0" t="s">
        <v>2486</v>
      </c>
      <c r="N9502" s="0" t="n">
        <v>2.536</v>
      </c>
      <c r="O9502" s="0" t="n">
        <v>59.24</v>
      </c>
      <c r="P9502" s="0" t="s">
        <v>2444</v>
      </c>
    </row>
    <row r="9503" customFormat="false" ht="12.75" hidden="false" customHeight="true" outlineLevel="0" collapsed="false">
      <c r="A9503" s="0" t="n">
        <v>2</v>
      </c>
      <c r="B9503" s="71" t="n">
        <v>46293</v>
      </c>
      <c r="C9503" s="0" t="n">
        <v>100</v>
      </c>
      <c r="D9503" s="0" t="s">
        <v>2499</v>
      </c>
      <c r="E9503" s="0" t="n">
        <v>48</v>
      </c>
      <c r="F9503" s="0" t="s">
        <v>153</v>
      </c>
      <c r="I9503" s="0" t="n">
        <v>1768812</v>
      </c>
      <c r="J9503" s="0" t="n">
        <v>100019</v>
      </c>
      <c r="K9503" s="0" t="n">
        <v>20</v>
      </c>
      <c r="L9503" s="0" t="s">
        <v>3779</v>
      </c>
      <c r="N9503" s="0" t="n">
        <v>4.29</v>
      </c>
      <c r="O9503" s="0" t="n">
        <v>140.32</v>
      </c>
      <c r="P9503" s="0" t="s">
        <v>2444</v>
      </c>
    </row>
    <row r="9504" customFormat="false" ht="12.75" hidden="false" customHeight="true" outlineLevel="0" collapsed="false">
      <c r="A9504" s="0" t="n">
        <v>2</v>
      </c>
      <c r="B9504" s="71" t="n">
        <v>46293</v>
      </c>
      <c r="C9504" s="0" t="n">
        <v>100</v>
      </c>
      <c r="D9504" s="0" t="s">
        <v>2499</v>
      </c>
      <c r="E9504" s="0" t="n">
        <v>48</v>
      </c>
      <c r="F9504" s="0" t="s">
        <v>153</v>
      </c>
      <c r="I9504" s="0" t="n">
        <v>1768812</v>
      </c>
      <c r="J9504" s="0" t="n">
        <v>100638</v>
      </c>
      <c r="K9504" s="0" t="n">
        <v>508</v>
      </c>
      <c r="L9504" s="0" t="s">
        <v>2496</v>
      </c>
      <c r="N9504" s="0" t="n">
        <v>1.606</v>
      </c>
      <c r="O9504" s="0" t="n">
        <v>3.74</v>
      </c>
      <c r="P9504" s="0" t="s">
        <v>2444</v>
      </c>
    </row>
    <row r="9505" customFormat="false" ht="12.75" hidden="false" customHeight="true" outlineLevel="0" collapsed="false">
      <c r="A9505" s="0" t="n">
        <v>2</v>
      </c>
      <c r="B9505" s="71" t="n">
        <v>46293</v>
      </c>
      <c r="C9505" s="0" t="n">
        <v>100</v>
      </c>
      <c r="D9505" s="0" t="s">
        <v>2499</v>
      </c>
      <c r="E9505" s="0" t="n">
        <v>48</v>
      </c>
      <c r="F9505" s="0" t="s">
        <v>153</v>
      </c>
      <c r="I9505" s="0" t="n">
        <v>1768812</v>
      </c>
      <c r="J9505" s="0" t="n">
        <v>110137</v>
      </c>
      <c r="K9505" s="0" t="n">
        <v>13899</v>
      </c>
      <c r="L9505" s="0" t="s">
        <v>3780</v>
      </c>
      <c r="N9505" s="0" t="n">
        <v>2.512</v>
      </c>
      <c r="O9505" s="0" t="n">
        <v>9.76</v>
      </c>
      <c r="P9505" s="0" t="s">
        <v>2444</v>
      </c>
    </row>
    <row r="9506" customFormat="false" ht="12.75" hidden="false" customHeight="true" outlineLevel="0" collapsed="false">
      <c r="A9506" s="0" t="n">
        <v>2</v>
      </c>
      <c r="B9506" s="71" t="n">
        <v>46293</v>
      </c>
      <c r="C9506" s="0" t="n">
        <v>100</v>
      </c>
      <c r="D9506" s="0" t="s">
        <v>2499</v>
      </c>
      <c r="E9506" s="0" t="n">
        <v>48</v>
      </c>
      <c r="F9506" s="0" t="s">
        <v>153</v>
      </c>
      <c r="I9506" s="0" t="n">
        <v>1768812</v>
      </c>
      <c r="J9506" s="0" t="n">
        <v>110455</v>
      </c>
      <c r="K9506" s="0" t="n">
        <v>53212</v>
      </c>
      <c r="L9506" s="0" t="s">
        <v>2498</v>
      </c>
      <c r="N9506" s="0" t="n">
        <v>0.973</v>
      </c>
      <c r="O9506" s="0" t="n">
        <v>0.02</v>
      </c>
      <c r="P9506" s="0" t="s">
        <v>2444</v>
      </c>
    </row>
    <row r="9507" customFormat="false" ht="12.75" hidden="false" customHeight="true" outlineLevel="0" collapsed="false">
      <c r="A9507" s="0" t="n">
        <v>2</v>
      </c>
      <c r="B9507" s="71" t="n">
        <v>46294</v>
      </c>
      <c r="C9507" s="0" t="n">
        <v>6</v>
      </c>
      <c r="D9507" s="0" t="s">
        <v>2553</v>
      </c>
      <c r="E9507" s="0" t="n">
        <v>48</v>
      </c>
      <c r="F9507" s="0" t="s">
        <v>153</v>
      </c>
      <c r="I9507" s="0" t="n">
        <v>2705</v>
      </c>
      <c r="J9507" s="0" t="n">
        <v>42564</v>
      </c>
      <c r="K9507" s="0" t="n">
        <v>574</v>
      </c>
      <c r="L9507" s="0" t="s">
        <v>2534</v>
      </c>
      <c r="N9507" s="0" t="n">
        <v>15</v>
      </c>
      <c r="O9507" s="0" t="n">
        <v>225</v>
      </c>
      <c r="P9507" s="0" t="s">
        <v>2444</v>
      </c>
    </row>
    <row r="9508" customFormat="false" ht="12.75" hidden="false" customHeight="true" outlineLevel="0" collapsed="false">
      <c r="A9508" s="0" t="n">
        <v>2</v>
      </c>
      <c r="B9508" s="71" t="n">
        <v>46294</v>
      </c>
      <c r="C9508" s="0" t="n">
        <v>6</v>
      </c>
      <c r="D9508" s="0" t="s">
        <v>2553</v>
      </c>
      <c r="E9508" s="0" t="n">
        <v>48</v>
      </c>
      <c r="F9508" s="0" t="s">
        <v>153</v>
      </c>
      <c r="I9508" s="0" t="n">
        <v>2708</v>
      </c>
      <c r="J9508" s="0" t="n">
        <v>100062</v>
      </c>
      <c r="K9508" s="0" t="n">
        <v>63</v>
      </c>
      <c r="L9508" s="0" t="s">
        <v>2535</v>
      </c>
      <c r="N9508" s="0" t="n">
        <v>18</v>
      </c>
      <c r="O9508" s="0" t="n">
        <v>125</v>
      </c>
      <c r="P9508" s="0" t="s">
        <v>2444</v>
      </c>
    </row>
    <row r="9509" customFormat="false" ht="12.75" hidden="false" customHeight="true" outlineLevel="0" collapsed="false">
      <c r="A9509" s="0" t="n">
        <v>2</v>
      </c>
      <c r="B9509" s="71" t="n">
        <v>46294</v>
      </c>
      <c r="C9509" s="0" t="n">
        <v>6</v>
      </c>
      <c r="D9509" s="0" t="s">
        <v>2553</v>
      </c>
      <c r="E9509" s="0" t="n">
        <v>48</v>
      </c>
      <c r="F9509" s="0" t="s">
        <v>153</v>
      </c>
      <c r="I9509" s="0" t="n">
        <v>2708</v>
      </c>
      <c r="J9509" s="0" t="n">
        <v>100100</v>
      </c>
      <c r="K9509" s="0" t="n">
        <v>101</v>
      </c>
      <c r="L9509" s="0" t="s">
        <v>2693</v>
      </c>
      <c r="N9509" s="0" t="n">
        <v>5</v>
      </c>
      <c r="O9509" s="0" t="n">
        <v>35</v>
      </c>
      <c r="P9509" s="0" t="s">
        <v>2444</v>
      </c>
    </row>
    <row r="9510" customFormat="false" ht="12.75" hidden="false" customHeight="true" outlineLevel="0" collapsed="false">
      <c r="A9510" s="0" t="n">
        <v>2</v>
      </c>
      <c r="B9510" s="71" t="n">
        <v>46294</v>
      </c>
      <c r="C9510" s="0" t="n">
        <v>6</v>
      </c>
      <c r="D9510" s="0" t="s">
        <v>2553</v>
      </c>
      <c r="E9510" s="0" t="n">
        <v>48</v>
      </c>
      <c r="F9510" s="0" t="s">
        <v>153</v>
      </c>
      <c r="I9510" s="0" t="n">
        <v>2708</v>
      </c>
      <c r="J9510" s="0" t="n">
        <v>100109</v>
      </c>
      <c r="K9510" s="0" t="n">
        <v>110</v>
      </c>
      <c r="L9510" s="0" t="s">
        <v>2537</v>
      </c>
      <c r="N9510" s="0" t="n">
        <v>20</v>
      </c>
      <c r="O9510" s="0" t="n">
        <v>140</v>
      </c>
      <c r="P9510" s="0" t="s">
        <v>2444</v>
      </c>
    </row>
    <row r="9511" customFormat="false" ht="12.75" hidden="false" customHeight="true" outlineLevel="0" collapsed="false">
      <c r="A9511" s="0" t="n">
        <v>2</v>
      </c>
      <c r="B9511" s="71" t="n">
        <v>46294</v>
      </c>
      <c r="C9511" s="0" t="n">
        <v>6</v>
      </c>
      <c r="D9511" s="0" t="s">
        <v>2553</v>
      </c>
      <c r="E9511" s="0" t="n">
        <v>48</v>
      </c>
      <c r="F9511" s="0" t="s">
        <v>153</v>
      </c>
      <c r="I9511" s="0" t="n">
        <v>2708</v>
      </c>
      <c r="J9511" s="0" t="n">
        <v>100110</v>
      </c>
      <c r="K9511" s="0" t="n">
        <v>111</v>
      </c>
      <c r="L9511" s="0" t="s">
        <v>2997</v>
      </c>
      <c r="N9511" s="0" t="n">
        <v>20</v>
      </c>
      <c r="O9511" s="0" t="n">
        <v>140</v>
      </c>
      <c r="P9511" s="0" t="s">
        <v>2444</v>
      </c>
    </row>
    <row r="9512" customFormat="false" ht="12.75" hidden="false" customHeight="true" outlineLevel="0" collapsed="false">
      <c r="A9512" s="0" t="n">
        <v>2</v>
      </c>
      <c r="B9512" s="71" t="n">
        <v>46294</v>
      </c>
      <c r="C9512" s="0" t="n">
        <v>6</v>
      </c>
      <c r="D9512" s="0" t="s">
        <v>2553</v>
      </c>
      <c r="E9512" s="0" t="n">
        <v>48</v>
      </c>
      <c r="F9512" s="0" t="s">
        <v>153</v>
      </c>
      <c r="I9512" s="0" t="n">
        <v>2708</v>
      </c>
      <c r="J9512" s="0" t="n">
        <v>100115</v>
      </c>
      <c r="K9512" s="0" t="n">
        <v>116</v>
      </c>
      <c r="L9512" s="0" t="s">
        <v>2694</v>
      </c>
      <c r="N9512" s="0" t="n">
        <v>15</v>
      </c>
      <c r="O9512" s="0" t="n">
        <v>180</v>
      </c>
      <c r="P9512" s="0" t="s">
        <v>2444</v>
      </c>
    </row>
    <row r="9513" customFormat="false" ht="12.75" hidden="false" customHeight="true" outlineLevel="0" collapsed="false">
      <c r="A9513" s="0" t="n">
        <v>2</v>
      </c>
      <c r="B9513" s="71" t="n">
        <v>46294</v>
      </c>
      <c r="C9513" s="0" t="n">
        <v>6</v>
      </c>
      <c r="D9513" s="0" t="s">
        <v>2553</v>
      </c>
      <c r="E9513" s="0" t="n">
        <v>48</v>
      </c>
      <c r="F9513" s="0" t="s">
        <v>153</v>
      </c>
      <c r="I9513" s="0" t="n">
        <v>2708</v>
      </c>
      <c r="J9513" s="0" t="n">
        <v>100116</v>
      </c>
      <c r="K9513" s="0" t="n">
        <v>117</v>
      </c>
      <c r="L9513" s="0" t="s">
        <v>2540</v>
      </c>
      <c r="N9513" s="0" t="n">
        <v>2</v>
      </c>
      <c r="O9513" s="0" t="n">
        <v>20</v>
      </c>
      <c r="P9513" s="0" t="s">
        <v>2444</v>
      </c>
    </row>
    <row r="9514" customFormat="false" ht="12.75" hidden="false" customHeight="true" outlineLevel="0" collapsed="false">
      <c r="A9514" s="0" t="n">
        <v>2</v>
      </c>
      <c r="B9514" s="71" t="n">
        <v>46294</v>
      </c>
      <c r="C9514" s="0" t="n">
        <v>6</v>
      </c>
      <c r="D9514" s="0" t="s">
        <v>2553</v>
      </c>
      <c r="E9514" s="0" t="n">
        <v>48</v>
      </c>
      <c r="F9514" s="0" t="s">
        <v>153</v>
      </c>
      <c r="I9514" s="0" t="n">
        <v>2708</v>
      </c>
      <c r="J9514" s="0" t="n">
        <v>100118</v>
      </c>
      <c r="K9514" s="0" t="n">
        <v>119</v>
      </c>
      <c r="L9514" s="0" t="s">
        <v>2541</v>
      </c>
      <c r="N9514" s="0" t="n">
        <v>5</v>
      </c>
      <c r="O9514" s="0" t="n">
        <v>20</v>
      </c>
      <c r="P9514" s="0" t="s">
        <v>2444</v>
      </c>
    </row>
    <row r="9515" customFormat="false" ht="12.75" hidden="false" customHeight="true" outlineLevel="0" collapsed="false">
      <c r="A9515" s="0" t="n">
        <v>2</v>
      </c>
      <c r="B9515" s="71" t="n">
        <v>46294</v>
      </c>
      <c r="C9515" s="0" t="n">
        <v>6</v>
      </c>
      <c r="D9515" s="0" t="s">
        <v>2553</v>
      </c>
      <c r="E9515" s="0" t="n">
        <v>48</v>
      </c>
      <c r="F9515" s="0" t="s">
        <v>153</v>
      </c>
      <c r="I9515" s="0" t="n">
        <v>2708</v>
      </c>
      <c r="J9515" s="0" t="n">
        <v>100121</v>
      </c>
      <c r="K9515" s="0" t="n">
        <v>122</v>
      </c>
      <c r="L9515" s="0" t="s">
        <v>2542</v>
      </c>
      <c r="N9515" s="0" t="n">
        <v>3</v>
      </c>
      <c r="O9515" s="0" t="n">
        <v>75</v>
      </c>
      <c r="P9515" s="0" t="s">
        <v>2444</v>
      </c>
    </row>
    <row r="9516" customFormat="false" ht="12.75" hidden="false" customHeight="true" outlineLevel="0" collapsed="false">
      <c r="A9516" s="0" t="n">
        <v>2</v>
      </c>
      <c r="B9516" s="71" t="n">
        <v>46294</v>
      </c>
      <c r="C9516" s="0" t="n">
        <v>6</v>
      </c>
      <c r="D9516" s="0" t="s">
        <v>2553</v>
      </c>
      <c r="E9516" s="0" t="n">
        <v>48</v>
      </c>
      <c r="F9516" s="0" t="s">
        <v>153</v>
      </c>
      <c r="I9516" s="0" t="n">
        <v>2708</v>
      </c>
      <c r="J9516" s="0" t="n">
        <v>100122</v>
      </c>
      <c r="K9516" s="0" t="n">
        <v>123</v>
      </c>
      <c r="L9516" s="0" t="s">
        <v>2543</v>
      </c>
      <c r="N9516" s="0" t="n">
        <v>3</v>
      </c>
      <c r="O9516" s="0" t="n">
        <v>39</v>
      </c>
      <c r="P9516" s="0" t="s">
        <v>2444</v>
      </c>
    </row>
    <row r="9517" customFormat="false" ht="12.75" hidden="false" customHeight="true" outlineLevel="0" collapsed="false">
      <c r="A9517" s="0" t="n">
        <v>2</v>
      </c>
      <c r="B9517" s="71" t="n">
        <v>46294</v>
      </c>
      <c r="C9517" s="0" t="n">
        <v>6</v>
      </c>
      <c r="D9517" s="0" t="s">
        <v>2553</v>
      </c>
      <c r="E9517" s="0" t="n">
        <v>48</v>
      </c>
      <c r="F9517" s="0" t="s">
        <v>153</v>
      </c>
      <c r="I9517" s="0" t="n">
        <v>2708</v>
      </c>
      <c r="J9517" s="0" t="n">
        <v>100125</v>
      </c>
      <c r="K9517" s="0" t="n">
        <v>126</v>
      </c>
      <c r="L9517" s="0" t="s">
        <v>2597</v>
      </c>
      <c r="N9517" s="0" t="n">
        <v>20</v>
      </c>
      <c r="O9517" s="0" t="n">
        <v>140</v>
      </c>
      <c r="P9517" s="0" t="s">
        <v>2444</v>
      </c>
    </row>
    <row r="9518" customFormat="false" ht="12.75" hidden="false" customHeight="true" outlineLevel="0" collapsed="false">
      <c r="A9518" s="0" t="n">
        <v>2</v>
      </c>
      <c r="B9518" s="71" t="n">
        <v>46294</v>
      </c>
      <c r="C9518" s="0" t="n">
        <v>6</v>
      </c>
      <c r="D9518" s="0" t="s">
        <v>2553</v>
      </c>
      <c r="E9518" s="0" t="n">
        <v>48</v>
      </c>
      <c r="F9518" s="0" t="s">
        <v>153</v>
      </c>
      <c r="I9518" s="0" t="n">
        <v>2708</v>
      </c>
      <c r="J9518" s="0" t="n">
        <v>100129</v>
      </c>
      <c r="K9518" s="0" t="n">
        <v>130</v>
      </c>
      <c r="L9518" s="0" t="s">
        <v>2598</v>
      </c>
      <c r="N9518" s="0" t="n">
        <v>13</v>
      </c>
      <c r="O9518" s="0" t="n">
        <v>120</v>
      </c>
      <c r="P9518" s="0" t="s">
        <v>2444</v>
      </c>
    </row>
    <row r="9519" customFormat="false" ht="12.75" hidden="false" customHeight="true" outlineLevel="0" collapsed="false">
      <c r="A9519" s="0" t="n">
        <v>2</v>
      </c>
      <c r="B9519" s="71" t="n">
        <v>46294</v>
      </c>
      <c r="C9519" s="0" t="n">
        <v>6</v>
      </c>
      <c r="D9519" s="0" t="s">
        <v>2553</v>
      </c>
      <c r="E9519" s="0" t="n">
        <v>48</v>
      </c>
      <c r="F9519" s="0" t="s">
        <v>153</v>
      </c>
      <c r="I9519" s="0" t="n">
        <v>2708</v>
      </c>
      <c r="J9519" s="0" t="n">
        <v>100130</v>
      </c>
      <c r="K9519" s="0" t="n">
        <v>131</v>
      </c>
      <c r="L9519" s="0" t="s">
        <v>2545</v>
      </c>
      <c r="N9519" s="0" t="n">
        <v>15</v>
      </c>
      <c r="O9519" s="0" t="n">
        <v>135</v>
      </c>
      <c r="P9519" s="0" t="s">
        <v>2444</v>
      </c>
    </row>
    <row r="9520" customFormat="false" ht="12.75" hidden="false" customHeight="true" outlineLevel="0" collapsed="false">
      <c r="A9520" s="0" t="n">
        <v>2</v>
      </c>
      <c r="B9520" s="71" t="n">
        <v>46294</v>
      </c>
      <c r="C9520" s="0" t="n">
        <v>6</v>
      </c>
      <c r="D9520" s="0" t="s">
        <v>2553</v>
      </c>
      <c r="E9520" s="0" t="n">
        <v>48</v>
      </c>
      <c r="F9520" s="0" t="s">
        <v>153</v>
      </c>
      <c r="I9520" s="0" t="n">
        <v>2708</v>
      </c>
      <c r="J9520" s="0" t="n">
        <v>100132</v>
      </c>
      <c r="K9520" s="0" t="n">
        <v>133</v>
      </c>
      <c r="L9520" s="0" t="s">
        <v>2546</v>
      </c>
      <c r="N9520" s="0" t="n">
        <v>39.215</v>
      </c>
      <c r="O9520" s="0" t="n">
        <v>100</v>
      </c>
      <c r="P9520" s="0" t="s">
        <v>2444</v>
      </c>
    </row>
    <row r="9521" customFormat="false" ht="12.75" hidden="false" customHeight="true" outlineLevel="0" collapsed="false">
      <c r="A9521" s="0" t="n">
        <v>2</v>
      </c>
      <c r="B9521" s="71" t="n">
        <v>46294</v>
      </c>
      <c r="C9521" s="0" t="n">
        <v>6</v>
      </c>
      <c r="D9521" s="0" t="s">
        <v>2553</v>
      </c>
      <c r="E9521" s="0" t="n">
        <v>48</v>
      </c>
      <c r="F9521" s="0" t="s">
        <v>153</v>
      </c>
      <c r="I9521" s="0" t="n">
        <v>2708</v>
      </c>
      <c r="J9521" s="0" t="n">
        <v>100133</v>
      </c>
      <c r="K9521" s="0" t="n">
        <v>134</v>
      </c>
      <c r="L9521" s="0" t="s">
        <v>2547</v>
      </c>
      <c r="N9521" s="0" t="n">
        <v>20</v>
      </c>
      <c r="O9521" s="0" t="n">
        <v>60</v>
      </c>
      <c r="P9521" s="0" t="s">
        <v>2444</v>
      </c>
    </row>
    <row r="9522" customFormat="false" ht="12.75" hidden="false" customHeight="true" outlineLevel="0" collapsed="false">
      <c r="A9522" s="0" t="n">
        <v>2</v>
      </c>
      <c r="B9522" s="71" t="n">
        <v>46294</v>
      </c>
      <c r="C9522" s="0" t="n">
        <v>6</v>
      </c>
      <c r="D9522" s="0" t="s">
        <v>2553</v>
      </c>
      <c r="E9522" s="0" t="n">
        <v>48</v>
      </c>
      <c r="F9522" s="0" t="s">
        <v>153</v>
      </c>
      <c r="I9522" s="0" t="n">
        <v>2708</v>
      </c>
      <c r="J9522" s="0" t="n">
        <v>100135</v>
      </c>
      <c r="K9522" s="0" t="n">
        <v>136</v>
      </c>
      <c r="L9522" s="0" t="s">
        <v>2599</v>
      </c>
      <c r="N9522" s="0" t="n">
        <v>36</v>
      </c>
      <c r="O9522" s="0" t="n">
        <v>240</v>
      </c>
      <c r="P9522" s="0" t="s">
        <v>2444</v>
      </c>
    </row>
    <row r="9523" customFormat="false" ht="12.75" hidden="false" customHeight="true" outlineLevel="0" collapsed="false">
      <c r="A9523" s="0" t="n">
        <v>2</v>
      </c>
      <c r="B9523" s="71" t="n">
        <v>46294</v>
      </c>
      <c r="C9523" s="0" t="n">
        <v>6</v>
      </c>
      <c r="D9523" s="0" t="s">
        <v>2553</v>
      </c>
      <c r="E9523" s="0" t="n">
        <v>48</v>
      </c>
      <c r="F9523" s="0" t="s">
        <v>153</v>
      </c>
      <c r="I9523" s="0" t="n">
        <v>2708</v>
      </c>
      <c r="J9523" s="0" t="n">
        <v>100148</v>
      </c>
      <c r="K9523" s="0" t="n">
        <v>149</v>
      </c>
      <c r="L9523" s="0" t="s">
        <v>2600</v>
      </c>
      <c r="N9523" s="0" t="n">
        <v>9</v>
      </c>
      <c r="O9523" s="0" t="n">
        <v>60</v>
      </c>
      <c r="P9523" s="0" t="s">
        <v>2444</v>
      </c>
    </row>
    <row r="9524" customFormat="false" ht="12.75" hidden="false" customHeight="true" outlineLevel="0" collapsed="false">
      <c r="A9524" s="0" t="n">
        <v>2</v>
      </c>
      <c r="B9524" s="71" t="n">
        <v>46294</v>
      </c>
      <c r="C9524" s="0" t="n">
        <v>6</v>
      </c>
      <c r="D9524" s="0" t="s">
        <v>2553</v>
      </c>
      <c r="E9524" s="0" t="n">
        <v>48</v>
      </c>
      <c r="F9524" s="0" t="s">
        <v>153</v>
      </c>
      <c r="I9524" s="0" t="n">
        <v>2708</v>
      </c>
      <c r="J9524" s="0" t="n">
        <v>110489</v>
      </c>
      <c r="K9524" s="0" t="n">
        <v>54743</v>
      </c>
      <c r="L9524" s="0" t="s">
        <v>2550</v>
      </c>
      <c r="N9524" s="0" t="n">
        <v>40</v>
      </c>
      <c r="O9524" s="0" t="n">
        <v>260</v>
      </c>
      <c r="P9524" s="0" t="s">
        <v>2444</v>
      </c>
    </row>
    <row r="9525" customFormat="false" ht="12.75" hidden="false" customHeight="true" outlineLevel="0" collapsed="false">
      <c r="A9525" s="0" t="n">
        <v>2</v>
      </c>
      <c r="B9525" s="71" t="n">
        <v>46294</v>
      </c>
      <c r="C9525" s="0" t="n">
        <v>6</v>
      </c>
      <c r="D9525" s="0" t="s">
        <v>2553</v>
      </c>
      <c r="E9525" s="0" t="n">
        <v>48</v>
      </c>
      <c r="F9525" s="0" t="s">
        <v>153</v>
      </c>
      <c r="I9525" s="0" t="n">
        <v>2708</v>
      </c>
      <c r="J9525" s="0" t="n">
        <v>80078</v>
      </c>
      <c r="K9525" s="0" t="n">
        <v>710</v>
      </c>
      <c r="L9525" s="0" t="s">
        <v>2551</v>
      </c>
      <c r="N9525" s="0" t="n">
        <v>5</v>
      </c>
      <c r="O9525" s="0" t="n">
        <v>15</v>
      </c>
      <c r="P9525" s="0" t="s">
        <v>2444</v>
      </c>
    </row>
    <row r="9526" customFormat="false" ht="12.75" hidden="false" customHeight="true" outlineLevel="0" collapsed="false">
      <c r="A9526" s="0" t="n">
        <v>2</v>
      </c>
      <c r="B9526" s="71" t="n">
        <v>46294</v>
      </c>
      <c r="C9526" s="0" t="n">
        <v>11</v>
      </c>
      <c r="D9526" s="0" t="s">
        <v>2471</v>
      </c>
      <c r="E9526" s="0" t="n">
        <v>1819</v>
      </c>
      <c r="F9526" s="0" t="s">
        <v>984</v>
      </c>
      <c r="I9526" s="0" t="n">
        <v>402</v>
      </c>
      <c r="J9526" s="0" t="n">
        <v>32208</v>
      </c>
      <c r="K9526" s="0" t="n">
        <v>606529989620</v>
      </c>
      <c r="L9526" s="0" t="s">
        <v>4238</v>
      </c>
      <c r="N9526" s="0" t="n">
        <v>4</v>
      </c>
      <c r="O9526" s="0" t="n">
        <v>40</v>
      </c>
      <c r="P9526" s="0" t="s">
        <v>2444</v>
      </c>
    </row>
    <row r="9527" customFormat="false" ht="12.75" hidden="false" customHeight="true" outlineLevel="0" collapsed="false">
      <c r="A9527" s="0" t="n">
        <v>2</v>
      </c>
      <c r="B9527" s="71" t="n">
        <v>46294</v>
      </c>
      <c r="C9527" s="0" t="n">
        <v>11</v>
      </c>
      <c r="D9527" s="0" t="s">
        <v>2471</v>
      </c>
      <c r="E9527" s="0" t="n">
        <v>1819</v>
      </c>
      <c r="F9527" s="0" t="s">
        <v>984</v>
      </c>
      <c r="I9527" s="0" t="n">
        <v>402</v>
      </c>
      <c r="J9527" s="0" t="n">
        <v>32209</v>
      </c>
      <c r="K9527" s="0" t="n">
        <v>606529989651</v>
      </c>
      <c r="L9527" s="0" t="s">
        <v>4239</v>
      </c>
      <c r="N9527" s="0" t="n">
        <v>4</v>
      </c>
      <c r="O9527" s="0" t="n">
        <v>40</v>
      </c>
      <c r="P9527" s="0" t="s">
        <v>2444</v>
      </c>
    </row>
    <row r="9528" customFormat="false" ht="12.75" hidden="false" customHeight="true" outlineLevel="0" collapsed="false">
      <c r="A9528" s="0" t="n">
        <v>2</v>
      </c>
      <c r="B9528" s="71" t="n">
        <v>46294</v>
      </c>
      <c r="C9528" s="0" t="n">
        <v>11</v>
      </c>
      <c r="D9528" s="0" t="s">
        <v>2471</v>
      </c>
      <c r="E9528" s="0" t="n">
        <v>1819</v>
      </c>
      <c r="F9528" s="0" t="s">
        <v>984</v>
      </c>
      <c r="I9528" s="0" t="n">
        <v>402</v>
      </c>
      <c r="J9528" s="0" t="n">
        <v>32299</v>
      </c>
      <c r="K9528" s="0" t="n">
        <v>606529989644</v>
      </c>
      <c r="L9528" s="0" t="s">
        <v>4240</v>
      </c>
      <c r="N9528" s="0" t="n">
        <v>4</v>
      </c>
      <c r="O9528" s="0" t="n">
        <v>40</v>
      </c>
      <c r="P9528" s="0" t="s">
        <v>2444</v>
      </c>
    </row>
    <row r="9529" customFormat="false" ht="12.75" hidden="false" customHeight="true" outlineLevel="0" collapsed="false">
      <c r="A9529" s="0" t="n">
        <v>2</v>
      </c>
      <c r="B9529" s="71" t="n">
        <v>46294</v>
      </c>
      <c r="C9529" s="0" t="n">
        <v>11</v>
      </c>
      <c r="D9529" s="0" t="s">
        <v>2471</v>
      </c>
      <c r="E9529" s="0" t="n">
        <v>1819</v>
      </c>
      <c r="F9529" s="0" t="s">
        <v>984</v>
      </c>
      <c r="I9529" s="0" t="n">
        <v>402</v>
      </c>
      <c r="J9529" s="0" t="n">
        <v>32300</v>
      </c>
      <c r="K9529" s="0" t="n">
        <v>606529989613</v>
      </c>
      <c r="L9529" s="0" t="s">
        <v>4241</v>
      </c>
      <c r="N9529" s="0" t="n">
        <v>4</v>
      </c>
      <c r="O9529" s="0" t="n">
        <v>40</v>
      </c>
      <c r="P9529" s="0" t="s">
        <v>2444</v>
      </c>
    </row>
    <row r="9530" customFormat="false" ht="12.75" hidden="false" customHeight="true" outlineLevel="0" collapsed="false">
      <c r="A9530" s="0" t="n">
        <v>2</v>
      </c>
      <c r="B9530" s="71" t="n">
        <v>46294</v>
      </c>
      <c r="C9530" s="0" t="n">
        <v>11</v>
      </c>
      <c r="D9530" s="0" t="s">
        <v>2471</v>
      </c>
      <c r="E9530" s="0" t="n">
        <v>1819</v>
      </c>
      <c r="F9530" s="0" t="s">
        <v>984</v>
      </c>
      <c r="I9530" s="0" t="n">
        <v>402</v>
      </c>
      <c r="J9530" s="0" t="n">
        <v>67094</v>
      </c>
      <c r="K9530" s="0" t="n">
        <v>606529989705</v>
      </c>
      <c r="L9530" s="0" t="s">
        <v>5615</v>
      </c>
      <c r="N9530" s="0" t="n">
        <v>4</v>
      </c>
      <c r="O9530" s="0" t="n">
        <v>40</v>
      </c>
      <c r="P9530" s="0" t="s">
        <v>2444</v>
      </c>
    </row>
    <row r="9531" customFormat="false" ht="12.75" hidden="false" customHeight="true" outlineLevel="0" collapsed="false">
      <c r="A9531" s="0" t="n">
        <v>2</v>
      </c>
      <c r="B9531" s="71" t="n">
        <v>46294</v>
      </c>
      <c r="C9531" s="0" t="n">
        <v>11</v>
      </c>
      <c r="D9531" s="0" t="s">
        <v>2471</v>
      </c>
      <c r="E9531" s="0" t="n">
        <v>642</v>
      </c>
      <c r="F9531" s="0" t="s">
        <v>123</v>
      </c>
      <c r="I9531" s="0" t="n">
        <v>692</v>
      </c>
      <c r="J9531" s="0" t="n">
        <v>71766</v>
      </c>
      <c r="K9531" s="0" t="n">
        <v>779180</v>
      </c>
      <c r="L9531" s="0" t="s">
        <v>2501</v>
      </c>
      <c r="N9531" s="0" t="n">
        <v>15</v>
      </c>
      <c r="O9531" s="0" t="n">
        <v>180</v>
      </c>
      <c r="P9531" s="0" t="s">
        <v>2444</v>
      </c>
    </row>
    <row r="9532" customFormat="false" ht="12.75" hidden="false" customHeight="true" outlineLevel="0" collapsed="false">
      <c r="A9532" s="0" t="n">
        <v>2</v>
      </c>
      <c r="B9532" s="71" t="n">
        <v>46294</v>
      </c>
      <c r="C9532" s="0" t="n">
        <v>11</v>
      </c>
      <c r="D9532" s="0" t="s">
        <v>2471</v>
      </c>
      <c r="E9532" s="0" t="n">
        <v>1292</v>
      </c>
      <c r="F9532" s="0" t="s">
        <v>209</v>
      </c>
      <c r="I9532" s="0" t="n">
        <v>4169</v>
      </c>
      <c r="J9532" s="0" t="n">
        <v>58633</v>
      </c>
      <c r="K9532" s="0" t="n">
        <v>7891164025250</v>
      </c>
      <c r="L9532" s="0" t="s">
        <v>2448</v>
      </c>
      <c r="N9532" s="0" t="n">
        <v>25</v>
      </c>
      <c r="O9532" s="0" t="n">
        <v>224.75</v>
      </c>
      <c r="P9532" s="0" t="s">
        <v>2444</v>
      </c>
    </row>
    <row r="9533" customFormat="false" ht="12.75" hidden="false" customHeight="true" outlineLevel="0" collapsed="false">
      <c r="A9533" s="0" t="n">
        <v>2</v>
      </c>
      <c r="B9533" s="71" t="n">
        <v>46294</v>
      </c>
      <c r="C9533" s="0" t="n">
        <v>11</v>
      </c>
      <c r="D9533" s="0" t="s">
        <v>2471</v>
      </c>
      <c r="E9533" s="0" t="n">
        <v>1292</v>
      </c>
      <c r="F9533" s="0" t="s">
        <v>209</v>
      </c>
      <c r="I9533" s="0" t="n">
        <v>4169</v>
      </c>
      <c r="J9533" s="0" t="n">
        <v>82078</v>
      </c>
      <c r="K9533" s="0" t="n">
        <v>87946594534</v>
      </c>
      <c r="L9533" s="0" t="s">
        <v>4681</v>
      </c>
      <c r="N9533" s="0" t="n">
        <v>25</v>
      </c>
      <c r="O9533" s="0" t="n">
        <v>140</v>
      </c>
      <c r="P9533" s="0" t="s">
        <v>2444</v>
      </c>
    </row>
    <row r="9534" customFormat="false" ht="12.75" hidden="false" customHeight="true" outlineLevel="0" collapsed="false">
      <c r="A9534" s="0" t="n">
        <v>2</v>
      </c>
      <c r="B9534" s="71" t="n">
        <v>46294</v>
      </c>
      <c r="C9534" s="0" t="n">
        <v>11</v>
      </c>
      <c r="D9534" s="0" t="s">
        <v>2471</v>
      </c>
      <c r="E9534" s="0" t="n">
        <v>1625</v>
      </c>
      <c r="F9534" s="0" t="s">
        <v>270</v>
      </c>
      <c r="I9534" s="0" t="n">
        <v>15487</v>
      </c>
      <c r="J9534" s="0" t="n">
        <v>29079</v>
      </c>
      <c r="K9534" s="0" t="n">
        <v>55515</v>
      </c>
      <c r="L9534" s="0" t="s">
        <v>2449</v>
      </c>
      <c r="N9534" s="0" t="n">
        <v>68.2</v>
      </c>
      <c r="O9534" s="0" t="n">
        <v>2216.5</v>
      </c>
      <c r="P9534" s="0" t="s">
        <v>2444</v>
      </c>
    </row>
    <row r="9535" customFormat="false" ht="12.75" hidden="false" customHeight="true" outlineLevel="0" collapsed="false">
      <c r="A9535" s="0" t="n">
        <v>2</v>
      </c>
      <c r="B9535" s="71" t="n">
        <v>46294</v>
      </c>
      <c r="C9535" s="0" t="n">
        <v>11</v>
      </c>
      <c r="D9535" s="0" t="s">
        <v>2471</v>
      </c>
      <c r="E9535" s="0" t="n">
        <v>1625</v>
      </c>
      <c r="F9535" s="0" t="s">
        <v>270</v>
      </c>
      <c r="I9535" s="0" t="n">
        <v>15487</v>
      </c>
      <c r="J9535" s="0" t="n">
        <v>29080</v>
      </c>
      <c r="K9535" s="0" t="n">
        <v>55516</v>
      </c>
      <c r="L9535" s="0" t="s">
        <v>2450</v>
      </c>
      <c r="N9535" s="0" t="n">
        <v>64.2</v>
      </c>
      <c r="O9535" s="0" t="n">
        <v>1444.5</v>
      </c>
      <c r="P9535" s="0" t="s">
        <v>2444</v>
      </c>
    </row>
    <row r="9536" customFormat="false" ht="12.75" hidden="false" customHeight="true" outlineLevel="0" collapsed="false">
      <c r="A9536" s="0" t="n">
        <v>2</v>
      </c>
      <c r="B9536" s="71" t="n">
        <v>46294</v>
      </c>
      <c r="C9536" s="0" t="n">
        <v>11</v>
      </c>
      <c r="D9536" s="0" t="s">
        <v>2471</v>
      </c>
      <c r="E9536" s="0" t="n">
        <v>967</v>
      </c>
      <c r="F9536" s="0" t="s">
        <v>1540</v>
      </c>
      <c r="I9536" s="0" t="n">
        <v>39433</v>
      </c>
      <c r="J9536" s="0" t="n">
        <v>101932</v>
      </c>
      <c r="K9536" s="0" t="n">
        <v>7891000582107</v>
      </c>
      <c r="L9536" s="0" t="s">
        <v>3124</v>
      </c>
      <c r="N9536" s="0" t="n">
        <v>24</v>
      </c>
      <c r="O9536" s="0" t="n">
        <v>107.76</v>
      </c>
      <c r="P9536" s="0" t="s">
        <v>2444</v>
      </c>
    </row>
    <row r="9537" customFormat="false" ht="12.75" hidden="false" customHeight="true" outlineLevel="0" collapsed="false">
      <c r="A9537" s="0" t="n">
        <v>2</v>
      </c>
      <c r="B9537" s="71" t="n">
        <v>46294</v>
      </c>
      <c r="C9537" s="0" t="n">
        <v>11</v>
      </c>
      <c r="D9537" s="0" t="s">
        <v>2471</v>
      </c>
      <c r="E9537" s="0" t="n">
        <v>967</v>
      </c>
      <c r="F9537" s="0" t="s">
        <v>1540</v>
      </c>
      <c r="I9537" s="0" t="n">
        <v>39433</v>
      </c>
      <c r="J9537" s="0" t="n">
        <v>102054</v>
      </c>
      <c r="K9537" s="0" t="n">
        <v>7894000030470</v>
      </c>
      <c r="L9537" s="0" t="s">
        <v>3860</v>
      </c>
      <c r="N9537" s="0" t="n">
        <v>120</v>
      </c>
      <c r="O9537" s="0" t="n">
        <v>598.8</v>
      </c>
      <c r="P9537" s="0" t="s">
        <v>2444</v>
      </c>
    </row>
    <row r="9538" customFormat="false" ht="12.75" hidden="false" customHeight="true" outlineLevel="0" collapsed="false">
      <c r="A9538" s="0" t="n">
        <v>2</v>
      </c>
      <c r="B9538" s="71" t="n">
        <v>46294</v>
      </c>
      <c r="C9538" s="0" t="n">
        <v>11</v>
      </c>
      <c r="D9538" s="0" t="s">
        <v>2471</v>
      </c>
      <c r="E9538" s="0" t="n">
        <v>967</v>
      </c>
      <c r="F9538" s="0" t="s">
        <v>1540</v>
      </c>
      <c r="I9538" s="0" t="n">
        <v>39433</v>
      </c>
      <c r="J9538" s="0" t="n">
        <v>104126</v>
      </c>
      <c r="K9538" s="0" t="n">
        <v>7891000582008</v>
      </c>
      <c r="L9538" s="0" t="s">
        <v>4326</v>
      </c>
      <c r="N9538" s="0" t="n">
        <v>24</v>
      </c>
      <c r="O9538" s="0" t="n">
        <v>107.76</v>
      </c>
      <c r="P9538" s="0" t="s">
        <v>2444</v>
      </c>
    </row>
    <row r="9539" customFormat="false" ht="12.75" hidden="false" customHeight="true" outlineLevel="0" collapsed="false">
      <c r="A9539" s="0" t="n">
        <v>2</v>
      </c>
      <c r="B9539" s="71" t="n">
        <v>46294</v>
      </c>
      <c r="C9539" s="0" t="n">
        <v>11</v>
      </c>
      <c r="D9539" s="0" t="s">
        <v>2471</v>
      </c>
      <c r="E9539" s="0" t="n">
        <v>967</v>
      </c>
      <c r="F9539" s="0" t="s">
        <v>1540</v>
      </c>
      <c r="I9539" s="0" t="n">
        <v>39433</v>
      </c>
      <c r="J9539" s="0" t="n">
        <v>51929</v>
      </c>
      <c r="K9539" s="0" t="n">
        <v>7896212920501</v>
      </c>
      <c r="L9539" s="0" t="s">
        <v>3034</v>
      </c>
      <c r="N9539" s="0" t="n">
        <v>200</v>
      </c>
      <c r="O9539" s="0" t="n">
        <v>348</v>
      </c>
      <c r="P9539" s="0" t="s">
        <v>2444</v>
      </c>
    </row>
    <row r="9540" customFormat="false" ht="12.75" hidden="false" customHeight="true" outlineLevel="0" collapsed="false">
      <c r="A9540" s="0" t="n">
        <v>2</v>
      </c>
      <c r="B9540" s="71" t="n">
        <v>46294</v>
      </c>
      <c r="C9540" s="0" t="n">
        <v>11</v>
      </c>
      <c r="D9540" s="0" t="s">
        <v>2471</v>
      </c>
      <c r="E9540" s="0" t="n">
        <v>1642</v>
      </c>
      <c r="F9540" s="0" t="s">
        <v>228</v>
      </c>
      <c r="I9540" s="0" t="n">
        <v>1044095</v>
      </c>
      <c r="J9540" s="0" t="n">
        <v>102033</v>
      </c>
      <c r="K9540" s="0" t="n">
        <v>7896289210192</v>
      </c>
      <c r="L9540" s="0" t="s">
        <v>2962</v>
      </c>
      <c r="N9540" s="0" t="n">
        <v>5</v>
      </c>
      <c r="O9540" s="0" t="n">
        <v>34.87</v>
      </c>
      <c r="P9540" s="0" t="s">
        <v>2444</v>
      </c>
    </row>
    <row r="9541" customFormat="false" ht="12.75" hidden="false" customHeight="true" outlineLevel="0" collapsed="false">
      <c r="A9541" s="0" t="n">
        <v>2</v>
      </c>
      <c r="B9541" s="71" t="n">
        <v>46294</v>
      </c>
      <c r="C9541" s="0" t="n">
        <v>11</v>
      </c>
      <c r="D9541" s="0" t="s">
        <v>2471</v>
      </c>
      <c r="E9541" s="0" t="n">
        <v>1642</v>
      </c>
      <c r="F9541" s="0" t="s">
        <v>228</v>
      </c>
      <c r="I9541" s="0" t="n">
        <v>1044095</v>
      </c>
      <c r="J9541" s="0" t="n">
        <v>105780</v>
      </c>
      <c r="K9541" s="0" t="n">
        <v>7896289210017</v>
      </c>
      <c r="L9541" s="0" t="s">
        <v>2511</v>
      </c>
      <c r="N9541" s="0" t="n">
        <v>6</v>
      </c>
      <c r="O9541" s="0" t="n">
        <v>64.02</v>
      </c>
      <c r="P9541" s="0" t="s">
        <v>2444</v>
      </c>
    </row>
    <row r="9542" customFormat="false" ht="12.75" hidden="false" customHeight="true" outlineLevel="0" collapsed="false">
      <c r="A9542" s="0" t="n">
        <v>2</v>
      </c>
      <c r="B9542" s="71" t="n">
        <v>46294</v>
      </c>
      <c r="C9542" s="0" t="n">
        <v>11</v>
      </c>
      <c r="D9542" s="0" t="s">
        <v>2471</v>
      </c>
      <c r="E9542" s="0" t="n">
        <v>1642</v>
      </c>
      <c r="F9542" s="0" t="s">
        <v>228</v>
      </c>
      <c r="I9542" s="0" t="n">
        <v>1044095</v>
      </c>
      <c r="J9542" s="0" t="n">
        <v>105782</v>
      </c>
      <c r="K9542" s="0" t="n">
        <v>7896289210352</v>
      </c>
      <c r="L9542" s="0" t="s">
        <v>2512</v>
      </c>
      <c r="N9542" s="0" t="n">
        <v>6</v>
      </c>
      <c r="O9542" s="0" t="n">
        <v>41.16</v>
      </c>
      <c r="P9542" s="0" t="s">
        <v>2444</v>
      </c>
    </row>
    <row r="9543" customFormat="false" ht="12.75" hidden="false" customHeight="true" outlineLevel="0" collapsed="false">
      <c r="A9543" s="0" t="n">
        <v>2</v>
      </c>
      <c r="B9543" s="71" t="n">
        <v>46294</v>
      </c>
      <c r="C9543" s="0" t="n">
        <v>11</v>
      </c>
      <c r="D9543" s="0" t="s">
        <v>2471</v>
      </c>
      <c r="E9543" s="0" t="n">
        <v>1642</v>
      </c>
      <c r="F9543" s="0" t="s">
        <v>228</v>
      </c>
      <c r="I9543" s="0" t="n">
        <v>1044095</v>
      </c>
      <c r="J9543" s="0" t="n">
        <v>106079</v>
      </c>
      <c r="K9543" s="0" t="n">
        <v>7896289210130</v>
      </c>
      <c r="L9543" s="0" t="s">
        <v>2513</v>
      </c>
      <c r="N9543" s="0" t="n">
        <v>3</v>
      </c>
      <c r="O9543" s="0" t="n">
        <v>41.1</v>
      </c>
      <c r="P9543" s="0" t="s">
        <v>2444</v>
      </c>
    </row>
    <row r="9544" customFormat="false" ht="12.75" hidden="false" customHeight="true" outlineLevel="0" collapsed="false">
      <c r="A9544" s="0" t="n">
        <v>2</v>
      </c>
      <c r="B9544" s="71" t="n">
        <v>46294</v>
      </c>
      <c r="C9544" s="0" t="n">
        <v>11</v>
      </c>
      <c r="D9544" s="0" t="s">
        <v>2471</v>
      </c>
      <c r="E9544" s="0" t="n">
        <v>1642</v>
      </c>
      <c r="F9544" s="0" t="s">
        <v>228</v>
      </c>
      <c r="I9544" s="0" t="n">
        <v>1044095</v>
      </c>
      <c r="J9544" s="0" t="n">
        <v>106274</v>
      </c>
      <c r="K9544" s="0" t="n">
        <v>7896289210086</v>
      </c>
      <c r="L9544" s="0" t="s">
        <v>2514</v>
      </c>
      <c r="N9544" s="0" t="n">
        <v>5</v>
      </c>
      <c r="O9544" s="0" t="n">
        <v>62.8</v>
      </c>
      <c r="P9544" s="0" t="s">
        <v>2444</v>
      </c>
    </row>
    <row r="9545" customFormat="false" ht="12.75" hidden="false" customHeight="true" outlineLevel="0" collapsed="false">
      <c r="A9545" s="0" t="n">
        <v>2</v>
      </c>
      <c r="B9545" s="71" t="n">
        <v>46294</v>
      </c>
      <c r="C9545" s="0" t="n">
        <v>11</v>
      </c>
      <c r="D9545" s="0" t="s">
        <v>2471</v>
      </c>
      <c r="E9545" s="0" t="n">
        <v>1642</v>
      </c>
      <c r="F9545" s="0" t="s">
        <v>228</v>
      </c>
      <c r="I9545" s="0" t="n">
        <v>1044095</v>
      </c>
      <c r="J9545" s="0" t="n">
        <v>106407</v>
      </c>
      <c r="K9545" s="0" t="n">
        <v>7896289210031</v>
      </c>
      <c r="L9545" s="0" t="s">
        <v>2516</v>
      </c>
      <c r="N9545" s="0" t="n">
        <v>4</v>
      </c>
      <c r="O9545" s="0" t="n">
        <v>46.56</v>
      </c>
      <c r="P9545" s="0" t="s">
        <v>2444</v>
      </c>
    </row>
    <row r="9546" customFormat="false" ht="12.75" hidden="false" customHeight="true" outlineLevel="0" collapsed="false">
      <c r="A9546" s="0" t="n">
        <v>2</v>
      </c>
      <c r="B9546" s="71" t="n">
        <v>46294</v>
      </c>
      <c r="C9546" s="0" t="n">
        <v>11</v>
      </c>
      <c r="D9546" s="0" t="s">
        <v>2471</v>
      </c>
      <c r="E9546" s="0" t="n">
        <v>1683</v>
      </c>
      <c r="F9546" s="0" t="s">
        <v>406</v>
      </c>
      <c r="I9546" s="0" t="n">
        <v>1686869</v>
      </c>
      <c r="J9546" s="0" t="n">
        <v>109791</v>
      </c>
      <c r="K9546" s="0" t="n">
        <v>9667</v>
      </c>
      <c r="L9546" s="0" t="s">
        <v>2465</v>
      </c>
      <c r="N9546" s="0" t="n">
        <v>6</v>
      </c>
      <c r="O9546" s="0" t="n">
        <v>9</v>
      </c>
      <c r="P9546" s="0" t="s">
        <v>2444</v>
      </c>
    </row>
    <row r="9547" customFormat="false" ht="12.75" hidden="false" customHeight="true" outlineLevel="0" collapsed="false">
      <c r="A9547" s="0" t="n">
        <v>2</v>
      </c>
      <c r="B9547" s="71" t="n">
        <v>46294</v>
      </c>
      <c r="C9547" s="0" t="n">
        <v>11</v>
      </c>
      <c r="D9547" s="0" t="s">
        <v>2471</v>
      </c>
      <c r="E9547" s="0" t="n">
        <v>1683</v>
      </c>
      <c r="F9547" s="0" t="s">
        <v>406</v>
      </c>
      <c r="I9547" s="0" t="n">
        <v>1686869</v>
      </c>
      <c r="J9547" s="0" t="n">
        <v>37359</v>
      </c>
      <c r="K9547" s="0" t="n">
        <v>55526</v>
      </c>
      <c r="L9547" s="0" t="s">
        <v>2466</v>
      </c>
      <c r="N9547" s="0" t="n">
        <v>4</v>
      </c>
      <c r="O9547" s="0" t="n">
        <v>20</v>
      </c>
      <c r="P9547" s="0" t="s">
        <v>2444</v>
      </c>
    </row>
    <row r="9548" customFormat="false" ht="12.75" hidden="false" customHeight="true" outlineLevel="0" collapsed="false">
      <c r="A9548" s="0" t="n">
        <v>2</v>
      </c>
      <c r="B9548" s="71" t="n">
        <v>46294</v>
      </c>
      <c r="C9548" s="0" t="n">
        <v>11</v>
      </c>
      <c r="D9548" s="0" t="s">
        <v>2471</v>
      </c>
      <c r="E9548" s="0" t="n">
        <v>1683</v>
      </c>
      <c r="F9548" s="0" t="s">
        <v>406</v>
      </c>
      <c r="I9548" s="0" t="n">
        <v>1686869</v>
      </c>
      <c r="J9548" s="0" t="n">
        <v>37361</v>
      </c>
      <c r="K9548" s="0" t="n">
        <v>2240817</v>
      </c>
      <c r="L9548" s="0" t="s">
        <v>2467</v>
      </c>
      <c r="N9548" s="0" t="n">
        <v>70</v>
      </c>
      <c r="O9548" s="0" t="n">
        <v>126</v>
      </c>
      <c r="P9548" s="0" t="s">
        <v>2444</v>
      </c>
    </row>
    <row r="9549" customFormat="false" ht="12.75" hidden="false" customHeight="true" outlineLevel="0" collapsed="false">
      <c r="A9549" s="0" t="n">
        <v>2</v>
      </c>
      <c r="B9549" s="71" t="n">
        <v>46294</v>
      </c>
      <c r="C9549" s="0" t="n">
        <v>22</v>
      </c>
      <c r="D9549" s="0" t="s">
        <v>2479</v>
      </c>
      <c r="E9549" s="0" t="n">
        <v>48</v>
      </c>
      <c r="F9549" s="0" t="s">
        <v>153</v>
      </c>
      <c r="I9549" s="0" t="n">
        <v>2707</v>
      </c>
      <c r="J9549" s="0" t="n">
        <v>100000</v>
      </c>
      <c r="K9549" s="0" t="n">
        <v>1</v>
      </c>
      <c r="L9549" s="0" t="s">
        <v>2480</v>
      </c>
      <c r="N9549" s="0" t="n">
        <v>2.47</v>
      </c>
      <c r="O9549" s="0" t="n">
        <v>46.81</v>
      </c>
      <c r="P9549" s="0" t="s">
        <v>2444</v>
      </c>
    </row>
    <row r="9550" customFormat="false" ht="12.75" hidden="false" customHeight="true" outlineLevel="0" collapsed="false">
      <c r="A9550" s="0" t="n">
        <v>2</v>
      </c>
      <c r="B9550" s="71" t="n">
        <v>46294</v>
      </c>
      <c r="C9550" s="0" t="n">
        <v>22</v>
      </c>
      <c r="D9550" s="0" t="s">
        <v>2479</v>
      </c>
      <c r="E9550" s="0" t="n">
        <v>48</v>
      </c>
      <c r="F9550" s="0" t="s">
        <v>153</v>
      </c>
      <c r="I9550" s="0" t="n">
        <v>2707</v>
      </c>
      <c r="J9550" s="0" t="n">
        <v>100000</v>
      </c>
      <c r="K9550" s="0" t="n">
        <v>1</v>
      </c>
      <c r="L9550" s="0" t="s">
        <v>2480</v>
      </c>
      <c r="N9550" s="0" t="n">
        <v>2.61</v>
      </c>
      <c r="O9550" s="0" t="n">
        <v>53.41</v>
      </c>
      <c r="P9550" s="0" t="s">
        <v>2444</v>
      </c>
    </row>
    <row r="9551" customFormat="false" ht="12.75" hidden="false" customHeight="true" outlineLevel="0" collapsed="false">
      <c r="A9551" s="0" t="n">
        <v>2</v>
      </c>
      <c r="B9551" s="71" t="n">
        <v>46294</v>
      </c>
      <c r="C9551" s="0" t="n">
        <v>22</v>
      </c>
      <c r="D9551" s="0" t="s">
        <v>2479</v>
      </c>
      <c r="E9551" s="0" t="n">
        <v>48</v>
      </c>
      <c r="F9551" s="0" t="s">
        <v>153</v>
      </c>
      <c r="I9551" s="0" t="n">
        <v>2707</v>
      </c>
      <c r="J9551" s="0" t="n">
        <v>100001</v>
      </c>
      <c r="K9551" s="0" t="n">
        <v>2</v>
      </c>
      <c r="L9551" s="0" t="s">
        <v>2481</v>
      </c>
      <c r="N9551" s="0" t="n">
        <v>10.75</v>
      </c>
      <c r="O9551" s="0" t="n">
        <v>220.69</v>
      </c>
      <c r="P9551" s="0" t="s">
        <v>2444</v>
      </c>
    </row>
    <row r="9552" customFormat="false" ht="12.75" hidden="false" customHeight="true" outlineLevel="0" collapsed="false">
      <c r="A9552" s="0" t="n">
        <v>2</v>
      </c>
      <c r="B9552" s="71" t="n">
        <v>46294</v>
      </c>
      <c r="C9552" s="0" t="n">
        <v>22</v>
      </c>
      <c r="D9552" s="0" t="s">
        <v>2479</v>
      </c>
      <c r="E9552" s="0" t="n">
        <v>48</v>
      </c>
      <c r="F9552" s="0" t="s">
        <v>153</v>
      </c>
      <c r="I9552" s="0" t="n">
        <v>2707</v>
      </c>
      <c r="J9552" s="0" t="n">
        <v>100002</v>
      </c>
      <c r="K9552" s="0" t="n">
        <v>3</v>
      </c>
      <c r="L9552" s="0" t="s">
        <v>2482</v>
      </c>
      <c r="N9552" s="0" t="n">
        <v>20.1</v>
      </c>
      <c r="O9552" s="0" t="n">
        <v>476.16</v>
      </c>
      <c r="P9552" s="0" t="s">
        <v>2444</v>
      </c>
    </row>
    <row r="9553" customFormat="false" ht="12.75" hidden="false" customHeight="true" outlineLevel="0" collapsed="false">
      <c r="A9553" s="0" t="n">
        <v>2</v>
      </c>
      <c r="B9553" s="71" t="n">
        <v>46294</v>
      </c>
      <c r="C9553" s="0" t="n">
        <v>22</v>
      </c>
      <c r="D9553" s="0" t="s">
        <v>2479</v>
      </c>
      <c r="E9553" s="0" t="n">
        <v>48</v>
      </c>
      <c r="F9553" s="0" t="s">
        <v>153</v>
      </c>
      <c r="I9553" s="0" t="n">
        <v>2707</v>
      </c>
      <c r="J9553" s="0" t="n">
        <v>100003</v>
      </c>
      <c r="K9553" s="0" t="n">
        <v>4</v>
      </c>
      <c r="L9553" s="0" t="s">
        <v>2483</v>
      </c>
      <c r="N9553" s="0" t="n">
        <v>15.74</v>
      </c>
      <c r="O9553" s="0" t="n">
        <v>397.74</v>
      </c>
      <c r="P9553" s="0" t="s">
        <v>2444</v>
      </c>
    </row>
    <row r="9554" customFormat="false" ht="12.75" hidden="false" customHeight="true" outlineLevel="0" collapsed="false">
      <c r="A9554" s="0" t="n">
        <v>2</v>
      </c>
      <c r="B9554" s="71" t="n">
        <v>46294</v>
      </c>
      <c r="C9554" s="0" t="n">
        <v>22</v>
      </c>
      <c r="D9554" s="0" t="s">
        <v>2479</v>
      </c>
      <c r="E9554" s="0" t="n">
        <v>48</v>
      </c>
      <c r="F9554" s="0" t="s">
        <v>153</v>
      </c>
      <c r="I9554" s="0" t="n">
        <v>2707</v>
      </c>
      <c r="J9554" s="0" t="n">
        <v>100004</v>
      </c>
      <c r="K9554" s="0" t="n">
        <v>5</v>
      </c>
      <c r="L9554" s="0" t="s">
        <v>2484</v>
      </c>
      <c r="N9554" s="0" t="n">
        <v>1.5</v>
      </c>
      <c r="O9554" s="0" t="n">
        <v>33.16</v>
      </c>
      <c r="P9554" s="0" t="s">
        <v>2444</v>
      </c>
    </row>
    <row r="9555" customFormat="false" ht="12.75" hidden="false" customHeight="true" outlineLevel="0" collapsed="false">
      <c r="A9555" s="0" t="n">
        <v>2</v>
      </c>
      <c r="B9555" s="71" t="n">
        <v>46294</v>
      </c>
      <c r="C9555" s="0" t="n">
        <v>22</v>
      </c>
      <c r="D9555" s="0" t="s">
        <v>2479</v>
      </c>
      <c r="E9555" s="0" t="n">
        <v>48</v>
      </c>
      <c r="F9555" s="0" t="s">
        <v>153</v>
      </c>
      <c r="I9555" s="0" t="n">
        <v>2707</v>
      </c>
      <c r="J9555" s="0" t="n">
        <v>100006</v>
      </c>
      <c r="K9555" s="0" t="n">
        <v>7</v>
      </c>
      <c r="L9555" s="0" t="s">
        <v>2485</v>
      </c>
      <c r="N9555" s="0" t="n">
        <v>1.94</v>
      </c>
      <c r="O9555" s="0" t="n">
        <v>56.25</v>
      </c>
      <c r="P9555" s="0" t="s">
        <v>2444</v>
      </c>
    </row>
    <row r="9556" customFormat="false" ht="12.75" hidden="false" customHeight="true" outlineLevel="0" collapsed="false">
      <c r="A9556" s="0" t="n">
        <v>2</v>
      </c>
      <c r="B9556" s="71" t="n">
        <v>46294</v>
      </c>
      <c r="C9556" s="0" t="n">
        <v>22</v>
      </c>
      <c r="D9556" s="0" t="s">
        <v>2479</v>
      </c>
      <c r="E9556" s="0" t="n">
        <v>48</v>
      </c>
      <c r="F9556" s="0" t="s">
        <v>153</v>
      </c>
      <c r="I9556" s="0" t="n">
        <v>2707</v>
      </c>
      <c r="J9556" s="0" t="n">
        <v>100007</v>
      </c>
      <c r="K9556" s="0" t="n">
        <v>8</v>
      </c>
      <c r="L9556" s="0" t="s">
        <v>2486</v>
      </c>
      <c r="N9556" s="0" t="n">
        <v>1.29</v>
      </c>
      <c r="O9556" s="0" t="n">
        <v>33</v>
      </c>
      <c r="P9556" s="0" t="s">
        <v>2444</v>
      </c>
    </row>
    <row r="9557" customFormat="false" ht="12.75" hidden="false" customHeight="true" outlineLevel="0" collapsed="false">
      <c r="A9557" s="0" t="n">
        <v>2</v>
      </c>
      <c r="B9557" s="71" t="n">
        <v>46294</v>
      </c>
      <c r="C9557" s="0" t="n">
        <v>22</v>
      </c>
      <c r="D9557" s="0" t="s">
        <v>2479</v>
      </c>
      <c r="E9557" s="0" t="n">
        <v>48</v>
      </c>
      <c r="F9557" s="0" t="s">
        <v>153</v>
      </c>
      <c r="I9557" s="0" t="n">
        <v>2707</v>
      </c>
      <c r="J9557" s="0" t="n">
        <v>100007</v>
      </c>
      <c r="K9557" s="0" t="n">
        <v>8</v>
      </c>
      <c r="L9557" s="0" t="s">
        <v>2486</v>
      </c>
      <c r="N9557" s="0" t="n">
        <v>4.65</v>
      </c>
      <c r="O9557" s="0" t="n">
        <v>110.16</v>
      </c>
      <c r="P9557" s="0" t="s">
        <v>2444</v>
      </c>
    </row>
    <row r="9558" customFormat="false" ht="12.75" hidden="false" customHeight="true" outlineLevel="0" collapsed="false">
      <c r="A9558" s="0" t="n">
        <v>2</v>
      </c>
      <c r="B9558" s="71" t="n">
        <v>46294</v>
      </c>
      <c r="C9558" s="0" t="n">
        <v>22</v>
      </c>
      <c r="D9558" s="0" t="s">
        <v>2479</v>
      </c>
      <c r="E9558" s="0" t="n">
        <v>48</v>
      </c>
      <c r="F9558" s="0" t="s">
        <v>153</v>
      </c>
      <c r="I9558" s="0" t="n">
        <v>2707</v>
      </c>
      <c r="J9558" s="0" t="n">
        <v>100008</v>
      </c>
      <c r="K9558" s="0" t="n">
        <v>9</v>
      </c>
      <c r="L9558" s="0" t="s">
        <v>2487</v>
      </c>
      <c r="N9558" s="0" t="n">
        <v>15.85</v>
      </c>
      <c r="O9558" s="0" t="n">
        <v>527.13</v>
      </c>
      <c r="P9558" s="0" t="s">
        <v>2444</v>
      </c>
    </row>
    <row r="9559" customFormat="false" ht="12.75" hidden="false" customHeight="true" outlineLevel="0" collapsed="false">
      <c r="A9559" s="0" t="n">
        <v>2</v>
      </c>
      <c r="B9559" s="71" t="n">
        <v>46294</v>
      </c>
      <c r="C9559" s="0" t="n">
        <v>22</v>
      </c>
      <c r="D9559" s="0" t="s">
        <v>2479</v>
      </c>
      <c r="E9559" s="0" t="n">
        <v>48</v>
      </c>
      <c r="F9559" s="0" t="s">
        <v>153</v>
      </c>
      <c r="I9559" s="0" t="n">
        <v>2707</v>
      </c>
      <c r="J9559" s="0" t="n">
        <v>100009</v>
      </c>
      <c r="K9559" s="0" t="n">
        <v>10</v>
      </c>
      <c r="L9559" s="0" t="s">
        <v>4704</v>
      </c>
      <c r="N9559" s="0" t="n">
        <v>4.18</v>
      </c>
      <c r="O9559" s="0" t="n">
        <v>145.25</v>
      </c>
      <c r="P9559" s="0" t="s">
        <v>2444</v>
      </c>
    </row>
    <row r="9560" customFormat="false" ht="12.75" hidden="false" customHeight="true" outlineLevel="0" collapsed="false">
      <c r="A9560" s="0" t="n">
        <v>2</v>
      </c>
      <c r="B9560" s="71" t="n">
        <v>46294</v>
      </c>
      <c r="C9560" s="0" t="n">
        <v>22</v>
      </c>
      <c r="D9560" s="0" t="s">
        <v>2479</v>
      </c>
      <c r="E9560" s="0" t="n">
        <v>48</v>
      </c>
      <c r="F9560" s="0" t="s">
        <v>153</v>
      </c>
      <c r="I9560" s="0" t="n">
        <v>2707</v>
      </c>
      <c r="J9560" s="0" t="n">
        <v>100011</v>
      </c>
      <c r="K9560" s="0" t="n">
        <v>12</v>
      </c>
      <c r="L9560" s="0" t="s">
        <v>2488</v>
      </c>
      <c r="N9560" s="0" t="n">
        <v>9.13</v>
      </c>
      <c r="O9560" s="0" t="n">
        <v>350.37</v>
      </c>
      <c r="P9560" s="0" t="s">
        <v>2444</v>
      </c>
    </row>
    <row r="9561" customFormat="false" ht="12.75" hidden="false" customHeight="true" outlineLevel="0" collapsed="false">
      <c r="A9561" s="0" t="n">
        <v>2</v>
      </c>
      <c r="B9561" s="71" t="n">
        <v>46294</v>
      </c>
      <c r="C9561" s="0" t="n">
        <v>22</v>
      </c>
      <c r="D9561" s="0" t="s">
        <v>2479</v>
      </c>
      <c r="E9561" s="0" t="n">
        <v>48</v>
      </c>
      <c r="F9561" s="0" t="s">
        <v>153</v>
      </c>
      <c r="I9561" s="0" t="n">
        <v>2707</v>
      </c>
      <c r="J9561" s="0" t="n">
        <v>100012</v>
      </c>
      <c r="K9561" s="0" t="n">
        <v>13</v>
      </c>
      <c r="L9561" s="0" t="s">
        <v>2489</v>
      </c>
      <c r="N9561" s="0" t="n">
        <v>4.86</v>
      </c>
      <c r="O9561" s="0" t="n">
        <v>207.23</v>
      </c>
      <c r="P9561" s="0" t="s">
        <v>2444</v>
      </c>
    </row>
    <row r="9562" customFormat="false" ht="12.75" hidden="false" customHeight="true" outlineLevel="0" collapsed="false">
      <c r="A9562" s="0" t="n">
        <v>2</v>
      </c>
      <c r="B9562" s="71" t="n">
        <v>46294</v>
      </c>
      <c r="C9562" s="0" t="n">
        <v>22</v>
      </c>
      <c r="D9562" s="0" t="s">
        <v>2479</v>
      </c>
      <c r="E9562" s="0" t="n">
        <v>48</v>
      </c>
      <c r="F9562" s="0" t="s">
        <v>153</v>
      </c>
      <c r="I9562" s="0" t="n">
        <v>2707</v>
      </c>
      <c r="J9562" s="0" t="n">
        <v>100013</v>
      </c>
      <c r="K9562" s="0" t="n">
        <v>14</v>
      </c>
      <c r="L9562" s="0" t="s">
        <v>2490</v>
      </c>
      <c r="N9562" s="0" t="n">
        <v>10.5</v>
      </c>
      <c r="O9562" s="0" t="n">
        <v>474.59</v>
      </c>
      <c r="P9562" s="0" t="s">
        <v>2444</v>
      </c>
    </row>
    <row r="9563" customFormat="false" ht="12.75" hidden="false" customHeight="true" outlineLevel="0" collapsed="false">
      <c r="A9563" s="0" t="n">
        <v>2</v>
      </c>
      <c r="B9563" s="71" t="n">
        <v>46294</v>
      </c>
      <c r="C9563" s="0" t="n">
        <v>22</v>
      </c>
      <c r="D9563" s="0" t="s">
        <v>2479</v>
      </c>
      <c r="E9563" s="0" t="n">
        <v>48</v>
      </c>
      <c r="F9563" s="0" t="s">
        <v>153</v>
      </c>
      <c r="I9563" s="0" t="n">
        <v>2707</v>
      </c>
      <c r="J9563" s="0" t="n">
        <v>100014</v>
      </c>
      <c r="K9563" s="0" t="n">
        <v>15</v>
      </c>
      <c r="L9563" s="0" t="s">
        <v>2491</v>
      </c>
      <c r="N9563" s="0" t="n">
        <v>4.1</v>
      </c>
      <c r="O9563" s="0" t="n">
        <v>188.81</v>
      </c>
      <c r="P9563" s="0" t="s">
        <v>2444</v>
      </c>
    </row>
    <row r="9564" customFormat="false" ht="12.75" hidden="false" customHeight="true" outlineLevel="0" collapsed="false">
      <c r="A9564" s="0" t="n">
        <v>2</v>
      </c>
      <c r="B9564" s="71" t="n">
        <v>46294</v>
      </c>
      <c r="C9564" s="0" t="n">
        <v>22</v>
      </c>
      <c r="D9564" s="0" t="s">
        <v>2479</v>
      </c>
      <c r="E9564" s="0" t="n">
        <v>48</v>
      </c>
      <c r="F9564" s="0" t="s">
        <v>153</v>
      </c>
      <c r="I9564" s="0" t="n">
        <v>2707</v>
      </c>
      <c r="J9564" s="0" t="n">
        <v>100015</v>
      </c>
      <c r="K9564" s="0" t="n">
        <v>16</v>
      </c>
      <c r="L9564" s="0" t="s">
        <v>2492</v>
      </c>
      <c r="N9564" s="0" t="n">
        <v>1.69</v>
      </c>
      <c r="O9564" s="0" t="n">
        <v>69.18</v>
      </c>
      <c r="P9564" s="0" t="s">
        <v>2444</v>
      </c>
    </row>
    <row r="9565" customFormat="false" ht="12.75" hidden="false" customHeight="true" outlineLevel="0" collapsed="false">
      <c r="A9565" s="0" t="n">
        <v>2</v>
      </c>
      <c r="B9565" s="71" t="n">
        <v>46294</v>
      </c>
      <c r="C9565" s="0" t="n">
        <v>22</v>
      </c>
      <c r="D9565" s="0" t="s">
        <v>2479</v>
      </c>
      <c r="E9565" s="0" t="n">
        <v>48</v>
      </c>
      <c r="F9565" s="0" t="s">
        <v>153</v>
      </c>
      <c r="I9565" s="0" t="n">
        <v>2707</v>
      </c>
      <c r="J9565" s="0" t="n">
        <v>100017</v>
      </c>
      <c r="K9565" s="0" t="n">
        <v>18</v>
      </c>
      <c r="L9565" s="0" t="s">
        <v>2494</v>
      </c>
      <c r="N9565" s="0" t="n">
        <v>1.79</v>
      </c>
      <c r="O9565" s="0" t="n">
        <v>114.5</v>
      </c>
      <c r="P9565" s="0" t="s">
        <v>2444</v>
      </c>
    </row>
    <row r="9566" customFormat="false" ht="12.75" hidden="false" customHeight="true" outlineLevel="0" collapsed="false">
      <c r="A9566" s="0" t="n">
        <v>2</v>
      </c>
      <c r="B9566" s="71" t="n">
        <v>46294</v>
      </c>
      <c r="C9566" s="0" t="n">
        <v>22</v>
      </c>
      <c r="D9566" s="0" t="s">
        <v>2479</v>
      </c>
      <c r="E9566" s="0" t="n">
        <v>48</v>
      </c>
      <c r="F9566" s="0" t="s">
        <v>153</v>
      </c>
      <c r="I9566" s="0" t="n">
        <v>2707</v>
      </c>
      <c r="J9566" s="0" t="n">
        <v>100019</v>
      </c>
      <c r="K9566" s="0" t="n">
        <v>20</v>
      </c>
      <c r="L9566" s="0" t="s">
        <v>3779</v>
      </c>
      <c r="N9566" s="0" t="n">
        <v>1.14</v>
      </c>
      <c r="O9566" s="0" t="n">
        <v>40.83</v>
      </c>
      <c r="P9566" s="0" t="s">
        <v>2444</v>
      </c>
    </row>
    <row r="9567" customFormat="false" ht="12.75" hidden="false" customHeight="true" outlineLevel="0" collapsed="false">
      <c r="A9567" s="0" t="n">
        <v>2</v>
      </c>
      <c r="B9567" s="71" t="n">
        <v>46294</v>
      </c>
      <c r="C9567" s="0" t="n">
        <v>22</v>
      </c>
      <c r="D9567" s="0" t="s">
        <v>2479</v>
      </c>
      <c r="E9567" s="0" t="n">
        <v>48</v>
      </c>
      <c r="F9567" s="0" t="s">
        <v>153</v>
      </c>
      <c r="I9567" s="0" t="n">
        <v>2707</v>
      </c>
      <c r="J9567" s="0" t="n">
        <v>100053</v>
      </c>
      <c r="K9567" s="0" t="n">
        <v>54</v>
      </c>
      <c r="L9567" s="0" t="s">
        <v>2495</v>
      </c>
      <c r="N9567" s="0" t="n">
        <v>1.48</v>
      </c>
      <c r="O9567" s="0" t="n">
        <v>55.53</v>
      </c>
      <c r="P9567" s="0" t="s">
        <v>2444</v>
      </c>
    </row>
    <row r="9568" customFormat="false" ht="12.75" hidden="false" customHeight="true" outlineLevel="0" collapsed="false">
      <c r="A9568" s="0" t="n">
        <v>2</v>
      </c>
      <c r="B9568" s="71" t="n">
        <v>46294</v>
      </c>
      <c r="C9568" s="0" t="n">
        <v>22</v>
      </c>
      <c r="D9568" s="0" t="s">
        <v>2479</v>
      </c>
      <c r="E9568" s="0" t="n">
        <v>48</v>
      </c>
      <c r="F9568" s="0" t="s">
        <v>153</v>
      </c>
      <c r="I9568" s="0" t="n">
        <v>2707</v>
      </c>
      <c r="J9568" s="0" t="n">
        <v>100638</v>
      </c>
      <c r="K9568" s="0" t="n">
        <v>508</v>
      </c>
      <c r="L9568" s="0" t="s">
        <v>2496</v>
      </c>
      <c r="N9568" s="0" t="n">
        <v>1</v>
      </c>
      <c r="O9568" s="0" t="n">
        <v>2.55</v>
      </c>
      <c r="P9568" s="0" t="s">
        <v>2444</v>
      </c>
    </row>
    <row r="9569" customFormat="false" ht="12.75" hidden="false" customHeight="true" outlineLevel="0" collapsed="false">
      <c r="A9569" s="0" t="n">
        <v>2</v>
      </c>
      <c r="B9569" s="71" t="n">
        <v>46294</v>
      </c>
      <c r="C9569" s="0" t="n">
        <v>22</v>
      </c>
      <c r="D9569" s="0" t="s">
        <v>2479</v>
      </c>
      <c r="E9569" s="0" t="n">
        <v>48</v>
      </c>
      <c r="F9569" s="0" t="s">
        <v>153</v>
      </c>
      <c r="I9569" s="0" t="n">
        <v>2707</v>
      </c>
      <c r="J9569" s="0" t="n">
        <v>100638</v>
      </c>
      <c r="K9569" s="0" t="n">
        <v>508</v>
      </c>
      <c r="L9569" s="0" t="s">
        <v>2496</v>
      </c>
      <c r="N9569" s="0" t="n">
        <v>0.9</v>
      </c>
      <c r="O9569" s="0" t="n">
        <v>2.13</v>
      </c>
      <c r="P9569" s="0" t="s">
        <v>2444</v>
      </c>
    </row>
    <row r="9570" customFormat="false" ht="12.75" hidden="false" customHeight="true" outlineLevel="0" collapsed="false">
      <c r="A9570" s="0" t="n">
        <v>2</v>
      </c>
      <c r="B9570" s="71" t="n">
        <v>46294</v>
      </c>
      <c r="C9570" s="0" t="n">
        <v>22</v>
      </c>
      <c r="D9570" s="0" t="s">
        <v>2479</v>
      </c>
      <c r="E9570" s="0" t="n">
        <v>48</v>
      </c>
      <c r="F9570" s="0" t="s">
        <v>153</v>
      </c>
      <c r="I9570" s="0" t="n">
        <v>2707</v>
      </c>
      <c r="J9570" s="0" t="n">
        <v>110137</v>
      </c>
      <c r="K9570" s="0" t="n">
        <v>13899</v>
      </c>
      <c r="L9570" s="0" t="s">
        <v>3780</v>
      </c>
      <c r="N9570" s="0" t="n">
        <v>10.13</v>
      </c>
      <c r="O9570" s="0" t="n">
        <v>43.12</v>
      </c>
      <c r="P9570" s="0" t="s">
        <v>2444</v>
      </c>
    </row>
    <row r="9571" customFormat="false" ht="12.75" hidden="false" customHeight="true" outlineLevel="0" collapsed="false">
      <c r="A9571" s="0" t="n">
        <v>2</v>
      </c>
      <c r="B9571" s="71" t="n">
        <v>46294</v>
      </c>
      <c r="C9571" s="0" t="n">
        <v>22</v>
      </c>
      <c r="D9571" s="0" t="s">
        <v>2479</v>
      </c>
      <c r="E9571" s="0" t="n">
        <v>48</v>
      </c>
      <c r="F9571" s="0" t="s">
        <v>153</v>
      </c>
      <c r="I9571" s="0" t="n">
        <v>2707</v>
      </c>
      <c r="J9571" s="0" t="n">
        <v>110137</v>
      </c>
      <c r="K9571" s="0" t="n">
        <v>13899</v>
      </c>
      <c r="L9571" s="0" t="s">
        <v>3780</v>
      </c>
      <c r="N9571" s="0" t="n">
        <v>3.15</v>
      </c>
      <c r="O9571" s="0" t="n">
        <v>12.42</v>
      </c>
      <c r="P9571" s="0" t="s">
        <v>2444</v>
      </c>
    </row>
    <row r="9572" customFormat="false" ht="12.75" hidden="false" customHeight="true" outlineLevel="0" collapsed="false">
      <c r="A9572" s="0" t="n">
        <v>2</v>
      </c>
      <c r="B9572" s="71" t="n">
        <v>46294</v>
      </c>
      <c r="C9572" s="0" t="n">
        <v>22</v>
      </c>
      <c r="D9572" s="0" t="s">
        <v>2479</v>
      </c>
      <c r="E9572" s="0" t="n">
        <v>48</v>
      </c>
      <c r="F9572" s="0" t="s">
        <v>153</v>
      </c>
      <c r="I9572" s="0" t="n">
        <v>2707</v>
      </c>
      <c r="J9572" s="0" t="n">
        <v>110455</v>
      </c>
      <c r="K9572" s="0" t="n">
        <v>53212</v>
      </c>
      <c r="L9572" s="0" t="s">
        <v>2498</v>
      </c>
      <c r="N9572" s="0" t="n">
        <v>0.76</v>
      </c>
      <c r="O9572" s="0" t="n">
        <v>0</v>
      </c>
      <c r="P9572" s="0" t="s">
        <v>2444</v>
      </c>
    </row>
    <row r="9573" customFormat="false" ht="12.75" hidden="false" customHeight="true" outlineLevel="0" collapsed="false">
      <c r="A9573" s="0" t="n">
        <v>2</v>
      </c>
      <c r="B9573" s="71" t="n">
        <v>46294</v>
      </c>
      <c r="C9573" s="0" t="n">
        <v>22</v>
      </c>
      <c r="D9573" s="0" t="s">
        <v>2479</v>
      </c>
      <c r="E9573" s="0" t="n">
        <v>48</v>
      </c>
      <c r="F9573" s="0" t="s">
        <v>153</v>
      </c>
      <c r="I9573" s="0" t="n">
        <v>2707</v>
      </c>
      <c r="J9573" s="0" t="n">
        <v>110455</v>
      </c>
      <c r="K9573" s="0" t="n">
        <v>53212</v>
      </c>
      <c r="L9573" s="0" t="s">
        <v>2498</v>
      </c>
      <c r="N9573" s="0" t="n">
        <v>0.69</v>
      </c>
      <c r="O9573" s="0" t="n">
        <v>0</v>
      </c>
      <c r="P9573" s="0" t="s">
        <v>2444</v>
      </c>
    </row>
    <row r="9574" customFormat="false" ht="12.75" hidden="false" customHeight="true" outlineLevel="0" collapsed="false">
      <c r="A9574" s="0" t="n">
        <v>2</v>
      </c>
      <c r="B9574" s="71" t="n">
        <v>46294</v>
      </c>
      <c r="C9574" s="0" t="n">
        <v>39</v>
      </c>
      <c r="D9574" s="0" t="s">
        <v>3298</v>
      </c>
      <c r="E9574" s="0" t="n">
        <v>1636</v>
      </c>
      <c r="F9574" s="0" t="s">
        <v>61</v>
      </c>
      <c r="I9574" s="0" t="n">
        <v>3260278</v>
      </c>
      <c r="J9574" s="0" t="n">
        <v>45631</v>
      </c>
      <c r="K9574" s="0" t="n">
        <v>77896061971333</v>
      </c>
      <c r="L9574" s="0" t="s">
        <v>4213</v>
      </c>
      <c r="N9574" s="0" t="n">
        <v>8</v>
      </c>
      <c r="O9574" s="0" t="n">
        <v>81.68</v>
      </c>
      <c r="P9574" s="0" t="s">
        <v>2444</v>
      </c>
    </row>
    <row r="9575" customFormat="false" ht="12.75" hidden="false" customHeight="true" outlineLevel="0" collapsed="false">
      <c r="A9575" s="0" t="n">
        <v>2</v>
      </c>
      <c r="B9575" s="71" t="n">
        <v>46294</v>
      </c>
      <c r="C9575" s="0" t="n">
        <v>39</v>
      </c>
      <c r="D9575" s="0" t="s">
        <v>3298</v>
      </c>
      <c r="E9575" s="0" t="n">
        <v>1636</v>
      </c>
      <c r="F9575" s="0" t="s">
        <v>61</v>
      </c>
      <c r="I9575" s="0" t="n">
        <v>3260278</v>
      </c>
      <c r="J9575" s="0" t="n">
        <v>45635</v>
      </c>
      <c r="K9575" s="0" t="n">
        <v>77896061972354</v>
      </c>
      <c r="L9575" s="0" t="s">
        <v>4214</v>
      </c>
      <c r="N9575" s="0" t="n">
        <v>12</v>
      </c>
      <c r="O9575" s="0" t="n">
        <v>312.79</v>
      </c>
      <c r="P9575" s="0" t="s">
        <v>2444</v>
      </c>
    </row>
    <row r="9576" customFormat="false" ht="12.75" hidden="false" customHeight="true" outlineLevel="0" collapsed="false">
      <c r="A9576" s="0" t="n">
        <v>2</v>
      </c>
      <c r="B9576" s="71" t="n">
        <v>46294</v>
      </c>
      <c r="C9576" s="0" t="n">
        <v>39</v>
      </c>
      <c r="D9576" s="0" t="s">
        <v>3298</v>
      </c>
      <c r="E9576" s="0" t="n">
        <v>1636</v>
      </c>
      <c r="F9576" s="0" t="s">
        <v>61</v>
      </c>
      <c r="I9576" s="0" t="n">
        <v>3260278</v>
      </c>
      <c r="J9576" s="0" t="n">
        <v>62942</v>
      </c>
      <c r="K9576" s="0" t="n">
        <v>7898908483161</v>
      </c>
      <c r="L9576" s="0" t="s">
        <v>5616</v>
      </c>
      <c r="N9576" s="0" t="n">
        <v>3</v>
      </c>
      <c r="O9576" s="0" t="n">
        <v>89.04</v>
      </c>
      <c r="P9576" s="0" t="s">
        <v>2444</v>
      </c>
    </row>
    <row r="9577" customFormat="false" ht="12.75" hidden="false" customHeight="true" outlineLevel="0" collapsed="false">
      <c r="A9577" s="0" t="n">
        <v>2</v>
      </c>
      <c r="B9577" s="71" t="n">
        <v>46294</v>
      </c>
      <c r="C9577" s="0" t="n">
        <v>100</v>
      </c>
      <c r="D9577" s="0" t="s">
        <v>2499</v>
      </c>
      <c r="E9577" s="0" t="n">
        <v>48</v>
      </c>
      <c r="F9577" s="0" t="s">
        <v>153</v>
      </c>
      <c r="I9577" s="0" t="n">
        <v>1774911</v>
      </c>
      <c r="J9577" s="0" t="n">
        <v>100000</v>
      </c>
      <c r="K9577" s="0" t="n">
        <v>1</v>
      </c>
      <c r="L9577" s="0" t="s">
        <v>2480</v>
      </c>
      <c r="N9577" s="0" t="n">
        <v>2.61</v>
      </c>
      <c r="O9577" s="0" t="n">
        <v>53.41</v>
      </c>
      <c r="P9577" s="0" t="s">
        <v>2444</v>
      </c>
    </row>
    <row r="9578" customFormat="false" ht="12.75" hidden="false" customHeight="true" outlineLevel="0" collapsed="false">
      <c r="A9578" s="0" t="n">
        <v>2</v>
      </c>
      <c r="B9578" s="71" t="n">
        <v>46294</v>
      </c>
      <c r="C9578" s="0" t="n">
        <v>100</v>
      </c>
      <c r="D9578" s="0" t="s">
        <v>2499</v>
      </c>
      <c r="E9578" s="0" t="n">
        <v>48</v>
      </c>
      <c r="F9578" s="0" t="s">
        <v>153</v>
      </c>
      <c r="I9578" s="0" t="n">
        <v>1774911</v>
      </c>
      <c r="J9578" s="0" t="n">
        <v>100006</v>
      </c>
      <c r="K9578" s="0" t="n">
        <v>7</v>
      </c>
      <c r="L9578" s="0" t="s">
        <v>2485</v>
      </c>
      <c r="N9578" s="0" t="n">
        <v>1.94</v>
      </c>
      <c r="O9578" s="0" t="n">
        <v>56.25</v>
      </c>
      <c r="P9578" s="0" t="s">
        <v>2444</v>
      </c>
    </row>
    <row r="9579" customFormat="false" ht="12.75" hidden="false" customHeight="true" outlineLevel="0" collapsed="false">
      <c r="A9579" s="0" t="n">
        <v>2</v>
      </c>
      <c r="B9579" s="71" t="n">
        <v>46294</v>
      </c>
      <c r="C9579" s="0" t="n">
        <v>100</v>
      </c>
      <c r="D9579" s="0" t="s">
        <v>2499</v>
      </c>
      <c r="E9579" s="0" t="n">
        <v>48</v>
      </c>
      <c r="F9579" s="0" t="s">
        <v>153</v>
      </c>
      <c r="I9579" s="0" t="n">
        <v>1774911</v>
      </c>
      <c r="J9579" s="0" t="n">
        <v>100007</v>
      </c>
      <c r="K9579" s="0" t="n">
        <v>8</v>
      </c>
      <c r="L9579" s="0" t="s">
        <v>2486</v>
      </c>
      <c r="N9579" s="0" t="n">
        <v>1.29</v>
      </c>
      <c r="O9579" s="0" t="n">
        <v>33</v>
      </c>
      <c r="P9579" s="0" t="s">
        <v>2444</v>
      </c>
    </row>
    <row r="9580" customFormat="false" ht="12.75" hidden="false" customHeight="true" outlineLevel="0" collapsed="false">
      <c r="A9580" s="0" t="n">
        <v>2</v>
      </c>
      <c r="B9580" s="71" t="n">
        <v>46294</v>
      </c>
      <c r="C9580" s="0" t="n">
        <v>100</v>
      </c>
      <c r="D9580" s="0" t="s">
        <v>2499</v>
      </c>
      <c r="E9580" s="0" t="n">
        <v>48</v>
      </c>
      <c r="F9580" s="0" t="s">
        <v>153</v>
      </c>
      <c r="I9580" s="0" t="n">
        <v>1774911</v>
      </c>
      <c r="J9580" s="0" t="n">
        <v>100008</v>
      </c>
      <c r="K9580" s="0" t="n">
        <v>9</v>
      </c>
      <c r="L9580" s="0" t="s">
        <v>2487</v>
      </c>
      <c r="N9580" s="0" t="n">
        <v>15.85</v>
      </c>
      <c r="O9580" s="0" t="n">
        <v>527.13</v>
      </c>
      <c r="P9580" s="0" t="s">
        <v>2444</v>
      </c>
    </row>
    <row r="9581" customFormat="false" ht="12.75" hidden="false" customHeight="true" outlineLevel="0" collapsed="false">
      <c r="A9581" s="0" t="n">
        <v>2</v>
      </c>
      <c r="B9581" s="71" t="n">
        <v>46294</v>
      </c>
      <c r="C9581" s="0" t="n">
        <v>100</v>
      </c>
      <c r="D9581" s="0" t="s">
        <v>2499</v>
      </c>
      <c r="E9581" s="0" t="n">
        <v>48</v>
      </c>
      <c r="F9581" s="0" t="s">
        <v>153</v>
      </c>
      <c r="I9581" s="0" t="n">
        <v>1774911</v>
      </c>
      <c r="J9581" s="0" t="n">
        <v>100011</v>
      </c>
      <c r="K9581" s="0" t="n">
        <v>12</v>
      </c>
      <c r="L9581" s="0" t="s">
        <v>2488</v>
      </c>
      <c r="N9581" s="0" t="n">
        <v>9.13</v>
      </c>
      <c r="O9581" s="0" t="n">
        <v>350.37</v>
      </c>
      <c r="P9581" s="0" t="s">
        <v>2444</v>
      </c>
    </row>
    <row r="9582" customFormat="false" ht="12.75" hidden="false" customHeight="true" outlineLevel="0" collapsed="false">
      <c r="A9582" s="0" t="n">
        <v>2</v>
      </c>
      <c r="B9582" s="71" t="n">
        <v>46294</v>
      </c>
      <c r="C9582" s="0" t="n">
        <v>100</v>
      </c>
      <c r="D9582" s="0" t="s">
        <v>2499</v>
      </c>
      <c r="E9582" s="0" t="n">
        <v>48</v>
      </c>
      <c r="F9582" s="0" t="s">
        <v>153</v>
      </c>
      <c r="I9582" s="0" t="n">
        <v>1774911</v>
      </c>
      <c r="J9582" s="0" t="n">
        <v>100012</v>
      </c>
      <c r="K9582" s="0" t="n">
        <v>13</v>
      </c>
      <c r="L9582" s="0" t="s">
        <v>2489</v>
      </c>
      <c r="N9582" s="0" t="n">
        <v>4.86</v>
      </c>
      <c r="O9582" s="0" t="n">
        <v>207.23</v>
      </c>
      <c r="P9582" s="0" t="s">
        <v>2444</v>
      </c>
    </row>
    <row r="9583" customFormat="false" ht="12.75" hidden="false" customHeight="true" outlineLevel="0" collapsed="false">
      <c r="A9583" s="0" t="n">
        <v>2</v>
      </c>
      <c r="B9583" s="71" t="n">
        <v>46294</v>
      </c>
      <c r="C9583" s="0" t="n">
        <v>100</v>
      </c>
      <c r="D9583" s="0" t="s">
        <v>2499</v>
      </c>
      <c r="E9583" s="0" t="n">
        <v>48</v>
      </c>
      <c r="F9583" s="0" t="s">
        <v>153</v>
      </c>
      <c r="I9583" s="0" t="n">
        <v>1774911</v>
      </c>
      <c r="J9583" s="0" t="n">
        <v>100013</v>
      </c>
      <c r="K9583" s="0" t="n">
        <v>14</v>
      </c>
      <c r="L9583" s="0" t="s">
        <v>2490</v>
      </c>
      <c r="N9583" s="0" t="n">
        <v>10.5</v>
      </c>
      <c r="O9583" s="0" t="n">
        <v>474.59</v>
      </c>
      <c r="P9583" s="0" t="s">
        <v>2444</v>
      </c>
    </row>
    <row r="9584" customFormat="false" ht="12.75" hidden="false" customHeight="true" outlineLevel="0" collapsed="false">
      <c r="A9584" s="0" t="n">
        <v>2</v>
      </c>
      <c r="B9584" s="71" t="n">
        <v>46294</v>
      </c>
      <c r="C9584" s="0" t="n">
        <v>100</v>
      </c>
      <c r="D9584" s="0" t="s">
        <v>2499</v>
      </c>
      <c r="E9584" s="0" t="n">
        <v>48</v>
      </c>
      <c r="F9584" s="0" t="s">
        <v>153</v>
      </c>
      <c r="I9584" s="0" t="n">
        <v>1774911</v>
      </c>
      <c r="J9584" s="0" t="n">
        <v>100014</v>
      </c>
      <c r="K9584" s="0" t="n">
        <v>15</v>
      </c>
      <c r="L9584" s="0" t="s">
        <v>2491</v>
      </c>
      <c r="N9584" s="0" t="n">
        <v>4.1</v>
      </c>
      <c r="O9584" s="0" t="n">
        <v>188.81</v>
      </c>
      <c r="P9584" s="0" t="s">
        <v>2444</v>
      </c>
    </row>
    <row r="9585" customFormat="false" ht="12.75" hidden="false" customHeight="true" outlineLevel="0" collapsed="false">
      <c r="A9585" s="0" t="n">
        <v>2</v>
      </c>
      <c r="B9585" s="71" t="n">
        <v>46294</v>
      </c>
      <c r="C9585" s="0" t="n">
        <v>100</v>
      </c>
      <c r="D9585" s="0" t="s">
        <v>2499</v>
      </c>
      <c r="E9585" s="0" t="n">
        <v>48</v>
      </c>
      <c r="F9585" s="0" t="s">
        <v>153</v>
      </c>
      <c r="I9585" s="0" t="n">
        <v>1774911</v>
      </c>
      <c r="J9585" s="0" t="n">
        <v>100015</v>
      </c>
      <c r="K9585" s="0" t="n">
        <v>16</v>
      </c>
      <c r="L9585" s="0" t="s">
        <v>2492</v>
      </c>
      <c r="N9585" s="0" t="n">
        <v>1.69</v>
      </c>
      <c r="O9585" s="0" t="n">
        <v>69.18</v>
      </c>
      <c r="P9585" s="0" t="s">
        <v>2444</v>
      </c>
    </row>
    <row r="9586" customFormat="false" ht="12.75" hidden="false" customHeight="true" outlineLevel="0" collapsed="false">
      <c r="A9586" s="0" t="n">
        <v>2</v>
      </c>
      <c r="B9586" s="71" t="n">
        <v>46294</v>
      </c>
      <c r="C9586" s="0" t="n">
        <v>100</v>
      </c>
      <c r="D9586" s="0" t="s">
        <v>2499</v>
      </c>
      <c r="E9586" s="0" t="n">
        <v>48</v>
      </c>
      <c r="F9586" s="0" t="s">
        <v>153</v>
      </c>
      <c r="I9586" s="0" t="n">
        <v>1774911</v>
      </c>
      <c r="J9586" s="0" t="n">
        <v>100017</v>
      </c>
      <c r="K9586" s="0" t="n">
        <v>18</v>
      </c>
      <c r="L9586" s="0" t="s">
        <v>2494</v>
      </c>
      <c r="N9586" s="0" t="n">
        <v>1.79</v>
      </c>
      <c r="O9586" s="0" t="n">
        <v>114.5</v>
      </c>
      <c r="P9586" s="0" t="s">
        <v>2444</v>
      </c>
    </row>
    <row r="9587" customFormat="false" ht="12.75" hidden="false" customHeight="true" outlineLevel="0" collapsed="false">
      <c r="A9587" s="0" t="n">
        <v>2</v>
      </c>
      <c r="B9587" s="71" t="n">
        <v>46294</v>
      </c>
      <c r="C9587" s="0" t="n">
        <v>100</v>
      </c>
      <c r="D9587" s="0" t="s">
        <v>2499</v>
      </c>
      <c r="E9587" s="0" t="n">
        <v>48</v>
      </c>
      <c r="F9587" s="0" t="s">
        <v>153</v>
      </c>
      <c r="I9587" s="0" t="n">
        <v>1774911</v>
      </c>
      <c r="J9587" s="0" t="n">
        <v>100019</v>
      </c>
      <c r="K9587" s="0" t="n">
        <v>20</v>
      </c>
      <c r="L9587" s="0" t="s">
        <v>3779</v>
      </c>
      <c r="N9587" s="0" t="n">
        <v>1.14</v>
      </c>
      <c r="O9587" s="0" t="n">
        <v>40.83</v>
      </c>
      <c r="P9587" s="0" t="s">
        <v>2444</v>
      </c>
    </row>
    <row r="9588" customFormat="false" ht="12.75" hidden="false" customHeight="true" outlineLevel="0" collapsed="false">
      <c r="A9588" s="0" t="n">
        <v>2</v>
      </c>
      <c r="B9588" s="71" t="n">
        <v>46294</v>
      </c>
      <c r="C9588" s="0" t="n">
        <v>100</v>
      </c>
      <c r="D9588" s="0" t="s">
        <v>2499</v>
      </c>
      <c r="E9588" s="0" t="n">
        <v>48</v>
      </c>
      <c r="F9588" s="0" t="s">
        <v>153</v>
      </c>
      <c r="I9588" s="0" t="n">
        <v>1774911</v>
      </c>
      <c r="J9588" s="0" t="n">
        <v>100053</v>
      </c>
      <c r="K9588" s="0" t="n">
        <v>54</v>
      </c>
      <c r="L9588" s="0" t="s">
        <v>2495</v>
      </c>
      <c r="N9588" s="0" t="n">
        <v>1.48</v>
      </c>
      <c r="O9588" s="0" t="n">
        <v>55.53</v>
      </c>
      <c r="P9588" s="0" t="s">
        <v>2444</v>
      </c>
    </row>
    <row r="9589" customFormat="false" ht="12.75" hidden="false" customHeight="true" outlineLevel="0" collapsed="false">
      <c r="A9589" s="0" t="n">
        <v>2</v>
      </c>
      <c r="B9589" s="71" t="n">
        <v>46294</v>
      </c>
      <c r="C9589" s="0" t="n">
        <v>100</v>
      </c>
      <c r="D9589" s="0" t="s">
        <v>2499</v>
      </c>
      <c r="E9589" s="0" t="n">
        <v>48</v>
      </c>
      <c r="F9589" s="0" t="s">
        <v>153</v>
      </c>
      <c r="I9589" s="0" t="n">
        <v>1774911</v>
      </c>
      <c r="J9589" s="0" t="n">
        <v>100638</v>
      </c>
      <c r="K9589" s="0" t="n">
        <v>508</v>
      </c>
      <c r="L9589" s="0" t="s">
        <v>2496</v>
      </c>
      <c r="N9589" s="0" t="n">
        <v>1</v>
      </c>
      <c r="O9589" s="0" t="n">
        <v>2.55</v>
      </c>
      <c r="P9589" s="0" t="s">
        <v>2444</v>
      </c>
    </row>
    <row r="9590" customFormat="false" ht="12.75" hidden="false" customHeight="true" outlineLevel="0" collapsed="false">
      <c r="A9590" s="0" t="n">
        <v>2</v>
      </c>
      <c r="B9590" s="71" t="n">
        <v>46294</v>
      </c>
      <c r="C9590" s="0" t="n">
        <v>100</v>
      </c>
      <c r="D9590" s="0" t="s">
        <v>2499</v>
      </c>
      <c r="E9590" s="0" t="n">
        <v>48</v>
      </c>
      <c r="F9590" s="0" t="s">
        <v>153</v>
      </c>
      <c r="I9590" s="0" t="n">
        <v>1774911</v>
      </c>
      <c r="J9590" s="0" t="n">
        <v>110137</v>
      </c>
      <c r="K9590" s="0" t="n">
        <v>13899</v>
      </c>
      <c r="L9590" s="0" t="s">
        <v>3780</v>
      </c>
      <c r="N9590" s="0" t="n">
        <v>10.13</v>
      </c>
      <c r="O9590" s="0" t="n">
        <v>43.12</v>
      </c>
      <c r="P9590" s="0" t="s">
        <v>2444</v>
      </c>
    </row>
    <row r="9591" customFormat="false" ht="12.75" hidden="false" customHeight="true" outlineLevel="0" collapsed="false">
      <c r="A9591" s="0" t="n">
        <v>2</v>
      </c>
      <c r="B9591" s="71" t="n">
        <v>46294</v>
      </c>
      <c r="C9591" s="0" t="n">
        <v>100</v>
      </c>
      <c r="D9591" s="0" t="s">
        <v>2499</v>
      </c>
      <c r="E9591" s="0" t="n">
        <v>48</v>
      </c>
      <c r="F9591" s="0" t="s">
        <v>153</v>
      </c>
      <c r="I9591" s="0" t="n">
        <v>1774911</v>
      </c>
      <c r="J9591" s="0" t="n">
        <v>110455</v>
      </c>
      <c r="K9591" s="0" t="n">
        <v>53212</v>
      </c>
      <c r="L9591" s="0" t="s">
        <v>2498</v>
      </c>
      <c r="N9591" s="0" t="n">
        <v>0.69</v>
      </c>
      <c r="O9591" s="0" t="n">
        <v>0</v>
      </c>
      <c r="P9591" s="0" t="s">
        <v>2444</v>
      </c>
    </row>
    <row r="9592" customFormat="false" ht="12.75" hidden="false" customHeight="true" outlineLevel="0" collapsed="false">
      <c r="A9592" s="0" t="n">
        <v>2</v>
      </c>
      <c r="B9592" s="71" t="n">
        <v>46294</v>
      </c>
      <c r="C9592" s="0" t="n">
        <v>100</v>
      </c>
      <c r="D9592" s="0" t="s">
        <v>2499</v>
      </c>
      <c r="E9592" s="0" t="n">
        <v>48</v>
      </c>
      <c r="F9592" s="0" t="s">
        <v>153</v>
      </c>
      <c r="I9592" s="0" t="n">
        <v>1774913</v>
      </c>
      <c r="J9592" s="0" t="n">
        <v>100000</v>
      </c>
      <c r="K9592" s="0" t="n">
        <v>1</v>
      </c>
      <c r="L9592" s="0" t="s">
        <v>2480</v>
      </c>
      <c r="N9592" s="0" t="n">
        <v>2.47</v>
      </c>
      <c r="O9592" s="0" t="n">
        <v>46.81</v>
      </c>
      <c r="P9592" s="0" t="s">
        <v>2444</v>
      </c>
    </row>
    <row r="9593" customFormat="false" ht="12.75" hidden="false" customHeight="true" outlineLevel="0" collapsed="false">
      <c r="A9593" s="0" t="n">
        <v>2</v>
      </c>
      <c r="B9593" s="71" t="n">
        <v>46294</v>
      </c>
      <c r="C9593" s="0" t="n">
        <v>100</v>
      </c>
      <c r="D9593" s="0" t="s">
        <v>2499</v>
      </c>
      <c r="E9593" s="0" t="n">
        <v>48</v>
      </c>
      <c r="F9593" s="0" t="s">
        <v>153</v>
      </c>
      <c r="I9593" s="0" t="n">
        <v>1774913</v>
      </c>
      <c r="J9593" s="0" t="n">
        <v>100001</v>
      </c>
      <c r="K9593" s="0" t="n">
        <v>2</v>
      </c>
      <c r="L9593" s="0" t="s">
        <v>2481</v>
      </c>
      <c r="N9593" s="0" t="n">
        <v>10.75</v>
      </c>
      <c r="O9593" s="0" t="n">
        <v>220.69</v>
      </c>
      <c r="P9593" s="0" t="s">
        <v>2444</v>
      </c>
    </row>
    <row r="9594" customFormat="false" ht="12.75" hidden="false" customHeight="true" outlineLevel="0" collapsed="false">
      <c r="A9594" s="0" t="n">
        <v>2</v>
      </c>
      <c r="B9594" s="71" t="n">
        <v>46294</v>
      </c>
      <c r="C9594" s="0" t="n">
        <v>100</v>
      </c>
      <c r="D9594" s="0" t="s">
        <v>2499</v>
      </c>
      <c r="E9594" s="0" t="n">
        <v>48</v>
      </c>
      <c r="F9594" s="0" t="s">
        <v>153</v>
      </c>
      <c r="I9594" s="0" t="n">
        <v>1774913</v>
      </c>
      <c r="J9594" s="0" t="n">
        <v>100002</v>
      </c>
      <c r="K9594" s="0" t="n">
        <v>3</v>
      </c>
      <c r="L9594" s="0" t="s">
        <v>2482</v>
      </c>
      <c r="N9594" s="0" t="n">
        <v>20.1</v>
      </c>
      <c r="O9594" s="0" t="n">
        <v>476.16</v>
      </c>
      <c r="P9594" s="0" t="s">
        <v>2444</v>
      </c>
    </row>
    <row r="9595" customFormat="false" ht="12.75" hidden="false" customHeight="true" outlineLevel="0" collapsed="false">
      <c r="A9595" s="0" t="n">
        <v>2</v>
      </c>
      <c r="B9595" s="71" t="n">
        <v>46294</v>
      </c>
      <c r="C9595" s="0" t="n">
        <v>100</v>
      </c>
      <c r="D9595" s="0" t="s">
        <v>2499</v>
      </c>
      <c r="E9595" s="0" t="n">
        <v>48</v>
      </c>
      <c r="F9595" s="0" t="s">
        <v>153</v>
      </c>
      <c r="I9595" s="0" t="n">
        <v>1774913</v>
      </c>
      <c r="J9595" s="0" t="n">
        <v>100003</v>
      </c>
      <c r="K9595" s="0" t="n">
        <v>4</v>
      </c>
      <c r="L9595" s="0" t="s">
        <v>2483</v>
      </c>
      <c r="N9595" s="0" t="n">
        <v>15.74</v>
      </c>
      <c r="O9595" s="0" t="n">
        <v>397.74</v>
      </c>
      <c r="P9595" s="0" t="s">
        <v>2444</v>
      </c>
    </row>
    <row r="9596" customFormat="false" ht="12.75" hidden="false" customHeight="true" outlineLevel="0" collapsed="false">
      <c r="A9596" s="0" t="n">
        <v>2</v>
      </c>
      <c r="B9596" s="71" t="n">
        <v>46294</v>
      </c>
      <c r="C9596" s="0" t="n">
        <v>100</v>
      </c>
      <c r="D9596" s="0" t="s">
        <v>2499</v>
      </c>
      <c r="E9596" s="0" t="n">
        <v>48</v>
      </c>
      <c r="F9596" s="0" t="s">
        <v>153</v>
      </c>
      <c r="I9596" s="0" t="n">
        <v>1774913</v>
      </c>
      <c r="J9596" s="0" t="n">
        <v>100004</v>
      </c>
      <c r="K9596" s="0" t="n">
        <v>5</v>
      </c>
      <c r="L9596" s="0" t="s">
        <v>2484</v>
      </c>
      <c r="N9596" s="0" t="n">
        <v>1.5</v>
      </c>
      <c r="O9596" s="0" t="n">
        <v>33.16</v>
      </c>
      <c r="P9596" s="0" t="s">
        <v>2444</v>
      </c>
    </row>
    <row r="9597" customFormat="false" ht="12.75" hidden="false" customHeight="true" outlineLevel="0" collapsed="false">
      <c r="A9597" s="0" t="n">
        <v>2</v>
      </c>
      <c r="B9597" s="71" t="n">
        <v>46294</v>
      </c>
      <c r="C9597" s="0" t="n">
        <v>100</v>
      </c>
      <c r="D9597" s="0" t="s">
        <v>2499</v>
      </c>
      <c r="E9597" s="0" t="n">
        <v>48</v>
      </c>
      <c r="F9597" s="0" t="s">
        <v>153</v>
      </c>
      <c r="I9597" s="0" t="n">
        <v>1774913</v>
      </c>
      <c r="J9597" s="0" t="n">
        <v>100007</v>
      </c>
      <c r="K9597" s="0" t="n">
        <v>8</v>
      </c>
      <c r="L9597" s="0" t="s">
        <v>2486</v>
      </c>
      <c r="N9597" s="0" t="n">
        <v>4.65</v>
      </c>
      <c r="O9597" s="0" t="n">
        <v>110.16</v>
      </c>
      <c r="P9597" s="0" t="s">
        <v>2444</v>
      </c>
    </row>
    <row r="9598" customFormat="false" ht="12.75" hidden="false" customHeight="true" outlineLevel="0" collapsed="false">
      <c r="A9598" s="0" t="n">
        <v>2</v>
      </c>
      <c r="B9598" s="71" t="n">
        <v>46294</v>
      </c>
      <c r="C9598" s="0" t="n">
        <v>100</v>
      </c>
      <c r="D9598" s="0" t="s">
        <v>2499</v>
      </c>
      <c r="E9598" s="0" t="n">
        <v>48</v>
      </c>
      <c r="F9598" s="0" t="s">
        <v>153</v>
      </c>
      <c r="I9598" s="0" t="n">
        <v>1774913</v>
      </c>
      <c r="J9598" s="0" t="n">
        <v>100009</v>
      </c>
      <c r="K9598" s="0" t="n">
        <v>10</v>
      </c>
      <c r="L9598" s="0" t="s">
        <v>4704</v>
      </c>
      <c r="N9598" s="0" t="n">
        <v>4.18</v>
      </c>
      <c r="O9598" s="0" t="n">
        <v>145.25</v>
      </c>
      <c r="P9598" s="0" t="s">
        <v>2444</v>
      </c>
    </row>
    <row r="9599" customFormat="false" ht="12.75" hidden="false" customHeight="true" outlineLevel="0" collapsed="false">
      <c r="A9599" s="0" t="n">
        <v>2</v>
      </c>
      <c r="B9599" s="71" t="n">
        <v>46294</v>
      </c>
      <c r="C9599" s="0" t="n">
        <v>100</v>
      </c>
      <c r="D9599" s="0" t="s">
        <v>2499</v>
      </c>
      <c r="E9599" s="0" t="n">
        <v>48</v>
      </c>
      <c r="F9599" s="0" t="s">
        <v>153</v>
      </c>
      <c r="I9599" s="0" t="n">
        <v>1774913</v>
      </c>
      <c r="J9599" s="0" t="n">
        <v>100638</v>
      </c>
      <c r="K9599" s="0" t="n">
        <v>508</v>
      </c>
      <c r="L9599" s="0" t="s">
        <v>2496</v>
      </c>
      <c r="N9599" s="0" t="n">
        <v>0.9</v>
      </c>
      <c r="O9599" s="0" t="n">
        <v>2.13</v>
      </c>
      <c r="P9599" s="0" t="s">
        <v>2444</v>
      </c>
    </row>
    <row r="9600" customFormat="false" ht="12.75" hidden="false" customHeight="true" outlineLevel="0" collapsed="false">
      <c r="A9600" s="0" t="n">
        <v>2</v>
      </c>
      <c r="B9600" s="71" t="n">
        <v>46294</v>
      </c>
      <c r="C9600" s="0" t="n">
        <v>100</v>
      </c>
      <c r="D9600" s="0" t="s">
        <v>2499</v>
      </c>
      <c r="E9600" s="0" t="n">
        <v>48</v>
      </c>
      <c r="F9600" s="0" t="s">
        <v>153</v>
      </c>
      <c r="I9600" s="0" t="n">
        <v>1774913</v>
      </c>
      <c r="J9600" s="0" t="n">
        <v>110137</v>
      </c>
      <c r="K9600" s="0" t="n">
        <v>13899</v>
      </c>
      <c r="L9600" s="0" t="s">
        <v>3780</v>
      </c>
      <c r="N9600" s="0" t="n">
        <v>3.15</v>
      </c>
      <c r="O9600" s="0" t="n">
        <v>12.42</v>
      </c>
      <c r="P9600" s="0" t="s">
        <v>2444</v>
      </c>
    </row>
    <row r="9601" customFormat="false" ht="12.75" hidden="false" customHeight="true" outlineLevel="0" collapsed="false">
      <c r="A9601" s="0" t="n">
        <v>2</v>
      </c>
      <c r="B9601" s="71" t="n">
        <v>46294</v>
      </c>
      <c r="C9601" s="0" t="n">
        <v>100</v>
      </c>
      <c r="D9601" s="0" t="s">
        <v>2499</v>
      </c>
      <c r="E9601" s="0" t="n">
        <v>48</v>
      </c>
      <c r="F9601" s="0" t="s">
        <v>153</v>
      </c>
      <c r="I9601" s="0" t="n">
        <v>1774913</v>
      </c>
      <c r="J9601" s="0" t="n">
        <v>110455</v>
      </c>
      <c r="K9601" s="0" t="n">
        <v>53212</v>
      </c>
      <c r="L9601" s="0" t="s">
        <v>2498</v>
      </c>
      <c r="N9601" s="0" t="n">
        <v>0.76</v>
      </c>
      <c r="O9601" s="0" t="n">
        <v>0</v>
      </c>
      <c r="P9601" s="0" t="s">
        <v>2444</v>
      </c>
    </row>
    <row r="9602" customFormat="false" ht="12.75" hidden="false" customHeight="true" outlineLevel="0" collapsed="false">
      <c r="A9602" s="0" t="n">
        <v>2</v>
      </c>
      <c r="B9602" s="71" t="n">
        <v>46295</v>
      </c>
      <c r="C9602" s="0" t="n">
        <v>6</v>
      </c>
      <c r="D9602" s="0" t="s">
        <v>2553</v>
      </c>
      <c r="E9602" s="0" t="n">
        <v>48</v>
      </c>
      <c r="F9602" s="0" t="s">
        <v>153</v>
      </c>
      <c r="I9602" s="0" t="n">
        <v>2709</v>
      </c>
      <c r="J9602" s="0" t="n">
        <v>100113</v>
      </c>
      <c r="K9602" s="0" t="n">
        <v>114</v>
      </c>
      <c r="L9602" s="0" t="s">
        <v>2539</v>
      </c>
      <c r="N9602" s="0" t="n">
        <v>20</v>
      </c>
      <c r="O9602" s="0" t="n">
        <v>165</v>
      </c>
      <c r="P9602" s="0" t="s">
        <v>2444</v>
      </c>
    </row>
    <row r="9603" customFormat="false" ht="12.75" hidden="false" customHeight="true" outlineLevel="0" collapsed="false">
      <c r="A9603" s="0" t="n">
        <v>2</v>
      </c>
      <c r="B9603" s="71" t="n">
        <v>46295</v>
      </c>
      <c r="C9603" s="0" t="n">
        <v>6</v>
      </c>
      <c r="D9603" s="0" t="s">
        <v>2553</v>
      </c>
      <c r="E9603" s="0" t="n">
        <v>48</v>
      </c>
      <c r="F9603" s="0" t="s">
        <v>153</v>
      </c>
      <c r="I9603" s="0" t="n">
        <v>2709</v>
      </c>
      <c r="J9603" s="0" t="n">
        <v>110142</v>
      </c>
      <c r="K9603" s="0" t="n">
        <v>16699</v>
      </c>
      <c r="L9603" s="0" t="s">
        <v>2549</v>
      </c>
      <c r="N9603" s="0" t="n">
        <v>40</v>
      </c>
      <c r="O9603" s="0" t="n">
        <v>240</v>
      </c>
      <c r="P9603" s="0" t="s">
        <v>2444</v>
      </c>
    </row>
    <row r="9604" customFormat="false" ht="12.75" hidden="false" customHeight="true" outlineLevel="0" collapsed="false">
      <c r="A9604" s="0" t="n">
        <v>2</v>
      </c>
      <c r="B9604" s="71" t="n">
        <v>46295</v>
      </c>
      <c r="C9604" s="0" t="n">
        <v>11</v>
      </c>
      <c r="D9604" s="0" t="s">
        <v>2471</v>
      </c>
      <c r="E9604" s="0" t="n">
        <v>10096</v>
      </c>
      <c r="F9604" s="0" t="s">
        <v>622</v>
      </c>
      <c r="I9604" s="0" t="n">
        <v>349</v>
      </c>
      <c r="J9604" s="0" t="n">
        <v>61580</v>
      </c>
      <c r="K9604" s="0" t="n">
        <v>2258157</v>
      </c>
      <c r="L9604" s="0" t="s">
        <v>2509</v>
      </c>
      <c r="N9604" s="0" t="n">
        <v>10</v>
      </c>
      <c r="O9604" s="0" t="n">
        <v>120</v>
      </c>
      <c r="P9604" s="0" t="s">
        <v>2444</v>
      </c>
    </row>
    <row r="9605" customFormat="false" ht="12.75" hidden="false" customHeight="true" outlineLevel="0" collapsed="false">
      <c r="A9605" s="0" t="n">
        <v>2</v>
      </c>
      <c r="B9605" s="71" t="n">
        <v>46295</v>
      </c>
      <c r="C9605" s="0" t="n">
        <v>11</v>
      </c>
      <c r="D9605" s="0" t="s">
        <v>2471</v>
      </c>
      <c r="E9605" s="0" t="n">
        <v>875</v>
      </c>
      <c r="F9605" s="0" t="s">
        <v>42</v>
      </c>
      <c r="I9605" s="0" t="n">
        <v>1975</v>
      </c>
      <c r="J9605" s="0" t="n">
        <v>28810</v>
      </c>
      <c r="K9605" s="0" t="n">
        <v>7893590426762</v>
      </c>
      <c r="L9605" s="0" t="s">
        <v>2870</v>
      </c>
      <c r="N9605" s="0" t="n">
        <v>12</v>
      </c>
      <c r="O9605" s="0" t="n">
        <v>66</v>
      </c>
      <c r="P9605" s="0" t="s">
        <v>2444</v>
      </c>
    </row>
    <row r="9606" customFormat="false" ht="12.75" hidden="false" customHeight="true" outlineLevel="0" collapsed="false">
      <c r="A9606" s="0" t="n">
        <v>2</v>
      </c>
      <c r="B9606" s="71" t="n">
        <v>46295</v>
      </c>
      <c r="C9606" s="0" t="n">
        <v>11</v>
      </c>
      <c r="D9606" s="0" t="s">
        <v>2471</v>
      </c>
      <c r="E9606" s="0" t="n">
        <v>875</v>
      </c>
      <c r="F9606" s="0" t="s">
        <v>42</v>
      </c>
      <c r="I9606" s="0" t="n">
        <v>1975</v>
      </c>
      <c r="J9606" s="0" t="n">
        <v>59657</v>
      </c>
      <c r="K9606" s="0" t="n">
        <v>7899085713034</v>
      </c>
      <c r="L9606" s="0" t="s">
        <v>5617</v>
      </c>
      <c r="N9606" s="0" t="n">
        <v>3</v>
      </c>
      <c r="O9606" s="0" t="n">
        <v>84</v>
      </c>
      <c r="P9606" s="0" t="s">
        <v>2444</v>
      </c>
    </row>
    <row r="9607" customFormat="false" ht="12.75" hidden="false" customHeight="true" outlineLevel="0" collapsed="false">
      <c r="A9607" s="0" t="n">
        <v>2</v>
      </c>
      <c r="B9607" s="71" t="n">
        <v>46295</v>
      </c>
      <c r="C9607" s="0" t="n">
        <v>11</v>
      </c>
      <c r="D9607" s="0" t="s">
        <v>2471</v>
      </c>
      <c r="E9607" s="0" t="n">
        <v>875</v>
      </c>
      <c r="F9607" s="0" t="s">
        <v>42</v>
      </c>
      <c r="I9607" s="0" t="n">
        <v>1975</v>
      </c>
      <c r="J9607" s="0" t="n">
        <v>60427</v>
      </c>
      <c r="K9607" s="0" t="n">
        <v>7899085126087</v>
      </c>
      <c r="L9607" s="0" t="s">
        <v>2865</v>
      </c>
      <c r="N9607" s="0" t="n">
        <v>2</v>
      </c>
      <c r="O9607" s="0" t="n">
        <v>90</v>
      </c>
      <c r="P9607" s="0" t="s">
        <v>2444</v>
      </c>
    </row>
    <row r="9608" customFormat="false" ht="12.75" hidden="false" customHeight="true" outlineLevel="0" collapsed="false">
      <c r="A9608" s="0" t="n">
        <v>2</v>
      </c>
      <c r="B9608" s="71" t="n">
        <v>46295</v>
      </c>
      <c r="C9608" s="0" t="n">
        <v>11</v>
      </c>
      <c r="D9608" s="0" t="s">
        <v>2471</v>
      </c>
      <c r="E9608" s="0" t="n">
        <v>875</v>
      </c>
      <c r="F9608" s="0" t="s">
        <v>42</v>
      </c>
      <c r="I9608" s="0" t="n">
        <v>1975</v>
      </c>
      <c r="J9608" s="0" t="n">
        <v>61157</v>
      </c>
      <c r="K9608" s="0" t="n">
        <v>6970088847955</v>
      </c>
      <c r="L9608" s="0" t="s">
        <v>5618</v>
      </c>
      <c r="N9608" s="0" t="n">
        <v>14</v>
      </c>
      <c r="O9608" s="0" t="n">
        <v>210</v>
      </c>
      <c r="P9608" s="0" t="s">
        <v>2444</v>
      </c>
    </row>
    <row r="9609" customFormat="false" ht="12.75" hidden="false" customHeight="true" outlineLevel="0" collapsed="false">
      <c r="A9609" s="0" t="n">
        <v>2</v>
      </c>
      <c r="B9609" s="71" t="n">
        <v>46295</v>
      </c>
      <c r="C9609" s="0" t="n">
        <v>11</v>
      </c>
      <c r="D9609" s="0" t="s">
        <v>2471</v>
      </c>
      <c r="E9609" s="0" t="n">
        <v>875</v>
      </c>
      <c r="F9609" s="0" t="s">
        <v>42</v>
      </c>
      <c r="I9609" s="0" t="n">
        <v>1975</v>
      </c>
      <c r="J9609" s="0" t="n">
        <v>62998</v>
      </c>
      <c r="K9609" s="0" t="n">
        <v>7898070364619</v>
      </c>
      <c r="L9609" s="0" t="s">
        <v>5619</v>
      </c>
      <c r="N9609" s="0" t="n">
        <v>40</v>
      </c>
      <c r="O9609" s="0" t="n">
        <v>240</v>
      </c>
      <c r="P9609" s="0" t="s">
        <v>2444</v>
      </c>
    </row>
    <row r="9610" customFormat="false" ht="12.75" hidden="false" customHeight="true" outlineLevel="0" collapsed="false">
      <c r="A9610" s="0" t="n">
        <v>2</v>
      </c>
      <c r="B9610" s="71" t="n">
        <v>46295</v>
      </c>
      <c r="C9610" s="0" t="n">
        <v>11</v>
      </c>
      <c r="D9610" s="0" t="s">
        <v>2471</v>
      </c>
      <c r="E9610" s="0" t="n">
        <v>875</v>
      </c>
      <c r="F9610" s="0" t="s">
        <v>42</v>
      </c>
      <c r="I9610" s="0" t="n">
        <v>1975</v>
      </c>
      <c r="J9610" s="0" t="n">
        <v>63016</v>
      </c>
      <c r="K9610" s="0" t="n">
        <v>7899085593124</v>
      </c>
      <c r="L9610" s="0" t="s">
        <v>5620</v>
      </c>
      <c r="N9610" s="0" t="n">
        <v>2</v>
      </c>
      <c r="O9610" s="0" t="n">
        <v>54</v>
      </c>
      <c r="P9610" s="0" t="s">
        <v>2444</v>
      </c>
    </row>
    <row r="9611" customFormat="false" ht="12.75" hidden="false" customHeight="true" outlineLevel="0" collapsed="false">
      <c r="A9611" s="0" t="n">
        <v>2</v>
      </c>
      <c r="B9611" s="71" t="n">
        <v>46295</v>
      </c>
      <c r="C9611" s="0" t="n">
        <v>11</v>
      </c>
      <c r="D9611" s="0" t="s">
        <v>2471</v>
      </c>
      <c r="E9611" s="0" t="n">
        <v>875</v>
      </c>
      <c r="F9611" s="0" t="s">
        <v>42</v>
      </c>
      <c r="I9611" s="0" t="n">
        <v>1975</v>
      </c>
      <c r="J9611" s="0" t="n">
        <v>65453</v>
      </c>
      <c r="K9611" s="0" t="n">
        <v>7893095423143</v>
      </c>
      <c r="L9611" s="0" t="s">
        <v>5621</v>
      </c>
      <c r="N9611" s="0" t="n">
        <v>7</v>
      </c>
      <c r="O9611" s="0" t="n">
        <v>308</v>
      </c>
      <c r="P9611" s="0" t="s">
        <v>2444</v>
      </c>
    </row>
    <row r="9612" customFormat="false" ht="12.75" hidden="false" customHeight="true" outlineLevel="0" collapsed="false">
      <c r="A9612" s="0" t="n">
        <v>2</v>
      </c>
      <c r="B9612" s="71" t="n">
        <v>46295</v>
      </c>
      <c r="C9612" s="0" t="n">
        <v>11</v>
      </c>
      <c r="D9612" s="0" t="s">
        <v>2471</v>
      </c>
      <c r="E9612" s="0" t="n">
        <v>875</v>
      </c>
      <c r="F9612" s="0" t="s">
        <v>42</v>
      </c>
      <c r="I9612" s="0" t="n">
        <v>1975</v>
      </c>
      <c r="J9612" s="0" t="n">
        <v>65505</v>
      </c>
      <c r="K9612" s="0" t="n">
        <v>7899085714109</v>
      </c>
      <c r="L9612" s="0" t="s">
        <v>5622</v>
      </c>
      <c r="N9612" s="0" t="n">
        <v>10</v>
      </c>
      <c r="O9612" s="0" t="n">
        <v>120</v>
      </c>
      <c r="P9612" s="0" t="s">
        <v>2444</v>
      </c>
    </row>
    <row r="9613" customFormat="false" ht="12.75" hidden="false" customHeight="true" outlineLevel="0" collapsed="false">
      <c r="A9613" s="0" t="n">
        <v>2</v>
      </c>
      <c r="B9613" s="71" t="n">
        <v>46295</v>
      </c>
      <c r="C9613" s="0" t="n">
        <v>11</v>
      </c>
      <c r="D9613" s="0" t="s">
        <v>2471</v>
      </c>
      <c r="E9613" s="0" t="n">
        <v>875</v>
      </c>
      <c r="F9613" s="0" t="s">
        <v>42</v>
      </c>
      <c r="I9613" s="0" t="n">
        <v>1975</v>
      </c>
      <c r="J9613" s="0" t="n">
        <v>77010</v>
      </c>
      <c r="K9613" s="0" t="n">
        <v>7898729412951</v>
      </c>
      <c r="L9613" s="0" t="s">
        <v>5623</v>
      </c>
      <c r="N9613" s="0" t="n">
        <v>3</v>
      </c>
      <c r="O9613" s="0" t="n">
        <v>138</v>
      </c>
      <c r="P9613" s="0" t="s">
        <v>2444</v>
      </c>
    </row>
    <row r="9614" customFormat="false" ht="12.75" hidden="false" customHeight="true" outlineLevel="0" collapsed="false">
      <c r="A9614" s="0" t="n">
        <v>2</v>
      </c>
      <c r="B9614" s="71" t="n">
        <v>46295</v>
      </c>
      <c r="C9614" s="0" t="n">
        <v>11</v>
      </c>
      <c r="D9614" s="0" t="s">
        <v>2471</v>
      </c>
      <c r="E9614" s="0" t="n">
        <v>875</v>
      </c>
      <c r="F9614" s="0" t="s">
        <v>42</v>
      </c>
      <c r="I9614" s="0" t="n">
        <v>1975</v>
      </c>
      <c r="J9614" s="0" t="n">
        <v>78362</v>
      </c>
      <c r="K9614" s="0" t="n">
        <v>7899085713539</v>
      </c>
      <c r="L9614" s="0" t="s">
        <v>4709</v>
      </c>
      <c r="N9614" s="0" t="n">
        <v>20</v>
      </c>
      <c r="O9614" s="0" t="n">
        <v>100</v>
      </c>
      <c r="P9614" s="0" t="s">
        <v>2444</v>
      </c>
    </row>
    <row r="9615" customFormat="false" ht="12.75" hidden="false" customHeight="true" outlineLevel="0" collapsed="false">
      <c r="A9615" s="0" t="n">
        <v>2</v>
      </c>
      <c r="B9615" s="71" t="n">
        <v>46295</v>
      </c>
      <c r="C9615" s="0" t="n">
        <v>11</v>
      </c>
      <c r="D9615" s="0" t="s">
        <v>2471</v>
      </c>
      <c r="E9615" s="0" t="n">
        <v>875</v>
      </c>
      <c r="F9615" s="0" t="s">
        <v>42</v>
      </c>
      <c r="I9615" s="0" t="n">
        <v>1975</v>
      </c>
      <c r="J9615" s="0" t="n">
        <v>79762</v>
      </c>
      <c r="K9615" s="0" t="n">
        <v>7448070326751</v>
      </c>
      <c r="L9615" s="0" t="s">
        <v>2883</v>
      </c>
      <c r="N9615" s="0" t="n">
        <v>3</v>
      </c>
      <c r="O9615" s="0" t="n">
        <v>138</v>
      </c>
      <c r="P9615" s="0" t="s">
        <v>2444</v>
      </c>
    </row>
    <row r="9616" customFormat="false" ht="12.75" hidden="false" customHeight="true" outlineLevel="0" collapsed="false">
      <c r="A9616" s="0" t="n">
        <v>2</v>
      </c>
      <c r="B9616" s="71" t="n">
        <v>46295</v>
      </c>
      <c r="C9616" s="0" t="n">
        <v>11</v>
      </c>
      <c r="D9616" s="0" t="s">
        <v>2471</v>
      </c>
      <c r="E9616" s="0" t="n">
        <v>875</v>
      </c>
      <c r="F9616" s="0" t="s">
        <v>42</v>
      </c>
      <c r="I9616" s="0" t="n">
        <v>1975</v>
      </c>
      <c r="J9616" s="0" t="n">
        <v>82605</v>
      </c>
      <c r="K9616" s="0" t="n">
        <v>7899085589561</v>
      </c>
      <c r="L9616" s="0" t="s">
        <v>5624</v>
      </c>
      <c r="N9616" s="0" t="n">
        <v>10</v>
      </c>
      <c r="O9616" s="0" t="n">
        <v>50</v>
      </c>
      <c r="P9616" s="0" t="s">
        <v>2444</v>
      </c>
    </row>
    <row r="9617" customFormat="false" ht="12.75" hidden="false" customHeight="true" outlineLevel="0" collapsed="false">
      <c r="A9617" s="0" t="n">
        <v>2</v>
      </c>
      <c r="B9617" s="71" t="n">
        <v>46295</v>
      </c>
      <c r="C9617" s="0" t="n">
        <v>11</v>
      </c>
      <c r="D9617" s="0" t="s">
        <v>2471</v>
      </c>
      <c r="E9617" s="0" t="n">
        <v>875</v>
      </c>
      <c r="F9617" s="0" t="s">
        <v>42</v>
      </c>
      <c r="I9617" s="0" t="n">
        <v>1975</v>
      </c>
      <c r="J9617" s="0" t="n">
        <v>82608</v>
      </c>
      <c r="K9617" s="0" t="n">
        <v>7893095593150</v>
      </c>
      <c r="L9617" s="0" t="s">
        <v>5625</v>
      </c>
      <c r="N9617" s="0" t="n">
        <v>3</v>
      </c>
      <c r="O9617" s="0" t="n">
        <v>90</v>
      </c>
      <c r="P9617" s="0" t="s">
        <v>2444</v>
      </c>
    </row>
    <row r="9618" customFormat="false" ht="12.75" hidden="false" customHeight="true" outlineLevel="0" collapsed="false">
      <c r="A9618" s="0" t="n">
        <v>2</v>
      </c>
      <c r="B9618" s="71" t="n">
        <v>46295</v>
      </c>
      <c r="C9618" s="0" t="n">
        <v>11</v>
      </c>
      <c r="D9618" s="0" t="s">
        <v>2471</v>
      </c>
      <c r="E9618" s="0" t="n">
        <v>875</v>
      </c>
      <c r="F9618" s="0" t="s">
        <v>42</v>
      </c>
      <c r="I9618" s="0" t="n">
        <v>1975</v>
      </c>
      <c r="J9618" s="0" t="n">
        <v>82609</v>
      </c>
      <c r="K9618" s="0" t="n">
        <v>7893095593228</v>
      </c>
      <c r="L9618" s="0" t="s">
        <v>5626</v>
      </c>
      <c r="N9618" s="0" t="n">
        <v>3</v>
      </c>
      <c r="O9618" s="0" t="n">
        <v>90</v>
      </c>
      <c r="P9618" s="0" t="s">
        <v>2444</v>
      </c>
    </row>
    <row r="9619" customFormat="false" ht="12.75" hidden="false" customHeight="true" outlineLevel="0" collapsed="false">
      <c r="A9619" s="0" t="n">
        <v>2</v>
      </c>
      <c r="B9619" s="71" t="n">
        <v>46295</v>
      </c>
      <c r="C9619" s="0" t="n">
        <v>11</v>
      </c>
      <c r="D9619" s="0" t="s">
        <v>2471</v>
      </c>
      <c r="E9619" s="0" t="n">
        <v>875</v>
      </c>
      <c r="F9619" s="0" t="s">
        <v>42</v>
      </c>
      <c r="I9619" s="0" t="n">
        <v>1975</v>
      </c>
      <c r="J9619" s="0" t="n">
        <v>82610</v>
      </c>
      <c r="K9619" s="0" t="n">
        <v>7893095427172</v>
      </c>
      <c r="L9619" s="0" t="s">
        <v>5627</v>
      </c>
      <c r="N9619" s="0" t="n">
        <v>3</v>
      </c>
      <c r="O9619" s="0" t="n">
        <v>54</v>
      </c>
      <c r="P9619" s="0" t="s">
        <v>2444</v>
      </c>
    </row>
    <row r="9620" customFormat="false" ht="12.75" hidden="false" customHeight="true" outlineLevel="0" collapsed="false">
      <c r="A9620" s="0" t="n">
        <v>2</v>
      </c>
      <c r="B9620" s="71" t="n">
        <v>46295</v>
      </c>
      <c r="C9620" s="0" t="n">
        <v>11</v>
      </c>
      <c r="D9620" s="0" t="s">
        <v>2471</v>
      </c>
      <c r="E9620" s="0" t="n">
        <v>875</v>
      </c>
      <c r="F9620" s="0" t="s">
        <v>42</v>
      </c>
      <c r="I9620" s="0" t="n">
        <v>1975</v>
      </c>
      <c r="J9620" s="0" t="n">
        <v>82611</v>
      </c>
      <c r="K9620" s="0" t="n">
        <v>826129</v>
      </c>
      <c r="L9620" s="0" t="s">
        <v>5628</v>
      </c>
      <c r="N9620" s="0" t="n">
        <v>14</v>
      </c>
      <c r="O9620" s="0" t="n">
        <v>140</v>
      </c>
      <c r="P9620" s="0" t="s">
        <v>2444</v>
      </c>
    </row>
    <row r="9621" customFormat="false" ht="12.75" hidden="false" customHeight="true" outlineLevel="0" collapsed="false">
      <c r="A9621" s="0" t="n">
        <v>2</v>
      </c>
      <c r="B9621" s="71" t="n">
        <v>46295</v>
      </c>
      <c r="C9621" s="0" t="n">
        <v>11</v>
      </c>
      <c r="D9621" s="0" t="s">
        <v>2471</v>
      </c>
      <c r="E9621" s="0" t="n">
        <v>875</v>
      </c>
      <c r="F9621" s="0" t="s">
        <v>42</v>
      </c>
      <c r="I9621" s="0" t="n">
        <v>1975</v>
      </c>
      <c r="J9621" s="0" t="n">
        <v>82613</v>
      </c>
      <c r="K9621" s="0" t="n">
        <v>7908657603755</v>
      </c>
      <c r="L9621" s="0" t="s">
        <v>5629</v>
      </c>
      <c r="N9621" s="0" t="n">
        <v>5</v>
      </c>
      <c r="O9621" s="0" t="n">
        <v>85</v>
      </c>
      <c r="P9621" s="0" t="s">
        <v>2444</v>
      </c>
    </row>
    <row r="9622" customFormat="false" ht="12.75" hidden="false" customHeight="true" outlineLevel="0" collapsed="false">
      <c r="A9622" s="0" t="n">
        <v>2</v>
      </c>
      <c r="B9622" s="71" t="n">
        <v>46295</v>
      </c>
      <c r="C9622" s="0" t="n">
        <v>11</v>
      </c>
      <c r="D9622" s="0" t="s">
        <v>2471</v>
      </c>
      <c r="E9622" s="0" t="n">
        <v>875</v>
      </c>
      <c r="F9622" s="0" t="s">
        <v>42</v>
      </c>
      <c r="I9622" s="0" t="n">
        <v>1975</v>
      </c>
      <c r="J9622" s="0" t="n">
        <v>82614</v>
      </c>
      <c r="K9622" s="0" t="n">
        <v>7893095510287</v>
      </c>
      <c r="L9622" s="0" t="s">
        <v>5630</v>
      </c>
      <c r="N9622" s="0" t="n">
        <v>3</v>
      </c>
      <c r="O9622" s="0" t="n">
        <v>132</v>
      </c>
      <c r="P9622" s="0" t="s">
        <v>2444</v>
      </c>
    </row>
    <row r="9623" customFormat="false" ht="12.75" hidden="false" customHeight="true" outlineLevel="0" collapsed="false">
      <c r="A9623" s="0" t="n">
        <v>2</v>
      </c>
      <c r="B9623" s="71" t="n">
        <v>46295</v>
      </c>
      <c r="C9623" s="0" t="n">
        <v>11</v>
      </c>
      <c r="D9623" s="0" t="s">
        <v>2471</v>
      </c>
      <c r="E9623" s="0" t="n">
        <v>875</v>
      </c>
      <c r="F9623" s="0" t="s">
        <v>42</v>
      </c>
      <c r="I9623" s="0" t="n">
        <v>1975</v>
      </c>
      <c r="J9623" s="0" t="n">
        <v>82617</v>
      </c>
      <c r="K9623" s="0" t="n">
        <v>7448070403285</v>
      </c>
      <c r="L9623" s="0" t="s">
        <v>5631</v>
      </c>
      <c r="N9623" s="0" t="n">
        <v>20</v>
      </c>
      <c r="O9623" s="0" t="n">
        <v>140</v>
      </c>
      <c r="P9623" s="0" t="s">
        <v>2444</v>
      </c>
    </row>
    <row r="9624" customFormat="false" ht="12.75" hidden="false" customHeight="true" outlineLevel="0" collapsed="false">
      <c r="A9624" s="0" t="n">
        <v>2</v>
      </c>
      <c r="B9624" s="71" t="n">
        <v>46295</v>
      </c>
      <c r="C9624" s="0" t="n">
        <v>11</v>
      </c>
      <c r="D9624" s="0" t="s">
        <v>2471</v>
      </c>
      <c r="E9624" s="0" t="n">
        <v>911</v>
      </c>
      <c r="F9624" s="0" t="s">
        <v>487</v>
      </c>
      <c r="I9624" s="0" t="n">
        <v>60655</v>
      </c>
      <c r="J9624" s="0" t="n">
        <v>50676</v>
      </c>
      <c r="K9624" s="0" t="n">
        <v>7898007221176</v>
      </c>
      <c r="L9624" s="0" t="s">
        <v>3029</v>
      </c>
      <c r="N9624" s="0" t="n">
        <v>12</v>
      </c>
      <c r="O9624" s="0" t="n">
        <v>30.6</v>
      </c>
      <c r="P9624" s="0" t="s">
        <v>2444</v>
      </c>
    </row>
    <row r="9625" customFormat="false" ht="12.75" hidden="false" customHeight="true" outlineLevel="0" collapsed="false">
      <c r="A9625" s="0" t="n">
        <v>2</v>
      </c>
      <c r="B9625" s="71" t="n">
        <v>46295</v>
      </c>
      <c r="C9625" s="0" t="n">
        <v>11</v>
      </c>
      <c r="D9625" s="0" t="s">
        <v>2471</v>
      </c>
      <c r="E9625" s="0" t="n">
        <v>911</v>
      </c>
      <c r="F9625" s="0" t="s">
        <v>487</v>
      </c>
      <c r="I9625" s="0" t="n">
        <v>60655</v>
      </c>
      <c r="J9625" s="0" t="n">
        <v>59810</v>
      </c>
      <c r="K9625" s="0" t="n">
        <v>7898007221305</v>
      </c>
      <c r="L9625" s="0" t="s">
        <v>5632</v>
      </c>
      <c r="N9625" s="0" t="n">
        <v>12</v>
      </c>
      <c r="O9625" s="0" t="n">
        <v>30.8</v>
      </c>
      <c r="P9625" s="0" t="s">
        <v>2444</v>
      </c>
    </row>
    <row r="9626" customFormat="false" ht="12.75" hidden="false" customHeight="true" outlineLevel="0" collapsed="false">
      <c r="A9626" s="0" t="n">
        <v>2</v>
      </c>
      <c r="B9626" s="71" t="n">
        <v>46295</v>
      </c>
      <c r="C9626" s="0" t="n">
        <v>11</v>
      </c>
      <c r="D9626" s="0" t="s">
        <v>2471</v>
      </c>
      <c r="E9626" s="0" t="n">
        <v>911</v>
      </c>
      <c r="F9626" s="0" t="s">
        <v>487</v>
      </c>
      <c r="I9626" s="0" t="n">
        <v>60655</v>
      </c>
      <c r="J9626" s="0" t="n">
        <v>62654</v>
      </c>
      <c r="K9626" s="0" t="n">
        <v>95188872501</v>
      </c>
      <c r="L9626" s="0" t="s">
        <v>3030</v>
      </c>
      <c r="N9626" s="0" t="n">
        <v>12</v>
      </c>
      <c r="O9626" s="0" t="n">
        <v>37.8</v>
      </c>
      <c r="P9626" s="0" t="s">
        <v>2444</v>
      </c>
    </row>
    <row r="9627" customFormat="false" ht="12.75" hidden="false" customHeight="true" outlineLevel="0" collapsed="false">
      <c r="A9627" s="0" t="n">
        <v>2</v>
      </c>
      <c r="B9627" s="71" t="n">
        <v>46295</v>
      </c>
      <c r="C9627" s="0" t="n">
        <v>11</v>
      </c>
      <c r="D9627" s="0" t="s">
        <v>2471</v>
      </c>
      <c r="E9627" s="0" t="n">
        <v>911</v>
      </c>
      <c r="F9627" s="0" t="s">
        <v>487</v>
      </c>
      <c r="I9627" s="0" t="n">
        <v>60655</v>
      </c>
      <c r="J9627" s="0" t="n">
        <v>64887</v>
      </c>
      <c r="K9627" s="0" t="n">
        <v>7898007221336</v>
      </c>
      <c r="L9627" s="0" t="s">
        <v>5233</v>
      </c>
      <c r="N9627" s="0" t="n">
        <v>120</v>
      </c>
      <c r="O9627" s="0" t="n">
        <v>124.64</v>
      </c>
      <c r="P9627" s="0" t="s">
        <v>2444</v>
      </c>
    </row>
    <row r="9628" customFormat="false" ht="12.75" hidden="false" customHeight="true" outlineLevel="0" collapsed="false">
      <c r="A9628" s="0" t="n">
        <v>2</v>
      </c>
      <c r="B9628" s="71" t="n">
        <v>46295</v>
      </c>
      <c r="C9628" s="0" t="n">
        <v>11</v>
      </c>
      <c r="D9628" s="0" t="s">
        <v>2471</v>
      </c>
      <c r="E9628" s="0" t="n">
        <v>1705</v>
      </c>
      <c r="F9628" s="0" t="s">
        <v>130</v>
      </c>
      <c r="I9628" s="0" t="n">
        <v>1309310</v>
      </c>
      <c r="J9628" s="0" t="n">
        <v>24324</v>
      </c>
      <c r="K9628" s="0" t="n">
        <v>70847022015</v>
      </c>
      <c r="L9628" s="0" t="s">
        <v>2462</v>
      </c>
      <c r="N9628" s="0" t="n">
        <v>48</v>
      </c>
      <c r="O9628" s="0" t="n">
        <v>406.84</v>
      </c>
      <c r="P9628" s="0" t="s">
        <v>2444</v>
      </c>
    </row>
    <row r="9629" customFormat="false" ht="12.75" hidden="false" customHeight="true" outlineLevel="0" collapsed="false">
      <c r="A9629" s="0" t="n">
        <v>2</v>
      </c>
      <c r="B9629" s="71" t="n">
        <v>46295</v>
      </c>
      <c r="C9629" s="0" t="n">
        <v>11</v>
      </c>
      <c r="D9629" s="0" t="s">
        <v>2471</v>
      </c>
      <c r="E9629" s="0" t="n">
        <v>1705</v>
      </c>
      <c r="F9629" s="0" t="s">
        <v>130</v>
      </c>
      <c r="I9629" s="0" t="n">
        <v>1309310</v>
      </c>
      <c r="J9629" s="0" t="n">
        <v>66038</v>
      </c>
      <c r="K9629" s="0" t="n">
        <v>7898938890076</v>
      </c>
      <c r="L9629" s="0" t="s">
        <v>3442</v>
      </c>
      <c r="N9629" s="0" t="n">
        <v>24</v>
      </c>
      <c r="O9629" s="0" t="n">
        <v>203.42</v>
      </c>
      <c r="P9629" s="0" t="s">
        <v>2444</v>
      </c>
    </row>
    <row r="9630" customFormat="false" ht="12.75" hidden="false" customHeight="true" outlineLevel="0" collapsed="false">
      <c r="A9630" s="0" t="n">
        <v>2</v>
      </c>
      <c r="B9630" s="71" t="n">
        <v>46295</v>
      </c>
      <c r="C9630" s="0" t="n">
        <v>11</v>
      </c>
      <c r="D9630" s="0" t="s">
        <v>2471</v>
      </c>
      <c r="E9630" s="0" t="n">
        <v>1705</v>
      </c>
      <c r="F9630" s="0" t="s">
        <v>130</v>
      </c>
      <c r="I9630" s="0" t="n">
        <v>1309311</v>
      </c>
      <c r="J9630" s="0" t="n">
        <v>29749</v>
      </c>
      <c r="K9630" s="0" t="n">
        <v>70847033929</v>
      </c>
      <c r="L9630" s="0" t="s">
        <v>2563</v>
      </c>
      <c r="N9630" s="0" t="n">
        <v>6</v>
      </c>
      <c r="O9630" s="0" t="n">
        <v>50.85</v>
      </c>
      <c r="P9630" s="0" t="s">
        <v>2444</v>
      </c>
    </row>
    <row r="9631" customFormat="false" ht="12.75" hidden="false" customHeight="true" outlineLevel="0" collapsed="false">
      <c r="A9631" s="0" t="n">
        <v>2</v>
      </c>
      <c r="B9631" s="71" t="n">
        <v>46295</v>
      </c>
      <c r="C9631" s="0" t="n">
        <v>11</v>
      </c>
      <c r="D9631" s="0" t="s">
        <v>2471</v>
      </c>
      <c r="E9631" s="0" t="n">
        <v>1705</v>
      </c>
      <c r="F9631" s="0" t="s">
        <v>130</v>
      </c>
      <c r="I9631" s="0" t="n">
        <v>1309311</v>
      </c>
      <c r="J9631" s="0" t="n">
        <v>47082</v>
      </c>
      <c r="K9631" s="0" t="n">
        <v>1220000250031</v>
      </c>
      <c r="L9631" s="0" t="s">
        <v>2565</v>
      </c>
      <c r="N9631" s="0" t="n">
        <v>6</v>
      </c>
      <c r="O9631" s="0" t="n">
        <v>50.85</v>
      </c>
      <c r="P9631" s="0" t="s">
        <v>2444</v>
      </c>
    </row>
    <row r="9632" customFormat="false" ht="12.75" hidden="false" customHeight="true" outlineLevel="0" collapsed="false">
      <c r="A9632" s="0" t="n">
        <v>2</v>
      </c>
      <c r="B9632" s="71" t="n">
        <v>46295</v>
      </c>
      <c r="C9632" s="0" t="n">
        <v>11</v>
      </c>
      <c r="D9632" s="0" t="s">
        <v>2471</v>
      </c>
      <c r="E9632" s="0" t="n">
        <v>1705</v>
      </c>
      <c r="F9632" s="0" t="s">
        <v>130</v>
      </c>
      <c r="I9632" s="0" t="n">
        <v>1309311</v>
      </c>
      <c r="J9632" s="0" t="n">
        <v>54315</v>
      </c>
      <c r="K9632" s="0" t="n">
        <v>1220000250222</v>
      </c>
      <c r="L9632" s="0" t="s">
        <v>2464</v>
      </c>
      <c r="N9632" s="0" t="n">
        <v>6</v>
      </c>
      <c r="O9632" s="0" t="n">
        <v>50.85</v>
      </c>
      <c r="P9632" s="0" t="s">
        <v>2444</v>
      </c>
    </row>
    <row r="9633" customFormat="false" ht="12.75" hidden="false" customHeight="true" outlineLevel="0" collapsed="false">
      <c r="A9633" s="0" t="n">
        <v>2</v>
      </c>
      <c r="B9633" s="71" t="n">
        <v>46295</v>
      </c>
      <c r="C9633" s="0" t="n">
        <v>11</v>
      </c>
      <c r="D9633" s="0" t="s">
        <v>2471</v>
      </c>
      <c r="E9633" s="0" t="n">
        <v>1683</v>
      </c>
      <c r="F9633" s="0" t="s">
        <v>406</v>
      </c>
      <c r="I9633" s="0" t="n">
        <v>1688025</v>
      </c>
      <c r="J9633" s="0" t="n">
        <v>109791</v>
      </c>
      <c r="K9633" s="0" t="n">
        <v>9667</v>
      </c>
      <c r="L9633" s="0" t="s">
        <v>2465</v>
      </c>
      <c r="N9633" s="0" t="n">
        <v>10</v>
      </c>
      <c r="O9633" s="0" t="n">
        <v>15</v>
      </c>
      <c r="P9633" s="0" t="s">
        <v>2444</v>
      </c>
    </row>
    <row r="9634" customFormat="false" ht="12.75" hidden="false" customHeight="true" outlineLevel="0" collapsed="false">
      <c r="A9634" s="0" t="n">
        <v>2</v>
      </c>
      <c r="B9634" s="71" t="n">
        <v>46295</v>
      </c>
      <c r="C9634" s="0" t="n">
        <v>11</v>
      </c>
      <c r="D9634" s="0" t="s">
        <v>2471</v>
      </c>
      <c r="E9634" s="0" t="n">
        <v>1683</v>
      </c>
      <c r="F9634" s="0" t="s">
        <v>406</v>
      </c>
      <c r="I9634" s="0" t="n">
        <v>1688025</v>
      </c>
      <c r="J9634" s="0" t="n">
        <v>37359</v>
      </c>
      <c r="K9634" s="0" t="n">
        <v>55526</v>
      </c>
      <c r="L9634" s="0" t="s">
        <v>2466</v>
      </c>
      <c r="N9634" s="0" t="n">
        <v>7</v>
      </c>
      <c r="O9634" s="0" t="n">
        <v>35</v>
      </c>
      <c r="P9634" s="0" t="s">
        <v>2444</v>
      </c>
    </row>
    <row r="9635" customFormat="false" ht="12.75" hidden="false" customHeight="true" outlineLevel="0" collapsed="false">
      <c r="A9635" s="0" t="n">
        <v>2</v>
      </c>
      <c r="B9635" s="71" t="n">
        <v>46295</v>
      </c>
      <c r="C9635" s="0" t="n">
        <v>11</v>
      </c>
      <c r="D9635" s="0" t="s">
        <v>2471</v>
      </c>
      <c r="E9635" s="0" t="n">
        <v>1683</v>
      </c>
      <c r="F9635" s="0" t="s">
        <v>406</v>
      </c>
      <c r="I9635" s="0" t="n">
        <v>1688025</v>
      </c>
      <c r="J9635" s="0" t="n">
        <v>37361</v>
      </c>
      <c r="K9635" s="0" t="n">
        <v>2240817</v>
      </c>
      <c r="L9635" s="0" t="s">
        <v>2467</v>
      </c>
      <c r="N9635" s="0" t="n">
        <v>60</v>
      </c>
      <c r="O9635" s="0" t="n">
        <v>108</v>
      </c>
      <c r="P9635" s="0" t="s">
        <v>2444</v>
      </c>
    </row>
    <row r="9636" customFormat="false" ht="12.75" hidden="false" customHeight="true" outlineLevel="0" collapsed="false">
      <c r="A9636" s="0" t="n">
        <v>2</v>
      </c>
      <c r="B9636" s="71" t="n">
        <v>46295</v>
      </c>
      <c r="C9636" s="0" t="n">
        <v>11</v>
      </c>
      <c r="D9636" s="0" t="s">
        <v>2471</v>
      </c>
      <c r="E9636" s="0" t="n">
        <v>1608</v>
      </c>
      <c r="F9636" s="0" t="s">
        <v>240</v>
      </c>
      <c r="I9636" s="0" t="n">
        <v>1736096</v>
      </c>
      <c r="J9636" s="0" t="n">
        <v>65341</v>
      </c>
      <c r="K9636" s="0" t="n">
        <v>7892840822309</v>
      </c>
      <c r="L9636" s="0" t="s">
        <v>3524</v>
      </c>
      <c r="N9636" s="0" t="n">
        <v>336</v>
      </c>
      <c r="O9636" s="0" t="n">
        <v>551.04</v>
      </c>
      <c r="P9636" s="0" t="s">
        <v>2444</v>
      </c>
    </row>
    <row r="9637" customFormat="false" ht="12.75" hidden="false" customHeight="true" outlineLevel="0" collapsed="false">
      <c r="A9637" s="0" t="n">
        <v>2</v>
      </c>
      <c r="B9637" s="71" t="n">
        <v>46295</v>
      </c>
      <c r="C9637" s="0" t="n">
        <v>11</v>
      </c>
      <c r="D9637" s="0" t="s">
        <v>2471</v>
      </c>
      <c r="E9637" s="0" t="n">
        <v>1608</v>
      </c>
      <c r="F9637" s="0" t="s">
        <v>240</v>
      </c>
      <c r="I9637" s="0" t="n">
        <v>1736096</v>
      </c>
      <c r="J9637" s="0" t="n">
        <v>80464</v>
      </c>
      <c r="K9637" s="0" t="n">
        <v>7892840825126</v>
      </c>
      <c r="L9637" s="0" t="s">
        <v>3552</v>
      </c>
      <c r="N9637" s="0" t="n">
        <v>288</v>
      </c>
      <c r="O9637" s="0" t="n">
        <v>541.44</v>
      </c>
      <c r="P9637" s="0" t="s">
        <v>2444</v>
      </c>
    </row>
    <row r="9638" customFormat="false" ht="12.75" hidden="false" customHeight="true" outlineLevel="0" collapsed="false">
      <c r="A9638" s="0" t="n">
        <v>2</v>
      </c>
      <c r="B9638" s="71" t="n">
        <v>46295</v>
      </c>
      <c r="C9638" s="0" t="n">
        <v>11</v>
      </c>
      <c r="D9638" s="0" t="s">
        <v>2471</v>
      </c>
      <c r="E9638" s="0" t="n">
        <v>1705</v>
      </c>
      <c r="F9638" s="0" t="s">
        <v>130</v>
      </c>
      <c r="I9638" s="0" t="n">
        <v>2066814</v>
      </c>
      <c r="J9638" s="0" t="n">
        <v>30017</v>
      </c>
      <c r="K9638" s="0" t="n">
        <v>7894900680508</v>
      </c>
      <c r="L9638" s="0" t="s">
        <v>3589</v>
      </c>
      <c r="N9638" s="0" t="n">
        <v>12</v>
      </c>
      <c r="O9638" s="0" t="n">
        <v>42.12</v>
      </c>
      <c r="P9638" s="0" t="s">
        <v>2444</v>
      </c>
    </row>
    <row r="9639" customFormat="false" ht="12.75" hidden="false" customHeight="true" outlineLevel="0" collapsed="false">
      <c r="A9639" s="0" t="n">
        <v>2</v>
      </c>
      <c r="B9639" s="71" t="n">
        <v>46295</v>
      </c>
      <c r="C9639" s="0" t="n">
        <v>11</v>
      </c>
      <c r="D9639" s="0" t="s">
        <v>2471</v>
      </c>
      <c r="E9639" s="0" t="n">
        <v>1705</v>
      </c>
      <c r="F9639" s="0" t="s">
        <v>130</v>
      </c>
      <c r="I9639" s="0" t="n">
        <v>2066814</v>
      </c>
      <c r="J9639" s="0" t="n">
        <v>38978</v>
      </c>
      <c r="K9639" s="0" t="n">
        <v>7894900034097</v>
      </c>
      <c r="L9639" s="0" t="s">
        <v>3890</v>
      </c>
      <c r="N9639" s="0" t="n">
        <v>12</v>
      </c>
      <c r="O9639" s="0" t="n">
        <v>45.3</v>
      </c>
      <c r="P9639" s="0" t="s">
        <v>2444</v>
      </c>
    </row>
    <row r="9640" customFormat="false" ht="12.75" hidden="false" customHeight="true" outlineLevel="0" collapsed="false">
      <c r="A9640" s="0" t="n">
        <v>2</v>
      </c>
      <c r="B9640" s="71" t="n">
        <v>46295</v>
      </c>
      <c r="C9640" s="0" t="n">
        <v>11</v>
      </c>
      <c r="D9640" s="0" t="s">
        <v>2471</v>
      </c>
      <c r="E9640" s="0" t="n">
        <v>1705</v>
      </c>
      <c r="F9640" s="0" t="s">
        <v>130</v>
      </c>
      <c r="I9640" s="0" t="n">
        <v>2066814</v>
      </c>
      <c r="J9640" s="0" t="n">
        <v>38984</v>
      </c>
      <c r="K9640" s="0" t="n">
        <v>7894900027457</v>
      </c>
      <c r="L9640" s="0" t="s">
        <v>3554</v>
      </c>
      <c r="N9640" s="0" t="n">
        <v>12</v>
      </c>
      <c r="O9640" s="0" t="n">
        <v>45.3</v>
      </c>
      <c r="P9640" s="0" t="s">
        <v>2444</v>
      </c>
    </row>
    <row r="9641" customFormat="false" ht="12.75" hidden="false" customHeight="true" outlineLevel="0" collapsed="false">
      <c r="A9641" s="0" t="n">
        <v>2</v>
      </c>
      <c r="B9641" s="71" t="n">
        <v>46295</v>
      </c>
      <c r="C9641" s="0" t="n">
        <v>11</v>
      </c>
      <c r="D9641" s="0" t="s">
        <v>2471</v>
      </c>
      <c r="E9641" s="0" t="n">
        <v>1705</v>
      </c>
      <c r="F9641" s="0" t="s">
        <v>130</v>
      </c>
      <c r="I9641" s="0" t="n">
        <v>2067069</v>
      </c>
      <c r="J9641" s="0" t="n">
        <v>103140</v>
      </c>
      <c r="K9641" s="0" t="n">
        <v>7894900031751</v>
      </c>
      <c r="L9641" s="0" t="s">
        <v>2655</v>
      </c>
      <c r="N9641" s="0" t="n">
        <v>18</v>
      </c>
      <c r="O9641" s="0" t="n">
        <v>101.83</v>
      </c>
      <c r="P9641" s="0" t="s">
        <v>2444</v>
      </c>
    </row>
    <row r="9642" customFormat="false" ht="12.75" hidden="false" customHeight="true" outlineLevel="0" collapsed="false">
      <c r="A9642" s="0" t="n">
        <v>2</v>
      </c>
      <c r="B9642" s="71" t="n">
        <v>46295</v>
      </c>
      <c r="C9642" s="0" t="n">
        <v>11</v>
      </c>
      <c r="D9642" s="0" t="s">
        <v>2471</v>
      </c>
      <c r="E9642" s="0" t="n">
        <v>1705</v>
      </c>
      <c r="F9642" s="0" t="s">
        <v>130</v>
      </c>
      <c r="I9642" s="0" t="n">
        <v>2067069</v>
      </c>
      <c r="J9642" s="0" t="n">
        <v>103145</v>
      </c>
      <c r="K9642" s="0" t="n">
        <v>7894900051513</v>
      </c>
      <c r="L9642" s="0" t="s">
        <v>2995</v>
      </c>
      <c r="N9642" s="0" t="n">
        <v>18</v>
      </c>
      <c r="O9642" s="0" t="n">
        <v>138.1</v>
      </c>
      <c r="P9642" s="0" t="s">
        <v>2444</v>
      </c>
    </row>
    <row r="9643" customFormat="false" ht="12.75" hidden="false" customHeight="true" outlineLevel="0" collapsed="false">
      <c r="A9643" s="0" t="n">
        <v>2</v>
      </c>
      <c r="B9643" s="71" t="n">
        <v>46295</v>
      </c>
      <c r="C9643" s="0" t="n">
        <v>11</v>
      </c>
      <c r="D9643" s="0" t="s">
        <v>2471</v>
      </c>
      <c r="E9643" s="0" t="n">
        <v>1705</v>
      </c>
      <c r="F9643" s="0" t="s">
        <v>130</v>
      </c>
      <c r="I9643" s="0" t="n">
        <v>2067069</v>
      </c>
      <c r="J9643" s="0" t="n">
        <v>103160</v>
      </c>
      <c r="K9643" s="0" t="n">
        <v>7894900030013</v>
      </c>
      <c r="L9643" s="0" t="s">
        <v>2568</v>
      </c>
      <c r="N9643" s="0" t="n">
        <v>12</v>
      </c>
      <c r="O9643" s="0" t="n">
        <v>34.31</v>
      </c>
      <c r="P9643" s="0" t="s">
        <v>2444</v>
      </c>
    </row>
    <row r="9644" customFormat="false" ht="12.75" hidden="false" customHeight="true" outlineLevel="0" collapsed="false">
      <c r="A9644" s="0" t="n">
        <v>2</v>
      </c>
      <c r="B9644" s="71" t="n">
        <v>46295</v>
      </c>
      <c r="C9644" s="0" t="n">
        <v>11</v>
      </c>
      <c r="D9644" s="0" t="s">
        <v>2471</v>
      </c>
      <c r="E9644" s="0" t="n">
        <v>1705</v>
      </c>
      <c r="F9644" s="0" t="s">
        <v>130</v>
      </c>
      <c r="I9644" s="0" t="n">
        <v>2067069</v>
      </c>
      <c r="J9644" s="0" t="n">
        <v>103161</v>
      </c>
      <c r="K9644" s="0" t="n">
        <v>7894900010015</v>
      </c>
      <c r="L9644" s="0" t="s">
        <v>2569</v>
      </c>
      <c r="N9644" s="0" t="n">
        <v>60</v>
      </c>
      <c r="O9644" s="0" t="n">
        <v>192.31</v>
      </c>
      <c r="P9644" s="0" t="s">
        <v>2444</v>
      </c>
    </row>
    <row r="9645" customFormat="false" ht="12.75" hidden="false" customHeight="true" outlineLevel="0" collapsed="false">
      <c r="A9645" s="0" t="n">
        <v>2</v>
      </c>
      <c r="B9645" s="71" t="n">
        <v>46295</v>
      </c>
      <c r="C9645" s="0" t="n">
        <v>11</v>
      </c>
      <c r="D9645" s="0" t="s">
        <v>2471</v>
      </c>
      <c r="E9645" s="0" t="n">
        <v>1705</v>
      </c>
      <c r="F9645" s="0" t="s">
        <v>130</v>
      </c>
      <c r="I9645" s="0" t="n">
        <v>2067069</v>
      </c>
      <c r="J9645" s="0" t="n">
        <v>104472</v>
      </c>
      <c r="K9645" s="0" t="n">
        <v>7897105200038</v>
      </c>
      <c r="L9645" s="0" t="s">
        <v>2657</v>
      </c>
      <c r="N9645" s="0" t="n">
        <v>18</v>
      </c>
      <c r="O9645" s="0" t="n">
        <v>81.68</v>
      </c>
      <c r="P9645" s="0" t="s">
        <v>2444</v>
      </c>
    </row>
    <row r="9646" customFormat="false" ht="12.75" hidden="false" customHeight="true" outlineLevel="0" collapsed="false">
      <c r="A9646" s="0" t="n">
        <v>2</v>
      </c>
      <c r="B9646" s="71" t="n">
        <v>46295</v>
      </c>
      <c r="C9646" s="0" t="n">
        <v>11</v>
      </c>
      <c r="D9646" s="0" t="s">
        <v>2471</v>
      </c>
      <c r="E9646" s="0" t="n">
        <v>1705</v>
      </c>
      <c r="F9646" s="0" t="s">
        <v>130</v>
      </c>
      <c r="I9646" s="0" t="n">
        <v>2067069</v>
      </c>
      <c r="J9646" s="0" t="n">
        <v>10830</v>
      </c>
      <c r="K9646" s="0" t="n">
        <v>7894900701517</v>
      </c>
      <c r="L9646" s="0" t="s">
        <v>2573</v>
      </c>
      <c r="N9646" s="0" t="n">
        <v>30</v>
      </c>
      <c r="O9646" s="0" t="n">
        <v>264.65</v>
      </c>
      <c r="P9646" s="0" t="s">
        <v>2444</v>
      </c>
    </row>
    <row r="9647" customFormat="false" ht="12.75" hidden="false" customHeight="true" outlineLevel="0" collapsed="false">
      <c r="A9647" s="0" t="n">
        <v>2</v>
      </c>
      <c r="B9647" s="71" t="n">
        <v>46295</v>
      </c>
      <c r="C9647" s="0" t="n">
        <v>11</v>
      </c>
      <c r="D9647" s="0" t="s">
        <v>2471</v>
      </c>
      <c r="E9647" s="0" t="n">
        <v>1705</v>
      </c>
      <c r="F9647" s="0" t="s">
        <v>130</v>
      </c>
      <c r="I9647" s="0" t="n">
        <v>2067069</v>
      </c>
      <c r="J9647" s="0" t="n">
        <v>11678</v>
      </c>
      <c r="K9647" s="0" t="n">
        <v>7894900701593</v>
      </c>
      <c r="L9647" s="0" t="s">
        <v>2468</v>
      </c>
      <c r="N9647" s="0" t="n">
        <v>18</v>
      </c>
      <c r="O9647" s="0" t="n">
        <v>178.75</v>
      </c>
      <c r="P9647" s="0" t="s">
        <v>2444</v>
      </c>
    </row>
    <row r="9648" customFormat="false" ht="12.75" hidden="false" customHeight="true" outlineLevel="0" collapsed="false">
      <c r="A9648" s="0" t="n">
        <v>2</v>
      </c>
      <c r="B9648" s="71" t="n">
        <v>46295</v>
      </c>
      <c r="C9648" s="0" t="n">
        <v>11</v>
      </c>
      <c r="D9648" s="0" t="s">
        <v>2471</v>
      </c>
      <c r="E9648" s="0" t="n">
        <v>1705</v>
      </c>
      <c r="F9648" s="0" t="s">
        <v>130</v>
      </c>
      <c r="I9648" s="0" t="n">
        <v>2067069</v>
      </c>
      <c r="J9648" s="0" t="n">
        <v>21425</v>
      </c>
      <c r="K9648" s="0" t="n">
        <v>7894900034219</v>
      </c>
      <c r="L9648" s="0" t="s">
        <v>2469</v>
      </c>
      <c r="N9648" s="0" t="n">
        <v>18</v>
      </c>
      <c r="O9648" s="0" t="n">
        <v>105.13</v>
      </c>
      <c r="P9648" s="0" t="s">
        <v>2444</v>
      </c>
    </row>
    <row r="9649" customFormat="false" ht="12.75" hidden="false" customHeight="true" outlineLevel="0" collapsed="false">
      <c r="A9649" s="0" t="n">
        <v>2</v>
      </c>
      <c r="B9649" s="71" t="n">
        <v>46295</v>
      </c>
      <c r="C9649" s="0" t="n">
        <v>11</v>
      </c>
      <c r="D9649" s="0" t="s">
        <v>2471</v>
      </c>
      <c r="E9649" s="0" t="n">
        <v>1705</v>
      </c>
      <c r="F9649" s="0" t="s">
        <v>130</v>
      </c>
      <c r="I9649" s="0" t="n">
        <v>2067069</v>
      </c>
      <c r="J9649" s="0" t="n">
        <v>21426</v>
      </c>
      <c r="K9649" s="0" t="n">
        <v>7894900014211</v>
      </c>
      <c r="L9649" s="0" t="s">
        <v>2470</v>
      </c>
      <c r="N9649" s="0" t="n">
        <v>72</v>
      </c>
      <c r="O9649" s="0" t="n">
        <v>482.78</v>
      </c>
      <c r="P9649" s="0" t="s">
        <v>2444</v>
      </c>
    </row>
    <row r="9650" customFormat="false" ht="12.75" hidden="false" customHeight="true" outlineLevel="0" collapsed="false">
      <c r="A9650" s="0" t="n">
        <v>2</v>
      </c>
      <c r="B9650" s="71" t="n">
        <v>46295</v>
      </c>
      <c r="C9650" s="0" t="n">
        <v>11</v>
      </c>
      <c r="D9650" s="0" t="s">
        <v>2471</v>
      </c>
      <c r="E9650" s="0" t="n">
        <v>1705</v>
      </c>
      <c r="F9650" s="0" t="s">
        <v>130</v>
      </c>
      <c r="I9650" s="0" t="n">
        <v>2067069</v>
      </c>
      <c r="J9650" s="0" t="n">
        <v>24662</v>
      </c>
      <c r="K9650" s="0" t="n">
        <v>7897105250019</v>
      </c>
      <c r="L9650" s="0" t="s">
        <v>3441</v>
      </c>
      <c r="N9650" s="0" t="n">
        <v>30</v>
      </c>
      <c r="O9650" s="0" t="n">
        <v>99.82</v>
      </c>
      <c r="P9650" s="0" t="s">
        <v>2444</v>
      </c>
    </row>
    <row r="9651" customFormat="false" ht="12.75" hidden="false" customHeight="true" outlineLevel="0" collapsed="false">
      <c r="A9651" s="0" t="n">
        <v>2</v>
      </c>
      <c r="B9651" s="71" t="n">
        <v>46295</v>
      </c>
      <c r="C9651" s="0" t="n">
        <v>11</v>
      </c>
      <c r="D9651" s="0" t="s">
        <v>2471</v>
      </c>
      <c r="E9651" s="0" t="n">
        <v>1705</v>
      </c>
      <c r="F9651" s="0" t="s">
        <v>130</v>
      </c>
      <c r="I9651" s="0" t="n">
        <v>2067069</v>
      </c>
      <c r="J9651" s="0" t="n">
        <v>28739</v>
      </c>
      <c r="K9651" s="0" t="n">
        <v>7894900027044</v>
      </c>
      <c r="L9651" s="0" t="s">
        <v>2658</v>
      </c>
      <c r="N9651" s="0" t="n">
        <v>48</v>
      </c>
      <c r="O9651" s="0" t="n">
        <v>315.99</v>
      </c>
      <c r="P9651" s="0" t="s">
        <v>2444</v>
      </c>
    </row>
    <row r="9652" customFormat="false" ht="12.75" hidden="false" customHeight="true" outlineLevel="0" collapsed="false">
      <c r="A9652" s="0" t="n">
        <v>2</v>
      </c>
      <c r="B9652" s="71" t="n">
        <v>46295</v>
      </c>
      <c r="C9652" s="0" t="n">
        <v>11</v>
      </c>
      <c r="D9652" s="0" t="s">
        <v>2471</v>
      </c>
      <c r="E9652" s="0" t="n">
        <v>1705</v>
      </c>
      <c r="F9652" s="0" t="s">
        <v>130</v>
      </c>
      <c r="I9652" s="0" t="n">
        <v>2067069</v>
      </c>
      <c r="J9652" s="0" t="n">
        <v>30085</v>
      </c>
      <c r="K9652" s="0" t="n">
        <v>7894900054217</v>
      </c>
      <c r="L9652" s="0" t="s">
        <v>3588</v>
      </c>
      <c r="N9652" s="0" t="n">
        <v>9</v>
      </c>
      <c r="O9652" s="0" t="n">
        <v>52.56</v>
      </c>
      <c r="P9652" s="0" t="s">
        <v>2444</v>
      </c>
    </row>
    <row r="9653" customFormat="false" ht="12.75" hidden="false" customHeight="true" outlineLevel="0" collapsed="false">
      <c r="A9653" s="0" t="n">
        <v>2</v>
      </c>
      <c r="B9653" s="71" t="n">
        <v>46295</v>
      </c>
      <c r="C9653" s="0" t="n">
        <v>11</v>
      </c>
      <c r="D9653" s="0" t="s">
        <v>2471</v>
      </c>
      <c r="E9653" s="0" t="n">
        <v>1705</v>
      </c>
      <c r="F9653" s="0" t="s">
        <v>130</v>
      </c>
      <c r="I9653" s="0" t="n">
        <v>2067069</v>
      </c>
      <c r="J9653" s="0" t="n">
        <v>34629</v>
      </c>
      <c r="K9653" s="0" t="n">
        <v>7894900027020</v>
      </c>
      <c r="L9653" s="0" t="s">
        <v>2478</v>
      </c>
      <c r="N9653" s="0" t="n">
        <v>30</v>
      </c>
      <c r="O9653" s="0" t="n">
        <v>303.11</v>
      </c>
      <c r="P9653" s="0" t="s">
        <v>2444</v>
      </c>
    </row>
    <row r="9654" customFormat="false" ht="12.75" hidden="false" customHeight="true" outlineLevel="0" collapsed="false">
      <c r="A9654" s="0" t="n">
        <v>2</v>
      </c>
      <c r="B9654" s="71" t="n">
        <v>46295</v>
      </c>
      <c r="C9654" s="0" t="n">
        <v>11</v>
      </c>
      <c r="D9654" s="0" t="s">
        <v>2471</v>
      </c>
      <c r="E9654" s="0" t="n">
        <v>1705</v>
      </c>
      <c r="F9654" s="0" t="s">
        <v>130</v>
      </c>
      <c r="I9654" s="0" t="n">
        <v>2067069</v>
      </c>
      <c r="J9654" s="0" t="n">
        <v>37279</v>
      </c>
      <c r="K9654" s="0" t="n">
        <v>7894900027013</v>
      </c>
      <c r="L9654" s="0" t="s">
        <v>2575</v>
      </c>
      <c r="N9654" s="0" t="n">
        <v>60</v>
      </c>
      <c r="O9654" s="0" t="n">
        <v>539.68</v>
      </c>
      <c r="P9654" s="0" t="s">
        <v>2444</v>
      </c>
    </row>
    <row r="9655" customFormat="false" ht="12.75" hidden="false" customHeight="true" outlineLevel="0" collapsed="false">
      <c r="A9655" s="0" t="n">
        <v>2</v>
      </c>
      <c r="B9655" s="71" t="n">
        <v>46295</v>
      </c>
      <c r="C9655" s="0" t="n">
        <v>11</v>
      </c>
      <c r="D9655" s="0" t="s">
        <v>2471</v>
      </c>
      <c r="E9655" s="0" t="n">
        <v>1705</v>
      </c>
      <c r="F9655" s="0" t="s">
        <v>130</v>
      </c>
      <c r="I9655" s="0" t="n">
        <v>2067069</v>
      </c>
      <c r="J9655" s="0" t="n">
        <v>41322</v>
      </c>
      <c r="K9655" s="0" t="n">
        <v>7897105200076</v>
      </c>
      <c r="L9655" s="0" t="s">
        <v>2661</v>
      </c>
      <c r="N9655" s="0" t="n">
        <v>18</v>
      </c>
      <c r="O9655" s="0" t="n">
        <v>61.36</v>
      </c>
      <c r="P9655" s="0" t="s">
        <v>2444</v>
      </c>
    </row>
    <row r="9656" customFormat="false" ht="12.75" hidden="false" customHeight="true" outlineLevel="0" collapsed="false">
      <c r="A9656" s="0" t="n">
        <v>2</v>
      </c>
      <c r="B9656" s="71" t="n">
        <v>46295</v>
      </c>
      <c r="C9656" s="0" t="n">
        <v>39</v>
      </c>
      <c r="D9656" s="0" t="s">
        <v>3298</v>
      </c>
      <c r="E9656" s="0" t="n">
        <v>1266</v>
      </c>
      <c r="F9656" s="0" t="s">
        <v>804</v>
      </c>
      <c r="I9656" s="0" t="n">
        <v>2828</v>
      </c>
      <c r="J9656" s="0" t="n">
        <v>56731</v>
      </c>
      <c r="K9656" s="0" t="n">
        <v>7898546006357</v>
      </c>
      <c r="L9656" s="0" t="s">
        <v>3603</v>
      </c>
      <c r="N9656" s="0" t="n">
        <v>20</v>
      </c>
      <c r="O9656" s="0" t="n">
        <v>638</v>
      </c>
      <c r="P9656" s="0" t="s">
        <v>2444</v>
      </c>
    </row>
    <row r="9657" customFormat="false" ht="12.75" hidden="false" customHeight="true" outlineLevel="0" collapsed="false">
      <c r="A9657" s="0" t="n">
        <v>2</v>
      </c>
      <c r="B9657" s="71" t="n">
        <v>46296</v>
      </c>
      <c r="C9657" s="0" t="n">
        <v>6</v>
      </c>
      <c r="D9657" s="0" t="s">
        <v>2553</v>
      </c>
      <c r="E9657" s="0" t="n">
        <v>48</v>
      </c>
      <c r="F9657" s="0" t="s">
        <v>153</v>
      </c>
      <c r="I9657" s="0" t="n">
        <v>2716</v>
      </c>
      <c r="J9657" s="0" t="n">
        <v>42564</v>
      </c>
      <c r="K9657" s="0" t="n">
        <v>574</v>
      </c>
      <c r="L9657" s="0" t="s">
        <v>2534</v>
      </c>
      <c r="N9657" s="0" t="n">
        <v>20</v>
      </c>
      <c r="O9657" s="0" t="n">
        <v>300</v>
      </c>
      <c r="P9657" s="0" t="s">
        <v>2444</v>
      </c>
    </row>
    <row r="9658" customFormat="false" ht="12.75" hidden="false" customHeight="true" outlineLevel="0" collapsed="false">
      <c r="A9658" s="0" t="n">
        <v>2</v>
      </c>
      <c r="B9658" s="71" t="n">
        <v>46296</v>
      </c>
      <c r="C9658" s="0" t="n">
        <v>11</v>
      </c>
      <c r="D9658" s="0" t="s">
        <v>2471</v>
      </c>
      <c r="E9658" s="0" t="n">
        <v>10096</v>
      </c>
      <c r="F9658" s="0" t="s">
        <v>622</v>
      </c>
      <c r="I9658" s="0" t="n">
        <v>360</v>
      </c>
      <c r="J9658" s="0" t="n">
        <v>61580</v>
      </c>
      <c r="K9658" s="0" t="n">
        <v>2258157</v>
      </c>
      <c r="L9658" s="0" t="s">
        <v>2509</v>
      </c>
      <c r="N9658" s="0" t="n">
        <v>10</v>
      </c>
      <c r="O9658" s="0" t="n">
        <v>120</v>
      </c>
      <c r="P9658" s="0" t="s">
        <v>2444</v>
      </c>
    </row>
    <row r="9659" customFormat="false" ht="12.75" hidden="false" customHeight="true" outlineLevel="0" collapsed="false">
      <c r="A9659" s="0" t="n">
        <v>2</v>
      </c>
      <c r="B9659" s="71" t="n">
        <v>46296</v>
      </c>
      <c r="C9659" s="0" t="n">
        <v>11</v>
      </c>
      <c r="D9659" s="0" t="s">
        <v>2471</v>
      </c>
      <c r="E9659" s="0" t="n">
        <v>10096</v>
      </c>
      <c r="F9659" s="0" t="s">
        <v>622</v>
      </c>
      <c r="I9659" s="0" t="n">
        <v>360</v>
      </c>
      <c r="J9659" s="0" t="n">
        <v>61597</v>
      </c>
      <c r="K9659" s="0" t="n">
        <v>2258188</v>
      </c>
      <c r="L9659" s="0" t="s">
        <v>2510</v>
      </c>
      <c r="N9659" s="0" t="n">
        <v>5</v>
      </c>
      <c r="O9659" s="0" t="n">
        <v>20</v>
      </c>
      <c r="P9659" s="0" t="s">
        <v>2444</v>
      </c>
    </row>
    <row r="9660" customFormat="false" ht="12.75" hidden="false" customHeight="true" outlineLevel="0" collapsed="false">
      <c r="A9660" s="0" t="n">
        <v>2</v>
      </c>
      <c r="B9660" s="71" t="n">
        <v>46296</v>
      </c>
      <c r="C9660" s="0" t="n">
        <v>11</v>
      </c>
      <c r="D9660" s="0" t="s">
        <v>2471</v>
      </c>
      <c r="E9660" s="0" t="n">
        <v>1783</v>
      </c>
      <c r="F9660" s="0" t="s">
        <v>340</v>
      </c>
      <c r="I9660" s="0" t="n">
        <v>545</v>
      </c>
      <c r="J9660" s="0" t="n">
        <v>39453</v>
      </c>
      <c r="K9660" s="0" t="n">
        <v>4901088061111</v>
      </c>
      <c r="L9660" s="0" t="s">
        <v>2713</v>
      </c>
      <c r="N9660" s="0" t="n">
        <v>96</v>
      </c>
      <c r="O9660" s="0" t="n">
        <v>160.32</v>
      </c>
      <c r="P9660" s="0" t="s">
        <v>2444</v>
      </c>
    </row>
    <row r="9661" customFormat="false" ht="12.75" hidden="false" customHeight="true" outlineLevel="0" collapsed="false">
      <c r="A9661" s="0" t="n">
        <v>2</v>
      </c>
      <c r="B9661" s="71" t="n">
        <v>46296</v>
      </c>
      <c r="C9661" s="0" t="n">
        <v>11</v>
      </c>
      <c r="D9661" s="0" t="s">
        <v>2471</v>
      </c>
      <c r="E9661" s="0" t="n">
        <v>10080</v>
      </c>
      <c r="F9661" s="0" t="s">
        <v>696</v>
      </c>
      <c r="I9661" s="0" t="n">
        <v>2164</v>
      </c>
      <c r="J9661" s="0" t="n">
        <v>81010</v>
      </c>
      <c r="K9661" s="0" t="n">
        <v>810111</v>
      </c>
      <c r="L9661" s="0" t="s">
        <v>5633</v>
      </c>
      <c r="N9661" s="0" t="n">
        <v>10</v>
      </c>
      <c r="O9661" s="0" t="n">
        <v>160.5</v>
      </c>
      <c r="P9661" s="0" t="s">
        <v>2444</v>
      </c>
    </row>
    <row r="9662" customFormat="false" ht="12.75" hidden="false" customHeight="true" outlineLevel="0" collapsed="false">
      <c r="A9662" s="0" t="n">
        <v>2</v>
      </c>
      <c r="B9662" s="71" t="n">
        <v>46296</v>
      </c>
      <c r="C9662" s="0" t="n">
        <v>11</v>
      </c>
      <c r="D9662" s="0" t="s">
        <v>2471</v>
      </c>
      <c r="E9662" s="0" t="n">
        <v>10080</v>
      </c>
      <c r="F9662" s="0" t="s">
        <v>696</v>
      </c>
      <c r="I9662" s="0" t="n">
        <v>2164</v>
      </c>
      <c r="J9662" s="0" t="n">
        <v>81013</v>
      </c>
      <c r="K9662" s="0" t="n">
        <v>810142</v>
      </c>
      <c r="L9662" s="0" t="s">
        <v>5634</v>
      </c>
      <c r="N9662" s="0" t="n">
        <v>9</v>
      </c>
      <c r="O9662" s="0" t="n">
        <v>192.6</v>
      </c>
      <c r="P9662" s="0" t="s">
        <v>2444</v>
      </c>
    </row>
    <row r="9663" customFormat="false" ht="12.75" hidden="false" customHeight="true" outlineLevel="0" collapsed="false">
      <c r="A9663" s="0" t="n">
        <v>2</v>
      </c>
      <c r="B9663" s="71" t="n">
        <v>46296</v>
      </c>
      <c r="C9663" s="0" t="n">
        <v>11</v>
      </c>
      <c r="D9663" s="0" t="s">
        <v>2471</v>
      </c>
      <c r="E9663" s="0" t="n">
        <v>10080</v>
      </c>
      <c r="F9663" s="0" t="s">
        <v>696</v>
      </c>
      <c r="I9663" s="0" t="n">
        <v>2164</v>
      </c>
      <c r="J9663" s="0" t="n">
        <v>81017</v>
      </c>
      <c r="K9663" s="0" t="n">
        <v>810180</v>
      </c>
      <c r="L9663" s="0" t="s">
        <v>5635</v>
      </c>
      <c r="N9663" s="0" t="n">
        <v>16</v>
      </c>
      <c r="O9663" s="0" t="n">
        <v>291.04</v>
      </c>
      <c r="P9663" s="0" t="s">
        <v>2444</v>
      </c>
    </row>
    <row r="9664" customFormat="false" ht="12.75" hidden="false" customHeight="true" outlineLevel="0" collapsed="false">
      <c r="A9664" s="0" t="n">
        <v>2</v>
      </c>
      <c r="B9664" s="71" t="n">
        <v>46296</v>
      </c>
      <c r="C9664" s="0" t="n">
        <v>11</v>
      </c>
      <c r="D9664" s="0" t="s">
        <v>2471</v>
      </c>
      <c r="E9664" s="0" t="n">
        <v>10080</v>
      </c>
      <c r="F9664" s="0" t="s">
        <v>696</v>
      </c>
      <c r="I9664" s="0" t="n">
        <v>2164</v>
      </c>
      <c r="J9664" s="0" t="n">
        <v>81019</v>
      </c>
      <c r="K9664" s="0" t="n">
        <v>810203</v>
      </c>
      <c r="L9664" s="0" t="s">
        <v>5636</v>
      </c>
      <c r="N9664" s="0" t="n">
        <v>3</v>
      </c>
      <c r="O9664" s="0" t="n">
        <v>46.53</v>
      </c>
      <c r="P9664" s="0" t="s">
        <v>2444</v>
      </c>
    </row>
    <row r="9665" customFormat="false" ht="12.75" hidden="false" customHeight="true" outlineLevel="0" collapsed="false">
      <c r="A9665" s="0" t="n">
        <v>2</v>
      </c>
      <c r="B9665" s="71" t="n">
        <v>46296</v>
      </c>
      <c r="C9665" s="0" t="n">
        <v>11</v>
      </c>
      <c r="D9665" s="0" t="s">
        <v>2471</v>
      </c>
      <c r="E9665" s="0" t="n">
        <v>10080</v>
      </c>
      <c r="F9665" s="0" t="s">
        <v>696</v>
      </c>
      <c r="I9665" s="0" t="n">
        <v>2164</v>
      </c>
      <c r="J9665" s="0" t="n">
        <v>81021</v>
      </c>
      <c r="K9665" s="0" t="n">
        <v>810227</v>
      </c>
      <c r="L9665" s="0" t="s">
        <v>5637</v>
      </c>
      <c r="N9665" s="0" t="n">
        <v>15</v>
      </c>
      <c r="O9665" s="0" t="n">
        <v>192.6</v>
      </c>
      <c r="P9665" s="0" t="s">
        <v>2444</v>
      </c>
    </row>
    <row r="9666" customFormat="false" ht="12.75" hidden="false" customHeight="true" outlineLevel="0" collapsed="false">
      <c r="A9666" s="0" t="n">
        <v>2</v>
      </c>
      <c r="B9666" s="71" t="n">
        <v>46296</v>
      </c>
      <c r="C9666" s="0" t="n">
        <v>11</v>
      </c>
      <c r="D9666" s="0" t="s">
        <v>2471</v>
      </c>
      <c r="E9666" s="0" t="n">
        <v>10080</v>
      </c>
      <c r="F9666" s="0" t="s">
        <v>696</v>
      </c>
      <c r="I9666" s="0" t="n">
        <v>2164</v>
      </c>
      <c r="J9666" s="0" t="n">
        <v>81023</v>
      </c>
      <c r="K9666" s="0" t="n">
        <v>810241</v>
      </c>
      <c r="L9666" s="0" t="s">
        <v>5638</v>
      </c>
      <c r="N9666" s="0" t="n">
        <v>4</v>
      </c>
      <c r="O9666" s="0" t="n">
        <v>119.84</v>
      </c>
      <c r="P9666" s="0" t="s">
        <v>2444</v>
      </c>
    </row>
    <row r="9667" customFormat="false" ht="12.75" hidden="false" customHeight="true" outlineLevel="0" collapsed="false">
      <c r="A9667" s="0" t="n">
        <v>2</v>
      </c>
      <c r="B9667" s="71" t="n">
        <v>46296</v>
      </c>
      <c r="C9667" s="0" t="n">
        <v>11</v>
      </c>
      <c r="D9667" s="0" t="s">
        <v>2471</v>
      </c>
      <c r="E9667" s="0" t="n">
        <v>10080</v>
      </c>
      <c r="F9667" s="0" t="s">
        <v>696</v>
      </c>
      <c r="I9667" s="0" t="n">
        <v>2164</v>
      </c>
      <c r="J9667" s="0" t="n">
        <v>82619</v>
      </c>
      <c r="K9667" s="0" t="n">
        <v>826204</v>
      </c>
      <c r="L9667" s="0" t="s">
        <v>5639</v>
      </c>
      <c r="N9667" s="0" t="n">
        <v>5</v>
      </c>
      <c r="O9667" s="0" t="n">
        <v>80.25</v>
      </c>
      <c r="P9667" s="0" t="s">
        <v>2444</v>
      </c>
    </row>
    <row r="9668" customFormat="false" ht="12.75" hidden="false" customHeight="true" outlineLevel="0" collapsed="false">
      <c r="A9668" s="0" t="n">
        <v>2</v>
      </c>
      <c r="B9668" s="71" t="n">
        <v>46296</v>
      </c>
      <c r="C9668" s="0" t="n">
        <v>11</v>
      </c>
      <c r="D9668" s="0" t="s">
        <v>2471</v>
      </c>
      <c r="E9668" s="0" t="n">
        <v>10080</v>
      </c>
      <c r="F9668" s="0" t="s">
        <v>696</v>
      </c>
      <c r="I9668" s="0" t="n">
        <v>2164</v>
      </c>
      <c r="J9668" s="0" t="n">
        <v>82621</v>
      </c>
      <c r="K9668" s="0" t="n">
        <v>826365</v>
      </c>
      <c r="L9668" s="0" t="s">
        <v>5640</v>
      </c>
      <c r="N9668" s="0" t="n">
        <v>4</v>
      </c>
      <c r="O9668" s="0" t="n">
        <v>47.08</v>
      </c>
      <c r="P9668" s="0" t="s">
        <v>2444</v>
      </c>
    </row>
    <row r="9669" customFormat="false" ht="12.75" hidden="false" customHeight="true" outlineLevel="0" collapsed="false">
      <c r="A9669" s="0" t="n">
        <v>2</v>
      </c>
      <c r="B9669" s="71" t="n">
        <v>46296</v>
      </c>
      <c r="C9669" s="0" t="n">
        <v>11</v>
      </c>
      <c r="D9669" s="0" t="s">
        <v>2471</v>
      </c>
      <c r="E9669" s="0" t="n">
        <v>10080</v>
      </c>
      <c r="F9669" s="0" t="s">
        <v>696</v>
      </c>
      <c r="I9669" s="0" t="n">
        <v>2164</v>
      </c>
      <c r="J9669" s="0" t="n">
        <v>82622</v>
      </c>
      <c r="K9669" s="0" t="n">
        <v>826235</v>
      </c>
      <c r="L9669" s="0" t="s">
        <v>5641</v>
      </c>
      <c r="N9669" s="0" t="n">
        <v>2</v>
      </c>
      <c r="O9669" s="0" t="n">
        <v>32.1</v>
      </c>
      <c r="P9669" s="0" t="s">
        <v>2444</v>
      </c>
    </row>
    <row r="9670" customFormat="false" ht="12.75" hidden="false" customHeight="true" outlineLevel="0" collapsed="false">
      <c r="A9670" s="0" t="n">
        <v>2</v>
      </c>
      <c r="B9670" s="71" t="n">
        <v>46296</v>
      </c>
      <c r="C9670" s="0" t="n">
        <v>11</v>
      </c>
      <c r="D9670" s="0" t="s">
        <v>2471</v>
      </c>
      <c r="E9670" s="0" t="n">
        <v>10080</v>
      </c>
      <c r="F9670" s="0" t="s">
        <v>696</v>
      </c>
      <c r="I9670" s="0" t="n">
        <v>2164</v>
      </c>
      <c r="J9670" s="0" t="n">
        <v>82624</v>
      </c>
      <c r="K9670" s="0" t="n">
        <v>826259</v>
      </c>
      <c r="L9670" s="0" t="s">
        <v>5642</v>
      </c>
      <c r="N9670" s="0" t="n">
        <v>10</v>
      </c>
      <c r="O9670" s="0" t="n">
        <v>96.3</v>
      </c>
      <c r="P9670" s="0" t="s">
        <v>2444</v>
      </c>
    </row>
    <row r="9671" customFormat="false" ht="12.75" hidden="false" customHeight="true" outlineLevel="0" collapsed="false">
      <c r="A9671" s="0" t="n">
        <v>2</v>
      </c>
      <c r="B9671" s="71" t="n">
        <v>46296</v>
      </c>
      <c r="C9671" s="0" t="n">
        <v>11</v>
      </c>
      <c r="D9671" s="0" t="s">
        <v>2471</v>
      </c>
      <c r="E9671" s="0" t="n">
        <v>10080</v>
      </c>
      <c r="F9671" s="0" t="s">
        <v>696</v>
      </c>
      <c r="I9671" s="0" t="n">
        <v>2164</v>
      </c>
      <c r="J9671" s="0" t="n">
        <v>82626</v>
      </c>
      <c r="K9671" s="0" t="n">
        <v>826273</v>
      </c>
      <c r="L9671" s="0" t="s">
        <v>5643</v>
      </c>
      <c r="N9671" s="0" t="n">
        <v>9</v>
      </c>
      <c r="O9671" s="0" t="n">
        <v>48.15</v>
      </c>
      <c r="P9671" s="0" t="s">
        <v>2444</v>
      </c>
    </row>
    <row r="9672" customFormat="false" ht="12.75" hidden="false" customHeight="true" outlineLevel="0" collapsed="false">
      <c r="A9672" s="0" t="n">
        <v>2</v>
      </c>
      <c r="B9672" s="71" t="n">
        <v>46296</v>
      </c>
      <c r="C9672" s="0" t="n">
        <v>11</v>
      </c>
      <c r="D9672" s="0" t="s">
        <v>2471</v>
      </c>
      <c r="E9672" s="0" t="n">
        <v>10080</v>
      </c>
      <c r="F9672" s="0" t="s">
        <v>696</v>
      </c>
      <c r="I9672" s="0" t="n">
        <v>2164</v>
      </c>
      <c r="J9672" s="0" t="n">
        <v>82628</v>
      </c>
      <c r="K9672" s="0" t="n">
        <v>826297</v>
      </c>
      <c r="L9672" s="0" t="s">
        <v>5644</v>
      </c>
      <c r="N9672" s="0" t="n">
        <v>1</v>
      </c>
      <c r="O9672" s="0" t="n">
        <v>8.02</v>
      </c>
      <c r="P9672" s="0" t="s">
        <v>2444</v>
      </c>
    </row>
    <row r="9673" customFormat="false" ht="12.75" hidden="false" customHeight="true" outlineLevel="0" collapsed="false">
      <c r="A9673" s="0" t="n">
        <v>2</v>
      </c>
      <c r="B9673" s="71" t="n">
        <v>46296</v>
      </c>
      <c r="C9673" s="0" t="n">
        <v>11</v>
      </c>
      <c r="D9673" s="0" t="s">
        <v>2471</v>
      </c>
      <c r="E9673" s="0" t="n">
        <v>10080</v>
      </c>
      <c r="F9673" s="0" t="s">
        <v>696</v>
      </c>
      <c r="I9673" s="0" t="n">
        <v>2164</v>
      </c>
      <c r="J9673" s="0" t="n">
        <v>82630</v>
      </c>
      <c r="K9673" s="0" t="n">
        <v>826310</v>
      </c>
      <c r="L9673" s="0" t="s">
        <v>5645</v>
      </c>
      <c r="N9673" s="0" t="n">
        <v>4</v>
      </c>
      <c r="O9673" s="0" t="n">
        <v>77.04</v>
      </c>
      <c r="P9673" s="0" t="s">
        <v>2444</v>
      </c>
    </row>
    <row r="9674" customFormat="false" ht="12.75" hidden="false" customHeight="true" outlineLevel="0" collapsed="false">
      <c r="A9674" s="0" t="n">
        <v>2</v>
      </c>
      <c r="B9674" s="71" t="n">
        <v>46296</v>
      </c>
      <c r="C9674" s="0" t="n">
        <v>11</v>
      </c>
      <c r="D9674" s="0" t="s">
        <v>2471</v>
      </c>
      <c r="E9674" s="0" t="n">
        <v>10080</v>
      </c>
      <c r="F9674" s="0" t="s">
        <v>696</v>
      </c>
      <c r="I9674" s="0" t="n">
        <v>2164</v>
      </c>
      <c r="J9674" s="0" t="n">
        <v>82632</v>
      </c>
      <c r="K9674" s="0" t="n">
        <v>826334</v>
      </c>
      <c r="L9674" s="0" t="s">
        <v>5646</v>
      </c>
      <c r="N9674" s="0" t="n">
        <v>7</v>
      </c>
      <c r="O9674" s="0" t="n">
        <v>37.45</v>
      </c>
      <c r="P9674" s="0" t="s">
        <v>2444</v>
      </c>
    </row>
    <row r="9675" customFormat="false" ht="12.75" hidden="false" customHeight="true" outlineLevel="0" collapsed="false">
      <c r="A9675" s="0" t="n">
        <v>2</v>
      </c>
      <c r="B9675" s="71" t="n">
        <v>46296</v>
      </c>
      <c r="C9675" s="0" t="n">
        <v>11</v>
      </c>
      <c r="D9675" s="0" t="s">
        <v>2471</v>
      </c>
      <c r="E9675" s="0" t="n">
        <v>10080</v>
      </c>
      <c r="F9675" s="0" t="s">
        <v>696</v>
      </c>
      <c r="I9675" s="0" t="n">
        <v>2164</v>
      </c>
      <c r="J9675" s="0" t="n">
        <v>82634</v>
      </c>
      <c r="K9675" s="0" t="n">
        <v>826358</v>
      </c>
      <c r="L9675" s="0" t="s">
        <v>5647</v>
      </c>
      <c r="N9675" s="0" t="n">
        <v>6</v>
      </c>
      <c r="O9675" s="0" t="n">
        <v>51.24</v>
      </c>
      <c r="P9675" s="0" t="s">
        <v>2444</v>
      </c>
    </row>
    <row r="9676" customFormat="false" ht="12.75" hidden="false" customHeight="true" outlineLevel="0" collapsed="false">
      <c r="A9676" s="0" t="n">
        <v>2</v>
      </c>
      <c r="B9676" s="71" t="n">
        <v>46296</v>
      </c>
      <c r="C9676" s="0" t="n">
        <v>11</v>
      </c>
      <c r="D9676" s="0" t="s">
        <v>2471</v>
      </c>
      <c r="E9676" s="0" t="n">
        <v>1659</v>
      </c>
      <c r="F9676" s="0" t="s">
        <v>214</v>
      </c>
      <c r="I9676" s="0" t="n">
        <v>899623</v>
      </c>
      <c r="J9676" s="0" t="n">
        <v>102350</v>
      </c>
      <c r="K9676" s="0" t="n">
        <v>7891030003016</v>
      </c>
      <c r="L9676" s="0" t="s">
        <v>3118</v>
      </c>
      <c r="N9676" s="0" t="n">
        <v>270</v>
      </c>
      <c r="O9676" s="0" t="n">
        <v>365</v>
      </c>
      <c r="P9676" s="0" t="s">
        <v>2444</v>
      </c>
    </row>
    <row r="9677" customFormat="false" ht="12.75" hidden="false" customHeight="true" outlineLevel="0" collapsed="false">
      <c r="A9677" s="0" t="n">
        <v>2</v>
      </c>
      <c r="B9677" s="71" t="n">
        <v>46296</v>
      </c>
      <c r="C9677" s="0" t="n">
        <v>11</v>
      </c>
      <c r="D9677" s="0" t="s">
        <v>2471</v>
      </c>
      <c r="E9677" s="0" t="n">
        <v>1659</v>
      </c>
      <c r="F9677" s="0" t="s">
        <v>214</v>
      </c>
      <c r="I9677" s="0" t="n">
        <v>899623</v>
      </c>
      <c r="J9677" s="0" t="n">
        <v>102535</v>
      </c>
      <c r="K9677" s="0" t="n">
        <v>7896037514824</v>
      </c>
      <c r="L9677" s="0" t="s">
        <v>5648</v>
      </c>
      <c r="N9677" s="0" t="n">
        <v>24</v>
      </c>
      <c r="O9677" s="0" t="n">
        <v>192.01</v>
      </c>
      <c r="P9677" s="0" t="s">
        <v>2444</v>
      </c>
    </row>
    <row r="9678" customFormat="false" ht="12.75" hidden="false" customHeight="true" outlineLevel="0" collapsed="false">
      <c r="A9678" s="0" t="n">
        <v>2</v>
      </c>
      <c r="B9678" s="71" t="n">
        <v>46296</v>
      </c>
      <c r="C9678" s="0" t="n">
        <v>11</v>
      </c>
      <c r="D9678" s="0" t="s">
        <v>2471</v>
      </c>
      <c r="E9678" s="0" t="n">
        <v>1659</v>
      </c>
      <c r="F9678" s="0" t="s">
        <v>214</v>
      </c>
      <c r="I9678" s="0" t="n">
        <v>899623</v>
      </c>
      <c r="J9678" s="0" t="n">
        <v>27534</v>
      </c>
      <c r="K9678" s="0" t="n">
        <v>7898959504068</v>
      </c>
      <c r="L9678" s="0" t="s">
        <v>3105</v>
      </c>
      <c r="N9678" s="0" t="n">
        <v>50</v>
      </c>
      <c r="O9678" s="0" t="n">
        <v>674.5</v>
      </c>
      <c r="P9678" s="0" t="s">
        <v>2444</v>
      </c>
    </row>
    <row r="9679" customFormat="false" ht="12.75" hidden="false" customHeight="true" outlineLevel="0" collapsed="false">
      <c r="A9679" s="0" t="n">
        <v>2</v>
      </c>
      <c r="B9679" s="71" t="n">
        <v>46296</v>
      </c>
      <c r="C9679" s="0" t="n">
        <v>11</v>
      </c>
      <c r="D9679" s="0" t="s">
        <v>2471</v>
      </c>
      <c r="E9679" s="0" t="n">
        <v>1705</v>
      </c>
      <c r="F9679" s="0" t="s">
        <v>130</v>
      </c>
      <c r="I9679" s="0" t="n">
        <v>2072597</v>
      </c>
      <c r="J9679" s="0" t="n">
        <v>30186</v>
      </c>
      <c r="K9679" s="0" t="n">
        <v>78938571</v>
      </c>
      <c r="L9679" s="0" t="s">
        <v>4816</v>
      </c>
      <c r="N9679" s="0" t="n">
        <v>12</v>
      </c>
      <c r="O9679" s="0" t="n">
        <v>24.18</v>
      </c>
      <c r="P9679" s="0" t="s">
        <v>2444</v>
      </c>
    </row>
    <row r="9680" customFormat="false" ht="12.75" hidden="false" customHeight="true" outlineLevel="0" collapsed="false">
      <c r="A9680" s="0" t="n">
        <v>2</v>
      </c>
      <c r="B9680" s="71" t="n">
        <v>46296</v>
      </c>
      <c r="C9680" s="0" t="n">
        <v>11</v>
      </c>
      <c r="D9680" s="0" t="s">
        <v>2471</v>
      </c>
      <c r="E9680" s="0" t="n">
        <v>1705</v>
      </c>
      <c r="F9680" s="0" t="s">
        <v>130</v>
      </c>
      <c r="I9680" s="0" t="n">
        <v>2072597</v>
      </c>
      <c r="J9680" s="0" t="n">
        <v>103142</v>
      </c>
      <c r="K9680" s="0" t="n">
        <v>7894900011753</v>
      </c>
      <c r="L9680" s="0" t="s">
        <v>2581</v>
      </c>
      <c r="N9680" s="0" t="n">
        <v>24</v>
      </c>
      <c r="O9680" s="0" t="n">
        <v>177.53</v>
      </c>
      <c r="P9680" s="0" t="s">
        <v>2444</v>
      </c>
    </row>
    <row r="9681" customFormat="false" ht="12.75" hidden="false" customHeight="true" outlineLevel="0" collapsed="false">
      <c r="A9681" s="0" t="n">
        <v>2</v>
      </c>
      <c r="B9681" s="71" t="n">
        <v>46296</v>
      </c>
      <c r="C9681" s="0" t="n">
        <v>11</v>
      </c>
      <c r="D9681" s="0" t="s">
        <v>2471</v>
      </c>
      <c r="E9681" s="0" t="n">
        <v>1705</v>
      </c>
      <c r="F9681" s="0" t="s">
        <v>130</v>
      </c>
      <c r="I9681" s="0" t="n">
        <v>2072597</v>
      </c>
      <c r="J9681" s="0" t="n">
        <v>103146</v>
      </c>
      <c r="K9681" s="0" t="n">
        <v>7894900031515</v>
      </c>
      <c r="L9681" s="0" t="s">
        <v>2567</v>
      </c>
      <c r="N9681" s="0" t="n">
        <v>18</v>
      </c>
      <c r="O9681" s="0" t="n">
        <v>138.1</v>
      </c>
      <c r="P9681" s="0" t="s">
        <v>2444</v>
      </c>
    </row>
    <row r="9682" customFormat="false" ht="12.75" hidden="false" customHeight="true" outlineLevel="0" collapsed="false">
      <c r="A9682" s="0" t="n">
        <v>2</v>
      </c>
      <c r="B9682" s="71" t="n">
        <v>46296</v>
      </c>
      <c r="C9682" s="0" t="n">
        <v>11</v>
      </c>
      <c r="D9682" s="0" t="s">
        <v>2471</v>
      </c>
      <c r="E9682" s="0" t="n">
        <v>1705</v>
      </c>
      <c r="F9682" s="0" t="s">
        <v>130</v>
      </c>
      <c r="I9682" s="0" t="n">
        <v>2072597</v>
      </c>
      <c r="J9682" s="0" t="n">
        <v>103160</v>
      </c>
      <c r="K9682" s="0" t="n">
        <v>7894900030013</v>
      </c>
      <c r="L9682" s="0" t="s">
        <v>2568</v>
      </c>
      <c r="N9682" s="0" t="n">
        <v>12</v>
      </c>
      <c r="O9682" s="0" t="n">
        <v>34.31</v>
      </c>
      <c r="P9682" s="0" t="s">
        <v>2444</v>
      </c>
    </row>
    <row r="9683" customFormat="false" ht="12.75" hidden="false" customHeight="true" outlineLevel="0" collapsed="false">
      <c r="A9683" s="0" t="n">
        <v>2</v>
      </c>
      <c r="B9683" s="71" t="n">
        <v>46296</v>
      </c>
      <c r="C9683" s="0" t="n">
        <v>11</v>
      </c>
      <c r="D9683" s="0" t="s">
        <v>2471</v>
      </c>
      <c r="E9683" s="0" t="n">
        <v>1705</v>
      </c>
      <c r="F9683" s="0" t="s">
        <v>130</v>
      </c>
      <c r="I9683" s="0" t="n">
        <v>2072597</v>
      </c>
      <c r="J9683" s="0" t="n">
        <v>103161</v>
      </c>
      <c r="K9683" s="0" t="n">
        <v>7894900010015</v>
      </c>
      <c r="L9683" s="0" t="s">
        <v>2569</v>
      </c>
      <c r="N9683" s="0" t="n">
        <v>24</v>
      </c>
      <c r="O9683" s="0" t="n">
        <v>76.92</v>
      </c>
      <c r="P9683" s="0" t="s">
        <v>2444</v>
      </c>
    </row>
    <row r="9684" customFormat="false" ht="12.75" hidden="false" customHeight="true" outlineLevel="0" collapsed="false">
      <c r="A9684" s="0" t="n">
        <v>2</v>
      </c>
      <c r="B9684" s="71" t="n">
        <v>46296</v>
      </c>
      <c r="C9684" s="0" t="n">
        <v>11</v>
      </c>
      <c r="D9684" s="0" t="s">
        <v>2471</v>
      </c>
      <c r="E9684" s="0" t="n">
        <v>1705</v>
      </c>
      <c r="F9684" s="0" t="s">
        <v>130</v>
      </c>
      <c r="I9684" s="0" t="n">
        <v>2072597</v>
      </c>
      <c r="J9684" s="0" t="n">
        <v>105323</v>
      </c>
      <c r="K9684" s="0" t="n">
        <v>7894900701753</v>
      </c>
      <c r="L9684" s="0" t="s">
        <v>2570</v>
      </c>
      <c r="N9684" s="0" t="n">
        <v>6</v>
      </c>
      <c r="O9684" s="0" t="n">
        <v>42.55</v>
      </c>
      <c r="P9684" s="0" t="s">
        <v>2444</v>
      </c>
    </row>
    <row r="9685" customFormat="false" ht="12.75" hidden="false" customHeight="true" outlineLevel="0" collapsed="false">
      <c r="A9685" s="0" t="n">
        <v>2</v>
      </c>
      <c r="B9685" s="71" t="n">
        <v>46296</v>
      </c>
      <c r="C9685" s="0" t="n">
        <v>11</v>
      </c>
      <c r="D9685" s="0" t="s">
        <v>2471</v>
      </c>
      <c r="E9685" s="0" t="n">
        <v>1705</v>
      </c>
      <c r="F9685" s="0" t="s">
        <v>130</v>
      </c>
      <c r="I9685" s="0" t="n">
        <v>2072597</v>
      </c>
      <c r="J9685" s="0" t="n">
        <v>105670</v>
      </c>
      <c r="K9685" s="0" t="n">
        <v>7897105200137</v>
      </c>
      <c r="L9685" s="0" t="s">
        <v>4694</v>
      </c>
      <c r="N9685" s="0" t="n">
        <v>12</v>
      </c>
      <c r="O9685" s="0" t="n">
        <v>30.77</v>
      </c>
      <c r="P9685" s="0" t="s">
        <v>2444</v>
      </c>
    </row>
    <row r="9686" customFormat="false" ht="12.75" hidden="false" customHeight="true" outlineLevel="0" collapsed="false">
      <c r="A9686" s="0" t="n">
        <v>2</v>
      </c>
      <c r="B9686" s="71" t="n">
        <v>46296</v>
      </c>
      <c r="C9686" s="0" t="n">
        <v>11</v>
      </c>
      <c r="D9686" s="0" t="s">
        <v>2471</v>
      </c>
      <c r="E9686" s="0" t="n">
        <v>1705</v>
      </c>
      <c r="F9686" s="0" t="s">
        <v>130</v>
      </c>
      <c r="I9686" s="0" t="n">
        <v>2072597</v>
      </c>
      <c r="J9686" s="0" t="n">
        <v>107100</v>
      </c>
      <c r="K9686" s="0" t="n">
        <v>7894900700015</v>
      </c>
      <c r="L9686" s="0" t="s">
        <v>2572</v>
      </c>
      <c r="N9686" s="0" t="n">
        <v>24</v>
      </c>
      <c r="O9686" s="0" t="n">
        <v>74.97</v>
      </c>
      <c r="P9686" s="0" t="s">
        <v>2444</v>
      </c>
    </row>
    <row r="9687" customFormat="false" ht="12.75" hidden="false" customHeight="true" outlineLevel="0" collapsed="false">
      <c r="A9687" s="0" t="n">
        <v>2</v>
      </c>
      <c r="B9687" s="71" t="n">
        <v>46296</v>
      </c>
      <c r="C9687" s="0" t="n">
        <v>11</v>
      </c>
      <c r="D9687" s="0" t="s">
        <v>2471</v>
      </c>
      <c r="E9687" s="0" t="n">
        <v>1705</v>
      </c>
      <c r="F9687" s="0" t="s">
        <v>130</v>
      </c>
      <c r="I9687" s="0" t="n">
        <v>2072597</v>
      </c>
      <c r="J9687" s="0" t="n">
        <v>10830</v>
      </c>
      <c r="K9687" s="0" t="n">
        <v>7894900701517</v>
      </c>
      <c r="L9687" s="0" t="s">
        <v>2573</v>
      </c>
      <c r="N9687" s="0" t="n">
        <v>12</v>
      </c>
      <c r="O9687" s="0" t="n">
        <v>105.86</v>
      </c>
      <c r="P9687" s="0" t="s">
        <v>2444</v>
      </c>
    </row>
    <row r="9688" customFormat="false" ht="12.75" hidden="false" customHeight="true" outlineLevel="0" collapsed="false">
      <c r="A9688" s="0" t="n">
        <v>2</v>
      </c>
      <c r="B9688" s="71" t="n">
        <v>46296</v>
      </c>
      <c r="C9688" s="0" t="n">
        <v>11</v>
      </c>
      <c r="D9688" s="0" t="s">
        <v>2471</v>
      </c>
      <c r="E9688" s="0" t="n">
        <v>1705</v>
      </c>
      <c r="F9688" s="0" t="s">
        <v>130</v>
      </c>
      <c r="I9688" s="0" t="n">
        <v>2072597</v>
      </c>
      <c r="J9688" s="0" t="n">
        <v>27673</v>
      </c>
      <c r="K9688" s="0" t="n">
        <v>7894900701715</v>
      </c>
      <c r="L9688" s="0" t="s">
        <v>2660</v>
      </c>
      <c r="N9688" s="0" t="n">
        <v>24</v>
      </c>
      <c r="O9688" s="0" t="n">
        <v>153.11</v>
      </c>
      <c r="P9688" s="0" t="s">
        <v>2444</v>
      </c>
    </row>
    <row r="9689" customFormat="false" ht="12.75" hidden="false" customHeight="true" outlineLevel="0" collapsed="false">
      <c r="A9689" s="0" t="n">
        <v>2</v>
      </c>
      <c r="B9689" s="71" t="n">
        <v>46296</v>
      </c>
      <c r="C9689" s="0" t="n">
        <v>11</v>
      </c>
      <c r="D9689" s="0" t="s">
        <v>2471</v>
      </c>
      <c r="E9689" s="0" t="n">
        <v>1705</v>
      </c>
      <c r="F9689" s="0" t="s">
        <v>130</v>
      </c>
      <c r="I9689" s="0" t="n">
        <v>2072597</v>
      </c>
      <c r="J9689" s="0" t="n">
        <v>30017</v>
      </c>
      <c r="K9689" s="0" t="n">
        <v>7894900680508</v>
      </c>
      <c r="L9689" s="0" t="s">
        <v>3589</v>
      </c>
      <c r="N9689" s="0" t="n">
        <v>12</v>
      </c>
      <c r="O9689" s="0" t="n">
        <v>48.47</v>
      </c>
      <c r="P9689" s="0" t="s">
        <v>2444</v>
      </c>
    </row>
    <row r="9690" customFormat="false" ht="12.75" hidden="false" customHeight="true" outlineLevel="0" collapsed="false">
      <c r="A9690" s="0" t="n">
        <v>2</v>
      </c>
      <c r="B9690" s="71" t="n">
        <v>46296</v>
      </c>
      <c r="C9690" s="0" t="n">
        <v>11</v>
      </c>
      <c r="D9690" s="0" t="s">
        <v>2471</v>
      </c>
      <c r="E9690" s="0" t="n">
        <v>1705</v>
      </c>
      <c r="F9690" s="0" t="s">
        <v>130</v>
      </c>
      <c r="I9690" s="0" t="n">
        <v>2072597</v>
      </c>
      <c r="J9690" s="0" t="n">
        <v>38060</v>
      </c>
      <c r="K9690" s="0" t="n">
        <v>7894900701609</v>
      </c>
      <c r="L9690" s="0" t="s">
        <v>2576</v>
      </c>
      <c r="N9690" s="0" t="n">
        <v>24</v>
      </c>
      <c r="O9690" s="0" t="n">
        <v>94.02</v>
      </c>
      <c r="P9690" s="0" t="s">
        <v>2444</v>
      </c>
    </row>
    <row r="9691" customFormat="false" ht="12.75" hidden="false" customHeight="true" outlineLevel="0" collapsed="false">
      <c r="A9691" s="0" t="n">
        <v>2</v>
      </c>
      <c r="B9691" s="71" t="n">
        <v>46296</v>
      </c>
      <c r="C9691" s="0" t="n">
        <v>11</v>
      </c>
      <c r="D9691" s="0" t="s">
        <v>2471</v>
      </c>
      <c r="E9691" s="0" t="n">
        <v>1705</v>
      </c>
      <c r="F9691" s="0" t="s">
        <v>130</v>
      </c>
      <c r="I9691" s="0" t="n">
        <v>2072597</v>
      </c>
      <c r="J9691" s="0" t="n">
        <v>59947</v>
      </c>
      <c r="K9691" s="0" t="n">
        <v>7894900015034</v>
      </c>
      <c r="L9691" s="0" t="s">
        <v>4548</v>
      </c>
      <c r="N9691" s="0" t="n">
        <v>24</v>
      </c>
      <c r="O9691" s="0" t="n">
        <v>65.93</v>
      </c>
      <c r="P9691" s="0" t="s">
        <v>2444</v>
      </c>
    </row>
    <row r="9692" customFormat="false" ht="12.75" hidden="false" customHeight="false" outlineLevel="0" collapsed="false">
      <c r="A9692" s="0" t="n">
        <v>2</v>
      </c>
      <c r="B9692" s="71" t="n">
        <v>46297</v>
      </c>
      <c r="C9692" s="0" t="n">
        <v>6</v>
      </c>
      <c r="D9692" s="0" t="s">
        <v>2553</v>
      </c>
      <c r="E9692" s="0" t="n">
        <v>48</v>
      </c>
      <c r="F9692" s="0" t="s">
        <v>153</v>
      </c>
      <c r="I9692" s="0" t="n">
        <v>2717</v>
      </c>
      <c r="J9692" s="0" t="n">
        <v>100062</v>
      </c>
      <c r="K9692" s="0" t="n">
        <v>63</v>
      </c>
      <c r="L9692" s="0" t="s">
        <v>2535</v>
      </c>
      <c r="N9692" s="0" t="n">
        <v>18</v>
      </c>
      <c r="O9692" s="0" t="n">
        <v>125</v>
      </c>
      <c r="P9692" s="0" t="s">
        <v>2444</v>
      </c>
    </row>
    <row r="9693" customFormat="false" ht="12.75" hidden="false" customHeight="false" outlineLevel="0" collapsed="false">
      <c r="A9693" s="0" t="n">
        <v>2</v>
      </c>
      <c r="B9693" s="71" t="n">
        <v>46297</v>
      </c>
      <c r="C9693" s="0" t="n">
        <v>6</v>
      </c>
      <c r="D9693" s="0" t="s">
        <v>2553</v>
      </c>
      <c r="E9693" s="0" t="n">
        <v>48</v>
      </c>
      <c r="F9693" s="0" t="s">
        <v>153</v>
      </c>
      <c r="I9693" s="0" t="n">
        <v>2717</v>
      </c>
      <c r="J9693" s="0" t="n">
        <v>100105</v>
      </c>
      <c r="K9693" s="0" t="n">
        <v>106</v>
      </c>
      <c r="L9693" s="0" t="s">
        <v>2536</v>
      </c>
      <c r="N9693" s="0" t="n">
        <v>48</v>
      </c>
      <c r="O9693" s="0" t="n">
        <v>280</v>
      </c>
      <c r="P9693" s="0" t="s">
        <v>2444</v>
      </c>
    </row>
    <row r="9694" customFormat="false" ht="12.75" hidden="false" customHeight="false" outlineLevel="0" collapsed="false">
      <c r="A9694" s="0" t="n">
        <v>2</v>
      </c>
      <c r="B9694" s="71" t="n">
        <v>46297</v>
      </c>
      <c r="C9694" s="0" t="n">
        <v>6</v>
      </c>
      <c r="D9694" s="0" t="s">
        <v>2553</v>
      </c>
      <c r="E9694" s="0" t="n">
        <v>48</v>
      </c>
      <c r="F9694" s="0" t="s">
        <v>153</v>
      </c>
      <c r="I9694" s="0" t="n">
        <v>2717</v>
      </c>
      <c r="J9694" s="0" t="n">
        <v>100109</v>
      </c>
      <c r="K9694" s="0" t="n">
        <v>110</v>
      </c>
      <c r="L9694" s="0" t="s">
        <v>2537</v>
      </c>
      <c r="N9694" s="0" t="n">
        <v>40</v>
      </c>
      <c r="O9694" s="0" t="n">
        <v>280</v>
      </c>
      <c r="P9694" s="0" t="s">
        <v>2444</v>
      </c>
    </row>
    <row r="9695" customFormat="false" ht="12.75" hidden="false" customHeight="false" outlineLevel="0" collapsed="false">
      <c r="A9695" s="0" t="n">
        <v>2</v>
      </c>
      <c r="B9695" s="71" t="n">
        <v>46297</v>
      </c>
      <c r="C9695" s="0" t="n">
        <v>6</v>
      </c>
      <c r="D9695" s="0" t="s">
        <v>2553</v>
      </c>
      <c r="E9695" s="0" t="n">
        <v>48</v>
      </c>
      <c r="F9695" s="0" t="s">
        <v>153</v>
      </c>
      <c r="I9695" s="0" t="n">
        <v>2717</v>
      </c>
      <c r="J9695" s="0" t="n">
        <v>100113</v>
      </c>
      <c r="K9695" s="0" t="n">
        <v>114</v>
      </c>
      <c r="L9695" s="0" t="s">
        <v>2539</v>
      </c>
      <c r="N9695" s="0" t="n">
        <v>20</v>
      </c>
      <c r="O9695" s="0" t="n">
        <v>180</v>
      </c>
      <c r="P9695" s="0" t="s">
        <v>2444</v>
      </c>
    </row>
    <row r="9696" customFormat="false" ht="12.75" hidden="false" customHeight="false" outlineLevel="0" collapsed="false">
      <c r="A9696" s="0" t="n">
        <v>2</v>
      </c>
      <c r="B9696" s="71" t="n">
        <v>46297</v>
      </c>
      <c r="C9696" s="0" t="n">
        <v>6</v>
      </c>
      <c r="D9696" s="0" t="s">
        <v>2553</v>
      </c>
      <c r="E9696" s="0" t="n">
        <v>48</v>
      </c>
      <c r="F9696" s="0" t="s">
        <v>153</v>
      </c>
      <c r="I9696" s="0" t="n">
        <v>2717</v>
      </c>
      <c r="J9696" s="0" t="n">
        <v>100121</v>
      </c>
      <c r="K9696" s="0" t="n">
        <v>122</v>
      </c>
      <c r="L9696" s="0" t="s">
        <v>2542</v>
      </c>
      <c r="N9696" s="0" t="n">
        <v>3</v>
      </c>
      <c r="O9696" s="0" t="n">
        <v>60</v>
      </c>
      <c r="P9696" s="0" t="s">
        <v>2444</v>
      </c>
    </row>
    <row r="9697" customFormat="false" ht="12.75" hidden="false" customHeight="false" outlineLevel="0" collapsed="false">
      <c r="A9697" s="0" t="n">
        <v>2</v>
      </c>
      <c r="B9697" s="71" t="n">
        <v>46297</v>
      </c>
      <c r="C9697" s="0" t="n">
        <v>6</v>
      </c>
      <c r="D9697" s="0" t="s">
        <v>2553</v>
      </c>
      <c r="E9697" s="0" t="n">
        <v>48</v>
      </c>
      <c r="F9697" s="0" t="s">
        <v>153</v>
      </c>
      <c r="I9697" s="0" t="n">
        <v>2717</v>
      </c>
      <c r="J9697" s="0" t="n">
        <v>100122</v>
      </c>
      <c r="K9697" s="0" t="n">
        <v>123</v>
      </c>
      <c r="L9697" s="0" t="s">
        <v>2543</v>
      </c>
      <c r="N9697" s="0" t="n">
        <v>3</v>
      </c>
      <c r="O9697" s="0" t="n">
        <v>30</v>
      </c>
      <c r="P9697" s="0" t="s">
        <v>2444</v>
      </c>
    </row>
    <row r="9698" customFormat="false" ht="12.75" hidden="false" customHeight="false" outlineLevel="0" collapsed="false">
      <c r="A9698" s="0" t="n">
        <v>2</v>
      </c>
      <c r="B9698" s="71" t="n">
        <v>46297</v>
      </c>
      <c r="C9698" s="0" t="n">
        <v>6</v>
      </c>
      <c r="D9698" s="0" t="s">
        <v>2553</v>
      </c>
      <c r="E9698" s="0" t="n">
        <v>48</v>
      </c>
      <c r="F9698" s="0" t="s">
        <v>153</v>
      </c>
      <c r="I9698" s="0" t="n">
        <v>2717</v>
      </c>
      <c r="J9698" s="0" t="n">
        <v>100125</v>
      </c>
      <c r="K9698" s="0" t="n">
        <v>126</v>
      </c>
      <c r="L9698" s="0" t="s">
        <v>2597</v>
      </c>
      <c r="N9698" s="0" t="n">
        <v>20</v>
      </c>
      <c r="O9698" s="0" t="n">
        <v>100</v>
      </c>
      <c r="P9698" s="0" t="s">
        <v>2444</v>
      </c>
    </row>
    <row r="9699" customFormat="false" ht="12.75" hidden="false" customHeight="false" outlineLevel="0" collapsed="false">
      <c r="A9699" s="0" t="n">
        <v>2</v>
      </c>
      <c r="B9699" s="71" t="n">
        <v>46297</v>
      </c>
      <c r="C9699" s="0" t="n">
        <v>6</v>
      </c>
      <c r="D9699" s="0" t="s">
        <v>2553</v>
      </c>
      <c r="E9699" s="0" t="n">
        <v>48</v>
      </c>
      <c r="F9699" s="0" t="s">
        <v>153</v>
      </c>
      <c r="I9699" s="0" t="n">
        <v>2717</v>
      </c>
      <c r="J9699" s="0" t="n">
        <v>100129</v>
      </c>
      <c r="K9699" s="0" t="n">
        <v>130</v>
      </c>
      <c r="L9699" s="0" t="s">
        <v>2598</v>
      </c>
      <c r="N9699" s="0" t="n">
        <v>13</v>
      </c>
      <c r="O9699" s="0" t="n">
        <v>110</v>
      </c>
      <c r="P9699" s="0" t="s">
        <v>2444</v>
      </c>
    </row>
    <row r="9700" customFormat="false" ht="12.75" hidden="false" customHeight="false" outlineLevel="0" collapsed="false">
      <c r="A9700" s="0" t="n">
        <v>2</v>
      </c>
      <c r="B9700" s="71" t="n">
        <v>46297</v>
      </c>
      <c r="C9700" s="0" t="n">
        <v>6</v>
      </c>
      <c r="D9700" s="0" t="s">
        <v>2553</v>
      </c>
      <c r="E9700" s="0" t="n">
        <v>48</v>
      </c>
      <c r="F9700" s="0" t="s">
        <v>153</v>
      </c>
      <c r="I9700" s="0" t="n">
        <v>2717</v>
      </c>
      <c r="J9700" s="0" t="n">
        <v>100130</v>
      </c>
      <c r="K9700" s="0" t="n">
        <v>131</v>
      </c>
      <c r="L9700" s="0" t="s">
        <v>2545</v>
      </c>
      <c r="N9700" s="0" t="n">
        <v>10</v>
      </c>
      <c r="O9700" s="0" t="n">
        <v>100</v>
      </c>
      <c r="P9700" s="0" t="s">
        <v>2444</v>
      </c>
    </row>
    <row r="9701" customFormat="false" ht="12.75" hidden="false" customHeight="false" outlineLevel="0" collapsed="false">
      <c r="A9701" s="0" t="n">
        <v>2</v>
      </c>
      <c r="B9701" s="71" t="n">
        <v>46297</v>
      </c>
      <c r="C9701" s="0" t="n">
        <v>6</v>
      </c>
      <c r="D9701" s="0" t="s">
        <v>2553</v>
      </c>
      <c r="E9701" s="0" t="n">
        <v>48</v>
      </c>
      <c r="F9701" s="0" t="s">
        <v>153</v>
      </c>
      <c r="I9701" s="0" t="n">
        <v>2717</v>
      </c>
      <c r="J9701" s="0" t="n">
        <v>100132</v>
      </c>
      <c r="K9701" s="0" t="n">
        <v>133</v>
      </c>
      <c r="L9701" s="0" t="s">
        <v>2546</v>
      </c>
      <c r="N9701" s="0" t="n">
        <v>65.4</v>
      </c>
      <c r="O9701" s="0" t="n">
        <v>175</v>
      </c>
      <c r="P9701" s="0" t="s">
        <v>2444</v>
      </c>
    </row>
    <row r="9702" customFormat="false" ht="12.75" hidden="false" customHeight="false" outlineLevel="0" collapsed="false">
      <c r="A9702" s="0" t="n">
        <v>2</v>
      </c>
      <c r="B9702" s="71" t="n">
        <v>46297</v>
      </c>
      <c r="C9702" s="0" t="n">
        <v>6</v>
      </c>
      <c r="D9702" s="0" t="s">
        <v>2553</v>
      </c>
      <c r="E9702" s="0" t="n">
        <v>48</v>
      </c>
      <c r="F9702" s="0" t="s">
        <v>153</v>
      </c>
      <c r="I9702" s="0" t="n">
        <v>2717</v>
      </c>
      <c r="J9702" s="0" t="n">
        <v>100133</v>
      </c>
      <c r="K9702" s="0" t="n">
        <v>134</v>
      </c>
      <c r="L9702" s="0" t="s">
        <v>2547</v>
      </c>
      <c r="N9702" s="0" t="n">
        <v>20</v>
      </c>
      <c r="O9702" s="0" t="n">
        <v>60</v>
      </c>
      <c r="P9702" s="0" t="s">
        <v>2444</v>
      </c>
    </row>
    <row r="9703" customFormat="false" ht="12.75" hidden="false" customHeight="false" outlineLevel="0" collapsed="false">
      <c r="A9703" s="0" t="n">
        <v>2</v>
      </c>
      <c r="B9703" s="71" t="n">
        <v>46297</v>
      </c>
      <c r="C9703" s="0" t="n">
        <v>6</v>
      </c>
      <c r="D9703" s="0" t="s">
        <v>2553</v>
      </c>
      <c r="E9703" s="0" t="n">
        <v>48</v>
      </c>
      <c r="F9703" s="0" t="s">
        <v>153</v>
      </c>
      <c r="I9703" s="0" t="n">
        <v>2717</v>
      </c>
      <c r="J9703" s="0" t="n">
        <v>110143</v>
      </c>
      <c r="K9703" s="0" t="n">
        <v>16700</v>
      </c>
      <c r="L9703" s="0" t="s">
        <v>5599</v>
      </c>
      <c r="N9703" s="0" t="n">
        <v>10</v>
      </c>
      <c r="O9703" s="0" t="n">
        <v>80</v>
      </c>
      <c r="P9703" s="0" t="s">
        <v>2444</v>
      </c>
    </row>
    <row r="9704" customFormat="false" ht="12.75" hidden="false" customHeight="false" outlineLevel="0" collapsed="false">
      <c r="A9704" s="0" t="n">
        <v>2</v>
      </c>
      <c r="B9704" s="71" t="n">
        <v>46297</v>
      </c>
      <c r="C9704" s="0" t="n">
        <v>6</v>
      </c>
      <c r="D9704" s="0" t="s">
        <v>2553</v>
      </c>
      <c r="E9704" s="0" t="n">
        <v>48</v>
      </c>
      <c r="F9704" s="0" t="s">
        <v>153</v>
      </c>
      <c r="I9704" s="0" t="n">
        <v>2717</v>
      </c>
      <c r="J9704" s="0" t="n">
        <v>110165</v>
      </c>
      <c r="K9704" s="0" t="n">
        <v>37441</v>
      </c>
      <c r="L9704" s="0" t="s">
        <v>4682</v>
      </c>
      <c r="N9704" s="0" t="n">
        <v>10</v>
      </c>
      <c r="O9704" s="0" t="n">
        <v>100</v>
      </c>
      <c r="P9704" s="0" t="s">
        <v>2444</v>
      </c>
    </row>
    <row r="9705" customFormat="false" ht="12.75" hidden="false" customHeight="false" outlineLevel="0" collapsed="false">
      <c r="A9705" s="0" t="n">
        <v>2</v>
      </c>
      <c r="B9705" s="71" t="n">
        <v>46297</v>
      </c>
      <c r="C9705" s="0" t="n">
        <v>6</v>
      </c>
      <c r="D9705" s="0" t="s">
        <v>2553</v>
      </c>
      <c r="E9705" s="0" t="n">
        <v>48</v>
      </c>
      <c r="F9705" s="0" t="s">
        <v>153</v>
      </c>
      <c r="I9705" s="0" t="n">
        <v>2717</v>
      </c>
      <c r="J9705" s="0" t="n">
        <v>110374</v>
      </c>
      <c r="K9705" s="0" t="n">
        <v>48077</v>
      </c>
      <c r="L9705" s="0" t="s">
        <v>2696</v>
      </c>
      <c r="N9705" s="0" t="n">
        <v>5</v>
      </c>
      <c r="O9705" s="0" t="n">
        <v>30</v>
      </c>
      <c r="P9705" s="0" t="s">
        <v>2444</v>
      </c>
    </row>
    <row r="9706" customFormat="false" ht="12.75" hidden="false" customHeight="false" outlineLevel="0" collapsed="false">
      <c r="A9706" s="0" t="n">
        <v>2</v>
      </c>
      <c r="B9706" s="71" t="n">
        <v>46297</v>
      </c>
      <c r="C9706" s="0" t="n">
        <v>6</v>
      </c>
      <c r="D9706" s="0" t="s">
        <v>2553</v>
      </c>
      <c r="E9706" s="0" t="n">
        <v>48</v>
      </c>
      <c r="F9706" s="0" t="s">
        <v>153</v>
      </c>
      <c r="I9706" s="0" t="n">
        <v>2717</v>
      </c>
      <c r="J9706" s="0" t="n">
        <v>110489</v>
      </c>
      <c r="K9706" s="0" t="n">
        <v>54743</v>
      </c>
      <c r="L9706" s="0" t="s">
        <v>2550</v>
      </c>
      <c r="N9706" s="0" t="n">
        <v>60</v>
      </c>
      <c r="O9706" s="0" t="n">
        <v>390</v>
      </c>
      <c r="P9706" s="0" t="s">
        <v>2444</v>
      </c>
    </row>
    <row r="9707" customFormat="false" ht="12.75" hidden="false" customHeight="false" outlineLevel="0" collapsed="false">
      <c r="A9707" s="0" t="n">
        <v>2</v>
      </c>
      <c r="B9707" s="71" t="n">
        <v>46297</v>
      </c>
      <c r="C9707" s="0" t="n">
        <v>6</v>
      </c>
      <c r="D9707" s="0" t="s">
        <v>2553</v>
      </c>
      <c r="E9707" s="0" t="n">
        <v>48</v>
      </c>
      <c r="F9707" s="0" t="s">
        <v>153</v>
      </c>
      <c r="I9707" s="0" t="n">
        <v>2717</v>
      </c>
      <c r="J9707" s="0" t="n">
        <v>61971</v>
      </c>
      <c r="K9707" s="0" t="n">
        <v>826495</v>
      </c>
      <c r="L9707" s="0" t="s">
        <v>5649</v>
      </c>
      <c r="N9707" s="0" t="n">
        <v>10</v>
      </c>
      <c r="O9707" s="0" t="n">
        <v>70</v>
      </c>
      <c r="P9707" s="0" t="s">
        <v>2444</v>
      </c>
    </row>
    <row r="9708" customFormat="false" ht="12.75" hidden="false" customHeight="false" outlineLevel="0" collapsed="false">
      <c r="A9708" s="0" t="n">
        <v>2</v>
      </c>
      <c r="B9708" s="71" t="n">
        <v>46297</v>
      </c>
      <c r="C9708" s="0" t="n">
        <v>6</v>
      </c>
      <c r="D9708" s="0" t="s">
        <v>2553</v>
      </c>
      <c r="E9708" s="0" t="n">
        <v>48</v>
      </c>
      <c r="F9708" s="0" t="s">
        <v>153</v>
      </c>
      <c r="I9708" s="0" t="n">
        <v>2717</v>
      </c>
      <c r="J9708" s="0" t="n">
        <v>74674</v>
      </c>
      <c r="K9708" s="0" t="n">
        <v>741</v>
      </c>
      <c r="L9708" s="0" t="s">
        <v>2738</v>
      </c>
      <c r="N9708" s="0" t="n">
        <v>20</v>
      </c>
      <c r="O9708" s="0" t="n">
        <v>280</v>
      </c>
      <c r="P9708" s="0" t="s">
        <v>2444</v>
      </c>
    </row>
    <row r="9709" customFormat="false" ht="12.75" hidden="false" customHeight="false" outlineLevel="0" collapsed="false">
      <c r="A9709" s="0" t="n">
        <v>2</v>
      </c>
      <c r="B9709" s="71" t="n">
        <v>46297</v>
      </c>
      <c r="C9709" s="0" t="n">
        <v>6</v>
      </c>
      <c r="D9709" s="0" t="s">
        <v>2553</v>
      </c>
      <c r="E9709" s="0" t="n">
        <v>48</v>
      </c>
      <c r="F9709" s="0" t="s">
        <v>153</v>
      </c>
      <c r="I9709" s="0" t="n">
        <v>2717</v>
      </c>
      <c r="J9709" s="0" t="n">
        <v>80078</v>
      </c>
      <c r="K9709" s="0" t="n">
        <v>710</v>
      </c>
      <c r="L9709" s="0" t="s">
        <v>2551</v>
      </c>
      <c r="N9709" s="0" t="n">
        <v>10</v>
      </c>
      <c r="O9709" s="0" t="n">
        <v>30</v>
      </c>
      <c r="P9709" s="0" t="s">
        <v>2444</v>
      </c>
    </row>
    <row r="9710" customFormat="false" ht="12.75" hidden="false" customHeight="false" outlineLevel="0" collapsed="false">
      <c r="A9710" s="0" t="n">
        <v>2</v>
      </c>
      <c r="B9710" s="71" t="n">
        <v>46297</v>
      </c>
      <c r="C9710" s="0" t="n">
        <v>6</v>
      </c>
      <c r="D9710" s="0" t="s">
        <v>2553</v>
      </c>
      <c r="E9710" s="0" t="n">
        <v>48</v>
      </c>
      <c r="F9710" s="0" t="s">
        <v>153</v>
      </c>
      <c r="I9710" s="0" t="n">
        <v>2717</v>
      </c>
      <c r="J9710" s="0" t="n">
        <v>81699</v>
      </c>
      <c r="K9710" s="0" t="n">
        <v>1311</v>
      </c>
      <c r="L9710" s="0" t="s">
        <v>4045</v>
      </c>
      <c r="N9710" s="0" t="n">
        <v>10</v>
      </c>
      <c r="O9710" s="0" t="n">
        <v>40</v>
      </c>
      <c r="P9710" s="0" t="s">
        <v>2444</v>
      </c>
    </row>
    <row r="9711" customFormat="false" ht="12.75" hidden="false" customHeight="false" outlineLevel="0" collapsed="false">
      <c r="A9711" s="0" t="n">
        <v>2</v>
      </c>
      <c r="B9711" s="71" t="n">
        <v>46297</v>
      </c>
      <c r="C9711" s="0" t="n">
        <v>11</v>
      </c>
      <c r="D9711" s="0" t="s">
        <v>2471</v>
      </c>
      <c r="E9711" s="0" t="n">
        <v>10035</v>
      </c>
      <c r="F9711" s="0" t="s">
        <v>86</v>
      </c>
      <c r="I9711" s="0" t="n">
        <v>458</v>
      </c>
      <c r="J9711" s="0" t="n">
        <v>38652</v>
      </c>
      <c r="K9711" s="0" t="n">
        <v>7898994684220</v>
      </c>
      <c r="L9711" s="0" t="s">
        <v>2711</v>
      </c>
      <c r="N9711" s="0" t="n">
        <v>30</v>
      </c>
      <c r="O9711" s="0" t="n">
        <v>270</v>
      </c>
      <c r="P9711" s="0" t="s">
        <v>2444</v>
      </c>
    </row>
    <row r="9712" customFormat="false" ht="12.75" hidden="false" customHeight="false" outlineLevel="0" collapsed="false">
      <c r="A9712" s="0" t="n">
        <v>2</v>
      </c>
      <c r="B9712" s="71" t="n">
        <v>46297</v>
      </c>
      <c r="C9712" s="0" t="n">
        <v>11</v>
      </c>
      <c r="D9712" s="0" t="s">
        <v>2471</v>
      </c>
      <c r="E9712" s="0" t="n">
        <v>10035</v>
      </c>
      <c r="F9712" s="0" t="s">
        <v>86</v>
      </c>
      <c r="I9712" s="0" t="n">
        <v>458</v>
      </c>
      <c r="J9712" s="0" t="n">
        <v>38653</v>
      </c>
      <c r="K9712" s="0" t="n">
        <v>7898994684275</v>
      </c>
      <c r="L9712" s="0" t="s">
        <v>2712</v>
      </c>
      <c r="N9712" s="0" t="n">
        <v>15</v>
      </c>
      <c r="O9712" s="0" t="n">
        <v>72</v>
      </c>
      <c r="P9712" s="0" t="s">
        <v>2444</v>
      </c>
    </row>
    <row r="9713" customFormat="false" ht="12.75" hidden="false" customHeight="false" outlineLevel="0" collapsed="false">
      <c r="A9713" s="0" t="n">
        <v>2</v>
      </c>
      <c r="B9713" s="71" t="n">
        <v>46297</v>
      </c>
      <c r="C9713" s="0" t="n">
        <v>11</v>
      </c>
      <c r="D9713" s="0" t="s">
        <v>2471</v>
      </c>
      <c r="E9713" s="0" t="n">
        <v>10035</v>
      </c>
      <c r="F9713" s="0" t="s">
        <v>86</v>
      </c>
      <c r="I9713" s="0" t="n">
        <v>458</v>
      </c>
      <c r="J9713" s="0" t="n">
        <v>43726</v>
      </c>
      <c r="K9713" s="0" t="n">
        <v>2245461</v>
      </c>
      <c r="L9713" s="0" t="s">
        <v>5336</v>
      </c>
      <c r="N9713" s="0" t="n">
        <v>4</v>
      </c>
      <c r="O9713" s="0" t="n">
        <v>80</v>
      </c>
      <c r="P9713" s="0" t="s">
        <v>2444</v>
      </c>
    </row>
    <row r="9714" customFormat="false" ht="12.75" hidden="false" customHeight="false" outlineLevel="0" collapsed="false">
      <c r="A9714" s="0" t="n">
        <v>2</v>
      </c>
      <c r="B9714" s="71" t="n">
        <v>46297</v>
      </c>
      <c r="C9714" s="0" t="n">
        <v>11</v>
      </c>
      <c r="D9714" s="0" t="s">
        <v>2471</v>
      </c>
      <c r="E9714" s="0" t="n">
        <v>1899</v>
      </c>
      <c r="F9714" s="0" t="s">
        <v>204</v>
      </c>
      <c r="I9714" s="0" t="n">
        <v>830</v>
      </c>
      <c r="J9714" s="0" t="n">
        <v>44588</v>
      </c>
      <c r="K9714" s="0" t="n">
        <v>7898904331091</v>
      </c>
      <c r="L9714" s="0" t="s">
        <v>2443</v>
      </c>
      <c r="N9714" s="0" t="n">
        <v>15</v>
      </c>
      <c r="O9714" s="0" t="n">
        <v>74.85</v>
      </c>
      <c r="P9714" s="0" t="s">
        <v>2444</v>
      </c>
    </row>
    <row r="9715" customFormat="false" ht="12.75" hidden="false" customHeight="false" outlineLevel="0" collapsed="false">
      <c r="A9715" s="0" t="n">
        <v>2</v>
      </c>
      <c r="B9715" s="71" t="n">
        <v>46297</v>
      </c>
      <c r="C9715" s="0" t="n">
        <v>11</v>
      </c>
      <c r="D9715" s="0" t="s">
        <v>2471</v>
      </c>
      <c r="E9715" s="0" t="n">
        <v>1899</v>
      </c>
      <c r="F9715" s="0" t="s">
        <v>204</v>
      </c>
      <c r="I9715" s="0" t="n">
        <v>830</v>
      </c>
      <c r="J9715" s="0" t="n">
        <v>77463</v>
      </c>
      <c r="K9715" s="0" t="n">
        <v>774642</v>
      </c>
      <c r="L9715" s="0" t="s">
        <v>2445</v>
      </c>
      <c r="N9715" s="0" t="n">
        <v>20</v>
      </c>
      <c r="O9715" s="0" t="n">
        <v>90</v>
      </c>
      <c r="P9715" s="0" t="s">
        <v>2444</v>
      </c>
    </row>
    <row r="9716" customFormat="false" ht="12.75" hidden="false" customHeight="false" outlineLevel="0" collapsed="false">
      <c r="A9716" s="0" t="n">
        <v>2</v>
      </c>
      <c r="B9716" s="71" t="n">
        <v>46297</v>
      </c>
      <c r="C9716" s="0" t="n">
        <v>11</v>
      </c>
      <c r="D9716" s="0" t="s">
        <v>2471</v>
      </c>
      <c r="E9716" s="0" t="n">
        <v>1899</v>
      </c>
      <c r="F9716" s="0" t="s">
        <v>204</v>
      </c>
      <c r="I9716" s="0" t="n">
        <v>830</v>
      </c>
      <c r="J9716" s="0" t="n">
        <v>77903</v>
      </c>
      <c r="K9716" s="0" t="n">
        <v>779043</v>
      </c>
      <c r="L9716" s="0" t="s">
        <v>2945</v>
      </c>
      <c r="N9716" s="0" t="n">
        <v>5</v>
      </c>
      <c r="O9716" s="0" t="n">
        <v>22.5</v>
      </c>
      <c r="P9716" s="0" t="s">
        <v>2444</v>
      </c>
    </row>
    <row r="9717" customFormat="false" ht="12.75" hidden="false" customHeight="false" outlineLevel="0" collapsed="false">
      <c r="A9717" s="0" t="n">
        <v>2</v>
      </c>
      <c r="B9717" s="71" t="n">
        <v>46297</v>
      </c>
      <c r="C9717" s="0" t="n">
        <v>11</v>
      </c>
      <c r="D9717" s="0" t="s">
        <v>2471</v>
      </c>
      <c r="E9717" s="0" t="n">
        <v>1899</v>
      </c>
      <c r="F9717" s="0" t="s">
        <v>204</v>
      </c>
      <c r="I9717" s="0" t="n">
        <v>830</v>
      </c>
      <c r="J9717" s="0" t="n">
        <v>78013</v>
      </c>
      <c r="K9717" s="0" t="n">
        <v>780148</v>
      </c>
      <c r="L9717" s="0" t="s">
        <v>2584</v>
      </c>
      <c r="N9717" s="0" t="n">
        <v>5</v>
      </c>
      <c r="O9717" s="0" t="n">
        <v>22.5</v>
      </c>
      <c r="P9717" s="0" t="s">
        <v>2444</v>
      </c>
    </row>
    <row r="9718" customFormat="false" ht="12.75" hidden="false" customHeight="false" outlineLevel="0" collapsed="false">
      <c r="A9718" s="0" t="n">
        <v>2</v>
      </c>
      <c r="B9718" s="71" t="n">
        <v>46297</v>
      </c>
      <c r="C9718" s="0" t="n">
        <v>11</v>
      </c>
      <c r="D9718" s="0" t="s">
        <v>2471</v>
      </c>
      <c r="E9718" s="0" t="n">
        <v>560</v>
      </c>
      <c r="F9718" s="0" t="s">
        <v>453</v>
      </c>
      <c r="I9718" s="0" t="n">
        <v>2368</v>
      </c>
      <c r="J9718" s="0" t="n">
        <v>72591</v>
      </c>
      <c r="K9718" s="0" t="n">
        <v>7891985925401</v>
      </c>
      <c r="L9718" s="0" t="s">
        <v>2714</v>
      </c>
      <c r="N9718" s="0" t="n">
        <v>50</v>
      </c>
      <c r="O9718" s="0" t="n">
        <v>250</v>
      </c>
      <c r="P9718" s="0" t="s">
        <v>2444</v>
      </c>
    </row>
    <row r="9719" customFormat="false" ht="12.75" hidden="false" customHeight="false" outlineLevel="0" collapsed="false">
      <c r="A9719" s="0" t="n">
        <v>2</v>
      </c>
      <c r="B9719" s="71" t="n">
        <v>46297</v>
      </c>
      <c r="C9719" s="0" t="n">
        <v>11</v>
      </c>
      <c r="D9719" s="0" t="s">
        <v>2471</v>
      </c>
      <c r="E9719" s="0" t="n">
        <v>1621</v>
      </c>
      <c r="F9719" s="0" t="s">
        <v>232</v>
      </c>
      <c r="I9719" s="0" t="n">
        <v>38346</v>
      </c>
      <c r="J9719" s="0" t="n">
        <v>103127</v>
      </c>
      <c r="K9719" s="0" t="n">
        <v>7891991000826</v>
      </c>
      <c r="L9719" s="0" t="s">
        <v>3066</v>
      </c>
      <c r="N9719" s="0" t="n">
        <v>36</v>
      </c>
      <c r="O9719" s="0" t="n">
        <v>106.51</v>
      </c>
      <c r="P9719" s="0" t="s">
        <v>2444</v>
      </c>
    </row>
    <row r="9720" customFormat="false" ht="12.75" hidden="false" customHeight="false" outlineLevel="0" collapsed="false">
      <c r="A9720" s="0" t="n">
        <v>2</v>
      </c>
      <c r="B9720" s="71" t="n">
        <v>46297</v>
      </c>
      <c r="C9720" s="0" t="n">
        <v>11</v>
      </c>
      <c r="D9720" s="0" t="s">
        <v>2471</v>
      </c>
      <c r="E9720" s="0" t="n">
        <v>1621</v>
      </c>
      <c r="F9720" s="0" t="s">
        <v>232</v>
      </c>
      <c r="I9720" s="0" t="n">
        <v>38346</v>
      </c>
      <c r="J9720" s="0" t="n">
        <v>104358</v>
      </c>
      <c r="K9720" s="0" t="n">
        <v>7891149440603</v>
      </c>
      <c r="L9720" s="0" t="s">
        <v>4630</v>
      </c>
      <c r="N9720" s="0" t="n">
        <v>36</v>
      </c>
      <c r="O9720" s="0" t="n">
        <v>103.21</v>
      </c>
      <c r="P9720" s="0" t="s">
        <v>2444</v>
      </c>
    </row>
    <row r="9721" customFormat="false" ht="12.75" hidden="false" customHeight="false" outlineLevel="0" collapsed="false">
      <c r="A9721" s="0" t="n">
        <v>2</v>
      </c>
      <c r="B9721" s="71" t="n">
        <v>46297</v>
      </c>
      <c r="C9721" s="0" t="n">
        <v>11</v>
      </c>
      <c r="D9721" s="0" t="s">
        <v>2471</v>
      </c>
      <c r="E9721" s="0" t="n">
        <v>1621</v>
      </c>
      <c r="F9721" s="0" t="s">
        <v>232</v>
      </c>
      <c r="I9721" s="0" t="n">
        <v>38346</v>
      </c>
      <c r="J9721" s="0" t="n">
        <v>108599</v>
      </c>
      <c r="K9721" s="0" t="n">
        <v>7892840808051</v>
      </c>
      <c r="L9721" s="0" t="s">
        <v>3074</v>
      </c>
      <c r="N9721" s="0" t="n">
        <v>6</v>
      </c>
      <c r="O9721" s="0" t="n">
        <v>32.4</v>
      </c>
      <c r="P9721" s="0" t="s">
        <v>2444</v>
      </c>
    </row>
    <row r="9722" customFormat="false" ht="12.75" hidden="false" customHeight="false" outlineLevel="0" collapsed="false">
      <c r="A9722" s="0" t="n">
        <v>2</v>
      </c>
      <c r="B9722" s="71" t="n">
        <v>46297</v>
      </c>
      <c r="C9722" s="0" t="n">
        <v>11</v>
      </c>
      <c r="D9722" s="0" t="s">
        <v>2471</v>
      </c>
      <c r="E9722" s="0" t="n">
        <v>1621</v>
      </c>
      <c r="F9722" s="0" t="s">
        <v>232</v>
      </c>
      <c r="I9722" s="0" t="n">
        <v>38346</v>
      </c>
      <c r="J9722" s="0" t="n">
        <v>13504</v>
      </c>
      <c r="K9722" s="0" t="n">
        <v>7892840808020</v>
      </c>
      <c r="L9722" s="0" t="s">
        <v>3874</v>
      </c>
      <c r="N9722" s="0" t="n">
        <v>6</v>
      </c>
      <c r="O9722" s="0" t="n">
        <v>32.4</v>
      </c>
      <c r="P9722" s="0" t="s">
        <v>2444</v>
      </c>
    </row>
    <row r="9723" customFormat="false" ht="12.75" hidden="false" customHeight="false" outlineLevel="0" collapsed="false">
      <c r="A9723" s="0" t="n">
        <v>2</v>
      </c>
      <c r="B9723" s="71" t="n">
        <v>46297</v>
      </c>
      <c r="C9723" s="0" t="n">
        <v>11</v>
      </c>
      <c r="D9723" s="0" t="s">
        <v>2471</v>
      </c>
      <c r="E9723" s="0" t="n">
        <v>1621</v>
      </c>
      <c r="F9723" s="0" t="s">
        <v>232</v>
      </c>
      <c r="I9723" s="0" t="n">
        <v>38346</v>
      </c>
      <c r="J9723" s="0" t="n">
        <v>17277</v>
      </c>
      <c r="K9723" s="0" t="n">
        <v>7892840808174</v>
      </c>
      <c r="L9723" s="0" t="s">
        <v>3076</v>
      </c>
      <c r="N9723" s="0" t="n">
        <v>6</v>
      </c>
      <c r="O9723" s="0" t="n">
        <v>32.4</v>
      </c>
      <c r="P9723" s="0" t="s">
        <v>2444</v>
      </c>
    </row>
    <row r="9724" customFormat="false" ht="12.75" hidden="false" customHeight="false" outlineLevel="0" collapsed="false">
      <c r="A9724" s="0" t="n">
        <v>2</v>
      </c>
      <c r="B9724" s="71" t="n">
        <v>46297</v>
      </c>
      <c r="C9724" s="0" t="n">
        <v>11</v>
      </c>
      <c r="D9724" s="0" t="s">
        <v>2471</v>
      </c>
      <c r="E9724" s="0" t="n">
        <v>1621</v>
      </c>
      <c r="F9724" s="0" t="s">
        <v>232</v>
      </c>
      <c r="I9724" s="0" t="n">
        <v>38346</v>
      </c>
      <c r="J9724" s="0" t="n">
        <v>48553</v>
      </c>
      <c r="K9724" s="0" t="n">
        <v>7892840813444</v>
      </c>
      <c r="L9724" s="0" t="s">
        <v>3775</v>
      </c>
      <c r="N9724" s="0" t="n">
        <v>12</v>
      </c>
      <c r="O9724" s="0" t="n">
        <v>81.1</v>
      </c>
      <c r="P9724" s="0" t="s">
        <v>2444</v>
      </c>
    </row>
    <row r="9725" customFormat="false" ht="12.75" hidden="false" customHeight="false" outlineLevel="0" collapsed="false">
      <c r="A9725" s="0" t="n">
        <v>2</v>
      </c>
      <c r="B9725" s="71" t="n">
        <v>46297</v>
      </c>
      <c r="C9725" s="0" t="n">
        <v>11</v>
      </c>
      <c r="D9725" s="0" t="s">
        <v>2471</v>
      </c>
      <c r="E9725" s="0" t="n">
        <v>1621</v>
      </c>
      <c r="F9725" s="0" t="s">
        <v>232</v>
      </c>
      <c r="I9725" s="0" t="n">
        <v>38346</v>
      </c>
      <c r="J9725" s="0" t="n">
        <v>54120</v>
      </c>
      <c r="K9725" s="0" t="n">
        <v>7892840820862</v>
      </c>
      <c r="L9725" s="0" t="s">
        <v>3776</v>
      </c>
      <c r="N9725" s="0" t="n">
        <v>18</v>
      </c>
      <c r="O9725" s="0" t="n">
        <v>60.73</v>
      </c>
      <c r="P9725" s="0" t="s">
        <v>2444</v>
      </c>
    </row>
    <row r="9726" customFormat="false" ht="12.75" hidden="false" customHeight="false" outlineLevel="0" collapsed="false">
      <c r="A9726" s="0" t="n">
        <v>2</v>
      </c>
      <c r="B9726" s="71" t="n">
        <v>46297</v>
      </c>
      <c r="C9726" s="0" t="n">
        <v>11</v>
      </c>
      <c r="D9726" s="0" t="s">
        <v>2471</v>
      </c>
      <c r="E9726" s="0" t="n">
        <v>1621</v>
      </c>
      <c r="F9726" s="0" t="s">
        <v>232</v>
      </c>
      <c r="I9726" s="0" t="n">
        <v>38346</v>
      </c>
      <c r="J9726" s="0" t="n">
        <v>81970</v>
      </c>
      <c r="K9726" s="0" t="n">
        <v>7892840823986</v>
      </c>
      <c r="L9726" s="0" t="s">
        <v>5216</v>
      </c>
      <c r="N9726" s="0" t="n">
        <v>12</v>
      </c>
      <c r="O9726" s="0" t="n">
        <v>35.5</v>
      </c>
      <c r="P9726" s="0" t="s">
        <v>2444</v>
      </c>
    </row>
    <row r="9727" customFormat="false" ht="12.75" hidden="false" customHeight="false" outlineLevel="0" collapsed="false">
      <c r="A9727" s="0" t="n">
        <v>2</v>
      </c>
      <c r="B9727" s="71" t="n">
        <v>46297</v>
      </c>
      <c r="C9727" s="0" t="n">
        <v>11</v>
      </c>
      <c r="D9727" s="0" t="s">
        <v>2471</v>
      </c>
      <c r="E9727" s="0" t="n">
        <v>1642</v>
      </c>
      <c r="F9727" s="0" t="s">
        <v>228</v>
      </c>
      <c r="I9727" s="0" t="n">
        <v>1044713</v>
      </c>
      <c r="J9727" s="0" t="n">
        <v>105780</v>
      </c>
      <c r="K9727" s="0" t="n">
        <v>7896289210017</v>
      </c>
      <c r="L9727" s="0" t="s">
        <v>2511</v>
      </c>
      <c r="N9727" s="0" t="n">
        <v>15</v>
      </c>
      <c r="O9727" s="0" t="n">
        <v>160.05</v>
      </c>
      <c r="P9727" s="0" t="s">
        <v>2444</v>
      </c>
    </row>
    <row r="9728" customFormat="false" ht="12.75" hidden="false" customHeight="false" outlineLevel="0" collapsed="false">
      <c r="A9728" s="0" t="n">
        <v>2</v>
      </c>
      <c r="B9728" s="71" t="n">
        <v>46297</v>
      </c>
      <c r="C9728" s="0" t="n">
        <v>11</v>
      </c>
      <c r="D9728" s="0" t="s">
        <v>2471</v>
      </c>
      <c r="E9728" s="0" t="n">
        <v>1642</v>
      </c>
      <c r="F9728" s="0" t="s">
        <v>228</v>
      </c>
      <c r="I9728" s="0" t="n">
        <v>1044713</v>
      </c>
      <c r="J9728" s="0" t="n">
        <v>105782</v>
      </c>
      <c r="K9728" s="0" t="n">
        <v>7896289210352</v>
      </c>
      <c r="L9728" s="0" t="s">
        <v>2512</v>
      </c>
      <c r="N9728" s="0" t="n">
        <v>5</v>
      </c>
      <c r="O9728" s="0" t="n">
        <v>34.3</v>
      </c>
      <c r="P9728" s="0" t="s">
        <v>2444</v>
      </c>
    </row>
    <row r="9729" customFormat="false" ht="12.75" hidden="false" customHeight="false" outlineLevel="0" collapsed="false">
      <c r="A9729" s="0" t="n">
        <v>2</v>
      </c>
      <c r="B9729" s="71" t="n">
        <v>46297</v>
      </c>
      <c r="C9729" s="0" t="n">
        <v>11</v>
      </c>
      <c r="D9729" s="0" t="s">
        <v>2471</v>
      </c>
      <c r="E9729" s="0" t="n">
        <v>1642</v>
      </c>
      <c r="F9729" s="0" t="s">
        <v>228</v>
      </c>
      <c r="I9729" s="0" t="n">
        <v>1044713</v>
      </c>
      <c r="J9729" s="0" t="n">
        <v>106079</v>
      </c>
      <c r="K9729" s="0" t="n">
        <v>7896289210130</v>
      </c>
      <c r="L9729" s="0" t="s">
        <v>2513</v>
      </c>
      <c r="N9729" s="0" t="n">
        <v>5</v>
      </c>
      <c r="O9729" s="0" t="n">
        <v>68.5</v>
      </c>
      <c r="P9729" s="0" t="s">
        <v>2444</v>
      </c>
    </row>
    <row r="9730" customFormat="false" ht="12.75" hidden="false" customHeight="false" outlineLevel="0" collapsed="false">
      <c r="A9730" s="0" t="n">
        <v>2</v>
      </c>
      <c r="B9730" s="71" t="n">
        <v>46297</v>
      </c>
      <c r="C9730" s="0" t="n">
        <v>11</v>
      </c>
      <c r="D9730" s="0" t="s">
        <v>2471</v>
      </c>
      <c r="E9730" s="0" t="n">
        <v>1642</v>
      </c>
      <c r="F9730" s="0" t="s">
        <v>228</v>
      </c>
      <c r="I9730" s="0" t="n">
        <v>1044713</v>
      </c>
      <c r="J9730" s="0" t="n">
        <v>106274</v>
      </c>
      <c r="K9730" s="0" t="n">
        <v>7896289210086</v>
      </c>
      <c r="L9730" s="0" t="s">
        <v>2514</v>
      </c>
      <c r="N9730" s="0" t="n">
        <v>3</v>
      </c>
      <c r="O9730" s="0" t="n">
        <v>37.68</v>
      </c>
      <c r="P9730" s="0" t="s">
        <v>2444</v>
      </c>
    </row>
    <row r="9731" customFormat="false" ht="12.75" hidden="false" customHeight="false" outlineLevel="0" collapsed="false">
      <c r="A9731" s="0" t="n">
        <v>2</v>
      </c>
      <c r="B9731" s="71" t="n">
        <v>46297</v>
      </c>
      <c r="C9731" s="0" t="n">
        <v>11</v>
      </c>
      <c r="D9731" s="0" t="s">
        <v>2471</v>
      </c>
      <c r="E9731" s="0" t="n">
        <v>1642</v>
      </c>
      <c r="F9731" s="0" t="s">
        <v>228</v>
      </c>
      <c r="I9731" s="0" t="n">
        <v>1044713</v>
      </c>
      <c r="J9731" s="0" t="n">
        <v>106280</v>
      </c>
      <c r="K9731" s="0" t="n">
        <v>7896289210062</v>
      </c>
      <c r="L9731" s="0" t="s">
        <v>2515</v>
      </c>
      <c r="N9731" s="0" t="n">
        <v>4</v>
      </c>
      <c r="O9731" s="0" t="n">
        <v>50.24</v>
      </c>
      <c r="P9731" s="0" t="s">
        <v>2444</v>
      </c>
    </row>
    <row r="9732" customFormat="false" ht="12.75" hidden="false" customHeight="false" outlineLevel="0" collapsed="false">
      <c r="A9732" s="0" t="n">
        <v>2</v>
      </c>
      <c r="B9732" s="71" t="n">
        <v>46297</v>
      </c>
      <c r="C9732" s="0" t="n">
        <v>11</v>
      </c>
      <c r="D9732" s="0" t="s">
        <v>2471</v>
      </c>
      <c r="E9732" s="0" t="n">
        <v>1642</v>
      </c>
      <c r="F9732" s="0" t="s">
        <v>228</v>
      </c>
      <c r="I9732" s="0" t="n">
        <v>1044713</v>
      </c>
      <c r="J9732" s="0" t="n">
        <v>106407</v>
      </c>
      <c r="K9732" s="0" t="n">
        <v>7896289210031</v>
      </c>
      <c r="L9732" s="0" t="s">
        <v>2516</v>
      </c>
      <c r="N9732" s="0" t="n">
        <v>5</v>
      </c>
      <c r="O9732" s="0" t="n">
        <v>58.2</v>
      </c>
      <c r="P9732" s="0" t="s">
        <v>2444</v>
      </c>
    </row>
    <row r="9733" customFormat="false" ht="12.75" hidden="false" customHeight="false" outlineLevel="0" collapsed="false">
      <c r="A9733" s="0" t="n">
        <v>2</v>
      </c>
      <c r="B9733" s="71" t="n">
        <v>46297</v>
      </c>
      <c r="C9733" s="0" t="n">
        <v>11</v>
      </c>
      <c r="D9733" s="0" t="s">
        <v>2471</v>
      </c>
      <c r="E9733" s="0" t="n">
        <v>1672</v>
      </c>
      <c r="F9733" s="0" t="s">
        <v>343</v>
      </c>
      <c r="I9733" s="0" t="n">
        <v>1464424</v>
      </c>
      <c r="J9733" s="0" t="n">
        <v>103916</v>
      </c>
      <c r="K9733" s="0" t="n">
        <v>7896579330067</v>
      </c>
      <c r="L9733" s="0" t="s">
        <v>3876</v>
      </c>
      <c r="N9733" s="0" t="n">
        <v>90</v>
      </c>
      <c r="O9733" s="0" t="n">
        <v>225</v>
      </c>
      <c r="P9733" s="0" t="s">
        <v>2444</v>
      </c>
    </row>
    <row r="9734" customFormat="false" ht="12.75" hidden="false" customHeight="false" outlineLevel="0" collapsed="false">
      <c r="A9734" s="0" t="n">
        <v>2</v>
      </c>
      <c r="B9734" s="71" t="n">
        <v>46297</v>
      </c>
      <c r="C9734" s="0" t="n">
        <v>11</v>
      </c>
      <c r="D9734" s="0" t="s">
        <v>2471</v>
      </c>
      <c r="E9734" s="0" t="n">
        <v>1672</v>
      </c>
      <c r="F9734" s="0" t="s">
        <v>343</v>
      </c>
      <c r="I9734" s="0" t="n">
        <v>1464424</v>
      </c>
      <c r="J9734" s="0" t="n">
        <v>106239</v>
      </c>
      <c r="K9734" s="0" t="n">
        <v>7896579390016</v>
      </c>
      <c r="L9734" s="0" t="s">
        <v>2721</v>
      </c>
      <c r="N9734" s="0" t="n">
        <v>60</v>
      </c>
      <c r="O9734" s="0" t="n">
        <v>120</v>
      </c>
      <c r="P9734" s="0" t="s">
        <v>2444</v>
      </c>
    </row>
    <row r="9735" customFormat="false" ht="12.75" hidden="false" customHeight="false" outlineLevel="0" collapsed="false">
      <c r="A9735" s="0" t="n">
        <v>2</v>
      </c>
      <c r="B9735" s="71" t="n">
        <v>46297</v>
      </c>
      <c r="C9735" s="0" t="n">
        <v>11</v>
      </c>
      <c r="D9735" s="0" t="s">
        <v>2471</v>
      </c>
      <c r="E9735" s="0" t="n">
        <v>1672</v>
      </c>
      <c r="F9735" s="0" t="s">
        <v>343</v>
      </c>
      <c r="I9735" s="0" t="n">
        <v>1464424</v>
      </c>
      <c r="J9735" s="0" t="n">
        <v>13763</v>
      </c>
      <c r="K9735" s="0" t="n">
        <v>7898938236652</v>
      </c>
      <c r="L9735" s="0" t="s">
        <v>4561</v>
      </c>
      <c r="N9735" s="0" t="n">
        <v>60</v>
      </c>
      <c r="O9735" s="0" t="n">
        <v>70.8</v>
      </c>
      <c r="P9735" s="0" t="s">
        <v>2444</v>
      </c>
    </row>
    <row r="9736" customFormat="false" ht="12.75" hidden="false" customHeight="false" outlineLevel="0" collapsed="false">
      <c r="A9736" s="0" t="n">
        <v>2</v>
      </c>
      <c r="B9736" s="71" t="n">
        <v>46297</v>
      </c>
      <c r="C9736" s="0" t="n">
        <v>11</v>
      </c>
      <c r="D9736" s="0" t="s">
        <v>2471</v>
      </c>
      <c r="E9736" s="0" t="n">
        <v>1672</v>
      </c>
      <c r="F9736" s="0" t="s">
        <v>343</v>
      </c>
      <c r="I9736" s="0" t="n">
        <v>1464424</v>
      </c>
      <c r="J9736" s="0" t="n">
        <v>18293</v>
      </c>
      <c r="K9736" s="0" t="n">
        <v>7896520027206</v>
      </c>
      <c r="L9736" s="0" t="s">
        <v>2724</v>
      </c>
      <c r="N9736" s="0" t="n">
        <v>12</v>
      </c>
      <c r="O9736" s="0" t="n">
        <v>81.6</v>
      </c>
      <c r="P9736" s="0" t="s">
        <v>2444</v>
      </c>
    </row>
    <row r="9737" customFormat="false" ht="12.75" hidden="false" customHeight="false" outlineLevel="0" collapsed="false">
      <c r="A9737" s="0" t="n">
        <v>2</v>
      </c>
      <c r="B9737" s="71" t="n">
        <v>46297</v>
      </c>
      <c r="C9737" s="0" t="n">
        <v>11</v>
      </c>
      <c r="D9737" s="0" t="s">
        <v>2471</v>
      </c>
      <c r="E9737" s="0" t="n">
        <v>1672</v>
      </c>
      <c r="F9737" s="0" t="s">
        <v>343</v>
      </c>
      <c r="I9737" s="0" t="n">
        <v>1464424</v>
      </c>
      <c r="J9737" s="0" t="n">
        <v>23258</v>
      </c>
      <c r="K9737" s="0" t="n">
        <v>7899465200505</v>
      </c>
      <c r="L9737" s="0" t="s">
        <v>3657</v>
      </c>
      <c r="N9737" s="0" t="n">
        <v>18</v>
      </c>
      <c r="O9737" s="0" t="n">
        <v>46.8</v>
      </c>
      <c r="P9737" s="0" t="s">
        <v>2444</v>
      </c>
    </row>
    <row r="9738" customFormat="false" ht="12.75" hidden="false" customHeight="false" outlineLevel="0" collapsed="false">
      <c r="A9738" s="0" t="n">
        <v>2</v>
      </c>
      <c r="B9738" s="71" t="n">
        <v>46297</v>
      </c>
      <c r="C9738" s="0" t="n">
        <v>11</v>
      </c>
      <c r="D9738" s="0" t="s">
        <v>2471</v>
      </c>
      <c r="E9738" s="0" t="n">
        <v>1672</v>
      </c>
      <c r="F9738" s="0" t="s">
        <v>343</v>
      </c>
      <c r="I9738" s="0" t="n">
        <v>1464424</v>
      </c>
      <c r="J9738" s="0" t="n">
        <v>25875</v>
      </c>
      <c r="K9738" s="0" t="n">
        <v>7896579380147</v>
      </c>
      <c r="L9738" s="0" t="s">
        <v>4562</v>
      </c>
      <c r="N9738" s="0" t="n">
        <v>60</v>
      </c>
      <c r="O9738" s="0" t="n">
        <v>70.8</v>
      </c>
      <c r="P9738" s="0" t="s">
        <v>2444</v>
      </c>
    </row>
    <row r="9739" customFormat="false" ht="12.75" hidden="false" customHeight="false" outlineLevel="0" collapsed="false">
      <c r="A9739" s="0" t="n">
        <v>2</v>
      </c>
      <c r="B9739" s="71" t="n">
        <v>46297</v>
      </c>
      <c r="C9739" s="0" t="n">
        <v>11</v>
      </c>
      <c r="D9739" s="0" t="s">
        <v>2471</v>
      </c>
      <c r="E9739" s="0" t="n">
        <v>1672</v>
      </c>
      <c r="F9739" s="0" t="s">
        <v>343</v>
      </c>
      <c r="I9739" s="0" t="n">
        <v>1464424</v>
      </c>
      <c r="J9739" s="0" t="n">
        <v>26411</v>
      </c>
      <c r="K9739" s="0" t="n">
        <v>7899465200819</v>
      </c>
      <c r="L9739" s="0" t="s">
        <v>3658</v>
      </c>
      <c r="N9739" s="0" t="n">
        <v>18</v>
      </c>
      <c r="O9739" s="0" t="n">
        <v>43.2</v>
      </c>
      <c r="P9739" s="0" t="s">
        <v>2444</v>
      </c>
    </row>
    <row r="9740" customFormat="false" ht="12.75" hidden="false" customHeight="false" outlineLevel="0" collapsed="false">
      <c r="A9740" s="0" t="n">
        <v>2</v>
      </c>
      <c r="B9740" s="71" t="n">
        <v>46297</v>
      </c>
      <c r="C9740" s="0" t="n">
        <v>11</v>
      </c>
      <c r="D9740" s="0" t="s">
        <v>2471</v>
      </c>
      <c r="E9740" s="0" t="n">
        <v>1672</v>
      </c>
      <c r="F9740" s="0" t="s">
        <v>343</v>
      </c>
      <c r="I9740" s="0" t="n">
        <v>1464424</v>
      </c>
      <c r="J9740" s="0" t="n">
        <v>27381</v>
      </c>
      <c r="K9740" s="0" t="n">
        <v>7896004401843</v>
      </c>
      <c r="L9740" s="0" t="s">
        <v>5650</v>
      </c>
      <c r="N9740" s="0" t="n">
        <v>12</v>
      </c>
      <c r="O9740" s="0" t="n">
        <v>114</v>
      </c>
      <c r="P9740" s="0" t="s">
        <v>2444</v>
      </c>
    </row>
    <row r="9741" customFormat="false" ht="12.75" hidden="false" customHeight="false" outlineLevel="0" collapsed="false">
      <c r="A9741" s="0" t="n">
        <v>2</v>
      </c>
      <c r="B9741" s="71" t="n">
        <v>46297</v>
      </c>
      <c r="C9741" s="0" t="n">
        <v>11</v>
      </c>
      <c r="D9741" s="0" t="s">
        <v>2471</v>
      </c>
      <c r="E9741" s="0" t="n">
        <v>1672</v>
      </c>
      <c r="F9741" s="0" t="s">
        <v>343</v>
      </c>
      <c r="I9741" s="0" t="n">
        <v>1464424</v>
      </c>
      <c r="J9741" s="0" t="n">
        <v>37507</v>
      </c>
      <c r="K9741" s="0" t="n">
        <v>7896579310854</v>
      </c>
      <c r="L9741" s="0" t="s">
        <v>2726</v>
      </c>
      <c r="N9741" s="0" t="n">
        <v>33</v>
      </c>
      <c r="O9741" s="0" t="n">
        <v>240.9</v>
      </c>
      <c r="P9741" s="0" t="s">
        <v>2444</v>
      </c>
    </row>
    <row r="9742" customFormat="false" ht="12.75" hidden="false" customHeight="false" outlineLevel="0" collapsed="false">
      <c r="A9742" s="0" t="n">
        <v>2</v>
      </c>
      <c r="B9742" s="71" t="n">
        <v>46297</v>
      </c>
      <c r="C9742" s="0" t="n">
        <v>11</v>
      </c>
      <c r="D9742" s="0" t="s">
        <v>2471</v>
      </c>
      <c r="E9742" s="0" t="n">
        <v>1672</v>
      </c>
      <c r="F9742" s="0" t="s">
        <v>343</v>
      </c>
      <c r="I9742" s="0" t="n">
        <v>1464424</v>
      </c>
      <c r="J9742" s="0" t="n">
        <v>38539</v>
      </c>
      <c r="K9742" s="0" t="n">
        <v>7896579320235</v>
      </c>
      <c r="L9742" s="0" t="s">
        <v>2728</v>
      </c>
      <c r="N9742" s="0" t="n">
        <v>45</v>
      </c>
      <c r="O9742" s="0" t="n">
        <v>184.5</v>
      </c>
      <c r="P9742" s="0" t="s">
        <v>2444</v>
      </c>
    </row>
    <row r="9743" customFormat="false" ht="12.75" hidden="false" customHeight="false" outlineLevel="0" collapsed="false">
      <c r="A9743" s="0" t="n">
        <v>2</v>
      </c>
      <c r="B9743" s="71" t="n">
        <v>46297</v>
      </c>
      <c r="C9743" s="0" t="n">
        <v>11</v>
      </c>
      <c r="D9743" s="0" t="s">
        <v>2471</v>
      </c>
      <c r="E9743" s="0" t="n">
        <v>1672</v>
      </c>
      <c r="F9743" s="0" t="s">
        <v>343</v>
      </c>
      <c r="I9743" s="0" t="n">
        <v>1464424</v>
      </c>
      <c r="J9743" s="0" t="n">
        <v>39156</v>
      </c>
      <c r="K9743" s="0" t="n">
        <v>7896579320266</v>
      </c>
      <c r="L9743" s="0" t="s">
        <v>4716</v>
      </c>
      <c r="N9743" s="0" t="n">
        <v>60</v>
      </c>
      <c r="O9743" s="0" t="n">
        <v>70.8</v>
      </c>
      <c r="P9743" s="0" t="s">
        <v>2444</v>
      </c>
    </row>
    <row r="9744" customFormat="false" ht="12.75" hidden="false" customHeight="false" outlineLevel="0" collapsed="false">
      <c r="A9744" s="0" t="n">
        <v>2</v>
      </c>
      <c r="B9744" s="71" t="n">
        <v>46297</v>
      </c>
      <c r="C9744" s="0" t="n">
        <v>11</v>
      </c>
      <c r="D9744" s="0" t="s">
        <v>2471</v>
      </c>
      <c r="E9744" s="0" t="n">
        <v>1672</v>
      </c>
      <c r="F9744" s="0" t="s">
        <v>343</v>
      </c>
      <c r="I9744" s="0" t="n">
        <v>1464424</v>
      </c>
      <c r="J9744" s="0" t="n">
        <v>61503</v>
      </c>
      <c r="K9744" s="0" t="n">
        <v>7896579310915</v>
      </c>
      <c r="L9744" s="0" t="s">
        <v>2731</v>
      </c>
      <c r="N9744" s="0" t="n">
        <v>10</v>
      </c>
      <c r="O9744" s="0" t="n">
        <v>80</v>
      </c>
      <c r="P9744" s="0" t="s">
        <v>2444</v>
      </c>
    </row>
    <row r="9745" customFormat="false" ht="12.75" hidden="false" customHeight="false" outlineLevel="0" collapsed="false">
      <c r="A9745" s="0" t="n">
        <v>2</v>
      </c>
      <c r="B9745" s="71" t="n">
        <v>46297</v>
      </c>
      <c r="C9745" s="0" t="n">
        <v>11</v>
      </c>
      <c r="D9745" s="0" t="s">
        <v>2471</v>
      </c>
      <c r="E9745" s="0" t="n">
        <v>1672</v>
      </c>
      <c r="F9745" s="0" t="s">
        <v>343</v>
      </c>
      <c r="I9745" s="0" t="n">
        <v>1464424</v>
      </c>
      <c r="J9745" s="0" t="n">
        <v>78779</v>
      </c>
      <c r="K9745" s="0" t="n">
        <v>7899465202042</v>
      </c>
      <c r="L9745" s="0" t="s">
        <v>2732</v>
      </c>
      <c r="N9745" s="0" t="n">
        <v>6</v>
      </c>
      <c r="O9745" s="0" t="n">
        <v>40.8</v>
      </c>
      <c r="P9745" s="0" t="s">
        <v>2444</v>
      </c>
    </row>
    <row r="9746" customFormat="false" ht="12.75" hidden="false" customHeight="false" outlineLevel="0" collapsed="false">
      <c r="A9746" s="0" t="n">
        <v>2</v>
      </c>
      <c r="B9746" s="71" t="n">
        <v>46297</v>
      </c>
      <c r="C9746" s="0" t="n">
        <v>11</v>
      </c>
      <c r="D9746" s="0" t="s">
        <v>2471</v>
      </c>
      <c r="E9746" s="0" t="n">
        <v>1613</v>
      </c>
      <c r="F9746" s="0" t="s">
        <v>50</v>
      </c>
      <c r="I9746" s="0" t="n">
        <v>1637369</v>
      </c>
      <c r="J9746" s="0" t="n">
        <v>100045</v>
      </c>
      <c r="K9746" s="0" t="n">
        <v>46</v>
      </c>
      <c r="L9746" s="0" t="s">
        <v>2625</v>
      </c>
      <c r="N9746" s="0" t="n">
        <v>60</v>
      </c>
      <c r="O9746" s="0" t="n">
        <v>657.6</v>
      </c>
      <c r="P9746" s="0" t="s">
        <v>2444</v>
      </c>
    </row>
    <row r="9747" customFormat="false" ht="12.75" hidden="false" customHeight="false" outlineLevel="0" collapsed="false">
      <c r="A9747" s="0" t="n">
        <v>2</v>
      </c>
      <c r="B9747" s="71" t="n">
        <v>46297</v>
      </c>
      <c r="C9747" s="0" t="n">
        <v>11</v>
      </c>
      <c r="D9747" s="0" t="s">
        <v>2471</v>
      </c>
      <c r="E9747" s="0" t="n">
        <v>1613</v>
      </c>
      <c r="F9747" s="0" t="s">
        <v>50</v>
      </c>
      <c r="I9747" s="0" t="n">
        <v>1637369</v>
      </c>
      <c r="J9747" s="0" t="n">
        <v>103794</v>
      </c>
      <c r="K9747" s="0" t="n">
        <v>7893000488526</v>
      </c>
      <c r="L9747" s="0" t="s">
        <v>2969</v>
      </c>
      <c r="N9747" s="0" t="n">
        <v>8</v>
      </c>
      <c r="O9747" s="0" t="n">
        <v>93.77</v>
      </c>
      <c r="P9747" s="0" t="s">
        <v>2444</v>
      </c>
    </row>
    <row r="9748" customFormat="false" ht="12.75" hidden="false" customHeight="false" outlineLevel="0" collapsed="false">
      <c r="A9748" s="0" t="n">
        <v>2</v>
      </c>
      <c r="B9748" s="71" t="n">
        <v>46297</v>
      </c>
      <c r="C9748" s="0" t="n">
        <v>11</v>
      </c>
      <c r="D9748" s="0" t="s">
        <v>2471</v>
      </c>
      <c r="E9748" s="0" t="n">
        <v>1613</v>
      </c>
      <c r="F9748" s="0" t="s">
        <v>50</v>
      </c>
      <c r="I9748" s="0" t="n">
        <v>1637369</v>
      </c>
      <c r="J9748" s="0" t="n">
        <v>103794</v>
      </c>
      <c r="K9748" s="0" t="n">
        <v>7893000488526</v>
      </c>
      <c r="L9748" s="0" t="s">
        <v>2969</v>
      </c>
      <c r="N9748" s="0" t="n">
        <v>8</v>
      </c>
      <c r="O9748" s="0" t="n">
        <v>109.04</v>
      </c>
      <c r="P9748" s="0" t="s">
        <v>2444</v>
      </c>
    </row>
    <row r="9749" customFormat="false" ht="12.75" hidden="false" customHeight="false" outlineLevel="0" collapsed="false">
      <c r="A9749" s="0" t="n">
        <v>2</v>
      </c>
      <c r="B9749" s="71" t="n">
        <v>46297</v>
      </c>
      <c r="C9749" s="0" t="n">
        <v>11</v>
      </c>
      <c r="D9749" s="0" t="s">
        <v>2471</v>
      </c>
      <c r="E9749" s="0" t="n">
        <v>1613</v>
      </c>
      <c r="F9749" s="0" t="s">
        <v>50</v>
      </c>
      <c r="I9749" s="0" t="n">
        <v>1637369</v>
      </c>
      <c r="J9749" s="0" t="n">
        <v>103796</v>
      </c>
      <c r="K9749" s="0" t="n">
        <v>7893000436725</v>
      </c>
      <c r="L9749" s="0" t="s">
        <v>2971</v>
      </c>
      <c r="N9749" s="0" t="n">
        <v>12</v>
      </c>
      <c r="O9749" s="0" t="n">
        <v>133.56</v>
      </c>
      <c r="P9749" s="0" t="s">
        <v>2444</v>
      </c>
    </row>
    <row r="9750" customFormat="false" ht="12.75" hidden="false" customHeight="false" outlineLevel="0" collapsed="false">
      <c r="A9750" s="0" t="n">
        <v>2</v>
      </c>
      <c r="B9750" s="71" t="n">
        <v>46297</v>
      </c>
      <c r="C9750" s="0" t="n">
        <v>11</v>
      </c>
      <c r="D9750" s="0" t="s">
        <v>2471</v>
      </c>
      <c r="E9750" s="0" t="n">
        <v>1613</v>
      </c>
      <c r="F9750" s="0" t="s">
        <v>50</v>
      </c>
      <c r="I9750" s="0" t="n">
        <v>1637369</v>
      </c>
      <c r="J9750" s="0" t="n">
        <v>103848</v>
      </c>
      <c r="K9750" s="0" t="n">
        <v>7893000488878</v>
      </c>
      <c r="L9750" s="0" t="s">
        <v>2972</v>
      </c>
      <c r="N9750" s="0" t="n">
        <v>8</v>
      </c>
      <c r="O9750" s="0" t="n">
        <v>100.1</v>
      </c>
      <c r="P9750" s="0" t="s">
        <v>2444</v>
      </c>
    </row>
    <row r="9751" customFormat="false" ht="12.75" hidden="false" customHeight="false" outlineLevel="0" collapsed="false">
      <c r="A9751" s="0" t="n">
        <v>2</v>
      </c>
      <c r="B9751" s="71" t="n">
        <v>46297</v>
      </c>
      <c r="C9751" s="0" t="n">
        <v>11</v>
      </c>
      <c r="D9751" s="0" t="s">
        <v>2471</v>
      </c>
      <c r="E9751" s="0" t="n">
        <v>1613</v>
      </c>
      <c r="F9751" s="0" t="s">
        <v>50</v>
      </c>
      <c r="I9751" s="0" t="n">
        <v>1637369</v>
      </c>
      <c r="J9751" s="0" t="n">
        <v>108550</v>
      </c>
      <c r="K9751" s="0" t="n">
        <v>7893000674233</v>
      </c>
      <c r="L9751" s="0" t="s">
        <v>3761</v>
      </c>
      <c r="N9751" s="0" t="n">
        <v>12</v>
      </c>
      <c r="O9751" s="0" t="n">
        <v>123.37</v>
      </c>
      <c r="P9751" s="0" t="s">
        <v>2444</v>
      </c>
    </row>
    <row r="9752" customFormat="false" ht="12.75" hidden="false" customHeight="false" outlineLevel="0" collapsed="false">
      <c r="A9752" s="0" t="n">
        <v>2</v>
      </c>
      <c r="B9752" s="71" t="n">
        <v>46297</v>
      </c>
      <c r="C9752" s="0" t="n">
        <v>11</v>
      </c>
      <c r="D9752" s="0" t="s">
        <v>2471</v>
      </c>
      <c r="E9752" s="0" t="n">
        <v>1613</v>
      </c>
      <c r="F9752" s="0" t="s">
        <v>50</v>
      </c>
      <c r="I9752" s="0" t="n">
        <v>1637369</v>
      </c>
      <c r="J9752" s="0" t="n">
        <v>23694</v>
      </c>
      <c r="K9752" s="0" t="n">
        <v>7891515474737</v>
      </c>
      <c r="L9752" s="0" t="s">
        <v>2978</v>
      </c>
      <c r="N9752" s="0" t="n">
        <v>45</v>
      </c>
      <c r="O9752" s="0" t="n">
        <v>69.81</v>
      </c>
      <c r="P9752" s="0" t="s">
        <v>2444</v>
      </c>
    </row>
    <row r="9753" customFormat="false" ht="12.75" hidden="false" customHeight="false" outlineLevel="0" collapsed="false">
      <c r="A9753" s="0" t="n">
        <v>2</v>
      </c>
      <c r="B9753" s="71" t="n">
        <v>46297</v>
      </c>
      <c r="C9753" s="0" t="n">
        <v>11</v>
      </c>
      <c r="D9753" s="0" t="s">
        <v>2471</v>
      </c>
      <c r="E9753" s="0" t="n">
        <v>1613</v>
      </c>
      <c r="F9753" s="0" t="s">
        <v>50</v>
      </c>
      <c r="I9753" s="0" t="n">
        <v>1637369</v>
      </c>
      <c r="J9753" s="0" t="n">
        <v>23695</v>
      </c>
      <c r="K9753" s="0" t="n">
        <v>7891515474126</v>
      </c>
      <c r="L9753" s="0" t="s">
        <v>2979</v>
      </c>
      <c r="N9753" s="0" t="n">
        <v>45</v>
      </c>
      <c r="O9753" s="0" t="n">
        <v>73.7</v>
      </c>
      <c r="P9753" s="0" t="s">
        <v>2444</v>
      </c>
    </row>
    <row r="9754" customFormat="false" ht="12.75" hidden="false" customHeight="false" outlineLevel="0" collapsed="false">
      <c r="A9754" s="0" t="n">
        <v>2</v>
      </c>
      <c r="B9754" s="71" t="n">
        <v>46297</v>
      </c>
      <c r="C9754" s="0" t="n">
        <v>11</v>
      </c>
      <c r="D9754" s="0" t="s">
        <v>2471</v>
      </c>
      <c r="E9754" s="0" t="n">
        <v>1683</v>
      </c>
      <c r="F9754" s="0" t="s">
        <v>406</v>
      </c>
      <c r="I9754" s="0" t="n">
        <v>1689561</v>
      </c>
      <c r="J9754" s="0" t="n">
        <v>109791</v>
      </c>
      <c r="K9754" s="0" t="n">
        <v>9667</v>
      </c>
      <c r="L9754" s="0" t="s">
        <v>2465</v>
      </c>
      <c r="N9754" s="0" t="n">
        <v>6</v>
      </c>
      <c r="O9754" s="0" t="n">
        <v>9</v>
      </c>
      <c r="P9754" s="0" t="s">
        <v>2444</v>
      </c>
    </row>
    <row r="9755" customFormat="false" ht="12.75" hidden="false" customHeight="false" outlineLevel="0" collapsed="false">
      <c r="A9755" s="0" t="n">
        <v>2</v>
      </c>
      <c r="B9755" s="71" t="n">
        <v>46297</v>
      </c>
      <c r="C9755" s="0" t="n">
        <v>11</v>
      </c>
      <c r="D9755" s="0" t="s">
        <v>2471</v>
      </c>
      <c r="E9755" s="0" t="n">
        <v>1683</v>
      </c>
      <c r="F9755" s="0" t="s">
        <v>406</v>
      </c>
      <c r="I9755" s="0" t="n">
        <v>1689561</v>
      </c>
      <c r="J9755" s="0" t="n">
        <v>37359</v>
      </c>
      <c r="K9755" s="0" t="n">
        <v>55526</v>
      </c>
      <c r="L9755" s="0" t="s">
        <v>2466</v>
      </c>
      <c r="N9755" s="0" t="n">
        <v>8</v>
      </c>
      <c r="O9755" s="0" t="n">
        <v>40</v>
      </c>
      <c r="P9755" s="0" t="s">
        <v>2444</v>
      </c>
    </row>
    <row r="9756" customFormat="false" ht="12.75" hidden="false" customHeight="false" outlineLevel="0" collapsed="false">
      <c r="A9756" s="0" t="n">
        <v>2</v>
      </c>
      <c r="B9756" s="71" t="n">
        <v>46297</v>
      </c>
      <c r="C9756" s="0" t="n">
        <v>11</v>
      </c>
      <c r="D9756" s="0" t="s">
        <v>2471</v>
      </c>
      <c r="E9756" s="0" t="n">
        <v>1683</v>
      </c>
      <c r="F9756" s="0" t="s">
        <v>406</v>
      </c>
      <c r="I9756" s="0" t="n">
        <v>1689561</v>
      </c>
      <c r="J9756" s="0" t="n">
        <v>37361</v>
      </c>
      <c r="K9756" s="0" t="n">
        <v>2240817</v>
      </c>
      <c r="L9756" s="0" t="s">
        <v>2467</v>
      </c>
      <c r="N9756" s="0" t="n">
        <v>70</v>
      </c>
      <c r="O9756" s="0" t="n">
        <v>126</v>
      </c>
      <c r="P9756" s="0" t="s">
        <v>2444</v>
      </c>
    </row>
    <row r="9757" customFormat="false" ht="12.75" hidden="false" customHeight="false" outlineLevel="0" collapsed="false">
      <c r="A9757" s="0" t="n">
        <v>2</v>
      </c>
      <c r="B9757" s="71" t="n">
        <v>46297</v>
      </c>
      <c r="C9757" s="0" t="n">
        <v>11</v>
      </c>
      <c r="D9757" s="0" t="s">
        <v>2471</v>
      </c>
      <c r="E9757" s="0" t="n">
        <v>1608</v>
      </c>
      <c r="F9757" s="0" t="s">
        <v>240</v>
      </c>
      <c r="I9757" s="0" t="n">
        <v>1741445</v>
      </c>
      <c r="J9757" s="0" t="n">
        <v>36474</v>
      </c>
      <c r="K9757" s="0" t="n">
        <v>7892840815745</v>
      </c>
      <c r="L9757" s="0" t="s">
        <v>3520</v>
      </c>
      <c r="N9757" s="0" t="n">
        <v>60</v>
      </c>
      <c r="O9757" s="0" t="n">
        <v>130.8</v>
      </c>
      <c r="P9757" s="0" t="s">
        <v>2444</v>
      </c>
    </row>
    <row r="9758" customFormat="false" ht="12.75" hidden="false" customHeight="false" outlineLevel="0" collapsed="false">
      <c r="A9758" s="0" t="n">
        <v>2</v>
      </c>
      <c r="B9758" s="71" t="n">
        <v>46297</v>
      </c>
      <c r="C9758" s="0" t="n">
        <v>11</v>
      </c>
      <c r="D9758" s="0" t="s">
        <v>2471</v>
      </c>
      <c r="E9758" s="0" t="n">
        <v>1608</v>
      </c>
      <c r="F9758" s="0" t="s">
        <v>240</v>
      </c>
      <c r="I9758" s="0" t="n">
        <v>1741445</v>
      </c>
      <c r="J9758" s="0" t="n">
        <v>42694</v>
      </c>
      <c r="K9758" s="0" t="n">
        <v>7892840814724</v>
      </c>
      <c r="L9758" s="0" t="s">
        <v>4255</v>
      </c>
      <c r="N9758" s="0" t="n">
        <v>16</v>
      </c>
      <c r="O9758" s="0" t="n">
        <v>95.2</v>
      </c>
      <c r="P9758" s="0" t="s">
        <v>2444</v>
      </c>
    </row>
    <row r="9759" customFormat="false" ht="12.75" hidden="false" customHeight="false" outlineLevel="0" collapsed="false">
      <c r="A9759" s="0" t="n">
        <v>2</v>
      </c>
      <c r="B9759" s="71" t="n">
        <v>46297</v>
      </c>
      <c r="C9759" s="0" t="n">
        <v>11</v>
      </c>
      <c r="D9759" s="0" t="s">
        <v>2471</v>
      </c>
      <c r="E9759" s="0" t="n">
        <v>1608</v>
      </c>
      <c r="F9759" s="0" t="s">
        <v>240</v>
      </c>
      <c r="I9759" s="0" t="n">
        <v>1741445</v>
      </c>
      <c r="J9759" s="0" t="n">
        <v>66002</v>
      </c>
      <c r="K9759" s="0" t="n">
        <v>7892840823481</v>
      </c>
      <c r="L9759" s="0" t="s">
        <v>3538</v>
      </c>
      <c r="N9759" s="0" t="n">
        <v>21</v>
      </c>
      <c r="O9759" s="0" t="n">
        <v>84.63</v>
      </c>
      <c r="P9759" s="0" t="s">
        <v>2444</v>
      </c>
    </row>
    <row r="9760" customFormat="false" ht="12.75" hidden="false" customHeight="false" outlineLevel="0" collapsed="false">
      <c r="A9760" s="0" t="n">
        <v>2</v>
      </c>
      <c r="B9760" s="71" t="n">
        <v>46297</v>
      </c>
      <c r="C9760" s="0" t="n">
        <v>11</v>
      </c>
      <c r="D9760" s="0" t="s">
        <v>2471</v>
      </c>
      <c r="E9760" s="0" t="n">
        <v>1608</v>
      </c>
      <c r="F9760" s="0" t="s">
        <v>240</v>
      </c>
      <c r="I9760" s="0" t="n">
        <v>1741445</v>
      </c>
      <c r="J9760" s="0" t="n">
        <v>66089</v>
      </c>
      <c r="K9760" s="0" t="n">
        <v>7892840822323</v>
      </c>
      <c r="L9760" s="0" t="s">
        <v>3539</v>
      </c>
      <c r="N9760" s="0" t="n">
        <v>12</v>
      </c>
      <c r="O9760" s="0" t="n">
        <v>156.84</v>
      </c>
      <c r="P9760" s="0" t="s">
        <v>2444</v>
      </c>
    </row>
    <row r="9761" customFormat="false" ht="12.75" hidden="false" customHeight="false" outlineLevel="0" collapsed="false">
      <c r="A9761" s="0" t="n">
        <v>2</v>
      </c>
      <c r="B9761" s="71" t="n">
        <v>46297</v>
      </c>
      <c r="C9761" s="0" t="n">
        <v>11</v>
      </c>
      <c r="D9761" s="0" t="s">
        <v>2471</v>
      </c>
      <c r="E9761" s="0" t="n">
        <v>1608</v>
      </c>
      <c r="F9761" s="0" t="s">
        <v>240</v>
      </c>
      <c r="I9761" s="0" t="n">
        <v>1741445</v>
      </c>
      <c r="J9761" s="0" t="n">
        <v>66366</v>
      </c>
      <c r="K9761" s="0" t="n">
        <v>7892840822378</v>
      </c>
      <c r="L9761" s="0" t="s">
        <v>4257</v>
      </c>
      <c r="N9761" s="0" t="n">
        <v>21</v>
      </c>
      <c r="O9761" s="0" t="n">
        <v>84.63</v>
      </c>
      <c r="P9761" s="0" t="s">
        <v>2444</v>
      </c>
    </row>
    <row r="9762" customFormat="false" ht="12.75" hidden="false" customHeight="false" outlineLevel="0" collapsed="false">
      <c r="A9762" s="0" t="n">
        <v>2</v>
      </c>
      <c r="B9762" s="71" t="n">
        <v>46297</v>
      </c>
      <c r="C9762" s="0" t="n">
        <v>11</v>
      </c>
      <c r="D9762" s="0" t="s">
        <v>2471</v>
      </c>
      <c r="E9762" s="0" t="n">
        <v>1608</v>
      </c>
      <c r="F9762" s="0" t="s">
        <v>240</v>
      </c>
      <c r="I9762" s="0" t="n">
        <v>1741887</v>
      </c>
      <c r="J9762" s="0" t="n">
        <v>19906</v>
      </c>
      <c r="K9762" s="0" t="n">
        <v>7898553442933</v>
      </c>
      <c r="L9762" s="0" t="s">
        <v>2982</v>
      </c>
      <c r="N9762" s="0" t="n">
        <v>6</v>
      </c>
      <c r="O9762" s="0" t="n">
        <v>62.88</v>
      </c>
      <c r="P9762" s="0" t="s">
        <v>2444</v>
      </c>
    </row>
    <row r="9763" customFormat="false" ht="12.75" hidden="false" customHeight="false" outlineLevel="0" collapsed="false">
      <c r="A9763" s="0" t="n">
        <v>2</v>
      </c>
      <c r="B9763" s="71" t="n">
        <v>46297</v>
      </c>
      <c r="C9763" s="0" t="n">
        <v>11</v>
      </c>
      <c r="D9763" s="0" t="s">
        <v>2471</v>
      </c>
      <c r="E9763" s="0" t="n">
        <v>1608</v>
      </c>
      <c r="F9763" s="0" t="s">
        <v>240</v>
      </c>
      <c r="I9763" s="0" t="n">
        <v>1741887</v>
      </c>
      <c r="J9763" s="0" t="n">
        <v>20479</v>
      </c>
      <c r="K9763" s="0" t="n">
        <v>7891025101161</v>
      </c>
      <c r="L9763" s="0" t="s">
        <v>2641</v>
      </c>
      <c r="N9763" s="0" t="n">
        <v>6</v>
      </c>
      <c r="O9763" s="0" t="n">
        <v>19.86</v>
      </c>
      <c r="P9763" s="0" t="s">
        <v>2444</v>
      </c>
    </row>
    <row r="9764" customFormat="false" ht="12.75" hidden="false" customHeight="false" outlineLevel="0" collapsed="false">
      <c r="A9764" s="0" t="n">
        <v>2</v>
      </c>
      <c r="B9764" s="71" t="n">
        <v>46297</v>
      </c>
      <c r="C9764" s="0" t="n">
        <v>11</v>
      </c>
      <c r="D9764" s="0" t="s">
        <v>2471</v>
      </c>
      <c r="E9764" s="0" t="n">
        <v>1608</v>
      </c>
      <c r="F9764" s="0" t="s">
        <v>240</v>
      </c>
      <c r="I9764" s="0" t="n">
        <v>1741887</v>
      </c>
      <c r="J9764" s="0" t="n">
        <v>24123</v>
      </c>
      <c r="K9764" s="0" t="n">
        <v>7891025109396</v>
      </c>
      <c r="L9764" s="0" t="s">
        <v>2643</v>
      </c>
      <c r="N9764" s="0" t="n">
        <v>6</v>
      </c>
      <c r="O9764" s="0" t="n">
        <v>20.16</v>
      </c>
      <c r="P9764" s="0" t="s">
        <v>2444</v>
      </c>
    </row>
    <row r="9765" customFormat="false" ht="12.75" hidden="false" customHeight="false" outlineLevel="0" collapsed="false">
      <c r="A9765" s="0" t="n">
        <v>2</v>
      </c>
      <c r="B9765" s="71" t="n">
        <v>46297</v>
      </c>
      <c r="C9765" s="0" t="n">
        <v>11</v>
      </c>
      <c r="D9765" s="0" t="s">
        <v>2471</v>
      </c>
      <c r="E9765" s="0" t="n">
        <v>1608</v>
      </c>
      <c r="F9765" s="0" t="s">
        <v>240</v>
      </c>
      <c r="I9765" s="0" t="n">
        <v>1741887</v>
      </c>
      <c r="J9765" s="0" t="n">
        <v>24196</v>
      </c>
      <c r="K9765" s="0" t="n">
        <v>7891025109884</v>
      </c>
      <c r="L9765" s="0" t="s">
        <v>2645</v>
      </c>
      <c r="N9765" s="0" t="n">
        <v>6</v>
      </c>
      <c r="O9765" s="0" t="n">
        <v>52.8</v>
      </c>
      <c r="P9765" s="0" t="s">
        <v>2444</v>
      </c>
    </row>
    <row r="9766" customFormat="false" ht="12.75" hidden="false" customHeight="false" outlineLevel="0" collapsed="false">
      <c r="A9766" s="0" t="n">
        <v>2</v>
      </c>
      <c r="B9766" s="71" t="n">
        <v>46297</v>
      </c>
      <c r="C9766" s="0" t="n">
        <v>11</v>
      </c>
      <c r="D9766" s="0" t="s">
        <v>2471</v>
      </c>
      <c r="E9766" s="0" t="n">
        <v>1608</v>
      </c>
      <c r="F9766" s="0" t="s">
        <v>240</v>
      </c>
      <c r="I9766" s="0" t="n">
        <v>1741887</v>
      </c>
      <c r="J9766" s="0" t="n">
        <v>24832</v>
      </c>
      <c r="K9766" s="0" t="n">
        <v>7891025109891</v>
      </c>
      <c r="L9766" s="0" t="s">
        <v>2646</v>
      </c>
      <c r="N9766" s="0" t="n">
        <v>6</v>
      </c>
      <c r="O9766" s="0" t="n">
        <v>52.8</v>
      </c>
      <c r="P9766" s="0" t="s">
        <v>2444</v>
      </c>
    </row>
    <row r="9767" customFormat="false" ht="12.75" hidden="false" customHeight="false" outlineLevel="0" collapsed="false">
      <c r="A9767" s="0" t="n">
        <v>2</v>
      </c>
      <c r="B9767" s="71" t="n">
        <v>46297</v>
      </c>
      <c r="C9767" s="0" t="n">
        <v>11</v>
      </c>
      <c r="D9767" s="0" t="s">
        <v>2471</v>
      </c>
      <c r="E9767" s="0" t="n">
        <v>1608</v>
      </c>
      <c r="F9767" s="0" t="s">
        <v>240</v>
      </c>
      <c r="I9767" s="0" t="n">
        <v>1741887</v>
      </c>
      <c r="J9767" s="0" t="n">
        <v>27141</v>
      </c>
      <c r="K9767" s="0" t="n">
        <v>7899916900329</v>
      </c>
      <c r="L9767" s="0" t="s">
        <v>2647</v>
      </c>
      <c r="N9767" s="0" t="n">
        <v>12</v>
      </c>
      <c r="O9767" s="0" t="n">
        <v>71.16</v>
      </c>
      <c r="P9767" s="0" t="s">
        <v>2444</v>
      </c>
    </row>
    <row r="9768" customFormat="false" ht="12.75" hidden="false" customHeight="false" outlineLevel="0" collapsed="false">
      <c r="A9768" s="0" t="n">
        <v>2</v>
      </c>
      <c r="B9768" s="71" t="n">
        <v>46297</v>
      </c>
      <c r="C9768" s="0" t="n">
        <v>11</v>
      </c>
      <c r="D9768" s="0" t="s">
        <v>2471</v>
      </c>
      <c r="E9768" s="0" t="n">
        <v>1608</v>
      </c>
      <c r="F9768" s="0" t="s">
        <v>240</v>
      </c>
      <c r="I9768" s="0" t="n">
        <v>1741887</v>
      </c>
      <c r="J9768" s="0" t="n">
        <v>31497</v>
      </c>
      <c r="K9768" s="0" t="n">
        <v>7891025117773</v>
      </c>
      <c r="L9768" s="0" t="s">
        <v>2520</v>
      </c>
      <c r="N9768" s="0" t="n">
        <v>2</v>
      </c>
      <c r="O9768" s="0" t="n">
        <v>10.92</v>
      </c>
      <c r="P9768" s="0" t="s">
        <v>2444</v>
      </c>
    </row>
    <row r="9769" customFormat="false" ht="12.75" hidden="false" customHeight="false" outlineLevel="0" collapsed="false">
      <c r="A9769" s="0" t="n">
        <v>2</v>
      </c>
      <c r="B9769" s="71" t="n">
        <v>46297</v>
      </c>
      <c r="C9769" s="0" t="n">
        <v>11</v>
      </c>
      <c r="D9769" s="0" t="s">
        <v>2471</v>
      </c>
      <c r="E9769" s="0" t="n">
        <v>1608</v>
      </c>
      <c r="F9769" s="0" t="s">
        <v>240</v>
      </c>
      <c r="I9769" s="0" t="n">
        <v>1741887</v>
      </c>
      <c r="J9769" s="0" t="n">
        <v>31551</v>
      </c>
      <c r="K9769" s="0" t="n">
        <v>7891025117742</v>
      </c>
      <c r="L9769" s="0" t="s">
        <v>2521</v>
      </c>
      <c r="N9769" s="0" t="n">
        <v>2</v>
      </c>
      <c r="O9769" s="0" t="n">
        <v>10.92</v>
      </c>
      <c r="P9769" s="0" t="s">
        <v>2444</v>
      </c>
    </row>
    <row r="9770" customFormat="false" ht="12.75" hidden="false" customHeight="false" outlineLevel="0" collapsed="false">
      <c r="A9770" s="0" t="n">
        <v>2</v>
      </c>
      <c r="B9770" s="71" t="n">
        <v>46297</v>
      </c>
      <c r="C9770" s="0" t="n">
        <v>11</v>
      </c>
      <c r="D9770" s="0" t="s">
        <v>2471</v>
      </c>
      <c r="E9770" s="0" t="n">
        <v>1608</v>
      </c>
      <c r="F9770" s="0" t="s">
        <v>240</v>
      </c>
      <c r="I9770" s="0" t="n">
        <v>1741887</v>
      </c>
      <c r="J9770" s="0" t="n">
        <v>31570</v>
      </c>
      <c r="K9770" s="0" t="n">
        <v>7898927809157</v>
      </c>
      <c r="L9770" s="0" t="s">
        <v>2986</v>
      </c>
      <c r="N9770" s="0" t="n">
        <v>3</v>
      </c>
      <c r="O9770" s="0" t="n">
        <v>44.61</v>
      </c>
      <c r="P9770" s="0" t="s">
        <v>2444</v>
      </c>
    </row>
    <row r="9771" customFormat="false" ht="12.75" hidden="false" customHeight="false" outlineLevel="0" collapsed="false">
      <c r="A9771" s="0" t="n">
        <v>2</v>
      </c>
      <c r="B9771" s="71" t="n">
        <v>46297</v>
      </c>
      <c r="C9771" s="0" t="n">
        <v>11</v>
      </c>
      <c r="D9771" s="0" t="s">
        <v>2471</v>
      </c>
      <c r="E9771" s="0" t="n">
        <v>1608</v>
      </c>
      <c r="F9771" s="0" t="s">
        <v>240</v>
      </c>
      <c r="I9771" s="0" t="n">
        <v>1741887</v>
      </c>
      <c r="J9771" s="0" t="n">
        <v>35359</v>
      </c>
      <c r="K9771" s="0" t="n">
        <v>7891025119869</v>
      </c>
      <c r="L9771" s="0" t="s">
        <v>2651</v>
      </c>
      <c r="N9771" s="0" t="n">
        <v>4</v>
      </c>
      <c r="O9771" s="0" t="n">
        <v>51.24</v>
      </c>
      <c r="P9771" s="0" t="s">
        <v>2444</v>
      </c>
    </row>
    <row r="9772" customFormat="false" ht="12.75" hidden="false" customHeight="false" outlineLevel="0" collapsed="false">
      <c r="A9772" s="0" t="n">
        <v>2</v>
      </c>
      <c r="B9772" s="71" t="n">
        <v>46297</v>
      </c>
      <c r="C9772" s="0" t="n">
        <v>11</v>
      </c>
      <c r="D9772" s="0" t="s">
        <v>2471</v>
      </c>
      <c r="E9772" s="0" t="n">
        <v>1608</v>
      </c>
      <c r="F9772" s="0" t="s">
        <v>240</v>
      </c>
      <c r="I9772" s="0" t="n">
        <v>1741887</v>
      </c>
      <c r="J9772" s="0" t="n">
        <v>35395</v>
      </c>
      <c r="K9772" s="0" t="n">
        <v>7891025119852</v>
      </c>
      <c r="L9772" s="0" t="s">
        <v>2987</v>
      </c>
      <c r="N9772" s="0" t="n">
        <v>3</v>
      </c>
      <c r="O9772" s="0" t="n">
        <v>38.43</v>
      </c>
      <c r="P9772" s="0" t="s">
        <v>2444</v>
      </c>
    </row>
    <row r="9773" customFormat="false" ht="12.75" hidden="false" customHeight="false" outlineLevel="0" collapsed="false">
      <c r="A9773" s="0" t="n">
        <v>2</v>
      </c>
      <c r="B9773" s="71" t="n">
        <v>46297</v>
      </c>
      <c r="C9773" s="0" t="n">
        <v>11</v>
      </c>
      <c r="D9773" s="0" t="s">
        <v>2471</v>
      </c>
      <c r="E9773" s="0" t="n">
        <v>1608</v>
      </c>
      <c r="F9773" s="0" t="s">
        <v>240</v>
      </c>
      <c r="I9773" s="0" t="n">
        <v>1741887</v>
      </c>
      <c r="J9773" s="0" t="n">
        <v>35841</v>
      </c>
      <c r="K9773" s="0" t="n">
        <v>7891025120223</v>
      </c>
      <c r="L9773" s="0" t="s">
        <v>2988</v>
      </c>
      <c r="N9773" s="0" t="n">
        <v>4</v>
      </c>
      <c r="O9773" s="0" t="n">
        <v>15.2</v>
      </c>
      <c r="P9773" s="0" t="s">
        <v>2444</v>
      </c>
    </row>
    <row r="9774" customFormat="false" ht="12.75" hidden="false" customHeight="false" outlineLevel="0" collapsed="false">
      <c r="A9774" s="0" t="n">
        <v>2</v>
      </c>
      <c r="B9774" s="71" t="n">
        <v>46297</v>
      </c>
      <c r="C9774" s="0" t="n">
        <v>11</v>
      </c>
      <c r="D9774" s="0" t="s">
        <v>2471</v>
      </c>
      <c r="E9774" s="0" t="n">
        <v>1608</v>
      </c>
      <c r="F9774" s="0" t="s">
        <v>240</v>
      </c>
      <c r="I9774" s="0" t="n">
        <v>1741887</v>
      </c>
      <c r="J9774" s="0" t="n">
        <v>35842</v>
      </c>
      <c r="K9774" s="0" t="n">
        <v>7891025120230</v>
      </c>
      <c r="L9774" s="0" t="s">
        <v>2522</v>
      </c>
      <c r="N9774" s="0" t="n">
        <v>6</v>
      </c>
      <c r="O9774" s="0" t="n">
        <v>22.8</v>
      </c>
      <c r="P9774" s="0" t="s">
        <v>2444</v>
      </c>
    </row>
    <row r="9775" customFormat="false" ht="12.75" hidden="false" customHeight="false" outlineLevel="0" collapsed="false">
      <c r="A9775" s="0" t="n">
        <v>2</v>
      </c>
      <c r="B9775" s="71" t="n">
        <v>46297</v>
      </c>
      <c r="C9775" s="0" t="n">
        <v>11</v>
      </c>
      <c r="D9775" s="0" t="s">
        <v>2471</v>
      </c>
      <c r="E9775" s="0" t="n">
        <v>1608</v>
      </c>
      <c r="F9775" s="0" t="s">
        <v>240</v>
      </c>
      <c r="I9775" s="0" t="n">
        <v>1741887</v>
      </c>
      <c r="J9775" s="0" t="n">
        <v>37024</v>
      </c>
      <c r="K9775" s="0" t="n">
        <v>7891025121251</v>
      </c>
      <c r="L9775" s="0" t="s">
        <v>2523</v>
      </c>
      <c r="N9775" s="0" t="n">
        <v>2</v>
      </c>
      <c r="O9775" s="0" t="n">
        <v>7.6</v>
      </c>
      <c r="P9775" s="0" t="s">
        <v>2444</v>
      </c>
    </row>
    <row r="9776" customFormat="false" ht="12.75" hidden="false" customHeight="false" outlineLevel="0" collapsed="false">
      <c r="A9776" s="0" t="n">
        <v>2</v>
      </c>
      <c r="B9776" s="71" t="n">
        <v>46297</v>
      </c>
      <c r="C9776" s="0" t="n">
        <v>11</v>
      </c>
      <c r="D9776" s="0" t="s">
        <v>2471</v>
      </c>
      <c r="E9776" s="0" t="n">
        <v>1608</v>
      </c>
      <c r="F9776" s="0" t="s">
        <v>240</v>
      </c>
      <c r="I9776" s="0" t="n">
        <v>1741887</v>
      </c>
      <c r="J9776" s="0" t="n">
        <v>37051</v>
      </c>
      <c r="K9776" s="0" t="n">
        <v>7891025121244</v>
      </c>
      <c r="L9776" s="0" t="s">
        <v>4815</v>
      </c>
      <c r="N9776" s="0" t="n">
        <v>2</v>
      </c>
      <c r="O9776" s="0" t="n">
        <v>7.6</v>
      </c>
      <c r="P9776" s="0" t="s">
        <v>2444</v>
      </c>
    </row>
    <row r="9777" customFormat="false" ht="12.75" hidden="false" customHeight="false" outlineLevel="0" collapsed="false">
      <c r="A9777" s="0" t="n">
        <v>2</v>
      </c>
      <c r="B9777" s="71" t="n">
        <v>46297</v>
      </c>
      <c r="C9777" s="0" t="n">
        <v>11</v>
      </c>
      <c r="D9777" s="0" t="s">
        <v>2471</v>
      </c>
      <c r="E9777" s="0" t="n">
        <v>1608</v>
      </c>
      <c r="F9777" s="0" t="s">
        <v>240</v>
      </c>
      <c r="I9777" s="0" t="n">
        <v>1741887</v>
      </c>
      <c r="J9777" s="0" t="n">
        <v>37558</v>
      </c>
      <c r="K9777" s="0" t="n">
        <v>7891025101376</v>
      </c>
      <c r="L9777" s="0" t="s">
        <v>2652</v>
      </c>
      <c r="N9777" s="0" t="n">
        <v>6</v>
      </c>
      <c r="O9777" s="0" t="n">
        <v>19.86</v>
      </c>
      <c r="P9777" s="0" t="s">
        <v>2444</v>
      </c>
    </row>
    <row r="9778" customFormat="false" ht="12.75" hidden="false" customHeight="false" outlineLevel="0" collapsed="false">
      <c r="A9778" s="0" t="n">
        <v>2</v>
      </c>
      <c r="B9778" s="71" t="n">
        <v>46297</v>
      </c>
      <c r="C9778" s="0" t="n">
        <v>11</v>
      </c>
      <c r="D9778" s="0" t="s">
        <v>2471</v>
      </c>
      <c r="E9778" s="0" t="n">
        <v>1608</v>
      </c>
      <c r="F9778" s="0" t="s">
        <v>240</v>
      </c>
      <c r="I9778" s="0" t="n">
        <v>1741887</v>
      </c>
      <c r="J9778" s="0" t="n">
        <v>50877</v>
      </c>
      <c r="K9778" s="0" t="n">
        <v>7891025123040</v>
      </c>
      <c r="L9778" s="0" t="s">
        <v>2990</v>
      </c>
      <c r="N9778" s="0" t="n">
        <v>2</v>
      </c>
      <c r="O9778" s="0" t="n">
        <v>5.26</v>
      </c>
      <c r="P9778" s="0" t="s">
        <v>2444</v>
      </c>
    </row>
    <row r="9779" customFormat="false" ht="12.75" hidden="false" customHeight="false" outlineLevel="0" collapsed="false">
      <c r="A9779" s="0" t="n">
        <v>2</v>
      </c>
      <c r="B9779" s="71" t="n">
        <v>46297</v>
      </c>
      <c r="C9779" s="0" t="n">
        <v>11</v>
      </c>
      <c r="D9779" s="0" t="s">
        <v>2471</v>
      </c>
      <c r="E9779" s="0" t="n">
        <v>1608</v>
      </c>
      <c r="F9779" s="0" t="s">
        <v>240</v>
      </c>
      <c r="I9779" s="0" t="n">
        <v>1741887</v>
      </c>
      <c r="J9779" s="0" t="n">
        <v>80680</v>
      </c>
      <c r="K9779" s="0" t="n">
        <v>7891025125488</v>
      </c>
      <c r="L9779" s="0" t="s">
        <v>2531</v>
      </c>
      <c r="N9779" s="0" t="n">
        <v>3</v>
      </c>
      <c r="O9779" s="0" t="n">
        <v>8.52</v>
      </c>
      <c r="P9779" s="0" t="s">
        <v>2444</v>
      </c>
    </row>
    <row r="9780" customFormat="false" ht="12.75" hidden="false" customHeight="false" outlineLevel="0" collapsed="false">
      <c r="A9780" s="0" t="n">
        <v>2</v>
      </c>
      <c r="B9780" s="71" t="n">
        <v>46297</v>
      </c>
      <c r="C9780" s="0" t="n">
        <v>11</v>
      </c>
      <c r="D9780" s="0" t="s">
        <v>2471</v>
      </c>
      <c r="E9780" s="0" t="n">
        <v>1608</v>
      </c>
      <c r="F9780" s="0" t="s">
        <v>240</v>
      </c>
      <c r="I9780" s="0" t="n">
        <v>1741887</v>
      </c>
      <c r="J9780" s="0" t="n">
        <v>80681</v>
      </c>
      <c r="K9780" s="0" t="n">
        <v>7891025125495</v>
      </c>
      <c r="L9780" s="0" t="s">
        <v>2532</v>
      </c>
      <c r="N9780" s="0" t="n">
        <v>6</v>
      </c>
      <c r="O9780" s="0" t="n">
        <v>17.04</v>
      </c>
      <c r="P9780" s="0" t="s">
        <v>2444</v>
      </c>
    </row>
    <row r="9781" customFormat="false" ht="12.75" hidden="false" customHeight="false" outlineLevel="0" collapsed="false">
      <c r="A9781" s="0" t="n">
        <v>2</v>
      </c>
      <c r="B9781" s="71" t="n">
        <v>46298</v>
      </c>
      <c r="C9781" s="0" t="n">
        <v>11</v>
      </c>
      <c r="D9781" s="0" t="s">
        <v>2471</v>
      </c>
      <c r="E9781" s="0" t="n">
        <v>10096</v>
      </c>
      <c r="F9781" s="0" t="s">
        <v>622</v>
      </c>
      <c r="I9781" s="0" t="n">
        <v>372</v>
      </c>
      <c r="J9781" s="0" t="n">
        <v>61580</v>
      </c>
      <c r="K9781" s="0" t="n">
        <v>2258157</v>
      </c>
      <c r="L9781" s="0" t="s">
        <v>2509</v>
      </c>
      <c r="N9781" s="0" t="n">
        <v>10</v>
      </c>
      <c r="O9781" s="0" t="n">
        <v>120</v>
      </c>
      <c r="P9781" s="0" t="s">
        <v>2444</v>
      </c>
    </row>
    <row r="9782" customFormat="false" ht="12.75" hidden="false" customHeight="false" outlineLevel="0" collapsed="false">
      <c r="A9782" s="0" t="n">
        <v>2</v>
      </c>
      <c r="B9782" s="71" t="n">
        <v>46298</v>
      </c>
      <c r="C9782" s="0" t="n">
        <v>11</v>
      </c>
      <c r="D9782" s="0" t="s">
        <v>2471</v>
      </c>
      <c r="E9782" s="0" t="n">
        <v>10096</v>
      </c>
      <c r="F9782" s="0" t="s">
        <v>622</v>
      </c>
      <c r="I9782" s="0" t="n">
        <v>372</v>
      </c>
      <c r="J9782" s="0" t="n">
        <v>61597</v>
      </c>
      <c r="K9782" s="0" t="n">
        <v>2258188</v>
      </c>
      <c r="L9782" s="0" t="s">
        <v>2510</v>
      </c>
      <c r="N9782" s="0" t="n">
        <v>5</v>
      </c>
      <c r="O9782" s="0" t="n">
        <v>20</v>
      </c>
      <c r="P9782" s="0" t="s">
        <v>2444</v>
      </c>
    </row>
    <row r="9783" customFormat="false" ht="12.75" hidden="false" customHeight="false" outlineLevel="0" collapsed="false">
      <c r="A9783" s="0" t="n">
        <v>2</v>
      </c>
      <c r="B9783" s="71" t="n">
        <v>46298</v>
      </c>
      <c r="C9783" s="0" t="n">
        <v>11</v>
      </c>
      <c r="D9783" s="0" t="s">
        <v>2471</v>
      </c>
      <c r="E9783" s="0" t="n">
        <v>642</v>
      </c>
      <c r="F9783" s="0" t="s">
        <v>123</v>
      </c>
      <c r="I9783" s="0" t="n">
        <v>696</v>
      </c>
      <c r="J9783" s="0" t="n">
        <v>71766</v>
      </c>
      <c r="K9783" s="0" t="n">
        <v>779180</v>
      </c>
      <c r="L9783" s="0" t="s">
        <v>2501</v>
      </c>
      <c r="N9783" s="0" t="n">
        <v>15</v>
      </c>
      <c r="O9783" s="0" t="n">
        <v>180</v>
      </c>
      <c r="P9783" s="0" t="s">
        <v>2444</v>
      </c>
    </row>
    <row r="9784" customFormat="false" ht="12.75" hidden="false" customHeight="false" outlineLevel="0" collapsed="false">
      <c r="A9784" s="0" t="n">
        <v>2</v>
      </c>
      <c r="B9784" s="71" t="n">
        <v>46298</v>
      </c>
      <c r="C9784" s="0" t="n">
        <v>11</v>
      </c>
      <c r="D9784" s="0" t="s">
        <v>2471</v>
      </c>
      <c r="E9784" s="0" t="n">
        <v>1363</v>
      </c>
      <c r="F9784" s="0" t="s">
        <v>174</v>
      </c>
      <c r="I9784" s="0" t="n">
        <v>4046</v>
      </c>
      <c r="J9784" s="0" t="n">
        <v>73511</v>
      </c>
      <c r="K9784" s="0" t="n">
        <v>609963171019</v>
      </c>
      <c r="L9784" s="0" t="s">
        <v>2585</v>
      </c>
      <c r="N9784" s="0" t="n">
        <v>4</v>
      </c>
      <c r="O9784" s="0" t="n">
        <v>24</v>
      </c>
      <c r="P9784" s="0" t="s">
        <v>2444</v>
      </c>
    </row>
    <row r="9785" customFormat="false" ht="12.75" hidden="false" customHeight="false" outlineLevel="0" collapsed="false">
      <c r="A9785" s="0" t="n">
        <v>2</v>
      </c>
      <c r="B9785" s="71" t="n">
        <v>46298</v>
      </c>
      <c r="C9785" s="0" t="n">
        <v>11</v>
      </c>
      <c r="D9785" s="0" t="s">
        <v>2471</v>
      </c>
      <c r="E9785" s="0" t="n">
        <v>1363</v>
      </c>
      <c r="F9785" s="0" t="s">
        <v>174</v>
      </c>
      <c r="I9785" s="0" t="n">
        <v>4046</v>
      </c>
      <c r="J9785" s="0" t="n">
        <v>65493</v>
      </c>
      <c r="K9785" s="0" t="n">
        <v>609963171002</v>
      </c>
      <c r="L9785" s="0" t="s">
        <v>2586</v>
      </c>
      <c r="N9785" s="0" t="n">
        <v>4</v>
      </c>
      <c r="O9785" s="0" t="n">
        <v>24</v>
      </c>
      <c r="P9785" s="0" t="s">
        <v>2444</v>
      </c>
    </row>
    <row r="9786" customFormat="false" ht="12.75" hidden="false" customHeight="false" outlineLevel="0" collapsed="false">
      <c r="A9786" s="0" t="n">
        <v>2</v>
      </c>
      <c r="B9786" s="71" t="n">
        <v>46298</v>
      </c>
      <c r="C9786" s="0" t="n">
        <v>11</v>
      </c>
      <c r="D9786" s="0" t="s">
        <v>2471</v>
      </c>
      <c r="E9786" s="0" t="n">
        <v>1363</v>
      </c>
      <c r="F9786" s="0" t="s">
        <v>174</v>
      </c>
      <c r="I9786" s="0" t="n">
        <v>4046</v>
      </c>
      <c r="J9786" s="0" t="n">
        <v>65494</v>
      </c>
      <c r="K9786" s="0" t="n">
        <v>618231677535</v>
      </c>
      <c r="L9786" s="0" t="s">
        <v>2587</v>
      </c>
      <c r="N9786" s="0" t="n">
        <v>12</v>
      </c>
      <c r="O9786" s="0" t="n">
        <v>72</v>
      </c>
      <c r="P9786" s="0" t="s">
        <v>2444</v>
      </c>
    </row>
    <row r="9787" customFormat="false" ht="12.75" hidden="false" customHeight="false" outlineLevel="0" collapsed="false">
      <c r="A9787" s="0" t="n">
        <v>2</v>
      </c>
      <c r="B9787" s="71" t="n">
        <v>46298</v>
      </c>
      <c r="C9787" s="0" t="n">
        <v>11</v>
      </c>
      <c r="D9787" s="0" t="s">
        <v>2471</v>
      </c>
      <c r="E9787" s="0" t="n">
        <v>1363</v>
      </c>
      <c r="F9787" s="0" t="s">
        <v>174</v>
      </c>
      <c r="I9787" s="0" t="n">
        <v>4046</v>
      </c>
      <c r="J9787" s="0" t="n">
        <v>65496</v>
      </c>
      <c r="K9787" s="0" t="n">
        <v>618231677528</v>
      </c>
      <c r="L9787" s="0" t="s">
        <v>2588</v>
      </c>
      <c r="N9787" s="0" t="n">
        <v>5</v>
      </c>
      <c r="O9787" s="0" t="n">
        <v>30</v>
      </c>
      <c r="P9787" s="0" t="s">
        <v>2444</v>
      </c>
    </row>
    <row r="9788" customFormat="false" ht="12.75" hidden="false" customHeight="false" outlineLevel="0" collapsed="false">
      <c r="A9788" s="0" t="n">
        <v>2</v>
      </c>
      <c r="B9788" s="71" t="n">
        <v>46298</v>
      </c>
      <c r="C9788" s="0" t="n">
        <v>11</v>
      </c>
      <c r="D9788" s="0" t="s">
        <v>2471</v>
      </c>
      <c r="E9788" s="0" t="n">
        <v>1363</v>
      </c>
      <c r="F9788" s="0" t="s">
        <v>174</v>
      </c>
      <c r="I9788" s="0" t="n">
        <v>4046</v>
      </c>
      <c r="J9788" s="0" t="n">
        <v>65621</v>
      </c>
      <c r="K9788" s="0" t="n">
        <v>618231677504</v>
      </c>
      <c r="L9788" s="0" t="s">
        <v>2589</v>
      </c>
      <c r="N9788" s="0" t="n">
        <v>5</v>
      </c>
      <c r="O9788" s="0" t="n">
        <v>35</v>
      </c>
      <c r="P9788" s="0" t="s">
        <v>2444</v>
      </c>
    </row>
    <row r="9789" customFormat="false" ht="12.75" hidden="false" customHeight="false" outlineLevel="0" collapsed="false">
      <c r="A9789" s="0" t="n">
        <v>2</v>
      </c>
      <c r="B9789" s="71" t="n">
        <v>46298</v>
      </c>
      <c r="C9789" s="0" t="n">
        <v>11</v>
      </c>
      <c r="D9789" s="0" t="s">
        <v>2471</v>
      </c>
      <c r="E9789" s="0" t="n">
        <v>1625</v>
      </c>
      <c r="F9789" s="0" t="s">
        <v>270</v>
      </c>
      <c r="I9789" s="0" t="n">
        <v>15523</v>
      </c>
      <c r="J9789" s="0" t="n">
        <v>29079</v>
      </c>
      <c r="K9789" s="0" t="n">
        <v>55515</v>
      </c>
      <c r="L9789" s="0" t="s">
        <v>2449</v>
      </c>
      <c r="N9789" s="0" t="n">
        <v>76</v>
      </c>
      <c r="O9789" s="0" t="n">
        <v>2432</v>
      </c>
      <c r="P9789" s="0" t="s">
        <v>2444</v>
      </c>
    </row>
    <row r="9790" customFormat="false" ht="12.75" hidden="false" customHeight="false" outlineLevel="0" collapsed="false">
      <c r="A9790" s="0" t="n">
        <v>2</v>
      </c>
      <c r="B9790" s="71" t="n">
        <v>46298</v>
      </c>
      <c r="C9790" s="0" t="n">
        <v>11</v>
      </c>
      <c r="D9790" s="0" t="s">
        <v>2471</v>
      </c>
      <c r="E9790" s="0" t="n">
        <v>1625</v>
      </c>
      <c r="F9790" s="0" t="s">
        <v>270</v>
      </c>
      <c r="I9790" s="0" t="n">
        <v>15523</v>
      </c>
      <c r="J9790" s="0" t="n">
        <v>29080</v>
      </c>
      <c r="K9790" s="0" t="n">
        <v>55516</v>
      </c>
      <c r="L9790" s="0" t="s">
        <v>2450</v>
      </c>
      <c r="N9790" s="0" t="n">
        <v>76.5</v>
      </c>
      <c r="O9790" s="0" t="n">
        <v>1683</v>
      </c>
      <c r="P9790" s="0" t="s">
        <v>2444</v>
      </c>
    </row>
    <row r="9791" customFormat="false" ht="12.75" hidden="false" customHeight="false" outlineLevel="0" collapsed="false">
      <c r="A9791" s="0" t="n">
        <v>2</v>
      </c>
      <c r="B9791" s="71" t="n">
        <v>46298</v>
      </c>
      <c r="C9791" s="0" t="n">
        <v>11</v>
      </c>
      <c r="D9791" s="0" t="s">
        <v>2471</v>
      </c>
      <c r="E9791" s="0" t="n">
        <v>1625</v>
      </c>
      <c r="F9791" s="0" t="s">
        <v>270</v>
      </c>
      <c r="I9791" s="0" t="n">
        <v>15523</v>
      </c>
      <c r="J9791" s="0" t="n">
        <v>77455</v>
      </c>
      <c r="K9791" s="0" t="n">
        <v>774567</v>
      </c>
      <c r="L9791" s="0" t="s">
        <v>2624</v>
      </c>
      <c r="N9791" s="0" t="n">
        <v>26</v>
      </c>
      <c r="O9791" s="0" t="n">
        <v>832</v>
      </c>
      <c r="P9791" s="0" t="s">
        <v>2444</v>
      </c>
    </row>
    <row r="9792" customFormat="false" ht="12.75" hidden="false" customHeight="false" outlineLevel="0" collapsed="false">
      <c r="A9792" s="0" t="n">
        <v>2</v>
      </c>
      <c r="B9792" s="71" t="n">
        <v>46298</v>
      </c>
      <c r="C9792" s="0" t="n">
        <v>11</v>
      </c>
      <c r="D9792" s="0" t="s">
        <v>2471</v>
      </c>
      <c r="E9792" s="0" t="n">
        <v>1625</v>
      </c>
      <c r="F9792" s="0" t="s">
        <v>270</v>
      </c>
      <c r="I9792" s="0" t="n">
        <v>15523</v>
      </c>
      <c r="J9792" s="0" t="n">
        <v>77455</v>
      </c>
      <c r="K9792" s="0" t="n">
        <v>774567</v>
      </c>
      <c r="L9792" s="0" t="s">
        <v>2624</v>
      </c>
      <c r="N9792" s="0" t="n">
        <v>25</v>
      </c>
      <c r="O9792" s="0" t="n">
        <v>800</v>
      </c>
      <c r="P9792" s="0" t="s">
        <v>2444</v>
      </c>
    </row>
    <row r="9793" customFormat="false" ht="12.75" hidden="false" customHeight="false" outlineLevel="0" collapsed="false">
      <c r="A9793" s="0" t="n">
        <v>2</v>
      </c>
      <c r="B9793" s="71" t="n">
        <v>46298</v>
      </c>
      <c r="C9793" s="0" t="n">
        <v>22</v>
      </c>
      <c r="D9793" s="0" t="s">
        <v>2479</v>
      </c>
      <c r="E9793" s="0" t="n">
        <v>48</v>
      </c>
      <c r="F9793" s="0" t="s">
        <v>153</v>
      </c>
      <c r="I9793" s="0" t="n">
        <v>2719</v>
      </c>
      <c r="J9793" s="0" t="n">
        <v>100000</v>
      </c>
      <c r="K9793" s="0" t="n">
        <v>1</v>
      </c>
      <c r="L9793" s="0" t="s">
        <v>2480</v>
      </c>
      <c r="N9793" s="0" t="n">
        <v>3.06</v>
      </c>
      <c r="O9793" s="0" t="n">
        <v>56.3</v>
      </c>
      <c r="P9793" s="0" t="s">
        <v>2444</v>
      </c>
    </row>
    <row r="9794" customFormat="false" ht="12.75" hidden="false" customHeight="false" outlineLevel="0" collapsed="false">
      <c r="A9794" s="0" t="n">
        <v>2</v>
      </c>
      <c r="B9794" s="71" t="n">
        <v>46298</v>
      </c>
      <c r="C9794" s="0" t="n">
        <v>22</v>
      </c>
      <c r="D9794" s="0" t="s">
        <v>2479</v>
      </c>
      <c r="E9794" s="0" t="n">
        <v>48</v>
      </c>
      <c r="F9794" s="0" t="s">
        <v>153</v>
      </c>
      <c r="I9794" s="0" t="n">
        <v>2719</v>
      </c>
      <c r="J9794" s="0" t="n">
        <v>100000</v>
      </c>
      <c r="K9794" s="0" t="n">
        <v>1</v>
      </c>
      <c r="L9794" s="0" t="s">
        <v>2480</v>
      </c>
      <c r="N9794" s="0" t="n">
        <v>3.474</v>
      </c>
      <c r="O9794" s="0" t="n">
        <v>69.02</v>
      </c>
      <c r="P9794" s="0" t="s">
        <v>2444</v>
      </c>
    </row>
    <row r="9795" customFormat="false" ht="12.75" hidden="false" customHeight="false" outlineLevel="0" collapsed="false">
      <c r="A9795" s="0" t="n">
        <v>2</v>
      </c>
      <c r="B9795" s="71" t="n">
        <v>46298</v>
      </c>
      <c r="C9795" s="0" t="n">
        <v>22</v>
      </c>
      <c r="D9795" s="0" t="s">
        <v>2479</v>
      </c>
      <c r="E9795" s="0" t="n">
        <v>48</v>
      </c>
      <c r="F9795" s="0" t="s">
        <v>153</v>
      </c>
      <c r="I9795" s="0" t="n">
        <v>2719</v>
      </c>
      <c r="J9795" s="0" t="n">
        <v>100001</v>
      </c>
      <c r="K9795" s="0" t="n">
        <v>2</v>
      </c>
      <c r="L9795" s="0" t="s">
        <v>2481</v>
      </c>
      <c r="N9795" s="0" t="n">
        <v>9.295</v>
      </c>
      <c r="O9795" s="0" t="n">
        <v>185.27</v>
      </c>
      <c r="P9795" s="0" t="s">
        <v>2444</v>
      </c>
    </row>
    <row r="9796" customFormat="false" ht="12.75" hidden="false" customHeight="false" outlineLevel="0" collapsed="false">
      <c r="A9796" s="0" t="n">
        <v>2</v>
      </c>
      <c r="B9796" s="71" t="n">
        <v>46298</v>
      </c>
      <c r="C9796" s="0" t="n">
        <v>22</v>
      </c>
      <c r="D9796" s="0" t="s">
        <v>2479</v>
      </c>
      <c r="E9796" s="0" t="n">
        <v>48</v>
      </c>
      <c r="F9796" s="0" t="s">
        <v>153</v>
      </c>
      <c r="I9796" s="0" t="n">
        <v>2719</v>
      </c>
      <c r="J9796" s="0" t="n">
        <v>100002</v>
      </c>
      <c r="K9796" s="0" t="n">
        <v>3</v>
      </c>
      <c r="L9796" s="0" t="s">
        <v>2482</v>
      </c>
      <c r="N9796" s="0" t="n">
        <v>22.42</v>
      </c>
      <c r="O9796" s="0" t="n">
        <v>515.65</v>
      </c>
      <c r="P9796" s="0" t="s">
        <v>2444</v>
      </c>
    </row>
    <row r="9797" customFormat="false" ht="12.75" hidden="false" customHeight="false" outlineLevel="0" collapsed="false">
      <c r="A9797" s="0" t="n">
        <v>2</v>
      </c>
      <c r="B9797" s="71" t="n">
        <v>46298</v>
      </c>
      <c r="C9797" s="0" t="n">
        <v>22</v>
      </c>
      <c r="D9797" s="0" t="s">
        <v>2479</v>
      </c>
      <c r="E9797" s="0" t="n">
        <v>48</v>
      </c>
      <c r="F9797" s="0" t="s">
        <v>153</v>
      </c>
      <c r="I9797" s="0" t="n">
        <v>2719</v>
      </c>
      <c r="J9797" s="0" t="n">
        <v>100003</v>
      </c>
      <c r="K9797" s="0" t="n">
        <v>4</v>
      </c>
      <c r="L9797" s="0" t="s">
        <v>2483</v>
      </c>
      <c r="N9797" s="0" t="n">
        <v>15.1</v>
      </c>
      <c r="O9797" s="0" t="n">
        <v>370.46</v>
      </c>
      <c r="P9797" s="0" t="s">
        <v>2444</v>
      </c>
    </row>
    <row r="9798" customFormat="false" ht="12.75" hidden="false" customHeight="false" outlineLevel="0" collapsed="false">
      <c r="A9798" s="0" t="n">
        <v>2</v>
      </c>
      <c r="B9798" s="71" t="n">
        <v>46298</v>
      </c>
      <c r="C9798" s="0" t="n">
        <v>22</v>
      </c>
      <c r="D9798" s="0" t="s">
        <v>2479</v>
      </c>
      <c r="E9798" s="0" t="n">
        <v>48</v>
      </c>
      <c r="F9798" s="0" t="s">
        <v>153</v>
      </c>
      <c r="I9798" s="0" t="n">
        <v>2719</v>
      </c>
      <c r="J9798" s="0" t="n">
        <v>100004</v>
      </c>
      <c r="K9798" s="0" t="n">
        <v>5</v>
      </c>
      <c r="L9798" s="0" t="s">
        <v>2484</v>
      </c>
      <c r="N9798" s="0" t="n">
        <v>1.294</v>
      </c>
      <c r="O9798" s="0" t="n">
        <v>31</v>
      </c>
      <c r="P9798" s="0" t="s">
        <v>2444</v>
      </c>
    </row>
    <row r="9799" customFormat="false" ht="12.75" hidden="false" customHeight="false" outlineLevel="0" collapsed="false">
      <c r="A9799" s="0" t="n">
        <v>2</v>
      </c>
      <c r="B9799" s="71" t="n">
        <v>46298</v>
      </c>
      <c r="C9799" s="0" t="n">
        <v>22</v>
      </c>
      <c r="D9799" s="0" t="s">
        <v>2479</v>
      </c>
      <c r="E9799" s="0" t="n">
        <v>48</v>
      </c>
      <c r="F9799" s="0" t="s">
        <v>153</v>
      </c>
      <c r="I9799" s="0" t="n">
        <v>2719</v>
      </c>
      <c r="J9799" s="0" t="n">
        <v>100004</v>
      </c>
      <c r="K9799" s="0" t="n">
        <v>5</v>
      </c>
      <c r="L9799" s="0" t="s">
        <v>2484</v>
      </c>
      <c r="N9799" s="0" t="n">
        <v>1.54</v>
      </c>
      <c r="O9799" s="0" t="n">
        <v>33.06</v>
      </c>
      <c r="P9799" s="0" t="s">
        <v>2444</v>
      </c>
    </row>
    <row r="9800" customFormat="false" ht="12.75" hidden="false" customHeight="false" outlineLevel="0" collapsed="false">
      <c r="A9800" s="0" t="n">
        <v>2</v>
      </c>
      <c r="B9800" s="71" t="n">
        <v>46298</v>
      </c>
      <c r="C9800" s="0" t="n">
        <v>22</v>
      </c>
      <c r="D9800" s="0" t="s">
        <v>2479</v>
      </c>
      <c r="E9800" s="0" t="n">
        <v>48</v>
      </c>
      <c r="F9800" s="0" t="s">
        <v>153</v>
      </c>
      <c r="I9800" s="0" t="n">
        <v>2719</v>
      </c>
      <c r="J9800" s="0" t="n">
        <v>100006</v>
      </c>
      <c r="K9800" s="0" t="n">
        <v>7</v>
      </c>
      <c r="L9800" s="0" t="s">
        <v>2485</v>
      </c>
      <c r="N9800" s="0" t="n">
        <v>2.03</v>
      </c>
      <c r="O9800" s="0" t="n">
        <v>57.14</v>
      </c>
      <c r="P9800" s="0" t="s">
        <v>2444</v>
      </c>
    </row>
    <row r="9801" customFormat="false" ht="12.75" hidden="false" customHeight="false" outlineLevel="0" collapsed="false">
      <c r="A9801" s="0" t="n">
        <v>2</v>
      </c>
      <c r="B9801" s="71" t="n">
        <v>46298</v>
      </c>
      <c r="C9801" s="0" t="n">
        <v>22</v>
      </c>
      <c r="D9801" s="0" t="s">
        <v>2479</v>
      </c>
      <c r="E9801" s="0" t="n">
        <v>48</v>
      </c>
      <c r="F9801" s="0" t="s">
        <v>153</v>
      </c>
      <c r="I9801" s="0" t="n">
        <v>2719</v>
      </c>
      <c r="J9801" s="0" t="n">
        <v>100007</v>
      </c>
      <c r="K9801" s="0" t="n">
        <v>8</v>
      </c>
      <c r="L9801" s="0" t="s">
        <v>2486</v>
      </c>
      <c r="N9801" s="0" t="n">
        <v>1.476</v>
      </c>
      <c r="O9801" s="0" t="n">
        <v>37.89</v>
      </c>
      <c r="P9801" s="0" t="s">
        <v>2444</v>
      </c>
    </row>
    <row r="9802" customFormat="false" ht="12.75" hidden="false" customHeight="false" outlineLevel="0" collapsed="false">
      <c r="A9802" s="0" t="n">
        <v>2</v>
      </c>
      <c r="B9802" s="71" t="n">
        <v>46298</v>
      </c>
      <c r="C9802" s="0" t="n">
        <v>22</v>
      </c>
      <c r="D9802" s="0" t="s">
        <v>2479</v>
      </c>
      <c r="E9802" s="0" t="n">
        <v>48</v>
      </c>
      <c r="F9802" s="0" t="s">
        <v>153</v>
      </c>
      <c r="I9802" s="0" t="n">
        <v>2719</v>
      </c>
      <c r="J9802" s="0" t="n">
        <v>100007</v>
      </c>
      <c r="K9802" s="0" t="n">
        <v>8</v>
      </c>
      <c r="L9802" s="0" t="s">
        <v>2486</v>
      </c>
      <c r="N9802" s="0" t="n">
        <v>1.77</v>
      </c>
      <c r="O9802" s="0" t="n">
        <v>43.96</v>
      </c>
      <c r="P9802" s="0" t="s">
        <v>2444</v>
      </c>
    </row>
    <row r="9803" customFormat="false" ht="12.75" hidden="false" customHeight="false" outlineLevel="0" collapsed="false">
      <c r="A9803" s="0" t="n">
        <v>2</v>
      </c>
      <c r="B9803" s="71" t="n">
        <v>46298</v>
      </c>
      <c r="C9803" s="0" t="n">
        <v>22</v>
      </c>
      <c r="D9803" s="0" t="s">
        <v>2479</v>
      </c>
      <c r="E9803" s="0" t="n">
        <v>48</v>
      </c>
      <c r="F9803" s="0" t="s">
        <v>153</v>
      </c>
      <c r="I9803" s="0" t="n">
        <v>2719</v>
      </c>
      <c r="J9803" s="0" t="n">
        <v>100007</v>
      </c>
      <c r="K9803" s="0" t="n">
        <v>8</v>
      </c>
      <c r="L9803" s="0" t="s">
        <v>2486</v>
      </c>
      <c r="N9803" s="0" t="n">
        <v>14.165</v>
      </c>
      <c r="O9803" s="0" t="n">
        <v>325.79</v>
      </c>
      <c r="P9803" s="0" t="s">
        <v>2444</v>
      </c>
    </row>
    <row r="9804" customFormat="false" ht="12.75" hidden="false" customHeight="false" outlineLevel="0" collapsed="false">
      <c r="A9804" s="0" t="n">
        <v>2</v>
      </c>
      <c r="B9804" s="71" t="n">
        <v>46298</v>
      </c>
      <c r="C9804" s="0" t="n">
        <v>22</v>
      </c>
      <c r="D9804" s="0" t="s">
        <v>2479</v>
      </c>
      <c r="E9804" s="0" t="n">
        <v>48</v>
      </c>
      <c r="F9804" s="0" t="s">
        <v>153</v>
      </c>
      <c r="I9804" s="0" t="n">
        <v>2719</v>
      </c>
      <c r="J9804" s="0" t="n">
        <v>100008</v>
      </c>
      <c r="K9804" s="0" t="n">
        <v>9</v>
      </c>
      <c r="L9804" s="0" t="s">
        <v>2487</v>
      </c>
      <c r="N9804" s="0" t="n">
        <v>24.178</v>
      </c>
      <c r="O9804" s="0" t="n">
        <v>780.4</v>
      </c>
      <c r="P9804" s="0" t="s">
        <v>2444</v>
      </c>
    </row>
    <row r="9805" customFormat="false" ht="12.75" hidden="false" customHeight="false" outlineLevel="0" collapsed="false">
      <c r="A9805" s="0" t="n">
        <v>2</v>
      </c>
      <c r="B9805" s="71" t="n">
        <v>46298</v>
      </c>
      <c r="C9805" s="0" t="n">
        <v>22</v>
      </c>
      <c r="D9805" s="0" t="s">
        <v>2479</v>
      </c>
      <c r="E9805" s="0" t="n">
        <v>48</v>
      </c>
      <c r="F9805" s="0" t="s">
        <v>153</v>
      </c>
      <c r="I9805" s="0" t="n">
        <v>2719</v>
      </c>
      <c r="J9805" s="0" t="n">
        <v>100008</v>
      </c>
      <c r="K9805" s="0" t="n">
        <v>9</v>
      </c>
      <c r="L9805" s="0" t="s">
        <v>2487</v>
      </c>
      <c r="N9805" s="0" t="n">
        <v>13.81</v>
      </c>
      <c r="O9805" s="0" t="n">
        <v>445.91</v>
      </c>
      <c r="P9805" s="0" t="s">
        <v>2444</v>
      </c>
    </row>
    <row r="9806" customFormat="false" ht="12.75" hidden="false" customHeight="false" outlineLevel="0" collapsed="false">
      <c r="A9806" s="0" t="n">
        <v>2</v>
      </c>
      <c r="B9806" s="71" t="n">
        <v>46298</v>
      </c>
      <c r="C9806" s="0" t="n">
        <v>22</v>
      </c>
      <c r="D9806" s="0" t="s">
        <v>2479</v>
      </c>
      <c r="E9806" s="0" t="n">
        <v>48</v>
      </c>
      <c r="F9806" s="0" t="s">
        <v>153</v>
      </c>
      <c r="I9806" s="0" t="n">
        <v>2719</v>
      </c>
      <c r="J9806" s="0" t="n">
        <v>100009</v>
      </c>
      <c r="K9806" s="0" t="n">
        <v>10</v>
      </c>
      <c r="L9806" s="0" t="s">
        <v>4704</v>
      </c>
      <c r="N9806" s="0" t="n">
        <v>5.315</v>
      </c>
      <c r="O9806" s="0" t="n">
        <v>179.31</v>
      </c>
      <c r="P9806" s="0" t="s">
        <v>2444</v>
      </c>
    </row>
    <row r="9807" customFormat="false" ht="12.75" hidden="false" customHeight="false" outlineLevel="0" collapsed="false">
      <c r="A9807" s="0" t="n">
        <v>2</v>
      </c>
      <c r="B9807" s="71" t="n">
        <v>46298</v>
      </c>
      <c r="C9807" s="0" t="n">
        <v>22</v>
      </c>
      <c r="D9807" s="0" t="s">
        <v>2479</v>
      </c>
      <c r="E9807" s="0" t="n">
        <v>48</v>
      </c>
      <c r="F9807" s="0" t="s">
        <v>153</v>
      </c>
      <c r="I9807" s="0" t="n">
        <v>2719</v>
      </c>
      <c r="J9807" s="0" t="n">
        <v>100011</v>
      </c>
      <c r="K9807" s="0" t="n">
        <v>12</v>
      </c>
      <c r="L9807" s="0" t="s">
        <v>2488</v>
      </c>
      <c r="N9807" s="0" t="n">
        <v>10.39</v>
      </c>
      <c r="O9807" s="0" t="n">
        <v>387.11</v>
      </c>
      <c r="P9807" s="0" t="s">
        <v>2444</v>
      </c>
    </row>
    <row r="9808" customFormat="false" ht="12.75" hidden="false" customHeight="false" outlineLevel="0" collapsed="false">
      <c r="A9808" s="0" t="n">
        <v>2</v>
      </c>
      <c r="B9808" s="71" t="n">
        <v>46298</v>
      </c>
      <c r="C9808" s="0" t="n">
        <v>22</v>
      </c>
      <c r="D9808" s="0" t="s">
        <v>2479</v>
      </c>
      <c r="E9808" s="0" t="n">
        <v>48</v>
      </c>
      <c r="F9808" s="0" t="s">
        <v>153</v>
      </c>
      <c r="I9808" s="0" t="n">
        <v>2719</v>
      </c>
      <c r="J9808" s="0" t="n">
        <v>100012</v>
      </c>
      <c r="K9808" s="0" t="n">
        <v>13</v>
      </c>
      <c r="L9808" s="0" t="s">
        <v>2489</v>
      </c>
      <c r="N9808" s="0" t="n">
        <v>5.825</v>
      </c>
      <c r="O9808" s="0" t="n">
        <v>241.15</v>
      </c>
      <c r="P9808" s="0" t="s">
        <v>2444</v>
      </c>
    </row>
    <row r="9809" customFormat="false" ht="12.75" hidden="false" customHeight="false" outlineLevel="0" collapsed="false">
      <c r="A9809" s="0" t="n">
        <v>2</v>
      </c>
      <c r="B9809" s="71" t="n">
        <v>46298</v>
      </c>
      <c r="C9809" s="0" t="n">
        <v>22</v>
      </c>
      <c r="D9809" s="0" t="s">
        <v>2479</v>
      </c>
      <c r="E9809" s="0" t="n">
        <v>48</v>
      </c>
      <c r="F9809" s="0" t="s">
        <v>153</v>
      </c>
      <c r="I9809" s="0" t="n">
        <v>2719</v>
      </c>
      <c r="J9809" s="0" t="n">
        <v>100013</v>
      </c>
      <c r="K9809" s="0" t="n">
        <v>14</v>
      </c>
      <c r="L9809" s="0" t="s">
        <v>2490</v>
      </c>
      <c r="N9809" s="0" t="n">
        <v>11.47</v>
      </c>
      <c r="O9809" s="0" t="n">
        <v>503.34</v>
      </c>
      <c r="P9809" s="0" t="s">
        <v>2444</v>
      </c>
    </row>
    <row r="9810" customFormat="false" ht="12.75" hidden="false" customHeight="false" outlineLevel="0" collapsed="false">
      <c r="A9810" s="0" t="n">
        <v>2</v>
      </c>
      <c r="B9810" s="71" t="n">
        <v>46298</v>
      </c>
      <c r="C9810" s="0" t="n">
        <v>22</v>
      </c>
      <c r="D9810" s="0" t="s">
        <v>2479</v>
      </c>
      <c r="E9810" s="0" t="n">
        <v>48</v>
      </c>
      <c r="F9810" s="0" t="s">
        <v>153</v>
      </c>
      <c r="I9810" s="0" t="n">
        <v>2719</v>
      </c>
      <c r="J9810" s="0" t="n">
        <v>100014</v>
      </c>
      <c r="K9810" s="0" t="n">
        <v>15</v>
      </c>
      <c r="L9810" s="0" t="s">
        <v>2491</v>
      </c>
      <c r="N9810" s="0" t="n">
        <v>5.074</v>
      </c>
      <c r="O9810" s="0" t="n">
        <v>226.86</v>
      </c>
      <c r="P9810" s="0" t="s">
        <v>2444</v>
      </c>
    </row>
    <row r="9811" customFormat="false" ht="12.75" hidden="false" customHeight="false" outlineLevel="0" collapsed="false">
      <c r="A9811" s="0" t="n">
        <v>2</v>
      </c>
      <c r="B9811" s="71" t="n">
        <v>46298</v>
      </c>
      <c r="C9811" s="0" t="n">
        <v>22</v>
      </c>
      <c r="D9811" s="0" t="s">
        <v>2479</v>
      </c>
      <c r="E9811" s="0" t="n">
        <v>48</v>
      </c>
      <c r="F9811" s="0" t="s">
        <v>153</v>
      </c>
      <c r="I9811" s="0" t="n">
        <v>2719</v>
      </c>
      <c r="J9811" s="0" t="n">
        <v>100015</v>
      </c>
      <c r="K9811" s="0" t="n">
        <v>16</v>
      </c>
      <c r="L9811" s="0" t="s">
        <v>2492</v>
      </c>
      <c r="N9811" s="0" t="n">
        <v>1.718</v>
      </c>
      <c r="O9811" s="0" t="n">
        <v>68.28</v>
      </c>
      <c r="P9811" s="0" t="s">
        <v>2444</v>
      </c>
    </row>
    <row r="9812" customFormat="false" ht="12.75" hidden="false" customHeight="false" outlineLevel="0" collapsed="false">
      <c r="A9812" s="0" t="n">
        <v>2</v>
      </c>
      <c r="B9812" s="71" t="n">
        <v>46298</v>
      </c>
      <c r="C9812" s="0" t="n">
        <v>22</v>
      </c>
      <c r="D9812" s="0" t="s">
        <v>2479</v>
      </c>
      <c r="E9812" s="0" t="n">
        <v>48</v>
      </c>
      <c r="F9812" s="0" t="s">
        <v>153</v>
      </c>
      <c r="I9812" s="0" t="n">
        <v>2719</v>
      </c>
      <c r="J9812" s="0" t="n">
        <v>100016</v>
      </c>
      <c r="K9812" s="0" t="n">
        <v>17</v>
      </c>
      <c r="L9812" s="0" t="s">
        <v>2493</v>
      </c>
      <c r="N9812" s="0" t="n">
        <v>2.928</v>
      </c>
      <c r="O9812" s="0" t="n">
        <v>145.46</v>
      </c>
      <c r="P9812" s="0" t="s">
        <v>2444</v>
      </c>
    </row>
    <row r="9813" customFormat="false" ht="12.75" hidden="false" customHeight="false" outlineLevel="0" collapsed="false">
      <c r="A9813" s="0" t="n">
        <v>2</v>
      </c>
      <c r="B9813" s="71" t="n">
        <v>46298</v>
      </c>
      <c r="C9813" s="0" t="n">
        <v>22</v>
      </c>
      <c r="D9813" s="0" t="s">
        <v>2479</v>
      </c>
      <c r="E9813" s="0" t="n">
        <v>48</v>
      </c>
      <c r="F9813" s="0" t="s">
        <v>153</v>
      </c>
      <c r="I9813" s="0" t="n">
        <v>2719</v>
      </c>
      <c r="J9813" s="0" t="n">
        <v>100016</v>
      </c>
      <c r="K9813" s="0" t="n">
        <v>17</v>
      </c>
      <c r="L9813" s="0" t="s">
        <v>2493</v>
      </c>
      <c r="N9813" s="0" t="n">
        <v>6.104</v>
      </c>
      <c r="O9813" s="0" t="n">
        <v>307.15</v>
      </c>
      <c r="P9813" s="0" t="s">
        <v>2444</v>
      </c>
    </row>
    <row r="9814" customFormat="false" ht="12.75" hidden="false" customHeight="false" outlineLevel="0" collapsed="false">
      <c r="A9814" s="0" t="n">
        <v>2</v>
      </c>
      <c r="B9814" s="71" t="n">
        <v>46298</v>
      </c>
      <c r="C9814" s="0" t="n">
        <v>22</v>
      </c>
      <c r="D9814" s="0" t="s">
        <v>2479</v>
      </c>
      <c r="E9814" s="0" t="n">
        <v>48</v>
      </c>
      <c r="F9814" s="0" t="s">
        <v>153</v>
      </c>
      <c r="I9814" s="0" t="n">
        <v>2719</v>
      </c>
      <c r="J9814" s="0" t="n">
        <v>100017</v>
      </c>
      <c r="K9814" s="0" t="n">
        <v>18</v>
      </c>
      <c r="L9814" s="0" t="s">
        <v>2494</v>
      </c>
      <c r="N9814" s="0" t="n">
        <v>1.486</v>
      </c>
      <c r="O9814" s="0" t="n">
        <v>92.28</v>
      </c>
      <c r="P9814" s="0" t="s">
        <v>2444</v>
      </c>
    </row>
    <row r="9815" customFormat="false" ht="12.75" hidden="false" customHeight="false" outlineLevel="0" collapsed="false">
      <c r="A9815" s="0" t="n">
        <v>2</v>
      </c>
      <c r="B9815" s="71" t="n">
        <v>46298</v>
      </c>
      <c r="C9815" s="0" t="n">
        <v>22</v>
      </c>
      <c r="D9815" s="0" t="s">
        <v>2479</v>
      </c>
      <c r="E9815" s="0" t="n">
        <v>48</v>
      </c>
      <c r="F9815" s="0" t="s">
        <v>153</v>
      </c>
      <c r="I9815" s="0" t="n">
        <v>2719</v>
      </c>
      <c r="J9815" s="0" t="n">
        <v>100018</v>
      </c>
      <c r="K9815" s="0" t="n">
        <v>19</v>
      </c>
      <c r="L9815" s="0" t="s">
        <v>3883</v>
      </c>
      <c r="N9815" s="0" t="n">
        <v>5.848</v>
      </c>
      <c r="O9815" s="0" t="n">
        <v>275.26</v>
      </c>
      <c r="P9815" s="0" t="s">
        <v>2444</v>
      </c>
    </row>
    <row r="9816" customFormat="false" ht="12.75" hidden="false" customHeight="false" outlineLevel="0" collapsed="false">
      <c r="A9816" s="0" t="n">
        <v>2</v>
      </c>
      <c r="B9816" s="71" t="n">
        <v>46298</v>
      </c>
      <c r="C9816" s="0" t="n">
        <v>22</v>
      </c>
      <c r="D9816" s="0" t="s">
        <v>2479</v>
      </c>
      <c r="E9816" s="0" t="n">
        <v>48</v>
      </c>
      <c r="F9816" s="0" t="s">
        <v>153</v>
      </c>
      <c r="I9816" s="0" t="n">
        <v>2719</v>
      </c>
      <c r="J9816" s="0" t="n">
        <v>100019</v>
      </c>
      <c r="K9816" s="0" t="n">
        <v>20</v>
      </c>
      <c r="L9816" s="0" t="s">
        <v>3779</v>
      </c>
      <c r="N9816" s="0" t="n">
        <v>0.758</v>
      </c>
      <c r="O9816" s="0" t="n">
        <v>26.36</v>
      </c>
      <c r="P9816" s="0" t="s">
        <v>2444</v>
      </c>
    </row>
    <row r="9817" customFormat="false" ht="12.75" hidden="false" customHeight="false" outlineLevel="0" collapsed="false">
      <c r="A9817" s="0" t="n">
        <v>2</v>
      </c>
      <c r="B9817" s="71" t="n">
        <v>46298</v>
      </c>
      <c r="C9817" s="0" t="n">
        <v>22</v>
      </c>
      <c r="D9817" s="0" t="s">
        <v>2479</v>
      </c>
      <c r="E9817" s="0" t="n">
        <v>48</v>
      </c>
      <c r="F9817" s="0" t="s">
        <v>153</v>
      </c>
      <c r="I9817" s="0" t="n">
        <v>2719</v>
      </c>
      <c r="J9817" s="0" t="n">
        <v>100053</v>
      </c>
      <c r="K9817" s="0" t="n">
        <v>54</v>
      </c>
      <c r="L9817" s="0" t="s">
        <v>2495</v>
      </c>
      <c r="N9817" s="0" t="n">
        <v>1.94</v>
      </c>
      <c r="O9817" s="0" t="n">
        <v>70.67</v>
      </c>
      <c r="P9817" s="0" t="s">
        <v>2444</v>
      </c>
    </row>
    <row r="9818" customFormat="false" ht="12.75" hidden="false" customHeight="false" outlineLevel="0" collapsed="false">
      <c r="A9818" s="0" t="n">
        <v>2</v>
      </c>
      <c r="B9818" s="71" t="n">
        <v>46298</v>
      </c>
      <c r="C9818" s="0" t="n">
        <v>22</v>
      </c>
      <c r="D9818" s="0" t="s">
        <v>2479</v>
      </c>
      <c r="E9818" s="0" t="n">
        <v>48</v>
      </c>
      <c r="F9818" s="0" t="s">
        <v>153</v>
      </c>
      <c r="I9818" s="0" t="n">
        <v>2719</v>
      </c>
      <c r="J9818" s="0" t="n">
        <v>100053</v>
      </c>
      <c r="K9818" s="0" t="n">
        <v>54</v>
      </c>
      <c r="L9818" s="0" t="s">
        <v>2495</v>
      </c>
      <c r="N9818" s="0" t="n">
        <v>4.934</v>
      </c>
      <c r="O9818" s="0" t="n">
        <v>182.18</v>
      </c>
      <c r="P9818" s="0" t="s">
        <v>2444</v>
      </c>
    </row>
    <row r="9819" customFormat="false" ht="12.75" hidden="false" customHeight="false" outlineLevel="0" collapsed="false">
      <c r="A9819" s="0" t="n">
        <v>2</v>
      </c>
      <c r="B9819" s="71" t="n">
        <v>46298</v>
      </c>
      <c r="C9819" s="0" t="n">
        <v>22</v>
      </c>
      <c r="D9819" s="0" t="s">
        <v>2479</v>
      </c>
      <c r="E9819" s="0" t="n">
        <v>48</v>
      </c>
      <c r="F9819" s="0" t="s">
        <v>153</v>
      </c>
      <c r="I9819" s="0" t="n">
        <v>2719</v>
      </c>
      <c r="J9819" s="0" t="n">
        <v>100638</v>
      </c>
      <c r="K9819" s="0" t="n">
        <v>508</v>
      </c>
      <c r="L9819" s="0" t="s">
        <v>2496</v>
      </c>
      <c r="N9819" s="0" t="n">
        <v>0.3</v>
      </c>
      <c r="O9819" s="0" t="n">
        <v>0.74</v>
      </c>
      <c r="P9819" s="0" t="s">
        <v>2444</v>
      </c>
    </row>
    <row r="9820" customFormat="false" ht="12.75" hidden="false" customHeight="false" outlineLevel="0" collapsed="false">
      <c r="A9820" s="0" t="n">
        <v>2</v>
      </c>
      <c r="B9820" s="71" t="n">
        <v>46298</v>
      </c>
      <c r="C9820" s="0" t="n">
        <v>22</v>
      </c>
      <c r="D9820" s="0" t="s">
        <v>2479</v>
      </c>
      <c r="E9820" s="0" t="n">
        <v>48</v>
      </c>
      <c r="F9820" s="0" t="s">
        <v>153</v>
      </c>
      <c r="I9820" s="0" t="n">
        <v>2719</v>
      </c>
      <c r="J9820" s="0" t="n">
        <v>100638</v>
      </c>
      <c r="K9820" s="0" t="n">
        <v>508</v>
      </c>
      <c r="L9820" s="0" t="s">
        <v>2496</v>
      </c>
      <c r="N9820" s="0" t="n">
        <v>1.2</v>
      </c>
      <c r="O9820" s="0" t="n">
        <v>2.75</v>
      </c>
      <c r="P9820" s="0" t="s">
        <v>2444</v>
      </c>
    </row>
    <row r="9821" customFormat="false" ht="12.75" hidden="false" customHeight="false" outlineLevel="0" collapsed="false">
      <c r="A9821" s="0" t="n">
        <v>2</v>
      </c>
      <c r="B9821" s="71" t="n">
        <v>46298</v>
      </c>
      <c r="C9821" s="0" t="n">
        <v>22</v>
      </c>
      <c r="D9821" s="0" t="s">
        <v>2479</v>
      </c>
      <c r="E9821" s="0" t="n">
        <v>48</v>
      </c>
      <c r="F9821" s="0" t="s">
        <v>153</v>
      </c>
      <c r="I9821" s="0" t="n">
        <v>2719</v>
      </c>
      <c r="J9821" s="0" t="n">
        <v>100520</v>
      </c>
      <c r="K9821" s="0" t="n">
        <v>507</v>
      </c>
      <c r="L9821" s="0" t="s">
        <v>2497</v>
      </c>
      <c r="N9821" s="0" t="n">
        <v>7.166</v>
      </c>
      <c r="O9821" s="0" t="n">
        <v>18.12</v>
      </c>
      <c r="P9821" s="0" t="s">
        <v>2444</v>
      </c>
    </row>
    <row r="9822" customFormat="false" ht="12.75" hidden="false" customHeight="false" outlineLevel="0" collapsed="false">
      <c r="A9822" s="0" t="n">
        <v>2</v>
      </c>
      <c r="B9822" s="71" t="n">
        <v>46298</v>
      </c>
      <c r="C9822" s="0" t="n">
        <v>22</v>
      </c>
      <c r="D9822" s="0" t="s">
        <v>2479</v>
      </c>
      <c r="E9822" s="0" t="n">
        <v>48</v>
      </c>
      <c r="F9822" s="0" t="s">
        <v>153</v>
      </c>
      <c r="I9822" s="0" t="n">
        <v>2719</v>
      </c>
      <c r="J9822" s="0" t="n">
        <v>110137</v>
      </c>
      <c r="K9822" s="0" t="n">
        <v>13899</v>
      </c>
      <c r="L9822" s="0" t="s">
        <v>3780</v>
      </c>
      <c r="N9822" s="0" t="n">
        <v>13</v>
      </c>
      <c r="O9822" s="0" t="n">
        <v>53.72</v>
      </c>
      <c r="P9822" s="0" t="s">
        <v>2444</v>
      </c>
    </row>
    <row r="9823" customFormat="false" ht="12.75" hidden="false" customHeight="false" outlineLevel="0" collapsed="false">
      <c r="A9823" s="0" t="n">
        <v>2</v>
      </c>
      <c r="B9823" s="71" t="n">
        <v>46298</v>
      </c>
      <c r="C9823" s="0" t="n">
        <v>22</v>
      </c>
      <c r="D9823" s="0" t="s">
        <v>2479</v>
      </c>
      <c r="E9823" s="0" t="n">
        <v>48</v>
      </c>
      <c r="F9823" s="0" t="s">
        <v>153</v>
      </c>
      <c r="I9823" s="0" t="n">
        <v>2719</v>
      </c>
      <c r="J9823" s="0" t="n">
        <v>110137</v>
      </c>
      <c r="K9823" s="0" t="n">
        <v>13899</v>
      </c>
      <c r="L9823" s="0" t="s">
        <v>3780</v>
      </c>
      <c r="N9823" s="0" t="n">
        <v>3.768</v>
      </c>
      <c r="O9823" s="0" t="n">
        <v>14.42</v>
      </c>
      <c r="P9823" s="0" t="s">
        <v>2444</v>
      </c>
    </row>
    <row r="9824" customFormat="false" ht="12.75" hidden="false" customHeight="false" outlineLevel="0" collapsed="false">
      <c r="A9824" s="0" t="n">
        <v>2</v>
      </c>
      <c r="B9824" s="71" t="n">
        <v>46298</v>
      </c>
      <c r="C9824" s="0" t="n">
        <v>22</v>
      </c>
      <c r="D9824" s="0" t="s">
        <v>2479</v>
      </c>
      <c r="E9824" s="0" t="n">
        <v>48</v>
      </c>
      <c r="F9824" s="0" t="s">
        <v>153</v>
      </c>
      <c r="I9824" s="0" t="n">
        <v>2719</v>
      </c>
      <c r="J9824" s="0" t="n">
        <v>110455</v>
      </c>
      <c r="K9824" s="0" t="n">
        <v>53212</v>
      </c>
      <c r="L9824" s="0" t="s">
        <v>2498</v>
      </c>
      <c r="N9824" s="0" t="n">
        <v>0.637</v>
      </c>
      <c r="O9824" s="0" t="n">
        <v>0</v>
      </c>
      <c r="P9824" s="0" t="s">
        <v>2444</v>
      </c>
    </row>
    <row r="9825" customFormat="false" ht="12.75" hidden="false" customHeight="false" outlineLevel="0" collapsed="false">
      <c r="A9825" s="0" t="n">
        <v>2</v>
      </c>
      <c r="B9825" s="71" t="n">
        <v>46298</v>
      </c>
      <c r="C9825" s="0" t="n">
        <v>22</v>
      </c>
      <c r="D9825" s="0" t="s">
        <v>2479</v>
      </c>
      <c r="E9825" s="0" t="n">
        <v>48</v>
      </c>
      <c r="F9825" s="0" t="s">
        <v>153</v>
      </c>
      <c r="I9825" s="0" t="n">
        <v>2719</v>
      </c>
      <c r="J9825" s="0" t="n">
        <v>110455</v>
      </c>
      <c r="K9825" s="0" t="n">
        <v>53212</v>
      </c>
      <c r="L9825" s="0" t="s">
        <v>2498</v>
      </c>
      <c r="N9825" s="0" t="n">
        <v>0.027</v>
      </c>
      <c r="O9825" s="0" t="n">
        <v>0</v>
      </c>
      <c r="P9825" s="0" t="s">
        <v>2444</v>
      </c>
    </row>
    <row r="9826" customFormat="false" ht="12.75" hidden="false" customHeight="false" outlineLevel="0" collapsed="false">
      <c r="A9826" s="0" t="n">
        <v>2</v>
      </c>
      <c r="B9826" s="71" t="n">
        <v>46298</v>
      </c>
      <c r="C9826" s="0" t="n">
        <v>100</v>
      </c>
      <c r="D9826" s="0" t="s">
        <v>2499</v>
      </c>
      <c r="E9826" s="0" t="n">
        <v>48</v>
      </c>
      <c r="F9826" s="0" t="s">
        <v>153</v>
      </c>
      <c r="I9826" s="0" t="n">
        <v>1793427</v>
      </c>
      <c r="J9826" s="0" t="n">
        <v>100000</v>
      </c>
      <c r="K9826" s="0" t="n">
        <v>1</v>
      </c>
      <c r="L9826" s="0" t="s">
        <v>2480</v>
      </c>
      <c r="N9826" s="0" t="n">
        <v>3.474</v>
      </c>
      <c r="O9826" s="0" t="n">
        <v>69.02</v>
      </c>
      <c r="P9826" s="0" t="s">
        <v>2444</v>
      </c>
    </row>
    <row r="9827" customFormat="false" ht="12.75" hidden="false" customHeight="false" outlineLevel="0" collapsed="false">
      <c r="A9827" s="0" t="n">
        <v>2</v>
      </c>
      <c r="B9827" s="71" t="n">
        <v>46298</v>
      </c>
      <c r="C9827" s="0" t="n">
        <v>100</v>
      </c>
      <c r="D9827" s="0" t="s">
        <v>2499</v>
      </c>
      <c r="E9827" s="0" t="n">
        <v>48</v>
      </c>
      <c r="F9827" s="0" t="s">
        <v>153</v>
      </c>
      <c r="I9827" s="0" t="n">
        <v>1793427</v>
      </c>
      <c r="J9827" s="0" t="n">
        <v>100006</v>
      </c>
      <c r="K9827" s="0" t="n">
        <v>7</v>
      </c>
      <c r="L9827" s="0" t="s">
        <v>2485</v>
      </c>
      <c r="N9827" s="0" t="n">
        <v>2.03</v>
      </c>
      <c r="O9827" s="0" t="n">
        <v>57.14</v>
      </c>
      <c r="P9827" s="0" t="s">
        <v>2444</v>
      </c>
    </row>
    <row r="9828" customFormat="false" ht="12.75" hidden="false" customHeight="false" outlineLevel="0" collapsed="false">
      <c r="A9828" s="0" t="n">
        <v>2</v>
      </c>
      <c r="B9828" s="71" t="n">
        <v>46298</v>
      </c>
      <c r="C9828" s="0" t="n">
        <v>100</v>
      </c>
      <c r="D9828" s="0" t="s">
        <v>2499</v>
      </c>
      <c r="E9828" s="0" t="n">
        <v>48</v>
      </c>
      <c r="F9828" s="0" t="s">
        <v>153</v>
      </c>
      <c r="I9828" s="0" t="n">
        <v>1793427</v>
      </c>
      <c r="J9828" s="0" t="n">
        <v>100007</v>
      </c>
      <c r="K9828" s="0" t="n">
        <v>8</v>
      </c>
      <c r="L9828" s="0" t="s">
        <v>2486</v>
      </c>
      <c r="N9828" s="0" t="n">
        <v>1.77</v>
      </c>
      <c r="O9828" s="0" t="n">
        <v>43.96</v>
      </c>
      <c r="P9828" s="0" t="s">
        <v>2444</v>
      </c>
    </row>
    <row r="9829" customFormat="false" ht="12.75" hidden="false" customHeight="false" outlineLevel="0" collapsed="false">
      <c r="A9829" s="0" t="n">
        <v>2</v>
      </c>
      <c r="B9829" s="71" t="n">
        <v>46298</v>
      </c>
      <c r="C9829" s="0" t="n">
        <v>100</v>
      </c>
      <c r="D9829" s="0" t="s">
        <v>2499</v>
      </c>
      <c r="E9829" s="0" t="n">
        <v>48</v>
      </c>
      <c r="F9829" s="0" t="s">
        <v>153</v>
      </c>
      <c r="I9829" s="0" t="n">
        <v>1793427</v>
      </c>
      <c r="J9829" s="0" t="n">
        <v>100008</v>
      </c>
      <c r="K9829" s="0" t="n">
        <v>9</v>
      </c>
      <c r="L9829" s="0" t="s">
        <v>2487</v>
      </c>
      <c r="N9829" s="0" t="n">
        <v>13.81</v>
      </c>
      <c r="O9829" s="0" t="n">
        <v>445.91</v>
      </c>
      <c r="P9829" s="0" t="s">
        <v>2444</v>
      </c>
    </row>
    <row r="9830" customFormat="false" ht="12.75" hidden="false" customHeight="false" outlineLevel="0" collapsed="false">
      <c r="A9830" s="0" t="n">
        <v>2</v>
      </c>
      <c r="B9830" s="71" t="n">
        <v>46298</v>
      </c>
      <c r="C9830" s="0" t="n">
        <v>100</v>
      </c>
      <c r="D9830" s="0" t="s">
        <v>2499</v>
      </c>
      <c r="E9830" s="0" t="n">
        <v>48</v>
      </c>
      <c r="F9830" s="0" t="s">
        <v>153</v>
      </c>
      <c r="I9830" s="0" t="n">
        <v>1793427</v>
      </c>
      <c r="J9830" s="0" t="n">
        <v>100011</v>
      </c>
      <c r="K9830" s="0" t="n">
        <v>12</v>
      </c>
      <c r="L9830" s="0" t="s">
        <v>2488</v>
      </c>
      <c r="N9830" s="0" t="n">
        <v>10.39</v>
      </c>
      <c r="O9830" s="0" t="n">
        <v>387.11</v>
      </c>
      <c r="P9830" s="0" t="s">
        <v>2444</v>
      </c>
    </row>
    <row r="9831" customFormat="false" ht="12.75" hidden="false" customHeight="false" outlineLevel="0" collapsed="false">
      <c r="A9831" s="0" t="n">
        <v>2</v>
      </c>
      <c r="B9831" s="71" t="n">
        <v>46298</v>
      </c>
      <c r="C9831" s="0" t="n">
        <v>100</v>
      </c>
      <c r="D9831" s="0" t="s">
        <v>2499</v>
      </c>
      <c r="E9831" s="0" t="n">
        <v>48</v>
      </c>
      <c r="F9831" s="0" t="s">
        <v>153</v>
      </c>
      <c r="I9831" s="0" t="n">
        <v>1793427</v>
      </c>
      <c r="J9831" s="0" t="n">
        <v>100012</v>
      </c>
      <c r="K9831" s="0" t="n">
        <v>13</v>
      </c>
      <c r="L9831" s="0" t="s">
        <v>2489</v>
      </c>
      <c r="N9831" s="0" t="n">
        <v>5.825</v>
      </c>
      <c r="O9831" s="0" t="n">
        <v>241.15</v>
      </c>
      <c r="P9831" s="0" t="s">
        <v>2444</v>
      </c>
    </row>
    <row r="9832" customFormat="false" ht="12.75" hidden="false" customHeight="false" outlineLevel="0" collapsed="false">
      <c r="A9832" s="0" t="n">
        <v>2</v>
      </c>
      <c r="B9832" s="71" t="n">
        <v>46298</v>
      </c>
      <c r="C9832" s="0" t="n">
        <v>100</v>
      </c>
      <c r="D9832" s="0" t="s">
        <v>2499</v>
      </c>
      <c r="E9832" s="0" t="n">
        <v>48</v>
      </c>
      <c r="F9832" s="0" t="s">
        <v>153</v>
      </c>
      <c r="I9832" s="0" t="n">
        <v>1793427</v>
      </c>
      <c r="J9832" s="0" t="n">
        <v>100013</v>
      </c>
      <c r="K9832" s="0" t="n">
        <v>14</v>
      </c>
      <c r="L9832" s="0" t="s">
        <v>2490</v>
      </c>
      <c r="N9832" s="0" t="n">
        <v>11.47</v>
      </c>
      <c r="O9832" s="0" t="n">
        <v>503.34</v>
      </c>
      <c r="P9832" s="0" t="s">
        <v>2444</v>
      </c>
    </row>
    <row r="9833" customFormat="false" ht="12.75" hidden="false" customHeight="false" outlineLevel="0" collapsed="false">
      <c r="A9833" s="0" t="n">
        <v>2</v>
      </c>
      <c r="B9833" s="71" t="n">
        <v>46298</v>
      </c>
      <c r="C9833" s="0" t="n">
        <v>100</v>
      </c>
      <c r="D9833" s="0" t="s">
        <v>2499</v>
      </c>
      <c r="E9833" s="0" t="n">
        <v>48</v>
      </c>
      <c r="F9833" s="0" t="s">
        <v>153</v>
      </c>
      <c r="I9833" s="0" t="n">
        <v>1793427</v>
      </c>
      <c r="J9833" s="0" t="n">
        <v>100014</v>
      </c>
      <c r="K9833" s="0" t="n">
        <v>15</v>
      </c>
      <c r="L9833" s="0" t="s">
        <v>2491</v>
      </c>
      <c r="N9833" s="0" t="n">
        <v>5.074</v>
      </c>
      <c r="O9833" s="0" t="n">
        <v>226.86</v>
      </c>
      <c r="P9833" s="0" t="s">
        <v>2444</v>
      </c>
    </row>
    <row r="9834" customFormat="false" ht="12.75" hidden="false" customHeight="false" outlineLevel="0" collapsed="false">
      <c r="A9834" s="0" t="n">
        <v>2</v>
      </c>
      <c r="B9834" s="71" t="n">
        <v>46298</v>
      </c>
      <c r="C9834" s="0" t="n">
        <v>100</v>
      </c>
      <c r="D9834" s="0" t="s">
        <v>2499</v>
      </c>
      <c r="E9834" s="0" t="n">
        <v>48</v>
      </c>
      <c r="F9834" s="0" t="s">
        <v>153</v>
      </c>
      <c r="I9834" s="0" t="n">
        <v>1793427</v>
      </c>
      <c r="J9834" s="0" t="n">
        <v>100015</v>
      </c>
      <c r="K9834" s="0" t="n">
        <v>16</v>
      </c>
      <c r="L9834" s="0" t="s">
        <v>2492</v>
      </c>
      <c r="N9834" s="0" t="n">
        <v>1.718</v>
      </c>
      <c r="O9834" s="0" t="n">
        <v>68.28</v>
      </c>
      <c r="P9834" s="0" t="s">
        <v>2444</v>
      </c>
    </row>
    <row r="9835" customFormat="false" ht="12.75" hidden="false" customHeight="false" outlineLevel="0" collapsed="false">
      <c r="A9835" s="0" t="n">
        <v>2</v>
      </c>
      <c r="B9835" s="71" t="n">
        <v>46298</v>
      </c>
      <c r="C9835" s="0" t="n">
        <v>100</v>
      </c>
      <c r="D9835" s="0" t="s">
        <v>2499</v>
      </c>
      <c r="E9835" s="0" t="n">
        <v>48</v>
      </c>
      <c r="F9835" s="0" t="s">
        <v>153</v>
      </c>
      <c r="I9835" s="0" t="n">
        <v>1793427</v>
      </c>
      <c r="J9835" s="0" t="n">
        <v>100016</v>
      </c>
      <c r="K9835" s="0" t="n">
        <v>17</v>
      </c>
      <c r="L9835" s="0" t="s">
        <v>2493</v>
      </c>
      <c r="N9835" s="0" t="n">
        <v>2.928</v>
      </c>
      <c r="O9835" s="0" t="n">
        <v>145.46</v>
      </c>
      <c r="P9835" s="0" t="s">
        <v>2444</v>
      </c>
    </row>
    <row r="9836" customFormat="false" ht="12.75" hidden="false" customHeight="false" outlineLevel="0" collapsed="false">
      <c r="A9836" s="0" t="n">
        <v>2</v>
      </c>
      <c r="B9836" s="71" t="n">
        <v>46298</v>
      </c>
      <c r="C9836" s="0" t="n">
        <v>100</v>
      </c>
      <c r="D9836" s="0" t="s">
        <v>2499</v>
      </c>
      <c r="E9836" s="0" t="n">
        <v>48</v>
      </c>
      <c r="F9836" s="0" t="s">
        <v>153</v>
      </c>
      <c r="I9836" s="0" t="n">
        <v>1793427</v>
      </c>
      <c r="J9836" s="0" t="n">
        <v>100017</v>
      </c>
      <c r="K9836" s="0" t="n">
        <v>18</v>
      </c>
      <c r="L9836" s="0" t="s">
        <v>2494</v>
      </c>
      <c r="N9836" s="0" t="n">
        <v>1.486</v>
      </c>
      <c r="O9836" s="0" t="n">
        <v>92.28</v>
      </c>
      <c r="P9836" s="0" t="s">
        <v>2444</v>
      </c>
    </row>
    <row r="9837" customFormat="false" ht="12.75" hidden="false" customHeight="false" outlineLevel="0" collapsed="false">
      <c r="A9837" s="0" t="n">
        <v>2</v>
      </c>
      <c r="B9837" s="71" t="n">
        <v>46298</v>
      </c>
      <c r="C9837" s="0" t="n">
        <v>100</v>
      </c>
      <c r="D9837" s="0" t="s">
        <v>2499</v>
      </c>
      <c r="E9837" s="0" t="n">
        <v>48</v>
      </c>
      <c r="F9837" s="0" t="s">
        <v>153</v>
      </c>
      <c r="I9837" s="0" t="n">
        <v>1793427</v>
      </c>
      <c r="J9837" s="0" t="n">
        <v>100019</v>
      </c>
      <c r="K9837" s="0" t="n">
        <v>20</v>
      </c>
      <c r="L9837" s="0" t="s">
        <v>3779</v>
      </c>
      <c r="N9837" s="0" t="n">
        <v>0.758</v>
      </c>
      <c r="O9837" s="0" t="n">
        <v>26.36</v>
      </c>
      <c r="P9837" s="0" t="s">
        <v>2444</v>
      </c>
    </row>
    <row r="9838" customFormat="false" ht="12.75" hidden="false" customHeight="false" outlineLevel="0" collapsed="false">
      <c r="A9838" s="0" t="n">
        <v>2</v>
      </c>
      <c r="B9838" s="71" t="n">
        <v>46298</v>
      </c>
      <c r="C9838" s="0" t="n">
        <v>100</v>
      </c>
      <c r="D9838" s="0" t="s">
        <v>2499</v>
      </c>
      <c r="E9838" s="0" t="n">
        <v>48</v>
      </c>
      <c r="F9838" s="0" t="s">
        <v>153</v>
      </c>
      <c r="I9838" s="0" t="n">
        <v>1793427</v>
      </c>
      <c r="J9838" s="0" t="n">
        <v>100053</v>
      </c>
      <c r="K9838" s="0" t="n">
        <v>54</v>
      </c>
      <c r="L9838" s="0" t="s">
        <v>2495</v>
      </c>
      <c r="N9838" s="0" t="n">
        <v>1.94</v>
      </c>
      <c r="O9838" s="0" t="n">
        <v>70.67</v>
      </c>
      <c r="P9838" s="0" t="s">
        <v>2444</v>
      </c>
    </row>
    <row r="9839" customFormat="false" ht="12.75" hidden="false" customHeight="false" outlineLevel="0" collapsed="false">
      <c r="A9839" s="0" t="n">
        <v>2</v>
      </c>
      <c r="B9839" s="71" t="n">
        <v>46298</v>
      </c>
      <c r="C9839" s="0" t="n">
        <v>100</v>
      </c>
      <c r="D9839" s="0" t="s">
        <v>2499</v>
      </c>
      <c r="E9839" s="0" t="n">
        <v>48</v>
      </c>
      <c r="F9839" s="0" t="s">
        <v>153</v>
      </c>
      <c r="I9839" s="0" t="n">
        <v>1793427</v>
      </c>
      <c r="J9839" s="0" t="n">
        <v>100638</v>
      </c>
      <c r="K9839" s="0" t="n">
        <v>508</v>
      </c>
      <c r="L9839" s="0" t="s">
        <v>2496</v>
      </c>
      <c r="N9839" s="0" t="n">
        <v>0.3</v>
      </c>
      <c r="O9839" s="0" t="n">
        <v>0.74</v>
      </c>
      <c r="P9839" s="0" t="s">
        <v>2444</v>
      </c>
    </row>
    <row r="9840" customFormat="false" ht="12.75" hidden="false" customHeight="false" outlineLevel="0" collapsed="false">
      <c r="A9840" s="0" t="n">
        <v>2</v>
      </c>
      <c r="B9840" s="71" t="n">
        <v>46298</v>
      </c>
      <c r="C9840" s="0" t="n">
        <v>100</v>
      </c>
      <c r="D9840" s="0" t="s">
        <v>2499</v>
      </c>
      <c r="E9840" s="0" t="n">
        <v>48</v>
      </c>
      <c r="F9840" s="0" t="s">
        <v>153</v>
      </c>
      <c r="I9840" s="0" t="n">
        <v>1793427</v>
      </c>
      <c r="J9840" s="0" t="n">
        <v>110137</v>
      </c>
      <c r="K9840" s="0" t="n">
        <v>13899</v>
      </c>
      <c r="L9840" s="0" t="s">
        <v>3780</v>
      </c>
      <c r="N9840" s="0" t="n">
        <v>13</v>
      </c>
      <c r="O9840" s="0" t="n">
        <v>53.72</v>
      </c>
      <c r="P9840" s="0" t="s">
        <v>2444</v>
      </c>
    </row>
    <row r="9841" customFormat="false" ht="12.75" hidden="false" customHeight="false" outlineLevel="0" collapsed="false">
      <c r="A9841" s="0" t="n">
        <v>2</v>
      </c>
      <c r="B9841" s="71" t="n">
        <v>46298</v>
      </c>
      <c r="C9841" s="0" t="n">
        <v>100</v>
      </c>
      <c r="D9841" s="0" t="s">
        <v>2499</v>
      </c>
      <c r="E9841" s="0" t="n">
        <v>48</v>
      </c>
      <c r="F9841" s="0" t="s">
        <v>153</v>
      </c>
      <c r="I9841" s="0" t="n">
        <v>1793427</v>
      </c>
      <c r="J9841" s="0" t="n">
        <v>110455</v>
      </c>
      <c r="K9841" s="0" t="n">
        <v>53212</v>
      </c>
      <c r="L9841" s="0" t="s">
        <v>2498</v>
      </c>
      <c r="N9841" s="0" t="n">
        <v>0.027</v>
      </c>
      <c r="O9841" s="0" t="n">
        <v>0</v>
      </c>
      <c r="P9841" s="0" t="s">
        <v>2444</v>
      </c>
    </row>
    <row r="9842" customFormat="false" ht="12.75" hidden="false" customHeight="false" outlineLevel="0" collapsed="false">
      <c r="A9842" s="0" t="n">
        <v>2</v>
      </c>
      <c r="B9842" s="71" t="n">
        <v>46298</v>
      </c>
      <c r="C9842" s="0" t="n">
        <v>100</v>
      </c>
      <c r="D9842" s="0" t="s">
        <v>2499</v>
      </c>
      <c r="E9842" s="0" t="n">
        <v>48</v>
      </c>
      <c r="F9842" s="0" t="s">
        <v>153</v>
      </c>
      <c r="I9842" s="0" t="n">
        <v>1793433</v>
      </c>
      <c r="J9842" s="0" t="n">
        <v>100000</v>
      </c>
      <c r="K9842" s="0" t="n">
        <v>1</v>
      </c>
      <c r="L9842" s="0" t="s">
        <v>2480</v>
      </c>
      <c r="N9842" s="0" t="n">
        <v>3.06</v>
      </c>
      <c r="O9842" s="0" t="n">
        <v>56.3</v>
      </c>
      <c r="P9842" s="0" t="s">
        <v>2444</v>
      </c>
    </row>
    <row r="9843" customFormat="false" ht="12.75" hidden="false" customHeight="false" outlineLevel="0" collapsed="false">
      <c r="A9843" s="0" t="n">
        <v>2</v>
      </c>
      <c r="B9843" s="71" t="n">
        <v>46298</v>
      </c>
      <c r="C9843" s="0" t="n">
        <v>100</v>
      </c>
      <c r="D9843" s="0" t="s">
        <v>2499</v>
      </c>
      <c r="E9843" s="0" t="n">
        <v>48</v>
      </c>
      <c r="F9843" s="0" t="s">
        <v>153</v>
      </c>
      <c r="I9843" s="0" t="n">
        <v>1793433</v>
      </c>
      <c r="J9843" s="0" t="n">
        <v>100001</v>
      </c>
      <c r="K9843" s="0" t="n">
        <v>2</v>
      </c>
      <c r="L9843" s="0" t="s">
        <v>2481</v>
      </c>
      <c r="N9843" s="0" t="n">
        <v>9.295</v>
      </c>
      <c r="O9843" s="0" t="n">
        <v>185.27</v>
      </c>
      <c r="P9843" s="0" t="s">
        <v>2444</v>
      </c>
    </row>
    <row r="9844" customFormat="false" ht="12.75" hidden="false" customHeight="false" outlineLevel="0" collapsed="false">
      <c r="A9844" s="0" t="n">
        <v>2</v>
      </c>
      <c r="B9844" s="71" t="n">
        <v>46298</v>
      </c>
      <c r="C9844" s="0" t="n">
        <v>100</v>
      </c>
      <c r="D9844" s="0" t="s">
        <v>2499</v>
      </c>
      <c r="E9844" s="0" t="n">
        <v>48</v>
      </c>
      <c r="F9844" s="0" t="s">
        <v>153</v>
      </c>
      <c r="I9844" s="0" t="n">
        <v>1793433</v>
      </c>
      <c r="J9844" s="0" t="n">
        <v>100002</v>
      </c>
      <c r="K9844" s="0" t="n">
        <v>3</v>
      </c>
      <c r="L9844" s="0" t="s">
        <v>2482</v>
      </c>
      <c r="N9844" s="0" t="n">
        <v>22.42</v>
      </c>
      <c r="O9844" s="0" t="n">
        <v>515.65</v>
      </c>
      <c r="P9844" s="0" t="s">
        <v>2444</v>
      </c>
    </row>
    <row r="9845" customFormat="false" ht="12.75" hidden="false" customHeight="false" outlineLevel="0" collapsed="false">
      <c r="A9845" s="0" t="n">
        <v>2</v>
      </c>
      <c r="B9845" s="71" t="n">
        <v>46298</v>
      </c>
      <c r="C9845" s="0" t="n">
        <v>100</v>
      </c>
      <c r="D9845" s="0" t="s">
        <v>2499</v>
      </c>
      <c r="E9845" s="0" t="n">
        <v>48</v>
      </c>
      <c r="F9845" s="0" t="s">
        <v>153</v>
      </c>
      <c r="I9845" s="0" t="n">
        <v>1793433</v>
      </c>
      <c r="J9845" s="0" t="n">
        <v>100003</v>
      </c>
      <c r="K9845" s="0" t="n">
        <v>4</v>
      </c>
      <c r="L9845" s="0" t="s">
        <v>2483</v>
      </c>
      <c r="N9845" s="0" t="n">
        <v>15.1</v>
      </c>
      <c r="O9845" s="0" t="n">
        <v>370.46</v>
      </c>
      <c r="P9845" s="0" t="s">
        <v>2444</v>
      </c>
    </row>
    <row r="9846" customFormat="false" ht="12.75" hidden="false" customHeight="false" outlineLevel="0" collapsed="false">
      <c r="A9846" s="0" t="n">
        <v>2</v>
      </c>
      <c r="B9846" s="71" t="n">
        <v>46298</v>
      </c>
      <c r="C9846" s="0" t="n">
        <v>100</v>
      </c>
      <c r="D9846" s="0" t="s">
        <v>2499</v>
      </c>
      <c r="E9846" s="0" t="n">
        <v>48</v>
      </c>
      <c r="F9846" s="0" t="s">
        <v>153</v>
      </c>
      <c r="I9846" s="0" t="n">
        <v>1793433</v>
      </c>
      <c r="J9846" s="0" t="n">
        <v>100004</v>
      </c>
      <c r="K9846" s="0" t="n">
        <v>5</v>
      </c>
      <c r="L9846" s="0" t="s">
        <v>2484</v>
      </c>
      <c r="N9846" s="0" t="n">
        <v>1.54</v>
      </c>
      <c r="O9846" s="0" t="n">
        <v>33.06</v>
      </c>
      <c r="P9846" s="0" t="s">
        <v>2444</v>
      </c>
    </row>
    <row r="9847" customFormat="false" ht="12.75" hidden="false" customHeight="false" outlineLevel="0" collapsed="false">
      <c r="A9847" s="0" t="n">
        <v>2</v>
      </c>
      <c r="B9847" s="71" t="n">
        <v>46298</v>
      </c>
      <c r="C9847" s="0" t="n">
        <v>100</v>
      </c>
      <c r="D9847" s="0" t="s">
        <v>2499</v>
      </c>
      <c r="E9847" s="0" t="n">
        <v>48</v>
      </c>
      <c r="F9847" s="0" t="s">
        <v>153</v>
      </c>
      <c r="I9847" s="0" t="n">
        <v>1793433</v>
      </c>
      <c r="J9847" s="0" t="n">
        <v>100007</v>
      </c>
      <c r="K9847" s="0" t="n">
        <v>8</v>
      </c>
      <c r="L9847" s="0" t="s">
        <v>2486</v>
      </c>
      <c r="N9847" s="0" t="n">
        <v>14.165</v>
      </c>
      <c r="O9847" s="0" t="n">
        <v>325.79</v>
      </c>
      <c r="P9847" s="0" t="s">
        <v>2444</v>
      </c>
    </row>
    <row r="9848" customFormat="false" ht="12.75" hidden="false" customHeight="false" outlineLevel="0" collapsed="false">
      <c r="A9848" s="0" t="n">
        <v>2</v>
      </c>
      <c r="B9848" s="71" t="n">
        <v>46298</v>
      </c>
      <c r="C9848" s="0" t="n">
        <v>100</v>
      </c>
      <c r="D9848" s="0" t="s">
        <v>2499</v>
      </c>
      <c r="E9848" s="0" t="n">
        <v>48</v>
      </c>
      <c r="F9848" s="0" t="s">
        <v>153</v>
      </c>
      <c r="I9848" s="0" t="n">
        <v>1793433</v>
      </c>
      <c r="J9848" s="0" t="n">
        <v>100009</v>
      </c>
      <c r="K9848" s="0" t="n">
        <v>10</v>
      </c>
      <c r="L9848" s="0" t="s">
        <v>4704</v>
      </c>
      <c r="N9848" s="0" t="n">
        <v>5.315</v>
      </c>
      <c r="O9848" s="0" t="n">
        <v>179.31</v>
      </c>
      <c r="P9848" s="0" t="s">
        <v>2444</v>
      </c>
    </row>
    <row r="9849" customFormat="false" ht="12.75" hidden="false" customHeight="false" outlineLevel="0" collapsed="false">
      <c r="A9849" s="0" t="n">
        <v>2</v>
      </c>
      <c r="B9849" s="71" t="n">
        <v>46298</v>
      </c>
      <c r="C9849" s="0" t="n">
        <v>100</v>
      </c>
      <c r="D9849" s="0" t="s">
        <v>2499</v>
      </c>
      <c r="E9849" s="0" t="n">
        <v>48</v>
      </c>
      <c r="F9849" s="0" t="s">
        <v>153</v>
      </c>
      <c r="I9849" s="0" t="n">
        <v>1793433</v>
      </c>
      <c r="J9849" s="0" t="n">
        <v>100638</v>
      </c>
      <c r="K9849" s="0" t="n">
        <v>508</v>
      </c>
      <c r="L9849" s="0" t="s">
        <v>2496</v>
      </c>
      <c r="N9849" s="0" t="n">
        <v>1.2</v>
      </c>
      <c r="O9849" s="0" t="n">
        <v>2.75</v>
      </c>
      <c r="P9849" s="0" t="s">
        <v>2444</v>
      </c>
    </row>
    <row r="9850" customFormat="false" ht="12.75" hidden="false" customHeight="false" outlineLevel="0" collapsed="false">
      <c r="A9850" s="0" t="n">
        <v>2</v>
      </c>
      <c r="B9850" s="71" t="n">
        <v>46298</v>
      </c>
      <c r="C9850" s="0" t="n">
        <v>100</v>
      </c>
      <c r="D9850" s="0" t="s">
        <v>2499</v>
      </c>
      <c r="E9850" s="0" t="n">
        <v>48</v>
      </c>
      <c r="F9850" s="0" t="s">
        <v>153</v>
      </c>
      <c r="I9850" s="0" t="n">
        <v>1793433</v>
      </c>
      <c r="J9850" s="0" t="n">
        <v>110137</v>
      </c>
      <c r="K9850" s="0" t="n">
        <v>13899</v>
      </c>
      <c r="L9850" s="0" t="s">
        <v>3780</v>
      </c>
      <c r="N9850" s="0" t="n">
        <v>3.768</v>
      </c>
      <c r="O9850" s="0" t="n">
        <v>14.42</v>
      </c>
      <c r="P9850" s="0" t="s">
        <v>2444</v>
      </c>
    </row>
    <row r="9851" customFormat="false" ht="12.75" hidden="false" customHeight="false" outlineLevel="0" collapsed="false">
      <c r="A9851" s="0" t="n">
        <v>2</v>
      </c>
      <c r="B9851" s="71" t="n">
        <v>46298</v>
      </c>
      <c r="C9851" s="0" t="n">
        <v>100</v>
      </c>
      <c r="D9851" s="0" t="s">
        <v>2499</v>
      </c>
      <c r="E9851" s="0" t="n">
        <v>48</v>
      </c>
      <c r="F9851" s="0" t="s">
        <v>153</v>
      </c>
      <c r="I9851" s="0" t="n">
        <v>1793433</v>
      </c>
      <c r="J9851" s="0" t="n">
        <v>110455</v>
      </c>
      <c r="K9851" s="0" t="n">
        <v>53212</v>
      </c>
      <c r="L9851" s="0" t="s">
        <v>2498</v>
      </c>
      <c r="N9851" s="0" t="n">
        <v>0.637</v>
      </c>
      <c r="O9851" s="0" t="n">
        <v>0</v>
      </c>
      <c r="P9851" s="0" t="s">
        <v>2444</v>
      </c>
    </row>
    <row r="9852" customFormat="false" ht="12.75" hidden="false" customHeight="false" outlineLevel="0" collapsed="false">
      <c r="A9852" s="0" t="n">
        <v>2</v>
      </c>
      <c r="B9852" s="71" t="n">
        <v>46298</v>
      </c>
      <c r="C9852" s="0" t="n">
        <v>100</v>
      </c>
      <c r="D9852" s="0" t="s">
        <v>2499</v>
      </c>
      <c r="E9852" s="0" t="n">
        <v>48</v>
      </c>
      <c r="F9852" s="0" t="s">
        <v>153</v>
      </c>
      <c r="I9852" s="0" t="n">
        <v>1793438</v>
      </c>
      <c r="J9852" s="0" t="n">
        <v>100004</v>
      </c>
      <c r="K9852" s="0" t="n">
        <v>5</v>
      </c>
      <c r="L9852" s="0" t="s">
        <v>2484</v>
      </c>
      <c r="N9852" s="0" t="n">
        <v>1.294</v>
      </c>
      <c r="O9852" s="0" t="n">
        <v>31</v>
      </c>
      <c r="P9852" s="0" t="s">
        <v>2444</v>
      </c>
    </row>
    <row r="9853" customFormat="false" ht="12.75" hidden="false" customHeight="false" outlineLevel="0" collapsed="false">
      <c r="A9853" s="0" t="n">
        <v>2</v>
      </c>
      <c r="B9853" s="71" t="n">
        <v>46298</v>
      </c>
      <c r="C9853" s="0" t="n">
        <v>100</v>
      </c>
      <c r="D9853" s="0" t="s">
        <v>2499</v>
      </c>
      <c r="E9853" s="0" t="n">
        <v>48</v>
      </c>
      <c r="F9853" s="0" t="s">
        <v>153</v>
      </c>
      <c r="I9853" s="0" t="n">
        <v>1793438</v>
      </c>
      <c r="J9853" s="0" t="n">
        <v>100007</v>
      </c>
      <c r="K9853" s="0" t="n">
        <v>8</v>
      </c>
      <c r="L9853" s="0" t="s">
        <v>2486</v>
      </c>
      <c r="N9853" s="0" t="n">
        <v>1.476</v>
      </c>
      <c r="O9853" s="0" t="n">
        <v>37.89</v>
      </c>
      <c r="P9853" s="0" t="s">
        <v>2444</v>
      </c>
    </row>
    <row r="9854" customFormat="false" ht="12.75" hidden="false" customHeight="false" outlineLevel="0" collapsed="false">
      <c r="A9854" s="0" t="n">
        <v>2</v>
      </c>
      <c r="B9854" s="71" t="n">
        <v>46298</v>
      </c>
      <c r="C9854" s="0" t="n">
        <v>100</v>
      </c>
      <c r="D9854" s="0" t="s">
        <v>2499</v>
      </c>
      <c r="E9854" s="0" t="n">
        <v>48</v>
      </c>
      <c r="F9854" s="0" t="s">
        <v>153</v>
      </c>
      <c r="I9854" s="0" t="n">
        <v>1793438</v>
      </c>
      <c r="J9854" s="0" t="n">
        <v>100008</v>
      </c>
      <c r="K9854" s="0" t="n">
        <v>9</v>
      </c>
      <c r="L9854" s="0" t="s">
        <v>2487</v>
      </c>
      <c r="N9854" s="0" t="n">
        <v>5.332</v>
      </c>
      <c r="O9854" s="0" t="n">
        <v>177.95</v>
      </c>
      <c r="P9854" s="0" t="s">
        <v>2444</v>
      </c>
    </row>
    <row r="9855" customFormat="false" ht="12.75" hidden="false" customHeight="false" outlineLevel="0" collapsed="false">
      <c r="A9855" s="0" t="n">
        <v>2</v>
      </c>
      <c r="B9855" s="71" t="n">
        <v>46298</v>
      </c>
      <c r="C9855" s="0" t="n">
        <v>100</v>
      </c>
      <c r="D9855" s="0" t="s">
        <v>2499</v>
      </c>
      <c r="E9855" s="0" t="n">
        <v>48</v>
      </c>
      <c r="F9855" s="0" t="s">
        <v>153</v>
      </c>
      <c r="I9855" s="0" t="n">
        <v>1793438</v>
      </c>
      <c r="J9855" s="0" t="n">
        <v>100016</v>
      </c>
      <c r="K9855" s="0" t="n">
        <v>17</v>
      </c>
      <c r="L9855" s="0" t="s">
        <v>2493</v>
      </c>
      <c r="N9855" s="0" t="n">
        <v>3.2</v>
      </c>
      <c r="O9855" s="0" t="n">
        <v>164.32</v>
      </c>
      <c r="P9855" s="0" t="s">
        <v>2444</v>
      </c>
    </row>
    <row r="9856" customFormat="false" ht="12.75" hidden="false" customHeight="false" outlineLevel="0" collapsed="false">
      <c r="A9856" s="0" t="n">
        <v>2</v>
      </c>
      <c r="B9856" s="71" t="n">
        <v>46298</v>
      </c>
      <c r="C9856" s="0" t="n">
        <v>100</v>
      </c>
      <c r="D9856" s="0" t="s">
        <v>2499</v>
      </c>
      <c r="E9856" s="0" t="n">
        <v>48</v>
      </c>
      <c r="F9856" s="0" t="s">
        <v>153</v>
      </c>
      <c r="I9856" s="0" t="n">
        <v>1793438</v>
      </c>
      <c r="J9856" s="0" t="n">
        <v>100018</v>
      </c>
      <c r="K9856" s="0" t="n">
        <v>19</v>
      </c>
      <c r="L9856" s="0" t="s">
        <v>3883</v>
      </c>
      <c r="N9856" s="0" t="n">
        <v>5.848</v>
      </c>
      <c r="O9856" s="0" t="n">
        <v>275.26</v>
      </c>
      <c r="P9856" s="0" t="s">
        <v>2444</v>
      </c>
    </row>
    <row r="9857" customFormat="false" ht="12.75" hidden="false" customHeight="false" outlineLevel="0" collapsed="false">
      <c r="A9857" s="0" t="n">
        <v>2</v>
      </c>
      <c r="B9857" s="71" t="n">
        <v>46298</v>
      </c>
      <c r="C9857" s="0" t="n">
        <v>100</v>
      </c>
      <c r="D9857" s="0" t="s">
        <v>2499</v>
      </c>
      <c r="E9857" s="0" t="n">
        <v>48</v>
      </c>
      <c r="F9857" s="0" t="s">
        <v>153</v>
      </c>
      <c r="I9857" s="0" t="n">
        <v>1793438</v>
      </c>
      <c r="J9857" s="0" t="n">
        <v>100053</v>
      </c>
      <c r="K9857" s="0" t="n">
        <v>54</v>
      </c>
      <c r="L9857" s="0" t="s">
        <v>2495</v>
      </c>
      <c r="N9857" s="0" t="n">
        <v>2.664</v>
      </c>
      <c r="O9857" s="0" t="n">
        <v>100.31</v>
      </c>
      <c r="P9857" s="0" t="s">
        <v>2444</v>
      </c>
    </row>
    <row r="9858" customFormat="false" ht="12.75" hidden="false" customHeight="false" outlineLevel="0" collapsed="false">
      <c r="A9858" s="0" t="n">
        <v>2</v>
      </c>
      <c r="B9858" s="71" t="n">
        <v>46298</v>
      </c>
      <c r="C9858" s="0" t="n">
        <v>100</v>
      </c>
      <c r="D9858" s="0" t="s">
        <v>2499</v>
      </c>
      <c r="E9858" s="0" t="n">
        <v>48</v>
      </c>
      <c r="F9858" s="0" t="s">
        <v>153</v>
      </c>
      <c r="I9858" s="0" t="n">
        <v>1793438</v>
      </c>
      <c r="J9858" s="0" t="n">
        <v>100520</v>
      </c>
      <c r="K9858" s="0" t="n">
        <v>507</v>
      </c>
      <c r="L9858" s="0" t="s">
        <v>2497</v>
      </c>
      <c r="N9858" s="0" t="n">
        <v>5.186</v>
      </c>
      <c r="O9858" s="0" t="n">
        <v>13.27</v>
      </c>
      <c r="P9858" s="0" t="s">
        <v>2444</v>
      </c>
    </row>
    <row r="9859" customFormat="false" ht="12.75" hidden="false" customHeight="false" outlineLevel="0" collapsed="false">
      <c r="A9859" s="0" t="n">
        <v>2</v>
      </c>
      <c r="B9859" s="71" t="n">
        <v>46298</v>
      </c>
      <c r="C9859" s="0" t="n">
        <v>100</v>
      </c>
      <c r="D9859" s="0" t="s">
        <v>2499</v>
      </c>
      <c r="E9859" s="0" t="n">
        <v>48</v>
      </c>
      <c r="F9859" s="0" t="s">
        <v>153</v>
      </c>
      <c r="I9859" s="0" t="n">
        <v>1793444</v>
      </c>
      <c r="J9859" s="0" t="n">
        <v>100008</v>
      </c>
      <c r="K9859" s="0" t="n">
        <v>9</v>
      </c>
      <c r="L9859" s="0" t="s">
        <v>2487</v>
      </c>
      <c r="N9859" s="0" t="n">
        <v>18.846</v>
      </c>
      <c r="O9859" s="0" t="n">
        <v>602.45</v>
      </c>
      <c r="P9859" s="0" t="s">
        <v>2444</v>
      </c>
    </row>
    <row r="9860" customFormat="false" ht="12.75" hidden="false" customHeight="false" outlineLevel="0" collapsed="false">
      <c r="A9860" s="0" t="n">
        <v>2</v>
      </c>
      <c r="B9860" s="71" t="n">
        <v>46298</v>
      </c>
      <c r="C9860" s="0" t="n">
        <v>100</v>
      </c>
      <c r="D9860" s="0" t="s">
        <v>2499</v>
      </c>
      <c r="E9860" s="0" t="n">
        <v>48</v>
      </c>
      <c r="F9860" s="0" t="s">
        <v>153</v>
      </c>
      <c r="I9860" s="0" t="n">
        <v>1793444</v>
      </c>
      <c r="J9860" s="0" t="n">
        <v>100016</v>
      </c>
      <c r="K9860" s="0" t="n">
        <v>17</v>
      </c>
      <c r="L9860" s="0" t="s">
        <v>2493</v>
      </c>
      <c r="N9860" s="0" t="n">
        <v>2.904</v>
      </c>
      <c r="O9860" s="0" t="n">
        <v>142.83</v>
      </c>
      <c r="P9860" s="0" t="s">
        <v>2444</v>
      </c>
    </row>
    <row r="9861" customFormat="false" ht="12.75" hidden="false" customHeight="false" outlineLevel="0" collapsed="false">
      <c r="A9861" s="0" t="n">
        <v>2</v>
      </c>
      <c r="B9861" s="71" t="n">
        <v>46298</v>
      </c>
      <c r="C9861" s="0" t="n">
        <v>100</v>
      </c>
      <c r="D9861" s="0" t="s">
        <v>2499</v>
      </c>
      <c r="E9861" s="0" t="n">
        <v>48</v>
      </c>
      <c r="F9861" s="0" t="s">
        <v>153</v>
      </c>
      <c r="I9861" s="0" t="n">
        <v>1793444</v>
      </c>
      <c r="J9861" s="0" t="n">
        <v>100053</v>
      </c>
      <c r="K9861" s="0" t="n">
        <v>54</v>
      </c>
      <c r="L9861" s="0" t="s">
        <v>2495</v>
      </c>
      <c r="N9861" s="0" t="n">
        <v>2.27</v>
      </c>
      <c r="O9861" s="0" t="n">
        <v>81.87</v>
      </c>
      <c r="P9861" s="0" t="s">
        <v>2444</v>
      </c>
    </row>
    <row r="9862" customFormat="false" ht="12.75" hidden="false" customHeight="false" outlineLevel="0" collapsed="false">
      <c r="A9862" s="0" t="n">
        <v>2</v>
      </c>
      <c r="B9862" s="71" t="n">
        <v>46298</v>
      </c>
      <c r="C9862" s="0" t="n">
        <v>100</v>
      </c>
      <c r="D9862" s="0" t="s">
        <v>2499</v>
      </c>
      <c r="E9862" s="0" t="n">
        <v>48</v>
      </c>
      <c r="F9862" s="0" t="s">
        <v>153</v>
      </c>
      <c r="I9862" s="0" t="n">
        <v>1793444</v>
      </c>
      <c r="J9862" s="0" t="n">
        <v>100520</v>
      </c>
      <c r="K9862" s="0" t="n">
        <v>507</v>
      </c>
      <c r="L9862" s="0" t="s">
        <v>2497</v>
      </c>
      <c r="N9862" s="0" t="n">
        <v>1.98</v>
      </c>
      <c r="O9862" s="0" t="n">
        <v>4.85</v>
      </c>
      <c r="P9862" s="0" t="s">
        <v>2444</v>
      </c>
    </row>
    <row r="9863" customFormat="false" ht="12.75" hidden="false" customHeight="false" outlineLevel="0" collapsed="false">
      <c r="A9863" s="0" t="n">
        <v>2</v>
      </c>
      <c r="B9863" s="71" t="n">
        <v>46300</v>
      </c>
      <c r="C9863" s="0" t="n">
        <v>6</v>
      </c>
      <c r="D9863" s="0" t="s">
        <v>2553</v>
      </c>
      <c r="E9863" s="0" t="n">
        <v>48</v>
      </c>
      <c r="F9863" s="0" t="s">
        <v>153</v>
      </c>
      <c r="I9863" s="0" t="n">
        <v>2720</v>
      </c>
      <c r="J9863" s="0" t="n">
        <v>42564</v>
      </c>
      <c r="K9863" s="0" t="n">
        <v>574</v>
      </c>
      <c r="L9863" s="0" t="s">
        <v>2534</v>
      </c>
      <c r="N9863" s="0" t="n">
        <v>20</v>
      </c>
      <c r="O9863" s="0" t="n">
        <v>300</v>
      </c>
      <c r="P9863" s="0" t="s">
        <v>2444</v>
      </c>
    </row>
    <row r="9864" customFormat="false" ht="12.75" hidden="false" customHeight="false" outlineLevel="0" collapsed="false">
      <c r="A9864" s="0" t="n">
        <v>2</v>
      </c>
      <c r="B9864" s="71" t="n">
        <v>46300</v>
      </c>
      <c r="C9864" s="0" t="n">
        <v>6</v>
      </c>
      <c r="D9864" s="0" t="s">
        <v>2553</v>
      </c>
      <c r="E9864" s="0" t="n">
        <v>48</v>
      </c>
      <c r="F9864" s="0" t="s">
        <v>153</v>
      </c>
      <c r="I9864" s="0" t="n">
        <v>2721</v>
      </c>
      <c r="J9864" s="0" t="n">
        <v>110142</v>
      </c>
      <c r="K9864" s="0" t="n">
        <v>16699</v>
      </c>
      <c r="L9864" s="0" t="s">
        <v>2549</v>
      </c>
      <c r="N9864" s="0" t="n">
        <v>40</v>
      </c>
      <c r="O9864" s="0" t="n">
        <v>240</v>
      </c>
      <c r="P9864" s="0" t="s">
        <v>2444</v>
      </c>
    </row>
    <row r="9865" customFormat="false" ht="12.75" hidden="false" customHeight="false" outlineLevel="0" collapsed="false">
      <c r="A9865" s="0" t="n">
        <v>2</v>
      </c>
      <c r="B9865" s="71" t="n">
        <v>46300</v>
      </c>
      <c r="C9865" s="0" t="n">
        <v>11</v>
      </c>
      <c r="D9865" s="0" t="s">
        <v>2471</v>
      </c>
      <c r="E9865" s="0" t="n">
        <v>10018</v>
      </c>
      <c r="F9865" s="0" t="s">
        <v>216</v>
      </c>
      <c r="I9865" s="0" t="n">
        <v>400</v>
      </c>
      <c r="J9865" s="0" t="n">
        <v>100933</v>
      </c>
      <c r="K9865" s="0" t="n">
        <v>7896982100059</v>
      </c>
      <c r="L9865" s="0" t="s">
        <v>2500</v>
      </c>
      <c r="N9865" s="0" t="n">
        <v>1080</v>
      </c>
      <c r="O9865" s="0" t="n">
        <v>519</v>
      </c>
      <c r="P9865" s="0" t="s">
        <v>2444</v>
      </c>
    </row>
    <row r="9866" customFormat="false" ht="12.75" hidden="false" customHeight="false" outlineLevel="0" collapsed="false">
      <c r="A9866" s="0" t="n">
        <v>2</v>
      </c>
      <c r="B9866" s="71" t="n">
        <v>46300</v>
      </c>
      <c r="C9866" s="0" t="n">
        <v>11</v>
      </c>
      <c r="D9866" s="0" t="s">
        <v>2471</v>
      </c>
      <c r="E9866" s="0" t="n">
        <v>1899</v>
      </c>
      <c r="F9866" s="0" t="s">
        <v>204</v>
      </c>
      <c r="I9866" s="0" t="n">
        <v>838</v>
      </c>
      <c r="J9866" s="0" t="n">
        <v>44588</v>
      </c>
      <c r="K9866" s="0" t="n">
        <v>7898904331091</v>
      </c>
      <c r="L9866" s="0" t="s">
        <v>2443</v>
      </c>
      <c r="N9866" s="0" t="n">
        <v>10</v>
      </c>
      <c r="O9866" s="0" t="n">
        <v>49.9</v>
      </c>
      <c r="P9866" s="0" t="s">
        <v>2444</v>
      </c>
    </row>
    <row r="9867" customFormat="false" ht="12.75" hidden="false" customHeight="false" outlineLevel="0" collapsed="false">
      <c r="A9867" s="0" t="n">
        <v>2</v>
      </c>
      <c r="B9867" s="71" t="n">
        <v>46300</v>
      </c>
      <c r="C9867" s="0" t="n">
        <v>11</v>
      </c>
      <c r="D9867" s="0" t="s">
        <v>2471</v>
      </c>
      <c r="E9867" s="0" t="n">
        <v>1899</v>
      </c>
      <c r="F9867" s="0" t="s">
        <v>204</v>
      </c>
      <c r="I9867" s="0" t="n">
        <v>838</v>
      </c>
      <c r="J9867" s="0" t="n">
        <v>77463</v>
      </c>
      <c r="K9867" s="0" t="n">
        <v>774642</v>
      </c>
      <c r="L9867" s="0" t="s">
        <v>2445</v>
      </c>
      <c r="N9867" s="0" t="n">
        <v>20</v>
      </c>
      <c r="O9867" s="0" t="n">
        <v>90</v>
      </c>
      <c r="P9867" s="0" t="s">
        <v>2444</v>
      </c>
    </row>
    <row r="9868" customFormat="false" ht="12.75" hidden="false" customHeight="false" outlineLevel="0" collapsed="false">
      <c r="A9868" s="0" t="n">
        <v>2</v>
      </c>
      <c r="B9868" s="71" t="n">
        <v>46300</v>
      </c>
      <c r="C9868" s="0" t="n">
        <v>11</v>
      </c>
      <c r="D9868" s="0" t="s">
        <v>2471</v>
      </c>
      <c r="E9868" s="0" t="n">
        <v>1899</v>
      </c>
      <c r="F9868" s="0" t="s">
        <v>204</v>
      </c>
      <c r="I9868" s="0" t="n">
        <v>838</v>
      </c>
      <c r="J9868" s="0" t="n">
        <v>78013</v>
      </c>
      <c r="K9868" s="0" t="n">
        <v>780148</v>
      </c>
      <c r="L9868" s="0" t="s">
        <v>2584</v>
      </c>
      <c r="N9868" s="0" t="n">
        <v>5</v>
      </c>
      <c r="O9868" s="0" t="n">
        <v>22.5</v>
      </c>
      <c r="P9868" s="0" t="s">
        <v>2444</v>
      </c>
    </row>
    <row r="9869" customFormat="false" ht="12.75" hidden="false" customHeight="false" outlineLevel="0" collapsed="false">
      <c r="A9869" s="0" t="n">
        <v>2</v>
      </c>
      <c r="B9869" s="71" t="n">
        <v>46300</v>
      </c>
      <c r="C9869" s="0" t="n">
        <v>11</v>
      </c>
      <c r="D9869" s="0" t="s">
        <v>2471</v>
      </c>
      <c r="E9869" s="0" t="n">
        <v>1292</v>
      </c>
      <c r="F9869" s="0" t="s">
        <v>209</v>
      </c>
      <c r="I9869" s="0" t="n">
        <v>4230</v>
      </c>
      <c r="J9869" s="0" t="n">
        <v>58633</v>
      </c>
      <c r="K9869" s="0" t="n">
        <v>7891164025250</v>
      </c>
      <c r="L9869" s="0" t="s">
        <v>2448</v>
      </c>
      <c r="N9869" s="0" t="n">
        <v>50</v>
      </c>
      <c r="O9869" s="0" t="n">
        <v>449.5</v>
      </c>
      <c r="P9869" s="0" t="s">
        <v>2444</v>
      </c>
    </row>
    <row r="9870" customFormat="false" ht="12.75" hidden="false" customHeight="false" outlineLevel="0" collapsed="false">
      <c r="A9870" s="0" t="n">
        <v>2</v>
      </c>
      <c r="B9870" s="71" t="n">
        <v>46300</v>
      </c>
      <c r="C9870" s="0" t="n">
        <v>11</v>
      </c>
      <c r="D9870" s="0" t="s">
        <v>2471</v>
      </c>
      <c r="E9870" s="0" t="n">
        <v>1292</v>
      </c>
      <c r="F9870" s="0" t="s">
        <v>209</v>
      </c>
      <c r="I9870" s="0" t="n">
        <v>4230</v>
      </c>
      <c r="J9870" s="0" t="n">
        <v>82078</v>
      </c>
      <c r="K9870" s="0" t="n">
        <v>87946594534</v>
      </c>
      <c r="L9870" s="0" t="s">
        <v>4681</v>
      </c>
      <c r="N9870" s="0" t="n">
        <v>30</v>
      </c>
      <c r="O9870" s="0" t="n">
        <v>168</v>
      </c>
      <c r="P9870" s="0" t="s">
        <v>2444</v>
      </c>
    </row>
    <row r="9871" customFormat="false" ht="12.75" hidden="false" customHeight="false" outlineLevel="0" collapsed="false">
      <c r="A9871" s="0" t="n">
        <v>2</v>
      </c>
      <c r="B9871" s="71" t="n">
        <v>46300</v>
      </c>
      <c r="C9871" s="0" t="n">
        <v>11</v>
      </c>
      <c r="D9871" s="0" t="s">
        <v>2471</v>
      </c>
      <c r="E9871" s="0" t="n">
        <v>1631</v>
      </c>
      <c r="F9871" s="0" t="s">
        <v>299</v>
      </c>
      <c r="I9871" s="0" t="n">
        <v>15466</v>
      </c>
      <c r="J9871" s="0" t="n">
        <v>108539</v>
      </c>
      <c r="K9871" s="0" t="n">
        <v>7898185800170</v>
      </c>
      <c r="L9871" s="0" t="s">
        <v>2451</v>
      </c>
      <c r="N9871" s="0" t="n">
        <v>5</v>
      </c>
      <c r="O9871" s="0" t="n">
        <v>20.67</v>
      </c>
      <c r="P9871" s="0" t="s">
        <v>2444</v>
      </c>
    </row>
    <row r="9872" customFormat="false" ht="12.75" hidden="false" customHeight="false" outlineLevel="0" collapsed="false">
      <c r="A9872" s="0" t="n">
        <v>2</v>
      </c>
      <c r="B9872" s="71" t="n">
        <v>46300</v>
      </c>
      <c r="C9872" s="0" t="n">
        <v>11</v>
      </c>
      <c r="D9872" s="0" t="s">
        <v>2471</v>
      </c>
      <c r="E9872" s="0" t="n">
        <v>1631</v>
      </c>
      <c r="F9872" s="0" t="s">
        <v>299</v>
      </c>
      <c r="I9872" s="0" t="n">
        <v>15466</v>
      </c>
      <c r="J9872" s="0" t="n">
        <v>14393</v>
      </c>
      <c r="K9872" s="0" t="n">
        <v>7898185800125</v>
      </c>
      <c r="L9872" s="0" t="s">
        <v>2453</v>
      </c>
      <c r="N9872" s="0" t="n">
        <v>10</v>
      </c>
      <c r="O9872" s="0" t="n">
        <v>41.35</v>
      </c>
      <c r="P9872" s="0" t="s">
        <v>2444</v>
      </c>
    </row>
    <row r="9873" customFormat="false" ht="12.75" hidden="false" customHeight="false" outlineLevel="0" collapsed="false">
      <c r="A9873" s="0" t="n">
        <v>2</v>
      </c>
      <c r="B9873" s="71" t="n">
        <v>46300</v>
      </c>
      <c r="C9873" s="0" t="n">
        <v>11</v>
      </c>
      <c r="D9873" s="0" t="s">
        <v>2471</v>
      </c>
      <c r="E9873" s="0" t="n">
        <v>1631</v>
      </c>
      <c r="F9873" s="0" t="s">
        <v>299</v>
      </c>
      <c r="I9873" s="0" t="n">
        <v>15466</v>
      </c>
      <c r="J9873" s="0" t="n">
        <v>19882</v>
      </c>
      <c r="K9873" s="0" t="n">
        <v>7898185800156</v>
      </c>
      <c r="L9873" s="0" t="s">
        <v>2454</v>
      </c>
      <c r="N9873" s="0" t="n">
        <v>3</v>
      </c>
      <c r="O9873" s="0" t="n">
        <v>12.4</v>
      </c>
      <c r="P9873" s="0" t="s">
        <v>2444</v>
      </c>
    </row>
    <row r="9874" customFormat="false" ht="12.75" hidden="false" customHeight="false" outlineLevel="0" collapsed="false">
      <c r="A9874" s="0" t="n">
        <v>2</v>
      </c>
      <c r="B9874" s="71" t="n">
        <v>46300</v>
      </c>
      <c r="C9874" s="0" t="n">
        <v>11</v>
      </c>
      <c r="D9874" s="0" t="s">
        <v>2471</v>
      </c>
      <c r="E9874" s="0" t="n">
        <v>1631</v>
      </c>
      <c r="F9874" s="0" t="s">
        <v>299</v>
      </c>
      <c r="I9874" s="0" t="n">
        <v>15466</v>
      </c>
      <c r="J9874" s="0" t="n">
        <v>24098</v>
      </c>
      <c r="K9874" s="0" t="n">
        <v>7898185800385</v>
      </c>
      <c r="L9874" s="0" t="s">
        <v>2455</v>
      </c>
      <c r="N9874" s="0" t="n">
        <v>20</v>
      </c>
      <c r="O9874" s="0" t="n">
        <v>75.18</v>
      </c>
      <c r="P9874" s="0" t="s">
        <v>2444</v>
      </c>
    </row>
    <row r="9875" customFormat="false" ht="12.75" hidden="false" customHeight="false" outlineLevel="0" collapsed="false">
      <c r="A9875" s="0" t="n">
        <v>2</v>
      </c>
      <c r="B9875" s="71" t="n">
        <v>46300</v>
      </c>
      <c r="C9875" s="0" t="n">
        <v>11</v>
      </c>
      <c r="D9875" s="0" t="s">
        <v>2471</v>
      </c>
      <c r="E9875" s="0" t="n">
        <v>1631</v>
      </c>
      <c r="F9875" s="0" t="s">
        <v>299</v>
      </c>
      <c r="I9875" s="0" t="n">
        <v>15466</v>
      </c>
      <c r="J9875" s="0" t="n">
        <v>25555</v>
      </c>
      <c r="K9875" s="0" t="n">
        <v>7898185800200</v>
      </c>
      <c r="L9875" s="0" t="s">
        <v>2456</v>
      </c>
      <c r="N9875" s="0" t="n">
        <v>3</v>
      </c>
      <c r="O9875" s="0" t="n">
        <v>24.81</v>
      </c>
      <c r="P9875" s="0" t="s">
        <v>2444</v>
      </c>
    </row>
    <row r="9876" customFormat="false" ht="12.75" hidden="false" customHeight="false" outlineLevel="0" collapsed="false">
      <c r="A9876" s="0" t="n">
        <v>2</v>
      </c>
      <c r="B9876" s="71" t="n">
        <v>46300</v>
      </c>
      <c r="C9876" s="0" t="n">
        <v>11</v>
      </c>
      <c r="D9876" s="0" t="s">
        <v>2471</v>
      </c>
      <c r="E9876" s="0" t="n">
        <v>1631</v>
      </c>
      <c r="F9876" s="0" t="s">
        <v>299</v>
      </c>
      <c r="I9876" s="0" t="n">
        <v>15466</v>
      </c>
      <c r="J9876" s="0" t="n">
        <v>26574</v>
      </c>
      <c r="K9876" s="0" t="n">
        <v>7898185800217</v>
      </c>
      <c r="L9876" s="0" t="s">
        <v>2458</v>
      </c>
      <c r="N9876" s="0" t="n">
        <v>3</v>
      </c>
      <c r="O9876" s="0" t="n">
        <v>24.81</v>
      </c>
      <c r="P9876" s="0" t="s">
        <v>2444</v>
      </c>
    </row>
    <row r="9877" customFormat="false" ht="12.75" hidden="false" customHeight="false" outlineLevel="0" collapsed="false">
      <c r="A9877" s="0" t="n">
        <v>2</v>
      </c>
      <c r="B9877" s="71" t="n">
        <v>46300</v>
      </c>
      <c r="C9877" s="0" t="n">
        <v>11</v>
      </c>
      <c r="D9877" s="0" t="s">
        <v>2471</v>
      </c>
      <c r="E9877" s="0" t="n">
        <v>1631</v>
      </c>
      <c r="F9877" s="0" t="s">
        <v>299</v>
      </c>
      <c r="I9877" s="0" t="n">
        <v>15466</v>
      </c>
      <c r="J9877" s="0" t="n">
        <v>30684</v>
      </c>
      <c r="K9877" s="0" t="n">
        <v>7898185800453</v>
      </c>
      <c r="L9877" s="0" t="s">
        <v>2459</v>
      </c>
      <c r="N9877" s="0" t="n">
        <v>30</v>
      </c>
      <c r="O9877" s="0" t="n">
        <v>33.83</v>
      </c>
      <c r="P9877" s="0" t="s">
        <v>2444</v>
      </c>
    </row>
    <row r="9878" customFormat="false" ht="12.75" hidden="false" customHeight="false" outlineLevel="0" collapsed="false">
      <c r="A9878" s="0" t="n">
        <v>2</v>
      </c>
      <c r="B9878" s="71" t="n">
        <v>46300</v>
      </c>
      <c r="C9878" s="0" t="n">
        <v>11</v>
      </c>
      <c r="D9878" s="0" t="s">
        <v>2471</v>
      </c>
      <c r="E9878" s="0" t="n">
        <v>1631</v>
      </c>
      <c r="F9878" s="0" t="s">
        <v>299</v>
      </c>
      <c r="I9878" s="0" t="n">
        <v>15466</v>
      </c>
      <c r="J9878" s="0" t="n">
        <v>41356</v>
      </c>
      <c r="K9878" s="0" t="n">
        <v>7898185800163</v>
      </c>
      <c r="L9878" s="0" t="s">
        <v>2460</v>
      </c>
      <c r="N9878" s="0" t="n">
        <v>5</v>
      </c>
      <c r="O9878" s="0" t="n">
        <v>20.67</v>
      </c>
      <c r="P9878" s="0" t="s">
        <v>2444</v>
      </c>
    </row>
    <row r="9879" customFormat="false" ht="12.75" hidden="false" customHeight="false" outlineLevel="0" collapsed="false">
      <c r="A9879" s="0" t="n">
        <v>2</v>
      </c>
      <c r="B9879" s="71" t="n">
        <v>46300</v>
      </c>
      <c r="C9879" s="0" t="n">
        <v>11</v>
      </c>
      <c r="D9879" s="0" t="s">
        <v>2471</v>
      </c>
      <c r="E9879" s="0" t="n">
        <v>1625</v>
      </c>
      <c r="F9879" s="0" t="s">
        <v>270</v>
      </c>
      <c r="I9879" s="0" t="n">
        <v>15538</v>
      </c>
      <c r="J9879" s="0" t="n">
        <v>29079</v>
      </c>
      <c r="K9879" s="0" t="n">
        <v>55515</v>
      </c>
      <c r="L9879" s="0" t="s">
        <v>2449</v>
      </c>
      <c r="N9879" s="0" t="n">
        <v>83</v>
      </c>
      <c r="O9879" s="0" t="n">
        <v>2656</v>
      </c>
      <c r="P9879" s="0" t="s">
        <v>2444</v>
      </c>
    </row>
    <row r="9880" customFormat="false" ht="12.75" hidden="false" customHeight="false" outlineLevel="0" collapsed="false">
      <c r="A9880" s="0" t="n">
        <v>2</v>
      </c>
      <c r="B9880" s="71" t="n">
        <v>46300</v>
      </c>
      <c r="C9880" s="0" t="n">
        <v>11</v>
      </c>
      <c r="D9880" s="0" t="s">
        <v>2471</v>
      </c>
      <c r="E9880" s="0" t="n">
        <v>1695</v>
      </c>
      <c r="F9880" s="0" t="s">
        <v>390</v>
      </c>
      <c r="I9880" s="0" t="n">
        <v>20936</v>
      </c>
      <c r="J9880" s="0" t="n">
        <v>78209</v>
      </c>
      <c r="K9880" s="0" t="n">
        <v>611269991000</v>
      </c>
      <c r="L9880" s="0" t="s">
        <v>3959</v>
      </c>
      <c r="N9880" s="0" t="n">
        <v>48</v>
      </c>
      <c r="O9880" s="0" t="n">
        <v>381.6</v>
      </c>
      <c r="P9880" s="0" t="s">
        <v>2444</v>
      </c>
    </row>
    <row r="9881" customFormat="false" ht="12.75" hidden="false" customHeight="false" outlineLevel="0" collapsed="false">
      <c r="A9881" s="0" t="n">
        <v>2</v>
      </c>
      <c r="B9881" s="71" t="n">
        <v>46300</v>
      </c>
      <c r="C9881" s="0" t="n">
        <v>11</v>
      </c>
      <c r="D9881" s="0" t="s">
        <v>2471</v>
      </c>
      <c r="E9881" s="0" t="n">
        <v>581</v>
      </c>
      <c r="F9881" s="0" t="s">
        <v>147</v>
      </c>
      <c r="I9881" s="0" t="n">
        <v>32674</v>
      </c>
      <c r="J9881" s="0" t="n">
        <v>48008</v>
      </c>
      <c r="K9881" s="0" t="n">
        <v>798190027999</v>
      </c>
      <c r="L9881" s="0" t="s">
        <v>2579</v>
      </c>
      <c r="N9881" s="0" t="n">
        <v>20</v>
      </c>
      <c r="O9881" s="0" t="n">
        <v>130</v>
      </c>
      <c r="P9881" s="0" t="s">
        <v>2444</v>
      </c>
    </row>
    <row r="9882" customFormat="false" ht="12.75" hidden="false" customHeight="false" outlineLevel="0" collapsed="false">
      <c r="A9882" s="0" t="n">
        <v>2</v>
      </c>
      <c r="B9882" s="71" t="n">
        <v>46300</v>
      </c>
      <c r="C9882" s="0" t="n">
        <v>11</v>
      </c>
      <c r="D9882" s="0" t="s">
        <v>2471</v>
      </c>
      <c r="E9882" s="0" t="n">
        <v>581</v>
      </c>
      <c r="F9882" s="0" t="s">
        <v>147</v>
      </c>
      <c r="I9882" s="0" t="n">
        <v>32674</v>
      </c>
      <c r="J9882" s="0" t="n">
        <v>48009</v>
      </c>
      <c r="K9882" s="0" t="n">
        <v>798190028002</v>
      </c>
      <c r="L9882" s="0" t="s">
        <v>2580</v>
      </c>
      <c r="N9882" s="0" t="n">
        <v>20</v>
      </c>
      <c r="O9882" s="0" t="n">
        <v>69</v>
      </c>
      <c r="P9882" s="0" t="s">
        <v>2444</v>
      </c>
    </row>
    <row r="9883" customFormat="false" ht="12.75" hidden="false" customHeight="false" outlineLevel="0" collapsed="false">
      <c r="A9883" s="0" t="n">
        <v>2</v>
      </c>
      <c r="B9883" s="71" t="n">
        <v>46300</v>
      </c>
      <c r="C9883" s="0" t="n">
        <v>11</v>
      </c>
      <c r="D9883" s="0" t="s">
        <v>2471</v>
      </c>
      <c r="E9883" s="0" t="n">
        <v>581</v>
      </c>
      <c r="F9883" s="0" t="s">
        <v>147</v>
      </c>
      <c r="I9883" s="0" t="n">
        <v>32674</v>
      </c>
      <c r="J9883" s="0" t="n">
        <v>48380</v>
      </c>
      <c r="K9883" s="0" t="n">
        <v>798190189116</v>
      </c>
      <c r="L9883" s="0" t="s">
        <v>2946</v>
      </c>
      <c r="N9883" s="0" t="n">
        <v>10</v>
      </c>
      <c r="O9883" s="0" t="n">
        <v>65</v>
      </c>
      <c r="P9883" s="0" t="s">
        <v>2444</v>
      </c>
    </row>
    <row r="9884" customFormat="false" ht="12.75" hidden="false" customHeight="false" outlineLevel="0" collapsed="false">
      <c r="A9884" s="0" t="n">
        <v>2</v>
      </c>
      <c r="B9884" s="71" t="n">
        <v>46300</v>
      </c>
      <c r="C9884" s="0" t="n">
        <v>11</v>
      </c>
      <c r="D9884" s="0" t="s">
        <v>2471</v>
      </c>
      <c r="E9884" s="0" t="n">
        <v>1626</v>
      </c>
      <c r="F9884" s="0" t="s">
        <v>77</v>
      </c>
      <c r="I9884" s="0" t="n">
        <v>324423</v>
      </c>
      <c r="J9884" s="0" t="n">
        <v>29990</v>
      </c>
      <c r="K9884" s="0" t="n">
        <v>7894904574780</v>
      </c>
      <c r="L9884" s="0" t="s">
        <v>5651</v>
      </c>
      <c r="N9884" s="0" t="n">
        <v>24</v>
      </c>
      <c r="O9884" s="0" t="n">
        <v>90</v>
      </c>
      <c r="P9884" s="0" t="s">
        <v>2444</v>
      </c>
    </row>
    <row r="9885" customFormat="false" ht="12.75" hidden="false" customHeight="false" outlineLevel="0" collapsed="false">
      <c r="A9885" s="0" t="n">
        <v>2</v>
      </c>
      <c r="B9885" s="71" t="n">
        <v>46300</v>
      </c>
      <c r="C9885" s="0" t="n">
        <v>11</v>
      </c>
      <c r="D9885" s="0" t="s">
        <v>2471</v>
      </c>
      <c r="E9885" s="0" t="n">
        <v>1626</v>
      </c>
      <c r="F9885" s="0" t="s">
        <v>77</v>
      </c>
      <c r="I9885" s="0" t="n">
        <v>324423</v>
      </c>
      <c r="J9885" s="0" t="n">
        <v>31353</v>
      </c>
      <c r="K9885" s="0" t="n">
        <v>7894904571956</v>
      </c>
      <c r="L9885" s="0" t="s">
        <v>3584</v>
      </c>
      <c r="N9885" s="0" t="n">
        <v>12</v>
      </c>
      <c r="O9885" s="0" t="n">
        <v>85.16</v>
      </c>
      <c r="P9885" s="0" t="s">
        <v>2444</v>
      </c>
    </row>
    <row r="9886" customFormat="false" ht="12.75" hidden="false" customHeight="false" outlineLevel="0" collapsed="false">
      <c r="A9886" s="0" t="n">
        <v>2</v>
      </c>
      <c r="B9886" s="71" t="n">
        <v>46300</v>
      </c>
      <c r="C9886" s="0" t="n">
        <v>11</v>
      </c>
      <c r="D9886" s="0" t="s">
        <v>2471</v>
      </c>
      <c r="E9886" s="0" t="n">
        <v>1626</v>
      </c>
      <c r="F9886" s="0" t="s">
        <v>77</v>
      </c>
      <c r="I9886" s="0" t="n">
        <v>324423</v>
      </c>
      <c r="J9886" s="0" t="n">
        <v>33893</v>
      </c>
      <c r="K9886" s="0" t="n">
        <v>7898921567114</v>
      </c>
      <c r="L9886" s="0" t="s">
        <v>3586</v>
      </c>
      <c r="N9886" s="0" t="n">
        <v>14</v>
      </c>
      <c r="O9886" s="0" t="n">
        <v>209.86</v>
      </c>
      <c r="P9886" s="0" t="s">
        <v>2444</v>
      </c>
    </row>
    <row r="9887" customFormat="false" ht="12.75" hidden="false" customHeight="false" outlineLevel="0" collapsed="false">
      <c r="A9887" s="0" t="n">
        <v>2</v>
      </c>
      <c r="B9887" s="71" t="n">
        <v>46300</v>
      </c>
      <c r="C9887" s="0" t="n">
        <v>11</v>
      </c>
      <c r="D9887" s="0" t="s">
        <v>2471</v>
      </c>
      <c r="E9887" s="0" t="n">
        <v>1626</v>
      </c>
      <c r="F9887" s="0" t="s">
        <v>77</v>
      </c>
      <c r="I9887" s="0" t="n">
        <v>324423</v>
      </c>
      <c r="J9887" s="0" t="n">
        <v>37747</v>
      </c>
      <c r="K9887" s="0" t="n">
        <v>7898968009004</v>
      </c>
      <c r="L9887" s="0" t="s">
        <v>2604</v>
      </c>
      <c r="N9887" s="0" t="n">
        <v>64</v>
      </c>
      <c r="O9887" s="0" t="n">
        <v>521.54</v>
      </c>
      <c r="P9887" s="0" t="s">
        <v>2444</v>
      </c>
    </row>
    <row r="9888" customFormat="false" ht="12.75" hidden="false" customHeight="false" outlineLevel="0" collapsed="false">
      <c r="A9888" s="0" t="n">
        <v>2</v>
      </c>
      <c r="B9888" s="71" t="n">
        <v>46300</v>
      </c>
      <c r="C9888" s="0" t="n">
        <v>11</v>
      </c>
      <c r="D9888" s="0" t="s">
        <v>2471</v>
      </c>
      <c r="E9888" s="0" t="n">
        <v>1626</v>
      </c>
      <c r="F9888" s="0" t="s">
        <v>77</v>
      </c>
      <c r="I9888" s="0" t="n">
        <v>324423</v>
      </c>
      <c r="J9888" s="0" t="n">
        <v>82787</v>
      </c>
      <c r="K9888" s="0" t="n">
        <v>7908250500000</v>
      </c>
      <c r="L9888" s="0" t="s">
        <v>5652</v>
      </c>
      <c r="N9888" s="0" t="n">
        <v>64</v>
      </c>
      <c r="O9888" s="0" t="n">
        <v>302.65</v>
      </c>
      <c r="P9888" s="0" t="s">
        <v>2444</v>
      </c>
    </row>
    <row r="9889" customFormat="false" ht="12.75" hidden="false" customHeight="false" outlineLevel="0" collapsed="false">
      <c r="A9889" s="0" t="n">
        <v>2</v>
      </c>
      <c r="B9889" s="71" t="n">
        <v>46300</v>
      </c>
      <c r="C9889" s="0" t="n">
        <v>22</v>
      </c>
      <c r="D9889" s="0" t="s">
        <v>2479</v>
      </c>
      <c r="E9889" s="0" t="n">
        <v>48</v>
      </c>
      <c r="F9889" s="0" t="s">
        <v>153</v>
      </c>
      <c r="I9889" s="0" t="n">
        <v>2723</v>
      </c>
      <c r="J9889" s="0" t="n">
        <v>100000</v>
      </c>
      <c r="K9889" s="0" t="n">
        <v>1</v>
      </c>
      <c r="L9889" s="0" t="s">
        <v>2480</v>
      </c>
      <c r="N9889" s="0" t="n">
        <v>0.836</v>
      </c>
      <c r="O9889" s="0" t="n">
        <v>14.61</v>
      </c>
      <c r="P9889" s="0" t="s">
        <v>2444</v>
      </c>
    </row>
    <row r="9890" customFormat="false" ht="12.75" hidden="false" customHeight="false" outlineLevel="0" collapsed="false">
      <c r="A9890" s="0" t="n">
        <v>2</v>
      </c>
      <c r="B9890" s="71" t="n">
        <v>46300</v>
      </c>
      <c r="C9890" s="0" t="n">
        <v>22</v>
      </c>
      <c r="D9890" s="0" t="s">
        <v>2479</v>
      </c>
      <c r="E9890" s="0" t="n">
        <v>48</v>
      </c>
      <c r="F9890" s="0" t="s">
        <v>153</v>
      </c>
      <c r="I9890" s="0" t="n">
        <v>2723</v>
      </c>
      <c r="J9890" s="0" t="n">
        <v>100003</v>
      </c>
      <c r="K9890" s="0" t="n">
        <v>4</v>
      </c>
      <c r="L9890" s="0" t="s">
        <v>2483</v>
      </c>
      <c r="N9890" s="0" t="n">
        <v>13</v>
      </c>
      <c r="O9890" s="0" t="n">
        <v>303.03</v>
      </c>
      <c r="P9890" s="0" t="s">
        <v>2444</v>
      </c>
    </row>
    <row r="9891" customFormat="false" ht="12.75" hidden="false" customHeight="false" outlineLevel="0" collapsed="false">
      <c r="A9891" s="0" t="n">
        <v>2</v>
      </c>
      <c r="B9891" s="71" t="n">
        <v>46300</v>
      </c>
      <c r="C9891" s="0" t="n">
        <v>22</v>
      </c>
      <c r="D9891" s="0" t="s">
        <v>2479</v>
      </c>
      <c r="E9891" s="0" t="n">
        <v>48</v>
      </c>
      <c r="F9891" s="0" t="s">
        <v>153</v>
      </c>
      <c r="I9891" s="0" t="n">
        <v>2723</v>
      </c>
      <c r="J9891" s="0" t="n">
        <v>100006</v>
      </c>
      <c r="K9891" s="0" t="n">
        <v>7</v>
      </c>
      <c r="L9891" s="0" t="s">
        <v>2485</v>
      </c>
      <c r="N9891" s="0" t="n">
        <v>2.308</v>
      </c>
      <c r="O9891" s="0" t="n">
        <v>57.16</v>
      </c>
      <c r="P9891" s="0" t="s">
        <v>2444</v>
      </c>
    </row>
    <row r="9892" customFormat="false" ht="12.75" hidden="false" customHeight="false" outlineLevel="0" collapsed="false">
      <c r="A9892" s="0" t="n">
        <v>2</v>
      </c>
      <c r="B9892" s="71" t="n">
        <v>46300</v>
      </c>
      <c r="C9892" s="0" t="n">
        <v>22</v>
      </c>
      <c r="D9892" s="0" t="s">
        <v>2479</v>
      </c>
      <c r="E9892" s="0" t="n">
        <v>48</v>
      </c>
      <c r="F9892" s="0" t="s">
        <v>153</v>
      </c>
      <c r="I9892" s="0" t="n">
        <v>2723</v>
      </c>
      <c r="J9892" s="0" t="n">
        <v>100007</v>
      </c>
      <c r="K9892" s="0" t="n">
        <v>8</v>
      </c>
      <c r="L9892" s="0" t="s">
        <v>2486</v>
      </c>
      <c r="N9892" s="0" t="n">
        <v>2.258</v>
      </c>
      <c r="O9892" s="0" t="n">
        <v>49.34</v>
      </c>
      <c r="P9892" s="0" t="s">
        <v>2444</v>
      </c>
    </row>
    <row r="9893" customFormat="false" ht="12.75" hidden="false" customHeight="false" outlineLevel="0" collapsed="false">
      <c r="A9893" s="0" t="n">
        <v>2</v>
      </c>
      <c r="B9893" s="71" t="n">
        <v>46300</v>
      </c>
      <c r="C9893" s="0" t="n">
        <v>22</v>
      </c>
      <c r="D9893" s="0" t="s">
        <v>2479</v>
      </c>
      <c r="E9893" s="0" t="n">
        <v>48</v>
      </c>
      <c r="F9893" s="0" t="s">
        <v>153</v>
      </c>
      <c r="I9893" s="0" t="n">
        <v>2723</v>
      </c>
      <c r="J9893" s="0" t="n">
        <v>100008</v>
      </c>
      <c r="K9893" s="0" t="n">
        <v>9</v>
      </c>
      <c r="L9893" s="0" t="s">
        <v>2487</v>
      </c>
      <c r="N9893" s="0" t="n">
        <v>19.66</v>
      </c>
      <c r="O9893" s="0" t="n">
        <v>558.56</v>
      </c>
      <c r="P9893" s="0" t="s">
        <v>2444</v>
      </c>
    </row>
    <row r="9894" customFormat="false" ht="12.75" hidden="false" customHeight="false" outlineLevel="0" collapsed="false">
      <c r="A9894" s="0" t="n">
        <v>2</v>
      </c>
      <c r="B9894" s="71" t="n">
        <v>46300</v>
      </c>
      <c r="C9894" s="0" t="n">
        <v>22</v>
      </c>
      <c r="D9894" s="0" t="s">
        <v>2479</v>
      </c>
      <c r="E9894" s="0" t="n">
        <v>48</v>
      </c>
      <c r="F9894" s="0" t="s">
        <v>153</v>
      </c>
      <c r="I9894" s="0" t="n">
        <v>2723</v>
      </c>
      <c r="J9894" s="0" t="n">
        <v>100011</v>
      </c>
      <c r="K9894" s="0" t="n">
        <v>12</v>
      </c>
      <c r="L9894" s="0" t="s">
        <v>2488</v>
      </c>
      <c r="N9894" s="0" t="n">
        <v>10.315</v>
      </c>
      <c r="O9894" s="0" t="n">
        <v>338.16</v>
      </c>
      <c r="P9894" s="0" t="s">
        <v>2444</v>
      </c>
    </row>
    <row r="9895" customFormat="false" ht="12.75" hidden="false" customHeight="false" outlineLevel="0" collapsed="false">
      <c r="A9895" s="0" t="n">
        <v>2</v>
      </c>
      <c r="B9895" s="71" t="n">
        <v>46300</v>
      </c>
      <c r="C9895" s="0" t="n">
        <v>22</v>
      </c>
      <c r="D9895" s="0" t="s">
        <v>2479</v>
      </c>
      <c r="E9895" s="0" t="n">
        <v>48</v>
      </c>
      <c r="F9895" s="0" t="s">
        <v>153</v>
      </c>
      <c r="I9895" s="0" t="n">
        <v>2723</v>
      </c>
      <c r="J9895" s="0" t="n">
        <v>100012</v>
      </c>
      <c r="K9895" s="0" t="n">
        <v>13</v>
      </c>
      <c r="L9895" s="0" t="s">
        <v>2489</v>
      </c>
      <c r="N9895" s="0" t="n">
        <v>10.715</v>
      </c>
      <c r="O9895" s="0" t="n">
        <v>390.31</v>
      </c>
      <c r="P9895" s="0" t="s">
        <v>2444</v>
      </c>
    </row>
    <row r="9896" customFormat="false" ht="12.75" hidden="false" customHeight="false" outlineLevel="0" collapsed="false">
      <c r="A9896" s="0" t="n">
        <v>2</v>
      </c>
      <c r="B9896" s="71" t="n">
        <v>46300</v>
      </c>
      <c r="C9896" s="0" t="n">
        <v>22</v>
      </c>
      <c r="D9896" s="0" t="s">
        <v>2479</v>
      </c>
      <c r="E9896" s="0" t="n">
        <v>48</v>
      </c>
      <c r="F9896" s="0" t="s">
        <v>153</v>
      </c>
      <c r="I9896" s="0" t="n">
        <v>2723</v>
      </c>
      <c r="J9896" s="0" t="n">
        <v>100013</v>
      </c>
      <c r="K9896" s="0" t="n">
        <v>14</v>
      </c>
      <c r="L9896" s="0" t="s">
        <v>2490</v>
      </c>
      <c r="N9896" s="0" t="n">
        <v>10.73</v>
      </c>
      <c r="O9896" s="0" t="n">
        <v>414.31</v>
      </c>
      <c r="P9896" s="0" t="s">
        <v>2444</v>
      </c>
    </row>
    <row r="9897" customFormat="false" ht="12.75" hidden="false" customHeight="false" outlineLevel="0" collapsed="false">
      <c r="A9897" s="0" t="n">
        <v>2</v>
      </c>
      <c r="B9897" s="71" t="n">
        <v>46300</v>
      </c>
      <c r="C9897" s="0" t="n">
        <v>22</v>
      </c>
      <c r="D9897" s="0" t="s">
        <v>2479</v>
      </c>
      <c r="E9897" s="0" t="n">
        <v>48</v>
      </c>
      <c r="F9897" s="0" t="s">
        <v>153</v>
      </c>
      <c r="I9897" s="0" t="n">
        <v>2723</v>
      </c>
      <c r="J9897" s="0" t="n">
        <v>100014</v>
      </c>
      <c r="K9897" s="0" t="n">
        <v>15</v>
      </c>
      <c r="L9897" s="0" t="s">
        <v>2491</v>
      </c>
      <c r="N9897" s="0" t="n">
        <v>5.008</v>
      </c>
      <c r="O9897" s="0" t="n">
        <v>197.02</v>
      </c>
      <c r="P9897" s="0" t="s">
        <v>2444</v>
      </c>
    </row>
    <row r="9898" customFormat="false" ht="12.75" hidden="false" customHeight="false" outlineLevel="0" collapsed="false">
      <c r="A9898" s="0" t="n">
        <v>2</v>
      </c>
      <c r="B9898" s="71" t="n">
        <v>46300</v>
      </c>
      <c r="C9898" s="0" t="n">
        <v>22</v>
      </c>
      <c r="D9898" s="0" t="s">
        <v>2479</v>
      </c>
      <c r="E9898" s="0" t="n">
        <v>48</v>
      </c>
      <c r="F9898" s="0" t="s">
        <v>153</v>
      </c>
      <c r="I9898" s="0" t="n">
        <v>2723</v>
      </c>
      <c r="J9898" s="0" t="n">
        <v>100015</v>
      </c>
      <c r="K9898" s="0" t="n">
        <v>16</v>
      </c>
      <c r="L9898" s="0" t="s">
        <v>2492</v>
      </c>
      <c r="N9898" s="0" t="n">
        <v>2.074</v>
      </c>
      <c r="O9898" s="0" t="n">
        <v>72.53</v>
      </c>
      <c r="P9898" s="0" t="s">
        <v>2444</v>
      </c>
    </row>
    <row r="9899" customFormat="false" ht="12.75" hidden="false" customHeight="false" outlineLevel="0" collapsed="false">
      <c r="A9899" s="0" t="n">
        <v>2</v>
      </c>
      <c r="B9899" s="71" t="n">
        <v>46300</v>
      </c>
      <c r="C9899" s="0" t="n">
        <v>22</v>
      </c>
      <c r="D9899" s="0" t="s">
        <v>2479</v>
      </c>
      <c r="E9899" s="0" t="n">
        <v>48</v>
      </c>
      <c r="F9899" s="0" t="s">
        <v>153</v>
      </c>
      <c r="I9899" s="0" t="n">
        <v>2723</v>
      </c>
      <c r="J9899" s="0" t="n">
        <v>100016</v>
      </c>
      <c r="K9899" s="0" t="n">
        <v>17</v>
      </c>
      <c r="L9899" s="0" t="s">
        <v>2493</v>
      </c>
      <c r="N9899" s="0" t="n">
        <v>1.854</v>
      </c>
      <c r="O9899" s="0" t="n">
        <v>81.04</v>
      </c>
      <c r="P9899" s="0" t="s">
        <v>2444</v>
      </c>
    </row>
    <row r="9900" customFormat="false" ht="12.75" hidden="false" customHeight="false" outlineLevel="0" collapsed="false">
      <c r="A9900" s="0" t="n">
        <v>2</v>
      </c>
      <c r="B9900" s="71" t="n">
        <v>46300</v>
      </c>
      <c r="C9900" s="0" t="n">
        <v>22</v>
      </c>
      <c r="D9900" s="0" t="s">
        <v>2479</v>
      </c>
      <c r="E9900" s="0" t="n">
        <v>48</v>
      </c>
      <c r="F9900" s="0" t="s">
        <v>153</v>
      </c>
      <c r="I9900" s="0" t="n">
        <v>2723</v>
      </c>
      <c r="J9900" s="0" t="n">
        <v>100017</v>
      </c>
      <c r="K9900" s="0" t="n">
        <v>18</v>
      </c>
      <c r="L9900" s="0" t="s">
        <v>2494</v>
      </c>
      <c r="N9900" s="0" t="n">
        <v>2.25</v>
      </c>
      <c r="O9900" s="0" t="n">
        <v>122.95</v>
      </c>
      <c r="P9900" s="0" t="s">
        <v>2444</v>
      </c>
    </row>
    <row r="9901" customFormat="false" ht="12.75" hidden="false" customHeight="false" outlineLevel="0" collapsed="false">
      <c r="A9901" s="0" t="n">
        <v>2</v>
      </c>
      <c r="B9901" s="71" t="n">
        <v>46300</v>
      </c>
      <c r="C9901" s="0" t="n">
        <v>22</v>
      </c>
      <c r="D9901" s="0" t="s">
        <v>2479</v>
      </c>
      <c r="E9901" s="0" t="n">
        <v>48</v>
      </c>
      <c r="F9901" s="0" t="s">
        <v>153</v>
      </c>
      <c r="I9901" s="0" t="n">
        <v>2723</v>
      </c>
      <c r="J9901" s="0" t="n">
        <v>100019</v>
      </c>
      <c r="K9901" s="0" t="n">
        <v>20</v>
      </c>
      <c r="L9901" s="0" t="s">
        <v>3779</v>
      </c>
      <c r="N9901" s="0" t="n">
        <v>1.044</v>
      </c>
      <c r="O9901" s="0" t="n">
        <v>31.94</v>
      </c>
      <c r="P9901" s="0" t="s">
        <v>2444</v>
      </c>
    </row>
    <row r="9902" customFormat="false" ht="12.75" hidden="false" customHeight="false" outlineLevel="0" collapsed="false">
      <c r="A9902" s="0" t="n">
        <v>2</v>
      </c>
      <c r="B9902" s="71" t="n">
        <v>46300</v>
      </c>
      <c r="C9902" s="0" t="n">
        <v>22</v>
      </c>
      <c r="D9902" s="0" t="s">
        <v>2479</v>
      </c>
      <c r="E9902" s="0" t="n">
        <v>48</v>
      </c>
      <c r="F9902" s="0" t="s">
        <v>153</v>
      </c>
      <c r="I9902" s="0" t="n">
        <v>2723</v>
      </c>
      <c r="J9902" s="0" t="n">
        <v>100053</v>
      </c>
      <c r="K9902" s="0" t="n">
        <v>54</v>
      </c>
      <c r="L9902" s="0" t="s">
        <v>2495</v>
      </c>
      <c r="N9902" s="0" t="n">
        <v>0.774</v>
      </c>
      <c r="O9902" s="0" t="n">
        <v>24.81</v>
      </c>
      <c r="P9902" s="0" t="s">
        <v>2444</v>
      </c>
    </row>
    <row r="9903" customFormat="false" ht="12.75" hidden="false" customHeight="false" outlineLevel="0" collapsed="false">
      <c r="A9903" s="0" t="n">
        <v>2</v>
      </c>
      <c r="B9903" s="71" t="n">
        <v>46300</v>
      </c>
      <c r="C9903" s="0" t="n">
        <v>22</v>
      </c>
      <c r="D9903" s="0" t="s">
        <v>2479</v>
      </c>
      <c r="E9903" s="0" t="n">
        <v>48</v>
      </c>
      <c r="F9903" s="0" t="s">
        <v>153</v>
      </c>
      <c r="I9903" s="0" t="n">
        <v>2723</v>
      </c>
      <c r="J9903" s="0" t="n">
        <v>100638</v>
      </c>
      <c r="K9903" s="0" t="n">
        <v>508</v>
      </c>
      <c r="L9903" s="0" t="s">
        <v>2496</v>
      </c>
      <c r="N9903" s="0" t="n">
        <v>0.1</v>
      </c>
      <c r="O9903" s="0" t="n">
        <v>0.22</v>
      </c>
      <c r="P9903" s="0" t="s">
        <v>2444</v>
      </c>
    </row>
    <row r="9904" customFormat="false" ht="12.75" hidden="false" customHeight="false" outlineLevel="0" collapsed="false">
      <c r="A9904" s="0" t="n">
        <v>2</v>
      </c>
      <c r="B9904" s="71" t="n">
        <v>46300</v>
      </c>
      <c r="C9904" s="0" t="n">
        <v>22</v>
      </c>
      <c r="D9904" s="0" t="s">
        <v>2479</v>
      </c>
      <c r="E9904" s="0" t="n">
        <v>48</v>
      </c>
      <c r="F9904" s="0" t="s">
        <v>153</v>
      </c>
      <c r="I9904" s="0" t="n">
        <v>2723</v>
      </c>
      <c r="J9904" s="0" t="n">
        <v>110455</v>
      </c>
      <c r="K9904" s="0" t="n">
        <v>53212</v>
      </c>
      <c r="L9904" s="0" t="s">
        <v>2498</v>
      </c>
      <c r="N9904" s="0" t="n">
        <v>0.074</v>
      </c>
      <c r="O9904" s="0" t="n">
        <v>0.01</v>
      </c>
      <c r="P9904" s="0" t="s">
        <v>2444</v>
      </c>
    </row>
    <row r="9905" customFormat="false" ht="12.75" hidden="false" customHeight="false" outlineLevel="0" collapsed="false">
      <c r="A9905" s="0" t="n">
        <v>2</v>
      </c>
      <c r="B9905" s="71" t="n">
        <v>46300</v>
      </c>
      <c r="C9905" s="0" t="n">
        <v>100</v>
      </c>
      <c r="D9905" s="0" t="s">
        <v>2499</v>
      </c>
      <c r="E9905" s="0" t="n">
        <v>48</v>
      </c>
      <c r="F9905" s="0" t="s">
        <v>153</v>
      </c>
      <c r="I9905" s="0" t="n">
        <v>1806992</v>
      </c>
      <c r="J9905" s="0" t="n">
        <v>100000</v>
      </c>
      <c r="K9905" s="0" t="n">
        <v>1</v>
      </c>
      <c r="L9905" s="0" t="s">
        <v>2480</v>
      </c>
      <c r="N9905" s="0" t="n">
        <v>0.836</v>
      </c>
      <c r="O9905" s="0" t="n">
        <v>14.61</v>
      </c>
      <c r="P9905" s="0" t="s">
        <v>2444</v>
      </c>
    </row>
    <row r="9906" customFormat="false" ht="12.75" hidden="false" customHeight="false" outlineLevel="0" collapsed="false">
      <c r="A9906" s="0" t="n">
        <v>2</v>
      </c>
      <c r="B9906" s="71" t="n">
        <v>46300</v>
      </c>
      <c r="C9906" s="0" t="n">
        <v>100</v>
      </c>
      <c r="D9906" s="0" t="s">
        <v>2499</v>
      </c>
      <c r="E9906" s="0" t="n">
        <v>48</v>
      </c>
      <c r="F9906" s="0" t="s">
        <v>153</v>
      </c>
      <c r="I9906" s="0" t="n">
        <v>1806992</v>
      </c>
      <c r="J9906" s="0" t="n">
        <v>100003</v>
      </c>
      <c r="K9906" s="0" t="n">
        <v>4</v>
      </c>
      <c r="L9906" s="0" t="s">
        <v>2483</v>
      </c>
      <c r="N9906" s="0" t="n">
        <v>13</v>
      </c>
      <c r="O9906" s="0" t="n">
        <v>303.03</v>
      </c>
      <c r="P9906" s="0" t="s">
        <v>2444</v>
      </c>
    </row>
    <row r="9907" customFormat="false" ht="12.75" hidden="false" customHeight="false" outlineLevel="0" collapsed="false">
      <c r="A9907" s="0" t="n">
        <v>2</v>
      </c>
      <c r="B9907" s="71" t="n">
        <v>46300</v>
      </c>
      <c r="C9907" s="0" t="n">
        <v>100</v>
      </c>
      <c r="D9907" s="0" t="s">
        <v>2499</v>
      </c>
      <c r="E9907" s="0" t="n">
        <v>48</v>
      </c>
      <c r="F9907" s="0" t="s">
        <v>153</v>
      </c>
      <c r="I9907" s="0" t="n">
        <v>1806992</v>
      </c>
      <c r="J9907" s="0" t="n">
        <v>100006</v>
      </c>
      <c r="K9907" s="0" t="n">
        <v>7</v>
      </c>
      <c r="L9907" s="0" t="s">
        <v>2485</v>
      </c>
      <c r="N9907" s="0" t="n">
        <v>2.308</v>
      </c>
      <c r="O9907" s="0" t="n">
        <v>57.16</v>
      </c>
      <c r="P9907" s="0" t="s">
        <v>2444</v>
      </c>
    </row>
    <row r="9908" customFormat="false" ht="12.75" hidden="false" customHeight="false" outlineLevel="0" collapsed="false">
      <c r="A9908" s="0" t="n">
        <v>2</v>
      </c>
      <c r="B9908" s="71" t="n">
        <v>46300</v>
      </c>
      <c r="C9908" s="0" t="n">
        <v>100</v>
      </c>
      <c r="D9908" s="0" t="s">
        <v>2499</v>
      </c>
      <c r="E9908" s="0" t="n">
        <v>48</v>
      </c>
      <c r="F9908" s="0" t="s">
        <v>153</v>
      </c>
      <c r="I9908" s="0" t="n">
        <v>1806992</v>
      </c>
      <c r="J9908" s="0" t="n">
        <v>100007</v>
      </c>
      <c r="K9908" s="0" t="n">
        <v>8</v>
      </c>
      <c r="L9908" s="0" t="s">
        <v>2486</v>
      </c>
      <c r="N9908" s="0" t="n">
        <v>2.258</v>
      </c>
      <c r="O9908" s="0" t="n">
        <v>49.34</v>
      </c>
      <c r="P9908" s="0" t="s">
        <v>2444</v>
      </c>
    </row>
    <row r="9909" customFormat="false" ht="12.75" hidden="false" customHeight="false" outlineLevel="0" collapsed="false">
      <c r="A9909" s="0" t="n">
        <v>2</v>
      </c>
      <c r="B9909" s="71" t="n">
        <v>46300</v>
      </c>
      <c r="C9909" s="0" t="n">
        <v>100</v>
      </c>
      <c r="D9909" s="0" t="s">
        <v>2499</v>
      </c>
      <c r="E9909" s="0" t="n">
        <v>48</v>
      </c>
      <c r="F9909" s="0" t="s">
        <v>153</v>
      </c>
      <c r="I9909" s="0" t="n">
        <v>1806992</v>
      </c>
      <c r="J9909" s="0" t="n">
        <v>100008</v>
      </c>
      <c r="K9909" s="0" t="n">
        <v>9</v>
      </c>
      <c r="L9909" s="0" t="s">
        <v>2487</v>
      </c>
      <c r="N9909" s="0" t="n">
        <v>19.66</v>
      </c>
      <c r="O9909" s="0" t="n">
        <v>558.56</v>
      </c>
      <c r="P9909" s="0" t="s">
        <v>2444</v>
      </c>
    </row>
    <row r="9910" customFormat="false" ht="12.75" hidden="false" customHeight="false" outlineLevel="0" collapsed="false">
      <c r="A9910" s="0" t="n">
        <v>2</v>
      </c>
      <c r="B9910" s="71" t="n">
        <v>46300</v>
      </c>
      <c r="C9910" s="0" t="n">
        <v>100</v>
      </c>
      <c r="D9910" s="0" t="s">
        <v>2499</v>
      </c>
      <c r="E9910" s="0" t="n">
        <v>48</v>
      </c>
      <c r="F9910" s="0" t="s">
        <v>153</v>
      </c>
      <c r="I9910" s="0" t="n">
        <v>1806992</v>
      </c>
      <c r="J9910" s="0" t="n">
        <v>100011</v>
      </c>
      <c r="K9910" s="0" t="n">
        <v>12</v>
      </c>
      <c r="L9910" s="0" t="s">
        <v>2488</v>
      </c>
      <c r="N9910" s="0" t="n">
        <v>10.315</v>
      </c>
      <c r="O9910" s="0" t="n">
        <v>338.16</v>
      </c>
      <c r="P9910" s="0" t="s">
        <v>2444</v>
      </c>
    </row>
    <row r="9911" customFormat="false" ht="12.75" hidden="false" customHeight="false" outlineLevel="0" collapsed="false">
      <c r="A9911" s="0" t="n">
        <v>2</v>
      </c>
      <c r="B9911" s="71" t="n">
        <v>46300</v>
      </c>
      <c r="C9911" s="0" t="n">
        <v>100</v>
      </c>
      <c r="D9911" s="0" t="s">
        <v>2499</v>
      </c>
      <c r="E9911" s="0" t="n">
        <v>48</v>
      </c>
      <c r="F9911" s="0" t="s">
        <v>153</v>
      </c>
      <c r="I9911" s="0" t="n">
        <v>1806992</v>
      </c>
      <c r="J9911" s="0" t="n">
        <v>100012</v>
      </c>
      <c r="K9911" s="0" t="n">
        <v>13</v>
      </c>
      <c r="L9911" s="0" t="s">
        <v>2489</v>
      </c>
      <c r="N9911" s="0" t="n">
        <v>10.715</v>
      </c>
      <c r="O9911" s="0" t="n">
        <v>390.31</v>
      </c>
      <c r="P9911" s="0" t="s">
        <v>2444</v>
      </c>
    </row>
    <row r="9912" customFormat="false" ht="12.75" hidden="false" customHeight="false" outlineLevel="0" collapsed="false">
      <c r="A9912" s="0" t="n">
        <v>2</v>
      </c>
      <c r="B9912" s="71" t="n">
        <v>46300</v>
      </c>
      <c r="C9912" s="0" t="n">
        <v>100</v>
      </c>
      <c r="D9912" s="0" t="s">
        <v>2499</v>
      </c>
      <c r="E9912" s="0" t="n">
        <v>48</v>
      </c>
      <c r="F9912" s="0" t="s">
        <v>153</v>
      </c>
      <c r="I9912" s="0" t="n">
        <v>1806992</v>
      </c>
      <c r="J9912" s="0" t="n">
        <v>100013</v>
      </c>
      <c r="K9912" s="0" t="n">
        <v>14</v>
      </c>
      <c r="L9912" s="0" t="s">
        <v>2490</v>
      </c>
      <c r="N9912" s="0" t="n">
        <v>10.73</v>
      </c>
      <c r="O9912" s="0" t="n">
        <v>414.31</v>
      </c>
      <c r="P9912" s="0" t="s">
        <v>2444</v>
      </c>
    </row>
    <row r="9913" customFormat="false" ht="12.75" hidden="false" customHeight="false" outlineLevel="0" collapsed="false">
      <c r="A9913" s="0" t="n">
        <v>2</v>
      </c>
      <c r="B9913" s="71" t="n">
        <v>46300</v>
      </c>
      <c r="C9913" s="0" t="n">
        <v>100</v>
      </c>
      <c r="D9913" s="0" t="s">
        <v>2499</v>
      </c>
      <c r="E9913" s="0" t="n">
        <v>48</v>
      </c>
      <c r="F9913" s="0" t="s">
        <v>153</v>
      </c>
      <c r="I9913" s="0" t="n">
        <v>1806992</v>
      </c>
      <c r="J9913" s="0" t="n">
        <v>100014</v>
      </c>
      <c r="K9913" s="0" t="n">
        <v>15</v>
      </c>
      <c r="L9913" s="0" t="s">
        <v>2491</v>
      </c>
      <c r="N9913" s="0" t="n">
        <v>5.008</v>
      </c>
      <c r="O9913" s="0" t="n">
        <v>197.02</v>
      </c>
      <c r="P9913" s="0" t="s">
        <v>2444</v>
      </c>
    </row>
    <row r="9914" customFormat="false" ht="12.75" hidden="false" customHeight="false" outlineLevel="0" collapsed="false">
      <c r="A9914" s="0" t="n">
        <v>2</v>
      </c>
      <c r="B9914" s="71" t="n">
        <v>46300</v>
      </c>
      <c r="C9914" s="0" t="n">
        <v>100</v>
      </c>
      <c r="D9914" s="0" t="s">
        <v>2499</v>
      </c>
      <c r="E9914" s="0" t="n">
        <v>48</v>
      </c>
      <c r="F9914" s="0" t="s">
        <v>153</v>
      </c>
      <c r="I9914" s="0" t="n">
        <v>1806992</v>
      </c>
      <c r="J9914" s="0" t="n">
        <v>100015</v>
      </c>
      <c r="K9914" s="0" t="n">
        <v>16</v>
      </c>
      <c r="L9914" s="0" t="s">
        <v>2492</v>
      </c>
      <c r="N9914" s="0" t="n">
        <v>2.074</v>
      </c>
      <c r="O9914" s="0" t="n">
        <v>72.53</v>
      </c>
      <c r="P9914" s="0" t="s">
        <v>2444</v>
      </c>
    </row>
    <row r="9915" customFormat="false" ht="12.75" hidden="false" customHeight="false" outlineLevel="0" collapsed="false">
      <c r="A9915" s="0" t="n">
        <v>2</v>
      </c>
      <c r="B9915" s="71" t="n">
        <v>46300</v>
      </c>
      <c r="C9915" s="0" t="n">
        <v>100</v>
      </c>
      <c r="D9915" s="0" t="s">
        <v>2499</v>
      </c>
      <c r="E9915" s="0" t="n">
        <v>48</v>
      </c>
      <c r="F9915" s="0" t="s">
        <v>153</v>
      </c>
      <c r="I9915" s="0" t="n">
        <v>1806992</v>
      </c>
      <c r="J9915" s="0" t="n">
        <v>100016</v>
      </c>
      <c r="K9915" s="0" t="n">
        <v>17</v>
      </c>
      <c r="L9915" s="0" t="s">
        <v>2493</v>
      </c>
      <c r="N9915" s="0" t="n">
        <v>1.854</v>
      </c>
      <c r="O9915" s="0" t="n">
        <v>81.04</v>
      </c>
      <c r="P9915" s="0" t="s">
        <v>2444</v>
      </c>
    </row>
    <row r="9916" customFormat="false" ht="12.75" hidden="false" customHeight="false" outlineLevel="0" collapsed="false">
      <c r="A9916" s="0" t="n">
        <v>2</v>
      </c>
      <c r="B9916" s="71" t="n">
        <v>46300</v>
      </c>
      <c r="C9916" s="0" t="n">
        <v>100</v>
      </c>
      <c r="D9916" s="0" t="s">
        <v>2499</v>
      </c>
      <c r="E9916" s="0" t="n">
        <v>48</v>
      </c>
      <c r="F9916" s="0" t="s">
        <v>153</v>
      </c>
      <c r="I9916" s="0" t="n">
        <v>1806992</v>
      </c>
      <c r="J9916" s="0" t="n">
        <v>100017</v>
      </c>
      <c r="K9916" s="0" t="n">
        <v>18</v>
      </c>
      <c r="L9916" s="0" t="s">
        <v>2494</v>
      </c>
      <c r="N9916" s="0" t="n">
        <v>2.25</v>
      </c>
      <c r="O9916" s="0" t="n">
        <v>122.95</v>
      </c>
      <c r="P9916" s="0" t="s">
        <v>2444</v>
      </c>
    </row>
    <row r="9917" customFormat="false" ht="12.75" hidden="false" customHeight="false" outlineLevel="0" collapsed="false">
      <c r="A9917" s="0" t="n">
        <v>2</v>
      </c>
      <c r="B9917" s="71" t="n">
        <v>46300</v>
      </c>
      <c r="C9917" s="0" t="n">
        <v>100</v>
      </c>
      <c r="D9917" s="0" t="s">
        <v>2499</v>
      </c>
      <c r="E9917" s="0" t="n">
        <v>48</v>
      </c>
      <c r="F9917" s="0" t="s">
        <v>153</v>
      </c>
      <c r="I9917" s="0" t="n">
        <v>1806992</v>
      </c>
      <c r="J9917" s="0" t="n">
        <v>100019</v>
      </c>
      <c r="K9917" s="0" t="n">
        <v>20</v>
      </c>
      <c r="L9917" s="0" t="s">
        <v>3779</v>
      </c>
      <c r="N9917" s="0" t="n">
        <v>1.044</v>
      </c>
      <c r="O9917" s="0" t="n">
        <v>31.94</v>
      </c>
      <c r="P9917" s="0" t="s">
        <v>2444</v>
      </c>
    </row>
    <row r="9918" customFormat="false" ht="12.75" hidden="false" customHeight="false" outlineLevel="0" collapsed="false">
      <c r="A9918" s="0" t="n">
        <v>2</v>
      </c>
      <c r="B9918" s="71" t="n">
        <v>46300</v>
      </c>
      <c r="C9918" s="0" t="n">
        <v>100</v>
      </c>
      <c r="D9918" s="0" t="s">
        <v>2499</v>
      </c>
      <c r="E9918" s="0" t="n">
        <v>48</v>
      </c>
      <c r="F9918" s="0" t="s">
        <v>153</v>
      </c>
      <c r="I9918" s="0" t="n">
        <v>1806992</v>
      </c>
      <c r="J9918" s="0" t="n">
        <v>100053</v>
      </c>
      <c r="K9918" s="0" t="n">
        <v>54</v>
      </c>
      <c r="L9918" s="0" t="s">
        <v>2495</v>
      </c>
      <c r="N9918" s="0" t="n">
        <v>0.774</v>
      </c>
      <c r="O9918" s="0" t="n">
        <v>24.81</v>
      </c>
      <c r="P9918" s="0" t="s">
        <v>2444</v>
      </c>
    </row>
    <row r="9919" customFormat="false" ht="12.75" hidden="false" customHeight="false" outlineLevel="0" collapsed="false">
      <c r="A9919" s="0" t="n">
        <v>2</v>
      </c>
      <c r="B9919" s="71" t="n">
        <v>46300</v>
      </c>
      <c r="C9919" s="0" t="n">
        <v>100</v>
      </c>
      <c r="D9919" s="0" t="s">
        <v>2499</v>
      </c>
      <c r="E9919" s="0" t="n">
        <v>48</v>
      </c>
      <c r="F9919" s="0" t="s">
        <v>153</v>
      </c>
      <c r="I9919" s="0" t="n">
        <v>1806992</v>
      </c>
      <c r="J9919" s="0" t="n">
        <v>100638</v>
      </c>
      <c r="K9919" s="0" t="n">
        <v>508</v>
      </c>
      <c r="L9919" s="0" t="s">
        <v>2496</v>
      </c>
      <c r="N9919" s="0" t="n">
        <v>0.1</v>
      </c>
      <c r="O9919" s="0" t="n">
        <v>0.22</v>
      </c>
      <c r="P9919" s="0" t="s">
        <v>2444</v>
      </c>
    </row>
    <row r="9920" customFormat="false" ht="12.75" hidden="false" customHeight="false" outlineLevel="0" collapsed="false">
      <c r="A9920" s="0" t="n">
        <v>2</v>
      </c>
      <c r="B9920" s="71" t="n">
        <v>46300</v>
      </c>
      <c r="C9920" s="0" t="n">
        <v>100</v>
      </c>
      <c r="D9920" s="0" t="s">
        <v>2499</v>
      </c>
      <c r="E9920" s="0" t="n">
        <v>48</v>
      </c>
      <c r="F9920" s="0" t="s">
        <v>153</v>
      </c>
      <c r="I9920" s="0" t="n">
        <v>1806992</v>
      </c>
      <c r="J9920" s="0" t="n">
        <v>110455</v>
      </c>
      <c r="K9920" s="0" t="n">
        <v>53212</v>
      </c>
      <c r="L9920" s="0" t="s">
        <v>2498</v>
      </c>
      <c r="N9920" s="0" t="n">
        <v>0.074</v>
      </c>
      <c r="O9920" s="0" t="n">
        <v>0.01</v>
      </c>
      <c r="P9920" s="0" t="s">
        <v>2444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2026-10-06T17:25:57Z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